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979" i="1"/>
  <c r="E4979"/>
  <c r="P4978"/>
  <c r="E4978"/>
  <c r="P4977"/>
  <c r="E4977"/>
  <c r="P4976"/>
  <c r="E4976"/>
  <c r="P4975"/>
  <c r="E4975"/>
  <c r="P4974"/>
  <c r="E4974"/>
  <c r="P4973"/>
  <c r="E4973"/>
  <c r="P4972"/>
  <c r="E4972"/>
  <c r="P4971"/>
  <c r="E4971"/>
  <c r="P4970"/>
  <c r="E4970"/>
  <c r="P4969"/>
  <c r="E4969"/>
  <c r="P4968"/>
  <c r="E4968"/>
  <c r="P4967"/>
  <c r="E4967"/>
  <c r="P4966"/>
  <c r="E4966"/>
  <c r="P4965"/>
  <c r="E4965"/>
  <c r="P4964"/>
  <c r="E4964"/>
  <c r="P4963"/>
  <c r="E4963"/>
  <c r="P4962"/>
  <c r="E4962"/>
  <c r="P4961"/>
  <c r="E4961"/>
  <c r="P4960"/>
  <c r="E4960"/>
  <c r="P4959"/>
  <c r="E4959"/>
  <c r="P4958"/>
  <c r="E4958"/>
  <c r="P4957"/>
  <c r="E4957"/>
  <c r="P4956"/>
  <c r="E4956"/>
  <c r="P4955"/>
  <c r="E4955"/>
  <c r="P4954"/>
  <c r="E4954"/>
  <c r="P4953"/>
  <c r="E4953"/>
  <c r="P4952"/>
  <c r="E4952"/>
  <c r="P4951"/>
  <c r="E4951"/>
  <c r="P4950"/>
  <c r="E4950"/>
  <c r="P4949"/>
  <c r="E4949"/>
  <c r="P4948"/>
  <c r="E4948"/>
  <c r="P4947"/>
  <c r="E4947"/>
  <c r="P4946"/>
  <c r="E4946"/>
  <c r="P4945"/>
  <c r="E4945"/>
  <c r="P4944"/>
  <c r="E4944"/>
  <c r="P4943"/>
  <c r="E4943"/>
  <c r="P4942"/>
  <c r="E4942"/>
  <c r="P4941"/>
  <c r="E4941"/>
  <c r="P4940"/>
  <c r="E4940"/>
  <c r="P4939"/>
  <c r="E4939"/>
  <c r="P4938"/>
  <c r="E4938"/>
  <c r="P4937"/>
  <c r="E4937"/>
  <c r="P4936"/>
  <c r="E4936"/>
  <c r="P4935"/>
  <c r="E4935"/>
  <c r="P4934"/>
  <c r="E4934"/>
  <c r="P4933"/>
  <c r="E4933"/>
  <c r="P4932"/>
  <c r="E4932"/>
  <c r="P4931"/>
  <c r="E4931"/>
  <c r="P4930"/>
  <c r="E4930"/>
  <c r="P4929"/>
  <c r="E4929"/>
  <c r="P4928"/>
  <c r="E4928"/>
  <c r="P4927"/>
  <c r="E4927"/>
  <c r="P4926"/>
  <c r="E4926"/>
  <c r="P4925"/>
  <c r="E4925"/>
  <c r="P4924"/>
  <c r="E4924"/>
  <c r="P4923"/>
  <c r="E4923"/>
  <c r="P4922"/>
  <c r="E4922"/>
  <c r="P4921"/>
  <c r="E4921"/>
  <c r="P4920"/>
  <c r="E4920"/>
  <c r="P4919"/>
  <c r="E4919"/>
  <c r="P4918"/>
  <c r="E4918"/>
  <c r="P4917"/>
  <c r="E4917"/>
  <c r="P4916"/>
  <c r="E4916"/>
  <c r="P4915"/>
  <c r="E4915"/>
  <c r="P4914"/>
  <c r="E4914"/>
  <c r="P4913"/>
  <c r="E4913"/>
  <c r="P4912"/>
  <c r="E4912"/>
  <c r="P4911"/>
  <c r="E4911"/>
  <c r="P4910"/>
  <c r="E4910"/>
  <c r="P4909"/>
  <c r="E4909"/>
  <c r="P4908"/>
  <c r="E4908"/>
  <c r="P4907"/>
  <c r="E4907"/>
  <c r="P4906"/>
  <c r="E4906"/>
  <c r="P4905"/>
  <c r="E4905"/>
  <c r="P4904"/>
  <c r="E4904"/>
  <c r="P4903"/>
  <c r="E4903"/>
  <c r="P4902"/>
  <c r="E4902"/>
  <c r="P4901"/>
  <c r="E4901"/>
  <c r="P4900"/>
  <c r="E4900"/>
  <c r="P4899"/>
  <c r="E4899"/>
  <c r="P4898"/>
  <c r="E4898"/>
  <c r="P4897"/>
  <c r="E4897"/>
  <c r="P4896"/>
  <c r="E4896"/>
  <c r="P4895"/>
  <c r="E4895"/>
  <c r="P4894"/>
  <c r="E4894"/>
  <c r="P4893"/>
  <c r="E4893"/>
  <c r="P4892"/>
  <c r="E4892"/>
  <c r="P4891"/>
  <c r="E4891"/>
  <c r="P4890"/>
  <c r="E4890"/>
  <c r="P4889"/>
  <c r="E4889"/>
  <c r="P4888"/>
  <c r="E4888"/>
  <c r="P4887"/>
  <c r="E4887"/>
  <c r="P4886"/>
  <c r="E4886"/>
  <c r="P4885"/>
  <c r="E4885"/>
  <c r="P4884"/>
  <c r="E4884"/>
  <c r="P4883"/>
  <c r="E4883"/>
  <c r="P4882"/>
  <c r="E4882"/>
  <c r="P4881"/>
  <c r="E4881"/>
  <c r="P4880"/>
  <c r="E4880"/>
  <c r="P4879"/>
  <c r="E4879"/>
  <c r="P4878"/>
  <c r="E4878"/>
  <c r="P4877"/>
  <c r="E4877"/>
  <c r="P4876"/>
  <c r="E4876"/>
  <c r="P4875"/>
  <c r="E4875"/>
  <c r="P4874"/>
  <c r="E4874"/>
  <c r="P4873"/>
  <c r="E4873"/>
  <c r="P4872"/>
  <c r="E4872"/>
  <c r="P4871"/>
  <c r="E4871"/>
  <c r="P4870"/>
  <c r="E4870"/>
  <c r="P4869"/>
  <c r="E4869"/>
  <c r="P4868"/>
  <c r="E4868"/>
  <c r="P4867"/>
  <c r="E4867"/>
  <c r="P4866"/>
  <c r="E4866"/>
  <c r="P4865"/>
  <c r="E4865"/>
  <c r="P4864"/>
  <c r="E4864"/>
  <c r="P4863"/>
  <c r="E4863"/>
  <c r="P4862"/>
  <c r="E4862"/>
  <c r="P4861"/>
  <c r="E4861"/>
  <c r="P4860"/>
  <c r="E4860"/>
  <c r="P4859"/>
  <c r="E4859"/>
  <c r="P4858"/>
  <c r="E4858"/>
  <c r="P4857"/>
  <c r="E4857"/>
  <c r="P4856"/>
  <c r="E4856"/>
  <c r="P4855"/>
  <c r="E4855"/>
  <c r="P4854"/>
  <c r="E4854"/>
  <c r="P4853"/>
  <c r="E4853"/>
  <c r="P4852"/>
  <c r="E4852"/>
  <c r="P4851"/>
  <c r="E4851"/>
  <c r="P4850"/>
  <c r="E4850"/>
  <c r="P4849"/>
  <c r="E4849"/>
  <c r="P4848"/>
  <c r="E4848"/>
  <c r="P4847"/>
  <c r="E4847"/>
  <c r="P4846"/>
  <c r="E4846"/>
  <c r="P4845"/>
  <c r="E4845"/>
  <c r="P4844"/>
  <c r="E4844"/>
  <c r="P4843"/>
  <c r="E4843"/>
  <c r="P4842"/>
  <c r="E4842"/>
  <c r="P4841"/>
  <c r="E4841"/>
  <c r="P4840"/>
  <c r="E4840"/>
  <c r="P4839"/>
  <c r="E4839"/>
  <c r="P4838"/>
  <c r="E4838"/>
  <c r="P4837"/>
  <c r="E4837"/>
  <c r="P4836"/>
  <c r="E4836"/>
  <c r="P4835"/>
  <c r="E4835"/>
  <c r="P4834"/>
  <c r="E4834"/>
  <c r="P4833"/>
  <c r="E4833"/>
  <c r="P4832"/>
  <c r="E4832"/>
  <c r="P4831"/>
  <c r="E4831"/>
  <c r="P4830"/>
  <c r="E4830"/>
  <c r="P4829"/>
  <c r="E4829"/>
  <c r="P4828"/>
  <c r="E4828"/>
  <c r="P4827"/>
  <c r="E4827"/>
  <c r="P4826"/>
  <c r="E4826"/>
  <c r="P4825"/>
  <c r="E4825"/>
  <c r="P4824"/>
  <c r="E4824"/>
  <c r="P4823"/>
  <c r="E4823"/>
  <c r="P4822"/>
  <c r="E4822"/>
  <c r="P4821"/>
  <c r="E4821"/>
  <c r="P4820"/>
  <c r="E4820"/>
  <c r="P4819"/>
  <c r="E4819"/>
  <c r="P4818"/>
  <c r="E4818"/>
  <c r="P4817"/>
  <c r="E4817"/>
  <c r="P4816"/>
  <c r="E4816"/>
  <c r="P4815"/>
  <c r="E4815"/>
  <c r="P4814"/>
  <c r="E4814"/>
  <c r="P4813"/>
  <c r="E4813"/>
  <c r="P4812"/>
  <c r="E4812"/>
  <c r="P4811"/>
  <c r="E4811"/>
  <c r="P4810"/>
  <c r="E4810"/>
  <c r="P4809"/>
  <c r="E4809"/>
  <c r="P4808"/>
  <c r="E4808"/>
  <c r="P4807"/>
  <c r="E4807"/>
  <c r="P4806"/>
  <c r="E4806"/>
  <c r="P4805"/>
  <c r="E4805"/>
  <c r="P4804"/>
  <c r="E4804"/>
  <c r="P4803"/>
  <c r="E4803"/>
  <c r="P4802"/>
  <c r="E4802"/>
  <c r="P4801"/>
  <c r="E4801"/>
  <c r="P4800"/>
  <c r="E4800"/>
  <c r="P4799"/>
  <c r="E4799"/>
  <c r="P4798"/>
  <c r="E4798"/>
  <c r="P4797"/>
  <c r="E4797"/>
  <c r="P4796"/>
  <c r="E4796"/>
  <c r="P4795"/>
  <c r="E4795"/>
  <c r="P4794"/>
  <c r="E4794"/>
  <c r="P4793"/>
  <c r="E4793"/>
  <c r="P4792"/>
  <c r="E4792"/>
  <c r="P4791"/>
  <c r="E4791"/>
  <c r="P4790"/>
  <c r="E4790"/>
  <c r="P4789"/>
  <c r="E4789"/>
  <c r="P4788"/>
  <c r="E4788"/>
  <c r="P4787"/>
  <c r="E4787"/>
  <c r="P4786"/>
  <c r="E4786"/>
  <c r="P4785"/>
  <c r="E4785"/>
  <c r="P4784"/>
  <c r="E4784"/>
  <c r="P4783"/>
  <c r="E4783"/>
  <c r="P4782"/>
  <c r="E4782"/>
  <c r="P4781"/>
  <c r="E4781"/>
  <c r="P4780"/>
  <c r="E4780"/>
  <c r="P4779"/>
  <c r="E4779"/>
  <c r="P4778"/>
  <c r="E4778"/>
  <c r="P4777"/>
  <c r="E4777"/>
  <c r="P4776"/>
  <c r="E4776"/>
  <c r="P4775"/>
  <c r="E4775"/>
  <c r="P4774"/>
  <c r="E4774"/>
  <c r="P4773"/>
  <c r="E4773"/>
  <c r="P4772"/>
  <c r="E4772"/>
  <c r="P4771"/>
  <c r="E4771"/>
  <c r="P4770"/>
  <c r="E4770"/>
  <c r="P4769"/>
  <c r="E4769"/>
  <c r="P4768"/>
  <c r="E4768"/>
  <c r="P4767"/>
  <c r="E4767"/>
  <c r="P4766"/>
  <c r="E4766"/>
  <c r="P4765"/>
  <c r="E4765"/>
  <c r="P4764"/>
  <c r="E4764"/>
  <c r="P4763"/>
  <c r="E4763"/>
  <c r="P4762"/>
  <c r="E4762"/>
  <c r="P4761"/>
  <c r="E4761"/>
  <c r="P4760"/>
  <c r="E4760"/>
  <c r="P4759"/>
  <c r="E4759"/>
  <c r="P4758"/>
  <c r="E4758"/>
  <c r="P4757"/>
  <c r="E4757"/>
  <c r="P4756"/>
  <c r="E4756"/>
  <c r="P4755"/>
  <c r="E4755"/>
  <c r="P4754"/>
  <c r="E4754"/>
  <c r="P4753"/>
  <c r="E4753"/>
  <c r="P4752"/>
  <c r="E4752"/>
  <c r="P4751"/>
  <c r="E4751"/>
  <c r="P4750"/>
  <c r="E4750"/>
  <c r="P4749"/>
  <c r="E4749"/>
  <c r="P4748"/>
  <c r="E4748"/>
  <c r="P4747"/>
  <c r="E4747"/>
  <c r="P4746"/>
  <c r="E4746"/>
  <c r="P4745"/>
  <c r="E4745"/>
  <c r="P4744"/>
  <c r="E4744"/>
  <c r="P4743"/>
  <c r="E4743"/>
  <c r="P4742"/>
  <c r="E4742"/>
  <c r="P4741"/>
  <c r="E4741"/>
  <c r="P4740"/>
  <c r="E4740"/>
  <c r="P4739"/>
  <c r="E4739"/>
  <c r="P4738"/>
  <c r="E4738"/>
  <c r="P4737"/>
  <c r="E4737"/>
  <c r="P4736"/>
  <c r="E4736"/>
  <c r="P4735"/>
  <c r="E4735"/>
  <c r="P4734"/>
  <c r="E4734"/>
  <c r="P4733"/>
  <c r="E4733"/>
  <c r="P4732"/>
  <c r="E4732"/>
  <c r="P4731"/>
  <c r="E4731"/>
  <c r="P4730"/>
  <c r="E4730"/>
  <c r="P4729"/>
  <c r="E4729"/>
  <c r="P4728"/>
  <c r="E4728"/>
  <c r="P4727"/>
  <c r="E4727"/>
  <c r="P4726"/>
  <c r="E4726"/>
  <c r="P4725"/>
  <c r="E4725"/>
  <c r="P4724"/>
  <c r="E4724"/>
  <c r="P4723"/>
  <c r="E4723"/>
  <c r="P4722"/>
  <c r="E4722"/>
  <c r="P4721"/>
  <c r="E4721"/>
  <c r="P4720"/>
  <c r="E4720"/>
  <c r="P4719"/>
  <c r="E4719"/>
  <c r="P4718"/>
  <c r="E4718"/>
  <c r="P4717"/>
  <c r="E4717"/>
  <c r="P4716"/>
  <c r="E4716"/>
  <c r="P4715"/>
  <c r="E4715"/>
  <c r="P4714"/>
  <c r="E4714"/>
  <c r="P4713"/>
  <c r="E4713"/>
  <c r="P4712"/>
  <c r="E4712"/>
  <c r="P4711"/>
  <c r="E4711"/>
  <c r="P4710"/>
  <c r="E4710"/>
  <c r="P4709"/>
  <c r="E4709"/>
  <c r="P4708"/>
  <c r="E4708"/>
  <c r="P4707"/>
  <c r="E4707"/>
  <c r="P4706"/>
  <c r="E4706"/>
  <c r="P4705"/>
  <c r="E4705"/>
  <c r="P4704"/>
  <c r="E4704"/>
  <c r="P4703"/>
  <c r="E4703"/>
  <c r="P4702"/>
  <c r="E4702"/>
  <c r="P4701"/>
  <c r="E4701"/>
  <c r="P4700"/>
  <c r="E4700"/>
  <c r="P4699"/>
  <c r="E4699"/>
  <c r="P4698"/>
  <c r="E4698"/>
  <c r="P4697"/>
  <c r="E4697"/>
  <c r="P4696"/>
  <c r="E4696"/>
  <c r="P4695"/>
  <c r="E4695"/>
  <c r="P4694"/>
  <c r="E4694"/>
  <c r="P4693"/>
  <c r="E4693"/>
  <c r="P4692"/>
  <c r="E4692"/>
  <c r="P4691"/>
  <c r="E4691"/>
  <c r="P4690"/>
  <c r="E4690"/>
  <c r="P4689"/>
  <c r="E4689"/>
  <c r="P4688"/>
  <c r="E4688"/>
  <c r="P4687"/>
  <c r="E4687"/>
  <c r="P4686"/>
  <c r="E4686"/>
  <c r="P4685"/>
  <c r="E4685"/>
  <c r="P4684"/>
  <c r="E4684"/>
  <c r="P4683"/>
  <c r="E4683"/>
  <c r="P4682"/>
  <c r="E4682"/>
  <c r="P4681"/>
  <c r="E4681"/>
  <c r="P4680"/>
  <c r="E4680"/>
  <c r="P4679"/>
  <c r="E4679"/>
  <c r="P4678"/>
  <c r="E4678"/>
  <c r="P4677"/>
  <c r="E4677"/>
  <c r="P4676"/>
  <c r="E4676"/>
  <c r="P4675"/>
  <c r="E4675"/>
  <c r="P4674"/>
  <c r="E4674"/>
  <c r="P4673"/>
  <c r="E4673"/>
  <c r="P4672"/>
  <c r="E4672"/>
  <c r="P4671"/>
  <c r="E4671"/>
  <c r="P4670"/>
  <c r="E4670"/>
  <c r="P4669"/>
  <c r="E4669"/>
  <c r="P4668"/>
  <c r="E4668"/>
  <c r="P4667"/>
  <c r="E4667"/>
  <c r="P4666"/>
  <c r="E4666"/>
  <c r="P4665"/>
  <c r="E4665"/>
  <c r="P4664"/>
  <c r="E4664"/>
  <c r="P4663"/>
  <c r="E4663"/>
  <c r="P4662"/>
  <c r="E4662"/>
  <c r="P4661"/>
  <c r="E4661"/>
  <c r="P4660"/>
  <c r="E4660"/>
  <c r="P4659"/>
  <c r="E4659"/>
  <c r="P4658"/>
  <c r="E4658"/>
  <c r="P4657"/>
  <c r="E4657"/>
  <c r="P4656"/>
  <c r="E4656"/>
  <c r="P4655"/>
  <c r="E4655"/>
  <c r="P4654"/>
  <c r="E4654"/>
  <c r="P4653"/>
  <c r="E4653"/>
  <c r="P4652"/>
  <c r="E4652"/>
  <c r="P4651"/>
  <c r="E4651"/>
  <c r="P4650"/>
  <c r="E4650"/>
  <c r="P4649"/>
  <c r="E4649"/>
  <c r="P4648"/>
  <c r="E4648"/>
  <c r="P4647"/>
  <c r="E4647"/>
  <c r="P4646"/>
  <c r="E4646"/>
  <c r="P4645"/>
  <c r="E4645"/>
  <c r="P4644"/>
  <c r="E4644"/>
  <c r="P4643"/>
  <c r="E4643"/>
  <c r="P4642"/>
  <c r="E4642"/>
  <c r="P4641"/>
  <c r="E4641"/>
  <c r="P4640"/>
  <c r="E4640"/>
  <c r="P4639"/>
  <c r="E4639"/>
  <c r="P4638"/>
  <c r="E4638"/>
  <c r="P4637"/>
  <c r="E4637"/>
  <c r="P4636"/>
  <c r="E4636"/>
  <c r="P4635"/>
  <c r="E4635"/>
  <c r="P4634"/>
  <c r="E4634"/>
  <c r="P4633"/>
  <c r="E4633"/>
  <c r="P4632"/>
  <c r="E4632"/>
  <c r="P4631"/>
  <c r="E4631"/>
  <c r="P4630"/>
  <c r="E4630"/>
  <c r="P4629"/>
  <c r="E4629"/>
  <c r="P4628"/>
  <c r="E4628"/>
  <c r="P4627"/>
  <c r="E4627"/>
  <c r="P4626"/>
  <c r="E4626"/>
  <c r="P4625"/>
  <c r="E4625"/>
  <c r="P4624"/>
  <c r="E4624"/>
  <c r="P4623"/>
  <c r="E4623"/>
  <c r="P4622"/>
  <c r="E4622"/>
  <c r="P4621"/>
  <c r="E4621"/>
  <c r="P4620"/>
  <c r="E4620"/>
  <c r="P4619"/>
  <c r="E4619"/>
  <c r="P4618"/>
  <c r="E4618"/>
  <c r="P4617"/>
  <c r="E4617"/>
  <c r="P4616"/>
  <c r="E4616"/>
  <c r="P4615"/>
  <c r="E4615"/>
  <c r="P4614"/>
  <c r="E4614"/>
  <c r="P4613"/>
  <c r="E4613"/>
  <c r="P4612"/>
  <c r="E4612"/>
  <c r="P4611"/>
  <c r="E4611"/>
  <c r="P4610"/>
  <c r="E4610"/>
  <c r="P4609"/>
  <c r="E4609"/>
  <c r="P4608"/>
  <c r="E4608"/>
  <c r="P4607"/>
  <c r="E4607"/>
  <c r="P4606"/>
  <c r="E4606"/>
  <c r="P4605"/>
  <c r="E4605"/>
  <c r="P4604"/>
  <c r="E4604"/>
  <c r="P4603"/>
  <c r="E4603"/>
  <c r="P4602"/>
  <c r="E4602"/>
  <c r="P4601"/>
  <c r="E4601"/>
  <c r="P4600"/>
  <c r="E4600"/>
  <c r="P4599"/>
  <c r="E4599"/>
  <c r="P4598"/>
  <c r="E4598"/>
  <c r="P4597"/>
  <c r="E4597"/>
  <c r="P4596"/>
  <c r="E4596"/>
  <c r="P4595"/>
  <c r="E4595"/>
  <c r="P4594"/>
  <c r="E4594"/>
  <c r="P4593"/>
  <c r="E4593"/>
  <c r="P4592"/>
  <c r="E4592"/>
  <c r="P4591"/>
  <c r="E4591"/>
  <c r="P4590"/>
  <c r="E4590"/>
  <c r="P4589"/>
  <c r="E4589"/>
  <c r="P4588"/>
  <c r="E4588"/>
  <c r="P4587"/>
  <c r="E4587"/>
  <c r="P4586"/>
  <c r="E4586"/>
  <c r="P4585"/>
  <c r="E4585"/>
  <c r="P4584"/>
  <c r="E4584"/>
  <c r="P4583"/>
  <c r="E4583"/>
  <c r="P4582"/>
  <c r="E4582"/>
  <c r="P4581"/>
  <c r="E4581"/>
  <c r="P4580"/>
  <c r="E4580"/>
  <c r="P4579"/>
  <c r="E4579"/>
  <c r="P4578"/>
  <c r="E4578"/>
  <c r="P4577"/>
  <c r="E4577"/>
  <c r="P4576"/>
  <c r="E4576"/>
  <c r="P4575"/>
  <c r="E4575"/>
  <c r="P4574"/>
  <c r="E4574"/>
  <c r="P4573"/>
  <c r="E4573"/>
  <c r="P4572"/>
  <c r="E4572"/>
  <c r="P4571"/>
  <c r="E4571"/>
  <c r="P4570"/>
  <c r="E4570"/>
  <c r="P4569"/>
  <c r="E4569"/>
  <c r="P4568"/>
  <c r="E4568"/>
  <c r="P4567"/>
  <c r="E4567"/>
  <c r="P4566"/>
  <c r="E4566"/>
  <c r="P4565"/>
  <c r="E4565"/>
  <c r="P4564"/>
  <c r="E4564"/>
  <c r="P4563"/>
  <c r="E4563"/>
  <c r="P4562"/>
  <c r="E4562"/>
  <c r="P4561"/>
  <c r="E4561"/>
  <c r="P4560"/>
  <c r="E4560"/>
  <c r="P4559"/>
  <c r="E4559"/>
  <c r="P4558"/>
  <c r="E4558"/>
  <c r="P4557"/>
  <c r="E4557"/>
  <c r="P4556"/>
  <c r="E4556"/>
  <c r="P4555"/>
  <c r="E4555"/>
  <c r="P4554"/>
  <c r="E4554"/>
  <c r="P4553"/>
  <c r="E4553"/>
  <c r="P4552"/>
  <c r="E4552"/>
  <c r="P4551"/>
  <c r="E4551"/>
  <c r="P4550"/>
  <c r="E4550"/>
  <c r="P4549"/>
  <c r="E4549"/>
  <c r="P4548"/>
  <c r="E4548"/>
  <c r="P4547"/>
  <c r="E4547"/>
  <c r="P4546"/>
  <c r="E4546"/>
  <c r="P4545"/>
  <c r="E4545"/>
  <c r="P4544"/>
  <c r="E4544"/>
  <c r="P4543"/>
  <c r="E4543"/>
  <c r="P4542"/>
  <c r="E4542"/>
  <c r="P4541"/>
  <c r="E4541"/>
  <c r="P4540"/>
  <c r="E4540"/>
  <c r="P4539"/>
  <c r="E4539"/>
  <c r="P4538"/>
  <c r="E4538"/>
  <c r="P4537"/>
  <c r="E4537"/>
  <c r="P4536"/>
  <c r="E4536"/>
  <c r="P4535"/>
  <c r="E4535"/>
  <c r="P4534"/>
  <c r="E4534"/>
  <c r="P4533"/>
  <c r="E4533"/>
  <c r="P4532"/>
  <c r="E4532"/>
  <c r="P4531"/>
  <c r="E4531"/>
  <c r="P4530"/>
  <c r="E4530"/>
  <c r="P4529"/>
  <c r="E4529"/>
  <c r="P4528"/>
  <c r="E4528"/>
  <c r="P4527"/>
  <c r="E4527"/>
  <c r="P4526"/>
  <c r="E4526"/>
  <c r="P4525"/>
  <c r="E4525"/>
  <c r="P4524"/>
  <c r="E4524"/>
  <c r="P4523"/>
  <c r="E4523"/>
  <c r="P4522"/>
  <c r="E4522"/>
  <c r="P4521"/>
  <c r="E4521"/>
  <c r="P4520"/>
  <c r="E4520"/>
  <c r="P4519"/>
  <c r="E4519"/>
  <c r="P4518"/>
  <c r="E4518"/>
  <c r="P4517"/>
  <c r="E4517"/>
  <c r="P4516"/>
  <c r="E4516"/>
  <c r="P4515"/>
  <c r="E4515"/>
  <c r="P4514"/>
  <c r="E4514"/>
  <c r="P4513"/>
  <c r="E4513"/>
  <c r="P4512"/>
  <c r="E4512"/>
  <c r="P4511"/>
  <c r="E4511"/>
  <c r="P4510"/>
  <c r="E4510"/>
  <c r="P4509"/>
  <c r="E4509"/>
  <c r="P4508"/>
  <c r="E4508"/>
  <c r="P4507"/>
  <c r="E4507"/>
  <c r="P4506"/>
  <c r="E4506"/>
  <c r="P4505"/>
  <c r="E4505"/>
  <c r="P4504"/>
  <c r="E4504"/>
  <c r="P4503"/>
  <c r="E4503"/>
  <c r="P4502"/>
  <c r="E4502"/>
  <c r="P4501"/>
  <c r="E4501"/>
  <c r="P4500"/>
  <c r="E4500"/>
  <c r="P4499"/>
  <c r="E4499"/>
  <c r="P4498"/>
  <c r="E4498"/>
  <c r="P4497"/>
  <c r="E4497"/>
  <c r="P4496"/>
  <c r="E4496"/>
  <c r="P4495"/>
  <c r="E4495"/>
  <c r="P4494"/>
  <c r="E4494"/>
  <c r="P4493"/>
  <c r="E4493"/>
  <c r="P4492"/>
  <c r="E4492"/>
  <c r="P4491"/>
  <c r="E4491"/>
  <c r="P4490"/>
  <c r="E4490"/>
  <c r="P4489"/>
  <c r="E4489"/>
  <c r="P4488"/>
  <c r="E4488"/>
  <c r="P4487"/>
  <c r="E4487"/>
  <c r="P4486"/>
  <c r="E4486"/>
  <c r="P4485"/>
  <c r="E4485"/>
  <c r="P4484"/>
  <c r="E4484"/>
  <c r="P4483"/>
  <c r="E4483"/>
  <c r="P4482"/>
  <c r="E4482"/>
  <c r="P4481"/>
  <c r="E4481"/>
  <c r="P4480"/>
  <c r="E4480"/>
  <c r="P4479"/>
  <c r="E4479"/>
  <c r="P4478"/>
  <c r="E4478"/>
  <c r="P4477"/>
  <c r="E4477"/>
  <c r="P4476"/>
  <c r="E4476"/>
  <c r="P4475"/>
  <c r="E4475"/>
  <c r="P4474"/>
  <c r="E4474"/>
  <c r="P4473"/>
  <c r="E4473"/>
  <c r="P4472"/>
  <c r="E4472"/>
  <c r="P4471"/>
  <c r="E4471"/>
  <c r="P4470"/>
  <c r="E4470"/>
  <c r="P4469"/>
  <c r="E4469"/>
  <c r="P4468"/>
  <c r="E4468"/>
  <c r="P4467"/>
  <c r="E4467"/>
  <c r="P4466"/>
  <c r="E4466"/>
  <c r="P4465"/>
  <c r="E4465"/>
  <c r="P4464"/>
  <c r="E4464"/>
  <c r="P4463"/>
  <c r="E4463"/>
  <c r="P4462"/>
  <c r="E4462"/>
  <c r="P4461"/>
  <c r="E4461"/>
  <c r="P4460"/>
  <c r="E4460"/>
  <c r="P4459"/>
  <c r="E4459"/>
  <c r="P4458"/>
  <c r="E4458"/>
  <c r="P4457"/>
  <c r="E4457"/>
  <c r="P4456"/>
  <c r="E4456"/>
  <c r="P4455"/>
  <c r="E4455"/>
  <c r="P4454"/>
  <c r="E4454"/>
  <c r="P4453"/>
  <c r="E4453"/>
  <c r="P4452"/>
  <c r="E4452"/>
  <c r="P4451"/>
  <c r="E4451"/>
  <c r="P4450"/>
  <c r="E4450"/>
  <c r="P4449"/>
  <c r="E4449"/>
  <c r="P4448"/>
  <c r="E4448"/>
  <c r="P4447"/>
  <c r="E4447"/>
  <c r="P4446"/>
  <c r="E4446"/>
  <c r="P4445"/>
  <c r="E4445"/>
  <c r="P4444"/>
  <c r="E4444"/>
  <c r="P4443"/>
  <c r="E4443"/>
  <c r="P4442"/>
  <c r="E4442"/>
  <c r="P4441"/>
  <c r="E4441"/>
  <c r="P4440"/>
  <c r="E4440"/>
  <c r="P4439"/>
  <c r="E4439"/>
  <c r="P4438"/>
  <c r="E4438"/>
  <c r="P4437"/>
  <c r="E4437"/>
  <c r="P4436"/>
  <c r="E4436"/>
  <c r="P4435"/>
  <c r="E4435"/>
  <c r="P4434"/>
  <c r="E4434"/>
  <c r="P4433"/>
  <c r="E4433"/>
  <c r="P4432"/>
  <c r="E4432"/>
  <c r="P4431"/>
  <c r="E4431"/>
  <c r="P4430"/>
  <c r="E4430"/>
  <c r="P4429"/>
  <c r="E4429"/>
  <c r="P4428"/>
  <c r="E4428"/>
  <c r="P4427"/>
  <c r="E4427"/>
  <c r="P4426"/>
  <c r="E4426"/>
  <c r="P4425"/>
  <c r="E4425"/>
  <c r="P4424"/>
  <c r="E4424"/>
  <c r="P4423"/>
  <c r="E4423"/>
  <c r="P4422"/>
  <c r="E4422"/>
  <c r="P4421"/>
  <c r="E4421"/>
  <c r="P4420"/>
  <c r="E4420"/>
  <c r="P4419"/>
  <c r="E4419"/>
  <c r="P4418"/>
  <c r="E4418"/>
  <c r="P4417"/>
  <c r="E4417"/>
  <c r="P4416"/>
  <c r="E4416"/>
  <c r="P4415"/>
  <c r="E4415"/>
  <c r="P4414"/>
  <c r="E4414"/>
  <c r="P4413"/>
  <c r="E4413"/>
  <c r="P4412"/>
  <c r="E4412"/>
  <c r="P4411"/>
  <c r="E4411"/>
  <c r="P4410"/>
  <c r="E4410"/>
  <c r="P4409"/>
  <c r="E4409"/>
  <c r="P4408"/>
  <c r="E4408"/>
  <c r="P4407"/>
  <c r="E4407"/>
  <c r="P4406"/>
  <c r="E4406"/>
  <c r="P4405"/>
  <c r="E4405"/>
  <c r="P4404"/>
  <c r="E4404"/>
  <c r="P4403"/>
  <c r="E4403"/>
  <c r="P4402"/>
  <c r="E4402"/>
  <c r="P4401"/>
  <c r="E4401"/>
  <c r="P4400"/>
  <c r="E4400"/>
  <c r="P4399"/>
  <c r="E4399"/>
  <c r="P4398"/>
  <c r="E4398"/>
  <c r="P4397"/>
  <c r="E4397"/>
  <c r="P4396"/>
  <c r="E4396"/>
  <c r="P4395"/>
  <c r="E4395"/>
  <c r="P4394"/>
  <c r="E4394"/>
  <c r="P4393"/>
  <c r="E4393"/>
  <c r="P4392"/>
  <c r="E4392"/>
  <c r="P4391"/>
  <c r="E4391"/>
  <c r="P4390"/>
  <c r="E4390"/>
  <c r="P4389"/>
  <c r="E4389"/>
  <c r="P4388"/>
  <c r="E4388"/>
  <c r="P4387"/>
  <c r="E4387"/>
  <c r="P4386"/>
  <c r="E4386"/>
  <c r="P4385"/>
  <c r="E4385"/>
  <c r="P4384"/>
  <c r="E4384"/>
  <c r="P4383"/>
  <c r="E4383"/>
  <c r="P4382"/>
  <c r="E4382"/>
  <c r="P4381"/>
  <c r="E4381"/>
  <c r="P4380"/>
  <c r="E4380"/>
  <c r="P4379"/>
  <c r="E4379"/>
  <c r="P4378"/>
  <c r="E4378"/>
  <c r="P4377"/>
  <c r="E4377"/>
  <c r="P4376"/>
  <c r="E4376"/>
  <c r="P4375"/>
  <c r="E4375"/>
  <c r="P4374"/>
  <c r="E4374"/>
  <c r="P4373"/>
  <c r="E4373"/>
  <c r="P4372"/>
  <c r="E4372"/>
  <c r="P4371"/>
  <c r="E4371"/>
  <c r="P4370"/>
  <c r="E4370"/>
  <c r="P4369"/>
  <c r="E4369"/>
  <c r="P4368"/>
  <c r="E4368"/>
  <c r="P4367"/>
  <c r="E4367"/>
  <c r="P4366"/>
  <c r="E4366"/>
  <c r="P4365"/>
  <c r="E4365"/>
  <c r="P4364"/>
  <c r="E4364"/>
  <c r="P4363"/>
  <c r="E4363"/>
  <c r="P4362"/>
  <c r="E4362"/>
  <c r="P4361"/>
  <c r="E4361"/>
  <c r="P4360"/>
  <c r="E4360"/>
  <c r="P4359"/>
  <c r="E4359"/>
  <c r="P4358"/>
  <c r="E4358"/>
  <c r="P4357"/>
  <c r="E4357"/>
  <c r="P4356"/>
  <c r="E4356"/>
  <c r="P4355"/>
  <c r="E4355"/>
  <c r="P4354"/>
  <c r="E4354"/>
  <c r="P4353"/>
  <c r="E4353"/>
  <c r="P4352"/>
  <c r="E4352"/>
  <c r="P4351"/>
  <c r="E4351"/>
  <c r="P4350"/>
  <c r="E4350"/>
  <c r="P4349"/>
  <c r="E4349"/>
  <c r="P4348"/>
  <c r="E4348"/>
  <c r="P4347"/>
  <c r="E4347"/>
  <c r="P4346"/>
  <c r="E4346"/>
  <c r="P4345"/>
  <c r="E4345"/>
  <c r="P4344"/>
  <c r="E4344"/>
  <c r="P4343"/>
  <c r="E4343"/>
  <c r="P4342"/>
  <c r="E4342"/>
  <c r="P4341"/>
  <c r="E4341"/>
  <c r="P4340"/>
  <c r="E4340"/>
  <c r="P4339"/>
  <c r="E4339"/>
  <c r="P4338"/>
  <c r="E4338"/>
  <c r="P4337"/>
  <c r="E4337"/>
  <c r="P4336"/>
  <c r="E4336"/>
  <c r="P4335"/>
  <c r="E4335"/>
  <c r="P4334"/>
  <c r="E4334"/>
  <c r="P4333"/>
  <c r="E4333"/>
  <c r="P4332"/>
  <c r="E4332"/>
  <c r="P4331"/>
  <c r="E4331"/>
  <c r="P4330"/>
  <c r="E4330"/>
  <c r="P4329"/>
  <c r="E4329"/>
  <c r="P4328"/>
  <c r="E4328"/>
  <c r="P4327"/>
  <c r="E4327"/>
  <c r="P4326"/>
  <c r="E4326"/>
  <c r="P4325"/>
  <c r="E4325"/>
  <c r="P4324"/>
  <c r="E4324"/>
  <c r="P4323"/>
  <c r="E4323"/>
  <c r="P4322"/>
  <c r="E4322"/>
  <c r="P4321"/>
  <c r="E4321"/>
  <c r="P4320"/>
  <c r="E4320"/>
  <c r="P4319"/>
  <c r="E4319"/>
  <c r="P4318"/>
  <c r="E4318"/>
  <c r="P4317"/>
  <c r="E4317"/>
  <c r="P4316"/>
  <c r="E4316"/>
  <c r="P4315"/>
  <c r="E4315"/>
  <c r="P4314"/>
  <c r="E4314"/>
  <c r="P4313"/>
  <c r="E4313"/>
  <c r="P4312"/>
  <c r="E4312"/>
  <c r="P4311"/>
  <c r="E4311"/>
  <c r="P4310"/>
  <c r="E4310"/>
  <c r="P4309"/>
  <c r="E4309"/>
  <c r="P4308"/>
  <c r="E4308"/>
  <c r="P4307"/>
  <c r="E4307"/>
  <c r="P4306"/>
  <c r="E4306"/>
  <c r="P4305"/>
  <c r="E4305"/>
  <c r="P4304"/>
  <c r="E4304"/>
  <c r="P4303"/>
  <c r="E4303"/>
  <c r="P4302"/>
  <c r="E4302"/>
  <c r="P4301"/>
  <c r="E4301"/>
  <c r="P4300"/>
  <c r="E4300"/>
  <c r="P4299"/>
  <c r="E4299"/>
  <c r="P4298"/>
  <c r="E4298"/>
  <c r="P4297"/>
  <c r="E4297"/>
  <c r="P4296"/>
  <c r="E4296"/>
  <c r="P4295"/>
  <c r="E4295"/>
  <c r="P4294"/>
  <c r="E4294"/>
  <c r="P4293"/>
  <c r="E4293"/>
  <c r="P4292"/>
  <c r="E4292"/>
  <c r="P4291"/>
  <c r="E4291"/>
  <c r="P4290"/>
  <c r="E4290"/>
  <c r="P4289"/>
  <c r="E4289"/>
  <c r="P4288"/>
  <c r="E4288"/>
  <c r="P4287"/>
  <c r="E4287"/>
  <c r="P4286"/>
  <c r="E4286"/>
  <c r="P4285"/>
  <c r="E4285"/>
  <c r="P4284"/>
  <c r="E4284"/>
  <c r="P4283"/>
  <c r="E4283"/>
  <c r="P4282"/>
  <c r="E4282"/>
  <c r="P4281"/>
  <c r="E4281"/>
  <c r="P4280"/>
  <c r="E4280"/>
  <c r="P4279"/>
  <c r="E4279"/>
  <c r="P4278"/>
  <c r="E4278"/>
  <c r="P4277"/>
  <c r="E4277"/>
  <c r="P4276"/>
  <c r="E4276"/>
  <c r="P4275"/>
  <c r="E4275"/>
  <c r="P4274"/>
  <c r="E4274"/>
  <c r="P4273"/>
  <c r="E4273"/>
  <c r="P4272"/>
  <c r="E4272"/>
  <c r="P4271"/>
  <c r="E4271"/>
  <c r="P4270"/>
  <c r="E4270"/>
  <c r="P4269"/>
  <c r="E4269"/>
  <c r="P4268"/>
  <c r="E4268"/>
  <c r="P4267"/>
  <c r="E4267"/>
  <c r="P4266"/>
  <c r="E4266"/>
  <c r="P4265"/>
  <c r="E4265"/>
  <c r="P4264"/>
  <c r="E4264"/>
  <c r="P4263"/>
  <c r="E4263"/>
  <c r="P4262"/>
  <c r="E4262"/>
  <c r="P4261"/>
  <c r="E4261"/>
  <c r="P4260"/>
  <c r="E4260"/>
  <c r="P4259"/>
  <c r="E4259"/>
  <c r="P4258"/>
  <c r="E4258"/>
  <c r="P4257"/>
  <c r="E4257"/>
  <c r="P4256"/>
  <c r="E4256"/>
  <c r="P4255"/>
  <c r="E4255"/>
  <c r="P4254"/>
  <c r="E4254"/>
  <c r="P4253"/>
  <c r="E4253"/>
  <c r="P4252"/>
  <c r="E4252"/>
  <c r="P4251"/>
  <c r="E4251"/>
  <c r="P4250"/>
  <c r="E4250"/>
  <c r="P4249"/>
  <c r="E4249"/>
  <c r="P4248"/>
  <c r="E4248"/>
  <c r="P4247"/>
  <c r="E4247"/>
  <c r="P4246"/>
  <c r="E4246"/>
  <c r="P4245"/>
  <c r="E4245"/>
  <c r="P4244"/>
  <c r="E4244"/>
  <c r="P4243"/>
  <c r="E4243"/>
  <c r="P4242"/>
  <c r="E4242"/>
  <c r="P4241"/>
  <c r="E4241"/>
  <c r="P4240"/>
  <c r="E4240"/>
  <c r="P4239"/>
  <c r="E4239"/>
  <c r="P4238"/>
  <c r="E4238"/>
  <c r="P4237"/>
  <c r="E4237"/>
  <c r="P4236"/>
  <c r="E4236"/>
  <c r="P4235"/>
  <c r="E4235"/>
  <c r="P4234"/>
  <c r="E4234"/>
  <c r="P4233"/>
  <c r="E4233"/>
  <c r="P4232"/>
  <c r="E4232"/>
  <c r="P4231"/>
  <c r="E4231"/>
  <c r="P4230"/>
  <c r="E4230"/>
  <c r="P4229"/>
  <c r="E4229"/>
  <c r="P4228"/>
  <c r="E4228"/>
  <c r="P4227"/>
  <c r="E4227"/>
  <c r="P4226"/>
  <c r="E4226"/>
  <c r="P4225"/>
  <c r="E4225"/>
  <c r="P4224"/>
  <c r="E4224"/>
  <c r="P4223"/>
  <c r="E4223"/>
  <c r="P4222"/>
  <c r="E4222"/>
  <c r="P4221"/>
  <c r="E4221"/>
  <c r="P4220"/>
  <c r="E4220"/>
  <c r="P4219"/>
  <c r="E4219"/>
  <c r="P4218"/>
  <c r="E4218"/>
  <c r="P4217"/>
  <c r="E4217"/>
  <c r="P4216"/>
  <c r="E4216"/>
  <c r="P4215"/>
  <c r="E4215"/>
  <c r="P4214"/>
  <c r="E4214"/>
  <c r="P4213"/>
  <c r="E4213"/>
  <c r="P4212"/>
  <c r="E4212"/>
  <c r="P4211"/>
  <c r="E4211"/>
  <c r="P4210"/>
  <c r="E4210"/>
  <c r="P4209"/>
  <c r="E4209"/>
  <c r="P4208"/>
  <c r="E4208"/>
  <c r="P4207"/>
  <c r="E4207"/>
  <c r="P4206"/>
  <c r="E4206"/>
  <c r="P4205"/>
  <c r="E4205"/>
  <c r="P4204"/>
  <c r="E4204"/>
  <c r="P4203"/>
  <c r="E4203"/>
  <c r="P4202"/>
  <c r="E4202"/>
  <c r="P4201"/>
  <c r="E4201"/>
  <c r="P4200"/>
  <c r="E4200"/>
  <c r="P4199"/>
  <c r="E4199"/>
  <c r="P4198"/>
  <c r="E4198"/>
  <c r="P4197"/>
  <c r="E4197"/>
  <c r="P4196"/>
  <c r="E4196"/>
  <c r="P4195"/>
  <c r="E4195"/>
  <c r="P4194"/>
  <c r="E4194"/>
  <c r="P4193"/>
  <c r="E4193"/>
  <c r="P4192"/>
  <c r="E4192"/>
  <c r="P4191"/>
  <c r="E4191"/>
  <c r="P4190"/>
  <c r="E4190"/>
  <c r="P4189"/>
  <c r="E4189"/>
  <c r="P4188"/>
  <c r="E4188"/>
  <c r="P4187"/>
  <c r="E4187"/>
  <c r="P4186"/>
  <c r="E4186"/>
  <c r="P4185"/>
  <c r="E4185"/>
  <c r="P4184"/>
  <c r="E4184"/>
  <c r="P4183"/>
  <c r="E4183"/>
  <c r="P4182"/>
  <c r="E4182"/>
  <c r="P4181"/>
  <c r="E4181"/>
  <c r="P4180"/>
  <c r="E4180"/>
  <c r="P4179"/>
  <c r="E4179"/>
  <c r="P4178"/>
  <c r="E4178"/>
  <c r="P4177"/>
  <c r="E4177"/>
  <c r="P4176"/>
  <c r="E4176"/>
  <c r="P4175"/>
  <c r="E4175"/>
  <c r="P4174"/>
  <c r="E4174"/>
  <c r="P4173"/>
  <c r="E4173"/>
  <c r="P4172"/>
  <c r="E4172"/>
  <c r="P4171"/>
  <c r="E4171"/>
  <c r="P4170"/>
  <c r="E4170"/>
  <c r="P4169"/>
  <c r="E4169"/>
  <c r="P4168"/>
  <c r="E4168"/>
  <c r="P4167"/>
  <c r="E4167"/>
  <c r="P4166"/>
  <c r="E4166"/>
  <c r="P4165"/>
  <c r="E4165"/>
  <c r="P4164"/>
  <c r="E4164"/>
  <c r="P4163"/>
  <c r="E4163"/>
  <c r="P4162"/>
  <c r="E4162"/>
  <c r="P4161"/>
  <c r="E4161"/>
  <c r="P4160"/>
  <c r="E4160"/>
  <c r="P4159"/>
  <c r="E4159"/>
  <c r="P4158"/>
  <c r="E4158"/>
  <c r="P4157"/>
  <c r="E4157"/>
  <c r="P4156"/>
  <c r="E4156"/>
  <c r="P4155"/>
  <c r="E4155"/>
  <c r="P4154"/>
  <c r="E4154"/>
  <c r="P4153"/>
  <c r="E4153"/>
  <c r="P4152"/>
  <c r="E4152"/>
  <c r="P4151"/>
  <c r="E4151"/>
  <c r="P4150"/>
  <c r="E4150"/>
  <c r="P4149"/>
  <c r="E4149"/>
  <c r="P4148"/>
  <c r="E4148"/>
  <c r="P4147"/>
  <c r="E4147"/>
  <c r="P4146"/>
  <c r="E4146"/>
  <c r="P4145"/>
  <c r="E4145"/>
  <c r="P4144"/>
  <c r="E4144"/>
  <c r="P4143"/>
  <c r="E4143"/>
  <c r="P4142"/>
  <c r="E4142"/>
  <c r="P4141"/>
  <c r="E4141"/>
  <c r="P4140"/>
  <c r="E4140"/>
  <c r="P4139"/>
  <c r="E4139"/>
  <c r="P4138"/>
  <c r="E4138"/>
  <c r="P4137"/>
  <c r="E4137"/>
  <c r="P4136"/>
  <c r="E4136"/>
  <c r="P4135"/>
  <c r="E4135"/>
  <c r="P4134"/>
  <c r="E4134"/>
  <c r="P4133"/>
  <c r="E4133"/>
  <c r="P4132"/>
  <c r="E4132"/>
  <c r="P4131"/>
  <c r="E4131"/>
  <c r="P4130"/>
  <c r="E4130"/>
  <c r="P4129"/>
  <c r="E4129"/>
  <c r="P4128"/>
  <c r="E4128"/>
  <c r="P4127"/>
  <c r="E4127"/>
  <c r="P4126"/>
  <c r="E4126"/>
  <c r="P4125"/>
  <c r="E4125"/>
  <c r="P4124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<sst xmlns="http://schemas.openxmlformats.org/spreadsheetml/2006/main" count="97145" uniqueCount="4312">
  <si>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</si>
  <si>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</si>
  <si>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</si>
  <si>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</si>
  <si>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</si>
  <si>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</si>
  <si>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</si>
  <si>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</si>
  <si>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</si>
  <si>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</si>
  <si>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</si>
  <si>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</si>
  <si>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</si>
  <si>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</si>
  <si>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</si>
  <si>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</si>
  <si>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</si>
  <si>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</si>
  <si>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</si>
  <si>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</si>
  <si>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</si>
  <si>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</si>
  <si>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</si>
  <si>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</si>
  <si>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</si>
  <si>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</si>
  <si>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</si>
  <si>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</si>
  <si>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</si>
  <si>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</si>
  <si>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</si>
  <si>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</si>
  <si>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</si>
  <si>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</si>
  <si>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</si>
  <si>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</si>
  <si>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</si>
  <si>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</si>
  <si>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</si>
  <si>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</si>
  <si>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</si>
  <si>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</si>
  <si>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</si>
  <si>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</si>
  <si>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</si>
  <si>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</si>
  <si>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</si>
  <si>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</si>
  <si>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</si>
  <si>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</si>
  <si>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</si>
  <si>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</si>
  <si>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</si>
  <si>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</si>
  <si>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</si>
  <si>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</si>
  <si>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</si>
  <si>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</si>
  <si>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</si>
  <si>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</si>
  <si>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</si>
  <si>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</si>
  <si>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</si>
  <si>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</si>
  <si>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</si>
  <si>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</si>
  <si>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</si>
  <si>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</si>
  <si>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</si>
  <si>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</si>
  <si>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</si>
  <si>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</si>
  <si>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</si>
  <si>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</si>
  <si>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</si>
  <si>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</si>
  <si>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</si>
  <si>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</si>
  <si>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BLOE1</t>
  </si>
  <si>
    <t>BLOEMFONTEIN</t>
  </si>
  <si>
    <t xml:space="preserve">CHUANG S STRAPPING (PTY) LTD       </t>
  </si>
  <si>
    <t>RD</t>
  </si>
  <si>
    <t>FRAGILE OIL</t>
  </si>
  <si>
    <t>RECEIVING</t>
  </si>
  <si>
    <t>Abram Machaka</t>
  </si>
  <si>
    <t>ILLEG</t>
  </si>
  <si>
    <t>no</t>
  </si>
  <si>
    <t>Company Closed</t>
  </si>
  <si>
    <t>ayj</t>
  </si>
  <si>
    <t>PARCEL</t>
  </si>
  <si>
    <t>RD1</t>
  </si>
  <si>
    <t>THAB2</t>
  </si>
  <si>
    <t>THABA'NCHU</t>
  </si>
  <si>
    <t xml:space="preserve">PREMIER FMCG (PTY) LTD             </t>
  </si>
  <si>
    <t>CHARMAINE</t>
  </si>
  <si>
    <t>yes</t>
  </si>
  <si>
    <t>RDY</t>
  </si>
  <si>
    <t>PORT3</t>
  </si>
  <si>
    <t>PORT ELIZABETH</t>
  </si>
  <si>
    <t xml:space="preserve">MAHLE BEHR SOUTH AFRICA (PTY)      </t>
  </si>
  <si>
    <t>ON1</t>
  </si>
  <si>
    <t>A</t>
  </si>
  <si>
    <t>Lenn</t>
  </si>
  <si>
    <t>POD received from cell 0839805552 M</t>
  </si>
  <si>
    <t>Flyer</t>
  </si>
  <si>
    <t>CAPET</t>
  </si>
  <si>
    <t>CAPE TOWN</t>
  </si>
  <si>
    <t xml:space="preserve">HYDROMATIC                         </t>
  </si>
  <si>
    <t>Receiving</t>
  </si>
  <si>
    <t>Justin</t>
  </si>
  <si>
    <t>Driver late</t>
  </si>
  <si>
    <t>elw</t>
  </si>
  <si>
    <t>POD received from cell 0738058187 M</t>
  </si>
  <si>
    <t xml:space="preserve">ALBANY BAKERY                      </t>
  </si>
  <si>
    <t>Mervyn</t>
  </si>
  <si>
    <t>Missed cutoff</t>
  </si>
  <si>
    <t>NGF</t>
  </si>
  <si>
    <t>POD received from cell 0611343244 M</t>
  </si>
  <si>
    <t xml:space="preserve">FESTO                              </t>
  </si>
  <si>
    <t xml:space="preserve">CLURE PROJECTS CC                  </t>
  </si>
  <si>
    <t>SDX</t>
  </si>
  <si>
    <t>SAMEDAY</t>
  </si>
  <si>
    <t>ABRAM MACHAKA</t>
  </si>
  <si>
    <t>COLLEN</t>
  </si>
  <si>
    <t>Late linehaul</t>
  </si>
  <si>
    <t>JAN</t>
  </si>
  <si>
    <t>FUE / DSD</t>
  </si>
  <si>
    <t>DEL ON 08 08</t>
  </si>
  <si>
    <t>ROODE</t>
  </si>
  <si>
    <t>ROODEPOORT</t>
  </si>
  <si>
    <t xml:space="preserve">CHEMPLUS CC                        </t>
  </si>
  <si>
    <t>EILEEN</t>
  </si>
  <si>
    <t>RDL</t>
  </si>
  <si>
    <t>gathan</t>
  </si>
  <si>
    <t>POD received from cell 0783894189 M</t>
  </si>
  <si>
    <t>Parcel</t>
  </si>
  <si>
    <t>RD2</t>
  </si>
  <si>
    <t>VERWO</t>
  </si>
  <si>
    <t>CENTURION</t>
  </si>
  <si>
    <t xml:space="preserve">Business Connexion Pty Lt          </t>
  </si>
  <si>
    <t>CC Billowes</t>
  </si>
  <si>
    <t>POD received from cell 0792862685 M</t>
  </si>
  <si>
    <t>PARCELS</t>
  </si>
  <si>
    <t>RDR</t>
  </si>
  <si>
    <t>JOHAN</t>
  </si>
  <si>
    <t>JOHANNESBURG</t>
  </si>
  <si>
    <t xml:space="preserve">BEARING MAN GROUP                  </t>
  </si>
  <si>
    <t xml:space="preserve">ILLEGE                        </t>
  </si>
  <si>
    <t xml:space="preserve">                                        </t>
  </si>
  <si>
    <t>DURBA</t>
  </si>
  <si>
    <t>DURBAN</t>
  </si>
  <si>
    <t xml:space="preserve">MAGNET ELECTRICAL                  </t>
  </si>
  <si>
    <t>trevane</t>
  </si>
  <si>
    <t>rd1</t>
  </si>
  <si>
    <t xml:space="preserve">EUROSHELF PTY LTD                  </t>
  </si>
  <si>
    <t>THABO</t>
  </si>
  <si>
    <t>CEDRIC CARELSE</t>
  </si>
  <si>
    <t>mosebetsi</t>
  </si>
  <si>
    <t>POD received from cell 0651340384 M</t>
  </si>
  <si>
    <t>HAMMA</t>
  </si>
  <si>
    <t>HAMMANSKRAAL</t>
  </si>
  <si>
    <t xml:space="preserve">UNIVERSAL PAPER MANUFATUCRERS      </t>
  </si>
  <si>
    <t>PETRUS</t>
  </si>
  <si>
    <t>RDD</t>
  </si>
  <si>
    <t>WORCE</t>
  </si>
  <si>
    <t>WORCESTER</t>
  </si>
  <si>
    <t xml:space="preserve">GRW ENGINERING                     </t>
  </si>
  <si>
    <t>MARCELLINO</t>
  </si>
  <si>
    <t>POD received from cell 0725491104 M</t>
  </si>
  <si>
    <t>RD3</t>
  </si>
  <si>
    <t>GERMI</t>
  </si>
  <si>
    <t>GERMISTON</t>
  </si>
  <si>
    <t xml:space="preserve">PATERSON HUGHES ENGINEERING        </t>
  </si>
  <si>
    <t>HANS</t>
  </si>
  <si>
    <t>EAST</t>
  </si>
  <si>
    <t>EAST LONDON</t>
  </si>
  <si>
    <t xml:space="preserve">POLYOAK PACKAGING                  </t>
  </si>
  <si>
    <t>TONY WLLIAMS</t>
  </si>
  <si>
    <t>JOHAN NEL</t>
  </si>
  <si>
    <t>ABRAM</t>
  </si>
  <si>
    <t>rdd</t>
  </si>
  <si>
    <t xml:space="preserve">CLOVER SA PTY LTD                  </t>
  </si>
  <si>
    <t>VINESH MAHARAJ</t>
  </si>
  <si>
    <t xml:space="preserve">ENTYCE BEVERAGES                   </t>
  </si>
  <si>
    <t>fikile</t>
  </si>
  <si>
    <t>POD received from cell 0848502652 M</t>
  </si>
  <si>
    <t xml:space="preserve">ARREAU INDUSTRIES PTY LTD          </t>
  </si>
  <si>
    <t>Lormbard Mokgabudi</t>
  </si>
  <si>
    <t>nitheo</t>
  </si>
  <si>
    <t>POD received from cell 0721881256 M</t>
  </si>
  <si>
    <t xml:space="preserve">DRYTECH INTERNATIONAL PTY LTD      </t>
  </si>
  <si>
    <t>SONNYBOY</t>
  </si>
  <si>
    <t xml:space="preserve">FESTIVE A DIV OF ASTRAL OPERAT     </t>
  </si>
  <si>
    <t>Thabane</t>
  </si>
  <si>
    <t>POD received from cell 0737276972 M</t>
  </si>
  <si>
    <t xml:space="preserve">CATHAN                        </t>
  </si>
  <si>
    <t xml:space="preserve">POD received from cell 0722572707 M     </t>
  </si>
  <si>
    <t xml:space="preserve">DATA ELECTRICAL INSTRUMANTATIO     </t>
  </si>
  <si>
    <t xml:space="preserve">CHARLES                       </t>
  </si>
  <si>
    <t>amt</t>
  </si>
  <si>
    <t xml:space="preserve">POD received from cell 0719806375 M     </t>
  </si>
  <si>
    <t>SOME2</t>
  </si>
  <si>
    <t>SOMERSET WEST</t>
  </si>
  <si>
    <t xml:space="preserve">SOUTHERN PULP MACHINERY            </t>
  </si>
  <si>
    <t>C MEYER</t>
  </si>
  <si>
    <t>POD received from cell 0731150018 M</t>
  </si>
  <si>
    <t>BRIT1</t>
  </si>
  <si>
    <t>BRITS</t>
  </si>
  <si>
    <t xml:space="preserve">RG BROSE AUTOMOTIVE COMPONENTS     </t>
  </si>
  <si>
    <t>RECEIVER</t>
  </si>
  <si>
    <t xml:space="preserve">naledi                        </t>
  </si>
  <si>
    <t xml:space="preserve">POD received from cell 0648706692 M     </t>
  </si>
  <si>
    <t>Shane</t>
  </si>
  <si>
    <t>POD received from cell 0606552064 M</t>
  </si>
  <si>
    <t xml:space="preserve">CONTINENTAL TYRE SA                </t>
  </si>
  <si>
    <t>Eric</t>
  </si>
  <si>
    <t>BRAKP</t>
  </si>
  <si>
    <t>BRAKPAN</t>
  </si>
  <si>
    <t xml:space="preserve">DURASET                            </t>
  </si>
  <si>
    <t>Andries</t>
  </si>
  <si>
    <t>POD received from cell 0836178022 M</t>
  </si>
  <si>
    <t>UMHLA</t>
  </si>
  <si>
    <t>UMHLANGA ROCKS</t>
  </si>
  <si>
    <t xml:space="preserve">ILLOVO SUGAR                       </t>
  </si>
  <si>
    <t>kevin</t>
  </si>
  <si>
    <t>POD received from cell 0648706751 M</t>
  </si>
  <si>
    <t xml:space="preserve">4 BYTES AUTOMATION CC              </t>
  </si>
  <si>
    <t>Recieving</t>
  </si>
  <si>
    <t>itumeleng</t>
  </si>
  <si>
    <t xml:space="preserve">FORD MOTOR CO. SA MANUFACTURIN     </t>
  </si>
  <si>
    <t>Veule</t>
  </si>
  <si>
    <t>JACO1</t>
  </si>
  <si>
    <t>JACOBS</t>
  </si>
  <si>
    <t xml:space="preserve">AMS BEARING CC                     </t>
  </si>
  <si>
    <t>Amos</t>
  </si>
  <si>
    <t>POD received from cell 0763492871 M</t>
  </si>
  <si>
    <t>Raymond</t>
  </si>
  <si>
    <t>PINET</t>
  </si>
  <si>
    <t>PINETOWN</t>
  </si>
  <si>
    <t xml:space="preserve">MEXAN PRODUCTS                     </t>
  </si>
  <si>
    <t>Hi all  please arrange urgent collection for Yatish.</t>
  </si>
  <si>
    <t>YOLANDA</t>
  </si>
  <si>
    <t>DAVID VAN HEERDEN</t>
  </si>
  <si>
    <t>MOSEBASI</t>
  </si>
  <si>
    <t>BOKSB</t>
  </si>
  <si>
    <t>BOKSBURG</t>
  </si>
  <si>
    <t xml:space="preserve">UNILIVER SA                        </t>
  </si>
  <si>
    <t>ELIS</t>
  </si>
  <si>
    <t xml:space="preserve">JENDAMARK AUTOMATION PTY LTD       </t>
  </si>
  <si>
    <t>CARISSTON</t>
  </si>
  <si>
    <t xml:space="preserve">MECHATRONICS                       </t>
  </si>
  <si>
    <t>deyzel</t>
  </si>
  <si>
    <t>capet</t>
  </si>
  <si>
    <t xml:space="preserve">Liqui Box                          </t>
  </si>
  <si>
    <t>Liqui Box</t>
  </si>
  <si>
    <t>POD received from cell 0761122982 M</t>
  </si>
  <si>
    <t xml:space="preserve">DEBSWANA DIAMOND CO PTY LTD        </t>
  </si>
  <si>
    <t>NCEBO</t>
  </si>
  <si>
    <t>POD received from cell 0835257179 M</t>
  </si>
  <si>
    <t>PARCEL PARCEL</t>
  </si>
  <si>
    <t xml:space="preserve">DE BEERS GROUP SERVICES            </t>
  </si>
  <si>
    <t xml:space="preserve">SIYABONGA                     </t>
  </si>
  <si>
    <t xml:space="preserve">BRIDGESTONE FIRESTONE SA PTY L     </t>
  </si>
  <si>
    <t xml:space="preserve">mothobi                       </t>
  </si>
  <si>
    <t xml:space="preserve">DUPLEIX LIQUID METERS PTY LTD      </t>
  </si>
  <si>
    <t>Receing</t>
  </si>
  <si>
    <t>SIGANTURE</t>
  </si>
  <si>
    <t>POD received from cell 0766412100 M</t>
  </si>
  <si>
    <t>PRETO</t>
  </si>
  <si>
    <t>PRETORIA</t>
  </si>
  <si>
    <t xml:space="preserve">BEVCAN A DIV OF NAMPAK PRODUCT     </t>
  </si>
  <si>
    <t>judy</t>
  </si>
  <si>
    <t>POD received from cell 0729919507 M</t>
  </si>
  <si>
    <t xml:space="preserve">david                         </t>
  </si>
  <si>
    <t xml:space="preserve">POD received from cell 0844988662 M     </t>
  </si>
  <si>
    <t xml:space="preserve">CHAVDA FREIGHT PTY LTD             </t>
  </si>
  <si>
    <t>ABDURASHID DELIE</t>
  </si>
  <si>
    <t xml:space="preserve">A Gopal                       </t>
  </si>
  <si>
    <t xml:space="preserve">POD received from cell 0763378994 M     </t>
  </si>
  <si>
    <t xml:space="preserve">FOODCORP PTY LTD MILLING           </t>
  </si>
  <si>
    <t>ANDRIES KOZA</t>
  </si>
  <si>
    <t xml:space="preserve">qwen                          </t>
  </si>
  <si>
    <t xml:space="preserve">NUKOR (PTY) LTD                    </t>
  </si>
  <si>
    <t xml:space="preserve">Rachel                        </t>
  </si>
  <si>
    <t xml:space="preserve">POD received from cell 0827595505 M     </t>
  </si>
  <si>
    <t xml:space="preserve">shane                         </t>
  </si>
  <si>
    <t xml:space="preserve">POD received from cell 0606552064 M     </t>
  </si>
  <si>
    <t xml:space="preserve">FAIR PLASTICS PACKAGING            </t>
  </si>
  <si>
    <t>RECIEVING</t>
  </si>
  <si>
    <t>ryklief</t>
  </si>
  <si>
    <t>kim</t>
  </si>
  <si>
    <t>POD received from cell 0838564279 M</t>
  </si>
  <si>
    <t xml:space="preserve">S4 AUTOMATION (PTY) LTD            </t>
  </si>
  <si>
    <t>Dwain</t>
  </si>
  <si>
    <t>POD received from cell 0835101103 M</t>
  </si>
  <si>
    <t xml:space="preserve">ADCOCK INGRSM CRITICAL CARE PT     </t>
  </si>
  <si>
    <t>Alta Marais</t>
  </si>
  <si>
    <t xml:space="preserve">PHINDILE                      </t>
  </si>
  <si>
    <t xml:space="preserve">POD received from cell 0739633425 M     </t>
  </si>
  <si>
    <t xml:space="preserve">PARMALAT (PTY) LTD                 </t>
  </si>
  <si>
    <t>SCHALK LOEDOLFF</t>
  </si>
  <si>
    <t>Sherman</t>
  </si>
  <si>
    <t>POD received from cell 0761190287 M</t>
  </si>
  <si>
    <t xml:space="preserve">RCL FOODS SUGAR   MILLING          </t>
  </si>
  <si>
    <t>PATRICK NTULI</t>
  </si>
  <si>
    <t xml:space="preserve">martha                        </t>
  </si>
  <si>
    <t>VEREE</t>
  </si>
  <si>
    <t>VEREENIGING</t>
  </si>
  <si>
    <t xml:space="preserve">CENTURY   ELEGANCE JOINT VENTU     </t>
  </si>
  <si>
    <t xml:space="preserve">frederick                     </t>
  </si>
  <si>
    <t xml:space="preserve">POD received from cell 0825884890 M     </t>
  </si>
  <si>
    <t>SPRI3</t>
  </si>
  <si>
    <t>SPRINGS</t>
  </si>
  <si>
    <t xml:space="preserve">RESCUE TECHNOLOGY CC               </t>
  </si>
  <si>
    <t>STEWART</t>
  </si>
  <si>
    <t xml:space="preserve">S RABIE                       </t>
  </si>
  <si>
    <t xml:space="preserve">CHEMLINK SA (PTY) LTD              </t>
  </si>
  <si>
    <t>JEANDRE DREYER</t>
  </si>
  <si>
    <t xml:space="preserve">gail                          </t>
  </si>
  <si>
    <t xml:space="preserve">POD received from cell 0731292266 M     </t>
  </si>
  <si>
    <t xml:space="preserve">nandi                         </t>
  </si>
  <si>
    <t>DESPA</t>
  </si>
  <si>
    <t>DESPATCH</t>
  </si>
  <si>
    <t xml:space="preserve">DKT   PARTNERS                     </t>
  </si>
  <si>
    <t>Lerindia</t>
  </si>
  <si>
    <t xml:space="preserve">PAMODZI UNIQUE ENGINEERING         </t>
  </si>
  <si>
    <t>Mosebetsi</t>
  </si>
  <si>
    <t>TSE</t>
  </si>
  <si>
    <t>POD received from cell 0739524922 M</t>
  </si>
  <si>
    <t xml:space="preserve">AUTO INDUSTRIAL MACHINING          </t>
  </si>
  <si>
    <t>SIGNATURE</t>
  </si>
  <si>
    <t>POD received from cell 0837323487 M</t>
  </si>
  <si>
    <t>STANG</t>
  </si>
  <si>
    <t>STANGER</t>
  </si>
  <si>
    <t xml:space="preserve">SAPPI SA                           </t>
  </si>
  <si>
    <t>D pillay</t>
  </si>
  <si>
    <t>Outlying delivery location</t>
  </si>
  <si>
    <t>col</t>
  </si>
  <si>
    <t>POD received from cell 0634721965 M</t>
  </si>
  <si>
    <t>SASOL</t>
  </si>
  <si>
    <t>SASOLBURG</t>
  </si>
  <si>
    <t xml:space="preserve">HEINEKEN SOUTH AFRICA (PTY)LTD     </t>
  </si>
  <si>
    <t xml:space="preserve">EMMANUEL                      </t>
  </si>
  <si>
    <t>ISIPI</t>
  </si>
  <si>
    <t>ISIPINGO</t>
  </si>
  <si>
    <t xml:space="preserve">NON FERROUS METAL WORKS SA PTY     </t>
  </si>
  <si>
    <t>sandile</t>
  </si>
  <si>
    <t>POD received from cell 0794436878 M</t>
  </si>
  <si>
    <t xml:space="preserve">ALL ENGINEERING SERVICES CC        </t>
  </si>
  <si>
    <t>ALL ENGINEERING SERVICES CC</t>
  </si>
  <si>
    <t>POD received from cell 0736814363 M</t>
  </si>
  <si>
    <t xml:space="preserve">THE SOUTH AFRICAN BREWERIES LT     </t>
  </si>
  <si>
    <t>vish</t>
  </si>
  <si>
    <t>HAMME</t>
  </si>
  <si>
    <t>OLD HAMMARSDALE</t>
  </si>
  <si>
    <t xml:space="preserve">RCL FOODS CONSUMER (PTY) LTD       </t>
  </si>
  <si>
    <t xml:space="preserve">johnathan                     </t>
  </si>
  <si>
    <t xml:space="preserve">LINDE + WIEMANN (PTY) LTD          </t>
  </si>
  <si>
    <t>ON2</t>
  </si>
  <si>
    <t xml:space="preserve">Lawaai                        </t>
  </si>
  <si>
    <t xml:space="preserve">POD received from cell 0723415494 M     </t>
  </si>
  <si>
    <t>A PAULSEN</t>
  </si>
  <si>
    <t>PIET1</t>
  </si>
  <si>
    <t>PIETERMARITZBURG</t>
  </si>
  <si>
    <t xml:space="preserve">COMMUTER TRANSPORT ENGINEERING     </t>
  </si>
  <si>
    <t>RECIEVER</t>
  </si>
  <si>
    <t>bongiwe</t>
  </si>
  <si>
    <t>POD received from cell 0720159564 M</t>
  </si>
  <si>
    <t xml:space="preserve">MAVTECH                            </t>
  </si>
  <si>
    <t>NEO</t>
  </si>
  <si>
    <t xml:space="preserve">FERRERO SOUTH AFRICA (PTY) LTD     </t>
  </si>
  <si>
    <t xml:space="preserve">SECHABA                       </t>
  </si>
  <si>
    <t xml:space="preserve">MONDI LIMITED                      </t>
  </si>
  <si>
    <t>Gabriel</t>
  </si>
  <si>
    <t xml:space="preserve">BREWBEV                            </t>
  </si>
  <si>
    <t>CONSTANCE</t>
  </si>
  <si>
    <t>Lauren</t>
  </si>
  <si>
    <t xml:space="preserve">WILLOWTON OIL   CAKE MILLS         </t>
  </si>
  <si>
    <t>shahid</t>
  </si>
  <si>
    <t>POD received from cell 0732912108 M</t>
  </si>
  <si>
    <t xml:space="preserve">EVEREADY (PTY) LTD                 </t>
  </si>
  <si>
    <t>RAW MATERIALS (FACTORY)</t>
  </si>
  <si>
    <t>Zimro</t>
  </si>
  <si>
    <t>DELMA</t>
  </si>
  <si>
    <t>DELMAS</t>
  </si>
  <si>
    <t xml:space="preserve">MCCAIN FOOD SOUTH AFRICA PTY L     </t>
  </si>
  <si>
    <t>MCCAIN FOOD SOUTH AFRICA PTY L</t>
  </si>
  <si>
    <t>POD received from cell 0787268361 M</t>
  </si>
  <si>
    <t xml:space="preserve">KINETIC TECHNOLOGIES (PTY) L.T     </t>
  </si>
  <si>
    <t>POD received from cell 0730059234 M</t>
  </si>
  <si>
    <t>carristen</t>
  </si>
  <si>
    <t xml:space="preserve">DIGN ENGINEERING (PTY) LTD         </t>
  </si>
  <si>
    <t>illeg</t>
  </si>
  <si>
    <t xml:space="preserve">Slk Bolt And Nuts                  </t>
  </si>
  <si>
    <t>DAKUTA MUTARE</t>
  </si>
  <si>
    <t xml:space="preserve">MONDLE                        </t>
  </si>
  <si>
    <t xml:space="preserve">POD received from cell 0768934183 M     </t>
  </si>
  <si>
    <t xml:space="preserve">HYFLO SOUTHERN AFRICA (PTY) LT     </t>
  </si>
  <si>
    <t xml:space="preserve">R Marks                       </t>
  </si>
  <si>
    <t xml:space="preserve">PAILPRINT PTY LTD                  </t>
  </si>
  <si>
    <t>msa</t>
  </si>
  <si>
    <t>POD received from cell 0625063292 M</t>
  </si>
  <si>
    <t xml:space="preserve">ABI BOTTLING PTY LTD               </t>
  </si>
  <si>
    <t>SOLOMON CHUMA</t>
  </si>
  <si>
    <t xml:space="preserve">Tebogo                        </t>
  </si>
  <si>
    <t xml:space="preserve">POD received from cell 0737276972 M     </t>
  </si>
  <si>
    <t>RECIEVE</t>
  </si>
  <si>
    <t xml:space="preserve">AEL MINING SERVICES LIMITED        </t>
  </si>
  <si>
    <t>euegen</t>
  </si>
  <si>
    <t xml:space="preserve">GOSSAMER STRUCTURES CC             </t>
  </si>
  <si>
    <t>Janine</t>
  </si>
  <si>
    <t>POD received from cell 0781645066 M</t>
  </si>
  <si>
    <t xml:space="preserve">ALDOR AFRICA                       </t>
  </si>
  <si>
    <t>silas</t>
  </si>
  <si>
    <t>POD received from cell 0738446268 M</t>
  </si>
  <si>
    <t xml:space="preserve">FILTEC AUTOMATION PTY LTD          </t>
  </si>
  <si>
    <t>pooven</t>
  </si>
  <si>
    <t>PAARL</t>
  </si>
  <si>
    <t xml:space="preserve">DIVFOOD   NAMPAK                   </t>
  </si>
  <si>
    <t xml:space="preserve">wilma                         </t>
  </si>
  <si>
    <t xml:space="preserve">POD received from cell 0729460926 M     </t>
  </si>
  <si>
    <t xml:space="preserve">UNILIVER SA PTY LTD                </t>
  </si>
  <si>
    <t xml:space="preserve">eliasas                       </t>
  </si>
  <si>
    <t xml:space="preserve">POD received from cell 0732937434 M     </t>
  </si>
  <si>
    <t xml:space="preserve">PAIL PAC                           </t>
  </si>
  <si>
    <t xml:space="preserve">sthe                          </t>
  </si>
  <si>
    <t xml:space="preserve">POD received from cell 0837842726 M     </t>
  </si>
  <si>
    <t xml:space="preserve">UNILEVER SA PTY LTD                </t>
  </si>
  <si>
    <t>thobile</t>
  </si>
  <si>
    <t>POD received from cell 0620923972 M</t>
  </si>
  <si>
    <t xml:space="preserve">DAVID                         </t>
  </si>
  <si>
    <t xml:space="preserve">Eric                          </t>
  </si>
  <si>
    <t xml:space="preserve">MAINSTREET 1310                    </t>
  </si>
  <si>
    <t>RENSIA SCHOEMAN</t>
  </si>
  <si>
    <t>CAREL</t>
  </si>
  <si>
    <t xml:space="preserve">BAGTECH INTERNATIONAL PTY LTD      </t>
  </si>
  <si>
    <t>grant</t>
  </si>
  <si>
    <t>GEORG</t>
  </si>
  <si>
    <t>GEORGE</t>
  </si>
  <si>
    <t xml:space="preserve">DK COURIERS                        </t>
  </si>
  <si>
    <t>Nerina</t>
  </si>
  <si>
    <t>POD received from cell 0792881349 M</t>
  </si>
  <si>
    <t xml:space="preserve">PROMAX                             </t>
  </si>
  <si>
    <t>Yvonne</t>
  </si>
  <si>
    <t>mmd</t>
  </si>
  <si>
    <t>POD received from cell 0780245853 M</t>
  </si>
  <si>
    <t>RANDF</t>
  </si>
  <si>
    <t>RANDFONTEIN</t>
  </si>
  <si>
    <t xml:space="preserve">ALBANY BAKERY RANDFONTEIN          </t>
  </si>
  <si>
    <t>QUEEN</t>
  </si>
  <si>
    <t xml:space="preserve">HYFLO SA PTY LTD                   </t>
  </si>
  <si>
    <t>CAVALLE SMIT</t>
  </si>
  <si>
    <t>tahlo</t>
  </si>
  <si>
    <t>POD received from cell 0784585235 M</t>
  </si>
  <si>
    <t xml:space="preserve">NAMPAK LIQUID PACKAGING            </t>
  </si>
  <si>
    <t>satula</t>
  </si>
  <si>
    <t xml:space="preserve">ABI DIV OF SAB LTD                 </t>
  </si>
  <si>
    <t>michael</t>
  </si>
  <si>
    <t xml:space="preserve">HYDRAQUIP                          </t>
  </si>
  <si>
    <t>lerich</t>
  </si>
  <si>
    <t>POD received from cell 0729460926 M</t>
  </si>
  <si>
    <t xml:space="preserve">elias                         </t>
  </si>
  <si>
    <t>Bradley</t>
  </si>
  <si>
    <t xml:space="preserve">G.U.D. HOLDINGS (PTY) LTD          </t>
  </si>
  <si>
    <t>errol</t>
  </si>
  <si>
    <t xml:space="preserve">REITECH S.A.                       </t>
  </si>
  <si>
    <t>LIZ</t>
  </si>
  <si>
    <t xml:space="preserve">THE SIMBA GROUP PTY LTD            </t>
  </si>
  <si>
    <t>ABRAM AT ENGINEERING STORES</t>
  </si>
  <si>
    <t>DAVID</t>
  </si>
  <si>
    <t>VANDE</t>
  </si>
  <si>
    <t>VANDERBIJLPARK</t>
  </si>
  <si>
    <t xml:space="preserve">DIVFOOD A DIV OF NAMPAK PRODUC     </t>
  </si>
  <si>
    <t xml:space="preserve">ROBERT                        </t>
  </si>
  <si>
    <t xml:space="preserve">POD received from cell 0726258782 M     </t>
  </si>
  <si>
    <t xml:space="preserve">FILMATIC PACKAGING SYSTEM (PTY     </t>
  </si>
  <si>
    <t>Gary</t>
  </si>
  <si>
    <t xml:space="preserve">AL ZEHRI INVESTMENTS PTY LTD       </t>
  </si>
  <si>
    <t>jase</t>
  </si>
  <si>
    <t xml:space="preserve">BANDAG SOUHT AFRICA PTY LTD        </t>
  </si>
  <si>
    <t>JAN BOTES</t>
  </si>
  <si>
    <t>Elias</t>
  </si>
  <si>
    <t xml:space="preserve">CAVALETTO 98                       </t>
  </si>
  <si>
    <t xml:space="preserve">gerry                         </t>
  </si>
  <si>
    <t xml:space="preserve">POD received from cell 0823898478 M     </t>
  </si>
  <si>
    <t>LOUW</t>
  </si>
  <si>
    <t xml:space="preserve">CIM SYSTEMS                        </t>
  </si>
  <si>
    <t>Stacey</t>
  </si>
  <si>
    <t>POD received from cell 0607548207 M</t>
  </si>
  <si>
    <t xml:space="preserve">NAMPAK GLASS                       </t>
  </si>
  <si>
    <t>JAN VAN WYK</t>
  </si>
  <si>
    <t>samuel</t>
  </si>
  <si>
    <t>POD received from cell 0791927731 M</t>
  </si>
  <si>
    <t xml:space="preserve">MARCOM PLASTICS CC                 </t>
  </si>
  <si>
    <t>OFENTSE BODIGELO</t>
  </si>
  <si>
    <t>pietrenella</t>
  </si>
  <si>
    <t xml:space="preserve">PG BISON A DIV OF KAP DIVERSIF     </t>
  </si>
  <si>
    <t>hazel</t>
  </si>
  <si>
    <t>bem</t>
  </si>
  <si>
    <t>POD received from cell 0732937434 M</t>
  </si>
  <si>
    <t xml:space="preserve">EXCEL TOOLING                      </t>
  </si>
  <si>
    <t>Gwen</t>
  </si>
  <si>
    <t>LESEGO</t>
  </si>
  <si>
    <t xml:space="preserve">NR EXTREME ENGINEERING   PIPIN     </t>
  </si>
  <si>
    <t>RICHARD NILLIAH</t>
  </si>
  <si>
    <t xml:space="preserve">nichloas                      </t>
  </si>
  <si>
    <t xml:space="preserve">BME PACKAGING CC                   </t>
  </si>
  <si>
    <t>SARAH KGANYAGO</t>
  </si>
  <si>
    <t>SARAH</t>
  </si>
  <si>
    <t>garry</t>
  </si>
  <si>
    <t>UITEN</t>
  </si>
  <si>
    <t>UITENHAGE</t>
  </si>
  <si>
    <t xml:space="preserve">VOLKSWAGEN OF SA                   </t>
  </si>
  <si>
    <t>ashton</t>
  </si>
  <si>
    <t>POD received from cell 0833807574 M</t>
  </si>
  <si>
    <t xml:space="preserve">ARANDA TEXTILE MILLS (PTY) LTD     </t>
  </si>
  <si>
    <t>EMMANUEL</t>
  </si>
  <si>
    <t>Tahlo</t>
  </si>
  <si>
    <t>POD received from cell 0781742249 M</t>
  </si>
  <si>
    <t>Lerato</t>
  </si>
  <si>
    <t xml:space="preserve">TIGER CONSUMER BRANDS              </t>
  </si>
  <si>
    <t>CECIL</t>
  </si>
  <si>
    <t xml:space="preserve">TIGER CONSUMER BRANDS         </t>
  </si>
  <si>
    <t xml:space="preserve">POD received from cell 0814169974 M     </t>
  </si>
  <si>
    <t>KINGW</t>
  </si>
  <si>
    <t>KINGWILLIAMSTOWN</t>
  </si>
  <si>
    <t xml:space="preserve">Ndilisa                       </t>
  </si>
  <si>
    <t xml:space="preserve">POD received from cell 0787215898 M     </t>
  </si>
  <si>
    <t>UMTAT</t>
  </si>
  <si>
    <t>UMTATA</t>
  </si>
  <si>
    <t xml:space="preserve">PREMIER FMCG PTY LTD               </t>
  </si>
  <si>
    <t>nthetelo</t>
  </si>
  <si>
    <t>POD received from cell 0793258666 M</t>
  </si>
  <si>
    <t>MARTHA</t>
  </si>
  <si>
    <t xml:space="preserve">FESTO CPT                          </t>
  </si>
  <si>
    <t>HARDUS</t>
  </si>
  <si>
    <t>fardes</t>
  </si>
  <si>
    <t>CHA</t>
  </si>
  <si>
    <t xml:space="preserve"> david                        </t>
  </si>
  <si>
    <t>RANDB</t>
  </si>
  <si>
    <t>RANDBURG</t>
  </si>
  <si>
    <t xml:space="preserve">KRONES SA PTY LTD                  </t>
  </si>
  <si>
    <t>SHARETTE KEN</t>
  </si>
  <si>
    <t xml:space="preserve">LUCKY                         </t>
  </si>
  <si>
    <t xml:space="preserve">CSM ENGINEERING CC                 </t>
  </si>
  <si>
    <t>CHANTELLE</t>
  </si>
  <si>
    <t xml:space="preserve">BELGOTEX FLOORCOVERINGS PTY LT     </t>
  </si>
  <si>
    <t>rfes1162568931</t>
  </si>
  <si>
    <t>Client refused delivery</t>
  </si>
  <si>
    <t>ssn</t>
  </si>
  <si>
    <t>Returned to sender on waybill number RFE</t>
  </si>
  <si>
    <t xml:space="preserve">ARROW ALTECH DISTRIBUTION PTY      </t>
  </si>
  <si>
    <t xml:space="preserve">Johannes                      </t>
  </si>
  <si>
    <t xml:space="preserve">MINELOG SUPPLIES CC                </t>
  </si>
  <si>
    <t xml:space="preserve">sydney                        </t>
  </si>
  <si>
    <t>MATHA</t>
  </si>
  <si>
    <t xml:space="preserve">H. ROHLOFF                         </t>
  </si>
  <si>
    <t xml:space="preserve">SHENAN                        </t>
  </si>
  <si>
    <t xml:space="preserve">TONGAAT HULETT STARCH PTY LTD      </t>
  </si>
  <si>
    <t>DESMOND</t>
  </si>
  <si>
    <t>Esra</t>
  </si>
  <si>
    <t xml:space="preserve">KOOGAN PLASTICS                    </t>
  </si>
  <si>
    <t>Muhammed Ismail</t>
  </si>
  <si>
    <t>ALVINO</t>
  </si>
  <si>
    <t xml:space="preserve">GURTECH PTY LTD                    </t>
  </si>
  <si>
    <t>jp ackerman</t>
  </si>
  <si>
    <t>POD received from cell 0837930088 M</t>
  </si>
  <si>
    <t xml:space="preserve">FAMOUS BRANDS MANAGEMENT           </t>
  </si>
  <si>
    <t>PETROS MAKHANYA</t>
  </si>
  <si>
    <t>LISA</t>
  </si>
  <si>
    <t>POD received from cell 0607554453 M</t>
  </si>
  <si>
    <t xml:space="preserve">SMITHS MANUFACTURING PTY LTD       </t>
  </si>
  <si>
    <t>SECURITY</t>
  </si>
  <si>
    <t>rajen</t>
  </si>
  <si>
    <t xml:space="preserve">CW8 BRICKS                         </t>
  </si>
  <si>
    <t xml:space="preserve">Elsie                         </t>
  </si>
  <si>
    <t>GREYT</t>
  </si>
  <si>
    <t>GREYTOWN</t>
  </si>
  <si>
    <t xml:space="preserve">ILLOVO SUGAR LTD DALTON            </t>
  </si>
  <si>
    <t>Lindi</t>
  </si>
  <si>
    <t>POD received from cell 0720743631 M</t>
  </si>
  <si>
    <t xml:space="preserve">CULINARY A DIV OF TIGER CONSUM     </t>
  </si>
  <si>
    <t xml:space="preserve">morris                        </t>
  </si>
  <si>
    <t xml:space="preserve">GOODYEAR SOUTH AFRICA PTY LTD      </t>
  </si>
  <si>
    <t>zana</t>
  </si>
  <si>
    <t xml:space="preserve">PREMIER FMCG                       </t>
  </si>
  <si>
    <t>JABULANI MAKAMU</t>
  </si>
  <si>
    <t xml:space="preserve">Rene                          </t>
  </si>
  <si>
    <t xml:space="preserve">POD received from cell 0810382830 M     </t>
  </si>
  <si>
    <t xml:space="preserve">Richard                       </t>
  </si>
  <si>
    <t xml:space="preserve">ELEMENT SIX PRODUCTION             </t>
  </si>
  <si>
    <t xml:space="preserve">MBALI                         </t>
  </si>
  <si>
    <t>bbt</t>
  </si>
  <si>
    <t>MIDRA</t>
  </si>
  <si>
    <t>MIDRAND</t>
  </si>
  <si>
    <t xml:space="preserve">MULTI-WEIGH TECHNOLOGIES           </t>
  </si>
  <si>
    <t>ANTHONY</t>
  </si>
  <si>
    <t xml:space="preserve">DIGN ENGINEERING                   </t>
  </si>
  <si>
    <t>MARCEL@DESIGN</t>
  </si>
  <si>
    <t>Nickey</t>
  </si>
  <si>
    <t>POD received from cell 0836899932 M</t>
  </si>
  <si>
    <t>wilma</t>
  </si>
  <si>
    <t xml:space="preserve">MITAS CORPORATION (PTY)LTD         </t>
  </si>
  <si>
    <t xml:space="preserve">GIFT                          </t>
  </si>
  <si>
    <t>AMANZ</t>
  </si>
  <si>
    <t>AMANZIMTOTI</t>
  </si>
  <si>
    <t>RV Nzama</t>
  </si>
  <si>
    <t>POD received from cell 0717313860 M</t>
  </si>
  <si>
    <t xml:space="preserve">COCA - COLA FORTUNE (PTY) LTD      </t>
  </si>
  <si>
    <t>CARMON</t>
  </si>
  <si>
    <t xml:space="preserve">P. WILSON ELECTRICAL SUPPLIES      </t>
  </si>
  <si>
    <t>Jody</t>
  </si>
  <si>
    <t xml:space="preserve">Shane                         </t>
  </si>
  <si>
    <t xml:space="preserve">SASOL CHEMICALS SA                 </t>
  </si>
  <si>
    <t xml:space="preserve">john                          </t>
  </si>
  <si>
    <t xml:space="preserve">POD received from cell 0794722188 M     </t>
  </si>
  <si>
    <t xml:space="preserve">gwen                          </t>
  </si>
  <si>
    <t>nlg</t>
  </si>
  <si>
    <t xml:space="preserve">POD received from cell 0783894189 M     </t>
  </si>
  <si>
    <t>CULLI</t>
  </si>
  <si>
    <t>CULLINAN</t>
  </si>
  <si>
    <t xml:space="preserve">DALEIN AGRI PLAN PTY LTD           </t>
  </si>
  <si>
    <t>TREVOR</t>
  </si>
  <si>
    <t>teb</t>
  </si>
  <si>
    <t>RDX</t>
  </si>
  <si>
    <t xml:space="preserve">BASF SA PTY LTD                    </t>
  </si>
  <si>
    <t xml:space="preserve">Langley                       </t>
  </si>
  <si>
    <t xml:space="preserve">POD received from cell 0839805552 M     </t>
  </si>
  <si>
    <t xml:space="preserve">FOXOLUTION SYSTEMS                 </t>
  </si>
  <si>
    <t>PLEASE ASRRANGE COLLECTION FOR THABO.</t>
  </si>
  <si>
    <t>ROSHNI RODGERS</t>
  </si>
  <si>
    <t>MOSEBETSI</t>
  </si>
  <si>
    <t>preto</t>
  </si>
  <si>
    <t xml:space="preserve">UVIRCO TECHNOLOGIES                </t>
  </si>
  <si>
    <t xml:space="preserve">WILLIAM                       </t>
  </si>
  <si>
    <t xml:space="preserve">FORD MOTORING CO OF SA             </t>
  </si>
  <si>
    <t>ABRAHAM SEHLOLA</t>
  </si>
  <si>
    <t>ka moloto</t>
  </si>
  <si>
    <t>POD received from cell 0796132179 M</t>
  </si>
  <si>
    <t>esther</t>
  </si>
  <si>
    <t>POD received from cell 0648706692 M</t>
  </si>
  <si>
    <t xml:space="preserve">IRVIN   JOHNSON LTD                </t>
  </si>
  <si>
    <t>PREQUEL CONSULTING</t>
  </si>
  <si>
    <t>POD received from cell 0643505724 M</t>
  </si>
  <si>
    <t xml:space="preserve">VICTORY ELECTRICAL CC              </t>
  </si>
  <si>
    <t>n jasha</t>
  </si>
  <si>
    <t xml:space="preserve">TRAX INTERCONNECT                  </t>
  </si>
  <si>
    <t>PERFECT</t>
  </si>
  <si>
    <t>POD received from cell 0840143054 M</t>
  </si>
  <si>
    <t xml:space="preserve">PAARMAN FOODS (PTY) LTD            </t>
  </si>
  <si>
    <t xml:space="preserve">PLASTIC OMNIUM AUTO INERGY SA      </t>
  </si>
  <si>
    <t>anastacia</t>
  </si>
  <si>
    <t xml:space="preserve">ACT LOGISTICS                      </t>
  </si>
  <si>
    <t>Jamie</t>
  </si>
  <si>
    <t>POD received from cell 0763378994 M</t>
  </si>
  <si>
    <t xml:space="preserve">FLS TECHNICAL SERVICE              </t>
  </si>
  <si>
    <t>r camp</t>
  </si>
  <si>
    <t xml:space="preserve">TORRE AUTOMOTIVE (PTY) LTD         </t>
  </si>
  <si>
    <t>ROUX</t>
  </si>
  <si>
    <t>p johaar</t>
  </si>
  <si>
    <t xml:space="preserve">FLUID SYSTEMS                      </t>
  </si>
  <si>
    <t>DANIELLE TRUTER</t>
  </si>
  <si>
    <t>danielle</t>
  </si>
  <si>
    <t>POD received from cell 0625964993 M</t>
  </si>
  <si>
    <t>moloto</t>
  </si>
  <si>
    <t xml:space="preserve">EVRIGARD PTY LTD                   </t>
  </si>
  <si>
    <t>LEON GOVENDER</t>
  </si>
  <si>
    <t>Nontobeko</t>
  </si>
  <si>
    <t>POD received from cell 0795396044 M</t>
  </si>
  <si>
    <t xml:space="preserve">NATIONAL PACKAGING SYSTEMS         </t>
  </si>
  <si>
    <t>VERONICA</t>
  </si>
  <si>
    <t>G LUNDALL</t>
  </si>
  <si>
    <t>POD received from cell 0733966806 M</t>
  </si>
  <si>
    <t xml:space="preserve">GENERAL PNEUMATICS NATAL PTY L     </t>
  </si>
  <si>
    <t>ntokozo</t>
  </si>
  <si>
    <t xml:space="preserve">PIONEER FOODS (PTY) LTD            </t>
  </si>
  <si>
    <t>dayalan</t>
  </si>
  <si>
    <t>g G LUNDALL</t>
  </si>
  <si>
    <t xml:space="preserve">PAK 2000 (PTY) LTD                 </t>
  </si>
  <si>
    <t>SHAUN   ANDREW</t>
  </si>
  <si>
    <t>precious</t>
  </si>
  <si>
    <t>nicholas</t>
  </si>
  <si>
    <t>POD received from cell 0823898478 M</t>
  </si>
  <si>
    <t xml:space="preserve">CLIFFORD WELDING SYSTEMS PTY L     </t>
  </si>
  <si>
    <t xml:space="preserve">sthembiso                     </t>
  </si>
  <si>
    <t xml:space="preserve">POD received from cell 0720159564 M     </t>
  </si>
  <si>
    <t xml:space="preserve">GELVENOR CONSOLIDATED FABRICS      </t>
  </si>
  <si>
    <t>Nicholas</t>
  </si>
  <si>
    <t>HARRI</t>
  </si>
  <si>
    <t>HARRISMITH</t>
  </si>
  <si>
    <t xml:space="preserve">BUILD IT HARRISMITH                </t>
  </si>
  <si>
    <t xml:space="preserve">DANIEL                        </t>
  </si>
  <si>
    <t xml:space="preserve">POD received from cell 0787952305 M     </t>
  </si>
  <si>
    <t xml:space="preserve">MA CONSUME   MAITENANCE            </t>
  </si>
  <si>
    <t>FLOYD</t>
  </si>
  <si>
    <t xml:space="preserve">KINETIC TECHNOLOGIES               </t>
  </si>
  <si>
    <t xml:space="preserve">SPEC TOOL   DIE   GENERAL ENGI     </t>
  </si>
  <si>
    <t>Jarrett</t>
  </si>
  <si>
    <t xml:space="preserve">SITTIGS KWEKERY                    </t>
  </si>
  <si>
    <t>Werner</t>
  </si>
  <si>
    <t>POD received from cell 0735337322 M</t>
  </si>
  <si>
    <t xml:space="preserve">PRODUCTIVE SYSTEMS CC              </t>
  </si>
  <si>
    <t>Dudu</t>
  </si>
  <si>
    <t>POD received from cell 0726258782 M</t>
  </si>
  <si>
    <t>lawrence</t>
  </si>
  <si>
    <t xml:space="preserve">ACEPAK PACKAGING SYSTEMS           </t>
  </si>
  <si>
    <t>Thorne</t>
  </si>
  <si>
    <t xml:space="preserve">bongiwe                       </t>
  </si>
  <si>
    <t xml:space="preserve">LUCY                          </t>
  </si>
  <si>
    <t xml:space="preserve">POD received from cell 0766412100 M     </t>
  </si>
  <si>
    <t>VERUL</t>
  </si>
  <si>
    <t>VERULAM</t>
  </si>
  <si>
    <t xml:space="preserve">VENK PAC                           </t>
  </si>
  <si>
    <t>jameer</t>
  </si>
  <si>
    <t>POD received from cell 0845576141 M</t>
  </si>
  <si>
    <t>HOWIC</t>
  </si>
  <si>
    <t>HOWICK</t>
  </si>
  <si>
    <t xml:space="preserve">FAIRFIELD DAIRY PTY LTD            </t>
  </si>
  <si>
    <t>nonthandazo</t>
  </si>
  <si>
    <t>sipho</t>
  </si>
  <si>
    <t xml:space="preserve">CLARON ENGENEERING                 </t>
  </si>
  <si>
    <t>jimmy</t>
  </si>
  <si>
    <t>POD received from cell 0719806375 M</t>
  </si>
  <si>
    <t>KRUGE</t>
  </si>
  <si>
    <t>KRUGERSDORP</t>
  </si>
  <si>
    <t xml:space="preserve">KANSAI PLASCON KRUGERSDORP         </t>
  </si>
  <si>
    <t>zelda</t>
  </si>
  <si>
    <t>POD received from cell 0783924816 M</t>
  </si>
  <si>
    <t>charles</t>
  </si>
  <si>
    <t>POD received from cell 0844988662 M</t>
  </si>
  <si>
    <t xml:space="preserve">DISTELL                            </t>
  </si>
  <si>
    <t>TEBOGO</t>
  </si>
  <si>
    <t>rubzani</t>
  </si>
  <si>
    <t>POD received from cell 0837842726 M</t>
  </si>
  <si>
    <t xml:space="preserve">GUD Holdings (Pty) Ltd             </t>
  </si>
  <si>
    <t xml:space="preserve">signed                        </t>
  </si>
  <si>
    <t>D Pillay</t>
  </si>
  <si>
    <t xml:space="preserve">DALE SPIRAL SYSTEMS   BAKERY A     </t>
  </si>
  <si>
    <t>Receicing</t>
  </si>
  <si>
    <t>SIPHO</t>
  </si>
  <si>
    <t>elias</t>
  </si>
  <si>
    <t>HUMAN</t>
  </si>
  <si>
    <t>HUMANSDORP</t>
  </si>
  <si>
    <t xml:space="preserve">WOODLANDS RESOURCE RECOVERY PL     </t>
  </si>
  <si>
    <t xml:space="preserve">william                       </t>
  </si>
  <si>
    <t xml:space="preserve">POD received from cell 0792849435 M     </t>
  </si>
  <si>
    <t xml:space="preserve">LEDA ENGINEERING SERVICES CC       </t>
  </si>
  <si>
    <t>tramain</t>
  </si>
  <si>
    <t>POD received from cell 0824855674 M</t>
  </si>
  <si>
    <t xml:space="preserve">SANMIK AGENCIES CC                 </t>
  </si>
  <si>
    <t>Clive</t>
  </si>
  <si>
    <t xml:space="preserve">HULAMIN OPERATIONS PTY LTD         </t>
  </si>
  <si>
    <t>thami</t>
  </si>
  <si>
    <t>Ben Simba</t>
  </si>
  <si>
    <t xml:space="preserve">TDF PROJECTS   EQUIPMENT           </t>
  </si>
  <si>
    <t>sifiso</t>
  </si>
  <si>
    <t>MARGA</t>
  </si>
  <si>
    <t>MARGATE</t>
  </si>
  <si>
    <t xml:space="preserve">ALBANY BAKERIES A DIVISION OF      </t>
  </si>
  <si>
    <t>suz</t>
  </si>
  <si>
    <t>POD received from cell 0842385730 M</t>
  </si>
  <si>
    <t>Bruce</t>
  </si>
  <si>
    <t xml:space="preserve">DUNLOP BELTING PRODUCTS PTY LT     </t>
  </si>
  <si>
    <t>amanda</t>
  </si>
  <si>
    <t>Dane</t>
  </si>
  <si>
    <t xml:space="preserve">PNEUMATIC AID                      </t>
  </si>
  <si>
    <t>Audrey</t>
  </si>
  <si>
    <t>anand</t>
  </si>
  <si>
    <t>conrad</t>
  </si>
  <si>
    <t xml:space="preserve">PREMIER FMCG (PTY)LTD              </t>
  </si>
  <si>
    <t xml:space="preserve">SAPPI SA LTD                       </t>
  </si>
  <si>
    <t>D  pillay</t>
  </si>
  <si>
    <t xml:space="preserve">INDUSTRIAL PACKAGING MACHINERY     </t>
  </si>
  <si>
    <t>kriben</t>
  </si>
  <si>
    <t>POD received from cell 0648706753 M</t>
  </si>
  <si>
    <t xml:space="preserve">THE LION MATCH COMPANY (PTY)LT     </t>
  </si>
  <si>
    <t xml:space="preserve">Ellen                         </t>
  </si>
  <si>
    <t xml:space="preserve">POD received from cell 0834291999 M     </t>
  </si>
  <si>
    <t>thandi</t>
  </si>
  <si>
    <t>mark</t>
  </si>
  <si>
    <t xml:space="preserve">CORNING PRODUCTS                   </t>
  </si>
  <si>
    <t>T-Xew</t>
  </si>
  <si>
    <t xml:space="preserve">INDLOVU INSTRUMENTATION SUPPLI     </t>
  </si>
  <si>
    <t>bruintjies</t>
  </si>
  <si>
    <t>POD received from cell 0833656676 M</t>
  </si>
  <si>
    <t>CHARLES</t>
  </si>
  <si>
    <t xml:space="preserve">CONTROLELECTRIC - GARETH CC        </t>
  </si>
  <si>
    <t>rufus</t>
  </si>
  <si>
    <t>KOKI</t>
  </si>
  <si>
    <t>SANDT</t>
  </si>
  <si>
    <t>SANDTON</t>
  </si>
  <si>
    <t xml:space="preserve">PRIME INTERNATIONAL TRADING PT     </t>
  </si>
  <si>
    <t>E DELANEY</t>
  </si>
  <si>
    <t xml:space="preserve">DANONE SA PTY LTD                  </t>
  </si>
  <si>
    <t>A steyn</t>
  </si>
  <si>
    <t>POD received from cell 0762079486 M</t>
  </si>
  <si>
    <t>paul</t>
  </si>
  <si>
    <t>POD received from cell 0795593784 M</t>
  </si>
  <si>
    <t>Derrick</t>
  </si>
  <si>
    <t xml:space="preserve">T E M TOOLING CC                   </t>
  </si>
  <si>
    <t>Please arrange collection</t>
  </si>
  <si>
    <t>DANIEL FOURIE</t>
  </si>
  <si>
    <t>abram</t>
  </si>
  <si>
    <t xml:space="preserve">Gwen                          </t>
  </si>
  <si>
    <t xml:space="preserve">POD received from cell 0835101103 M     </t>
  </si>
  <si>
    <t>sthembiso</t>
  </si>
  <si>
    <t>BALF2</t>
  </si>
  <si>
    <t>BALFOUR (TVL)</t>
  </si>
  <si>
    <t xml:space="preserve">KARAN BEEF (PTY) LTD               </t>
  </si>
  <si>
    <t>SECHABA</t>
  </si>
  <si>
    <t>POD received from cell 0813616009 M</t>
  </si>
  <si>
    <t xml:space="preserve">ALPLAS PLASTIC                     </t>
  </si>
  <si>
    <t>Please arrange collection for Enoch.</t>
  </si>
  <si>
    <t>NEIL U / ILZE</t>
  </si>
  <si>
    <t>ROBBY</t>
  </si>
  <si>
    <t xml:space="preserve">KOBOT TECHNICAL SERVICES CC        </t>
  </si>
  <si>
    <t>lieda</t>
  </si>
  <si>
    <t xml:space="preserve">HOT PLATINUM                       </t>
  </si>
  <si>
    <t xml:space="preserve">anina                         </t>
  </si>
  <si>
    <t>YVONNE</t>
  </si>
  <si>
    <t>Nathanael</t>
  </si>
  <si>
    <t xml:space="preserve">CONSOL GLASS                       </t>
  </si>
  <si>
    <t xml:space="preserve">PHARMACARE LTD T A ASPEN           </t>
  </si>
  <si>
    <t xml:space="preserve">Derrick                       </t>
  </si>
  <si>
    <t xml:space="preserve">BOWLER PLASTICS (PTY) LTD          </t>
  </si>
  <si>
    <t>David</t>
  </si>
  <si>
    <t>liesl</t>
  </si>
  <si>
    <t xml:space="preserve">JOHN BEAN TECHNOLOGIES PTY LTD     </t>
  </si>
  <si>
    <t>WENDELL</t>
  </si>
  <si>
    <t>GUGU</t>
  </si>
  <si>
    <t>JUSTIN</t>
  </si>
  <si>
    <t xml:space="preserve">ERECH ROOS                         </t>
  </si>
  <si>
    <t>C Roos</t>
  </si>
  <si>
    <t xml:space="preserve">TFM INDUSTRIES PTY LTD             </t>
  </si>
  <si>
    <t>Martin</t>
  </si>
  <si>
    <t xml:space="preserve">INTAKA TECH PTY LTD                </t>
  </si>
  <si>
    <t>marcello</t>
  </si>
  <si>
    <t xml:space="preserve">IDWALA CARBONATES                  </t>
  </si>
  <si>
    <t>Nichdene R</t>
  </si>
  <si>
    <t>POD received from cell 0648706589 M</t>
  </si>
  <si>
    <t xml:space="preserve">POD received from cell 0717313860 M     </t>
  </si>
  <si>
    <t>LADYS</t>
  </si>
  <si>
    <t>LADYSMITH (NTL)</t>
  </si>
  <si>
    <t xml:space="preserve">LADYSMITH TRADING CO.              </t>
  </si>
  <si>
    <t>RIA</t>
  </si>
  <si>
    <t>POD received from cell 0832048163 M</t>
  </si>
  <si>
    <t>ATLAN</t>
  </si>
  <si>
    <t>ATLANTIS</t>
  </si>
  <si>
    <t xml:space="preserve">ATLANTIS FOUNDRY                   </t>
  </si>
  <si>
    <t>danny</t>
  </si>
  <si>
    <t>POD received from cell 0610882813 M</t>
  </si>
  <si>
    <t xml:space="preserve">POLYOAK PACKAGING (PTY) LTD        </t>
  </si>
  <si>
    <t xml:space="preserve">JANICE                        </t>
  </si>
  <si>
    <t>ngf</t>
  </si>
  <si>
    <t xml:space="preserve">POD received from cell 0840143054 M     </t>
  </si>
  <si>
    <t xml:space="preserve">Justin                        </t>
  </si>
  <si>
    <t xml:space="preserve">POD received from cell 0738058187 M     </t>
  </si>
  <si>
    <t xml:space="preserve">REPMA ENGINEERING PTY LTD          </t>
  </si>
  <si>
    <t>ROLAND</t>
  </si>
  <si>
    <t>Jason</t>
  </si>
  <si>
    <t>NATASHA</t>
  </si>
  <si>
    <t xml:space="preserve">LAFARGE INDUSTRIES SA              </t>
  </si>
  <si>
    <t>S KATZKE</t>
  </si>
  <si>
    <t>clement</t>
  </si>
  <si>
    <t>POD received from cell 0715524926 M</t>
  </si>
  <si>
    <t>NEBLON</t>
  </si>
  <si>
    <t xml:space="preserve">Gary                          </t>
  </si>
  <si>
    <t xml:space="preserve">STRIDENT ENGINEERING CC            </t>
  </si>
  <si>
    <t>Jonathan</t>
  </si>
  <si>
    <t>POD received from cell 0747633484 M</t>
  </si>
  <si>
    <t xml:space="preserve">PRODUCTIVE ENGINEERING CC          </t>
  </si>
  <si>
    <t xml:space="preserve">judy                          </t>
  </si>
  <si>
    <t xml:space="preserve">POD received from cell 0833807574 M     </t>
  </si>
  <si>
    <t xml:space="preserve">DISTELL LIMITED                    </t>
  </si>
  <si>
    <t>S Pamla</t>
  </si>
  <si>
    <t>ERIC</t>
  </si>
  <si>
    <t xml:space="preserve">TRANSNET ENGINEERING               </t>
  </si>
  <si>
    <t>GUGULETHU</t>
  </si>
  <si>
    <t>POD received from cell 0726813383 M</t>
  </si>
  <si>
    <t>domonic</t>
  </si>
  <si>
    <t xml:space="preserve">COCA COLA PENINSULA BEVERAGES      </t>
  </si>
  <si>
    <t>Bernie</t>
  </si>
  <si>
    <t xml:space="preserve">REEF CONSTRUCTION MACHINERY        </t>
  </si>
  <si>
    <t>patiswa</t>
  </si>
  <si>
    <t xml:space="preserve">NETAFIM SOUTH AFRICA PO BOX        </t>
  </si>
  <si>
    <t xml:space="preserve">DAS FOOD SYSTEMS PTY LTD           </t>
  </si>
  <si>
    <t>DAS FOOD SYSTEMS PTY LTD</t>
  </si>
  <si>
    <t xml:space="preserve">PROCONTROL INSTRUMENTATION CC      </t>
  </si>
  <si>
    <t>Irene</t>
  </si>
  <si>
    <t>POD received from cell 0786842042 M</t>
  </si>
  <si>
    <t xml:space="preserve">deyzel                        </t>
  </si>
  <si>
    <t xml:space="preserve">CONVEYALL NATAL CC                 </t>
  </si>
  <si>
    <t>s robson</t>
  </si>
  <si>
    <t xml:space="preserve">KIMBERLEY-CLARK S.A                </t>
  </si>
  <si>
    <t>ilse</t>
  </si>
  <si>
    <t>HENNE</t>
  </si>
  <si>
    <t>HENNENMAN</t>
  </si>
  <si>
    <t xml:space="preserve">TIGER CONSUMER BRANDS LTD          </t>
  </si>
  <si>
    <t>PLS SEND DIRECTLY TO CLIENT</t>
  </si>
  <si>
    <t xml:space="preserve">Ashley                        </t>
  </si>
  <si>
    <t xml:space="preserve">POD received from cell 0737539985 M     </t>
  </si>
  <si>
    <t>SELLO</t>
  </si>
  <si>
    <t>john</t>
  </si>
  <si>
    <t xml:space="preserve">Isabel                        </t>
  </si>
  <si>
    <t>f thorne</t>
  </si>
  <si>
    <t xml:space="preserve">TRANSNET ENGINEERING PTY LTD       </t>
  </si>
  <si>
    <t>WAREHOUSE MANAGER</t>
  </si>
  <si>
    <t>DUDU</t>
  </si>
  <si>
    <t>j louw</t>
  </si>
  <si>
    <t xml:space="preserve">BMG EAST LONDON                    </t>
  </si>
  <si>
    <t>SATURDAY DELIVERY</t>
  </si>
  <si>
    <t>DEREK STATON</t>
  </si>
  <si>
    <t>ALEX</t>
  </si>
  <si>
    <t>SAT</t>
  </si>
  <si>
    <t>turunor</t>
  </si>
  <si>
    <t xml:space="preserve">DORMAS                             </t>
  </si>
  <si>
    <t>LAWRENCE</t>
  </si>
  <si>
    <t>Nathan</t>
  </si>
  <si>
    <t xml:space="preserve">LEONARD DINGLER PTY LTD            </t>
  </si>
  <si>
    <t>absalom</t>
  </si>
  <si>
    <t xml:space="preserve">MERCEDES BENZ SOUTH AFRICA LIM     </t>
  </si>
  <si>
    <t>Vernon</t>
  </si>
  <si>
    <t xml:space="preserve">PIONEER FOODS GROCERIES            </t>
  </si>
  <si>
    <t>POD received from cell 0791194308 M</t>
  </si>
  <si>
    <t>STEL2</t>
  </si>
  <si>
    <t>STELLENBOSCH</t>
  </si>
  <si>
    <t xml:space="preserve">MEGANIESE EN MEGANIESE INGE        </t>
  </si>
  <si>
    <t>marisha</t>
  </si>
  <si>
    <t>POD received from cell 0785728050 M</t>
  </si>
  <si>
    <t>paulos</t>
  </si>
  <si>
    <t xml:space="preserve">HACKMACK ENTERPRISES               </t>
  </si>
  <si>
    <t xml:space="preserve">Afrika                        </t>
  </si>
  <si>
    <t xml:space="preserve">POD received from cell 0716163149 M     </t>
  </si>
  <si>
    <t>vinessan</t>
  </si>
  <si>
    <t>POD received from cell 0767999848 M</t>
  </si>
  <si>
    <t>FRANCINA</t>
  </si>
  <si>
    <t xml:space="preserve">PRESSURE DIE CASTINGS PTY LTD      </t>
  </si>
  <si>
    <t xml:space="preserve">akshay                        </t>
  </si>
  <si>
    <t xml:space="preserve">POD received from cell 0732912108 M     </t>
  </si>
  <si>
    <t>BRONK</t>
  </si>
  <si>
    <t>BRONKHORSTSPRUIT</t>
  </si>
  <si>
    <t xml:space="preserve">SASOL DYNO NOBEL PTY LTD           </t>
  </si>
  <si>
    <t>james</t>
  </si>
  <si>
    <t>POD received from cell 0630596429 M</t>
  </si>
  <si>
    <t>NIGEL</t>
  </si>
  <si>
    <t xml:space="preserve">MARLEY PIPE SYSTEMS SA PTY LTD     </t>
  </si>
  <si>
    <t>ELSA LENNOX</t>
  </si>
  <si>
    <t xml:space="preserve">GLORIA                        </t>
  </si>
  <si>
    <t>BOX</t>
  </si>
  <si>
    <t xml:space="preserve">TONGAAT HULLET STARCH (PTY) LT     </t>
  </si>
  <si>
    <t>n  dube</t>
  </si>
  <si>
    <t>POD received from cell 0731292266 M</t>
  </si>
  <si>
    <t xml:space="preserve">Ben                           </t>
  </si>
  <si>
    <t xml:space="preserve">POD received from cell 0739524922 M     </t>
  </si>
  <si>
    <t xml:space="preserve">KLT AUTOMATION   TUBLAR PRODUC     </t>
  </si>
  <si>
    <t>MASHIGO</t>
  </si>
  <si>
    <t>POD received from cell 0827463597 M</t>
  </si>
  <si>
    <t xml:space="preserve">QUEEN FOLI                    </t>
  </si>
  <si>
    <t xml:space="preserve">N.C.JIG   TOOL MNF (PTY)LTD        </t>
  </si>
  <si>
    <t>TANJA</t>
  </si>
  <si>
    <t>POD received from cell 0736347839 M</t>
  </si>
  <si>
    <t xml:space="preserve">RCL FOODCORP (PTY) LTD             </t>
  </si>
  <si>
    <t>SECURITY GATE</t>
  </si>
  <si>
    <t>LIABIUS</t>
  </si>
  <si>
    <t xml:space="preserve">AFGRI POULTRY                      </t>
  </si>
  <si>
    <t xml:space="preserve">CALSIBRICK                         </t>
  </si>
  <si>
    <t>Elsie</t>
  </si>
  <si>
    <t xml:space="preserve">ZIPCORD INDUSTRIES                 </t>
  </si>
  <si>
    <t>REX MAHLANGU</t>
  </si>
  <si>
    <t>Lood</t>
  </si>
  <si>
    <t>POD received from cell 0834755382 M</t>
  </si>
  <si>
    <t>HEID2</t>
  </si>
  <si>
    <t>HEIDELBERG (TVL)</t>
  </si>
  <si>
    <t xml:space="preserve">BRITISH AMERICAN TOBACCO SA (P     </t>
  </si>
  <si>
    <t>EPHRAIM</t>
  </si>
  <si>
    <t>mothobi</t>
  </si>
  <si>
    <t xml:space="preserve">AMKA PRODUCTS                      </t>
  </si>
  <si>
    <t>SHAM KHAI</t>
  </si>
  <si>
    <t>sho</t>
  </si>
  <si>
    <t xml:space="preserve">J MEYER ENGINEERING CC             </t>
  </si>
  <si>
    <t>Bert</t>
  </si>
  <si>
    <t>POD received from cell 0797726160 M</t>
  </si>
  <si>
    <t xml:space="preserve">LION MATCH PRODUCTS                </t>
  </si>
  <si>
    <t>FRAGILE OIL A</t>
  </si>
  <si>
    <t>shadrack</t>
  </si>
  <si>
    <t xml:space="preserve">BARNES REINFORCING INDUSTRIES      </t>
  </si>
  <si>
    <t>TANYA ROOS</t>
  </si>
  <si>
    <t>Lucas</t>
  </si>
  <si>
    <t>POD received from cell 0743145958 M</t>
  </si>
  <si>
    <t>JACOB</t>
  </si>
  <si>
    <t>SIG</t>
  </si>
  <si>
    <t xml:space="preserve">INSTRU-TECHNIQUE                   </t>
  </si>
  <si>
    <t>hendrick</t>
  </si>
  <si>
    <t xml:space="preserve">ETVAAL MEUBELVERVAARDIGERS         </t>
  </si>
  <si>
    <t>HENNIE</t>
  </si>
  <si>
    <t>rika</t>
  </si>
  <si>
    <t>PACEL</t>
  </si>
  <si>
    <t>RUSTE</t>
  </si>
  <si>
    <t>RUSTENBURG</t>
  </si>
  <si>
    <t xml:space="preserve">APPLE CONTROLS CC T  A APPLECO     </t>
  </si>
  <si>
    <t>RIENE</t>
  </si>
  <si>
    <t>JOH</t>
  </si>
  <si>
    <t xml:space="preserve">BMW ROSSLYN                        </t>
  </si>
  <si>
    <t xml:space="preserve">SUNBAKE BOERSTRA                   </t>
  </si>
  <si>
    <t>Freddy</t>
  </si>
  <si>
    <t>BOX BOX</t>
  </si>
  <si>
    <t>samson</t>
  </si>
  <si>
    <t>Consignee not available)</t>
  </si>
  <si>
    <t>GGS</t>
  </si>
  <si>
    <t xml:space="preserve">AGV MANAGEMENT                     </t>
  </si>
  <si>
    <t>Tinus</t>
  </si>
  <si>
    <t>POD received from cell 0735078103 M</t>
  </si>
  <si>
    <t>pieternella</t>
  </si>
  <si>
    <t xml:space="preserve">PRAGA TECHNICAL PTY LTD            </t>
  </si>
  <si>
    <t>andri</t>
  </si>
  <si>
    <t xml:space="preserve">MIGNON TOOLS   DIES CC             </t>
  </si>
  <si>
    <t>peiger</t>
  </si>
  <si>
    <t xml:space="preserve">T.R.W OCCUPANT RESTRIANT SYST      </t>
  </si>
  <si>
    <t>NOL</t>
  </si>
  <si>
    <t>heyns</t>
  </si>
  <si>
    <t xml:space="preserve">EGLI PRECISION ENGINEERING PTY     </t>
  </si>
  <si>
    <t>Thushni</t>
  </si>
  <si>
    <t xml:space="preserve">BURNSHIELD                         </t>
  </si>
  <si>
    <t>CAROLINE</t>
  </si>
  <si>
    <t>rma</t>
  </si>
  <si>
    <t xml:space="preserve">SNEAKER SNACKS CC                  </t>
  </si>
  <si>
    <t>philemon</t>
  </si>
  <si>
    <t>NATHAN</t>
  </si>
  <si>
    <t>NLG</t>
  </si>
  <si>
    <t xml:space="preserve">SMMF SOFTWARE TECHNOLOGIES         </t>
  </si>
  <si>
    <t xml:space="preserve">Nazeem                        </t>
  </si>
  <si>
    <t>CLINTON</t>
  </si>
  <si>
    <t xml:space="preserve">Clinton                       </t>
  </si>
  <si>
    <t xml:space="preserve">GRANROTH                           </t>
  </si>
  <si>
    <t>katia</t>
  </si>
  <si>
    <t>Rudi</t>
  </si>
  <si>
    <t>Hold for Collection</t>
  </si>
  <si>
    <t>POD received from cell 0813506176 M</t>
  </si>
  <si>
    <t xml:space="preserve">UNILEVER SOUTH AFRICA PTY LTD      </t>
  </si>
  <si>
    <t>malan</t>
  </si>
  <si>
    <t>thushni</t>
  </si>
  <si>
    <t xml:space="preserve">EBERSPACHER SOUTH AFRICA (PTY)     </t>
  </si>
  <si>
    <t>Split shipment</t>
  </si>
  <si>
    <t>UAT</t>
  </si>
  <si>
    <t xml:space="preserve">FESTO PLZ                          </t>
  </si>
  <si>
    <t>BARRY JANE</t>
  </si>
  <si>
    <t>j steyn</t>
  </si>
  <si>
    <t>POD received from cell 0745016150 M</t>
  </si>
  <si>
    <t xml:space="preserve">ATELIER SA PTY LTD                 </t>
  </si>
  <si>
    <t>yolanda</t>
  </si>
  <si>
    <t>Bad address</t>
  </si>
  <si>
    <t xml:space="preserve">JOHN MAFFAT PROLOCK C.C.           </t>
  </si>
  <si>
    <t>ARRENGE COLLECTION IS READY NOW CLOSING AT 15:00 REQUESTED BY (SANDRA)</t>
  </si>
  <si>
    <t>BAKKER</t>
  </si>
  <si>
    <t>ELLEN</t>
  </si>
  <si>
    <t xml:space="preserve">TONY                          </t>
  </si>
  <si>
    <t>POD received from cell 0820536959 M</t>
  </si>
  <si>
    <t>POD received from cell 0729460009 M</t>
  </si>
  <si>
    <t xml:space="preserve">DISTELL (PTY) LTD                  </t>
  </si>
  <si>
    <t>OIL</t>
  </si>
  <si>
    <t>Victor</t>
  </si>
  <si>
    <t>POD received from cell 0748410312 M</t>
  </si>
  <si>
    <t>POD received from cell 0823984226 M</t>
  </si>
  <si>
    <t xml:space="preserve">THEISEN ENGENEERING (PTY)LTD       </t>
  </si>
  <si>
    <t>ESCHUDENT</t>
  </si>
  <si>
    <t xml:space="preserve">MONIER ROOFING                     </t>
  </si>
  <si>
    <t>Please arrange collection for Milly</t>
  </si>
  <si>
    <t>MOFFAT NTULI</t>
  </si>
  <si>
    <t>F Roux</t>
  </si>
  <si>
    <t xml:space="preserve">CHILL BEVERAGES INTERNATIONAL      </t>
  </si>
  <si>
    <t>Frauline</t>
  </si>
  <si>
    <t>POD received from cell 0738726261 M</t>
  </si>
  <si>
    <t>suraja</t>
  </si>
  <si>
    <t xml:space="preserve">jandre                        </t>
  </si>
  <si>
    <t>Jarrad</t>
  </si>
  <si>
    <t xml:space="preserve">TENNECO EMISSION CONTROL           </t>
  </si>
  <si>
    <t>RECIVING</t>
  </si>
  <si>
    <t>Santony</t>
  </si>
  <si>
    <t xml:space="preserve">garry                         </t>
  </si>
  <si>
    <t>dominique</t>
  </si>
  <si>
    <t xml:space="preserve">FAIR CAPE DAIRIES (PTY) LTD        </t>
  </si>
  <si>
    <t>Bernard</t>
  </si>
  <si>
    <t xml:space="preserve">LE RICHE                      </t>
  </si>
  <si>
    <t xml:space="preserve">CONRO PRECISION                    </t>
  </si>
  <si>
    <t>quinton</t>
  </si>
  <si>
    <t xml:space="preserve">DB  ENGINEERING                    </t>
  </si>
  <si>
    <t xml:space="preserve">CEBO                          </t>
  </si>
  <si>
    <t>Morny</t>
  </si>
  <si>
    <t>PHALA</t>
  </si>
  <si>
    <t>PHALABORWA</t>
  </si>
  <si>
    <t xml:space="preserve">NORTHLITE ELECTRICAL WHOLESALE     </t>
  </si>
  <si>
    <t>SUE MAYN</t>
  </si>
  <si>
    <t>POD received from cell 0785331999 M</t>
  </si>
  <si>
    <t xml:space="preserve">FOXOLUTION SYSTEMS ENG CC          </t>
  </si>
  <si>
    <t>roshni</t>
  </si>
  <si>
    <t>POD received from cell 0792801527 M</t>
  </si>
  <si>
    <t xml:space="preserve">M   C BEARINGS   TRANSMISSION      </t>
  </si>
  <si>
    <t>ryan</t>
  </si>
  <si>
    <t>POD received from cell 0787128822 M</t>
  </si>
  <si>
    <t xml:space="preserve">AEROSUD AVIATION                   </t>
  </si>
  <si>
    <t>UNATHI</t>
  </si>
  <si>
    <t>POTCH</t>
  </si>
  <si>
    <t>POTCHEFSTROOM</t>
  </si>
  <si>
    <t xml:space="preserve">NATIONAL CERAMIC INDISTRIES        </t>
  </si>
  <si>
    <t>FRAGILE IOL</t>
  </si>
  <si>
    <t>MPHO</t>
  </si>
  <si>
    <t>BEN</t>
  </si>
  <si>
    <t xml:space="preserve">IMSOFER MANUFACTURING (PTY) LT     </t>
  </si>
  <si>
    <t>ANDRIES</t>
  </si>
  <si>
    <t>neo</t>
  </si>
  <si>
    <t xml:space="preserve">MICROMATH TRADING 168 CC           </t>
  </si>
  <si>
    <t xml:space="preserve">ERGO MINING                        </t>
  </si>
  <si>
    <t>MIKE</t>
  </si>
  <si>
    <t>let</t>
  </si>
  <si>
    <t xml:space="preserve">BUSINESS CONNEXION PTY LT          </t>
  </si>
  <si>
    <t>business con</t>
  </si>
  <si>
    <t>POD received from cell 063 M</t>
  </si>
  <si>
    <t xml:space="preserve">Bongiwe                       </t>
  </si>
  <si>
    <t xml:space="preserve">WILMAR CONTINENTAL EDIBLE OILS     </t>
  </si>
  <si>
    <t>CLEMENT</t>
  </si>
  <si>
    <t>CARISTA</t>
  </si>
  <si>
    <t>CARLE</t>
  </si>
  <si>
    <t>CARLETONVILLE</t>
  </si>
  <si>
    <t xml:space="preserve">SIBANYE GOLD ACADEMY (PTY)LTD      </t>
  </si>
  <si>
    <t xml:space="preserve">RAMSAY ENGINERRING (PTY)LTD        </t>
  </si>
  <si>
    <t>J CLASSEN</t>
  </si>
  <si>
    <t xml:space="preserve">COCA COLA CANNERS OF SA            </t>
  </si>
  <si>
    <t>dee</t>
  </si>
  <si>
    <t>POD received from cell 0729204058 M</t>
  </si>
  <si>
    <t>moses</t>
  </si>
  <si>
    <t xml:space="preserve">carristen                     </t>
  </si>
  <si>
    <t>Richard</t>
  </si>
  <si>
    <t xml:space="preserve">RAND REFINERY                      </t>
  </si>
  <si>
    <t xml:space="preserve">BONGANI                       </t>
  </si>
  <si>
    <t xml:space="preserve">NECSA                              </t>
  </si>
  <si>
    <t>Abel</t>
  </si>
  <si>
    <t>tebogo</t>
  </si>
  <si>
    <t xml:space="preserve">PRIDE MILLING CO PTY LTD           </t>
  </si>
  <si>
    <t>L  DARKER</t>
  </si>
  <si>
    <t>PASRCEL</t>
  </si>
  <si>
    <t xml:space="preserve">SPRAYMATE CC                       </t>
  </si>
  <si>
    <t>Zelma</t>
  </si>
  <si>
    <t>THERESA</t>
  </si>
  <si>
    <t xml:space="preserve">OPEN DOOR TRADERS CC               </t>
  </si>
  <si>
    <t>zahid</t>
  </si>
  <si>
    <t xml:space="preserve">ROBOTIC INNOVATIONS PTY            </t>
  </si>
  <si>
    <t>RICK</t>
  </si>
  <si>
    <t>PIETERNELLA</t>
  </si>
  <si>
    <t xml:space="preserve">WILLISTON ELIN                     </t>
  </si>
  <si>
    <t>Stevens</t>
  </si>
  <si>
    <t>BEM</t>
  </si>
  <si>
    <t>POD received from cell 0603703466 M</t>
  </si>
  <si>
    <t xml:space="preserve">HARVARD PROJECTS                   </t>
  </si>
  <si>
    <t>shreen</t>
  </si>
  <si>
    <t>POD received from cell 0725155508 M</t>
  </si>
  <si>
    <t>ANLIA OLIVIER</t>
  </si>
  <si>
    <t>OFENTSE</t>
  </si>
  <si>
    <t xml:space="preserve">Yvonne                        </t>
  </si>
  <si>
    <t xml:space="preserve">POD received from cell 0780245853 M     </t>
  </si>
  <si>
    <t xml:space="preserve">PRETORIA METAL PRESSINGS           </t>
  </si>
  <si>
    <t>joyce</t>
  </si>
  <si>
    <t xml:space="preserve">GLOBAL TOOLS   INDUSTRIAL SUPP     </t>
  </si>
  <si>
    <t>Basil</t>
  </si>
  <si>
    <t>POD received from cell 0847650130 M</t>
  </si>
  <si>
    <t>JERRY</t>
  </si>
  <si>
    <t xml:space="preserve">ESTHER                        </t>
  </si>
  <si>
    <t xml:space="preserve">MA AUTOMOTIVE TOOL   DIE           </t>
  </si>
  <si>
    <t>AARON</t>
  </si>
  <si>
    <t xml:space="preserve">DIYA VALVES INTERNATIONALS CC      </t>
  </si>
  <si>
    <t>niren</t>
  </si>
  <si>
    <t>POD received from cell 0782274968 M</t>
  </si>
  <si>
    <t>CLIVE BILLOWES</t>
  </si>
  <si>
    <t>Business Connexion Pty Lt</t>
  </si>
  <si>
    <t>F WAGES</t>
  </si>
  <si>
    <t>Returned to sender on waybill</t>
  </si>
  <si>
    <t xml:space="preserve">UNILEVER ANDERBOLT HOMECARE LI     </t>
  </si>
  <si>
    <t>david</t>
  </si>
  <si>
    <t xml:space="preserve">MULTOTEC MANUFACTURING             </t>
  </si>
  <si>
    <t xml:space="preserve">muriel                        </t>
  </si>
  <si>
    <t xml:space="preserve">POD received from cell 0739448817 M     </t>
  </si>
  <si>
    <t>VUS</t>
  </si>
  <si>
    <t>vusi</t>
  </si>
  <si>
    <t xml:space="preserve">SMEI PROJECT (PTY)LTD              </t>
  </si>
  <si>
    <t xml:space="preserve">FELICIA                       </t>
  </si>
  <si>
    <t>JAHANNES</t>
  </si>
  <si>
    <t>ABDUL GOOSEIN</t>
  </si>
  <si>
    <t>Nomavuyo</t>
  </si>
  <si>
    <t>POD received from cell 0721398845 M</t>
  </si>
  <si>
    <t>SPARCEL JPARCLE SPARCEL JPARCLE</t>
  </si>
  <si>
    <t>SICELO</t>
  </si>
  <si>
    <t>PARCEL PARCEL PARCEL PARCEL</t>
  </si>
  <si>
    <t xml:space="preserve">RCL FOODS CONSUMER PTY             </t>
  </si>
  <si>
    <t>kabanyano</t>
  </si>
  <si>
    <t>POD received from cell 0723786860 M</t>
  </si>
  <si>
    <t xml:space="preserve">MUDI APPLIEDTECHNOLOGY             </t>
  </si>
  <si>
    <t>DAN VON BARGEN</t>
  </si>
  <si>
    <t>delvin</t>
  </si>
  <si>
    <t>BURG1</t>
  </si>
  <si>
    <t>BURGERSFORT</t>
  </si>
  <si>
    <t xml:space="preserve">SAMANCOR CHROME LTD                </t>
  </si>
  <si>
    <t>?</t>
  </si>
  <si>
    <t xml:space="preserve">phophi                        </t>
  </si>
  <si>
    <t>BENON</t>
  </si>
  <si>
    <t>BENONI</t>
  </si>
  <si>
    <t xml:space="preserve">NEF ENGINEERING (PTY) L.T.D        </t>
  </si>
  <si>
    <t xml:space="preserve">SIGNED                        </t>
  </si>
  <si>
    <t xml:space="preserve">POD received from cell 0797608190 M     </t>
  </si>
  <si>
    <t>marlon</t>
  </si>
  <si>
    <t>GARTH</t>
  </si>
  <si>
    <t>Chris</t>
  </si>
  <si>
    <t xml:space="preserve">SCHAEFFLER SOUTH AFRICA            </t>
  </si>
  <si>
    <t>aviwe</t>
  </si>
  <si>
    <t xml:space="preserve">ACTISOL CC T A EX-ES GENERAL       </t>
  </si>
  <si>
    <t>Priest</t>
  </si>
  <si>
    <t xml:space="preserve">PIONEER FOODS                      </t>
  </si>
  <si>
    <t>Nigel</t>
  </si>
  <si>
    <t>JAYSON PILLAY</t>
  </si>
  <si>
    <t>POD received from cell 0768370739 M</t>
  </si>
  <si>
    <t>Sandisile</t>
  </si>
  <si>
    <t xml:space="preserve">PIONEER FOODS GROCERIES (PTY)L     </t>
  </si>
  <si>
    <t>matshola</t>
  </si>
  <si>
    <t>SOME1</t>
  </si>
  <si>
    <t>SOMERSET EAST</t>
  </si>
  <si>
    <t xml:space="preserve">P.J.ENGINEERING                    </t>
  </si>
  <si>
    <t>a witbooi</t>
  </si>
  <si>
    <t xml:space="preserve">TOYOTA SA MOTORS                   </t>
  </si>
  <si>
    <t>Randy</t>
  </si>
  <si>
    <t>SANET</t>
  </si>
  <si>
    <t>cannon</t>
  </si>
  <si>
    <t>ALBE2</t>
  </si>
  <si>
    <t>ALBERTON</t>
  </si>
  <si>
    <t xml:space="preserve">UMOYA AUTOMATION CC                </t>
  </si>
  <si>
    <t>SASH</t>
  </si>
  <si>
    <t xml:space="preserve">FESTO PRETORIA                     </t>
  </si>
  <si>
    <t>Receiving(Christo Botha )</t>
  </si>
  <si>
    <t>eddie</t>
  </si>
  <si>
    <t>SOLLY</t>
  </si>
  <si>
    <t>Brandin</t>
  </si>
  <si>
    <t>POD received from cell 0827595505 M</t>
  </si>
  <si>
    <t>TONGA</t>
  </si>
  <si>
    <t>TONGAAT</t>
  </si>
  <si>
    <t xml:space="preserve">MARLEY SA PTY LTD                  </t>
  </si>
  <si>
    <t>montly</t>
  </si>
  <si>
    <t>sydney</t>
  </si>
  <si>
    <t xml:space="preserve">LADYSMITH TRADING CO          </t>
  </si>
  <si>
    <t xml:space="preserve">POD received from cell 0832048163 M     </t>
  </si>
  <si>
    <t>JOHANNES NGWENYA</t>
  </si>
  <si>
    <t>Thembi</t>
  </si>
  <si>
    <t>POD received from cell 0795547131 M</t>
  </si>
  <si>
    <t>MDU</t>
  </si>
  <si>
    <t xml:space="preserve">VENTURE DIVERSIFIED PRODUCTS       </t>
  </si>
  <si>
    <t>Kurt</t>
  </si>
  <si>
    <t xml:space="preserve">TI GROUP AUTOMOTIVE SYSTEMS (P     </t>
  </si>
  <si>
    <t>Claudia</t>
  </si>
  <si>
    <t>CONNON</t>
  </si>
  <si>
    <t xml:space="preserve">SPERO SENSORS   INSTRUMENTS PT     </t>
  </si>
  <si>
    <t>nico</t>
  </si>
  <si>
    <t xml:space="preserve">SURTEES RAILWAY SUPPLY (PRY)LT     </t>
  </si>
  <si>
    <t>gabby</t>
  </si>
  <si>
    <t xml:space="preserve">BANDINI CHEESE PTY LTD             </t>
  </si>
  <si>
    <t>SEAN EDMORDS</t>
  </si>
  <si>
    <t>POD received from cell 0633672030 M</t>
  </si>
  <si>
    <t>Z Cele</t>
  </si>
  <si>
    <t>QUEENSTOWN</t>
  </si>
  <si>
    <t xml:space="preserve">TWIZZA CC                          </t>
  </si>
  <si>
    <t>N EDWARDS</t>
  </si>
  <si>
    <t xml:space="preserve">MERCEDES - BENZ S.A LIMITED        </t>
  </si>
  <si>
    <t xml:space="preserve">Lyntasha                      </t>
  </si>
  <si>
    <t xml:space="preserve">PRECISION METAL PRODUCTS           </t>
  </si>
  <si>
    <t>dhya</t>
  </si>
  <si>
    <t xml:space="preserve">BIO CAPSULE PHARMACEUTICALS        </t>
  </si>
  <si>
    <t>Chris Gooding</t>
  </si>
  <si>
    <t>JADE</t>
  </si>
  <si>
    <t>MERVIN LETCHMAN</t>
  </si>
  <si>
    <t>ALPHEUS</t>
  </si>
  <si>
    <t xml:space="preserve">COMPRESSED AIR EQUIPMENT           </t>
  </si>
  <si>
    <t>DEEZ</t>
  </si>
  <si>
    <t>LETICIA   BRYAN</t>
  </si>
  <si>
    <t>Nazeem</t>
  </si>
  <si>
    <t xml:space="preserve">BOYSEN EXHAUST TECHNOLOGY RSA      </t>
  </si>
  <si>
    <t xml:space="preserve">Sikho                         </t>
  </si>
  <si>
    <t xml:space="preserve">FUSE - A - TRON CC                 </t>
  </si>
  <si>
    <t>ROBIN</t>
  </si>
  <si>
    <t>s cele</t>
  </si>
  <si>
    <t>Matthew Orchard</t>
  </si>
  <si>
    <t>zethu</t>
  </si>
  <si>
    <t>POD received from cell 0731123851 M</t>
  </si>
  <si>
    <t>KEVIN</t>
  </si>
  <si>
    <t>Wayne</t>
  </si>
  <si>
    <t>POD received from cell 0739448817 M</t>
  </si>
  <si>
    <t>justice</t>
  </si>
  <si>
    <t xml:space="preserve">CHET CHEMICALS A DIV OF            </t>
  </si>
  <si>
    <t>mawnini</t>
  </si>
  <si>
    <t>shaun</t>
  </si>
  <si>
    <t xml:space="preserve">TICKET   TAGS CC                   </t>
  </si>
  <si>
    <t>ANTHEA</t>
  </si>
  <si>
    <t>POD received from cell 0768934183 M</t>
  </si>
  <si>
    <t xml:space="preserve">TECHNICRETE ISG                    </t>
  </si>
  <si>
    <t xml:space="preserve">Anthea                        </t>
  </si>
  <si>
    <t>Bandile</t>
  </si>
  <si>
    <t xml:space="preserve">PAARL MEDIA                        </t>
  </si>
  <si>
    <t>ANDERSON</t>
  </si>
  <si>
    <t xml:space="preserve">NAMPAK CLOSURES                    </t>
  </si>
  <si>
    <t xml:space="preserve">SUNBAKE BENONI                     </t>
  </si>
  <si>
    <t>January</t>
  </si>
  <si>
    <t>POD received from cell 0720332597 M</t>
  </si>
  <si>
    <t xml:space="preserve">FUEL INDUSTRY SERVICES PTY LTD     </t>
  </si>
  <si>
    <t xml:space="preserve">G Ermer                       </t>
  </si>
  <si>
    <t xml:space="preserve">POD received from cell 0824855674 M     </t>
  </si>
  <si>
    <t xml:space="preserve">QUALIPAK (PTY) LTD                 </t>
  </si>
  <si>
    <t xml:space="preserve">francwa                       </t>
  </si>
  <si>
    <t>Z CELE</t>
  </si>
  <si>
    <t xml:space="preserve">JOYA BRANDS PTY LTD                </t>
  </si>
  <si>
    <t>ielhaam</t>
  </si>
  <si>
    <t>cha</t>
  </si>
  <si>
    <t xml:space="preserve">MARIO                         </t>
  </si>
  <si>
    <t>SHIREEN</t>
  </si>
  <si>
    <t xml:space="preserve">PHOPHI                        </t>
  </si>
  <si>
    <t>k a moloto</t>
  </si>
  <si>
    <t xml:space="preserve">TOYOTA                             </t>
  </si>
  <si>
    <t xml:space="preserve">CSIR PRETORIA                      </t>
  </si>
  <si>
    <t>STORES</t>
  </si>
  <si>
    <t xml:space="preserve">POD received from cell 0736814363 M     </t>
  </si>
  <si>
    <t xml:space="preserve">M Botha                       </t>
  </si>
  <si>
    <t xml:space="preserve">POD received from cell 0643505724 M     </t>
  </si>
  <si>
    <t xml:space="preserve">CAPE OIL AND MARGRAINE             </t>
  </si>
  <si>
    <t>adilian</t>
  </si>
  <si>
    <t>solly</t>
  </si>
  <si>
    <t>LADYSMITH TRADING CO</t>
  </si>
  <si>
    <t xml:space="preserve">JOD-PROCUREMENT                    </t>
  </si>
  <si>
    <t>Conrad</t>
  </si>
  <si>
    <t xml:space="preserve">MILL TECHNICAL SERVICE             </t>
  </si>
  <si>
    <t>steven</t>
  </si>
  <si>
    <t>POD received from cell 0765047659 M</t>
  </si>
  <si>
    <t>thanda gumede</t>
  </si>
  <si>
    <t>Receiving(Jane Erasmus)</t>
  </si>
  <si>
    <t>patrick</t>
  </si>
  <si>
    <t>CARL</t>
  </si>
  <si>
    <t>Moses</t>
  </si>
  <si>
    <t>LOOTIE VERMELULEN</t>
  </si>
  <si>
    <t>andre</t>
  </si>
  <si>
    <t xml:space="preserve">ALBANY BAKERIES                    </t>
  </si>
  <si>
    <t>ANDRIES WILTZ</t>
  </si>
  <si>
    <t>andries</t>
  </si>
  <si>
    <t xml:space="preserve">ANDERSON ENGINEERING               </t>
  </si>
  <si>
    <t>ROMANO</t>
  </si>
  <si>
    <t>rejoice</t>
  </si>
  <si>
    <t xml:space="preserve">FUCHS ELECTRONICS                  </t>
  </si>
  <si>
    <t>Azwindini</t>
  </si>
  <si>
    <t xml:space="preserve">tramain                       </t>
  </si>
  <si>
    <t xml:space="preserve">RHODES FOOD GROUP                  </t>
  </si>
  <si>
    <t xml:space="preserve">avishkar                      </t>
  </si>
  <si>
    <t xml:space="preserve">POD received from cell 0763492871 M     </t>
  </si>
  <si>
    <t xml:space="preserve">B.T. ENTERPRISES                   </t>
  </si>
  <si>
    <t>B T  ENTERPRISES</t>
  </si>
  <si>
    <t>POD received from cell 0739633425 M</t>
  </si>
  <si>
    <t xml:space="preserve">FESTO DUR OFFICE                   </t>
  </si>
  <si>
    <t>KARAN</t>
  </si>
  <si>
    <t>a paulse</t>
  </si>
  <si>
    <t xml:space="preserve">J F EQUIPMENT                      </t>
  </si>
  <si>
    <t>SIGNED</t>
  </si>
  <si>
    <t>ALLAIN</t>
  </si>
  <si>
    <t xml:space="preserve">BORBET SA (PTY) LTD                </t>
  </si>
  <si>
    <t>Adrian</t>
  </si>
  <si>
    <t xml:space="preserve">GENERAL PROFILING                  </t>
  </si>
  <si>
    <t>Billy</t>
  </si>
  <si>
    <t>POD received from cell 0834291999 M</t>
  </si>
  <si>
    <t xml:space="preserve">T M ENGENEERING                    </t>
  </si>
  <si>
    <t>POD received from cell 0769347056 M</t>
  </si>
  <si>
    <t>Charles</t>
  </si>
  <si>
    <t xml:space="preserve">ILLOVO SUGAR LTD                   </t>
  </si>
  <si>
    <t xml:space="preserve">Nelson                        </t>
  </si>
  <si>
    <t>Afrika</t>
  </si>
  <si>
    <t>POD received from cell 0716163149 M</t>
  </si>
  <si>
    <t xml:space="preserve">MEGA - PAK                         </t>
  </si>
  <si>
    <t>bukeka</t>
  </si>
  <si>
    <t xml:space="preserve">RCL FOODS CONSUMER BEVERAGES       </t>
  </si>
  <si>
    <t>GERHARD VLOK</t>
  </si>
  <si>
    <t>CHRIS</t>
  </si>
  <si>
    <t xml:space="preserve">nonthandzo                    </t>
  </si>
  <si>
    <t xml:space="preserve">POD received from cell 0837930088 M     </t>
  </si>
  <si>
    <t xml:space="preserve">POLYOAK PACKAGING (PTY)L.T.D       </t>
  </si>
  <si>
    <t>sithembiso</t>
  </si>
  <si>
    <t>SAMUKELISIWE KOENAITE</t>
  </si>
  <si>
    <t>louw</t>
  </si>
  <si>
    <t xml:space="preserve">THE HYDRAULIC CONNECTION           </t>
  </si>
  <si>
    <t>SABELO</t>
  </si>
  <si>
    <t>MTM</t>
  </si>
  <si>
    <t>carl</t>
  </si>
  <si>
    <t xml:space="preserve">DONN PRODUCTS (PTY) LTD            </t>
  </si>
  <si>
    <t>LORNA</t>
  </si>
  <si>
    <t>L Roy</t>
  </si>
  <si>
    <t xml:space="preserve">NATURES GARDEN                     </t>
  </si>
  <si>
    <t>ZURINA ENGELBRECHT</t>
  </si>
  <si>
    <t>Herman</t>
  </si>
  <si>
    <t xml:space="preserve">S.A. ASTRONOMICAL OBSERVATORY      </t>
  </si>
  <si>
    <t>POD received from cell 0843503843 M</t>
  </si>
  <si>
    <t xml:space="preserve">SKYNET SOUTH AFRICA (PTY)L.T.D     </t>
  </si>
  <si>
    <t>NERAN</t>
  </si>
  <si>
    <t>LORMBARD MOKGABUDI</t>
  </si>
  <si>
    <t>MARIETJIE</t>
  </si>
  <si>
    <t>FUE / INS</t>
  </si>
  <si>
    <t xml:space="preserve">SIMBA-ATT:LANS                     </t>
  </si>
  <si>
    <t>VERY URGENT</t>
  </si>
  <si>
    <t>dawn</t>
  </si>
  <si>
    <t>DSD / FUE</t>
  </si>
  <si>
    <t xml:space="preserve">BEIER SAFETY FOOWEAR               </t>
  </si>
  <si>
    <t>GOODMAN</t>
  </si>
  <si>
    <t>Theo</t>
  </si>
  <si>
    <t xml:space="preserve">BERMAR HYDRAULICS                  </t>
  </si>
  <si>
    <t>a</t>
  </si>
  <si>
    <t xml:space="preserve">ITAU MILLING (PTY)LTD              </t>
  </si>
  <si>
    <t>MONICA</t>
  </si>
  <si>
    <t>tho</t>
  </si>
  <si>
    <t xml:space="preserve">H.G MOLENAAR (PTY) LTD             </t>
  </si>
  <si>
    <t>N PERLATO</t>
  </si>
  <si>
    <t xml:space="preserve">TRUDA SNACKS                       </t>
  </si>
  <si>
    <t>lester</t>
  </si>
  <si>
    <t xml:space="preserve">FIRST NATIONAL BATTERY             </t>
  </si>
  <si>
    <t>Masi</t>
  </si>
  <si>
    <t>POD received from cell 0723415494 M</t>
  </si>
  <si>
    <t xml:space="preserve">zaza                          </t>
  </si>
  <si>
    <t xml:space="preserve">MACADAMS INTERNATIONAL PTY LTD     </t>
  </si>
  <si>
    <t xml:space="preserve">bongani                       </t>
  </si>
  <si>
    <t xml:space="preserve">POD received from cell 0761190287 M     </t>
  </si>
  <si>
    <t>THOMAS</t>
  </si>
  <si>
    <t>MAR</t>
  </si>
  <si>
    <t>POD received from cell 0787952305 M</t>
  </si>
  <si>
    <t>HEILB</t>
  </si>
  <si>
    <t>HEILBRON</t>
  </si>
  <si>
    <t xml:space="preserve">PAKWORKS (PTY) LTD                 </t>
  </si>
  <si>
    <t>Theuns Botha</t>
  </si>
  <si>
    <t>CHANTELLE BENADE</t>
  </si>
  <si>
    <t xml:space="preserve">chentelle                     </t>
  </si>
  <si>
    <t xml:space="preserve">WOODLANDS DAIRY PTY LTD            </t>
  </si>
  <si>
    <t>WILLIAM</t>
  </si>
  <si>
    <t xml:space="preserve">BON ACCORD AFRICA FREIGHT          </t>
  </si>
  <si>
    <t>Wendy</t>
  </si>
  <si>
    <t>wunpf10033642</t>
  </si>
  <si>
    <t xml:space="preserve">ABERDARE CABLES (PTY) LTD          </t>
  </si>
  <si>
    <t>G Molefe</t>
  </si>
  <si>
    <t>POD received from cell 0810382830 M</t>
  </si>
  <si>
    <t>ANDIL</t>
  </si>
  <si>
    <t xml:space="preserve">EXPLICIT CADCAM SERVICE S          </t>
  </si>
  <si>
    <t>lyzer</t>
  </si>
  <si>
    <t>POD received from cell 0824283800 M</t>
  </si>
  <si>
    <t xml:space="preserve">AUTOMA MULTI STYRENE PTY LTD       </t>
  </si>
  <si>
    <t>DEBRA</t>
  </si>
  <si>
    <t>POD received from cell 0738698647 M</t>
  </si>
  <si>
    <t>Constance</t>
  </si>
  <si>
    <t xml:space="preserve">BELSIZE PRINTING WORKS PTY LTD     </t>
  </si>
  <si>
    <t>LERATO</t>
  </si>
  <si>
    <t>RMA</t>
  </si>
  <si>
    <t xml:space="preserve">fikize                        </t>
  </si>
  <si>
    <t xml:space="preserve">POD received from cell 0730059234 M     </t>
  </si>
  <si>
    <t xml:space="preserve">F   R CATAI TRANSPORT SOLUTION     </t>
  </si>
  <si>
    <t>fourie</t>
  </si>
  <si>
    <t>devan</t>
  </si>
  <si>
    <t>musa</t>
  </si>
  <si>
    <t>PIAS</t>
  </si>
  <si>
    <t xml:space="preserve">VC AUTOMATION   INDUSTRIAL CON     </t>
  </si>
  <si>
    <t>U NOTZE</t>
  </si>
  <si>
    <t xml:space="preserve">FILQUIP ENGINEERING                </t>
  </si>
  <si>
    <t>ratia</t>
  </si>
  <si>
    <t>tich</t>
  </si>
  <si>
    <t xml:space="preserve">NESTLE SA                          </t>
  </si>
  <si>
    <t>SELBY</t>
  </si>
  <si>
    <t xml:space="preserve">lerich                        </t>
  </si>
  <si>
    <t>sindi</t>
  </si>
  <si>
    <t>PACLE</t>
  </si>
  <si>
    <t xml:space="preserve">PAILPAC PTY LTD                    </t>
  </si>
  <si>
    <t xml:space="preserve">CTP STATIONERY MANUFECTURERS       </t>
  </si>
  <si>
    <t>dumisani</t>
  </si>
  <si>
    <t>yolada</t>
  </si>
  <si>
    <t xml:space="preserve">shahid                        </t>
  </si>
  <si>
    <t>sign</t>
  </si>
  <si>
    <t>BOX BOX BOX BOX</t>
  </si>
  <si>
    <t xml:space="preserve">TROPICAL PLASTICS   PACKAGING      </t>
  </si>
  <si>
    <t>Essack</t>
  </si>
  <si>
    <t>POD received from cell 0603443331 M</t>
  </si>
  <si>
    <t xml:space="preserve">A.P.L. CARTONS (PTY) LTD           </t>
  </si>
  <si>
    <t>JOEL</t>
  </si>
  <si>
    <t>JOWELL</t>
  </si>
  <si>
    <t>Yvonne   Receiving</t>
  </si>
  <si>
    <t xml:space="preserve">ALPLAS PLASTICS (PTY) LTD          </t>
  </si>
  <si>
    <t>Deidre</t>
  </si>
  <si>
    <t>amos</t>
  </si>
  <si>
    <t>MARIK</t>
  </si>
  <si>
    <t>MARIKANA</t>
  </si>
  <si>
    <t xml:space="preserve">LONMIN PLATINUM COMPRISSING WE     </t>
  </si>
  <si>
    <t>cedric</t>
  </si>
  <si>
    <t xml:space="preserve">MAVERICK ENGINEERING (PTY) LTD     </t>
  </si>
  <si>
    <t>EMMAH</t>
  </si>
  <si>
    <t xml:space="preserve">POD received from cell 0832479776 M     </t>
  </si>
  <si>
    <t>STEVEN</t>
  </si>
  <si>
    <t xml:space="preserve">ROV DURRANT ENGINEERING (PTY)      </t>
  </si>
  <si>
    <t>LETTAUW</t>
  </si>
  <si>
    <t>Hennie</t>
  </si>
  <si>
    <t xml:space="preserve">W LE ROUX                     </t>
  </si>
  <si>
    <t>roy</t>
  </si>
  <si>
    <t>nelson</t>
  </si>
  <si>
    <t xml:space="preserve">BENTELER SA                        </t>
  </si>
  <si>
    <t>Claudette</t>
  </si>
  <si>
    <t>justin</t>
  </si>
  <si>
    <t xml:space="preserve">BENTELER AUTOMOTIVE SA (PTY) L     </t>
  </si>
  <si>
    <t>RYAN GALLAND</t>
  </si>
  <si>
    <t>RONALD</t>
  </si>
  <si>
    <t>MARLENE</t>
  </si>
  <si>
    <t>graant</t>
  </si>
  <si>
    <t>Edwina</t>
  </si>
  <si>
    <t>renaldo</t>
  </si>
  <si>
    <t xml:space="preserve">MAINTENANCE ENGINERING SERVICE     </t>
  </si>
  <si>
    <t>dominic</t>
  </si>
  <si>
    <t>PAELC</t>
  </si>
  <si>
    <t>jenell</t>
  </si>
  <si>
    <t>LEN</t>
  </si>
  <si>
    <t>SYDNEY PATEL</t>
  </si>
  <si>
    <t>William</t>
  </si>
  <si>
    <t>PARCLE</t>
  </si>
  <si>
    <t xml:space="preserve">DEFY APPLIANCES (PTY) LTD          </t>
  </si>
  <si>
    <t>PRISHLIN ARCHARY</t>
  </si>
  <si>
    <t>Rajesh</t>
  </si>
  <si>
    <t>PHINDIWE</t>
  </si>
  <si>
    <t>SANDY (WAREHOUSE) NEVILLE</t>
  </si>
  <si>
    <t>candy</t>
  </si>
  <si>
    <t xml:space="preserve">STOAK TECHNOLOGIES                 </t>
  </si>
  <si>
    <t>PAUL</t>
  </si>
  <si>
    <t>Saroop Suthurgam</t>
  </si>
  <si>
    <t>kerusha</t>
  </si>
  <si>
    <t xml:space="preserve">itumeleng                     </t>
  </si>
  <si>
    <t xml:space="preserve">FEDERAL MOGUL VALVES (PTY) LTD     </t>
  </si>
  <si>
    <t>DENZIL</t>
  </si>
  <si>
    <t>sharl</t>
  </si>
  <si>
    <t>M PERLATO</t>
  </si>
  <si>
    <t>SEELAN</t>
  </si>
  <si>
    <t>Deez</t>
  </si>
  <si>
    <t>POD received from cell 0848255037 M</t>
  </si>
  <si>
    <t xml:space="preserve">FEDERAL MOGUL FRICTION PRODUCT     </t>
  </si>
  <si>
    <t>MPUME NGOBESE</t>
  </si>
  <si>
    <t>sibu</t>
  </si>
  <si>
    <t>GLEN DE KLERK</t>
  </si>
  <si>
    <t xml:space="preserve">EIS ENGINEERING   IND SUPPLIES     </t>
  </si>
  <si>
    <t>EMMANUEL RAMSAAK</t>
  </si>
  <si>
    <t>Lesley</t>
  </si>
  <si>
    <t xml:space="preserve">T   V HYDRAU-PNEUMATIC SOLUTIO     </t>
  </si>
  <si>
    <t>STRUAN CLARK</t>
  </si>
  <si>
    <t>Joe Botha</t>
  </si>
  <si>
    <t xml:space="preserve">WESTPACK CONTRACT PACKERS CC       </t>
  </si>
  <si>
    <t>LOUWIES HAVENGA</t>
  </si>
  <si>
    <t>spha</t>
  </si>
  <si>
    <t>HELENA</t>
  </si>
  <si>
    <t>Andre</t>
  </si>
  <si>
    <t xml:space="preserve">Heino                         </t>
  </si>
  <si>
    <t>theo</t>
  </si>
  <si>
    <t>CLURE PROJECTS CC</t>
  </si>
  <si>
    <t xml:space="preserve">FELTEX AUTOMOTIVE TRIM             </t>
  </si>
  <si>
    <t>Jill</t>
  </si>
  <si>
    <t>Stan</t>
  </si>
  <si>
    <t>DELPO</t>
  </si>
  <si>
    <t>DELPOORTSHOOP</t>
  </si>
  <si>
    <t xml:space="preserve">AFRISAM SOUHT AFRICA PTY LTD       </t>
  </si>
  <si>
    <t>victor</t>
  </si>
  <si>
    <t>mib</t>
  </si>
  <si>
    <t>POD received from cell 0837472026 M</t>
  </si>
  <si>
    <t xml:space="preserve">NR EXTREME ENGINEERING AND PIP     </t>
  </si>
  <si>
    <t xml:space="preserve">THE REAL BEVERAGE COMPANY          </t>
  </si>
  <si>
    <t>LYNETTE</t>
  </si>
  <si>
    <t>Stores</t>
  </si>
  <si>
    <t>U NORTJE</t>
  </si>
  <si>
    <t>derrich</t>
  </si>
  <si>
    <t xml:space="preserve">TRANSVAAL HYDRAULICS               </t>
  </si>
  <si>
    <t>STEFAN KRUGER</t>
  </si>
  <si>
    <t xml:space="preserve">nicolene                      </t>
  </si>
  <si>
    <t xml:space="preserve">SUMATRA TRADING (PTY) LTD          </t>
  </si>
  <si>
    <t>E VOSLOO</t>
  </si>
  <si>
    <t>POD received from cell 0825884890 M</t>
  </si>
  <si>
    <t xml:space="preserve">SEECOR BLOW MOULDERS               </t>
  </si>
  <si>
    <t>c botha</t>
  </si>
  <si>
    <t xml:space="preserve">QUALITECHS                         </t>
  </si>
  <si>
    <t>sam williams</t>
  </si>
  <si>
    <t xml:space="preserve">VIDEX WIRE PRODUCTS PTY LTD        </t>
  </si>
  <si>
    <t>BAFANA</t>
  </si>
  <si>
    <t>KOBUS</t>
  </si>
  <si>
    <t xml:space="preserve">T M ENGINEERING                    </t>
  </si>
  <si>
    <t>GRANT SNYMAN</t>
  </si>
  <si>
    <t>busisiwe</t>
  </si>
  <si>
    <t>saloshni</t>
  </si>
  <si>
    <t>J G VISSE</t>
  </si>
  <si>
    <t xml:space="preserve">MAXION WHEELS SA                   </t>
  </si>
  <si>
    <t>ERNEST MOREMEDI</t>
  </si>
  <si>
    <t>Wellington</t>
  </si>
  <si>
    <t>POD received from cell 0839443464 M</t>
  </si>
  <si>
    <t xml:space="preserve">TECHQUIP DEVELOPMENTS CC           </t>
  </si>
  <si>
    <t>Krish</t>
  </si>
  <si>
    <t>bernard</t>
  </si>
  <si>
    <t xml:space="preserve">CALDEIRA ENGENEERING               </t>
  </si>
  <si>
    <t>taylar</t>
  </si>
  <si>
    <t xml:space="preserve">RAINBOW FARMS PTY LTD P2           </t>
  </si>
  <si>
    <t>ENGINEERING STORES</t>
  </si>
  <si>
    <t>Johnathan</t>
  </si>
  <si>
    <t xml:space="preserve">FOXTEC - IKHWEZI                   </t>
  </si>
  <si>
    <t>Reciever</t>
  </si>
  <si>
    <t>Vuyo</t>
  </si>
  <si>
    <t xml:space="preserve">RCL FOODS                          </t>
  </si>
  <si>
    <t>vukani</t>
  </si>
  <si>
    <t>Mark</t>
  </si>
  <si>
    <t>lenn</t>
  </si>
  <si>
    <t>Tracey</t>
  </si>
  <si>
    <t xml:space="preserve">LIQUI BOX                          </t>
  </si>
  <si>
    <t xml:space="preserve">PESTO                              </t>
  </si>
  <si>
    <t>ZANDILE</t>
  </si>
  <si>
    <t>POD received from cell 0000 M</t>
  </si>
  <si>
    <t>Helen</t>
  </si>
  <si>
    <t>Rossilan</t>
  </si>
  <si>
    <t>t louw</t>
  </si>
  <si>
    <t xml:space="preserve">INTERWASTE                         </t>
  </si>
  <si>
    <t>luzuko</t>
  </si>
  <si>
    <t>POD received from cell 0631962221 M</t>
  </si>
  <si>
    <t>Parcels</t>
  </si>
  <si>
    <t>nathanael</t>
  </si>
  <si>
    <t>bongeklle</t>
  </si>
  <si>
    <t>Danie Strydom</t>
  </si>
  <si>
    <t>samie</t>
  </si>
  <si>
    <t>Box</t>
  </si>
  <si>
    <t>ROLAND KAMPER</t>
  </si>
  <si>
    <t>DEAN</t>
  </si>
  <si>
    <t xml:space="preserve">IKHWEZI AUTOMOTIVE                 </t>
  </si>
  <si>
    <t>SHM</t>
  </si>
  <si>
    <t>POD received from cell 0794644140 M</t>
  </si>
  <si>
    <t>Abdul Goosein</t>
  </si>
  <si>
    <t xml:space="preserve">VEES AUTOMATIVE PIPES   FITTIN     </t>
  </si>
  <si>
    <t>terance</t>
  </si>
  <si>
    <t>WANDILE</t>
  </si>
  <si>
    <t xml:space="preserve">UNIVERSAL AUTOMATED SYSTEMS PT     </t>
  </si>
  <si>
    <t>RICHARD</t>
  </si>
  <si>
    <t>hans</t>
  </si>
  <si>
    <t xml:space="preserve">SUNBAKE                            </t>
  </si>
  <si>
    <t>ANNETTE GROENEWALD</t>
  </si>
  <si>
    <t>connie</t>
  </si>
  <si>
    <t>POD received from cell 0648706734 M</t>
  </si>
  <si>
    <t xml:space="preserve">KHP HYDRAULICS   PNEUMATICS (P     </t>
  </si>
  <si>
    <t>P PTINSLOO</t>
  </si>
  <si>
    <t xml:space="preserve">NIORO PLASTICS                     </t>
  </si>
  <si>
    <t>cindi</t>
  </si>
  <si>
    <t>POD received from cell 0745099105 M</t>
  </si>
  <si>
    <t>PIET2</t>
  </si>
  <si>
    <t>PIETERSBURG</t>
  </si>
  <si>
    <t xml:space="preserve">CPC STSTEMS CC                     </t>
  </si>
  <si>
    <t>CP COETZEE</t>
  </si>
  <si>
    <t>Ravi</t>
  </si>
  <si>
    <t>frazer</t>
  </si>
  <si>
    <t>neli</t>
  </si>
  <si>
    <t xml:space="preserve">UNILEVER SOUTH AFRICA (PTY) LT     </t>
  </si>
  <si>
    <t>RECEVING   STORE</t>
  </si>
  <si>
    <t>kiven</t>
  </si>
  <si>
    <t xml:space="preserve">CONSUPAQ (PTY) LTD                 </t>
  </si>
  <si>
    <t>Shivesh Sohawan</t>
  </si>
  <si>
    <t>nonto</t>
  </si>
  <si>
    <t xml:space="preserve">LITTLE GREEN BEVERAGES             </t>
  </si>
  <si>
    <t>M Karff</t>
  </si>
  <si>
    <t xml:space="preserve">BIDPAPER PLUS T A SILVERAY MAN     </t>
  </si>
  <si>
    <t>CANDICE PILLAY</t>
  </si>
  <si>
    <t>swaepoel</t>
  </si>
  <si>
    <t>ESTCO</t>
  </si>
  <si>
    <t>ESTCOURT</t>
  </si>
  <si>
    <t xml:space="preserve">ESKORT LTD                         </t>
  </si>
  <si>
    <t>OLGA NZIMANDE</t>
  </si>
  <si>
    <t>thobeka</t>
  </si>
  <si>
    <t>POD received from cell 0849917765 M</t>
  </si>
  <si>
    <t xml:space="preserve">PBA EQUIPMENT PTY LTD              </t>
  </si>
  <si>
    <t>sue</t>
  </si>
  <si>
    <t>SAMSON</t>
  </si>
  <si>
    <t xml:space="preserve">CBI ELECTRIC TELECOM CABLES        </t>
  </si>
  <si>
    <t>tshiamo</t>
  </si>
  <si>
    <t>ELIZABETH</t>
  </si>
  <si>
    <t xml:space="preserve">Bosal Afrika Pty                   </t>
  </si>
  <si>
    <t>BRIAN</t>
  </si>
  <si>
    <t>James</t>
  </si>
  <si>
    <t xml:space="preserve">RAGON INDUSTRIES                   </t>
  </si>
  <si>
    <t>Eva</t>
  </si>
  <si>
    <t>POD received from cell 0826688138 M</t>
  </si>
  <si>
    <t>VUSI</t>
  </si>
  <si>
    <t xml:space="preserve">RAINBOW FARMS (PTY) LTD - WOR      </t>
  </si>
  <si>
    <t>N FIKWENI</t>
  </si>
  <si>
    <t xml:space="preserve">TF DESIGN (PTY) LTD                </t>
  </si>
  <si>
    <t>Niki</t>
  </si>
  <si>
    <t xml:space="preserve">AMARO FOODS                        </t>
  </si>
  <si>
    <t>JONATHAN</t>
  </si>
  <si>
    <t>J MULLER</t>
  </si>
  <si>
    <t>naledi</t>
  </si>
  <si>
    <t>F THORNE</t>
  </si>
  <si>
    <t>kallie</t>
  </si>
  <si>
    <t>t camp</t>
  </si>
  <si>
    <t xml:space="preserve">roshni                        </t>
  </si>
  <si>
    <t xml:space="preserve">POD received from cell 0792801527 M     </t>
  </si>
  <si>
    <t>MMAMPHAKA</t>
  </si>
  <si>
    <t xml:space="preserve">SELAGO INDUSTRIES (PTY) LTD        </t>
  </si>
  <si>
    <t>Warren</t>
  </si>
  <si>
    <t>POD received from cell 0732611486 M</t>
  </si>
  <si>
    <t>DANIE</t>
  </si>
  <si>
    <t>DANIELSKUIL</t>
  </si>
  <si>
    <t xml:space="preserve">IDWALA INDUSTRIAL HOLDINGS LTD     </t>
  </si>
  <si>
    <t>PIETER</t>
  </si>
  <si>
    <t>POD received from cell 0735070302 M</t>
  </si>
  <si>
    <t xml:space="preserve">CLINISUT (PTY)LTD                  </t>
  </si>
  <si>
    <t>thembisa</t>
  </si>
  <si>
    <t>MICHAEL</t>
  </si>
  <si>
    <t xml:space="preserve">TECHNICRETE CLAYVILLE              </t>
  </si>
  <si>
    <t>Rufas</t>
  </si>
  <si>
    <t>mack</t>
  </si>
  <si>
    <t>trulisha</t>
  </si>
  <si>
    <t xml:space="preserve">BEARINGS ON CC                     </t>
  </si>
  <si>
    <t>JAY</t>
  </si>
  <si>
    <t xml:space="preserve">GRAMEC PTY LTD                     </t>
  </si>
  <si>
    <t>POD received from cell 0789905770 M</t>
  </si>
  <si>
    <t>Tshepo</t>
  </si>
  <si>
    <t xml:space="preserve">TONGAAT HULETT STARCH              </t>
  </si>
  <si>
    <t xml:space="preserve">niki                          </t>
  </si>
  <si>
    <t xml:space="preserve">POD received from cell 0631962221 M     </t>
  </si>
  <si>
    <t xml:space="preserve">TS ENGINEERING                     </t>
  </si>
  <si>
    <t>MARGY SHORT</t>
  </si>
  <si>
    <t>sugan</t>
  </si>
  <si>
    <t xml:space="preserve">AIR LIQUIDE HOSPITAL               </t>
  </si>
  <si>
    <t>Thabisile</t>
  </si>
  <si>
    <t xml:space="preserve">ILLOVO SUGAR LTDB EDENVEL          </t>
  </si>
  <si>
    <t>Zakes</t>
  </si>
  <si>
    <t xml:space="preserve">BRITEPAK TRADING PTY LTD           </t>
  </si>
  <si>
    <t>RECIEVIGN</t>
  </si>
  <si>
    <t xml:space="preserve">JOCLENE                       </t>
  </si>
  <si>
    <t xml:space="preserve">BCG STAINLESS STEEL SERVICES C     </t>
  </si>
  <si>
    <t>LIHLE</t>
  </si>
  <si>
    <t xml:space="preserve">GRUNDFOS                           </t>
  </si>
  <si>
    <t>HINA PARBHOO</t>
  </si>
  <si>
    <t xml:space="preserve">POD received from cell 0736172858 M     </t>
  </si>
  <si>
    <t>GERHARD</t>
  </si>
  <si>
    <t>SANDISIWE</t>
  </si>
  <si>
    <t>ROSE</t>
  </si>
  <si>
    <t>wandile</t>
  </si>
  <si>
    <t>POD received from cell 0723863877 M</t>
  </si>
  <si>
    <t>Miranda</t>
  </si>
  <si>
    <t xml:space="preserve">DIRECTECH                          </t>
  </si>
  <si>
    <t>amelda v t</t>
  </si>
  <si>
    <t>sophie</t>
  </si>
  <si>
    <t>p scalzullo</t>
  </si>
  <si>
    <t>OBIE MARTIN</t>
  </si>
  <si>
    <t xml:space="preserve">winifred                      </t>
  </si>
  <si>
    <t xml:space="preserve">BLAIZEPOINT TRADING 274 CC         </t>
  </si>
  <si>
    <t>Barend</t>
  </si>
  <si>
    <t xml:space="preserve">THE SAB BREWERIES LTD              </t>
  </si>
  <si>
    <t>LERATO   THEMBA</t>
  </si>
  <si>
    <t>Mcedisi</t>
  </si>
  <si>
    <t xml:space="preserve">EAST COAST INSTRUMENTATION SAL     </t>
  </si>
  <si>
    <t>pauline</t>
  </si>
  <si>
    <t xml:space="preserve">ACCUTECH WEIGHING SERVICES         </t>
  </si>
  <si>
    <t>SAM</t>
  </si>
  <si>
    <t>akshay</t>
  </si>
  <si>
    <t xml:space="preserve">SUPREME SPRING                     </t>
  </si>
  <si>
    <t>MUHAMMED MOOLLA</t>
  </si>
  <si>
    <t>SHARINE</t>
  </si>
  <si>
    <t xml:space="preserve">PFG BUILDING GLASS                 </t>
  </si>
  <si>
    <t>LEOA</t>
  </si>
  <si>
    <t xml:space="preserve">AS AUTOMATIONS SOLUTIONS CC        </t>
  </si>
  <si>
    <t>PAULOS</t>
  </si>
  <si>
    <t>PPH</t>
  </si>
  <si>
    <t xml:space="preserve">METSEP SA                          </t>
  </si>
  <si>
    <t>melisa</t>
  </si>
  <si>
    <t xml:space="preserve">MAHLE BEHR SOUTH AFRCA (PTY) L     </t>
  </si>
  <si>
    <t>baij</t>
  </si>
  <si>
    <t>SANDRA MOODLEY</t>
  </si>
  <si>
    <t>Emmanuel</t>
  </si>
  <si>
    <t xml:space="preserve">DENEL VEHICLE SYSTEMS              </t>
  </si>
  <si>
    <t>fighter</t>
  </si>
  <si>
    <t xml:space="preserve">LN AUTOMATION                      </t>
  </si>
  <si>
    <t>LOGESH NAIDOO</t>
  </si>
  <si>
    <t>SHANAAZ</t>
  </si>
  <si>
    <t>POD received from cell 0844243445 M</t>
  </si>
  <si>
    <t>cecilia</t>
  </si>
  <si>
    <t xml:space="preserve">MA AUTOMOTIVE                      </t>
  </si>
  <si>
    <t>sihusiso</t>
  </si>
  <si>
    <t>POD received from cell 0736330969 M</t>
  </si>
  <si>
    <t>ruth</t>
  </si>
  <si>
    <t>UGIE</t>
  </si>
  <si>
    <t xml:space="preserve">PG BISON PTY LTD UGIE BOARD PL     </t>
  </si>
  <si>
    <t>PETERR</t>
  </si>
  <si>
    <t xml:space="preserve">BOXMORE PLASTICS                   </t>
  </si>
  <si>
    <t>ansie</t>
  </si>
  <si>
    <t xml:space="preserve">ALBANY BAKERY A DIVISION OF TI     </t>
  </si>
  <si>
    <t>CONNIE</t>
  </si>
  <si>
    <t>tania</t>
  </si>
  <si>
    <t xml:space="preserve">GEHRING ENGINEERING                </t>
  </si>
  <si>
    <t>francis</t>
  </si>
  <si>
    <t>Chissie</t>
  </si>
  <si>
    <t xml:space="preserve">LUCIA                         </t>
  </si>
  <si>
    <t xml:space="preserve">SIGNATURE                     </t>
  </si>
  <si>
    <t xml:space="preserve">JADEC STEEL PROJECT CC             </t>
  </si>
  <si>
    <t>ERROL PETERS</t>
  </si>
  <si>
    <t>frans</t>
  </si>
  <si>
    <t>ANTHONY SMITH</t>
  </si>
  <si>
    <t>earl</t>
  </si>
  <si>
    <t xml:space="preserve">FIRST NATIONAL BATTEREY            </t>
  </si>
  <si>
    <t>t baba</t>
  </si>
  <si>
    <t xml:space="preserve">DAR AUTOMOTIVE                     </t>
  </si>
  <si>
    <t>mandipha</t>
  </si>
  <si>
    <t xml:space="preserve">SIME DARBY HUDSON   KINGHT         </t>
  </si>
  <si>
    <t>lesego</t>
  </si>
  <si>
    <t xml:space="preserve">CBI ELECTRIC AFRICAN CABLES        </t>
  </si>
  <si>
    <t>CLIFFORD</t>
  </si>
  <si>
    <t>NELLY TSHABALALA</t>
  </si>
  <si>
    <t>POD received from cell 0782359829 M</t>
  </si>
  <si>
    <t xml:space="preserve">SODECIA SA                         </t>
  </si>
  <si>
    <t>TSHEPO MAMPYA</t>
  </si>
  <si>
    <t>dawie</t>
  </si>
  <si>
    <t>ZIPHEWE</t>
  </si>
  <si>
    <t>RAHUBE NKWANA</t>
  </si>
  <si>
    <t xml:space="preserve">DAPHNEY                       </t>
  </si>
  <si>
    <t xml:space="preserve">NATIONAL BRANDS LTD BECKETTS       </t>
  </si>
  <si>
    <t>Dan Malatjie</t>
  </si>
  <si>
    <t>dhaya</t>
  </si>
  <si>
    <t xml:space="preserve">ACAP HYDRO PNEUMATIC SUPPLY CC     </t>
  </si>
  <si>
    <t>adrian</t>
  </si>
  <si>
    <t>JILLIANE NAIDOO</t>
  </si>
  <si>
    <t xml:space="preserve">FESTO ELS                          </t>
  </si>
  <si>
    <t>SHAUN</t>
  </si>
  <si>
    <t xml:space="preserve">BMS ENGINEERING                    </t>
  </si>
  <si>
    <t>helmie</t>
  </si>
  <si>
    <t>POD received from cell 0736831978 M</t>
  </si>
  <si>
    <t xml:space="preserve">HYTEC SERVICES                     </t>
  </si>
  <si>
    <t>Diang</t>
  </si>
  <si>
    <t xml:space="preserve">RTS RFES1162568239            </t>
  </si>
  <si>
    <t xml:space="preserve">HUBCOFORGINGS                      </t>
  </si>
  <si>
    <t>bongani</t>
  </si>
  <si>
    <t>Mike Heyns</t>
  </si>
  <si>
    <t>MEETA EEL</t>
  </si>
  <si>
    <t xml:space="preserve">FESTO PZB                          </t>
  </si>
  <si>
    <t>JASON V D MERWE</t>
  </si>
  <si>
    <t>m perks</t>
  </si>
  <si>
    <t>Nickolas Tinkler</t>
  </si>
  <si>
    <t xml:space="preserve">fraser                        </t>
  </si>
  <si>
    <t xml:space="preserve">busisiwe                      </t>
  </si>
  <si>
    <t xml:space="preserve">POD received from cell 0769347056 M     </t>
  </si>
  <si>
    <t xml:space="preserve">COCA COLA SHANDUKA BEVERAGES S     </t>
  </si>
  <si>
    <t>THABO MALEFAHLO</t>
  </si>
  <si>
    <t>NICKY</t>
  </si>
  <si>
    <t xml:space="preserve">VEOLIA WATER SOLUTIONS             </t>
  </si>
  <si>
    <t xml:space="preserve">FAMOUS BRANDS                      </t>
  </si>
  <si>
    <t>LIANA MROUGHTON</t>
  </si>
  <si>
    <t xml:space="preserve">TRU GAGE MACHINES                  </t>
  </si>
  <si>
    <t xml:space="preserve">tebogo                        </t>
  </si>
  <si>
    <t>r hoosen</t>
  </si>
  <si>
    <t xml:space="preserve">VAN NIEKERK PACKAGING SUPPORT      </t>
  </si>
  <si>
    <t>lindsay</t>
  </si>
  <si>
    <t xml:space="preserve">CONSOL GLASS (PTY) LTD             </t>
  </si>
  <si>
    <t>cidney</t>
  </si>
  <si>
    <t>STRAN</t>
  </si>
  <si>
    <t>STRAND</t>
  </si>
  <si>
    <t xml:space="preserve">ELDERWOOD TRADING CC               </t>
  </si>
  <si>
    <t>Clara</t>
  </si>
  <si>
    <t xml:space="preserve">MECHANICAL CONCEPTS CC             </t>
  </si>
  <si>
    <t>Kevin</t>
  </si>
  <si>
    <t>CHASE VAN GINKEL</t>
  </si>
  <si>
    <t xml:space="preserve">TECHNICRETE ISG (PTY) LTD          </t>
  </si>
  <si>
    <t xml:space="preserve">RTS RFES1162567727            </t>
  </si>
  <si>
    <t xml:space="preserve">101 MAKRO PLACE                    </t>
  </si>
  <si>
    <t xml:space="preserve">RTS RFES1162566654            </t>
  </si>
  <si>
    <t xml:space="preserve">BMG CAPE TOWN                      </t>
  </si>
  <si>
    <t>CARL MURRAY</t>
  </si>
  <si>
    <t>Carl</t>
  </si>
  <si>
    <t>POD received from cell 0814169974 M</t>
  </si>
  <si>
    <t xml:space="preserve">CRICKLEY DAIRY CC                  </t>
  </si>
  <si>
    <t xml:space="preserve">ZINTLE                        </t>
  </si>
  <si>
    <t xml:space="preserve">AEL MINING SERVICES LTD            </t>
  </si>
  <si>
    <t>BRUCE   JOHN WEYMOUTH</t>
  </si>
  <si>
    <t>LUCY</t>
  </si>
  <si>
    <t xml:space="preserve">DIV OF TIGER CONSUMER BRANDS L     </t>
  </si>
  <si>
    <t>RECIEVNG</t>
  </si>
  <si>
    <t>Leoni</t>
  </si>
  <si>
    <t xml:space="preserve">Jarrad                        </t>
  </si>
  <si>
    <t>Renaldo October</t>
  </si>
  <si>
    <t>Renaldo</t>
  </si>
  <si>
    <t xml:space="preserve">brian                         </t>
  </si>
  <si>
    <t xml:space="preserve">POD received from cell 0796132179 M     </t>
  </si>
  <si>
    <t xml:space="preserve">SINGISI FOREST                     </t>
  </si>
  <si>
    <t>CONRAD</t>
  </si>
  <si>
    <t xml:space="preserve">Brian                         </t>
  </si>
  <si>
    <t>sul</t>
  </si>
  <si>
    <t>POD received from cell 0745473242 M</t>
  </si>
  <si>
    <t>MOTU</t>
  </si>
  <si>
    <t>G Ermer</t>
  </si>
  <si>
    <t xml:space="preserve">Raymond                       </t>
  </si>
  <si>
    <t>juan</t>
  </si>
  <si>
    <t>REITECH S A</t>
  </si>
  <si>
    <t xml:space="preserve">nico                          </t>
  </si>
  <si>
    <t>FRANS</t>
  </si>
  <si>
    <t xml:space="preserve">musa                          </t>
  </si>
  <si>
    <t xml:space="preserve">HYDRAULIC COMPONENTS CC            </t>
  </si>
  <si>
    <t>vinny</t>
  </si>
  <si>
    <t>lydia</t>
  </si>
  <si>
    <t>TAIRUNDA</t>
  </si>
  <si>
    <t>pietronella</t>
  </si>
  <si>
    <t xml:space="preserve">BEARING   ACCESSORIES CC           </t>
  </si>
  <si>
    <t>Lenny</t>
  </si>
  <si>
    <t>jayson</t>
  </si>
  <si>
    <t xml:space="preserve">HP HOSE   FITTING SPECIALIST C     </t>
  </si>
  <si>
    <t>MARK</t>
  </si>
  <si>
    <t xml:space="preserve">BRIDGESTONE FIRESTONE              </t>
  </si>
  <si>
    <t>GENERAL STORES</t>
  </si>
  <si>
    <t>Bernice</t>
  </si>
  <si>
    <t xml:space="preserve">DIGN ENGINEERING PTY LTD           </t>
  </si>
  <si>
    <t xml:space="preserve">ILLOVO SUGAR LTD-SEZELA            </t>
  </si>
  <si>
    <t>THEMBA NHLANGULELA</t>
  </si>
  <si>
    <t xml:space="preserve">lindi                         </t>
  </si>
  <si>
    <t xml:space="preserve">POD received from cell 0720743631 M     </t>
  </si>
  <si>
    <t>UMBOG</t>
  </si>
  <si>
    <t>UMBOGINTWINI</t>
  </si>
  <si>
    <t xml:space="preserve">RYMCO PTY LTD ACHOR YEAST          </t>
  </si>
  <si>
    <t>M weir</t>
  </si>
  <si>
    <t>Rosslyn</t>
  </si>
  <si>
    <t>MARLON PILLAY</t>
  </si>
  <si>
    <t>M Ntshwaxa</t>
  </si>
  <si>
    <t>CECELIA</t>
  </si>
  <si>
    <t>ISABELLA ROUX</t>
  </si>
  <si>
    <t>PHILLIP</t>
  </si>
  <si>
    <t xml:space="preserve">Randy                         </t>
  </si>
  <si>
    <t xml:space="preserve">MARTIN                        </t>
  </si>
  <si>
    <t>ELIZE</t>
  </si>
  <si>
    <t>Kenneth</t>
  </si>
  <si>
    <t>GERHARD STRYDOM</t>
  </si>
  <si>
    <t>JUDELIZE ENSLIN</t>
  </si>
  <si>
    <t xml:space="preserve">shivan                        </t>
  </si>
  <si>
    <t xml:space="preserve">HI CALIBRE ENGINEERING (PTY) L     </t>
  </si>
  <si>
    <t xml:space="preserve">Neville                       </t>
  </si>
  <si>
    <t xml:space="preserve">LONGPAK PTY LTD                    </t>
  </si>
  <si>
    <t>phatheka</t>
  </si>
  <si>
    <t>ROBERTO</t>
  </si>
  <si>
    <t>WILLIE CRONJE</t>
  </si>
  <si>
    <t xml:space="preserve">THUTHUKA PACKAGING                 </t>
  </si>
  <si>
    <t>Bongi</t>
  </si>
  <si>
    <t xml:space="preserve">Boitumelo                     </t>
  </si>
  <si>
    <t xml:space="preserve">Rand Refinery                      </t>
  </si>
  <si>
    <t>BONGANI</t>
  </si>
  <si>
    <t xml:space="preserve">SWASAP (PTY) LTD                   </t>
  </si>
  <si>
    <t>melissa</t>
  </si>
  <si>
    <t xml:space="preserve">mark                          </t>
  </si>
  <si>
    <t xml:space="preserve">TREVOR                        </t>
  </si>
  <si>
    <t xml:space="preserve">G.U.D HOLDINGS                     </t>
  </si>
  <si>
    <t>amitha</t>
  </si>
  <si>
    <t>STAMP</t>
  </si>
  <si>
    <t xml:space="preserve">CLOVER SA (PTY) LTD                </t>
  </si>
  <si>
    <t>V posthumous</t>
  </si>
  <si>
    <t>POD received from cell 0732237417 M</t>
  </si>
  <si>
    <t xml:space="preserve">POLAR AIR                          </t>
  </si>
  <si>
    <t xml:space="preserve">KHENSANE                      </t>
  </si>
  <si>
    <t xml:space="preserve">POD received from cell 0789905770 M     </t>
  </si>
  <si>
    <t xml:space="preserve">I M E SA                           </t>
  </si>
  <si>
    <t>lesiba</t>
  </si>
  <si>
    <t>Zimvo</t>
  </si>
  <si>
    <t xml:space="preserve">MEASUREMENT CONTROL INSTRUMENT     </t>
  </si>
  <si>
    <t>A Duncan</t>
  </si>
  <si>
    <t>Alfred</t>
  </si>
  <si>
    <t xml:space="preserve">ABERDER CABLES                     </t>
  </si>
  <si>
    <t>George</t>
  </si>
  <si>
    <t xml:space="preserve">TOYOTA SA MOTORS (PTY) LTD         </t>
  </si>
  <si>
    <t xml:space="preserve">PAULOS                        </t>
  </si>
  <si>
    <t xml:space="preserve">PIONEER FOOD PTY LTD               </t>
  </si>
  <si>
    <t xml:space="preserve">BANTEX SA                          </t>
  </si>
  <si>
    <t>STARMON</t>
  </si>
  <si>
    <t>Natasjia</t>
  </si>
  <si>
    <t xml:space="preserve">L OREAL MANUFACTURING (PTY)LTD     </t>
  </si>
  <si>
    <t>JEANDRE</t>
  </si>
  <si>
    <t>E ROSSOUW</t>
  </si>
  <si>
    <t>KHANYISO</t>
  </si>
  <si>
    <t xml:space="preserve">POLYOAK PACKAGING PTY LTD          </t>
  </si>
  <si>
    <t>Sihle</t>
  </si>
  <si>
    <t>ZUBAIN</t>
  </si>
  <si>
    <t xml:space="preserve">FGW SAFETY GLASS                   </t>
  </si>
  <si>
    <t>SELNA</t>
  </si>
  <si>
    <t xml:space="preserve">TOYOTA BOSHOKU SA PTY LTD          </t>
  </si>
  <si>
    <t>SBONELO MIYA</t>
  </si>
  <si>
    <t xml:space="preserve">sbonelo miya                  </t>
  </si>
  <si>
    <t>SAT / FUE</t>
  </si>
  <si>
    <t xml:space="preserve">POD received from cell 0620923972 M     </t>
  </si>
  <si>
    <t>SANJAY GOVENDER</t>
  </si>
  <si>
    <t xml:space="preserve">PRIMA INDUSTRIAL HOLDINGS          </t>
  </si>
  <si>
    <t>WEBSTER KOTELO</t>
  </si>
  <si>
    <t>webster</t>
  </si>
  <si>
    <t>Mario</t>
  </si>
  <si>
    <t xml:space="preserve">SMITHS MANUFACTURING               </t>
  </si>
  <si>
    <t xml:space="preserve">CEMPACK                            </t>
  </si>
  <si>
    <t>m  louw</t>
  </si>
  <si>
    <t>MOSSE</t>
  </si>
  <si>
    <t>MOSSEL BAY</t>
  </si>
  <si>
    <t xml:space="preserve">THE PETROLEUM OL   GAS             </t>
  </si>
  <si>
    <t>J VD MERWE</t>
  </si>
  <si>
    <t>POD received from cell 0829064724 M</t>
  </si>
  <si>
    <t xml:space="preserve">A C PNOUMATICS                     </t>
  </si>
  <si>
    <t>Denver</t>
  </si>
  <si>
    <t xml:space="preserve">NESTLE SOUTH AFRICA PTY LTD        </t>
  </si>
  <si>
    <t xml:space="preserve">l t naicker                   </t>
  </si>
  <si>
    <t>Binta kaswiz</t>
  </si>
  <si>
    <t>ivan</t>
  </si>
  <si>
    <t xml:space="preserve">SAM                           </t>
  </si>
  <si>
    <t xml:space="preserve">LINCOLN                       </t>
  </si>
  <si>
    <t xml:space="preserve">NATIONAL BRAND                     </t>
  </si>
  <si>
    <t>POD received from cell 0636501827 M</t>
  </si>
  <si>
    <t xml:space="preserve">MEGA-PAK                           </t>
  </si>
  <si>
    <t>Phathu</t>
  </si>
  <si>
    <t>MICHELLE   WESLEY</t>
  </si>
  <si>
    <t>sulania</t>
  </si>
  <si>
    <t>K A MOLOTO</t>
  </si>
  <si>
    <t>Oupa</t>
  </si>
  <si>
    <t>SUSAN VAN ASWEGEN</t>
  </si>
  <si>
    <t xml:space="preserve">Wayne                         </t>
  </si>
  <si>
    <t xml:space="preserve">Charles                       </t>
  </si>
  <si>
    <t>Linda</t>
  </si>
  <si>
    <t xml:space="preserve">CLOVER SA                          </t>
  </si>
  <si>
    <t>Marius</t>
  </si>
  <si>
    <t>Alida</t>
  </si>
  <si>
    <t xml:space="preserve">WATCH TOWER BIBLE TRACT SOCIET     </t>
  </si>
  <si>
    <t>DAN</t>
  </si>
  <si>
    <t>Patrick</t>
  </si>
  <si>
    <t xml:space="preserve">UV + IR ENGINEERING PTY LTD        </t>
  </si>
  <si>
    <t>LEANDRI</t>
  </si>
  <si>
    <t xml:space="preserve">AMALGAMOTION                       </t>
  </si>
  <si>
    <t>Gerald</t>
  </si>
  <si>
    <t>ESTHER</t>
  </si>
  <si>
    <t>Maurice</t>
  </si>
  <si>
    <t>alister</t>
  </si>
  <si>
    <t xml:space="preserve">sithembiso                    </t>
  </si>
  <si>
    <t xml:space="preserve">POD received from cell 0791927731 M     </t>
  </si>
  <si>
    <t>GARY</t>
  </si>
  <si>
    <t>christian zuke</t>
  </si>
  <si>
    <t xml:space="preserve">FELTEX AUTOMOTIVE DIVISION         </t>
  </si>
  <si>
    <t>Sam</t>
  </si>
  <si>
    <t>Ricky</t>
  </si>
  <si>
    <t xml:space="preserve">danny                         </t>
  </si>
  <si>
    <t xml:space="preserve">POD received from cell 0610882813 M     </t>
  </si>
  <si>
    <t>Heino</t>
  </si>
  <si>
    <t>Mike</t>
  </si>
  <si>
    <t>Kathleen</t>
  </si>
  <si>
    <t xml:space="preserve">PIONEER FOODS (PTY)LTD             </t>
  </si>
  <si>
    <t xml:space="preserve">IMANA FOODS SA (PTY) LTD           </t>
  </si>
  <si>
    <t>medrina</t>
  </si>
  <si>
    <t xml:space="preserve">b michaels                    </t>
  </si>
  <si>
    <t>Reciving</t>
  </si>
  <si>
    <t xml:space="preserve">TURN BAR                           </t>
  </si>
  <si>
    <t>VIRGINIA</t>
  </si>
  <si>
    <t>navin</t>
  </si>
  <si>
    <t>NTOMBI</t>
  </si>
  <si>
    <t>Leridia</t>
  </si>
  <si>
    <t>ROZELLE SCOTSON</t>
  </si>
  <si>
    <t>Erick</t>
  </si>
  <si>
    <t xml:space="preserve">AFRISAM SA PTY LTD                 </t>
  </si>
  <si>
    <t>F</t>
  </si>
  <si>
    <t>tristan</t>
  </si>
  <si>
    <t>RICH2</t>
  </si>
  <si>
    <t>RICHMOND (NATAL)</t>
  </si>
  <si>
    <t xml:space="preserve">NORMANDIEN FARMS                   </t>
  </si>
  <si>
    <t>Tayla</t>
  </si>
  <si>
    <t xml:space="preserve">OFFSET PRESS SUPPLIES (PTY) LT     </t>
  </si>
  <si>
    <t>SHANE</t>
  </si>
  <si>
    <t>Garth</t>
  </si>
  <si>
    <t>Clement</t>
  </si>
  <si>
    <t xml:space="preserve">CITRASHINE                         </t>
  </si>
  <si>
    <t>LIZELLE</t>
  </si>
  <si>
    <t xml:space="preserve">Joe Botha                     </t>
  </si>
  <si>
    <t xml:space="preserve">POD received from cell 0836899932 M     </t>
  </si>
  <si>
    <t xml:space="preserve">CONVEYCO (PTY) LTD                 </t>
  </si>
  <si>
    <t>Isaac</t>
  </si>
  <si>
    <t xml:space="preserve">INHLE BEVERAGES (PTY)LTD           </t>
  </si>
  <si>
    <t>ODETTE</t>
  </si>
  <si>
    <t>sithkozile</t>
  </si>
  <si>
    <t>Receiving.</t>
  </si>
  <si>
    <t>guintin</t>
  </si>
  <si>
    <t>SAMMIE</t>
  </si>
  <si>
    <t>JANICE</t>
  </si>
  <si>
    <t xml:space="preserve">TECHNIKON LABORATORIES             </t>
  </si>
  <si>
    <t>SIGNATUER</t>
  </si>
  <si>
    <t>neil</t>
  </si>
  <si>
    <t xml:space="preserve">SIGNAL INSTRUMENTATION CC          </t>
  </si>
  <si>
    <t xml:space="preserve">DENISE                        </t>
  </si>
  <si>
    <t xml:space="preserve">ESKOM HOLDINGS LIMITED             </t>
  </si>
  <si>
    <t>desire</t>
  </si>
  <si>
    <t xml:space="preserve">KANSAI PLASCON (PTY) LTD           </t>
  </si>
  <si>
    <t>SUBESH</t>
  </si>
  <si>
    <t>Rylee</t>
  </si>
  <si>
    <t>h gallant</t>
  </si>
  <si>
    <t>RAYMOND</t>
  </si>
  <si>
    <t>vincent</t>
  </si>
  <si>
    <t>POD received from cell 0792849435 M</t>
  </si>
  <si>
    <t xml:space="preserve">BEIER ENVIROTEC                    </t>
  </si>
  <si>
    <t xml:space="preserve">HANSENS ENGENNERING                </t>
  </si>
  <si>
    <t>Babalwa</t>
  </si>
  <si>
    <t xml:space="preserve">HOSAF FIBRES (PTY) LTD             </t>
  </si>
  <si>
    <t>bonga</t>
  </si>
  <si>
    <t xml:space="preserve">TORGA OPTICAL LENS MANUFACTURI     </t>
  </si>
  <si>
    <t>Sarah</t>
  </si>
  <si>
    <t xml:space="preserve">l t naiker                    </t>
  </si>
  <si>
    <t xml:space="preserve">POD received from cell 0849917765 M     </t>
  </si>
  <si>
    <t>SUSAN</t>
  </si>
  <si>
    <t xml:space="preserve">AIR PRODUCTS                       </t>
  </si>
  <si>
    <t>norman</t>
  </si>
  <si>
    <t>LABIUS</t>
  </si>
  <si>
    <t xml:space="preserve">ANALOG   DIGITAL POWER ELECTRO     </t>
  </si>
  <si>
    <t>j wait</t>
  </si>
  <si>
    <t xml:space="preserve">MMS TECHNOLOGY PTY LTD             </t>
  </si>
  <si>
    <t>RODGER</t>
  </si>
  <si>
    <t>POD received from cell 06314326232 M</t>
  </si>
  <si>
    <t>DERRICK</t>
  </si>
  <si>
    <t>BRENT JARVIS</t>
  </si>
  <si>
    <t>MOOSA RAWAT</t>
  </si>
  <si>
    <t>Robert</t>
  </si>
  <si>
    <t>symon</t>
  </si>
  <si>
    <t xml:space="preserve">VOLKSWAGEN OF SA (VC 3055)         </t>
  </si>
  <si>
    <t>JOWILL</t>
  </si>
  <si>
    <t>POD received from cell 0745551516 M</t>
  </si>
  <si>
    <t xml:space="preserve">COCA COLA SHANDUKA BEVERAGES       </t>
  </si>
  <si>
    <t>a styne</t>
  </si>
  <si>
    <t>ss4011185590</t>
  </si>
  <si>
    <t>Lincoln</t>
  </si>
  <si>
    <t>Gilbert</t>
  </si>
  <si>
    <t xml:space="preserve">DIVFOOD                            </t>
  </si>
  <si>
    <t>PLEASE COLLECT PARCEL FROM THABO</t>
  </si>
  <si>
    <t>ROBERT MOLOI</t>
  </si>
  <si>
    <t>rdl</t>
  </si>
  <si>
    <t xml:space="preserve">PROMX                              </t>
  </si>
  <si>
    <t>WADE</t>
  </si>
  <si>
    <t>SYVONNE KING</t>
  </si>
  <si>
    <t>susan</t>
  </si>
  <si>
    <t xml:space="preserve">MOSEBETSI                     </t>
  </si>
  <si>
    <t xml:space="preserve">bmg                                </t>
  </si>
  <si>
    <t>d ridge</t>
  </si>
  <si>
    <t>DERERR</t>
  </si>
  <si>
    <t xml:space="preserve">COUNTY FAIR FOODS                  </t>
  </si>
  <si>
    <t>KEANEN</t>
  </si>
  <si>
    <t>POD received from cell 0791576046 M</t>
  </si>
  <si>
    <t>FAUR1</t>
  </si>
  <si>
    <t>FAURE</t>
  </si>
  <si>
    <t xml:space="preserve">ITHEMBA LABS                       </t>
  </si>
  <si>
    <t>WAYNE KEARNS</t>
  </si>
  <si>
    <t>basil</t>
  </si>
  <si>
    <t>POD received from cell 0836523461 M</t>
  </si>
  <si>
    <t xml:space="preserve">METAPIPE INSTALATIONS SOLUTION     </t>
  </si>
  <si>
    <t>Leigh she</t>
  </si>
  <si>
    <t xml:space="preserve">COROBRICK (PTY) LTD                </t>
  </si>
  <si>
    <t>Steven</t>
  </si>
  <si>
    <t xml:space="preserve">SENIOR FLEXONICS (SA) (PTY) LT     </t>
  </si>
  <si>
    <t>Clayton</t>
  </si>
  <si>
    <t xml:space="preserve">UMICORE CATALYST SA PTY LTD        </t>
  </si>
  <si>
    <t>karl</t>
  </si>
  <si>
    <t>CHRISTELENE LUNDALL</t>
  </si>
  <si>
    <t>godfry</t>
  </si>
  <si>
    <t xml:space="preserve">Thabane                       </t>
  </si>
  <si>
    <t xml:space="preserve">A C PNEUMATICS                     </t>
  </si>
  <si>
    <t>kurn</t>
  </si>
  <si>
    <t xml:space="preserve">r s sardha                    </t>
  </si>
  <si>
    <t xml:space="preserve">POD received from cell 0733966806 M     </t>
  </si>
  <si>
    <t xml:space="preserve">SUNNY MACHINES MANUFACTURING P     </t>
  </si>
  <si>
    <t>H Paulis</t>
  </si>
  <si>
    <t xml:space="preserve">GAYATRI PAPER MILLS PTY LTD        </t>
  </si>
  <si>
    <t>henry</t>
  </si>
  <si>
    <t xml:space="preserve">G LUNDALL                     </t>
  </si>
  <si>
    <t>phillip</t>
  </si>
  <si>
    <t xml:space="preserve">JOHNSON MATTHEY SALTS              </t>
  </si>
  <si>
    <t>COENRAD</t>
  </si>
  <si>
    <t xml:space="preserve">Jeff                          </t>
  </si>
  <si>
    <t xml:space="preserve">ENVIRONSERV                        </t>
  </si>
  <si>
    <t>Nkhathalleng</t>
  </si>
  <si>
    <t xml:space="preserve">BALLENA TRADING 31 PTY LTD         </t>
  </si>
  <si>
    <t>RISHAL RAMKISSORE</t>
  </si>
  <si>
    <t>Lindela</t>
  </si>
  <si>
    <t xml:space="preserve">EDEN BEARINGS   ENGENEERING        </t>
  </si>
  <si>
    <t>DANIEL</t>
  </si>
  <si>
    <t>dudu</t>
  </si>
  <si>
    <t xml:space="preserve">NATIONAL ADHESIVE DIST             </t>
  </si>
  <si>
    <t>Sandra</t>
  </si>
  <si>
    <t>WERNER</t>
  </si>
  <si>
    <t>oupa</t>
  </si>
  <si>
    <t xml:space="preserve">Janine                        </t>
  </si>
  <si>
    <t xml:space="preserve">POD received from cell 0781645066 M     </t>
  </si>
  <si>
    <t xml:space="preserve">NICRO INDUSTRIAL                   </t>
  </si>
  <si>
    <t>Sharon</t>
  </si>
  <si>
    <t>nigel</t>
  </si>
  <si>
    <t xml:space="preserve">oupa                          </t>
  </si>
  <si>
    <t xml:space="preserve">CAPE TOWN IRON AND STEEL WORKS     </t>
  </si>
  <si>
    <t>RECEVING</t>
  </si>
  <si>
    <t>Leonard</t>
  </si>
  <si>
    <t xml:space="preserve">jacob                         </t>
  </si>
  <si>
    <t xml:space="preserve">ANTHONY                       </t>
  </si>
  <si>
    <t xml:space="preserve">POD received from cell 0612827599 M     </t>
  </si>
  <si>
    <t xml:space="preserve">GARAGE DOOR   HOUSE DOOR INSTA     </t>
  </si>
  <si>
    <t>ray</t>
  </si>
  <si>
    <t xml:space="preserve">CLOVER S.A                         </t>
  </si>
  <si>
    <t>Lucille</t>
  </si>
  <si>
    <t xml:space="preserve">ED EXPORTS SERVICES                </t>
  </si>
  <si>
    <t>leana</t>
  </si>
  <si>
    <t>POD received from cell 0829263252 M</t>
  </si>
  <si>
    <t>allister</t>
  </si>
  <si>
    <t xml:space="preserve">PBA ENGINEERING                    </t>
  </si>
  <si>
    <t>FAAN</t>
  </si>
  <si>
    <t>faron</t>
  </si>
  <si>
    <t>Enoch</t>
  </si>
  <si>
    <t>mrs bruintjies</t>
  </si>
  <si>
    <t>Walton</t>
  </si>
  <si>
    <t xml:space="preserve">MONDELEZ PE FACTORY INC            </t>
  </si>
  <si>
    <t>Jeanette</t>
  </si>
  <si>
    <t xml:space="preserve">SHATTERPRUFE TRADING SA            </t>
  </si>
  <si>
    <t>merwin</t>
  </si>
  <si>
    <t xml:space="preserve">EBERSPACHER ROSSLYN                </t>
  </si>
  <si>
    <t>evelyn</t>
  </si>
  <si>
    <t xml:space="preserve">CAPE GATE                          </t>
  </si>
  <si>
    <t>Dean</t>
  </si>
  <si>
    <t>DONNY</t>
  </si>
  <si>
    <t>LAZARUS</t>
  </si>
  <si>
    <t>mpetho</t>
  </si>
  <si>
    <t xml:space="preserve">MAXAM DANTEX SA PTY LTD            </t>
  </si>
  <si>
    <t>Maureen</t>
  </si>
  <si>
    <t xml:space="preserve">FAURECIA EMISSIONS CONTROL TEC     </t>
  </si>
  <si>
    <t xml:space="preserve">Thulani                       </t>
  </si>
  <si>
    <t xml:space="preserve">ACK SOLUTIONS PTY LTD              </t>
  </si>
  <si>
    <t>LEANIE</t>
  </si>
  <si>
    <t xml:space="preserve">PARAMOUNT ADVACED TECHNOLOGIES     </t>
  </si>
  <si>
    <t xml:space="preserve">POD received from cell 0607554453 M     </t>
  </si>
  <si>
    <t xml:space="preserve">PSA TECHNOLOGY GROUP               </t>
  </si>
  <si>
    <t>esra</t>
  </si>
  <si>
    <t>christian</t>
  </si>
  <si>
    <t>Conrud</t>
  </si>
  <si>
    <t xml:space="preserve">Andrew                        </t>
  </si>
  <si>
    <t>UMKOM</t>
  </si>
  <si>
    <t>UMKOMAAS</t>
  </si>
  <si>
    <t>Moosa Mfomi</t>
  </si>
  <si>
    <t>CEDRIC</t>
  </si>
  <si>
    <t>POD received from cell 0612743370 M</t>
  </si>
  <si>
    <t>Cedric</t>
  </si>
  <si>
    <t>S ROSSOUW</t>
  </si>
  <si>
    <t xml:space="preserve">MA AUTOMOTIVE TOOL   DIE PTY L     </t>
  </si>
  <si>
    <t>j alfred</t>
  </si>
  <si>
    <t>POD received from cell 0710141145 M</t>
  </si>
  <si>
    <t xml:space="preserve">LANXESS (PTY) LTD                  </t>
  </si>
  <si>
    <t>philani</t>
  </si>
  <si>
    <t xml:space="preserve">GARY                          </t>
  </si>
  <si>
    <t>vishnu</t>
  </si>
  <si>
    <t xml:space="preserve">LISA                          </t>
  </si>
  <si>
    <t xml:space="preserve">POD received from cell 0761383282 M     </t>
  </si>
  <si>
    <t xml:space="preserve">RYMCO PTY LTD T A ANCHOR YEAST     </t>
  </si>
  <si>
    <t>Therina</t>
  </si>
  <si>
    <t>nicjolas</t>
  </si>
  <si>
    <t>Pasrcel</t>
  </si>
  <si>
    <t>Tharul</t>
  </si>
  <si>
    <t xml:space="preserve">Buyile                        </t>
  </si>
  <si>
    <t>JOHAN VAN STADEN</t>
  </si>
  <si>
    <t>f kruger</t>
  </si>
  <si>
    <t>SHIRAAZ</t>
  </si>
  <si>
    <t xml:space="preserve">CB PNEUMATICS PTY LTD              </t>
  </si>
  <si>
    <t>elmarie</t>
  </si>
  <si>
    <t>leoni</t>
  </si>
  <si>
    <t xml:space="preserve">TRUDA SNACKS CAPE CC               </t>
  </si>
  <si>
    <t xml:space="preserve">AFRISAM SA                         </t>
  </si>
  <si>
    <t xml:space="preserve">THE HYDRAULIC CENTRE CC            </t>
  </si>
  <si>
    <t>BETHA</t>
  </si>
  <si>
    <t>BETHAL</t>
  </si>
  <si>
    <t xml:space="preserve">HARTMAN INDUST EQUIPMENT C.C       </t>
  </si>
  <si>
    <t>Corn</t>
  </si>
  <si>
    <t>POD received from cell 0793639585 M</t>
  </si>
  <si>
    <t xml:space="preserve">A DE KOCKE                    </t>
  </si>
  <si>
    <t>DAPHENY</t>
  </si>
  <si>
    <t xml:space="preserve">LEE MINING INVESTMENT HOLDINGS     </t>
  </si>
  <si>
    <t>heley</t>
  </si>
  <si>
    <t>POD received from cell 0781056609 M</t>
  </si>
  <si>
    <t xml:space="preserve">IMPROCHEM PTY                      </t>
  </si>
  <si>
    <t>STELLE JANSE VAN RENSBURG</t>
  </si>
  <si>
    <t>estelle</t>
  </si>
  <si>
    <t>nontobeko</t>
  </si>
  <si>
    <t xml:space="preserve">PLANTATION SHUTTERS PTY LTD        </t>
  </si>
  <si>
    <t>VOILET</t>
  </si>
  <si>
    <t>PETER</t>
  </si>
  <si>
    <t>Wilbur</t>
  </si>
  <si>
    <t>trevor</t>
  </si>
  <si>
    <t xml:space="preserve">PAARL PNEUMATICS CC                </t>
  </si>
  <si>
    <t>POD received from cell 0640497784 M</t>
  </si>
  <si>
    <t xml:space="preserve">INDECON CC                         </t>
  </si>
  <si>
    <t>a nel</t>
  </si>
  <si>
    <t xml:space="preserve">UNILEVER OF STELLENBOSCH           </t>
  </si>
  <si>
    <t xml:space="preserve">HYFLO SA                           </t>
  </si>
  <si>
    <t>Zane</t>
  </si>
  <si>
    <t xml:space="preserve">PROCESS VALVE CORPORATION CC       </t>
  </si>
  <si>
    <t>Calvin</t>
  </si>
  <si>
    <t xml:space="preserve">BEARINGS DISTRIBUTORS WESKUS       </t>
  </si>
  <si>
    <t>HEINRICH</t>
  </si>
  <si>
    <t>POD received from cell 0603609417 M</t>
  </si>
  <si>
    <t xml:space="preserve">AFRICAN HERITAGE CONTRACT PACK     </t>
  </si>
  <si>
    <t>Deon</t>
  </si>
  <si>
    <t xml:space="preserve">CHEP SA PTY LTD                    </t>
  </si>
  <si>
    <t xml:space="preserve">chantel                       </t>
  </si>
  <si>
    <t xml:space="preserve">SA SUGAR ASSOCIATION               </t>
  </si>
  <si>
    <t xml:space="preserve">MOSEBEFI                      </t>
  </si>
  <si>
    <t xml:space="preserve">Bongi                         </t>
  </si>
  <si>
    <t xml:space="preserve">AVION EAST RAND PTY LTD            </t>
  </si>
  <si>
    <t xml:space="preserve">LUCAS                         </t>
  </si>
  <si>
    <t xml:space="preserve">UNIVERSAL CLIPS                    </t>
  </si>
  <si>
    <t>BRIAN HUNKIN</t>
  </si>
  <si>
    <t>LINDIWE</t>
  </si>
  <si>
    <t xml:space="preserve">RAINBOW RCL FOODS SUGAR   MILL     </t>
  </si>
  <si>
    <t>RAINBOW RCL FOODS SUGAR   MILL</t>
  </si>
  <si>
    <t xml:space="preserve">ASSMANG MANGANESE                  </t>
  </si>
  <si>
    <t xml:space="preserve">simon                         </t>
  </si>
  <si>
    <t xml:space="preserve">POD received from cell 0795396044 M     </t>
  </si>
  <si>
    <t xml:space="preserve">AUTOLIV SA                         </t>
  </si>
  <si>
    <t>HANLIE</t>
  </si>
  <si>
    <t xml:space="preserve">ENGELA                        </t>
  </si>
  <si>
    <t xml:space="preserve">POD received from cell 0783924816 M     </t>
  </si>
  <si>
    <t xml:space="preserve">DUNLOP INDUSTRIAL PRODUCTS PTY     </t>
  </si>
  <si>
    <t>Julian</t>
  </si>
  <si>
    <t xml:space="preserve">THE SIMBA GROUP LTD                </t>
  </si>
  <si>
    <t>ravi</t>
  </si>
  <si>
    <t xml:space="preserve">FONTANA MANUFACTURERS PTY LTD      </t>
  </si>
  <si>
    <t>HANNES</t>
  </si>
  <si>
    <t xml:space="preserve">AUTOMATION WORKS GAUTENG(PTY)      </t>
  </si>
  <si>
    <t>REVIEVING</t>
  </si>
  <si>
    <t>Senzeni</t>
  </si>
  <si>
    <t xml:space="preserve">TECHNIMAC (PTY)LTD                 </t>
  </si>
  <si>
    <t>ANNA</t>
  </si>
  <si>
    <t xml:space="preserve">SOLLY                         </t>
  </si>
  <si>
    <t xml:space="preserve">TECHNO MED CC                      </t>
  </si>
  <si>
    <t>patricia</t>
  </si>
  <si>
    <t xml:space="preserve">PFERD SA PTY LTD                   </t>
  </si>
  <si>
    <t>paulina</t>
  </si>
  <si>
    <t>STEVENS</t>
  </si>
  <si>
    <t xml:space="preserve">PMD PACKAGING SYSTEMS              </t>
  </si>
  <si>
    <t xml:space="preserve">ANDRE                         </t>
  </si>
  <si>
    <t xml:space="preserve">Alida                         </t>
  </si>
  <si>
    <t xml:space="preserve">JESSOP   ASSOCIATES (PTY) LTD      </t>
  </si>
  <si>
    <t>d w smit</t>
  </si>
  <si>
    <t xml:space="preserve">FEDELITY CASHMASTER                </t>
  </si>
  <si>
    <t xml:space="preserve">hennie                        </t>
  </si>
  <si>
    <t xml:space="preserve">lucas                         </t>
  </si>
  <si>
    <t xml:space="preserve">MISTER SWEET PTY LTD               </t>
  </si>
  <si>
    <t>thabo</t>
  </si>
  <si>
    <t xml:space="preserve">CIRCUIT INDUSTRIAL SUPPLIES PT     </t>
  </si>
  <si>
    <t>Des</t>
  </si>
  <si>
    <t xml:space="preserve">sam williams                  </t>
  </si>
  <si>
    <t xml:space="preserve">HALL LONGMORE HOLDINGS PTY LTD     </t>
  </si>
  <si>
    <t>zama</t>
  </si>
  <si>
    <t xml:space="preserve">COMPUSCAN                          </t>
  </si>
  <si>
    <t>daleen</t>
  </si>
  <si>
    <t xml:space="preserve">George                        </t>
  </si>
  <si>
    <t xml:space="preserve">WEST WEIGH SYSTEMS                 </t>
  </si>
  <si>
    <t>JONA</t>
  </si>
  <si>
    <t xml:space="preserve">BUHLER PTY LTD                     </t>
  </si>
  <si>
    <t xml:space="preserve">XOLANI                        </t>
  </si>
  <si>
    <t>lindzey</t>
  </si>
  <si>
    <t>shane</t>
  </si>
  <si>
    <t>pfes1162568910 0001</t>
  </si>
  <si>
    <t>CERES</t>
  </si>
  <si>
    <t xml:space="preserve">CERES FRUIT PROCESSORS LTD         </t>
  </si>
  <si>
    <t>CALLIE JACOBS</t>
  </si>
  <si>
    <t>C jacobs</t>
  </si>
  <si>
    <t>POD received from cell 0826342908 M</t>
  </si>
  <si>
    <t>RTS RFES1162568772</t>
  </si>
  <si>
    <t>IVY</t>
  </si>
  <si>
    <t xml:space="preserve">Phumlani                      </t>
  </si>
  <si>
    <t xml:space="preserve">FEDERAL MOGUL SEALING SYSTEMS      </t>
  </si>
  <si>
    <t>QUINTIN</t>
  </si>
  <si>
    <t xml:space="preserve">ryno                          </t>
  </si>
  <si>
    <t xml:space="preserve">TOTAL SOURCE TRADING               </t>
  </si>
  <si>
    <t>KEITH</t>
  </si>
  <si>
    <t>Shanell</t>
  </si>
  <si>
    <t>gordon</t>
  </si>
  <si>
    <t>BENJAMIN</t>
  </si>
  <si>
    <t>b michaels</t>
  </si>
  <si>
    <t>Reyno</t>
  </si>
  <si>
    <t xml:space="preserve">APOLLO BRICK                       </t>
  </si>
  <si>
    <t>APOLLO BRICK</t>
  </si>
  <si>
    <t xml:space="preserve">EVOTEC PLASTICPTY LTD              </t>
  </si>
  <si>
    <t>kudoi</t>
  </si>
  <si>
    <t xml:space="preserve">sandisiwe                     </t>
  </si>
  <si>
    <t xml:space="preserve">MW WHEELS SA (PTY) LTD             </t>
  </si>
  <si>
    <t>Closby</t>
  </si>
  <si>
    <t xml:space="preserve">AUTOMATED SYSTEM WORK (PTY)LTD     </t>
  </si>
  <si>
    <t xml:space="preserve">mekini                        </t>
  </si>
  <si>
    <t xml:space="preserve">POD received from cell 0720332597 M     </t>
  </si>
  <si>
    <t>TREVOR VAN DER WALT</t>
  </si>
  <si>
    <t>Debbie</t>
  </si>
  <si>
    <t xml:space="preserve">ENVIRON SKIN CARE (PTY) LTD        </t>
  </si>
  <si>
    <t>jacqUES</t>
  </si>
  <si>
    <t>monty</t>
  </si>
  <si>
    <t xml:space="preserve">SPICER AXLE (PTY) LTD              </t>
  </si>
  <si>
    <t>Xoliani Antoni</t>
  </si>
  <si>
    <t>marelise</t>
  </si>
  <si>
    <t>FAHEEMAH AMERICA</t>
  </si>
  <si>
    <t>SPHEZ</t>
  </si>
  <si>
    <t>gerry</t>
  </si>
  <si>
    <t>SHERMAN</t>
  </si>
  <si>
    <t>RENDANI</t>
  </si>
  <si>
    <t>Mercia Roets</t>
  </si>
  <si>
    <t>M D Raole</t>
  </si>
  <si>
    <t>mintoor</t>
  </si>
  <si>
    <t>DELIVER ON1 AS PER TONY</t>
  </si>
  <si>
    <t>Peter Mulock Houwer</t>
  </si>
  <si>
    <t>peter</t>
  </si>
  <si>
    <t>OFENSTE</t>
  </si>
  <si>
    <t>richard</t>
  </si>
  <si>
    <t>Fodo</t>
  </si>
  <si>
    <t>NEWCA</t>
  </si>
  <si>
    <t>NEWCASTLE</t>
  </si>
  <si>
    <t xml:space="preserve">HENCOR HYDRAULICS                  </t>
  </si>
  <si>
    <t>Vehicle breakdown</t>
  </si>
  <si>
    <t>POD received from cell 0826848550 M</t>
  </si>
  <si>
    <t xml:space="preserve">Natalie                       </t>
  </si>
  <si>
    <t xml:space="preserve">MILLNERS DENTAL SUPPLIERS          </t>
  </si>
  <si>
    <t xml:space="preserve">DANOHER                            </t>
  </si>
  <si>
    <t>nqobile</t>
  </si>
  <si>
    <t>POD received from cell 0797608190 M</t>
  </si>
  <si>
    <t>ANGELO</t>
  </si>
  <si>
    <t xml:space="preserve">Dwain                         </t>
  </si>
  <si>
    <t xml:space="preserve">Ascendis Supply Chain              </t>
  </si>
  <si>
    <t>GIBSON</t>
  </si>
  <si>
    <t xml:space="preserve">ABRAM                         </t>
  </si>
  <si>
    <t>STUTT</t>
  </si>
  <si>
    <t>STUTTERHEIM</t>
  </si>
  <si>
    <t xml:space="preserve">BOARDMAN BROS PTY LTD              </t>
  </si>
  <si>
    <t>RECIEVED</t>
  </si>
  <si>
    <t>ELOISE</t>
  </si>
  <si>
    <t>signed</t>
  </si>
  <si>
    <t>gina</t>
  </si>
  <si>
    <t>nditsheni</t>
  </si>
  <si>
    <t>TREVOR Adams</t>
  </si>
  <si>
    <t xml:space="preserve">BURKERT CONTROMATIC PTY LTD        </t>
  </si>
  <si>
    <t>A V Zyl</t>
  </si>
  <si>
    <t>nathan</t>
  </si>
  <si>
    <t xml:space="preserve">RIDGE DISTRIBUTORS CC              </t>
  </si>
  <si>
    <t>SHANICE</t>
  </si>
  <si>
    <t>NELSP</t>
  </si>
  <si>
    <t>NELSPRUIT</t>
  </si>
  <si>
    <t xml:space="preserve">TRANSNET ENGENEERING               </t>
  </si>
  <si>
    <t>jerome</t>
  </si>
  <si>
    <t>POD received from cell 0648706606 M</t>
  </si>
  <si>
    <t>WARREN   Julian Chetty</t>
  </si>
  <si>
    <t>kitesh</t>
  </si>
  <si>
    <t>VEENA</t>
  </si>
  <si>
    <t xml:space="preserve">JOHN BEANTECHNOLOGIES PTY LTD      </t>
  </si>
  <si>
    <t>HADRIAN</t>
  </si>
  <si>
    <t xml:space="preserve">BLUE RIBBON BAKERY CPT             </t>
  </si>
  <si>
    <t>e bernhardi</t>
  </si>
  <si>
    <t>CLEM GRUNWALD</t>
  </si>
  <si>
    <t>joey</t>
  </si>
  <si>
    <t>TUWANI MUTHAMBI</t>
  </si>
  <si>
    <t>fraser</t>
  </si>
  <si>
    <t xml:space="preserve">POWER WORKS                        </t>
  </si>
  <si>
    <t>Jay Jay</t>
  </si>
  <si>
    <t>r geduld</t>
  </si>
  <si>
    <t xml:space="preserve">BEVCAN                             </t>
  </si>
  <si>
    <t>JOUBERT</t>
  </si>
  <si>
    <t xml:space="preserve">COPPER TUBING AFRICA               </t>
  </si>
  <si>
    <t>graham</t>
  </si>
  <si>
    <t xml:space="preserve">TUPPERWARE SA                      </t>
  </si>
  <si>
    <t>charlo</t>
  </si>
  <si>
    <t xml:space="preserve">BLISS CHEMICALS                    </t>
  </si>
  <si>
    <t xml:space="preserve">WINTERTIDE TRADING 69 CC           </t>
  </si>
  <si>
    <t>prem</t>
  </si>
  <si>
    <t xml:space="preserve">LATHAM FILTARTION TECHNOLOGY P     </t>
  </si>
  <si>
    <t>MULLER</t>
  </si>
  <si>
    <t xml:space="preserve">sunitha                       </t>
  </si>
  <si>
    <t>jurgens</t>
  </si>
  <si>
    <t xml:space="preserve">SAFRIPOL (PTY) LTD                 </t>
  </si>
  <si>
    <t>REBECCA</t>
  </si>
  <si>
    <t xml:space="preserve">thami                         </t>
  </si>
  <si>
    <t xml:space="preserve">OPTO AFRICA (PTY) LTD              </t>
  </si>
  <si>
    <t>POD received from cell 0728465106 M</t>
  </si>
  <si>
    <t>NOMBULELO</t>
  </si>
  <si>
    <t>muzi</t>
  </si>
  <si>
    <t xml:space="preserve">CARRISTON                     </t>
  </si>
  <si>
    <t xml:space="preserve">SOUTH AFRICAN BRAKEFLUID   COO     </t>
  </si>
  <si>
    <t>nirasha</t>
  </si>
  <si>
    <t>OFENYSE</t>
  </si>
  <si>
    <t xml:space="preserve">FPM SUPPLIES                       </t>
  </si>
  <si>
    <t>P NEL</t>
  </si>
  <si>
    <t xml:space="preserve">SUPERNICE WINFUL (PTY) LTD         </t>
  </si>
  <si>
    <t>shima desire gisande</t>
  </si>
  <si>
    <t>ITUMELENG</t>
  </si>
  <si>
    <t>terence</t>
  </si>
  <si>
    <t xml:space="preserve">GEMU VALUES AFRICA                 </t>
  </si>
  <si>
    <t>BRENDA</t>
  </si>
  <si>
    <t xml:space="preserve">GENREC ENGINEERING                 </t>
  </si>
  <si>
    <t>KHANYISILE</t>
  </si>
  <si>
    <t>Prait</t>
  </si>
  <si>
    <t>Baij</t>
  </si>
  <si>
    <t xml:space="preserve">KELLOGGS CO OF SA                  </t>
  </si>
  <si>
    <t>ISAAC</t>
  </si>
  <si>
    <t>PETER MULOCK</t>
  </si>
  <si>
    <t>m heyns</t>
  </si>
  <si>
    <t xml:space="preserve">PROCESS DYNAMICS PTY LTD           </t>
  </si>
  <si>
    <t>monique</t>
  </si>
  <si>
    <t xml:space="preserve">YANFENG SA AUTOMOTIVE              </t>
  </si>
  <si>
    <t>Nyameka</t>
  </si>
  <si>
    <t>Flyer Flyer Flyer</t>
  </si>
  <si>
    <t xml:space="preserve">Nickey                        </t>
  </si>
  <si>
    <t>Rian</t>
  </si>
  <si>
    <t xml:space="preserve">FREDDY HIRCH   CO                  </t>
  </si>
  <si>
    <t>patsy</t>
  </si>
  <si>
    <t xml:space="preserve">SMARTSTONE KZN DIV OF              </t>
  </si>
  <si>
    <t>ALAN</t>
  </si>
  <si>
    <t>Douglas</t>
  </si>
  <si>
    <t xml:space="preserve">DIPUO                         </t>
  </si>
  <si>
    <t xml:space="preserve">Grant                         </t>
  </si>
  <si>
    <t xml:space="preserve">CLOVER S.A PTY LTD                 </t>
  </si>
  <si>
    <t>s  aiden</t>
  </si>
  <si>
    <t xml:space="preserve">frank                         </t>
  </si>
  <si>
    <t>clive</t>
  </si>
  <si>
    <t>vijay</t>
  </si>
  <si>
    <t>Selby</t>
  </si>
  <si>
    <t xml:space="preserve">UMGENI WATER PINETOWN              </t>
  </si>
  <si>
    <t>Olga</t>
  </si>
  <si>
    <t xml:space="preserve">QUALITEC ENGINEERING CC            </t>
  </si>
  <si>
    <t xml:space="preserve">tbertson                      </t>
  </si>
  <si>
    <t>LUSANI</t>
  </si>
  <si>
    <t xml:space="preserve">SHATTERPRUFE TRADING               </t>
  </si>
  <si>
    <t>shabalala</t>
  </si>
  <si>
    <t xml:space="preserve">MARTIN   MARTIN (PTY) LTD          </t>
  </si>
  <si>
    <t>Pam</t>
  </si>
  <si>
    <t>marlene</t>
  </si>
  <si>
    <t>TAKUNDA</t>
  </si>
  <si>
    <t xml:space="preserve">DYNAMIC BRANDS PTY LTD             </t>
  </si>
  <si>
    <t>Nelson</t>
  </si>
  <si>
    <t xml:space="preserve">richard                       </t>
  </si>
  <si>
    <t>Stacy</t>
  </si>
  <si>
    <t xml:space="preserve">KNORR-BREMSE (S.A.)(PTY) LTD       </t>
  </si>
  <si>
    <t xml:space="preserve">anneline                      </t>
  </si>
  <si>
    <t xml:space="preserve">POD received from cell 0837323487 M     </t>
  </si>
  <si>
    <t xml:space="preserve">PROPROCESS ENGENEERING             </t>
  </si>
  <si>
    <t>Sandy</t>
  </si>
  <si>
    <t>Stanton</t>
  </si>
  <si>
    <t xml:space="preserve">CTP PRINTERS CPT                   </t>
  </si>
  <si>
    <t xml:space="preserve">n africa                      </t>
  </si>
  <si>
    <t xml:space="preserve">SAFIKA CEMENT HOLDINGS (PTY) L     </t>
  </si>
  <si>
    <t>JE  Daniel</t>
  </si>
  <si>
    <t>PIETER RAUBENHEIMER</t>
  </si>
  <si>
    <t xml:space="preserve">s sauders                     </t>
  </si>
  <si>
    <t xml:space="preserve">AUTOMATION MANUFACTURE SOLUTIO     </t>
  </si>
  <si>
    <t>CODY</t>
  </si>
  <si>
    <t xml:space="preserve">SANDILE                       </t>
  </si>
  <si>
    <t>Giona</t>
  </si>
  <si>
    <t>short supplied</t>
  </si>
  <si>
    <t xml:space="preserve">SPRING MEADOW DAIRY FARM (PTY)     </t>
  </si>
  <si>
    <t>Darlington</t>
  </si>
  <si>
    <t xml:space="preserve">ILLOVO SUGAR LTD-ESTON MILL        </t>
  </si>
  <si>
    <t>JOSEPH</t>
  </si>
  <si>
    <t xml:space="preserve">COBRA WATERTECH (PTY)LTD           </t>
  </si>
  <si>
    <t>M MEYER</t>
  </si>
  <si>
    <t xml:space="preserve">TONGAAT HULLETTS GROUP LTD         </t>
  </si>
  <si>
    <t>stamp</t>
  </si>
  <si>
    <t>Mabuyi Lerato</t>
  </si>
  <si>
    <t xml:space="preserve">PANEL TECHNIQUE (PTY)LTD           </t>
  </si>
  <si>
    <t>Collin</t>
  </si>
  <si>
    <t>G G LUNDALL</t>
  </si>
  <si>
    <t xml:space="preserve">NASA INDUSTRIAL SUPPLIES           </t>
  </si>
  <si>
    <t xml:space="preserve">ntokozo                       </t>
  </si>
  <si>
    <t xml:space="preserve">POD received from cell 0782274968 M     </t>
  </si>
  <si>
    <t xml:space="preserve">vincent                       </t>
  </si>
  <si>
    <t xml:space="preserve">POD received from cell 0721881256 M     </t>
  </si>
  <si>
    <t xml:space="preserve">Ricky                         </t>
  </si>
  <si>
    <t>thato</t>
  </si>
  <si>
    <t>innocent</t>
  </si>
  <si>
    <t xml:space="preserve">ROMATEX HOME TEXTILES PTY LTD      </t>
  </si>
  <si>
    <t>Gugu</t>
  </si>
  <si>
    <t xml:space="preserve">IMP AUTOMATED LABORATORY SERVI     </t>
  </si>
  <si>
    <t>jonas</t>
  </si>
  <si>
    <t>SASOL CHEMICALS SA</t>
  </si>
  <si>
    <t xml:space="preserve">SOUTHERN SERVICES CC               </t>
  </si>
  <si>
    <t>alnick</t>
  </si>
  <si>
    <t>REICEVING</t>
  </si>
  <si>
    <t xml:space="preserve">zakhele                       </t>
  </si>
  <si>
    <t>vernom</t>
  </si>
  <si>
    <t>SIMON</t>
  </si>
  <si>
    <t xml:space="preserve">NADO TECHNICAL SERVICES   INDU     </t>
  </si>
  <si>
    <t>nicolene</t>
  </si>
  <si>
    <t>POD received from cell 0603956149 M</t>
  </si>
  <si>
    <t>A STOLTZ</t>
  </si>
  <si>
    <t>JOHN</t>
  </si>
  <si>
    <t>celerity</t>
  </si>
  <si>
    <t xml:space="preserve">RIA SMITH                     </t>
  </si>
  <si>
    <t xml:space="preserve">POD received from cell 0787490318 M     </t>
  </si>
  <si>
    <t>wes</t>
  </si>
  <si>
    <t xml:space="preserve">HIGH FORCE HYDRAULIC PNEUMATIC     </t>
  </si>
  <si>
    <t>julie</t>
  </si>
  <si>
    <t xml:space="preserve">HYDRAULIC INDUSTRIAL SUPPLIES      </t>
  </si>
  <si>
    <t>C SPYT</t>
  </si>
  <si>
    <t>KHUMBULA</t>
  </si>
  <si>
    <t xml:space="preserve">J Mathee                      </t>
  </si>
  <si>
    <t>RCL FOODS CONSUMER PTY</t>
  </si>
  <si>
    <t>FLS TECHNICAL SERVICE</t>
  </si>
  <si>
    <t xml:space="preserve">STEEL BEST MANUFACTURING PTY L     </t>
  </si>
  <si>
    <t xml:space="preserve">Wardah                        </t>
  </si>
  <si>
    <t xml:space="preserve">JOHNSON MATTHEY PTY LTD            </t>
  </si>
  <si>
    <t xml:space="preserve">TECTRA AUTOMATION                  </t>
  </si>
  <si>
    <t xml:space="preserve">BIC SA PTY LTD                     </t>
  </si>
  <si>
    <t>ESTERHLINE</t>
  </si>
  <si>
    <t xml:space="preserve">AMOS                          </t>
  </si>
  <si>
    <t xml:space="preserve">TENNECO RIDE CONTROL SA            </t>
  </si>
  <si>
    <t>Gavin</t>
  </si>
  <si>
    <t>Tharick</t>
  </si>
  <si>
    <t xml:space="preserve">HULAMIN OPERATIONTS PTY LTD        </t>
  </si>
  <si>
    <t>Sindy</t>
  </si>
  <si>
    <t>themilani</t>
  </si>
  <si>
    <t xml:space="preserve">ivan                          </t>
  </si>
  <si>
    <t>johan</t>
  </si>
  <si>
    <t xml:space="preserve">CSX CUSTOMER SERVICES (PTY)LTD     </t>
  </si>
  <si>
    <t>ILLEGE</t>
  </si>
  <si>
    <t xml:space="preserve">Jessica                       </t>
  </si>
  <si>
    <t>thatho</t>
  </si>
  <si>
    <t>ALPHEAUS</t>
  </si>
  <si>
    <t>LINDA</t>
  </si>
  <si>
    <t>JACK</t>
  </si>
  <si>
    <t>Busile</t>
  </si>
  <si>
    <t>Zach</t>
  </si>
  <si>
    <t>R Marks</t>
  </si>
  <si>
    <t xml:space="preserve">THOMAS                        </t>
  </si>
  <si>
    <t xml:space="preserve">Gabriel                       </t>
  </si>
  <si>
    <t xml:space="preserve">ARCH WATER PRODUCTS SA             </t>
  </si>
  <si>
    <t xml:space="preserve">SIZWE                         </t>
  </si>
  <si>
    <t>joseph</t>
  </si>
  <si>
    <t>Sthembiso</t>
  </si>
  <si>
    <t xml:space="preserve">NORTHERN HARDWARE   GLASS (PTY     </t>
  </si>
  <si>
    <t>TARIEN</t>
  </si>
  <si>
    <t>ELIAS</t>
  </si>
  <si>
    <t>aubrey</t>
  </si>
  <si>
    <t xml:space="preserve">Stacy                         </t>
  </si>
  <si>
    <t xml:space="preserve">POD received from cell 0838564279 M     </t>
  </si>
  <si>
    <t xml:space="preserve">trevor                        </t>
  </si>
  <si>
    <t xml:space="preserve">JFE ELECTRONIC ENGINEERING         </t>
  </si>
  <si>
    <t>warrick</t>
  </si>
  <si>
    <t>THULANI</t>
  </si>
  <si>
    <t>turunco</t>
  </si>
  <si>
    <t>marika</t>
  </si>
  <si>
    <t>PHINDILE</t>
  </si>
  <si>
    <t xml:space="preserve">NATIONAL CERAMIC INDUSTRIAL SA     </t>
  </si>
  <si>
    <t>THABANG</t>
  </si>
  <si>
    <t xml:space="preserve">BRITS BAG MANUFACTURES             </t>
  </si>
  <si>
    <t xml:space="preserve">Kerusha                       </t>
  </si>
  <si>
    <t xml:space="preserve">POD received from cell 0648706589 M     </t>
  </si>
  <si>
    <t>j reynders</t>
  </si>
  <si>
    <t xml:space="preserve">Clive                         </t>
  </si>
  <si>
    <t xml:space="preserve">POD received from cell 0625063292 M     </t>
  </si>
  <si>
    <t xml:space="preserve">SME EXPORTS                        </t>
  </si>
  <si>
    <t>AUBREY</t>
  </si>
  <si>
    <t xml:space="preserve">MAIN STREET 1310(PTY) L.T.D        </t>
  </si>
  <si>
    <t>PATRICK</t>
  </si>
  <si>
    <t>marka</t>
  </si>
  <si>
    <t xml:space="preserve">Edwin                         </t>
  </si>
  <si>
    <t>mario</t>
  </si>
  <si>
    <t>lebo</t>
  </si>
  <si>
    <t xml:space="preserve">PREMIER FOODS (PTY) LTD            </t>
  </si>
  <si>
    <t xml:space="preserve">UMKOMAAS LIGNIN                    </t>
  </si>
  <si>
    <t>mali</t>
  </si>
  <si>
    <t>Adilian</t>
  </si>
  <si>
    <t xml:space="preserve">MPACT OPERATIONS PTY LTD           </t>
  </si>
  <si>
    <t>Lennox</t>
  </si>
  <si>
    <t xml:space="preserve">Lincoln                       </t>
  </si>
  <si>
    <t xml:space="preserve">A PAULSE                      </t>
  </si>
  <si>
    <t xml:space="preserve">Dominic                       </t>
  </si>
  <si>
    <t>deez</t>
  </si>
  <si>
    <t xml:space="preserve">nathan                        </t>
  </si>
  <si>
    <t>RTS RFES1162570053</t>
  </si>
  <si>
    <t xml:space="preserve">DG IMPEX CC                        </t>
  </si>
  <si>
    <t xml:space="preserve">JOSEPH                        </t>
  </si>
  <si>
    <t xml:space="preserve">WINPLAS (PTY) LTD                  </t>
  </si>
  <si>
    <t>r rox</t>
  </si>
  <si>
    <t xml:space="preserve">lazola                        </t>
  </si>
  <si>
    <t>THULEBONA</t>
  </si>
  <si>
    <t>portia</t>
  </si>
  <si>
    <t>gugulethu</t>
  </si>
  <si>
    <t xml:space="preserve">NGK CERAMICS SOUTH AFRICA (PTY     </t>
  </si>
  <si>
    <t>Fadous</t>
  </si>
  <si>
    <t>chantelle</t>
  </si>
  <si>
    <t xml:space="preserve">MEGANIESE EN MEGATRONIESE INGE     </t>
  </si>
  <si>
    <t xml:space="preserve">RISHABA TRADING CC                 </t>
  </si>
  <si>
    <t>A Ramjds</t>
  </si>
  <si>
    <t>POD received from cell 0769790129 M</t>
  </si>
  <si>
    <t xml:space="preserve">ILLEG                         </t>
  </si>
  <si>
    <t xml:space="preserve">POD received from cell 0781742249 M     </t>
  </si>
  <si>
    <t xml:space="preserve">ASPEN NUTRITIONALS                 </t>
  </si>
  <si>
    <t>Nico  Fourie</t>
  </si>
  <si>
    <t>ntombi</t>
  </si>
  <si>
    <t>PROSPECH</t>
  </si>
  <si>
    <t xml:space="preserve">Lenn                          </t>
  </si>
  <si>
    <t>marik</t>
  </si>
  <si>
    <t xml:space="preserve">mandipho                      </t>
  </si>
  <si>
    <t xml:space="preserve">Lindo                         </t>
  </si>
  <si>
    <t xml:space="preserve">Lerindia                      </t>
  </si>
  <si>
    <t xml:space="preserve">j alfred                      </t>
  </si>
  <si>
    <t xml:space="preserve">QUADRO PLASTICS (PTY) LTD          </t>
  </si>
  <si>
    <t>robyn</t>
  </si>
  <si>
    <t xml:space="preserve">EXPLOSION PROTECTED                </t>
  </si>
  <si>
    <t xml:space="preserve">SIPHO                         </t>
  </si>
  <si>
    <t>POD received from cell 0761383282 M</t>
  </si>
  <si>
    <t xml:space="preserve">NATIONAL CLOTHING MNFR. PTY LT     </t>
  </si>
  <si>
    <t>JABU</t>
  </si>
  <si>
    <t>POD received from cell 0739861136 M</t>
  </si>
  <si>
    <t xml:space="preserve">ALIEN SYSTEM   TECHNOLOGIES (P     </t>
  </si>
  <si>
    <t>BRIDGETTE</t>
  </si>
  <si>
    <t>INCORRECT SUPPLIED</t>
  </si>
  <si>
    <t xml:space="preserve">wendell                       </t>
  </si>
  <si>
    <t>janet</t>
  </si>
  <si>
    <t>LUYANDA</t>
  </si>
  <si>
    <t>SHORT SUPPLIED</t>
  </si>
  <si>
    <t>l meyi</t>
  </si>
  <si>
    <t>POD received from cell 0815112382 M</t>
  </si>
  <si>
    <t xml:space="preserve">NICO LANDMAN                       </t>
  </si>
  <si>
    <t>JASON</t>
  </si>
  <si>
    <t>COL</t>
  </si>
  <si>
    <t xml:space="preserve">Dawid                         </t>
  </si>
  <si>
    <t xml:space="preserve">Nathan                        </t>
  </si>
  <si>
    <t>POD received from cell 0768687790 M</t>
  </si>
  <si>
    <t xml:space="preserve">IKHWEZI AUTOMOTIVE PTY LTD         </t>
  </si>
  <si>
    <t>TALIEP</t>
  </si>
  <si>
    <t>Dawid</t>
  </si>
  <si>
    <t xml:space="preserve">EVERITE BUILDING DIVISION          </t>
  </si>
  <si>
    <t>Parcel Parcel</t>
  </si>
  <si>
    <t>I RASEROKA</t>
  </si>
  <si>
    <t>phophi</t>
  </si>
  <si>
    <t xml:space="preserve">NEOPAK                             </t>
  </si>
  <si>
    <t>dipuo</t>
  </si>
  <si>
    <t xml:space="preserve">EXPLICIT CADCAM SERVICES           </t>
  </si>
  <si>
    <t xml:space="preserve">lyzer                         </t>
  </si>
  <si>
    <t xml:space="preserve">POD received from cell 0824283800 M     </t>
  </si>
  <si>
    <t xml:space="preserve">POD received from cell 0729919507 M     </t>
  </si>
  <si>
    <t xml:space="preserve">shadrack                      </t>
  </si>
  <si>
    <t xml:space="preserve">m Craig ie                    </t>
  </si>
  <si>
    <t>DONALD</t>
  </si>
  <si>
    <t>JAKO</t>
  </si>
  <si>
    <t xml:space="preserve">PROCON MACHINERY (PTY) LTD         </t>
  </si>
  <si>
    <t>TOMMY</t>
  </si>
  <si>
    <t>MZO</t>
  </si>
  <si>
    <t xml:space="preserve">MINTEK                             </t>
  </si>
  <si>
    <t>KATLEGO</t>
  </si>
  <si>
    <t>Ellen</t>
  </si>
  <si>
    <t xml:space="preserve">PILOT TOOLS                        </t>
  </si>
  <si>
    <t>shamyne</t>
  </si>
  <si>
    <t>CANNON</t>
  </si>
  <si>
    <t>jowaya</t>
  </si>
  <si>
    <t>RICARDO</t>
  </si>
  <si>
    <t>pamela</t>
  </si>
  <si>
    <t>SWELL</t>
  </si>
  <si>
    <t>SWELLENDAM</t>
  </si>
  <si>
    <t xml:space="preserve">SOUTHERN OIL LTD T A SOILL         </t>
  </si>
  <si>
    <t>C MATTHEYS</t>
  </si>
  <si>
    <t>POD received from cell 0732462079 M</t>
  </si>
  <si>
    <t>dannico</t>
  </si>
  <si>
    <t>naren</t>
  </si>
  <si>
    <t>mathenjwa</t>
  </si>
  <si>
    <t xml:space="preserve">ACDC DYNAMICS CC                   </t>
  </si>
  <si>
    <t>SAMANTHA</t>
  </si>
  <si>
    <t>mannini</t>
  </si>
  <si>
    <t xml:space="preserve">PULP PRODUCT PTY LTD               </t>
  </si>
  <si>
    <t>Freddie</t>
  </si>
  <si>
    <t xml:space="preserve">GREY SCOUT TRADING CC              </t>
  </si>
  <si>
    <t>Bomizi</t>
  </si>
  <si>
    <t xml:space="preserve">deez                          </t>
  </si>
  <si>
    <t xml:space="preserve">POD received from cell 0848255037 M     </t>
  </si>
  <si>
    <t>Naz</t>
  </si>
  <si>
    <t xml:space="preserve">C   M HYDRAULIC SERVICES           </t>
  </si>
  <si>
    <t>H daniell</t>
  </si>
  <si>
    <t>Keith</t>
  </si>
  <si>
    <t xml:space="preserve">FRESENIUS KABI MANUFACTURING       </t>
  </si>
  <si>
    <t>H B</t>
  </si>
  <si>
    <t xml:space="preserve">SMA ENGINEERING S.A. (PTY) LTD     </t>
  </si>
  <si>
    <t>Fredrick</t>
  </si>
  <si>
    <t xml:space="preserve">DEMATECH                           </t>
  </si>
  <si>
    <t>Anaia</t>
  </si>
  <si>
    <t>MUSA</t>
  </si>
  <si>
    <t xml:space="preserve">T   V HYDRAU- PNEUMATIC SOLUTI     </t>
  </si>
  <si>
    <t>Marie</t>
  </si>
  <si>
    <t>Ursula</t>
  </si>
  <si>
    <t xml:space="preserve">FLEXICON AFRICA PTY LTD            </t>
  </si>
  <si>
    <t>Conroy</t>
  </si>
  <si>
    <t xml:space="preserve">EVOLVE PRODUCTION SUPPORT PTY      </t>
  </si>
  <si>
    <t>Vanessa</t>
  </si>
  <si>
    <t>BUDDY</t>
  </si>
  <si>
    <t xml:space="preserve">Helen                         </t>
  </si>
  <si>
    <t>sakhi</t>
  </si>
  <si>
    <t>P[ARCEL</t>
  </si>
  <si>
    <t xml:space="preserve">TFE SOUTH AFRICA (PTY)LTD          </t>
  </si>
  <si>
    <t xml:space="preserve">brandon                       </t>
  </si>
  <si>
    <t>lucas</t>
  </si>
  <si>
    <t>Farrah</t>
  </si>
  <si>
    <t xml:space="preserve">REGRADE MASTERS                    </t>
  </si>
  <si>
    <t>joe</t>
  </si>
  <si>
    <t>dhAya</t>
  </si>
  <si>
    <t xml:space="preserve">FOXTEC-IKHWEZI PTY LTD             </t>
  </si>
  <si>
    <t>Tanya</t>
  </si>
  <si>
    <t>AVW</t>
  </si>
  <si>
    <t>BERNARDO</t>
  </si>
  <si>
    <t>KEANO</t>
  </si>
  <si>
    <t>elisha</t>
  </si>
  <si>
    <t>Leo micromath</t>
  </si>
  <si>
    <t xml:space="preserve">G.U.D. HOLDINGS                    </t>
  </si>
  <si>
    <t>Musa</t>
  </si>
  <si>
    <t>POLYOAK PACKAGING PTY LTD</t>
  </si>
  <si>
    <t xml:space="preserve">NELSON MANDELA METROPOLITAN UN     </t>
  </si>
  <si>
    <t>Welcome</t>
  </si>
  <si>
    <t>RECEIVING LEON</t>
  </si>
  <si>
    <t>SOPHIE</t>
  </si>
  <si>
    <t xml:space="preserve">PIONEER FOOD PTY LTD          </t>
  </si>
  <si>
    <t>GIFT</t>
  </si>
  <si>
    <t>KHATHU</t>
  </si>
  <si>
    <t>FRAN1</t>
  </si>
  <si>
    <t>FRANKFORT</t>
  </si>
  <si>
    <t xml:space="preserve">CLOVER S.A (PTY) LTD               </t>
  </si>
  <si>
    <t xml:space="preserve">PREMIER FMCG                  </t>
  </si>
  <si>
    <t>MIDD2</t>
  </si>
  <si>
    <t>MIDDELBURG (Mpumalanga)</t>
  </si>
  <si>
    <t xml:space="preserve">DOT SPARES                         </t>
  </si>
  <si>
    <t>V SMIT</t>
  </si>
  <si>
    <t>POD received from cell 0722601650 M</t>
  </si>
  <si>
    <t>Michelle</t>
  </si>
  <si>
    <t>PAECEL</t>
  </si>
  <si>
    <t xml:space="preserve">BAKALI FOODSTUFFS CC               </t>
  </si>
  <si>
    <t>Lisa Cheveleva</t>
  </si>
  <si>
    <t xml:space="preserve">DCD PROTECTED MOBILITY             </t>
  </si>
  <si>
    <t xml:space="preserve">stle                          </t>
  </si>
  <si>
    <t>Merina</t>
  </si>
  <si>
    <t>POD received from cell 0792871564 M</t>
  </si>
  <si>
    <t xml:space="preserve">VACUFORM 2000 (PTY)LTD             </t>
  </si>
  <si>
    <t xml:space="preserve">veronica                      </t>
  </si>
  <si>
    <t>POD received from cell 0826644094 M</t>
  </si>
  <si>
    <t>ANNEKE PUTTER</t>
  </si>
  <si>
    <t>Thabile</t>
  </si>
  <si>
    <t>A Fouche</t>
  </si>
  <si>
    <t>BERLINA TLAKI MOKOENE RAD</t>
  </si>
  <si>
    <t>mohai</t>
  </si>
  <si>
    <t xml:space="preserve">GLENCAROL                          </t>
  </si>
  <si>
    <t>ROLLERT MUKOMA</t>
  </si>
  <si>
    <t>DORMAS</t>
  </si>
  <si>
    <t>POD received from cell 0616991362 M</t>
  </si>
  <si>
    <t>Anastacia</t>
  </si>
  <si>
    <t>WESTO</t>
  </si>
  <si>
    <t>WESTONARIA</t>
  </si>
  <si>
    <t xml:space="preserve">OMNIRAIPD MINING   INDUSTRIAL      </t>
  </si>
  <si>
    <t xml:space="preserve">SIMON                         </t>
  </si>
  <si>
    <t>P PRINSLOO</t>
  </si>
  <si>
    <t>JANN SCHNEPEL</t>
  </si>
  <si>
    <t>sina</t>
  </si>
  <si>
    <t>POD received from cell 0795451917 M</t>
  </si>
  <si>
    <t xml:space="preserve">WEST END CLAY BRICKS (PTY) LTD     </t>
  </si>
  <si>
    <t>JACO</t>
  </si>
  <si>
    <t>NTLBOKOANE MASEMOLA</t>
  </si>
  <si>
    <t xml:space="preserve">BEVCAN                        </t>
  </si>
  <si>
    <t xml:space="preserve">POD received from cell 0786842042 M     </t>
  </si>
  <si>
    <t>NARISKA EVELEIGH</t>
  </si>
  <si>
    <t>Lillian</t>
  </si>
  <si>
    <t xml:space="preserve">MINACO PTY LTD DIVISTION LASTR     </t>
  </si>
  <si>
    <t>DOLLY</t>
  </si>
  <si>
    <t xml:space="preserve">Mapule                        </t>
  </si>
  <si>
    <t xml:space="preserve">ROLLMECH PTY LTD                   </t>
  </si>
  <si>
    <t>MONIQUE</t>
  </si>
  <si>
    <t>Parcle</t>
  </si>
  <si>
    <t xml:space="preserve">THERMAL FUSION CC                  </t>
  </si>
  <si>
    <t>marcelle</t>
  </si>
  <si>
    <t>rudolf</t>
  </si>
  <si>
    <t>RICKEY</t>
  </si>
  <si>
    <t>vinesh</t>
  </si>
  <si>
    <t xml:space="preserve">barnard                       </t>
  </si>
  <si>
    <t xml:space="preserve">a witbooi                     </t>
  </si>
  <si>
    <t xml:space="preserve">S A GAUGE                          </t>
  </si>
  <si>
    <t>Nikkie</t>
  </si>
  <si>
    <t xml:space="preserve">NEO                           </t>
  </si>
  <si>
    <t xml:space="preserve">COMAR INTERNATIONAL                </t>
  </si>
  <si>
    <t>lecreshe</t>
  </si>
  <si>
    <t xml:space="preserve">TIGER CONSUMER BRANDS LTD T A      </t>
  </si>
  <si>
    <t>gugu</t>
  </si>
  <si>
    <t xml:space="preserve">DW SMIT                       </t>
  </si>
  <si>
    <t>brian</t>
  </si>
  <si>
    <t xml:space="preserve">FISCHER STAINLESS STEEL TUBING     </t>
  </si>
  <si>
    <t xml:space="preserve">KATINKA                       </t>
  </si>
  <si>
    <t xml:space="preserve">Sharp                         </t>
  </si>
  <si>
    <t xml:space="preserve">clara                         </t>
  </si>
  <si>
    <t xml:space="preserve">CTP DIGITAL SERVICES ( PTY ) L     </t>
  </si>
  <si>
    <t>andrea</t>
  </si>
  <si>
    <t xml:space="preserve">SUPERIOR PACKAGING INDUSTRIES      </t>
  </si>
  <si>
    <t>micaela</t>
  </si>
  <si>
    <t xml:space="preserve">CLARA                         </t>
  </si>
  <si>
    <t>PHELISA</t>
  </si>
  <si>
    <t xml:space="preserve">U   I ENGINEERING                  </t>
  </si>
  <si>
    <t>indran</t>
  </si>
  <si>
    <t xml:space="preserve">WICTRA HOLDINGS PTY                </t>
  </si>
  <si>
    <t>albert</t>
  </si>
  <si>
    <t>Strini</t>
  </si>
  <si>
    <t>strini</t>
  </si>
  <si>
    <t xml:space="preserve">Wilbur                        </t>
  </si>
  <si>
    <t>C Botha</t>
  </si>
  <si>
    <t xml:space="preserve">TALEUNDA                      </t>
  </si>
  <si>
    <t>N KWINANA</t>
  </si>
  <si>
    <t>VERNON</t>
  </si>
  <si>
    <t xml:space="preserve">a nel                         </t>
  </si>
  <si>
    <t xml:space="preserve">POD received from cell 0731150018 M     </t>
  </si>
  <si>
    <t>sephora</t>
  </si>
  <si>
    <t xml:space="preserve">SHATTERPRUFE NEAVE PLANT           </t>
  </si>
  <si>
    <t>mervin</t>
  </si>
  <si>
    <t xml:space="preserve">FELTEX FEHRER                      </t>
  </si>
  <si>
    <t>mariaan</t>
  </si>
  <si>
    <t xml:space="preserve">EIGER ENGENEERING (PTY)LTD         </t>
  </si>
  <si>
    <t>LEE</t>
  </si>
  <si>
    <t>UNILIVER SA</t>
  </si>
  <si>
    <t>POD received from cell 0762637378 M</t>
  </si>
  <si>
    <t>doctor</t>
  </si>
  <si>
    <t xml:space="preserve">BLISS CHEMICALS PTY LTD            </t>
  </si>
  <si>
    <t>JOHANNAH</t>
  </si>
  <si>
    <t>CHARL   PETER</t>
  </si>
  <si>
    <t xml:space="preserve">peter                         </t>
  </si>
  <si>
    <t>RECEIVing</t>
  </si>
  <si>
    <t xml:space="preserve">ETERNIT BUILDING SYSTEM (PTY)L     </t>
  </si>
  <si>
    <t>WEBSTER</t>
  </si>
  <si>
    <t xml:space="preserve">GRW COMMERCIALS (PTY)LTD           </t>
  </si>
  <si>
    <t>lelanie</t>
  </si>
  <si>
    <t xml:space="preserve">alec                          </t>
  </si>
  <si>
    <t>SHER CAIN</t>
  </si>
  <si>
    <t>Devan</t>
  </si>
  <si>
    <t xml:space="preserve">MAIN STREET 1477 (PTY) LTD         </t>
  </si>
  <si>
    <t>ISRAEL</t>
  </si>
  <si>
    <t xml:space="preserve">BROADWAY SWEETS                    </t>
  </si>
  <si>
    <t>hudson</t>
  </si>
  <si>
    <t xml:space="preserve">TICZO TRADING ENTERPRISE CC        </t>
  </si>
  <si>
    <t>JABULANI</t>
  </si>
  <si>
    <t>gareth</t>
  </si>
  <si>
    <t>Nandipha</t>
  </si>
  <si>
    <t xml:space="preserve">AMOPACK CAN MANUFACTURERS PTY      </t>
  </si>
  <si>
    <t>Zaheer</t>
  </si>
  <si>
    <t>PHINAH</t>
  </si>
  <si>
    <t>ORATILE</t>
  </si>
  <si>
    <t xml:space="preserve">Patrick                       </t>
  </si>
  <si>
    <t>JoeY</t>
  </si>
  <si>
    <t xml:space="preserve">Leoni                         </t>
  </si>
  <si>
    <t>KIM</t>
  </si>
  <si>
    <t xml:space="preserve">RCL FOODS CONSUMER (PTY)LTD        </t>
  </si>
  <si>
    <t xml:space="preserve">Nathanael                     </t>
  </si>
  <si>
    <t xml:space="preserve">Ali                           </t>
  </si>
  <si>
    <t xml:space="preserve">DEVCOTECH ELECTRICAL ENG           </t>
  </si>
  <si>
    <t>l t naiker</t>
  </si>
  <si>
    <t>mitcel</t>
  </si>
  <si>
    <t xml:space="preserve">NESTLE SOUTH AFRICA (PTY) LTD      </t>
  </si>
  <si>
    <t xml:space="preserve">Ronald                        </t>
  </si>
  <si>
    <t>JEG</t>
  </si>
  <si>
    <t>nandipha</t>
  </si>
  <si>
    <t>kedibone</t>
  </si>
  <si>
    <t>SHARON</t>
  </si>
  <si>
    <t>Nazeer</t>
  </si>
  <si>
    <t xml:space="preserve">WOOL TESTING BUREAU SA             </t>
  </si>
  <si>
    <t>J Lemas</t>
  </si>
  <si>
    <t>August</t>
  </si>
  <si>
    <t xml:space="preserve">COREL INSTRUMENTATION   CONTRO     </t>
  </si>
  <si>
    <t>j walh</t>
  </si>
  <si>
    <t xml:space="preserve">ELECTRO-MECH SERVICES              </t>
  </si>
  <si>
    <t>rene</t>
  </si>
  <si>
    <t xml:space="preserve">charne                        </t>
  </si>
  <si>
    <t xml:space="preserve">BEVCAN A DIVISION OF NAMPAK        </t>
  </si>
  <si>
    <t>phendulwa</t>
  </si>
  <si>
    <t>enverNLE00004702</t>
  </si>
  <si>
    <t>Daniel</t>
  </si>
  <si>
    <t xml:space="preserve">m craigie                     </t>
  </si>
  <si>
    <t>RAV</t>
  </si>
  <si>
    <t xml:space="preserve">MAGNACORP 397 CC TA CONCEPT        </t>
  </si>
  <si>
    <t>mzo  magnacorp</t>
  </si>
  <si>
    <t>POD received from cell 0843680350 M</t>
  </si>
  <si>
    <t xml:space="preserve">ACK BEARING (PTY) LTD              </t>
  </si>
  <si>
    <t xml:space="preserve">MASHILO                       </t>
  </si>
  <si>
    <t xml:space="preserve">GUBB   INGGS                       </t>
  </si>
  <si>
    <t>darryl</t>
  </si>
  <si>
    <t>daniele</t>
  </si>
  <si>
    <t>LEBOGANG</t>
  </si>
  <si>
    <t xml:space="preserve">IN2JUICE                           </t>
  </si>
  <si>
    <t>Tamryn</t>
  </si>
  <si>
    <t xml:space="preserve">CHALK AIR CC                       </t>
  </si>
  <si>
    <t>D Pienaar</t>
  </si>
  <si>
    <t xml:space="preserve">Robert                        </t>
  </si>
  <si>
    <t>DELIVER ATT: LUCKY( RE SEND)</t>
  </si>
  <si>
    <t>RECIEVING  LUCKY</t>
  </si>
  <si>
    <t>rydlin</t>
  </si>
  <si>
    <t xml:space="preserve"> Neo                          </t>
  </si>
  <si>
    <t xml:space="preserve">POD received from cell 0834755382 M     </t>
  </si>
  <si>
    <t>Sherandy</t>
  </si>
  <si>
    <t>SBOX</t>
  </si>
  <si>
    <t xml:space="preserve">MITTAL STEEL SOUTH AFRICA LIMI     </t>
  </si>
  <si>
    <t>COLLIN - CENTRAL RECEIVING</t>
  </si>
  <si>
    <t>POD received from cell 0794722188 M</t>
  </si>
  <si>
    <t>Please arrange collection for Yatish</t>
  </si>
  <si>
    <t>FRED   GARETH</t>
  </si>
  <si>
    <t>myeza</t>
  </si>
  <si>
    <t>Please arrange collection for Mpumi</t>
  </si>
  <si>
    <t>GWEN PUREN</t>
  </si>
  <si>
    <t xml:space="preserve">COMPTECH ELECTRONICS               </t>
  </si>
  <si>
    <t>VELI   TANYA</t>
  </si>
  <si>
    <t>Veli</t>
  </si>
  <si>
    <t xml:space="preserve">RAMSAY ENGINEERING PTY LTD         </t>
  </si>
  <si>
    <t>MARTIN RAPHUNGA</t>
  </si>
  <si>
    <t xml:space="preserve">yolanda                       </t>
  </si>
  <si>
    <t xml:space="preserve">HOSE SOLUTIONS                     </t>
  </si>
  <si>
    <t>Bennie</t>
  </si>
  <si>
    <t>POD received from cell 0746644640 M</t>
  </si>
  <si>
    <t>PACE</t>
  </si>
  <si>
    <t xml:space="preserve">r v nzama                     </t>
  </si>
  <si>
    <t xml:space="preserve">POD received from cell 0792438310 M     </t>
  </si>
  <si>
    <t>SHARMALA LACHMAN</t>
  </si>
  <si>
    <t xml:space="preserve">PAARL COLDSET (PTY) LTD            </t>
  </si>
  <si>
    <t>QUINTON JOOSTE</t>
  </si>
  <si>
    <t xml:space="preserve">I de waal                     </t>
  </si>
  <si>
    <t>Thembie</t>
  </si>
  <si>
    <t xml:space="preserve">SASOL COBALT CATALYST MNFR PTY     </t>
  </si>
  <si>
    <t>Mervin</t>
  </si>
  <si>
    <t>zaHId</t>
  </si>
  <si>
    <t>TARREN SMITH</t>
  </si>
  <si>
    <t xml:space="preserve">CLIFFORD ENGINEERING               </t>
  </si>
  <si>
    <t>Pleasse arrange collection for Gregory</t>
  </si>
  <si>
    <t>PAULINE DALTON</t>
  </si>
  <si>
    <t>NATHAN NEL</t>
  </si>
  <si>
    <t xml:space="preserve">NUCLEAR CONSULTANTS INTERNATIO     </t>
  </si>
  <si>
    <t xml:space="preserve">Faith mdleleni                </t>
  </si>
  <si>
    <t xml:space="preserve">POD received from cell 0846782295 M     </t>
  </si>
  <si>
    <t>reileen</t>
  </si>
  <si>
    <t>L lekay</t>
  </si>
  <si>
    <t>F Thorne</t>
  </si>
  <si>
    <t>Edwin</t>
  </si>
  <si>
    <t>ALIWA</t>
  </si>
  <si>
    <t>ALIWAL NORTH</t>
  </si>
  <si>
    <t xml:space="preserve">PIONEER FOOD (PTY) LTD             </t>
  </si>
  <si>
    <t>POD received from cell 0822915897 M</t>
  </si>
  <si>
    <t xml:space="preserve">Trevor                        </t>
  </si>
  <si>
    <t xml:space="preserve">DIAGEO SA                          </t>
  </si>
  <si>
    <t>avinash</t>
  </si>
  <si>
    <t xml:space="preserve">MARGARET                      </t>
  </si>
  <si>
    <t xml:space="preserve">Magritte                      </t>
  </si>
  <si>
    <t>NOSIPHO</t>
  </si>
  <si>
    <t>lenny</t>
  </si>
  <si>
    <t xml:space="preserve">Lida                          </t>
  </si>
  <si>
    <t xml:space="preserve">bernard                       </t>
  </si>
  <si>
    <t xml:space="preserve">BMG FLUID FLUID TECH               </t>
  </si>
  <si>
    <t xml:space="preserve">REPROPLAST                         </t>
  </si>
  <si>
    <t>gavin</t>
  </si>
  <si>
    <t xml:space="preserve">FRANCINA                      </t>
  </si>
  <si>
    <t>Isac</t>
  </si>
  <si>
    <t>SANDY</t>
  </si>
  <si>
    <t xml:space="preserve">Marius                        </t>
  </si>
  <si>
    <t xml:space="preserve">TI GROUP AUTOMOTIVE SYSTEM         </t>
  </si>
  <si>
    <t xml:space="preserve">MARTHA                        </t>
  </si>
  <si>
    <t>Dawn</t>
  </si>
  <si>
    <t xml:space="preserve">euegen                        </t>
  </si>
  <si>
    <t>Colin</t>
  </si>
  <si>
    <t xml:space="preserve">FILKRAFT ( PTY) LTD                </t>
  </si>
  <si>
    <t xml:space="preserve">n kemp                        </t>
  </si>
  <si>
    <t xml:space="preserve">Melanie                       </t>
  </si>
  <si>
    <t xml:space="preserve">ALL ELECTRICAL DISTRIBUTORS CC     </t>
  </si>
  <si>
    <t xml:space="preserve">CSIR CENTRAL PROCUREMENT OFFIC     </t>
  </si>
  <si>
    <t>GRACE</t>
  </si>
  <si>
    <t xml:space="preserve">FIRST QUANTUM MINERALS SA (PTY     </t>
  </si>
  <si>
    <t xml:space="preserve">FAURENTIA INTERIOR SYSTEMS         </t>
  </si>
  <si>
    <t>a low</t>
  </si>
  <si>
    <t>eileen</t>
  </si>
  <si>
    <t>DW SMIT</t>
  </si>
  <si>
    <t xml:space="preserve">FEDERAL MOGUL ENGINE BEARINGS      </t>
  </si>
  <si>
    <t>sandisiwe</t>
  </si>
  <si>
    <t>THABANE</t>
  </si>
  <si>
    <t>Buyisele</t>
  </si>
  <si>
    <t xml:space="preserve">LASER METAL PRES                   </t>
  </si>
  <si>
    <t>NONHLANHLA</t>
  </si>
  <si>
    <t xml:space="preserve">ADLAM ENGINEERING PTY LTD          </t>
  </si>
  <si>
    <t>ANDRE</t>
  </si>
  <si>
    <t>MAXWELL</t>
  </si>
  <si>
    <t xml:space="preserve">Michelle                      </t>
  </si>
  <si>
    <t>clinton</t>
  </si>
  <si>
    <t>larry</t>
  </si>
  <si>
    <t>WELCUM</t>
  </si>
  <si>
    <t>Frans</t>
  </si>
  <si>
    <t xml:space="preserve">UNIVERSAL AUTOMATION SYSTEM (P     </t>
  </si>
  <si>
    <t xml:space="preserve">INOXPA SOUTH AFRICA (PTY)LTD       </t>
  </si>
  <si>
    <t>TANIA</t>
  </si>
  <si>
    <t>NIKE PERKS</t>
  </si>
  <si>
    <t xml:space="preserve">GENERAL MOTORS SA PTY LTD          </t>
  </si>
  <si>
    <t>MAIN RECEIVING STORE</t>
  </si>
  <si>
    <t>Grayden</t>
  </si>
  <si>
    <t>Dawie</t>
  </si>
  <si>
    <t xml:space="preserve">Gavin                         </t>
  </si>
  <si>
    <t xml:space="preserve">KASIEFA                       </t>
  </si>
  <si>
    <t xml:space="preserve">JANINE                        </t>
  </si>
  <si>
    <t xml:space="preserve">PARMALAT SA                        </t>
  </si>
  <si>
    <t>phumza</t>
  </si>
  <si>
    <t>NDLELENI</t>
  </si>
  <si>
    <t xml:space="preserve">C JORDAAN                     </t>
  </si>
  <si>
    <t>ANNAH</t>
  </si>
  <si>
    <t>RFECEIVING</t>
  </si>
  <si>
    <t>humza</t>
  </si>
  <si>
    <t>lindo</t>
  </si>
  <si>
    <t>berdus</t>
  </si>
  <si>
    <t xml:space="preserve">GLEDHOW SUGAR CO. PTY LTD          </t>
  </si>
  <si>
    <t xml:space="preserve">DUTTON PLASTICS ENGINEERING        </t>
  </si>
  <si>
    <t>NELLY</t>
  </si>
  <si>
    <t xml:space="preserve">B M S C ENGINEERING CC             </t>
  </si>
  <si>
    <t>thuthukani</t>
  </si>
  <si>
    <t>A DE KOCK</t>
  </si>
  <si>
    <t xml:space="preserve">H Ermer                       </t>
  </si>
  <si>
    <t xml:space="preserve">iann                          </t>
  </si>
  <si>
    <t>Lyntasha</t>
  </si>
  <si>
    <t xml:space="preserve">BASF CONSTRUCTION CHEMICALS        </t>
  </si>
  <si>
    <t>AG WASSERMAN</t>
  </si>
  <si>
    <t>kenneth</t>
  </si>
  <si>
    <t>claudete</t>
  </si>
  <si>
    <t xml:space="preserve">NAMPAK BLOW MOULDERS               </t>
  </si>
  <si>
    <t>jose</t>
  </si>
  <si>
    <t>rav</t>
  </si>
  <si>
    <t xml:space="preserve">LW TANK SYSTEMS CC                 </t>
  </si>
  <si>
    <t>j miller</t>
  </si>
  <si>
    <t>J Mathee</t>
  </si>
  <si>
    <t>AMINA</t>
  </si>
  <si>
    <t>ELW</t>
  </si>
  <si>
    <t>Please arrange collection for Sandra</t>
  </si>
  <si>
    <t>LOGANATHAN</t>
  </si>
  <si>
    <t xml:space="preserve">JENDAMARK AUTOMATION               </t>
  </si>
  <si>
    <t>please arrange collection for Sandra</t>
  </si>
  <si>
    <t>CARRISTON BURGINS</t>
  </si>
  <si>
    <t xml:space="preserve">FILMATIC PACKAGING                 </t>
  </si>
  <si>
    <t>Please arrange collection for Byron</t>
  </si>
  <si>
    <t>GARY ABRAHAMS</t>
  </si>
  <si>
    <t>Buyile</t>
  </si>
  <si>
    <t>rd2</t>
  </si>
  <si>
    <t>P Vivikim</t>
  </si>
  <si>
    <t>POD received from cell 0718141551 M</t>
  </si>
  <si>
    <t>caristo</t>
  </si>
  <si>
    <t xml:space="preserve">leanie                        </t>
  </si>
  <si>
    <t>RANDY</t>
  </si>
  <si>
    <t>pfes1162571076 0001</t>
  </si>
  <si>
    <t xml:space="preserve">CINDI                         </t>
  </si>
  <si>
    <t xml:space="preserve">Clara                         </t>
  </si>
  <si>
    <t>princess</t>
  </si>
  <si>
    <t xml:space="preserve">INTERFRUIT                         </t>
  </si>
  <si>
    <t>RTS RFES1162570667</t>
  </si>
  <si>
    <t>RTS RFES1162570668</t>
  </si>
  <si>
    <t>RTS RFES1162570669</t>
  </si>
  <si>
    <t xml:space="preserve">selby                         </t>
  </si>
  <si>
    <t>Tahir</t>
  </si>
  <si>
    <t xml:space="preserve">ACTOM MV SWITCHGEAR                </t>
  </si>
  <si>
    <t>werner</t>
  </si>
  <si>
    <t xml:space="preserve">GROUP 1 ENGENEERING INTERNATIO     </t>
  </si>
  <si>
    <t>Jorge</t>
  </si>
  <si>
    <t>karen</t>
  </si>
  <si>
    <t>AMOS</t>
  </si>
  <si>
    <t xml:space="preserve">RICH PRODUCTS CORP OF SA           </t>
  </si>
  <si>
    <t>linda</t>
  </si>
  <si>
    <t>CLARA</t>
  </si>
  <si>
    <t>ISABEL</t>
  </si>
  <si>
    <t>GODLY</t>
  </si>
  <si>
    <t>nerina</t>
  </si>
  <si>
    <t>seb</t>
  </si>
  <si>
    <t>PORT4</t>
  </si>
  <si>
    <t>PORT SHEPSTONE</t>
  </si>
  <si>
    <t xml:space="preserve">HYDROMATIC ENTERPRISES PTY LTD     </t>
  </si>
  <si>
    <t>AMONA</t>
  </si>
  <si>
    <t>THEO</t>
  </si>
  <si>
    <t xml:space="preserve">MAVERICK ENGINEERING               </t>
  </si>
  <si>
    <t>l lakay</t>
  </si>
  <si>
    <t>Angus</t>
  </si>
  <si>
    <t xml:space="preserve">AVEDORE                            </t>
  </si>
  <si>
    <t>FANIE</t>
  </si>
  <si>
    <t xml:space="preserve">GUTH NDE SA                        </t>
  </si>
  <si>
    <t xml:space="preserve">POD received from cell 0826614802 M     </t>
  </si>
  <si>
    <t>Kazan</t>
  </si>
  <si>
    <t>Kerusha</t>
  </si>
  <si>
    <t xml:space="preserve">LYTTELTON DOLOMITE                 </t>
  </si>
  <si>
    <t>ANDISIWE</t>
  </si>
  <si>
    <t>aaron</t>
  </si>
  <si>
    <t>karabo</t>
  </si>
  <si>
    <t xml:space="preserve">TETRA PAK SOUTH AFRICA (PTY) L     </t>
  </si>
  <si>
    <t xml:space="preserve">steven                        </t>
  </si>
  <si>
    <t>siddik</t>
  </si>
  <si>
    <t xml:space="preserve">ALRODE TUBE                        </t>
  </si>
  <si>
    <t>CHANGED ADDRESS</t>
  </si>
  <si>
    <t>Mokgoba</t>
  </si>
  <si>
    <t xml:space="preserve">MOLAN PINO SOUTH AFRICA (PTY)      </t>
  </si>
  <si>
    <t>Jaco</t>
  </si>
  <si>
    <t>DILTON</t>
  </si>
  <si>
    <t>BOIPELO</t>
  </si>
  <si>
    <t xml:space="preserve">naomi                         </t>
  </si>
  <si>
    <t xml:space="preserve">POD received from cell 0747633484 M     </t>
  </si>
  <si>
    <t xml:space="preserve">FRESENIUS KABI SA (PTY) L.T.D      </t>
  </si>
  <si>
    <t>SELINA</t>
  </si>
  <si>
    <t>m johar</t>
  </si>
  <si>
    <t>tyr</t>
  </si>
  <si>
    <t>johanna</t>
  </si>
  <si>
    <t>fazel</t>
  </si>
  <si>
    <t>siziwe</t>
  </si>
  <si>
    <t>POD received from cell 0763656800 M</t>
  </si>
  <si>
    <t>clifton</t>
  </si>
  <si>
    <t xml:space="preserve">Audrey                        </t>
  </si>
  <si>
    <t>riaan</t>
  </si>
  <si>
    <t>D DOUGLAS</t>
  </si>
  <si>
    <t>AMSTE</t>
  </si>
  <si>
    <t>AMSTERDAM</t>
  </si>
  <si>
    <t xml:space="preserve">AGM 2 TRUST                        </t>
  </si>
  <si>
    <t>phr</t>
  </si>
  <si>
    <t xml:space="preserve">AFRIDIZI BOTTLING (PTY)LTD         </t>
  </si>
  <si>
    <t xml:space="preserve">SENMIN ITERNATIONAL PTY LTD        </t>
  </si>
  <si>
    <t>J de beer</t>
  </si>
  <si>
    <t>Tay</t>
  </si>
  <si>
    <t>christofher</t>
  </si>
  <si>
    <t>Navil</t>
  </si>
  <si>
    <t xml:space="preserve">TRADE KINGS SA (PTY)LTD            </t>
  </si>
  <si>
    <t>GLADYS</t>
  </si>
  <si>
    <t>POD received from cell 0783813619 M</t>
  </si>
  <si>
    <t xml:space="preserve">MARCE FIRE FIGHTING TECHNOLOGY     </t>
  </si>
  <si>
    <t>PRECIOUS</t>
  </si>
  <si>
    <t>LEBOHANG</t>
  </si>
  <si>
    <t>nichloas</t>
  </si>
  <si>
    <t>kwanda</t>
  </si>
  <si>
    <t>Andrew</t>
  </si>
  <si>
    <t xml:space="preserve">KEYSTONE HATCHERY                  </t>
  </si>
  <si>
    <t>gill</t>
  </si>
  <si>
    <t>sfiso</t>
  </si>
  <si>
    <t xml:space="preserve">ELIZABETH                     </t>
  </si>
  <si>
    <t>Anthea</t>
  </si>
  <si>
    <t>D WALTERS</t>
  </si>
  <si>
    <t>Letta</t>
  </si>
  <si>
    <t xml:space="preserve">TRIPLE OPTION TRADING 583 CC       </t>
  </si>
  <si>
    <t>Lynette</t>
  </si>
  <si>
    <t xml:space="preserve">L OREAL MANUFACTURING PTY LTD      </t>
  </si>
  <si>
    <t>Keagan</t>
  </si>
  <si>
    <t>Given</t>
  </si>
  <si>
    <t>G PLAATJIES</t>
  </si>
  <si>
    <t>ENOCH</t>
  </si>
  <si>
    <t>POD received from cell 0215903200 M</t>
  </si>
  <si>
    <t>MARCELLOUS</t>
  </si>
  <si>
    <t xml:space="preserve">DEVIL S PEAK BREWERY               </t>
  </si>
  <si>
    <t>PLS SIGN BOTH COPIES</t>
  </si>
  <si>
    <t>Natasha</t>
  </si>
  <si>
    <t xml:space="preserve">UCL KUSEL SAWMILL(PTY) LTD         </t>
  </si>
  <si>
    <t>Mpume</t>
  </si>
  <si>
    <t xml:space="preserve">WASSERTEC OZONE SYSTEMS            </t>
  </si>
  <si>
    <t>CHUMA</t>
  </si>
  <si>
    <t xml:space="preserve">STEELCRAFT                         </t>
  </si>
  <si>
    <t>m deist</t>
  </si>
  <si>
    <t>TUMELO</t>
  </si>
  <si>
    <t>pam</t>
  </si>
  <si>
    <t xml:space="preserve">ROBOTIC HANDLING SYSTEM Cc         </t>
  </si>
  <si>
    <t>tony</t>
  </si>
  <si>
    <t xml:space="preserve">lenny                         </t>
  </si>
  <si>
    <t>ROSHNI</t>
  </si>
  <si>
    <t>PATISWA</t>
  </si>
  <si>
    <t>RE DELIVER</t>
  </si>
  <si>
    <t>r maharaj</t>
  </si>
  <si>
    <t>RATIA</t>
  </si>
  <si>
    <t xml:space="preserve">SASOL INFRACHEM                    </t>
  </si>
  <si>
    <t xml:space="preserve">CINDY                         </t>
  </si>
  <si>
    <t>THANDI</t>
  </si>
  <si>
    <t>J lacay</t>
  </si>
  <si>
    <t xml:space="preserve">RICHARD                       </t>
  </si>
  <si>
    <t>GAVIN</t>
  </si>
  <si>
    <t xml:space="preserve">ACTISOL 110cc                      </t>
  </si>
  <si>
    <t>David Nel</t>
  </si>
  <si>
    <t xml:space="preserve">MANGOSUTHU UNIVERSITY OF TECHN     </t>
  </si>
  <si>
    <t>Ms PHILLY HLOPE</t>
  </si>
  <si>
    <t>POD received from cell 0724953785 M</t>
  </si>
  <si>
    <t>boipelo</t>
  </si>
  <si>
    <t>J FRANCIS</t>
  </si>
  <si>
    <t xml:space="preserve">DADO MANUFACTURING                 </t>
  </si>
  <si>
    <t xml:space="preserve">christelle                    </t>
  </si>
  <si>
    <t xml:space="preserve">WIKA INSTRUMENTS (PTY)LTD          </t>
  </si>
  <si>
    <t>J Francis</t>
  </si>
  <si>
    <t>A Ramjas</t>
  </si>
  <si>
    <t>KEMI</t>
  </si>
  <si>
    <t>JILLIAN</t>
  </si>
  <si>
    <t xml:space="preserve">AFRIPACK CONSUMER FLEXIBLES PT     </t>
  </si>
  <si>
    <t xml:space="preserve">nokubonga                     </t>
  </si>
  <si>
    <t xml:space="preserve">AFGRI POULTRY (PTY)LTD             </t>
  </si>
  <si>
    <t>ROBERT</t>
  </si>
  <si>
    <t xml:space="preserve">FORD OF SOUTHERN AFRICA AX9WA      </t>
  </si>
  <si>
    <t xml:space="preserve">Kurt                          </t>
  </si>
  <si>
    <t>I de waal</t>
  </si>
  <si>
    <t xml:space="preserve">ROBRTIC HANDLING SYSTEM Cc         </t>
  </si>
  <si>
    <t>toni</t>
  </si>
  <si>
    <t>Itumeleng</t>
  </si>
  <si>
    <t xml:space="preserve">gideon                        </t>
  </si>
  <si>
    <t xml:space="preserve">POD received from cell 0736330969 M     </t>
  </si>
  <si>
    <t xml:space="preserve">SHATTERPRUFE TRADING AS A          </t>
  </si>
  <si>
    <t xml:space="preserve">Melvin                        </t>
  </si>
  <si>
    <t>CONTINENTAL TYRE SA clint</t>
  </si>
  <si>
    <t>POD received from cell 0849161585 M</t>
  </si>
  <si>
    <t xml:space="preserve">TOTAL MINING CC                    </t>
  </si>
  <si>
    <t xml:space="preserve">MECHANICAL TECHNOLOGIES CC         </t>
  </si>
  <si>
    <t>MAINTENANCE STORES</t>
  </si>
  <si>
    <t xml:space="preserve">ASSA ABLOY (SA)(PTY) LTD           </t>
  </si>
  <si>
    <t>GABI</t>
  </si>
  <si>
    <t>PERMISSION</t>
  </si>
  <si>
    <t xml:space="preserve">LORNA                         </t>
  </si>
  <si>
    <t>A DE KOOK</t>
  </si>
  <si>
    <t>STHE</t>
  </si>
  <si>
    <t>VISH</t>
  </si>
  <si>
    <t xml:space="preserve">pat   maluleka                </t>
  </si>
  <si>
    <t xml:space="preserve">NITCO INDUSTRIAL                   </t>
  </si>
  <si>
    <t>emmuel</t>
  </si>
  <si>
    <t xml:space="preserve">PILOT FURNITURE MANUFACTURERS      </t>
  </si>
  <si>
    <t>AUBERY</t>
  </si>
  <si>
    <t>Keish</t>
  </si>
  <si>
    <t>tomas</t>
  </si>
  <si>
    <t>JA EVANS</t>
  </si>
  <si>
    <t xml:space="preserve">queen                         </t>
  </si>
  <si>
    <t xml:space="preserve">JOCOB                         </t>
  </si>
  <si>
    <t>m johan</t>
  </si>
  <si>
    <t>TSITS</t>
  </si>
  <si>
    <t>TSITSIKAMMA</t>
  </si>
  <si>
    <t xml:space="preserve">TMS NORTHFIELD ENGINEERING         </t>
  </si>
  <si>
    <t>S MAKOALI</t>
  </si>
  <si>
    <t>MOOIR</t>
  </si>
  <si>
    <t>MOOIRIVIER</t>
  </si>
  <si>
    <t xml:space="preserve">WAIKATO KZN                        </t>
  </si>
  <si>
    <t>N rodend</t>
  </si>
  <si>
    <t xml:space="preserve">BAGSHAW GIBAUD (FOOTWEAR) PTY      </t>
  </si>
  <si>
    <t>naual</t>
  </si>
  <si>
    <t>mike</t>
  </si>
  <si>
    <t xml:space="preserve">CQT   CONTROLS                     </t>
  </si>
  <si>
    <t>SANDRA</t>
  </si>
  <si>
    <t xml:space="preserve">RIGGERS STEEL (PTY) LTD            </t>
  </si>
  <si>
    <t>LUCAS</t>
  </si>
  <si>
    <t xml:space="preserve">FRIMAX FOODS (PTY) LTD             </t>
  </si>
  <si>
    <t>tracey</t>
  </si>
  <si>
    <t>Bryson</t>
  </si>
  <si>
    <t xml:space="preserve">NEIL                          </t>
  </si>
  <si>
    <t>JULLINE</t>
  </si>
  <si>
    <t>mdletsite</t>
  </si>
  <si>
    <t>lia smith</t>
  </si>
  <si>
    <t>POD received from cell 0787490318 M</t>
  </si>
  <si>
    <t>Chantelle</t>
  </si>
  <si>
    <t xml:space="preserve">JORCE                         </t>
  </si>
  <si>
    <t>Vukani</t>
  </si>
  <si>
    <t>Melanie</t>
  </si>
  <si>
    <t>MARTIN</t>
  </si>
  <si>
    <t>POD received from cell 0787319713 M</t>
  </si>
  <si>
    <t>TONY</t>
  </si>
  <si>
    <t>c17924</t>
  </si>
  <si>
    <t>HILTO</t>
  </si>
  <si>
    <t>HILTON</t>
  </si>
  <si>
    <t xml:space="preserve">GURTECH                            </t>
  </si>
  <si>
    <t>M. CRAIG</t>
  </si>
  <si>
    <t xml:space="preserve">AUTOCON INNOVATIONS PTY LTD        </t>
  </si>
  <si>
    <t>marco</t>
  </si>
  <si>
    <t xml:space="preserve">EXEL   I                           </t>
  </si>
  <si>
    <t>Loveness</t>
  </si>
  <si>
    <t>POD received from cell 0833953091 M</t>
  </si>
  <si>
    <t xml:space="preserve">AUTOMA MULTI STYRENE               </t>
  </si>
  <si>
    <t xml:space="preserve">PREMIER BAKERY                     </t>
  </si>
  <si>
    <t xml:space="preserve">PREMIER FOODS LTD                  </t>
  </si>
  <si>
    <t>Simo Qwabe</t>
  </si>
  <si>
    <t xml:space="preserve">Jamie                         </t>
  </si>
  <si>
    <t>ALISTAIR</t>
  </si>
  <si>
    <t>Grant</t>
  </si>
  <si>
    <t>H D Visagie</t>
  </si>
  <si>
    <t xml:space="preserve">ADCOCK INGRAM HEALTHCARE           </t>
  </si>
  <si>
    <t>thando</t>
  </si>
  <si>
    <t>SMANGA</t>
  </si>
  <si>
    <t xml:space="preserve">charles                       </t>
  </si>
  <si>
    <t xml:space="preserve">INVICTA BEARING                    </t>
  </si>
  <si>
    <t>edwin</t>
  </si>
  <si>
    <t>h pauls</t>
  </si>
  <si>
    <t>MARK BURRELL</t>
  </si>
  <si>
    <t>SILAS</t>
  </si>
  <si>
    <t xml:space="preserve">chiccaro                      </t>
  </si>
  <si>
    <t xml:space="preserve">medrina                       </t>
  </si>
  <si>
    <t xml:space="preserve">CHANTILLY WATER PTY LTD            </t>
  </si>
  <si>
    <t>MADELYNE</t>
  </si>
  <si>
    <t>Madelyn</t>
  </si>
  <si>
    <t xml:space="preserve">g lundall                     </t>
  </si>
  <si>
    <t>Liudela</t>
  </si>
  <si>
    <t xml:space="preserve">TONGAAT HULETTS GROUP LIMITED      </t>
  </si>
  <si>
    <t>NEO LETSOALO</t>
  </si>
  <si>
    <t xml:space="preserve">werner                        </t>
  </si>
  <si>
    <t>SDX PER YATISH</t>
  </si>
  <si>
    <t>Ramesh</t>
  </si>
  <si>
    <t>Mncedisi</t>
  </si>
  <si>
    <t xml:space="preserve">FLUID CONTROL SERVICES CC          </t>
  </si>
  <si>
    <t>LYDIA MAKHERA</t>
  </si>
  <si>
    <t>POD received from cell 0789429558 M</t>
  </si>
  <si>
    <t>Sharishna</t>
  </si>
  <si>
    <t>fleyel</t>
  </si>
  <si>
    <t xml:space="preserve">CHANLOU TRADING CC                 </t>
  </si>
  <si>
    <t>gustaf</t>
  </si>
  <si>
    <t>SIZIWE</t>
  </si>
  <si>
    <t>Sanjey</t>
  </si>
  <si>
    <t xml:space="preserve">SEALED AIR AFRICA (PTY) LTD        </t>
  </si>
  <si>
    <t>kabelo</t>
  </si>
  <si>
    <t>selby</t>
  </si>
  <si>
    <t>charlotte</t>
  </si>
  <si>
    <t>Natalie</t>
  </si>
  <si>
    <t>H Bron</t>
  </si>
  <si>
    <t xml:space="preserve">PNEUMATIC RETAIL OPERATIONS        </t>
  </si>
  <si>
    <t xml:space="preserve">POD received from cell 0603956149 M     </t>
  </si>
  <si>
    <t>suprise</t>
  </si>
  <si>
    <t xml:space="preserve">SIG                           </t>
  </si>
  <si>
    <t>SHARLOTTE</t>
  </si>
  <si>
    <t xml:space="preserve">THE BENE WATER COMPANY             </t>
  </si>
  <si>
    <t xml:space="preserve">L NDOU                        </t>
  </si>
  <si>
    <t>WAYNE</t>
  </si>
  <si>
    <t>Abraham</t>
  </si>
  <si>
    <t>G A Sebobe</t>
  </si>
  <si>
    <t xml:space="preserve">TECHNICAL SOLUTIONS SOUTH CAMP     </t>
  </si>
  <si>
    <t>TECHNICAL SOLUTIONS SOUTH CAMP</t>
  </si>
  <si>
    <t>sarge</t>
  </si>
  <si>
    <t>armstrong</t>
  </si>
  <si>
    <t xml:space="preserve">AUTOMOTIVE EQUEPMENT INTERNATI     </t>
  </si>
  <si>
    <t>KENNETH</t>
  </si>
  <si>
    <t>MPETHA</t>
  </si>
  <si>
    <t>esme</t>
  </si>
  <si>
    <t>POD received from cell 0716146787 M</t>
  </si>
  <si>
    <t xml:space="preserve">ELECTRO PNEUMATICS                 </t>
  </si>
  <si>
    <t>Rowen</t>
  </si>
  <si>
    <t>BEARINGS DISTRIBUTORS WESKUS</t>
  </si>
  <si>
    <t>POD received from cell 0783505655 M</t>
  </si>
  <si>
    <t xml:space="preserve">TRONOX MINERAL SANDS               </t>
  </si>
  <si>
    <t xml:space="preserve">AIR LIQUIDE                        </t>
  </si>
  <si>
    <t>dillan</t>
  </si>
  <si>
    <t>John</t>
  </si>
  <si>
    <t xml:space="preserve">BRADCHER INDUSTRIAL WHOLESALER     </t>
  </si>
  <si>
    <t xml:space="preserve">KELLOGGS CO OF SA PTY LTD          </t>
  </si>
  <si>
    <t xml:space="preserve">EUROPACKAGING SYSTEMS              </t>
  </si>
  <si>
    <t xml:space="preserve">wendy                         </t>
  </si>
  <si>
    <t>sharlotte</t>
  </si>
  <si>
    <t xml:space="preserve">TUMI                          </t>
  </si>
  <si>
    <t xml:space="preserve">POD received from cell 0782359829 M     </t>
  </si>
  <si>
    <t>Binta</t>
  </si>
  <si>
    <t xml:space="preserve">ADCOCK INGRAM HEALTHCARE (PTY)     </t>
  </si>
  <si>
    <t>Shadrack</t>
  </si>
  <si>
    <t>rv nzama</t>
  </si>
  <si>
    <t>job</t>
  </si>
  <si>
    <t>combrad</t>
  </si>
  <si>
    <t>weziwe</t>
  </si>
  <si>
    <t>UPING</t>
  </si>
  <si>
    <t>UPINGTON</t>
  </si>
  <si>
    <t xml:space="preserve">ORANJERIVIERWYNKELDERS             </t>
  </si>
  <si>
    <t>ANSHIN</t>
  </si>
  <si>
    <t>guster</t>
  </si>
  <si>
    <t>gustav</t>
  </si>
  <si>
    <t xml:space="preserve">POD received from cell 0813616009 M     </t>
  </si>
  <si>
    <t xml:space="preserve">jappie                        </t>
  </si>
  <si>
    <t xml:space="preserve">NALEDI                        </t>
  </si>
  <si>
    <t>carlien</t>
  </si>
  <si>
    <t>TREVIN KUPPUSAMI</t>
  </si>
  <si>
    <t xml:space="preserve">STEVEN                        </t>
  </si>
  <si>
    <t>TSHIAMO</t>
  </si>
  <si>
    <t xml:space="preserve">UNIVERSAL PAPER   PLASTIC          </t>
  </si>
  <si>
    <t>J DE VILLIERS</t>
  </si>
  <si>
    <t xml:space="preserve">SELLO                         </t>
  </si>
  <si>
    <t xml:space="preserve">POD received from cell 0795451917 M     </t>
  </si>
  <si>
    <t>Joanne</t>
  </si>
  <si>
    <t>KARAN BEEF  PTY  LTD</t>
  </si>
  <si>
    <t>HENK</t>
  </si>
  <si>
    <t>owen</t>
  </si>
  <si>
    <t xml:space="preserve">SPROCKET   CHAINS CC               </t>
  </si>
  <si>
    <t>Tessa</t>
  </si>
  <si>
    <t xml:space="preserve">GUNDLER PLASTICS                   </t>
  </si>
  <si>
    <t>FESTO</t>
  </si>
  <si>
    <t>ANZA</t>
  </si>
  <si>
    <t xml:space="preserve">sophie                        </t>
  </si>
  <si>
    <t xml:space="preserve">POD received from cell 0729204058 M     </t>
  </si>
  <si>
    <t>Danko</t>
  </si>
  <si>
    <t xml:space="preserve">BERMAR                             </t>
  </si>
  <si>
    <t>ASWIL</t>
  </si>
  <si>
    <t xml:space="preserve">ROBBY                         </t>
  </si>
  <si>
    <t>AUGUSTINE</t>
  </si>
  <si>
    <t>katlego</t>
  </si>
  <si>
    <t xml:space="preserve">MITTAL STEEL SA LTD                </t>
  </si>
  <si>
    <t>Collen</t>
  </si>
  <si>
    <t>RENCIA MITCHELL</t>
  </si>
  <si>
    <t xml:space="preserve">daleen                        </t>
  </si>
  <si>
    <t xml:space="preserve">MUNDI IMPORT   EXPORT              </t>
  </si>
  <si>
    <t xml:space="preserve">Dumsani                       </t>
  </si>
  <si>
    <t>BAID</t>
  </si>
  <si>
    <t>HYFLO SA PTY LTD</t>
  </si>
  <si>
    <t>VUYO MALI</t>
  </si>
  <si>
    <t>SIYABONGA</t>
  </si>
  <si>
    <t>VICTOR</t>
  </si>
  <si>
    <t>SIZWE</t>
  </si>
  <si>
    <t>Christo Botha</t>
  </si>
  <si>
    <t>Ingrid</t>
  </si>
  <si>
    <t>POD received from cell 0788931763 M</t>
  </si>
  <si>
    <t xml:space="preserve">GEO STOTT   CO.                    </t>
  </si>
  <si>
    <t>COENIE</t>
  </si>
  <si>
    <t xml:space="preserve">NESTLE SOUTH AFRICA (PTY) L.T.     </t>
  </si>
  <si>
    <t>Zimasa</t>
  </si>
  <si>
    <t xml:space="preserve">CHW DESIGN CC                      </t>
  </si>
  <si>
    <t>NOLEEN</t>
  </si>
  <si>
    <t>Vic chw</t>
  </si>
  <si>
    <t>k converly</t>
  </si>
  <si>
    <t>j walk</t>
  </si>
  <si>
    <t>m isaac</t>
  </si>
  <si>
    <t xml:space="preserve">PASDEC AUTOMOTIVE TECHNOLOGIES     </t>
  </si>
  <si>
    <t>maputla</t>
  </si>
  <si>
    <t xml:space="preserve">WILSON BAYLY HOMES - OVCON LTD     </t>
  </si>
  <si>
    <t>JOHANNES</t>
  </si>
  <si>
    <t xml:space="preserve">JASON                         </t>
  </si>
  <si>
    <t>Samuel</t>
  </si>
  <si>
    <t>heino</t>
  </si>
  <si>
    <t xml:space="preserve">BLENDCOR (PTY) LTD                 </t>
  </si>
  <si>
    <t>bhekumusa</t>
  </si>
  <si>
    <t xml:space="preserve">KIM TAYLOR ENTEPRISE               </t>
  </si>
  <si>
    <t>lungile</t>
  </si>
  <si>
    <t>POD received from cell 0619314610 M</t>
  </si>
  <si>
    <t>BELINDA</t>
  </si>
  <si>
    <t>ZETHU</t>
  </si>
  <si>
    <t>GELUK</t>
  </si>
  <si>
    <t>GELUKWAARTS</t>
  </si>
  <si>
    <t>l eisbeth</t>
  </si>
  <si>
    <t>JEFFREY</t>
  </si>
  <si>
    <t>SONICA</t>
  </si>
  <si>
    <t xml:space="preserve">FIDELITY ELECTRONIC SOLUTION       </t>
  </si>
  <si>
    <t>monica</t>
  </si>
  <si>
    <t xml:space="preserve">PNEUMATIC TANKER EQUIPMENT CC      </t>
  </si>
  <si>
    <t>NICO VAN DER WALT</t>
  </si>
  <si>
    <t>mpho</t>
  </si>
  <si>
    <t xml:space="preserve">HANNITAN LEATHER CC                </t>
  </si>
  <si>
    <t>CHARITY</t>
  </si>
  <si>
    <t>pooblal</t>
  </si>
  <si>
    <t xml:space="preserve">BAID                          </t>
  </si>
  <si>
    <t>PIONEER FOOD PTY LTD</t>
  </si>
  <si>
    <t>koos</t>
  </si>
  <si>
    <t>Wilma</t>
  </si>
  <si>
    <t>DHA00000189601</t>
  </si>
  <si>
    <t>Andrin</t>
  </si>
  <si>
    <t>mervyn</t>
  </si>
  <si>
    <t>shanon</t>
  </si>
  <si>
    <t>Agnes</t>
  </si>
  <si>
    <t>FADAIUS</t>
  </si>
  <si>
    <t xml:space="preserve">MONIER ROOFING PTY LTD             </t>
  </si>
  <si>
    <t>MOHAMMAD SINGH</t>
  </si>
  <si>
    <t>moffat</t>
  </si>
  <si>
    <t xml:space="preserve">ENTERPRISE FOOD AN DIV OF TIGE     </t>
  </si>
  <si>
    <t>MASHUDU</t>
  </si>
  <si>
    <t>seAn ednards</t>
  </si>
  <si>
    <t>philip</t>
  </si>
  <si>
    <t>POD received from cell 0768496816 M</t>
  </si>
  <si>
    <t>DOMINIQUE THEUNISSEN</t>
  </si>
  <si>
    <t>sandra</t>
  </si>
  <si>
    <t xml:space="preserve">GRINDING TECHNICS                  </t>
  </si>
  <si>
    <t xml:space="preserve">ashton                        </t>
  </si>
  <si>
    <t>ithe</t>
  </si>
  <si>
    <t>mornay</t>
  </si>
  <si>
    <t xml:space="preserve">REVLON SA                          </t>
  </si>
  <si>
    <t>JEFF BARNARD</t>
  </si>
  <si>
    <t xml:space="preserve">Titus                         </t>
  </si>
  <si>
    <t>Pauline</t>
  </si>
  <si>
    <t xml:space="preserve">ALPHAPAX PACKAGING CC              </t>
  </si>
  <si>
    <t>CARISSA</t>
  </si>
  <si>
    <t>lida</t>
  </si>
  <si>
    <t xml:space="preserve">BREEDEVALLEY HAYDRAULICS CC T      </t>
  </si>
  <si>
    <t>s slabrecht</t>
  </si>
  <si>
    <t xml:space="preserve">zana                          </t>
  </si>
  <si>
    <t>stephen</t>
  </si>
  <si>
    <t>Clinton</t>
  </si>
  <si>
    <t>Noran</t>
  </si>
  <si>
    <t>ADCOCK INGRSM CRITICAL CARE PT</t>
  </si>
  <si>
    <t xml:space="preserve">BMG FLUID TECH                     </t>
  </si>
  <si>
    <t>Receiving Godfrey Moyana</t>
  </si>
  <si>
    <t xml:space="preserve">PROGETTO INTERNATIONAL             </t>
  </si>
  <si>
    <t>Jeff</t>
  </si>
  <si>
    <t>leo</t>
  </si>
  <si>
    <t>s t mbatha</t>
  </si>
  <si>
    <t>bongeialie</t>
  </si>
  <si>
    <t>leigh-she</t>
  </si>
  <si>
    <t>JOHANNES VENTER</t>
  </si>
  <si>
    <t>Tshoge</t>
  </si>
  <si>
    <t xml:space="preserve">BENTELER SOUTH AFRICA              </t>
  </si>
  <si>
    <t>BELOANA MICHEALS</t>
  </si>
  <si>
    <t>Please arrange collection for Neville</t>
  </si>
  <si>
    <t>MARI SNYDERS</t>
  </si>
  <si>
    <t>ReceivinG</t>
  </si>
  <si>
    <t>clintin</t>
  </si>
  <si>
    <t>m  beroe</t>
  </si>
  <si>
    <t>CW DU PLOOY</t>
  </si>
  <si>
    <t>SIGNE</t>
  </si>
  <si>
    <t>abstham</t>
  </si>
  <si>
    <t>AS PER TONY</t>
  </si>
  <si>
    <t xml:space="preserve">rejoice                       </t>
  </si>
  <si>
    <t xml:space="preserve">POD received from cell 0608454137 M     </t>
  </si>
  <si>
    <t>PALLET</t>
  </si>
  <si>
    <t xml:space="preserve">YORK TIMBERS(PTY) LTD              </t>
  </si>
  <si>
    <t>MAINTENANCE MANAGER</t>
  </si>
  <si>
    <t>Annamarie</t>
  </si>
  <si>
    <t>POD received from cell 0714212596 M</t>
  </si>
  <si>
    <t xml:space="preserve">HARYMANS INDUSTRIAL PTY LTD        </t>
  </si>
  <si>
    <t>please ARRENGE COLLECTION READY NOE CLOSING AT 15:00REQUESTED NEVILL</t>
  </si>
  <si>
    <t>MICHEL</t>
  </si>
  <si>
    <t xml:space="preserve">Abram                         </t>
  </si>
  <si>
    <t xml:space="preserve">POD received from cell 0651340384 M     </t>
  </si>
  <si>
    <t xml:space="preserve">SIME DARBY HUDSON &amp; KINGHT         </t>
  </si>
  <si>
    <t xml:space="preserve">Happiness                     </t>
  </si>
  <si>
    <t>ILSE</t>
  </si>
  <si>
    <t>b bul</t>
  </si>
  <si>
    <t xml:space="preserve">rashi                         </t>
  </si>
  <si>
    <t xml:space="preserve">RISPIRATORY CARE AFRICA            </t>
  </si>
  <si>
    <t>SEAN IRWIN</t>
  </si>
  <si>
    <t xml:space="preserve">GREEN CROSS MANUFACTURES           </t>
  </si>
  <si>
    <t xml:space="preserve">ABI BOTTLING                       </t>
  </si>
  <si>
    <t xml:space="preserve">G.R.W ENGINEERING (PTY) LTD        </t>
  </si>
  <si>
    <t>Wayne Burger</t>
  </si>
  <si>
    <t>SONJA</t>
  </si>
  <si>
    <t xml:space="preserve">FRONERI SOUTH AFRICA (PTY)LTD      </t>
  </si>
  <si>
    <t xml:space="preserve">AGENTIMBER                         </t>
  </si>
  <si>
    <t>HERKIE</t>
  </si>
  <si>
    <t>AMANDA</t>
  </si>
  <si>
    <t xml:space="preserve">IMPALA PLATINIUM REFINERIES LT     </t>
  </si>
  <si>
    <t xml:space="preserve">ADVANCE ARMOUR GLASS               </t>
  </si>
  <si>
    <t xml:space="preserve">RAINBOW FARMS PTY LTD P1           </t>
  </si>
  <si>
    <t>RAYMOND KISTAN</t>
  </si>
  <si>
    <t>RICHARD GRIBBLE</t>
  </si>
  <si>
    <t>++</t>
  </si>
  <si>
    <t xml:space="preserve">GRAVMAX                            </t>
  </si>
  <si>
    <t xml:space="preserve">AUTOMATION WORKS CAPE PTY LTD      </t>
  </si>
  <si>
    <t xml:space="preserve">CTP LTD T A PACKAGING              </t>
  </si>
  <si>
    <t>MARIUS DERCKSEN</t>
  </si>
  <si>
    <t>MARLENE VAN RENSBURG</t>
  </si>
  <si>
    <t>ARNEAL RAMJAS</t>
  </si>
  <si>
    <t xml:space="preserve">GO PLASTICA                        </t>
  </si>
  <si>
    <t xml:space="preserve">SASKO WORCESTER BAKKERY            </t>
  </si>
  <si>
    <t>ELMARIE</t>
  </si>
  <si>
    <t xml:space="preserve">SKYNET ISANDO                      </t>
  </si>
  <si>
    <t xml:space="preserve">22-26 ELECTRON AVE                 </t>
  </si>
  <si>
    <t>PLEASE ARRENGE COLLECTION READY NOW CLOSING AT 15:00 REQUESTED BUY (MPUMI)</t>
  </si>
  <si>
    <t>BAKKER.</t>
  </si>
  <si>
    <t>rdr</t>
  </si>
  <si>
    <t xml:space="preserve">ROUTE MANAGEMENT (PTY) LTD         </t>
  </si>
  <si>
    <t>FRAGILE - OILS INSIDE THE BOX</t>
  </si>
  <si>
    <t xml:space="preserve">ZENTIVA SA PTY LTD                 </t>
  </si>
  <si>
    <t>MANDI</t>
  </si>
  <si>
    <t>MANDINI</t>
  </si>
  <si>
    <t xml:space="preserve">TAURUS PAPER PRODUCTS (PTY)LTD     </t>
  </si>
  <si>
    <t xml:space="preserve">NEDBANK                            </t>
  </si>
  <si>
    <t>golliath</t>
  </si>
  <si>
    <t>veon</t>
  </si>
  <si>
    <t>Flyer Flyer</t>
  </si>
  <si>
    <t>elmond</t>
  </si>
  <si>
    <t>.</t>
  </si>
  <si>
    <t>eric</t>
  </si>
  <si>
    <t>TAKANDA</t>
  </si>
  <si>
    <t>Yolanda</t>
  </si>
  <si>
    <t xml:space="preserve">WEIGHDATA                          </t>
  </si>
  <si>
    <t xml:space="preserve">daksie                        </t>
  </si>
  <si>
    <t xml:space="preserve">ILLOVO SUGAR LTD - SEZELA          </t>
  </si>
  <si>
    <t xml:space="preserve">sipho                         </t>
  </si>
  <si>
    <t xml:space="preserve">POD received from cell 0648706751 M     </t>
  </si>
  <si>
    <t>AP DAVENAGE</t>
  </si>
  <si>
    <t xml:space="preserve">DEE                           </t>
  </si>
  <si>
    <t>Quintin Bothma</t>
  </si>
  <si>
    <t>ZIZIPO</t>
  </si>
  <si>
    <t xml:space="preserve">UNIPLATE GROUP (PTY)LTD            </t>
  </si>
  <si>
    <t>KATHLEEN</t>
  </si>
  <si>
    <t xml:space="preserve">SETON SA PTY LTD                   </t>
  </si>
  <si>
    <t>HELEEN VERMAAK</t>
  </si>
  <si>
    <t>PHETETSO</t>
  </si>
  <si>
    <t xml:space="preserve">TECHNO CHEM BK                     </t>
  </si>
  <si>
    <t>Dumisa</t>
  </si>
  <si>
    <t xml:space="preserve">neil                          </t>
  </si>
  <si>
    <t>Trevor</t>
  </si>
  <si>
    <t xml:space="preserve">BM FOOD MANUFACTURERS              </t>
  </si>
  <si>
    <t xml:space="preserve">luffie                        </t>
  </si>
  <si>
    <t>DAVID STRYDOM</t>
  </si>
  <si>
    <t>SILLAS</t>
  </si>
  <si>
    <t xml:space="preserve">WERNER                        </t>
  </si>
  <si>
    <t>ZIZPHO</t>
  </si>
  <si>
    <t xml:space="preserve">zahied                        </t>
  </si>
  <si>
    <t>SALLY</t>
  </si>
  <si>
    <t>E HAM</t>
  </si>
  <si>
    <t xml:space="preserve">pooven                        </t>
  </si>
  <si>
    <t>BOC</t>
  </si>
  <si>
    <t xml:space="preserve">johannes                      </t>
  </si>
  <si>
    <t xml:space="preserve">ESD FACILITIES GASES               </t>
  </si>
  <si>
    <t xml:space="preserve">JOHANNES                      </t>
  </si>
  <si>
    <t>jerry</t>
  </si>
  <si>
    <t>DE WET</t>
  </si>
  <si>
    <t xml:space="preserve">FLEXIBLE MACHINE CONTROL           </t>
  </si>
  <si>
    <t>A SCHMANKE</t>
  </si>
  <si>
    <t>Box PARCEL Box PARCEL</t>
  </si>
  <si>
    <t xml:space="preserve">UNILIVER                           </t>
  </si>
  <si>
    <t>ANDREAS XABA</t>
  </si>
  <si>
    <t xml:space="preserve">LEBOHANG                      </t>
  </si>
  <si>
    <t>VERONA WILLIAMS</t>
  </si>
  <si>
    <t xml:space="preserve">VANESSA                       </t>
  </si>
  <si>
    <t>NTHABI MABOTHA</t>
  </si>
  <si>
    <t xml:space="preserve">renaldo                       </t>
  </si>
  <si>
    <t xml:space="preserve">AVBOB NYWERHEDE BPK                </t>
  </si>
  <si>
    <t>POD received from cell 0833489829 M</t>
  </si>
  <si>
    <t>VRED3</t>
  </si>
  <si>
    <t>VREDENBURG</t>
  </si>
  <si>
    <t xml:space="preserve">VOLTEX WESTERN CAPE                </t>
  </si>
  <si>
    <t>JACKIE</t>
  </si>
  <si>
    <t xml:space="preserve">dhya                          </t>
  </si>
  <si>
    <t xml:space="preserve">AVENG TRIDENT STEEL ADIVISION      </t>
  </si>
  <si>
    <t xml:space="preserve">VERTEX AUTOMATION PTY LTD          </t>
  </si>
  <si>
    <t>EUGENE</t>
  </si>
  <si>
    <t xml:space="preserve">WILLEM                        </t>
  </si>
  <si>
    <t xml:space="preserve">POD received from cell 0735070302 M     </t>
  </si>
  <si>
    <t xml:space="preserve">Nico                          </t>
  </si>
  <si>
    <t>Nyameta</t>
  </si>
  <si>
    <t xml:space="preserve">CEREBOS LTD                        </t>
  </si>
  <si>
    <t>ZANELE</t>
  </si>
  <si>
    <t xml:space="preserve">Ithembiso                     </t>
  </si>
  <si>
    <t>mkidgell</t>
  </si>
  <si>
    <t xml:space="preserve">ZEALOUS AUTOMOTIVE  ( PTY) LTD     </t>
  </si>
  <si>
    <t>denice</t>
  </si>
  <si>
    <t>andrew</t>
  </si>
  <si>
    <t xml:space="preserve">RAPPA RESOURCES                    </t>
  </si>
  <si>
    <t xml:space="preserve">justin                        </t>
  </si>
  <si>
    <t xml:space="preserve">ninn                          </t>
  </si>
  <si>
    <t>winefred</t>
  </si>
  <si>
    <t xml:space="preserve">m heyns                       </t>
  </si>
  <si>
    <t xml:space="preserve">Peter                         </t>
  </si>
  <si>
    <t xml:space="preserve">POD received from cell 0836178022 M     </t>
  </si>
  <si>
    <t>DE BEERS GROUP SERVICES</t>
  </si>
  <si>
    <t>WOLFGANG</t>
  </si>
  <si>
    <t xml:space="preserve">THABANE                       </t>
  </si>
  <si>
    <t>tina</t>
  </si>
  <si>
    <t>NTOKOZO</t>
  </si>
  <si>
    <t>WILLIE</t>
  </si>
  <si>
    <t>NIKCY</t>
  </si>
  <si>
    <t>dunisa</t>
  </si>
  <si>
    <t xml:space="preserve">SOMTA TOOLS PTY LTD                </t>
  </si>
  <si>
    <t xml:space="preserve">taus                          </t>
  </si>
  <si>
    <t>ANELDA</t>
  </si>
  <si>
    <t xml:space="preserve">COLUMBIT PTY  T A INDUSTRIES       </t>
  </si>
  <si>
    <t>simon</t>
  </si>
  <si>
    <t>REUNEL</t>
  </si>
  <si>
    <t>SOLLY KWAPE</t>
  </si>
  <si>
    <t xml:space="preserve">GEA AFRICA PTY LTD                 </t>
  </si>
  <si>
    <t>Carla</t>
  </si>
  <si>
    <t xml:space="preserve">CASZAY ENGINEERING                 </t>
  </si>
  <si>
    <t xml:space="preserve">cassiem                       </t>
  </si>
  <si>
    <t xml:space="preserve">POD received from cell 0839443464 M     </t>
  </si>
  <si>
    <t>Stephen</t>
  </si>
  <si>
    <t xml:space="preserve">BLEISTAHL MANUFACTURING SA PTY     </t>
  </si>
  <si>
    <t>WYNE</t>
  </si>
  <si>
    <t>Mandy Lloyd</t>
  </si>
  <si>
    <t xml:space="preserve">SILVER CONTROL SYSTEMS CC          </t>
  </si>
  <si>
    <t>TOM</t>
  </si>
  <si>
    <t xml:space="preserve">ALPHA HYDRAULICS                   </t>
  </si>
  <si>
    <t xml:space="preserve">ammy                          </t>
  </si>
  <si>
    <t>V Postumus</t>
  </si>
  <si>
    <t>keano</t>
  </si>
  <si>
    <t xml:space="preserve">EVEREST FLEXIBLES (PTY) LTD        </t>
  </si>
  <si>
    <t>niresh</t>
  </si>
  <si>
    <t>ERECH</t>
  </si>
  <si>
    <t>MARIO</t>
  </si>
  <si>
    <t xml:space="preserve">ABRAHAM                       </t>
  </si>
  <si>
    <t xml:space="preserve">EXPRESS PLANT HIRE                 </t>
  </si>
  <si>
    <t>munriette</t>
  </si>
  <si>
    <t>POD received from cell 0847649236 M</t>
  </si>
  <si>
    <t xml:space="preserve">HENDLER   HART                     </t>
  </si>
  <si>
    <t>brad</t>
  </si>
  <si>
    <t>Koos</t>
  </si>
  <si>
    <t xml:space="preserve">elmarie                       </t>
  </si>
  <si>
    <t xml:space="preserve">RCL FOODS SUGAR   MILLING PTY      </t>
  </si>
  <si>
    <t>BANTU</t>
  </si>
  <si>
    <t xml:space="preserve">PARMALAT SA (PTY) LTD              </t>
  </si>
  <si>
    <t>Ivan</t>
  </si>
  <si>
    <t xml:space="preserve">QUEEN                         </t>
  </si>
  <si>
    <t xml:space="preserve">EUREKA CONSTRUCTION                </t>
  </si>
  <si>
    <t xml:space="preserve">B KUHN                        </t>
  </si>
  <si>
    <t xml:space="preserve">ALRICH                        </t>
  </si>
  <si>
    <t xml:space="preserve">WILMA                         </t>
  </si>
  <si>
    <t xml:space="preserve">MUATIX PLASTICS                    </t>
  </si>
  <si>
    <t>collection ready now closing at 15:00 (requested by LUZUKO)</t>
  </si>
  <si>
    <t>Glenn Bentley</t>
  </si>
  <si>
    <t>Nzama</t>
  </si>
  <si>
    <t>POD received from cell 0628324819 M</t>
  </si>
  <si>
    <t>VUYO</t>
  </si>
  <si>
    <t>URGENT COLLECTION READY NOW CLOSING AT 15:00(REQUESTED BY YATISH)</t>
  </si>
  <si>
    <t>WILHELM</t>
  </si>
  <si>
    <t xml:space="preserve">BOTHER                        </t>
  </si>
  <si>
    <t>please arrange collection ready now closing at 15:00</t>
  </si>
  <si>
    <t>ALEXANDRA PELUCCI</t>
  </si>
  <si>
    <t>Bakker</t>
  </si>
  <si>
    <t>SINAH</t>
  </si>
  <si>
    <t>Veon</t>
  </si>
  <si>
    <t>PHATHI</t>
  </si>
  <si>
    <t xml:space="preserve">NISSAN SUID-AFRIKA (EDMS)BPK       </t>
  </si>
  <si>
    <t>pieterlla</t>
  </si>
  <si>
    <t xml:space="preserve">vineassan                     </t>
  </si>
  <si>
    <t xml:space="preserve">CONSUMER A DIV OF TIGER BRANDS     </t>
  </si>
  <si>
    <t>NASTASIA</t>
  </si>
  <si>
    <t>PORTIA</t>
  </si>
  <si>
    <t xml:space="preserve">UNIVERSAL MEASURENMENT AND CON     </t>
  </si>
  <si>
    <t>ANGEL</t>
  </si>
  <si>
    <t xml:space="preserve">VEOLIA WATER SOLUTIONS - MBK       </t>
  </si>
  <si>
    <t>Xavier</t>
  </si>
  <si>
    <t>NATASHA BRUYNS</t>
  </si>
  <si>
    <t>NOXOLO</t>
  </si>
  <si>
    <t>pph</t>
  </si>
  <si>
    <t>Abram</t>
  </si>
  <si>
    <t>HIRASHA</t>
  </si>
  <si>
    <t>DERICK</t>
  </si>
  <si>
    <t xml:space="preserve">MONIER ROOFING (PTY) LTD           </t>
  </si>
  <si>
    <t>marcia</t>
  </si>
  <si>
    <t>Elize</t>
  </si>
  <si>
    <t>CHRIS BOTHA</t>
  </si>
  <si>
    <t xml:space="preserve">annah                         </t>
  </si>
  <si>
    <t xml:space="preserve">POD received from cell 0710141145 M     </t>
  </si>
  <si>
    <t xml:space="preserve">AUNDE SOUTH ASFRICA PTY LTD        </t>
  </si>
  <si>
    <t xml:space="preserve">sfiso                         </t>
  </si>
  <si>
    <t xml:space="preserve">kevin                         </t>
  </si>
  <si>
    <t xml:space="preserve">JOANNE                        </t>
  </si>
  <si>
    <t xml:space="preserve">FORRESTER DE BEER AND ASSOCIAT     </t>
  </si>
  <si>
    <t>BOX PARCEL</t>
  </si>
  <si>
    <t xml:space="preserve">WES                           </t>
  </si>
  <si>
    <t xml:space="preserve">SCAW SA                            </t>
  </si>
  <si>
    <t>skhumbuzo</t>
  </si>
  <si>
    <t>DALEEN WAIT</t>
  </si>
  <si>
    <t xml:space="preserve">THANDI                        </t>
  </si>
  <si>
    <t>Dumisani  E</t>
  </si>
  <si>
    <t>TSHEPO</t>
  </si>
  <si>
    <t>ALBERT</t>
  </si>
  <si>
    <t xml:space="preserve">NORTHFIELD ENGINEERING (PTY) L     </t>
  </si>
  <si>
    <t>terece</t>
  </si>
  <si>
    <t>letta</t>
  </si>
  <si>
    <t xml:space="preserve">BMW GATE 4                         </t>
  </si>
  <si>
    <t>Zee minnaert</t>
  </si>
  <si>
    <t xml:space="preserve">KERRY INGREDIENTS SOUTH AFRICA     </t>
  </si>
  <si>
    <t>Cyril</t>
  </si>
  <si>
    <t>Lulamile</t>
  </si>
  <si>
    <t>Johanna</t>
  </si>
  <si>
    <t xml:space="preserve">PAIL PAC PTY LTD                   </t>
  </si>
  <si>
    <t>Doreen</t>
  </si>
  <si>
    <t>Vijay</t>
  </si>
  <si>
    <t>JEROME</t>
  </si>
  <si>
    <t>PARCEL PARCEL PARCEL</t>
  </si>
  <si>
    <t xml:space="preserve">TIGER BRANDS SNACKS   TREATS       </t>
  </si>
  <si>
    <t>ARNEL RAMRAJ</t>
  </si>
  <si>
    <t>kreolen</t>
  </si>
  <si>
    <t xml:space="preserve">MNW HALLAL                         </t>
  </si>
  <si>
    <t>THEMBA</t>
  </si>
  <si>
    <t>mec</t>
  </si>
  <si>
    <t>hordus</t>
  </si>
  <si>
    <t>PHAKAMA</t>
  </si>
  <si>
    <t>MR        D C       SHANGE</t>
  </si>
  <si>
    <t>dullool</t>
  </si>
  <si>
    <t>SHAHID</t>
  </si>
  <si>
    <t xml:space="preserve">HONEYDEW DAIRIES PTY LTD           </t>
  </si>
  <si>
    <t>alec</t>
  </si>
  <si>
    <t xml:space="preserve">TRENDWARE 64 PTY LTD               </t>
  </si>
  <si>
    <t>d de wet</t>
  </si>
  <si>
    <t>stembiso</t>
  </si>
  <si>
    <t>MARKUS NOERTEMANN</t>
  </si>
  <si>
    <t>Markus</t>
  </si>
  <si>
    <t>Joshlyn Davids</t>
  </si>
  <si>
    <t xml:space="preserve">lisa                          </t>
  </si>
  <si>
    <t>ssh</t>
  </si>
  <si>
    <t xml:space="preserve">POD received from cell 0794436878 M     </t>
  </si>
  <si>
    <t>feziwe</t>
  </si>
  <si>
    <t>BRENDEN</t>
  </si>
  <si>
    <t>REFER TO RFES1162566164</t>
  </si>
  <si>
    <t>Melvin</t>
  </si>
  <si>
    <t xml:space="preserve">PLASTECH MOULDERS                  </t>
  </si>
  <si>
    <t>Heather</t>
  </si>
  <si>
    <t>DURVESH</t>
  </si>
  <si>
    <t>mlamile</t>
  </si>
  <si>
    <t xml:space="preserve">DISTELL ECOWASH                    </t>
  </si>
  <si>
    <t>RENALDO</t>
  </si>
  <si>
    <t>KELVIN DOWNEY</t>
  </si>
  <si>
    <t>dayzel</t>
  </si>
  <si>
    <t>MILLY</t>
  </si>
  <si>
    <t xml:space="preserve">SPIRAX SARCO SA                    </t>
  </si>
  <si>
    <t>ZONIKA JACOBS</t>
  </si>
  <si>
    <t>sylvester</t>
  </si>
  <si>
    <t>YVONNE NDHLAU</t>
  </si>
  <si>
    <t>LERATO MAKHOBOTOANE</t>
  </si>
  <si>
    <t xml:space="preserve">PETER                         </t>
  </si>
  <si>
    <t>Milani</t>
  </si>
  <si>
    <t>Zipho</t>
  </si>
  <si>
    <t>mandipho</t>
  </si>
  <si>
    <t xml:space="preserve">FOODSERV SOLUTIONS                 </t>
  </si>
  <si>
    <t>ephaprus</t>
  </si>
  <si>
    <t xml:space="preserve">PIONEER FOODS GROCERIES (PTY)      </t>
  </si>
  <si>
    <t>SILIAS</t>
  </si>
  <si>
    <t>i nel</t>
  </si>
  <si>
    <t>GAIL</t>
  </si>
  <si>
    <t>noual</t>
  </si>
  <si>
    <t>leonard</t>
  </si>
  <si>
    <t>Sharp</t>
  </si>
  <si>
    <t>SINA</t>
  </si>
  <si>
    <t xml:space="preserve">ELSIE                         </t>
  </si>
  <si>
    <t xml:space="preserve">CONCORD FOOD   DRUG DISTRIBUTO     </t>
  </si>
  <si>
    <t>ALFRED</t>
  </si>
  <si>
    <t xml:space="preserve">LABOTEC (PTY) LTD                  </t>
  </si>
  <si>
    <t>H Brown</t>
  </si>
  <si>
    <t>JOSEPH   CEPHES</t>
  </si>
  <si>
    <t xml:space="preserve">N MASIKO                      </t>
  </si>
  <si>
    <t xml:space="preserve">GRAZO CC                           </t>
  </si>
  <si>
    <t>MADELYN DE VOS</t>
  </si>
  <si>
    <t>geraldine</t>
  </si>
  <si>
    <t>Solomon</t>
  </si>
  <si>
    <t xml:space="preserve">GLOBAL AUTOMATION SYSTEMS          </t>
  </si>
  <si>
    <t xml:space="preserve">ABYX CHEMICAL MANUFACTURING (P     </t>
  </si>
  <si>
    <t>anna</t>
  </si>
  <si>
    <t xml:space="preserve">BADER SA PTY LTD                   </t>
  </si>
  <si>
    <t>TEBOGO BAPELA</t>
  </si>
  <si>
    <t>Reuben</t>
  </si>
  <si>
    <t xml:space="preserve">TUMELO                        </t>
  </si>
  <si>
    <t>BEN PUDI</t>
  </si>
  <si>
    <t>jacob</t>
  </si>
  <si>
    <t>phume</t>
  </si>
  <si>
    <t xml:space="preserve">SUCO ENGINEERING                   </t>
  </si>
  <si>
    <t>nicolette</t>
  </si>
  <si>
    <t xml:space="preserve">GRIPPER   CO (PTY) LTD             </t>
  </si>
  <si>
    <t>sharief</t>
  </si>
  <si>
    <t xml:space="preserve">vish                          </t>
  </si>
  <si>
    <t xml:space="preserve">MACHMAN PTY LTD                    </t>
  </si>
  <si>
    <t>c puccini</t>
  </si>
  <si>
    <t xml:space="preserve">ECOWIZE ( PTY ) LTD                </t>
  </si>
  <si>
    <t xml:space="preserve">Rouan                         </t>
  </si>
  <si>
    <t xml:space="preserve">POD received from cell 0648706734 M     </t>
  </si>
  <si>
    <t>Anneke</t>
  </si>
  <si>
    <t xml:space="preserve">REHAU POLYMER (PTY) LTD            </t>
  </si>
  <si>
    <t>noludwe</t>
  </si>
  <si>
    <t>siphelele</t>
  </si>
  <si>
    <t xml:space="preserve">VITAL HEALTH FOODS PTY LTD         </t>
  </si>
  <si>
    <t>AZZAAM</t>
  </si>
  <si>
    <t>Sheila</t>
  </si>
  <si>
    <t>W WILSON</t>
  </si>
  <si>
    <t xml:space="preserve">BURHOSE (DIV OF ARWA PTY LTD)      </t>
  </si>
  <si>
    <t>NGAPI</t>
  </si>
  <si>
    <t>karin</t>
  </si>
  <si>
    <t>LOBOHANG</t>
  </si>
  <si>
    <t xml:space="preserve">GUALA CLOSURES S.A                 </t>
  </si>
  <si>
    <t>martina</t>
  </si>
  <si>
    <t>L PHOKOLE</t>
  </si>
  <si>
    <t>ACEPAK PACKAGING SYSTEMS</t>
  </si>
  <si>
    <t xml:space="preserve">TOPLINE TOOLING (PTY) LTD          </t>
  </si>
  <si>
    <t>slindile</t>
  </si>
  <si>
    <t>LATASHA</t>
  </si>
  <si>
    <t>Anwar</t>
  </si>
  <si>
    <t xml:space="preserve">BERNTEL SA                         </t>
  </si>
  <si>
    <t>WILMA</t>
  </si>
  <si>
    <t>FIKULU</t>
  </si>
  <si>
    <t xml:space="preserve">ABRAM                              </t>
  </si>
  <si>
    <t xml:space="preserve">PG BISON DIV OF KAP DIVERSIFIE     </t>
  </si>
  <si>
    <t xml:space="preserve">satula                        </t>
  </si>
  <si>
    <t xml:space="preserve">D   L PRECISION ENGINEERING        </t>
  </si>
  <si>
    <t>B rode</t>
  </si>
  <si>
    <t>KHP HYDRAULICS   PNEUMATICS  P</t>
  </si>
  <si>
    <t xml:space="preserve">WESLEY S ENGINEERING CC            </t>
  </si>
  <si>
    <t>marlen</t>
  </si>
  <si>
    <t xml:space="preserve">TIGER BRANDS                       </t>
  </si>
  <si>
    <t>MAGLEN NAICKER</t>
  </si>
  <si>
    <t>sugesh</t>
  </si>
  <si>
    <t>S LOUW</t>
  </si>
  <si>
    <t>floyd</t>
  </si>
  <si>
    <t>a de kock</t>
  </si>
  <si>
    <t>JARROD</t>
  </si>
  <si>
    <t xml:space="preserve">patiswa                       </t>
  </si>
  <si>
    <t>maxwel</t>
  </si>
  <si>
    <t>BETHUEL</t>
  </si>
  <si>
    <t xml:space="preserve">sifiso                        </t>
  </si>
  <si>
    <t>Box Box</t>
  </si>
  <si>
    <t xml:space="preserve">NEVILLE CAMAY CC                   </t>
  </si>
  <si>
    <t>NEVILLE</t>
  </si>
  <si>
    <t>mossuh</t>
  </si>
  <si>
    <t>POD received from cell 0734890643 M</t>
  </si>
  <si>
    <t>SIMPHIWE</t>
  </si>
  <si>
    <t>NTHABISENG</t>
  </si>
  <si>
    <t xml:space="preserve">h paulis                      </t>
  </si>
  <si>
    <t>LETTA</t>
  </si>
  <si>
    <t xml:space="preserve">Freedy                        </t>
  </si>
  <si>
    <t xml:space="preserve">POD received from cell 0797726160 M     </t>
  </si>
  <si>
    <t>ROSCOE</t>
  </si>
  <si>
    <t>MONWABISI</t>
  </si>
  <si>
    <t xml:space="preserve">KABO KWABELA SUPPLIES              </t>
  </si>
  <si>
    <t>PALESA</t>
  </si>
  <si>
    <t>zanele</t>
  </si>
  <si>
    <t>POD received from cell 0786307963 M</t>
  </si>
  <si>
    <t xml:space="preserve">DELLTRA SOLUTIONS (PTY)LTD         </t>
  </si>
  <si>
    <t>ANDRIES MAIFO</t>
  </si>
  <si>
    <t>hubert</t>
  </si>
  <si>
    <t xml:space="preserve">ALTEC UEC SA PTY LTD               </t>
  </si>
  <si>
    <t>DEON NAIDOO</t>
  </si>
  <si>
    <t>thandeka</t>
  </si>
  <si>
    <t xml:space="preserve">mithani                       </t>
  </si>
  <si>
    <t>krish</t>
  </si>
  <si>
    <t xml:space="preserve">BUCKLE PACKAGING                   </t>
  </si>
  <si>
    <t>zach</t>
  </si>
  <si>
    <t xml:space="preserve">kenneth                       </t>
  </si>
  <si>
    <t xml:space="preserve">INDUSTRI-BAG CC                    </t>
  </si>
  <si>
    <t>liouse</t>
  </si>
  <si>
    <t xml:space="preserve">GEDORE TOOLS (PTY) LTD             </t>
  </si>
  <si>
    <t>BUKS GEYSER</t>
  </si>
  <si>
    <t>qurisha</t>
  </si>
  <si>
    <t xml:space="preserve">ROBERT BOSCH PTY LTD               </t>
  </si>
  <si>
    <t xml:space="preserve">katlego                       </t>
  </si>
  <si>
    <t xml:space="preserve">PFES1162566668 0001                     </t>
  </si>
  <si>
    <t>queen</t>
  </si>
  <si>
    <t>TARRYN</t>
  </si>
  <si>
    <t xml:space="preserve">rfes1162566617                </t>
  </si>
  <si>
    <t xml:space="preserve">BEIR SAFETY FOOTWEAR A DIVISIO     </t>
  </si>
  <si>
    <t>Pieter Henning</t>
  </si>
  <si>
    <t xml:space="preserve">GOODMAN                       </t>
  </si>
  <si>
    <t xml:space="preserve">CWC EAST COAST                     </t>
  </si>
  <si>
    <t>sophia</t>
  </si>
  <si>
    <t>PIET FERREIRA</t>
  </si>
  <si>
    <t>KLERK</t>
  </si>
  <si>
    <t>KLERKSDORP</t>
  </si>
  <si>
    <t xml:space="preserve">HYDRAULIC 2000                     </t>
  </si>
  <si>
    <t>POD received from cell 0781882789 M</t>
  </si>
  <si>
    <t>PARCEL .</t>
  </si>
  <si>
    <t xml:space="preserve">natasha                       </t>
  </si>
  <si>
    <t>thomas</t>
  </si>
  <si>
    <t xml:space="preserve">RFES1162566848                </t>
  </si>
  <si>
    <t>WILHEMINA</t>
  </si>
  <si>
    <t xml:space="preserve">RELTECH CC                         </t>
  </si>
  <si>
    <t>IRENE</t>
  </si>
  <si>
    <t>DILLON QUAN</t>
  </si>
  <si>
    <t>CEDRICK</t>
  </si>
  <si>
    <t>MAKDAI</t>
  </si>
  <si>
    <t>MAKOALI</t>
  </si>
  <si>
    <t>SIMONE</t>
  </si>
  <si>
    <t>RTS RFES1162566671</t>
  </si>
  <si>
    <t>sunshine</t>
  </si>
  <si>
    <t>medona</t>
  </si>
  <si>
    <t>R govender</t>
  </si>
  <si>
    <t>Joshlyn</t>
  </si>
  <si>
    <t>LIESTER</t>
  </si>
  <si>
    <t xml:space="preserve">hannes                        </t>
  </si>
  <si>
    <t>MONIQUE KUKLA</t>
  </si>
  <si>
    <t>t s robertson</t>
  </si>
  <si>
    <t>retia</t>
  </si>
  <si>
    <t xml:space="preserve">AIR PRODUCTS PTY LTD               </t>
  </si>
  <si>
    <t>l kleinsmidt</t>
  </si>
  <si>
    <t xml:space="preserve">DANIELLA                      </t>
  </si>
  <si>
    <t xml:space="preserve">FLOWSERVE SA PTY LTD               </t>
  </si>
  <si>
    <t>Sammy</t>
  </si>
  <si>
    <t xml:space="preserve">CTP WEB PRINTERS JOHANNESBURG      </t>
  </si>
  <si>
    <t>Donald</t>
  </si>
  <si>
    <t>M DE KLERK</t>
  </si>
  <si>
    <t>DIRK COETZEE</t>
  </si>
  <si>
    <t>enock</t>
  </si>
  <si>
    <t>RFES1162566893</t>
  </si>
  <si>
    <t>BRANDON   ANDY</t>
  </si>
  <si>
    <t xml:space="preserve">tamara                        </t>
  </si>
  <si>
    <t xml:space="preserve">UNSGAARD PACKAGING (PTY) LTD       </t>
  </si>
  <si>
    <t xml:space="preserve">jenny                         </t>
  </si>
  <si>
    <t xml:space="preserve">ilse                          </t>
  </si>
  <si>
    <t>K  Findlay</t>
  </si>
  <si>
    <t>Redewaan Ryklief</t>
  </si>
  <si>
    <t>PARCEL BOX BOX PARCEL</t>
  </si>
  <si>
    <t xml:space="preserve">PNEUTECH ENGINEERING CC            </t>
  </si>
  <si>
    <t>Chantal</t>
  </si>
  <si>
    <t>A Agnen</t>
  </si>
  <si>
    <t>POTGI</t>
  </si>
  <si>
    <t>POTGIETERSRUS</t>
  </si>
  <si>
    <t>WILLEM</t>
  </si>
  <si>
    <t>pem</t>
  </si>
  <si>
    <t>POD received from cell 0822985176 M</t>
  </si>
  <si>
    <t>LUCKY</t>
  </si>
  <si>
    <t>DES</t>
  </si>
  <si>
    <t>JOAN</t>
  </si>
  <si>
    <t>MMELLA</t>
  </si>
  <si>
    <t>RFES1162566521</t>
  </si>
  <si>
    <t xml:space="preserve">SUMITOMO RUBBER                    </t>
  </si>
  <si>
    <t>bondile</t>
  </si>
  <si>
    <t>REINHOLD</t>
  </si>
  <si>
    <t>Claire</t>
  </si>
  <si>
    <t xml:space="preserve">RIA                           </t>
  </si>
  <si>
    <t>SWANNIE</t>
  </si>
  <si>
    <t xml:space="preserve">keano                         </t>
  </si>
  <si>
    <t>Gionel</t>
  </si>
  <si>
    <t xml:space="preserve">TI AUTOMOTIVE FUEL SYSTEMS         </t>
  </si>
  <si>
    <t>Vuyolethu</t>
  </si>
  <si>
    <t xml:space="preserve">FORMEX ENGINEERING                 </t>
  </si>
  <si>
    <t>Ronnie Doubel</t>
  </si>
  <si>
    <t>Jannie</t>
  </si>
  <si>
    <t>lerindia</t>
  </si>
  <si>
    <t xml:space="preserve">Marie                         </t>
  </si>
  <si>
    <t xml:space="preserve">VOLTEX MV LV SO                    </t>
  </si>
  <si>
    <t>Dees   R</t>
  </si>
  <si>
    <t>nesher</t>
  </si>
  <si>
    <t>ISAIADH</t>
  </si>
  <si>
    <t>JAMIE</t>
  </si>
  <si>
    <t xml:space="preserve">INDLOVU INSTRUMENTATION SUPPLIES   </t>
  </si>
  <si>
    <t>PLEASE ARRANGE THIS COLLECTION   ITS READY NOW. CLOSING 15:00 REQUESTED BY CONNY</t>
  </si>
  <si>
    <t>Enoch Bruintjies</t>
  </si>
  <si>
    <t>arsheed</t>
  </si>
  <si>
    <t>POD received from cell 0727260126 M</t>
  </si>
  <si>
    <t>KEENAN COVERLY</t>
  </si>
  <si>
    <t xml:space="preserve">SCHULLPAK CC                       </t>
  </si>
  <si>
    <t>PLEASE ARRANGE THIS COLLECTION READY NOW CLOSING 15:00 (REQUESTED BY SANDRA)</t>
  </si>
  <si>
    <t>GRAHAM</t>
  </si>
  <si>
    <t>ARSHAEL</t>
  </si>
  <si>
    <t>ELVIS</t>
  </si>
  <si>
    <t xml:space="preserve">BMG BELLVILEE 0120                 </t>
  </si>
  <si>
    <t>graig</t>
  </si>
  <si>
    <t>Mbambo</t>
  </si>
  <si>
    <t>shaa</t>
  </si>
  <si>
    <t xml:space="preserve">PREMIUM IDEAS SA (PTY)L.T.D        </t>
  </si>
  <si>
    <t>lerato</t>
  </si>
  <si>
    <t>POD received from cell 0766143929 M</t>
  </si>
  <si>
    <t>Rohan Budhai</t>
  </si>
  <si>
    <t>ALBERT RANDALL</t>
  </si>
  <si>
    <t>FRANS MARE</t>
  </si>
  <si>
    <t>Henno</t>
  </si>
  <si>
    <t xml:space="preserve">BRIDGE PROCUREMENT                 </t>
  </si>
  <si>
    <t>PRESHAN REDDY</t>
  </si>
  <si>
    <t>KOMANE</t>
  </si>
  <si>
    <t xml:space="preserve">SCOTT BADER                        </t>
  </si>
  <si>
    <t xml:space="preserve">msa                           </t>
  </si>
  <si>
    <t>jandre</t>
  </si>
  <si>
    <t>Dylan  Wynne</t>
  </si>
  <si>
    <t>simphiwe</t>
  </si>
  <si>
    <t>h malan</t>
  </si>
  <si>
    <t xml:space="preserve">VEENA                         </t>
  </si>
  <si>
    <t>jarrad</t>
  </si>
  <si>
    <t>Mbuyi</t>
  </si>
  <si>
    <t>callat</t>
  </si>
  <si>
    <t xml:space="preserve">TRM SUPPLIES CC                    </t>
  </si>
  <si>
    <t>nos</t>
  </si>
  <si>
    <t>chon</t>
  </si>
  <si>
    <t>Ashwin</t>
  </si>
  <si>
    <t>Merryl Wynford</t>
  </si>
  <si>
    <t>FICKS</t>
  </si>
  <si>
    <t>FICKSBURG</t>
  </si>
  <si>
    <t xml:space="preserve">LESOTHO MILLING CO .(PTY)LTD       </t>
  </si>
  <si>
    <t>SOESJANKA</t>
  </si>
  <si>
    <t>VIKASH SINGH</t>
  </si>
  <si>
    <t>chris</t>
  </si>
  <si>
    <t xml:space="preserve">NATIONAL CHICKS ADVISION OF AS     </t>
  </si>
  <si>
    <t>Mahen</t>
  </si>
  <si>
    <t>Jose Crouse</t>
  </si>
  <si>
    <t>angel</t>
  </si>
  <si>
    <t>POD received from cell 0829064649 M</t>
  </si>
  <si>
    <t>DIANE NEWTON</t>
  </si>
  <si>
    <t>RODRICK</t>
  </si>
  <si>
    <t xml:space="preserve">VAAL SANITARYWARE (PTY) LTD        </t>
  </si>
  <si>
    <t>TOKELO</t>
  </si>
  <si>
    <t xml:space="preserve">AIRBUS DS OPTRONICS PTY LTD        </t>
  </si>
  <si>
    <t>refilwa</t>
  </si>
  <si>
    <t>vineid</t>
  </si>
  <si>
    <t>nazeer</t>
  </si>
  <si>
    <t>REAGAN</t>
  </si>
  <si>
    <t xml:space="preserve">FREEDOM STATIONERY (PTY)L.T.D      </t>
  </si>
  <si>
    <t>RFES1162567137</t>
  </si>
  <si>
    <t xml:space="preserve">DERRICK                       </t>
  </si>
  <si>
    <t>FREDDY</t>
  </si>
  <si>
    <t>louis</t>
  </si>
  <si>
    <t xml:space="preserve">TSWANE MOTLHAGASE DISTRUBUTORS     </t>
  </si>
  <si>
    <t>HOSIA</t>
  </si>
  <si>
    <t>C JACOBS</t>
  </si>
  <si>
    <t>dewald</t>
  </si>
  <si>
    <t>liesle</t>
  </si>
  <si>
    <t>MARCELLO</t>
  </si>
  <si>
    <t>MARCELINO</t>
  </si>
  <si>
    <t xml:space="preserve">MARCELLINO                    </t>
  </si>
  <si>
    <t>MZWANDILE MAZIBUKO</t>
  </si>
  <si>
    <t xml:space="preserve">B pillay                      </t>
  </si>
  <si>
    <t>NONI</t>
  </si>
  <si>
    <t>sello</t>
  </si>
  <si>
    <t xml:space="preserve">Steven                        </t>
  </si>
  <si>
    <t>POD received from cell 0737355800 M</t>
  </si>
  <si>
    <t xml:space="preserve">GSK CONSUMER HEALTHCARE SA PTY     </t>
  </si>
  <si>
    <t>IMRAN LEUKES</t>
  </si>
  <si>
    <t>JEFF</t>
  </si>
  <si>
    <t xml:space="preserve">NEXTUBE PTY LTD                    </t>
  </si>
  <si>
    <t>ZUKI</t>
  </si>
  <si>
    <t>m madwara</t>
  </si>
  <si>
    <t xml:space="preserve">grant                         </t>
  </si>
  <si>
    <t xml:space="preserve">BRASTECH CC                        </t>
  </si>
  <si>
    <t>FRED COELHO</t>
  </si>
  <si>
    <t>ARNOLD KHOROMMBI</t>
  </si>
  <si>
    <t>WILHAM</t>
  </si>
  <si>
    <t>unpe4144656</t>
  </si>
  <si>
    <t>PHATHU</t>
  </si>
  <si>
    <t>DONOVAN</t>
  </si>
  <si>
    <t>vuyo</t>
  </si>
  <si>
    <t xml:space="preserve">NAMPAK PETPAK                      </t>
  </si>
  <si>
    <t>landu</t>
  </si>
  <si>
    <t>N DUBE</t>
  </si>
  <si>
    <t>Vernon Nortje</t>
  </si>
  <si>
    <t>conray</t>
  </si>
  <si>
    <t>QUENTIN BOTHMA</t>
  </si>
  <si>
    <t xml:space="preserve">NJ OEM                        </t>
  </si>
  <si>
    <t>NEIL</t>
  </si>
  <si>
    <t>POD received from cell 0832479776 M</t>
  </si>
  <si>
    <t>SIPTHANATI</t>
  </si>
  <si>
    <t>MICHELLE KRUGER</t>
  </si>
  <si>
    <t xml:space="preserve">carl                          </t>
  </si>
  <si>
    <t xml:space="preserve">POD received from cell 0746644640 M     </t>
  </si>
  <si>
    <t>Lanie</t>
  </si>
  <si>
    <t>GERALDENEP</t>
  </si>
  <si>
    <t>Masixole</t>
  </si>
  <si>
    <t>ADELE</t>
  </si>
  <si>
    <t>PIET</t>
  </si>
  <si>
    <t>OUPA</t>
  </si>
  <si>
    <t xml:space="preserve">TI GROUP AUTOMATION SYSTEMS        </t>
  </si>
  <si>
    <t>KEITH FUNNELL</t>
  </si>
  <si>
    <t xml:space="preserve">A kotzer                      </t>
  </si>
  <si>
    <t>rfes1162567245</t>
  </si>
  <si>
    <t xml:space="preserve">Mark                          </t>
  </si>
  <si>
    <t>erci</t>
  </si>
  <si>
    <t>JUAN</t>
  </si>
  <si>
    <t>alicia</t>
  </si>
  <si>
    <t>CHRIS OLCKERS</t>
  </si>
  <si>
    <t>ABSALOM</t>
  </si>
  <si>
    <t>Fourier</t>
  </si>
  <si>
    <t xml:space="preserve">J brussow                     </t>
  </si>
  <si>
    <t xml:space="preserve">DYNAMIC SYSTEMS                    </t>
  </si>
  <si>
    <t>c proome</t>
  </si>
  <si>
    <t>POD received from cell 0746323872 M</t>
  </si>
  <si>
    <t xml:space="preserve">Judy                          </t>
  </si>
  <si>
    <t xml:space="preserve">POD received from cell 0815112382 M     </t>
  </si>
  <si>
    <t>BRIAN BRITTON</t>
  </si>
  <si>
    <t>Cyriel</t>
  </si>
  <si>
    <t>PIETERSE</t>
  </si>
  <si>
    <t>ARTHUR GLAUM</t>
  </si>
  <si>
    <t>v riveira</t>
  </si>
  <si>
    <t xml:space="preserve">S.A. MINT                          </t>
  </si>
  <si>
    <t>REGINALD PHIYA</t>
  </si>
  <si>
    <t>anni</t>
  </si>
  <si>
    <t xml:space="preserve">TRANSPACO CORES   TUBES (PTY)      </t>
  </si>
  <si>
    <t>elsie</t>
  </si>
  <si>
    <t xml:space="preserve">PIRTEK PTY LTD                     </t>
  </si>
  <si>
    <t>Jacob</t>
  </si>
  <si>
    <t>AMOLD</t>
  </si>
  <si>
    <t>denesha</t>
  </si>
  <si>
    <t>CLINTON AKOM</t>
  </si>
  <si>
    <t>EVELYN</t>
  </si>
  <si>
    <t xml:space="preserve">SILAS                         </t>
  </si>
  <si>
    <t>constance</t>
  </si>
  <si>
    <t xml:space="preserve">SAFAL STEEL                        </t>
  </si>
  <si>
    <t>annadette</t>
  </si>
  <si>
    <t>joslyn</t>
  </si>
  <si>
    <t>MICHELLE BROMFIELD</t>
  </si>
  <si>
    <t>DUPLEIX LIQUID METERS PTY LTD</t>
  </si>
  <si>
    <t>robert</t>
  </si>
  <si>
    <t xml:space="preserve">UNILEVER S.A (PTY)LTD              </t>
  </si>
  <si>
    <t>CETYISWA</t>
  </si>
  <si>
    <t xml:space="preserve">THERMO FISHER SCIENTIFIC           </t>
  </si>
  <si>
    <t>Nossie</t>
  </si>
  <si>
    <t xml:space="preserve">MECHANICAL SEALING SOLUTION        </t>
  </si>
  <si>
    <t>Karen</t>
  </si>
  <si>
    <t xml:space="preserve">NGQURA BRICK PTY LTD T A ALGOA     </t>
  </si>
  <si>
    <t>Vuyolwehtu</t>
  </si>
  <si>
    <t>wayne</t>
  </si>
  <si>
    <t>Erika Friend</t>
  </si>
  <si>
    <t>Wesley  nel</t>
  </si>
  <si>
    <t>Wesley nel</t>
  </si>
  <si>
    <t>maria</t>
  </si>
  <si>
    <t xml:space="preserve">vinessan                      </t>
  </si>
  <si>
    <t xml:space="preserve">BRENDA                        </t>
  </si>
  <si>
    <t>I gill</t>
  </si>
  <si>
    <t>gary</t>
  </si>
  <si>
    <t>Barry</t>
  </si>
  <si>
    <t>Shaun</t>
  </si>
  <si>
    <t>PANSY</t>
  </si>
  <si>
    <t xml:space="preserve">PIONEER FOODS PTY LTD              </t>
  </si>
  <si>
    <t>Ritesh</t>
  </si>
  <si>
    <t>POD received from cell 0658405842 M</t>
  </si>
  <si>
    <t>SIPHO DLAMINI</t>
  </si>
  <si>
    <t xml:space="preserve">RFES1162567401                </t>
  </si>
  <si>
    <t>RFES1162567595</t>
  </si>
  <si>
    <t>Anton</t>
  </si>
  <si>
    <t>MICHELLE COETZEE</t>
  </si>
  <si>
    <t>BAREND</t>
  </si>
  <si>
    <t>SPARCLE</t>
  </si>
  <si>
    <t>NARE</t>
  </si>
  <si>
    <t xml:space="preserve">Dedisa Peaking Power               </t>
  </si>
  <si>
    <t>Dedisa Peaking Power</t>
  </si>
  <si>
    <t>POD received from cell 0722572707 M</t>
  </si>
  <si>
    <t>Pacle</t>
  </si>
  <si>
    <t>PARECL</t>
  </si>
  <si>
    <t>POD received from cell 0612827599 M</t>
  </si>
  <si>
    <t xml:space="preserve">MONDIPARK WESTERN CAPE             </t>
  </si>
  <si>
    <t>Byron</t>
  </si>
  <si>
    <t>lisa</t>
  </si>
  <si>
    <t>EDWINA</t>
  </si>
  <si>
    <t xml:space="preserve">WICTRA HOLDINGS PTY LTD            </t>
  </si>
  <si>
    <t>jonathan</t>
  </si>
  <si>
    <t>janine</t>
  </si>
  <si>
    <t>cetyiswa</t>
  </si>
  <si>
    <t>MAHLE BEHR SOUTH AFRICA  PTY</t>
  </si>
  <si>
    <t xml:space="preserve">ABACUS AUTOMATION CC               </t>
  </si>
  <si>
    <t>charmaine</t>
  </si>
  <si>
    <t xml:space="preserve">amitha                        </t>
  </si>
  <si>
    <t>musa sambo</t>
  </si>
  <si>
    <t>WOODLANDS RESOURCE RECOVERY PL</t>
  </si>
  <si>
    <t>nomvuyo</t>
  </si>
  <si>
    <t>stina</t>
  </si>
  <si>
    <t>happiness</t>
  </si>
  <si>
    <t>SECELO</t>
  </si>
  <si>
    <t>Desmond</t>
  </si>
  <si>
    <t>WELLINGTON</t>
  </si>
  <si>
    <t xml:space="preserve">IRS (INTERNATIONAL RUNNERSS SE     </t>
  </si>
  <si>
    <t>VINCENT</t>
  </si>
  <si>
    <t>PLEASE ARRANGE COLLECTION FOR LUZUKO BULMEBU</t>
  </si>
  <si>
    <t>LOMBARD</t>
  </si>
  <si>
    <t>JONATHAN/ PATRICK</t>
  </si>
  <si>
    <t xml:space="preserve">RHEINMETALL DENEL MUNITION         </t>
  </si>
  <si>
    <t>C SELTOLTA</t>
  </si>
  <si>
    <t xml:space="preserve">Eugene                        </t>
  </si>
  <si>
    <t xml:space="preserve">POD received from cell 0795593784 M     </t>
  </si>
  <si>
    <t xml:space="preserve">MARC                          </t>
  </si>
  <si>
    <t xml:space="preserve">POD received from cell 0617990218 M     </t>
  </si>
  <si>
    <t>COLLECTION READY NOW CLOSING AT 15:00 (REQUESTED BY CONNIE)</t>
  </si>
  <si>
    <t>CHRISTO</t>
  </si>
  <si>
    <t>SUSANNA GREEFF</t>
  </si>
  <si>
    <t>PARCEL BOX BOX</t>
  </si>
  <si>
    <t xml:space="preserve">HERAEUS ELECTRO NITE               </t>
  </si>
  <si>
    <t>rochelle</t>
  </si>
  <si>
    <t>mcedisi</t>
  </si>
  <si>
    <t xml:space="preserve">CAXTON WORKS                       </t>
  </si>
  <si>
    <t>NISHA</t>
  </si>
  <si>
    <t>Pieter</t>
  </si>
  <si>
    <t xml:space="preserve">KHAN CHEMICAL INDUSTRY C.C         </t>
  </si>
  <si>
    <t>LAURENE</t>
  </si>
  <si>
    <t xml:space="preserve">CULINARY  A DIVISION OF            </t>
  </si>
  <si>
    <t>mene</t>
  </si>
  <si>
    <t>Cedrick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</si>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</sst>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14" fontId="1" fillId="2" borderId="1" xfId="0" applyNumberFormat="1" applyFont="1" applyFill="1" applyBorder="1"/>
    <xf numFmtId="20" fontId="0" fillId="0" borderId="1" xfId="0" applyNumberFormat="1" applyBorder="1"/>
    <xf numFmtId="14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M4985"/>
  <sheetViews>
    <sheetView tabSelected="1" workbookViewId="0">
      <selection activeCell="C4987" sqref="C4987"/>
    </sheetView>
  </sheetViews>
  <sheetFormatPr defaultRowHeight="15"/>
  <cols>
    <col min="1" max="1" width="7.42578125" bestFit="1" customWidth="1"/>
    <col min="2" max="2" width="36.7109375" bestFit="1" customWidth="1"/>
    <col min="3" max="3" width="5.28515625" bestFit="1" customWidth="1"/>
    <col min="4" max="4" width="10.140625" bestFit="1" customWidth="1"/>
    <col min="5" max="5" width="15.42578125" bestFit="1" customWidth="1"/>
    <col min="6" max="6" width="10.7109375" bestFit="1" customWidth="1"/>
    <col min="7" max="7" width="7" bestFit="1" customWidth="1"/>
    <col min="8" max="8" width="7.7109375" bestFit="1" customWidth="1"/>
    <col min="9" max="9" width="18.7109375" bestFit="1" customWidth="1"/>
    <col min="10" max="10" width="38.285156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7109375" bestFit="1" customWidth="1"/>
    <col min="15" max="15" width="4.85546875" bestFit="1" customWidth="1"/>
    <col min="16" max="16" width="30.710937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5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4.28515625" bestFit="1" customWidth="1"/>
    <col min="38" max="38" width="4.5703125" bestFit="1" customWidth="1"/>
    <col min="39" max="39" width="9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7109375" bestFit="1" customWidth="1"/>
    <col min="56" max="56" width="4.5703125" bestFit="1" customWidth="1"/>
    <col min="57" max="57" width="5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2" width="8" bestFit="1" customWidth="1"/>
    <col min="63" max="63" width="6.28515625" bestFit="1" customWidth="1"/>
    <col min="64" max="64" width="10" bestFit="1" customWidth="1"/>
    <col min="65" max="65" width="9" bestFit="1" customWidth="1"/>
    <col min="66" max="66" width="10" bestFit="1" customWidth="1"/>
    <col min="68" max="68" width="83.140625" bestFit="1" customWidth="1"/>
    <col min="69" max="69" width="30.5703125" bestFit="1" customWidth="1"/>
    <col min="70" max="70" width="23" bestFit="1" customWidth="1"/>
    <col min="71" max="71" width="10.7109375" bestFit="1" customWidth="1"/>
    <col min="72" max="72" width="9.7109375" bestFit="1" customWidth="1"/>
    <col min="73" max="73" width="35.28515625" bestFit="1" customWidth="1"/>
    <col min="74" max="74" width="8.5703125" bestFit="1" customWidth="1"/>
    <col min="75" max="75" width="24.28515625" bestFit="1" customWidth="1"/>
    <col min="76" max="76" width="16.140625" bestFit="1" customWidth="1"/>
    <col min="77" max="77" width="13.85546875" bestFit="1" customWidth="1"/>
    <col min="78" max="78" width="9.570312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32.710937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D2" s="2"/>
      <c r="E2" s="2" t="str">
        <f>"FES1162567683"</f>
        <v>FES1162567683</v>
      </c>
      <c r="F2" s="3">
        <v>42955</v>
      </c>
      <c r="G2" s="2">
        <v>201802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"2170583820                    "</f>
        <v xml:space="preserve">2170583820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5.63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1</v>
      </c>
      <c r="BI2" s="2">
        <v>4</v>
      </c>
      <c r="BJ2" s="2">
        <v>2.4</v>
      </c>
      <c r="BK2" s="2">
        <v>4</v>
      </c>
      <c r="BL2" s="2">
        <v>63.28</v>
      </c>
      <c r="BM2" s="2">
        <v>8.86</v>
      </c>
      <c r="BN2" s="2">
        <v>72.14</v>
      </c>
      <c r="BO2" s="2">
        <v>72.14</v>
      </c>
      <c r="BP2" s="2" t="s">
        <v>82</v>
      </c>
      <c r="BQ2" s="2" t="s">
        <v>83</v>
      </c>
      <c r="BR2" s="2" t="s">
        <v>84</v>
      </c>
      <c r="BS2" s="3">
        <v>42957</v>
      </c>
      <c r="BT2" s="4">
        <v>0.40625</v>
      </c>
      <c r="BU2" s="2" t="s">
        <v>85</v>
      </c>
      <c r="BV2" s="2" t="s">
        <v>86</v>
      </c>
      <c r="BW2" s="2" t="s">
        <v>87</v>
      </c>
      <c r="BX2" s="2" t="s">
        <v>88</v>
      </c>
      <c r="BY2" s="2">
        <v>12207.25</v>
      </c>
      <c r="BZ2" s="2"/>
      <c r="CA2" s="2"/>
      <c r="CB2" s="2"/>
      <c r="CC2" s="2" t="s">
        <v>79</v>
      </c>
      <c r="CD2" s="2">
        <v>9300</v>
      </c>
      <c r="CE2" s="2" t="s">
        <v>89</v>
      </c>
      <c r="CF2" s="5">
        <v>42961</v>
      </c>
      <c r="CG2" s="2"/>
      <c r="CH2" s="2"/>
      <c r="CI2" s="2">
        <v>0</v>
      </c>
      <c r="CJ2" s="2">
        <v>0</v>
      </c>
      <c r="CK2" s="2" t="s">
        <v>90</v>
      </c>
      <c r="CL2" s="2" t="s">
        <v>86</v>
      </c>
      <c r="CM2" s="2"/>
    </row>
    <row r="3" spans="1:91">
      <c r="A3" s="2" t="s">
        <v>71</v>
      </c>
      <c r="B3" s="2" t="s">
        <v>72</v>
      </c>
      <c r="C3" s="2" t="s">
        <v>73</v>
      </c>
      <c r="D3" s="2"/>
      <c r="E3" s="2" t="str">
        <f>"FES1162567823"</f>
        <v>FES1162567823</v>
      </c>
      <c r="F3" s="3">
        <v>42955</v>
      </c>
      <c r="G3" s="2">
        <v>201802</v>
      </c>
      <c r="H3" s="2" t="s">
        <v>74</v>
      </c>
      <c r="I3" s="2" t="s">
        <v>75</v>
      </c>
      <c r="J3" s="2" t="s">
        <v>76</v>
      </c>
      <c r="K3" s="2" t="s">
        <v>77</v>
      </c>
      <c r="L3" s="2" t="s">
        <v>91</v>
      </c>
      <c r="M3" s="2" t="s">
        <v>92</v>
      </c>
      <c r="N3" s="2" t="s">
        <v>93</v>
      </c>
      <c r="O3" s="2" t="s">
        <v>81</v>
      </c>
      <c r="P3" s="2" t="str">
        <f>"2170583984                    "</f>
        <v xml:space="preserve">2170583984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9.76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1</v>
      </c>
      <c r="BI3" s="2">
        <v>2</v>
      </c>
      <c r="BJ3" s="2">
        <v>1.3</v>
      </c>
      <c r="BK3" s="2">
        <v>2</v>
      </c>
      <c r="BL3" s="2">
        <v>106.02</v>
      </c>
      <c r="BM3" s="2">
        <v>14.84</v>
      </c>
      <c r="BN3" s="2">
        <v>120.86</v>
      </c>
      <c r="BO3" s="2">
        <v>120.86</v>
      </c>
      <c r="BP3" s="2" t="s">
        <v>82</v>
      </c>
      <c r="BQ3" s="2" t="s">
        <v>83</v>
      </c>
      <c r="BR3" s="2" t="s">
        <v>84</v>
      </c>
      <c r="BS3" s="3">
        <v>42957</v>
      </c>
      <c r="BT3" s="4">
        <v>0.53125</v>
      </c>
      <c r="BU3" s="2" t="s">
        <v>94</v>
      </c>
      <c r="BV3" s="2" t="s">
        <v>95</v>
      </c>
      <c r="BW3" s="2"/>
      <c r="BX3" s="2"/>
      <c r="BY3" s="2">
        <v>6581.18</v>
      </c>
      <c r="BZ3" s="2"/>
      <c r="CA3" s="2"/>
      <c r="CB3" s="2"/>
      <c r="CC3" s="2" t="s">
        <v>92</v>
      </c>
      <c r="CD3" s="2">
        <v>9780</v>
      </c>
      <c r="CE3" s="2" t="s">
        <v>89</v>
      </c>
      <c r="CF3" s="5">
        <v>42961</v>
      </c>
      <c r="CG3" s="2"/>
      <c r="CH3" s="2"/>
      <c r="CI3" s="2">
        <v>0</v>
      </c>
      <c r="CJ3" s="2">
        <v>0</v>
      </c>
      <c r="CK3" s="2" t="s">
        <v>96</v>
      </c>
      <c r="CL3" s="2" t="s">
        <v>86</v>
      </c>
      <c r="CM3" s="2"/>
    </row>
    <row r="4" spans="1:91">
      <c r="A4" s="2" t="s">
        <v>71</v>
      </c>
      <c r="B4" s="2" t="s">
        <v>72</v>
      </c>
      <c r="C4" s="2" t="s">
        <v>73</v>
      </c>
      <c r="D4" s="2"/>
      <c r="E4" s="2" t="str">
        <f>"FES1162567731"</f>
        <v>FES1162567731</v>
      </c>
      <c r="F4" s="3">
        <v>42955</v>
      </c>
      <c r="G4" s="2">
        <v>201802</v>
      </c>
      <c r="H4" s="2" t="s">
        <v>74</v>
      </c>
      <c r="I4" s="2" t="s">
        <v>75</v>
      </c>
      <c r="J4" s="2" t="s">
        <v>76</v>
      </c>
      <c r="K4" s="2" t="s">
        <v>77</v>
      </c>
      <c r="L4" s="2" t="s">
        <v>97</v>
      </c>
      <c r="M4" s="2" t="s">
        <v>98</v>
      </c>
      <c r="N4" s="2" t="s">
        <v>99</v>
      </c>
      <c r="O4" s="2" t="s">
        <v>100</v>
      </c>
      <c r="P4" s="2" t="str">
        <f>"2170583866                    "</f>
        <v xml:space="preserve">2170583866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4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1</v>
      </c>
      <c r="BJ4" s="2">
        <v>0.2</v>
      </c>
      <c r="BK4" s="2">
        <v>1</v>
      </c>
      <c r="BL4" s="2">
        <v>41.44</v>
      </c>
      <c r="BM4" s="2">
        <v>5.8</v>
      </c>
      <c r="BN4" s="2">
        <v>47.24</v>
      </c>
      <c r="BO4" s="2">
        <v>47.24</v>
      </c>
      <c r="BP4" s="2" t="s">
        <v>101</v>
      </c>
      <c r="BQ4" s="2" t="s">
        <v>83</v>
      </c>
      <c r="BR4" s="2" t="s">
        <v>84</v>
      </c>
      <c r="BS4" s="3">
        <v>42957</v>
      </c>
      <c r="BT4" s="4">
        <v>0.36249999999999999</v>
      </c>
      <c r="BU4" s="2" t="s">
        <v>102</v>
      </c>
      <c r="BV4" s="2" t="s">
        <v>86</v>
      </c>
      <c r="BW4" s="2"/>
      <c r="BX4" s="2"/>
      <c r="BY4" s="2">
        <v>1200</v>
      </c>
      <c r="BZ4" s="2"/>
      <c r="CA4" s="2" t="s">
        <v>103</v>
      </c>
      <c r="CB4" s="2"/>
      <c r="CC4" s="2" t="s">
        <v>98</v>
      </c>
      <c r="CD4" s="2">
        <v>6210</v>
      </c>
      <c r="CE4" s="2" t="s">
        <v>104</v>
      </c>
      <c r="CF4" s="5">
        <v>42958</v>
      </c>
      <c r="CG4" s="2"/>
      <c r="CH4" s="2"/>
      <c r="CI4" s="2">
        <v>1</v>
      </c>
      <c r="CJ4" s="2">
        <v>2</v>
      </c>
      <c r="CK4" s="2">
        <v>21</v>
      </c>
      <c r="CL4" s="2" t="s">
        <v>86</v>
      </c>
      <c r="CM4" s="2"/>
    </row>
    <row r="5" spans="1:91">
      <c r="A5" s="2" t="s">
        <v>71</v>
      </c>
      <c r="B5" s="2" t="s">
        <v>72</v>
      </c>
      <c r="C5" s="2" t="s">
        <v>73</v>
      </c>
      <c r="D5" s="2"/>
      <c r="E5" s="2" t="str">
        <f>"FES1162567621"</f>
        <v>FES1162567621</v>
      </c>
      <c r="F5" s="3">
        <v>42955</v>
      </c>
      <c r="G5" s="2">
        <v>201802</v>
      </c>
      <c r="H5" s="2" t="s">
        <v>74</v>
      </c>
      <c r="I5" s="2" t="s">
        <v>75</v>
      </c>
      <c r="J5" s="2" t="s">
        <v>76</v>
      </c>
      <c r="K5" s="2" t="s">
        <v>77</v>
      </c>
      <c r="L5" s="2" t="s">
        <v>105</v>
      </c>
      <c r="M5" s="2" t="s">
        <v>106</v>
      </c>
      <c r="N5" s="2" t="s">
        <v>107</v>
      </c>
      <c r="O5" s="2" t="s">
        <v>100</v>
      </c>
      <c r="P5" s="2" t="str">
        <f>"2170583775                    "</f>
        <v xml:space="preserve">2170583775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4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1</v>
      </c>
      <c r="BJ5" s="2">
        <v>0.2</v>
      </c>
      <c r="BK5" s="2">
        <v>1</v>
      </c>
      <c r="BL5" s="2">
        <v>41.44</v>
      </c>
      <c r="BM5" s="2">
        <v>5.8</v>
      </c>
      <c r="BN5" s="2">
        <v>47.24</v>
      </c>
      <c r="BO5" s="2">
        <v>47.24</v>
      </c>
      <c r="BP5" s="2"/>
      <c r="BQ5" s="2" t="s">
        <v>108</v>
      </c>
      <c r="BR5" s="2" t="s">
        <v>84</v>
      </c>
      <c r="BS5" s="3">
        <v>42957</v>
      </c>
      <c r="BT5" s="4">
        <v>0.39305555555555555</v>
      </c>
      <c r="BU5" s="2" t="s">
        <v>109</v>
      </c>
      <c r="BV5" s="2" t="s">
        <v>86</v>
      </c>
      <c r="BW5" s="2" t="s">
        <v>110</v>
      </c>
      <c r="BX5" s="2" t="s">
        <v>111</v>
      </c>
      <c r="BY5" s="2">
        <v>1200</v>
      </c>
      <c r="BZ5" s="2"/>
      <c r="CA5" s="2" t="s">
        <v>112</v>
      </c>
      <c r="CB5" s="2"/>
      <c r="CC5" s="2" t="s">
        <v>106</v>
      </c>
      <c r="CD5" s="2">
        <v>7405</v>
      </c>
      <c r="CE5" s="2" t="s">
        <v>104</v>
      </c>
      <c r="CF5" s="5">
        <v>42958</v>
      </c>
      <c r="CG5" s="2"/>
      <c r="CH5" s="2"/>
      <c r="CI5" s="2">
        <v>1</v>
      </c>
      <c r="CJ5" s="2">
        <v>2</v>
      </c>
      <c r="CK5" s="2">
        <v>21</v>
      </c>
      <c r="CL5" s="2" t="s">
        <v>86</v>
      </c>
      <c r="CM5" s="2"/>
    </row>
    <row r="6" spans="1:91">
      <c r="A6" s="2" t="s">
        <v>71</v>
      </c>
      <c r="B6" s="2" t="s">
        <v>72</v>
      </c>
      <c r="C6" s="2" t="s">
        <v>73</v>
      </c>
      <c r="D6" s="2"/>
      <c r="E6" s="2" t="str">
        <f>"FES1162567685"</f>
        <v>FES1162567685</v>
      </c>
      <c r="F6" s="3">
        <v>42955</v>
      </c>
      <c r="G6" s="2">
        <v>201802</v>
      </c>
      <c r="H6" s="2" t="s">
        <v>74</v>
      </c>
      <c r="I6" s="2" t="s">
        <v>75</v>
      </c>
      <c r="J6" s="2" t="s">
        <v>76</v>
      </c>
      <c r="K6" s="2" t="s">
        <v>77</v>
      </c>
      <c r="L6" s="2" t="s">
        <v>105</v>
      </c>
      <c r="M6" s="2" t="s">
        <v>106</v>
      </c>
      <c r="N6" s="2" t="s">
        <v>113</v>
      </c>
      <c r="O6" s="2" t="s">
        <v>100</v>
      </c>
      <c r="P6" s="2" t="str">
        <f>"2170583823                    "</f>
        <v xml:space="preserve">2170583823           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4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1</v>
      </c>
      <c r="BJ6" s="2">
        <v>0.2</v>
      </c>
      <c r="BK6" s="2">
        <v>1</v>
      </c>
      <c r="BL6" s="2">
        <v>41.44</v>
      </c>
      <c r="BM6" s="2">
        <v>5.8</v>
      </c>
      <c r="BN6" s="2">
        <v>47.24</v>
      </c>
      <c r="BO6" s="2">
        <v>47.24</v>
      </c>
      <c r="BP6" s="2"/>
      <c r="BQ6" s="2" t="s">
        <v>83</v>
      </c>
      <c r="BR6" s="2" t="s">
        <v>84</v>
      </c>
      <c r="BS6" s="3">
        <v>42957</v>
      </c>
      <c r="BT6" s="4">
        <v>0.43472222222222223</v>
      </c>
      <c r="BU6" s="2" t="s">
        <v>114</v>
      </c>
      <c r="BV6" s="2" t="s">
        <v>86</v>
      </c>
      <c r="BW6" s="2" t="s">
        <v>115</v>
      </c>
      <c r="BX6" s="2" t="s">
        <v>116</v>
      </c>
      <c r="BY6" s="2">
        <v>1200</v>
      </c>
      <c r="BZ6" s="2"/>
      <c r="CA6" s="2" t="s">
        <v>117</v>
      </c>
      <c r="CB6" s="2"/>
      <c r="CC6" s="2" t="s">
        <v>106</v>
      </c>
      <c r="CD6" s="2">
        <v>7405</v>
      </c>
      <c r="CE6" s="2" t="s">
        <v>104</v>
      </c>
      <c r="CF6" s="5">
        <v>42957</v>
      </c>
      <c r="CG6" s="2"/>
      <c r="CH6" s="2"/>
      <c r="CI6" s="2">
        <v>1</v>
      </c>
      <c r="CJ6" s="2">
        <v>2</v>
      </c>
      <c r="CK6" s="2">
        <v>21</v>
      </c>
      <c r="CL6" s="2" t="s">
        <v>86</v>
      </c>
      <c r="CM6" s="2"/>
    </row>
    <row r="7" spans="1:91">
      <c r="A7" s="2" t="s">
        <v>71</v>
      </c>
      <c r="B7" s="2" t="s">
        <v>72</v>
      </c>
      <c r="C7" s="2" t="s">
        <v>73</v>
      </c>
      <c r="D7" s="2"/>
      <c r="E7" s="2" t="str">
        <f>"FES1162567833"</f>
        <v>FES1162567833</v>
      </c>
      <c r="F7" s="3">
        <v>42955</v>
      </c>
      <c r="G7" s="2">
        <v>201802</v>
      </c>
      <c r="H7" s="2" t="s">
        <v>74</v>
      </c>
      <c r="I7" s="2" t="s">
        <v>75</v>
      </c>
      <c r="J7" s="2" t="s">
        <v>118</v>
      </c>
      <c r="K7" s="2" t="s">
        <v>77</v>
      </c>
      <c r="L7" s="2" t="s">
        <v>97</v>
      </c>
      <c r="M7" s="2" t="s">
        <v>98</v>
      </c>
      <c r="N7" s="2" t="s">
        <v>119</v>
      </c>
      <c r="O7" s="2" t="s">
        <v>120</v>
      </c>
      <c r="P7" s="2" t="str">
        <f>"2170583992/JNB373731          "</f>
        <v xml:space="preserve">2170583992/JNB373731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351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41.52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1</v>
      </c>
      <c r="BJ7" s="2">
        <v>1.1000000000000001</v>
      </c>
      <c r="BK7" s="2">
        <v>1.5</v>
      </c>
      <c r="BL7" s="2">
        <v>429.96</v>
      </c>
      <c r="BM7" s="2">
        <v>60.19</v>
      </c>
      <c r="BN7" s="2">
        <v>490.15</v>
      </c>
      <c r="BO7" s="2">
        <v>490.15</v>
      </c>
      <c r="BP7" s="2" t="s">
        <v>121</v>
      </c>
      <c r="BQ7" s="2" t="s">
        <v>83</v>
      </c>
      <c r="BR7" s="2" t="s">
        <v>122</v>
      </c>
      <c r="BS7" s="3">
        <v>42962</v>
      </c>
      <c r="BT7" s="4">
        <v>0.6118055555555556</v>
      </c>
      <c r="BU7" s="2" t="s">
        <v>123</v>
      </c>
      <c r="BV7" s="2" t="s">
        <v>86</v>
      </c>
      <c r="BW7" s="2" t="s">
        <v>124</v>
      </c>
      <c r="BX7" s="2" t="s">
        <v>125</v>
      </c>
      <c r="BY7" s="2">
        <v>5320</v>
      </c>
      <c r="BZ7" s="2" t="s">
        <v>126</v>
      </c>
      <c r="CA7" s="2" t="s">
        <v>127</v>
      </c>
      <c r="CB7" s="2"/>
      <c r="CC7" s="2" t="s">
        <v>98</v>
      </c>
      <c r="CD7" s="2">
        <v>6001</v>
      </c>
      <c r="CE7" s="2" t="s">
        <v>89</v>
      </c>
      <c r="CF7" s="5">
        <v>42963</v>
      </c>
      <c r="CG7" s="2"/>
      <c r="CH7" s="2"/>
      <c r="CI7" s="2">
        <v>0</v>
      </c>
      <c r="CJ7" s="2">
        <v>7</v>
      </c>
      <c r="CK7" s="2">
        <v>21</v>
      </c>
      <c r="CL7" s="2" t="s">
        <v>86</v>
      </c>
      <c r="CM7" s="2"/>
    </row>
    <row r="8" spans="1:91">
      <c r="A8" s="2" t="s">
        <v>71</v>
      </c>
      <c r="B8" s="2" t="s">
        <v>72</v>
      </c>
      <c r="C8" s="2" t="s">
        <v>73</v>
      </c>
      <c r="D8" s="2"/>
      <c r="E8" s="2" t="str">
        <f>"FES1162567908"</f>
        <v>FES1162567908</v>
      </c>
      <c r="F8" s="3">
        <v>42957</v>
      </c>
      <c r="G8" s="2">
        <v>201802</v>
      </c>
      <c r="H8" s="2" t="s">
        <v>74</v>
      </c>
      <c r="I8" s="2" t="s">
        <v>75</v>
      </c>
      <c r="J8" s="2" t="s">
        <v>76</v>
      </c>
      <c r="K8" s="2" t="s">
        <v>77</v>
      </c>
      <c r="L8" s="2" t="s">
        <v>128</v>
      </c>
      <c r="M8" s="2" t="s">
        <v>129</v>
      </c>
      <c r="N8" s="2" t="s">
        <v>130</v>
      </c>
      <c r="O8" s="2" t="s">
        <v>81</v>
      </c>
      <c r="P8" s="2" t="str">
        <f>"2170584079                    "</f>
        <v xml:space="preserve">2170584079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10.14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3</v>
      </c>
      <c r="BI8" s="2">
        <v>30.2</v>
      </c>
      <c r="BJ8" s="2">
        <v>38.1</v>
      </c>
      <c r="BK8" s="2">
        <v>39</v>
      </c>
      <c r="BL8" s="2">
        <v>110.03</v>
      </c>
      <c r="BM8" s="2">
        <v>15.4</v>
      </c>
      <c r="BN8" s="2">
        <v>125.43</v>
      </c>
      <c r="BO8" s="2">
        <v>125.43</v>
      </c>
      <c r="BP8" s="2"/>
      <c r="BQ8" s="2" t="s">
        <v>83</v>
      </c>
      <c r="BR8" s="2" t="s">
        <v>84</v>
      </c>
      <c r="BS8" s="3">
        <v>42958</v>
      </c>
      <c r="BT8" s="4">
        <v>0.43402777777777773</v>
      </c>
      <c r="BU8" s="2" t="s">
        <v>131</v>
      </c>
      <c r="BV8" s="2" t="s">
        <v>95</v>
      </c>
      <c r="BW8" s="2"/>
      <c r="BX8" s="2"/>
      <c r="BY8" s="2">
        <v>190571</v>
      </c>
      <c r="BZ8" s="2"/>
      <c r="CA8" s="2"/>
      <c r="CB8" s="2"/>
      <c r="CC8" s="2" t="s">
        <v>129</v>
      </c>
      <c r="CD8" s="2">
        <v>1724</v>
      </c>
      <c r="CE8" s="2" t="s">
        <v>89</v>
      </c>
      <c r="CF8" s="5">
        <v>42961</v>
      </c>
      <c r="CG8" s="2"/>
      <c r="CH8" s="2"/>
      <c r="CI8" s="2">
        <v>1</v>
      </c>
      <c r="CJ8" s="2">
        <v>1</v>
      </c>
      <c r="CK8" s="2" t="s">
        <v>132</v>
      </c>
      <c r="CL8" s="2" t="s">
        <v>86</v>
      </c>
      <c r="CM8" s="2"/>
    </row>
    <row r="9" spans="1:91">
      <c r="A9" s="2" t="s">
        <v>71</v>
      </c>
      <c r="B9" s="2" t="s">
        <v>72</v>
      </c>
      <c r="C9" s="2" t="s">
        <v>73</v>
      </c>
      <c r="D9" s="2"/>
      <c r="E9" s="2" t="str">
        <f>"FES1162568162"</f>
        <v>FES1162568162</v>
      </c>
      <c r="F9" s="3">
        <v>42957</v>
      </c>
      <c r="G9" s="2">
        <v>201802</v>
      </c>
      <c r="H9" s="2" t="s">
        <v>74</v>
      </c>
      <c r="I9" s="2" t="s">
        <v>75</v>
      </c>
      <c r="J9" s="2" t="s">
        <v>76</v>
      </c>
      <c r="K9" s="2" t="s">
        <v>77</v>
      </c>
      <c r="L9" s="2" t="s">
        <v>97</v>
      </c>
      <c r="M9" s="2" t="s">
        <v>98</v>
      </c>
      <c r="N9" s="2" t="s">
        <v>119</v>
      </c>
      <c r="O9" s="2" t="s">
        <v>81</v>
      </c>
      <c r="P9" s="2" t="str">
        <f>"2170584269                    "</f>
        <v xml:space="preserve">2170584269             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9.9499999999999993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19.399999999999999</v>
      </c>
      <c r="BJ9" s="2">
        <v>9.6</v>
      </c>
      <c r="BK9" s="2">
        <v>20</v>
      </c>
      <c r="BL9" s="2">
        <v>107.99</v>
      </c>
      <c r="BM9" s="2">
        <v>15.12</v>
      </c>
      <c r="BN9" s="2">
        <v>123.11</v>
      </c>
      <c r="BO9" s="2">
        <v>123.11</v>
      </c>
      <c r="BP9" s="2"/>
      <c r="BQ9" s="2" t="s">
        <v>108</v>
      </c>
      <c r="BR9" s="2" t="s">
        <v>84</v>
      </c>
      <c r="BS9" s="3">
        <v>42961</v>
      </c>
      <c r="BT9" s="4">
        <v>0.44722222222222219</v>
      </c>
      <c r="BU9" s="2" t="s">
        <v>133</v>
      </c>
      <c r="BV9" s="2" t="s">
        <v>95</v>
      </c>
      <c r="BW9" s="2"/>
      <c r="BX9" s="2"/>
      <c r="BY9" s="2">
        <v>47826.45</v>
      </c>
      <c r="BZ9" s="2"/>
      <c r="CA9" s="2" t="s">
        <v>134</v>
      </c>
      <c r="CB9" s="2"/>
      <c r="CC9" s="2" t="s">
        <v>98</v>
      </c>
      <c r="CD9" s="2">
        <v>6001</v>
      </c>
      <c r="CE9" s="2" t="s">
        <v>135</v>
      </c>
      <c r="CF9" s="5">
        <v>42961</v>
      </c>
      <c r="CG9" s="2"/>
      <c r="CH9" s="2"/>
      <c r="CI9" s="2">
        <v>2</v>
      </c>
      <c r="CJ9" s="2">
        <v>2</v>
      </c>
      <c r="CK9" s="2" t="s">
        <v>136</v>
      </c>
      <c r="CL9" s="2" t="s">
        <v>86</v>
      </c>
      <c r="CM9" s="2"/>
    </row>
    <row r="10" spans="1:91">
      <c r="A10" s="2" t="s">
        <v>71</v>
      </c>
      <c r="B10" s="2" t="s">
        <v>72</v>
      </c>
      <c r="C10" s="2" t="s">
        <v>73</v>
      </c>
      <c r="D10" s="2"/>
      <c r="E10" s="2" t="str">
        <f>"FES1162567982"</f>
        <v>FES1162567982</v>
      </c>
      <c r="F10" s="3">
        <v>42957</v>
      </c>
      <c r="G10" s="2">
        <v>201802</v>
      </c>
      <c r="H10" s="2" t="s">
        <v>74</v>
      </c>
      <c r="I10" s="2" t="s">
        <v>75</v>
      </c>
      <c r="J10" s="2" t="s">
        <v>76</v>
      </c>
      <c r="K10" s="2" t="s">
        <v>77</v>
      </c>
      <c r="L10" s="2" t="s">
        <v>137</v>
      </c>
      <c r="M10" s="2" t="s">
        <v>138</v>
      </c>
      <c r="N10" s="2" t="s">
        <v>139</v>
      </c>
      <c r="O10" s="2" t="s">
        <v>81</v>
      </c>
      <c r="P10" s="2" t="str">
        <f>"2170582125                    "</f>
        <v xml:space="preserve">2170582125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10.07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5</v>
      </c>
      <c r="BI10" s="2">
        <v>30</v>
      </c>
      <c r="BJ10" s="2">
        <v>29.4</v>
      </c>
      <c r="BK10" s="2">
        <v>30</v>
      </c>
      <c r="BL10" s="2">
        <v>109.27</v>
      </c>
      <c r="BM10" s="2">
        <v>15.3</v>
      </c>
      <c r="BN10" s="2">
        <v>124.57</v>
      </c>
      <c r="BO10" s="2">
        <v>124.57</v>
      </c>
      <c r="BP10" s="2"/>
      <c r="BQ10" s="2" t="s">
        <v>83</v>
      </c>
      <c r="BR10" s="2" t="s">
        <v>84</v>
      </c>
      <c r="BS10" s="3">
        <v>42958</v>
      </c>
      <c r="BT10" s="4">
        <v>0.58888888888888891</v>
      </c>
      <c r="BU10" s="2" t="s">
        <v>140</v>
      </c>
      <c r="BV10" s="2"/>
      <c r="BW10" s="2"/>
      <c r="BX10" s="2"/>
      <c r="BY10" s="2">
        <v>147015</v>
      </c>
      <c r="BZ10" s="2"/>
      <c r="CA10" s="2" t="s">
        <v>141</v>
      </c>
      <c r="CB10" s="2"/>
      <c r="CC10" s="2" t="s">
        <v>138</v>
      </c>
      <c r="CD10" s="2">
        <v>157</v>
      </c>
      <c r="CE10" s="2" t="s">
        <v>142</v>
      </c>
      <c r="CF10" s="5">
        <v>42961</v>
      </c>
      <c r="CG10" s="2"/>
      <c r="CH10" s="2"/>
      <c r="CI10" s="2">
        <v>0</v>
      </c>
      <c r="CJ10" s="2">
        <v>0</v>
      </c>
      <c r="CK10" s="2" t="s">
        <v>143</v>
      </c>
      <c r="CL10" s="2" t="s">
        <v>86</v>
      </c>
      <c r="CM10" s="2"/>
    </row>
    <row r="11" spans="1:91">
      <c r="A11" s="2" t="s">
        <v>71</v>
      </c>
      <c r="B11" s="2" t="s">
        <v>72</v>
      </c>
      <c r="C11" s="2" t="s">
        <v>73</v>
      </c>
      <c r="D11" s="2"/>
      <c r="E11" s="2" t="str">
        <f>"FES1162568070"</f>
        <v>FES1162568070</v>
      </c>
      <c r="F11" s="3">
        <v>42957</v>
      </c>
      <c r="G11" s="2">
        <v>201802</v>
      </c>
      <c r="H11" s="2" t="s">
        <v>74</v>
      </c>
      <c r="I11" s="2" t="s">
        <v>75</v>
      </c>
      <c r="J11" s="2" t="s">
        <v>76</v>
      </c>
      <c r="K11" s="2" t="s">
        <v>77</v>
      </c>
      <c r="L11" s="2" t="s">
        <v>144</v>
      </c>
      <c r="M11" s="2" t="s">
        <v>145</v>
      </c>
      <c r="N11" s="2" t="s">
        <v>146</v>
      </c>
      <c r="O11" s="2" t="s">
        <v>81</v>
      </c>
      <c r="P11" s="2" t="str">
        <f>"2170581657                    "</f>
        <v xml:space="preserve">2170581657                    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6.76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20.5</v>
      </c>
      <c r="BJ11" s="2">
        <v>9.6</v>
      </c>
      <c r="BK11" s="2">
        <v>21</v>
      </c>
      <c r="BL11" s="2">
        <v>74.97</v>
      </c>
      <c r="BM11" s="2">
        <v>10.5</v>
      </c>
      <c r="BN11" s="2">
        <v>85.47</v>
      </c>
      <c r="BO11" s="2">
        <v>85.47</v>
      </c>
      <c r="BP11" s="2"/>
      <c r="BQ11" s="2" t="s">
        <v>83</v>
      </c>
      <c r="BR11" s="2" t="s">
        <v>84</v>
      </c>
      <c r="BS11" s="3">
        <v>42958</v>
      </c>
      <c r="BT11" s="4">
        <v>0.41666666666666669</v>
      </c>
      <c r="BU11" s="2" t="s">
        <v>147</v>
      </c>
      <c r="BV11" s="2" t="s">
        <v>95</v>
      </c>
      <c r="BW11" s="2"/>
      <c r="BX11" s="2"/>
      <c r="BY11" s="2">
        <v>47915.71</v>
      </c>
      <c r="BZ11" s="2"/>
      <c r="CA11" s="2" t="s">
        <v>148</v>
      </c>
      <c r="CB11" s="2"/>
      <c r="CC11" s="2" t="s">
        <v>145</v>
      </c>
      <c r="CD11" s="2">
        <v>2094</v>
      </c>
      <c r="CE11" s="2" t="s">
        <v>135</v>
      </c>
      <c r="CF11" s="5">
        <v>42961</v>
      </c>
      <c r="CG11" s="2"/>
      <c r="CH11" s="2"/>
      <c r="CI11" s="2">
        <v>1</v>
      </c>
      <c r="CJ11" s="2">
        <v>1</v>
      </c>
      <c r="CK11" s="2" t="s">
        <v>132</v>
      </c>
      <c r="CL11" s="2" t="s">
        <v>86</v>
      </c>
      <c r="CM11" s="2"/>
    </row>
    <row r="12" spans="1:91">
      <c r="A12" s="2" t="s">
        <v>71</v>
      </c>
      <c r="B12" s="2" t="s">
        <v>72</v>
      </c>
      <c r="C12" s="2" t="s">
        <v>73</v>
      </c>
      <c r="D12" s="2"/>
      <c r="E12" s="2" t="str">
        <f>"FES1162568117"</f>
        <v>FES1162568117</v>
      </c>
      <c r="F12" s="3">
        <v>42957</v>
      </c>
      <c r="G12" s="2">
        <v>201802</v>
      </c>
      <c r="H12" s="2" t="s">
        <v>74</v>
      </c>
      <c r="I12" s="2" t="s">
        <v>75</v>
      </c>
      <c r="J12" s="2" t="s">
        <v>76</v>
      </c>
      <c r="K12" s="2" t="s">
        <v>77</v>
      </c>
      <c r="L12" s="2" t="s">
        <v>149</v>
      </c>
      <c r="M12" s="2" t="s">
        <v>150</v>
      </c>
      <c r="N12" s="2" t="s">
        <v>151</v>
      </c>
      <c r="O12" s="2" t="s">
        <v>81</v>
      </c>
      <c r="P12" s="2" t="str">
        <f>"2170576492                    "</f>
        <v xml:space="preserve">2170576492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8.9499999999999993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25.5</v>
      </c>
      <c r="BJ12" s="2">
        <v>29.1</v>
      </c>
      <c r="BK12" s="2">
        <v>29</v>
      </c>
      <c r="BL12" s="2">
        <v>97.68</v>
      </c>
      <c r="BM12" s="2">
        <v>13.68</v>
      </c>
      <c r="BN12" s="2">
        <v>111.36</v>
      </c>
      <c r="BO12" s="2">
        <v>111.36</v>
      </c>
      <c r="BP12" s="2"/>
      <c r="BQ12" s="2" t="s">
        <v>83</v>
      </c>
      <c r="BR12" s="2" t="s">
        <v>84</v>
      </c>
      <c r="BS12" s="3">
        <v>42958</v>
      </c>
      <c r="BT12" s="4">
        <v>0.62222222222222223</v>
      </c>
      <c r="BU12" s="2" t="s">
        <v>152</v>
      </c>
      <c r="BV12" s="2" t="s">
        <v>95</v>
      </c>
      <c r="BW12" s="2"/>
      <c r="BX12" s="2"/>
      <c r="BY12" s="2">
        <v>145309.57</v>
      </c>
      <c r="BZ12" s="2"/>
      <c r="CA12" s="2"/>
      <c r="CB12" s="2"/>
      <c r="CC12" s="2" t="s">
        <v>150</v>
      </c>
      <c r="CD12" s="2">
        <v>4017</v>
      </c>
      <c r="CE12" s="2" t="s">
        <v>89</v>
      </c>
      <c r="CF12" s="5">
        <v>42961</v>
      </c>
      <c r="CG12" s="2"/>
      <c r="CH12" s="2"/>
      <c r="CI12" s="2">
        <v>1</v>
      </c>
      <c r="CJ12" s="2">
        <v>1</v>
      </c>
      <c r="CK12" s="2" t="s">
        <v>153</v>
      </c>
      <c r="CL12" s="2" t="s">
        <v>86</v>
      </c>
      <c r="CM12" s="2"/>
    </row>
    <row r="13" spans="1:91">
      <c r="A13" s="2" t="s">
        <v>71</v>
      </c>
      <c r="B13" s="2" t="s">
        <v>72</v>
      </c>
      <c r="C13" s="2" t="s">
        <v>73</v>
      </c>
      <c r="D13" s="2"/>
      <c r="E13" s="2" t="str">
        <f>"080001706722"</f>
        <v>080001706722</v>
      </c>
      <c r="F13" s="3">
        <v>42957</v>
      </c>
      <c r="G13" s="2">
        <v>201802</v>
      </c>
      <c r="H13" s="2" t="s">
        <v>105</v>
      </c>
      <c r="I13" s="2" t="s">
        <v>106</v>
      </c>
      <c r="J13" s="2" t="s">
        <v>154</v>
      </c>
      <c r="K13" s="2" t="s">
        <v>77</v>
      </c>
      <c r="L13" s="2" t="s">
        <v>74</v>
      </c>
      <c r="M13" s="2" t="s">
        <v>75</v>
      </c>
      <c r="N13" s="2" t="s">
        <v>118</v>
      </c>
      <c r="O13" s="2" t="s">
        <v>81</v>
      </c>
      <c r="P13" s="2" t="str">
        <f>"ZA1000659119                  "</f>
        <v xml:space="preserve">ZA1000659119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8.19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4.2</v>
      </c>
      <c r="BJ13" s="2">
        <v>1.8</v>
      </c>
      <c r="BK13" s="2">
        <v>5</v>
      </c>
      <c r="BL13" s="2">
        <v>89.83</v>
      </c>
      <c r="BM13" s="2">
        <v>12.58</v>
      </c>
      <c r="BN13" s="2">
        <v>102.41</v>
      </c>
      <c r="BO13" s="2">
        <v>102.41</v>
      </c>
      <c r="BP13" s="2"/>
      <c r="BQ13" s="2" t="s">
        <v>155</v>
      </c>
      <c r="BR13" s="2" t="s">
        <v>156</v>
      </c>
      <c r="BS13" s="3">
        <v>42961</v>
      </c>
      <c r="BT13" s="4">
        <v>0.45416666666666666</v>
      </c>
      <c r="BU13" s="2" t="s">
        <v>157</v>
      </c>
      <c r="BV13" s="2" t="s">
        <v>95</v>
      </c>
      <c r="BW13" s="2"/>
      <c r="BX13" s="2"/>
      <c r="BY13" s="2">
        <v>9142.52</v>
      </c>
      <c r="BZ13" s="2"/>
      <c r="CA13" s="2" t="s">
        <v>158</v>
      </c>
      <c r="CB13" s="2"/>
      <c r="CC13" s="2" t="s">
        <v>75</v>
      </c>
      <c r="CD13" s="2">
        <v>1600</v>
      </c>
      <c r="CE13" s="2" t="s">
        <v>89</v>
      </c>
      <c r="CF13" s="5">
        <v>42962</v>
      </c>
      <c r="CG13" s="2"/>
      <c r="CH13" s="2"/>
      <c r="CI13" s="2">
        <v>2</v>
      </c>
      <c r="CJ13" s="2">
        <v>2</v>
      </c>
      <c r="CK13" s="2" t="s">
        <v>136</v>
      </c>
      <c r="CL13" s="2" t="s">
        <v>86</v>
      </c>
      <c r="CM13" s="2"/>
    </row>
    <row r="14" spans="1:91">
      <c r="A14" s="2" t="s">
        <v>71</v>
      </c>
      <c r="B14" s="2" t="s">
        <v>72</v>
      </c>
      <c r="C14" s="2" t="s">
        <v>73</v>
      </c>
      <c r="D14" s="2"/>
      <c r="E14" s="2" t="str">
        <f>"FES1162568141"</f>
        <v>FES1162568141</v>
      </c>
      <c r="F14" s="3">
        <v>42957</v>
      </c>
      <c r="G14" s="2">
        <v>201802</v>
      </c>
      <c r="H14" s="2" t="s">
        <v>74</v>
      </c>
      <c r="I14" s="2" t="s">
        <v>75</v>
      </c>
      <c r="J14" s="2" t="s">
        <v>76</v>
      </c>
      <c r="K14" s="2" t="s">
        <v>77</v>
      </c>
      <c r="L14" s="2" t="s">
        <v>159</v>
      </c>
      <c r="M14" s="2" t="s">
        <v>160</v>
      </c>
      <c r="N14" s="2" t="s">
        <v>161</v>
      </c>
      <c r="O14" s="2" t="s">
        <v>81</v>
      </c>
      <c r="P14" s="2" t="str">
        <f>"2170579570                    "</f>
        <v xml:space="preserve">2170579570 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9.15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2</v>
      </c>
      <c r="BI14" s="2">
        <v>20.399999999999999</v>
      </c>
      <c r="BJ14" s="2">
        <v>17.100000000000001</v>
      </c>
      <c r="BK14" s="2">
        <v>21</v>
      </c>
      <c r="BL14" s="2">
        <v>99.77</v>
      </c>
      <c r="BM14" s="2">
        <v>13.97</v>
      </c>
      <c r="BN14" s="2">
        <v>113.74</v>
      </c>
      <c r="BO14" s="2">
        <v>113.74</v>
      </c>
      <c r="BP14" s="2"/>
      <c r="BQ14" s="2" t="s">
        <v>108</v>
      </c>
      <c r="BR14" s="2" t="s">
        <v>84</v>
      </c>
      <c r="BS14" s="3">
        <v>42958</v>
      </c>
      <c r="BT14" s="4">
        <v>0.4861111111111111</v>
      </c>
      <c r="BU14" s="2" t="s">
        <v>162</v>
      </c>
      <c r="BV14" s="2" t="s">
        <v>95</v>
      </c>
      <c r="BW14" s="2"/>
      <c r="BX14" s="2"/>
      <c r="BY14" s="2">
        <v>85291.21</v>
      </c>
      <c r="BZ14" s="2"/>
      <c r="CA14" s="2"/>
      <c r="CB14" s="2"/>
      <c r="CC14" s="2" t="s">
        <v>160</v>
      </c>
      <c r="CD14" s="2">
        <v>208</v>
      </c>
      <c r="CE14" s="2" t="s">
        <v>89</v>
      </c>
      <c r="CF14" s="5">
        <v>42961</v>
      </c>
      <c r="CG14" s="2"/>
      <c r="CH14" s="2"/>
      <c r="CI14" s="2">
        <v>1</v>
      </c>
      <c r="CJ14" s="2">
        <v>1</v>
      </c>
      <c r="CK14" s="2" t="s">
        <v>163</v>
      </c>
      <c r="CL14" s="2" t="s">
        <v>86</v>
      </c>
      <c r="CM14" s="2"/>
    </row>
    <row r="15" spans="1:91">
      <c r="A15" s="2" t="s">
        <v>71</v>
      </c>
      <c r="B15" s="2" t="s">
        <v>72</v>
      </c>
      <c r="C15" s="2" t="s">
        <v>73</v>
      </c>
      <c r="D15" s="2"/>
      <c r="E15" s="2" t="str">
        <f>"FES1162567910"</f>
        <v>FES1162567910</v>
      </c>
      <c r="F15" s="3">
        <v>42957</v>
      </c>
      <c r="G15" s="2">
        <v>201802</v>
      </c>
      <c r="H15" s="2" t="s">
        <v>74</v>
      </c>
      <c r="I15" s="2" t="s">
        <v>75</v>
      </c>
      <c r="J15" s="2" t="s">
        <v>76</v>
      </c>
      <c r="K15" s="2" t="s">
        <v>77</v>
      </c>
      <c r="L15" s="2" t="s">
        <v>97</v>
      </c>
      <c r="M15" s="2" t="s">
        <v>98</v>
      </c>
      <c r="N15" s="2" t="s">
        <v>119</v>
      </c>
      <c r="O15" s="2" t="s">
        <v>81</v>
      </c>
      <c r="P15" s="2" t="str">
        <f>"2170580937                    "</f>
        <v xml:space="preserve">2170580937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11.7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24.1</v>
      </c>
      <c r="BJ15" s="2">
        <v>9.4</v>
      </c>
      <c r="BK15" s="2">
        <v>25</v>
      </c>
      <c r="BL15" s="2">
        <v>126.14</v>
      </c>
      <c r="BM15" s="2">
        <v>17.66</v>
      </c>
      <c r="BN15" s="2">
        <v>143.80000000000001</v>
      </c>
      <c r="BO15" s="2">
        <v>143.80000000000001</v>
      </c>
      <c r="BP15" s="2"/>
      <c r="BQ15" s="2" t="s">
        <v>108</v>
      </c>
      <c r="BR15" s="2" t="s">
        <v>84</v>
      </c>
      <c r="BS15" s="3">
        <v>42961</v>
      </c>
      <c r="BT15" s="4">
        <v>0.4465277777777778</v>
      </c>
      <c r="BU15" s="2" t="s">
        <v>133</v>
      </c>
      <c r="BV15" s="2" t="s">
        <v>95</v>
      </c>
      <c r="BW15" s="2"/>
      <c r="BX15" s="2"/>
      <c r="BY15" s="2">
        <v>46834.82</v>
      </c>
      <c r="BZ15" s="2"/>
      <c r="CA15" s="2" t="s">
        <v>134</v>
      </c>
      <c r="CB15" s="2"/>
      <c r="CC15" s="2" t="s">
        <v>98</v>
      </c>
      <c r="CD15" s="2">
        <v>6001</v>
      </c>
      <c r="CE15" s="2" t="s">
        <v>89</v>
      </c>
      <c r="CF15" s="5">
        <v>42961</v>
      </c>
      <c r="CG15" s="2"/>
      <c r="CH15" s="2"/>
      <c r="CI15" s="2">
        <v>2</v>
      </c>
      <c r="CJ15" s="2">
        <v>2</v>
      </c>
      <c r="CK15" s="2" t="s">
        <v>136</v>
      </c>
      <c r="CL15" s="2" t="s">
        <v>86</v>
      </c>
      <c r="CM15" s="2"/>
    </row>
    <row r="16" spans="1:91">
      <c r="A16" s="2" t="s">
        <v>71</v>
      </c>
      <c r="B16" s="2" t="s">
        <v>72</v>
      </c>
      <c r="C16" s="2" t="s">
        <v>73</v>
      </c>
      <c r="D16" s="2"/>
      <c r="E16" s="2" t="str">
        <f>"FES1162567927"</f>
        <v>FES1162567927</v>
      </c>
      <c r="F16" s="3">
        <v>42957</v>
      </c>
      <c r="G16" s="2">
        <v>201802</v>
      </c>
      <c r="H16" s="2" t="s">
        <v>74</v>
      </c>
      <c r="I16" s="2" t="s">
        <v>75</v>
      </c>
      <c r="J16" s="2" t="s">
        <v>76</v>
      </c>
      <c r="K16" s="2" t="s">
        <v>77</v>
      </c>
      <c r="L16" s="2" t="s">
        <v>164</v>
      </c>
      <c r="M16" s="2" t="s">
        <v>165</v>
      </c>
      <c r="N16" s="2" t="s">
        <v>166</v>
      </c>
      <c r="O16" s="2" t="s">
        <v>81</v>
      </c>
      <c r="P16" s="2" t="str">
        <f>"2170580902                    "</f>
        <v xml:space="preserve">2170580902 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18.38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3</v>
      </c>
      <c r="BI16" s="2">
        <v>29.1</v>
      </c>
      <c r="BJ16" s="2">
        <v>26.5</v>
      </c>
      <c r="BK16" s="2">
        <v>30</v>
      </c>
      <c r="BL16" s="2">
        <v>195.34</v>
      </c>
      <c r="BM16" s="2">
        <v>27.35</v>
      </c>
      <c r="BN16" s="2">
        <v>222.69</v>
      </c>
      <c r="BO16" s="2">
        <v>222.69</v>
      </c>
      <c r="BP16" s="2"/>
      <c r="BQ16" s="2" t="s">
        <v>83</v>
      </c>
      <c r="BR16" s="2" t="s">
        <v>84</v>
      </c>
      <c r="BS16" s="3">
        <v>42962</v>
      </c>
      <c r="BT16" s="4">
        <v>0.33263888888888887</v>
      </c>
      <c r="BU16" s="2" t="s">
        <v>167</v>
      </c>
      <c r="BV16" s="2" t="s">
        <v>95</v>
      </c>
      <c r="BW16" s="2"/>
      <c r="BX16" s="2"/>
      <c r="BY16" s="2">
        <v>132679.63</v>
      </c>
      <c r="BZ16" s="2"/>
      <c r="CA16" s="2" t="s">
        <v>168</v>
      </c>
      <c r="CB16" s="2"/>
      <c r="CC16" s="2" t="s">
        <v>165</v>
      </c>
      <c r="CD16" s="2">
        <v>6849</v>
      </c>
      <c r="CE16" s="2" t="s">
        <v>89</v>
      </c>
      <c r="CF16" s="5">
        <v>42963</v>
      </c>
      <c r="CG16" s="2"/>
      <c r="CH16" s="2"/>
      <c r="CI16" s="2">
        <v>4</v>
      </c>
      <c r="CJ16" s="2">
        <v>3</v>
      </c>
      <c r="CK16" s="2" t="s">
        <v>169</v>
      </c>
      <c r="CL16" s="2" t="s">
        <v>86</v>
      </c>
      <c r="CM16" s="2"/>
    </row>
    <row r="17" spans="1:91">
      <c r="A17" s="2" t="s">
        <v>71</v>
      </c>
      <c r="B17" s="2" t="s">
        <v>72</v>
      </c>
      <c r="C17" s="2" t="s">
        <v>73</v>
      </c>
      <c r="D17" s="2"/>
      <c r="E17" s="2" t="str">
        <f>"FES1162567984"</f>
        <v>FES1162567984</v>
      </c>
      <c r="F17" s="3">
        <v>42957</v>
      </c>
      <c r="G17" s="2">
        <v>201802</v>
      </c>
      <c r="H17" s="2" t="s">
        <v>74</v>
      </c>
      <c r="I17" s="2" t="s">
        <v>75</v>
      </c>
      <c r="J17" s="2" t="s">
        <v>76</v>
      </c>
      <c r="K17" s="2" t="s">
        <v>77</v>
      </c>
      <c r="L17" s="2" t="s">
        <v>170</v>
      </c>
      <c r="M17" s="2" t="s">
        <v>171</v>
      </c>
      <c r="N17" s="2" t="s">
        <v>172</v>
      </c>
      <c r="O17" s="2" t="s">
        <v>81</v>
      </c>
      <c r="P17" s="2" t="str">
        <f>"2170582394                    "</f>
        <v xml:space="preserve">2170582394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9.58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2</v>
      </c>
      <c r="BI17" s="2">
        <v>35.6</v>
      </c>
      <c r="BJ17" s="2">
        <v>18</v>
      </c>
      <c r="BK17" s="2">
        <v>36</v>
      </c>
      <c r="BL17" s="2">
        <v>104.19</v>
      </c>
      <c r="BM17" s="2">
        <v>14.59</v>
      </c>
      <c r="BN17" s="2">
        <v>118.78</v>
      </c>
      <c r="BO17" s="2">
        <v>118.78</v>
      </c>
      <c r="BP17" s="2"/>
      <c r="BQ17" s="2" t="s">
        <v>83</v>
      </c>
      <c r="BR17" s="2" t="s">
        <v>84</v>
      </c>
      <c r="BS17" s="3">
        <v>42958</v>
      </c>
      <c r="BT17" s="4">
        <v>0.41666666666666669</v>
      </c>
      <c r="BU17" s="2" t="s">
        <v>173</v>
      </c>
      <c r="BV17" s="2" t="s">
        <v>95</v>
      </c>
      <c r="BW17" s="2"/>
      <c r="BX17" s="2"/>
      <c r="BY17" s="2">
        <v>89801.25</v>
      </c>
      <c r="BZ17" s="2"/>
      <c r="CA17" s="2"/>
      <c r="CB17" s="2"/>
      <c r="CC17" s="2" t="s">
        <v>171</v>
      </c>
      <c r="CD17" s="2">
        <v>1401</v>
      </c>
      <c r="CE17" s="2" t="s">
        <v>89</v>
      </c>
      <c r="CF17" s="5">
        <v>42961</v>
      </c>
      <c r="CG17" s="2"/>
      <c r="CH17" s="2"/>
      <c r="CI17" s="2">
        <v>1</v>
      </c>
      <c r="CJ17" s="2">
        <v>1</v>
      </c>
      <c r="CK17" s="2" t="s">
        <v>132</v>
      </c>
      <c r="CL17" s="2" t="s">
        <v>86</v>
      </c>
      <c r="CM17" s="2"/>
    </row>
    <row r="18" spans="1:91">
      <c r="A18" s="2" t="s">
        <v>71</v>
      </c>
      <c r="B18" s="2" t="s">
        <v>72</v>
      </c>
      <c r="C18" s="2" t="s">
        <v>73</v>
      </c>
      <c r="D18" s="2"/>
      <c r="E18" s="2" t="str">
        <f>"080001705998"</f>
        <v>080001705998</v>
      </c>
      <c r="F18" s="3">
        <v>42957</v>
      </c>
      <c r="G18" s="2">
        <v>201802</v>
      </c>
      <c r="H18" s="2" t="s">
        <v>174</v>
      </c>
      <c r="I18" s="2" t="s">
        <v>175</v>
      </c>
      <c r="J18" s="2" t="s">
        <v>176</v>
      </c>
      <c r="K18" s="2" t="s">
        <v>77</v>
      </c>
      <c r="L18" s="2" t="s">
        <v>74</v>
      </c>
      <c r="M18" s="2" t="s">
        <v>75</v>
      </c>
      <c r="N18" s="2" t="s">
        <v>118</v>
      </c>
      <c r="O18" s="2" t="s">
        <v>81</v>
      </c>
      <c r="P18" s="2" t="str">
        <f>"ZA1000659018                  "</f>
        <v xml:space="preserve">ZA1000659018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7.5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1</v>
      </c>
      <c r="BJ18" s="2">
        <v>0.2</v>
      </c>
      <c r="BK18" s="2">
        <v>1</v>
      </c>
      <c r="BL18" s="2">
        <v>82.7</v>
      </c>
      <c r="BM18" s="2">
        <v>11.58</v>
      </c>
      <c r="BN18" s="2">
        <v>94.28</v>
      </c>
      <c r="BO18" s="2">
        <v>94.28</v>
      </c>
      <c r="BP18" s="2"/>
      <c r="BQ18" s="2" t="s">
        <v>177</v>
      </c>
      <c r="BR18" s="2" t="s">
        <v>178</v>
      </c>
      <c r="BS18" s="3">
        <v>42958</v>
      </c>
      <c r="BT18" s="4">
        <v>0.4069444444444445</v>
      </c>
      <c r="BU18" s="2" t="s">
        <v>179</v>
      </c>
      <c r="BV18" s="2" t="s">
        <v>95</v>
      </c>
      <c r="BW18" s="2"/>
      <c r="BX18" s="2"/>
      <c r="BY18" s="2">
        <v>1200</v>
      </c>
      <c r="BZ18" s="2"/>
      <c r="CA18" s="2"/>
      <c r="CB18" s="2"/>
      <c r="CC18" s="2" t="s">
        <v>75</v>
      </c>
      <c r="CD18" s="2">
        <v>1600</v>
      </c>
      <c r="CE18" s="2" t="s">
        <v>89</v>
      </c>
      <c r="CF18" s="5">
        <v>42961</v>
      </c>
      <c r="CG18" s="2"/>
      <c r="CH18" s="2"/>
      <c r="CI18" s="2">
        <v>2</v>
      </c>
      <c r="CJ18" s="2">
        <v>1</v>
      </c>
      <c r="CK18" s="2" t="s">
        <v>180</v>
      </c>
      <c r="CL18" s="2" t="s">
        <v>86</v>
      </c>
      <c r="CM18" s="2"/>
    </row>
    <row r="19" spans="1:91">
      <c r="A19" s="2" t="s">
        <v>71</v>
      </c>
      <c r="B19" s="2" t="s">
        <v>72</v>
      </c>
      <c r="C19" s="2" t="s">
        <v>73</v>
      </c>
      <c r="D19" s="2"/>
      <c r="E19" s="2" t="str">
        <f>"080001707393"</f>
        <v>080001707393</v>
      </c>
      <c r="F19" s="3">
        <v>42958</v>
      </c>
      <c r="G19" s="2">
        <v>201802</v>
      </c>
      <c r="H19" s="2" t="s">
        <v>149</v>
      </c>
      <c r="I19" s="2" t="s">
        <v>150</v>
      </c>
      <c r="J19" s="2" t="s">
        <v>181</v>
      </c>
      <c r="K19" s="2" t="s">
        <v>77</v>
      </c>
      <c r="L19" s="2" t="s">
        <v>74</v>
      </c>
      <c r="M19" s="2" t="s">
        <v>75</v>
      </c>
      <c r="N19" s="2" t="s">
        <v>118</v>
      </c>
      <c r="O19" s="2" t="s">
        <v>81</v>
      </c>
      <c r="P19" s="2" t="str">
        <f>"ZA1000659262                  "</f>
        <v xml:space="preserve">ZA1000659262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7.5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1.2</v>
      </c>
      <c r="BJ19" s="2">
        <v>0.9</v>
      </c>
      <c r="BK19" s="2">
        <v>2</v>
      </c>
      <c r="BL19" s="2">
        <v>82.7</v>
      </c>
      <c r="BM19" s="2">
        <v>11.58</v>
      </c>
      <c r="BN19" s="2">
        <v>94.28</v>
      </c>
      <c r="BO19" s="2">
        <v>94.28</v>
      </c>
      <c r="BP19" s="2"/>
      <c r="BQ19" s="2" t="s">
        <v>179</v>
      </c>
      <c r="BR19" s="2" t="s">
        <v>182</v>
      </c>
      <c r="BS19" s="3">
        <v>42961</v>
      </c>
      <c r="BT19" s="4">
        <v>0.4548611111111111</v>
      </c>
      <c r="BU19" s="2" t="s">
        <v>157</v>
      </c>
      <c r="BV19" s="2" t="s">
        <v>95</v>
      </c>
      <c r="BW19" s="2"/>
      <c r="BX19" s="2"/>
      <c r="BY19" s="2">
        <v>4560</v>
      </c>
      <c r="BZ19" s="2"/>
      <c r="CA19" s="2" t="s">
        <v>158</v>
      </c>
      <c r="CB19" s="2"/>
      <c r="CC19" s="2" t="s">
        <v>75</v>
      </c>
      <c r="CD19" s="2">
        <v>1600</v>
      </c>
      <c r="CE19" s="2" t="s">
        <v>89</v>
      </c>
      <c r="CF19" s="5">
        <v>42962</v>
      </c>
      <c r="CG19" s="2"/>
      <c r="CH19" s="2"/>
      <c r="CI19" s="2">
        <v>1</v>
      </c>
      <c r="CJ19" s="2">
        <v>1</v>
      </c>
      <c r="CK19" s="2" t="s">
        <v>180</v>
      </c>
      <c r="CL19" s="2" t="s">
        <v>86</v>
      </c>
      <c r="CM19" s="2"/>
    </row>
    <row r="20" spans="1:91">
      <c r="A20" s="2" t="s">
        <v>71</v>
      </c>
      <c r="B20" s="2" t="s">
        <v>72</v>
      </c>
      <c r="C20" s="2" t="s">
        <v>73</v>
      </c>
      <c r="D20" s="2"/>
      <c r="E20" s="2" t="str">
        <f>"FES1162568380"</f>
        <v>FES1162568380</v>
      </c>
      <c r="F20" s="3">
        <v>42958</v>
      </c>
      <c r="G20" s="2">
        <v>201802</v>
      </c>
      <c r="H20" s="2" t="s">
        <v>74</v>
      </c>
      <c r="I20" s="2" t="s">
        <v>75</v>
      </c>
      <c r="J20" s="2" t="s">
        <v>76</v>
      </c>
      <c r="K20" s="2" t="s">
        <v>77</v>
      </c>
      <c r="L20" s="2" t="s">
        <v>149</v>
      </c>
      <c r="M20" s="2" t="s">
        <v>150</v>
      </c>
      <c r="N20" s="2" t="s">
        <v>183</v>
      </c>
      <c r="O20" s="2" t="s">
        <v>81</v>
      </c>
      <c r="P20" s="2" t="str">
        <f>"2170584471                    "</f>
        <v xml:space="preserve">2170584471                    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7.76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23.5</v>
      </c>
      <c r="BJ20" s="2">
        <v>9.5</v>
      </c>
      <c r="BK20" s="2">
        <v>24</v>
      </c>
      <c r="BL20" s="2">
        <v>85.39</v>
      </c>
      <c r="BM20" s="2">
        <v>11.95</v>
      </c>
      <c r="BN20" s="2">
        <v>97.34</v>
      </c>
      <c r="BO20" s="2">
        <v>97.34</v>
      </c>
      <c r="BP20" s="2"/>
      <c r="BQ20" s="2" t="s">
        <v>83</v>
      </c>
      <c r="BR20" s="2" t="s">
        <v>84</v>
      </c>
      <c r="BS20" s="3">
        <v>42961</v>
      </c>
      <c r="BT20" s="4">
        <v>0.52430555555555558</v>
      </c>
      <c r="BU20" s="2" t="s">
        <v>184</v>
      </c>
      <c r="BV20" s="2" t="s">
        <v>95</v>
      </c>
      <c r="BW20" s="2"/>
      <c r="BX20" s="2"/>
      <c r="BY20" s="2">
        <v>47275.8</v>
      </c>
      <c r="BZ20" s="2"/>
      <c r="CA20" s="2" t="s">
        <v>185</v>
      </c>
      <c r="CB20" s="2"/>
      <c r="CC20" s="2" t="s">
        <v>150</v>
      </c>
      <c r="CD20" s="2">
        <v>4001</v>
      </c>
      <c r="CE20" s="2" t="s">
        <v>89</v>
      </c>
      <c r="CF20" s="5">
        <v>42962</v>
      </c>
      <c r="CG20" s="2"/>
      <c r="CH20" s="2"/>
      <c r="CI20" s="2">
        <v>1</v>
      </c>
      <c r="CJ20" s="2">
        <v>1</v>
      </c>
      <c r="CK20" s="2" t="s">
        <v>153</v>
      </c>
      <c r="CL20" s="2" t="s">
        <v>86</v>
      </c>
      <c r="CM20" s="2"/>
    </row>
    <row r="21" spans="1:91">
      <c r="A21" s="2" t="s">
        <v>71</v>
      </c>
      <c r="B21" s="2" t="s">
        <v>72</v>
      </c>
      <c r="C21" s="2" t="s">
        <v>73</v>
      </c>
      <c r="D21" s="2"/>
      <c r="E21" s="2" t="str">
        <f>"FES1162564935D"</f>
        <v>FES1162564935D</v>
      </c>
      <c r="F21" s="3">
        <v>42942</v>
      </c>
      <c r="G21" s="2">
        <v>201802</v>
      </c>
      <c r="H21" s="2" t="s">
        <v>74</v>
      </c>
      <c r="I21" s="2" t="s">
        <v>75</v>
      </c>
      <c r="J21" s="2" t="s">
        <v>118</v>
      </c>
      <c r="K21" s="2" t="s">
        <v>77</v>
      </c>
      <c r="L21" s="2" t="s">
        <v>149</v>
      </c>
      <c r="M21" s="2" t="s">
        <v>150</v>
      </c>
      <c r="N21" s="2" t="s">
        <v>186</v>
      </c>
      <c r="O21" s="2" t="s">
        <v>81</v>
      </c>
      <c r="P21" s="2" t="str">
        <f>"                              "</f>
        <v xml:space="preserve">          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5.0999999999999996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2</v>
      </c>
      <c r="BI21" s="2">
        <v>4.5</v>
      </c>
      <c r="BJ21" s="2">
        <v>5.2</v>
      </c>
      <c r="BK21" s="2">
        <v>6</v>
      </c>
      <c r="BL21" s="2">
        <v>62.75</v>
      </c>
      <c r="BM21" s="2">
        <v>8.7899999999999991</v>
      </c>
      <c r="BN21" s="2">
        <v>71.540000000000006</v>
      </c>
      <c r="BO21" s="2">
        <v>71.540000000000006</v>
      </c>
      <c r="BP21" s="2" t="s">
        <v>82</v>
      </c>
      <c r="BQ21" s="2" t="s">
        <v>83</v>
      </c>
      <c r="BR21" s="2" t="s">
        <v>187</v>
      </c>
      <c r="BS21" s="3">
        <v>42943</v>
      </c>
      <c r="BT21" s="4">
        <v>0.50416666666666665</v>
      </c>
      <c r="BU21" s="2" t="s">
        <v>188</v>
      </c>
      <c r="BV21" s="2" t="s">
        <v>95</v>
      </c>
      <c r="BW21" s="2"/>
      <c r="BX21" s="2"/>
      <c r="BY21" s="2">
        <v>26099.33</v>
      </c>
      <c r="BZ21" s="2"/>
      <c r="CA21" s="2" t="s">
        <v>189</v>
      </c>
      <c r="CB21" s="2"/>
      <c r="CC21" s="2" t="s">
        <v>150</v>
      </c>
      <c r="CD21" s="2">
        <v>4051</v>
      </c>
      <c r="CE21" s="2" t="s">
        <v>89</v>
      </c>
      <c r="CF21" s="5">
        <v>42944</v>
      </c>
      <c r="CG21" s="2"/>
      <c r="CH21" s="2"/>
      <c r="CI21" s="2">
        <v>0</v>
      </c>
      <c r="CJ21" s="2">
        <v>0</v>
      </c>
      <c r="CK21" s="2" t="s">
        <v>153</v>
      </c>
      <c r="CL21" s="2" t="s">
        <v>86</v>
      </c>
      <c r="CM21" s="2"/>
    </row>
    <row r="22" spans="1:91">
      <c r="A22" s="2" t="s">
        <v>71</v>
      </c>
      <c r="B22" s="2" t="s">
        <v>72</v>
      </c>
      <c r="C22" s="2" t="s">
        <v>73</v>
      </c>
      <c r="D22" s="2"/>
      <c r="E22" s="2" t="str">
        <f>"FES1162568453"</f>
        <v>FES1162568453</v>
      </c>
      <c r="F22" s="3">
        <v>42958</v>
      </c>
      <c r="G22" s="2">
        <v>201802</v>
      </c>
      <c r="H22" s="2" t="s">
        <v>74</v>
      </c>
      <c r="I22" s="2" t="s">
        <v>75</v>
      </c>
      <c r="J22" s="2" t="s">
        <v>76</v>
      </c>
      <c r="K22" s="2" t="s">
        <v>77</v>
      </c>
      <c r="L22" s="2" t="s">
        <v>128</v>
      </c>
      <c r="M22" s="2" t="s">
        <v>129</v>
      </c>
      <c r="N22" s="2" t="s">
        <v>130</v>
      </c>
      <c r="O22" s="2" t="s">
        <v>81</v>
      </c>
      <c r="P22" s="2" t="str">
        <f>"2170584557                    "</f>
        <v xml:space="preserve">2170584557  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6.95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21.1</v>
      </c>
      <c r="BJ22" s="2">
        <v>17.2</v>
      </c>
      <c r="BK22" s="2">
        <v>22</v>
      </c>
      <c r="BL22" s="2">
        <v>76.92</v>
      </c>
      <c r="BM22" s="2">
        <v>10.77</v>
      </c>
      <c r="BN22" s="2">
        <v>87.69</v>
      </c>
      <c r="BO22" s="2">
        <v>87.69</v>
      </c>
      <c r="BP22" s="2"/>
      <c r="BQ22" s="2" t="s">
        <v>83</v>
      </c>
      <c r="BR22" s="2" t="s">
        <v>84</v>
      </c>
      <c r="BS22" s="3">
        <v>42961</v>
      </c>
      <c r="BT22" s="4">
        <v>0.55555555555555558</v>
      </c>
      <c r="BU22" s="2" t="s">
        <v>131</v>
      </c>
      <c r="BV22" s="2" t="s">
        <v>95</v>
      </c>
      <c r="BW22" s="2"/>
      <c r="BX22" s="2"/>
      <c r="BY22" s="2">
        <v>86125.8</v>
      </c>
      <c r="BZ22" s="2"/>
      <c r="CA22" s="2"/>
      <c r="CB22" s="2"/>
      <c r="CC22" s="2" t="s">
        <v>129</v>
      </c>
      <c r="CD22" s="2">
        <v>1724</v>
      </c>
      <c r="CE22" s="2" t="s">
        <v>89</v>
      </c>
      <c r="CF22" s="5">
        <v>42962</v>
      </c>
      <c r="CG22" s="2"/>
      <c r="CH22" s="2"/>
      <c r="CI22" s="2">
        <v>1</v>
      </c>
      <c r="CJ22" s="2">
        <v>1</v>
      </c>
      <c r="CK22" s="2" t="s">
        <v>132</v>
      </c>
      <c r="CL22" s="2" t="s">
        <v>86</v>
      </c>
      <c r="CM22" s="2"/>
    </row>
    <row r="23" spans="1:91">
      <c r="A23" s="2" t="s">
        <v>71</v>
      </c>
      <c r="B23" s="2" t="s">
        <v>72</v>
      </c>
      <c r="C23" s="2" t="s">
        <v>73</v>
      </c>
      <c r="D23" s="2"/>
      <c r="E23" s="2" t="str">
        <f>"FES116256835"</f>
        <v>FES116256835</v>
      </c>
      <c r="F23" s="3">
        <v>42958</v>
      </c>
      <c r="G23" s="2">
        <v>201802</v>
      </c>
      <c r="H23" s="2" t="s">
        <v>74</v>
      </c>
      <c r="I23" s="2" t="s">
        <v>75</v>
      </c>
      <c r="J23" s="2" t="s">
        <v>76</v>
      </c>
      <c r="K23" s="2" t="s">
        <v>77</v>
      </c>
      <c r="L23" s="2" t="s">
        <v>144</v>
      </c>
      <c r="M23" s="2" t="s">
        <v>145</v>
      </c>
      <c r="N23" s="2" t="s">
        <v>190</v>
      </c>
      <c r="O23" s="2" t="s">
        <v>81</v>
      </c>
      <c r="P23" s="2" t="str">
        <f>"2170580062                    "</f>
        <v xml:space="preserve">2170580062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21.43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89</v>
      </c>
      <c r="BJ23" s="2">
        <v>98.4</v>
      </c>
      <c r="BK23" s="2">
        <v>99</v>
      </c>
      <c r="BL23" s="2">
        <v>226.92</v>
      </c>
      <c r="BM23" s="2">
        <v>31.77</v>
      </c>
      <c r="BN23" s="2">
        <v>258.69</v>
      </c>
      <c r="BO23" s="2">
        <v>258.69</v>
      </c>
      <c r="BP23" s="2"/>
      <c r="BQ23" s="2" t="s">
        <v>83</v>
      </c>
      <c r="BR23" s="2" t="s">
        <v>84</v>
      </c>
      <c r="BS23" s="3">
        <v>42961</v>
      </c>
      <c r="BT23" s="4">
        <v>0.55972222222222223</v>
      </c>
      <c r="BU23" s="2" t="s">
        <v>191</v>
      </c>
      <c r="BV23" s="2" t="s">
        <v>95</v>
      </c>
      <c r="BW23" s="2"/>
      <c r="BX23" s="2"/>
      <c r="BY23" s="2">
        <v>492156</v>
      </c>
      <c r="BZ23" s="2"/>
      <c r="CA23" s="2"/>
      <c r="CB23" s="2"/>
      <c r="CC23" s="2" t="s">
        <v>145</v>
      </c>
      <c r="CD23" s="2">
        <v>2094</v>
      </c>
      <c r="CE23" s="2" t="s">
        <v>89</v>
      </c>
      <c r="CF23" s="5">
        <v>42962</v>
      </c>
      <c r="CG23" s="2"/>
      <c r="CH23" s="2"/>
      <c r="CI23" s="2">
        <v>1</v>
      </c>
      <c r="CJ23" s="2">
        <v>1</v>
      </c>
      <c r="CK23" s="2" t="s">
        <v>132</v>
      </c>
      <c r="CL23" s="2" t="s">
        <v>86</v>
      </c>
      <c r="CM23" s="2"/>
    </row>
    <row r="24" spans="1:91">
      <c r="A24" s="2" t="s">
        <v>71</v>
      </c>
      <c r="B24" s="2" t="s">
        <v>72</v>
      </c>
      <c r="C24" s="2" t="s">
        <v>73</v>
      </c>
      <c r="D24" s="2"/>
      <c r="E24" s="2" t="str">
        <f>"FES1162568369"</f>
        <v>FES1162568369</v>
      </c>
      <c r="F24" s="3">
        <v>42958</v>
      </c>
      <c r="G24" s="2">
        <v>201802</v>
      </c>
      <c r="H24" s="2" t="s">
        <v>74</v>
      </c>
      <c r="I24" s="2" t="s">
        <v>75</v>
      </c>
      <c r="J24" s="2" t="s">
        <v>76</v>
      </c>
      <c r="K24" s="2" t="s">
        <v>77</v>
      </c>
      <c r="L24" s="2" t="s">
        <v>74</v>
      </c>
      <c r="M24" s="2" t="s">
        <v>75</v>
      </c>
      <c r="N24" s="2" t="s">
        <v>192</v>
      </c>
      <c r="O24" s="2" t="s">
        <v>81</v>
      </c>
      <c r="P24" s="2" t="str">
        <f>"2170584456                    "</f>
        <v xml:space="preserve">2170584456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8.07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27.1</v>
      </c>
      <c r="BJ24" s="2">
        <v>8.8000000000000007</v>
      </c>
      <c r="BK24" s="2">
        <v>28</v>
      </c>
      <c r="BL24" s="2">
        <v>88.6</v>
      </c>
      <c r="BM24" s="2">
        <v>12.4</v>
      </c>
      <c r="BN24" s="2">
        <v>101</v>
      </c>
      <c r="BO24" s="2">
        <v>101</v>
      </c>
      <c r="BP24" s="2"/>
      <c r="BQ24" s="2" t="s">
        <v>83</v>
      </c>
      <c r="BR24" s="2" t="s">
        <v>84</v>
      </c>
      <c r="BS24" s="3">
        <v>42961</v>
      </c>
      <c r="BT24" s="4">
        <v>0.34027777777777773</v>
      </c>
      <c r="BU24" s="2" t="s">
        <v>193</v>
      </c>
      <c r="BV24" s="2" t="s">
        <v>95</v>
      </c>
      <c r="BW24" s="2"/>
      <c r="BX24" s="2"/>
      <c r="BY24" s="2">
        <v>44200.33</v>
      </c>
      <c r="BZ24" s="2"/>
      <c r="CA24" s="2" t="s">
        <v>194</v>
      </c>
      <c r="CB24" s="2"/>
      <c r="CC24" s="2" t="s">
        <v>75</v>
      </c>
      <c r="CD24" s="2">
        <v>1665</v>
      </c>
      <c r="CE24" s="2" t="s">
        <v>89</v>
      </c>
      <c r="CF24" s="5">
        <v>42962</v>
      </c>
      <c r="CG24" s="2"/>
      <c r="CH24" s="2"/>
      <c r="CI24" s="2">
        <v>1</v>
      </c>
      <c r="CJ24" s="2">
        <v>1</v>
      </c>
      <c r="CK24" s="2" t="s">
        <v>132</v>
      </c>
      <c r="CL24" s="2" t="s">
        <v>86</v>
      </c>
      <c r="CM24" s="2"/>
    </row>
    <row r="25" spans="1:91">
      <c r="A25" s="2" t="s">
        <v>71</v>
      </c>
      <c r="B25" s="2" t="s">
        <v>72</v>
      </c>
      <c r="C25" s="2" t="s">
        <v>73</v>
      </c>
      <c r="D25" s="2"/>
      <c r="E25" s="2" t="str">
        <f>"FES1162568482"</f>
        <v>FES1162568482</v>
      </c>
      <c r="F25" s="3">
        <v>42958</v>
      </c>
      <c r="G25" s="2">
        <v>201802</v>
      </c>
      <c r="H25" s="2" t="s">
        <v>74</v>
      </c>
      <c r="I25" s="2" t="s">
        <v>75</v>
      </c>
      <c r="J25" s="2" t="s">
        <v>76</v>
      </c>
      <c r="K25" s="2" t="s">
        <v>77</v>
      </c>
      <c r="L25" s="2" t="s">
        <v>97</v>
      </c>
      <c r="M25" s="2" t="s">
        <v>98</v>
      </c>
      <c r="N25" s="2" t="s">
        <v>119</v>
      </c>
      <c r="O25" s="2" t="s">
        <v>81</v>
      </c>
      <c r="P25" s="2" t="str">
        <f>"2170584576                    "</f>
        <v xml:space="preserve">2170584576  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26.78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2</v>
      </c>
      <c r="BI25" s="2">
        <v>21.4</v>
      </c>
      <c r="BJ25" s="2">
        <v>67.400000000000006</v>
      </c>
      <c r="BK25" s="2">
        <v>68</v>
      </c>
      <c r="BL25" s="2">
        <v>282.26</v>
      </c>
      <c r="BM25" s="2">
        <v>39.520000000000003</v>
      </c>
      <c r="BN25" s="2">
        <v>321.77999999999997</v>
      </c>
      <c r="BO25" s="2">
        <v>321.77999999999997</v>
      </c>
      <c r="BP25" s="2"/>
      <c r="BQ25" s="2" t="s">
        <v>108</v>
      </c>
      <c r="BR25" s="2" t="s">
        <v>84</v>
      </c>
      <c r="BS25" s="3">
        <v>42961</v>
      </c>
      <c r="BT25" s="4">
        <v>0.55902777777777779</v>
      </c>
      <c r="BU25" s="2" t="s">
        <v>195</v>
      </c>
      <c r="BV25" s="2" t="s">
        <v>95</v>
      </c>
      <c r="BW25" s="2"/>
      <c r="BX25" s="2"/>
      <c r="BY25" s="2">
        <v>336913.9</v>
      </c>
      <c r="BZ25" s="2"/>
      <c r="CA25" s="2" t="s">
        <v>196</v>
      </c>
      <c r="CB25" s="2"/>
      <c r="CC25" s="2" t="s">
        <v>98</v>
      </c>
      <c r="CD25" s="2">
        <v>6001</v>
      </c>
      <c r="CE25" s="2" t="s">
        <v>89</v>
      </c>
      <c r="CF25" s="5">
        <v>42962</v>
      </c>
      <c r="CG25" s="2"/>
      <c r="CH25" s="2"/>
      <c r="CI25" s="2">
        <v>2</v>
      </c>
      <c r="CJ25" s="2">
        <v>1</v>
      </c>
      <c r="CK25" s="2" t="s">
        <v>136</v>
      </c>
      <c r="CL25" s="2" t="s">
        <v>86</v>
      </c>
      <c r="CM25" s="2"/>
    </row>
    <row r="26" spans="1:91">
      <c r="A26" s="2" t="s">
        <v>71</v>
      </c>
      <c r="B26" s="2" t="s">
        <v>72</v>
      </c>
      <c r="C26" s="2" t="s">
        <v>73</v>
      </c>
      <c r="D26" s="2"/>
      <c r="E26" s="2" t="str">
        <f>"FES1162568250"</f>
        <v>FES1162568250</v>
      </c>
      <c r="F26" s="3">
        <v>42958</v>
      </c>
      <c r="G26" s="2">
        <v>201802</v>
      </c>
      <c r="H26" s="2" t="s">
        <v>74</v>
      </c>
      <c r="I26" s="2" t="s">
        <v>75</v>
      </c>
      <c r="J26" s="2" t="s">
        <v>76</v>
      </c>
      <c r="K26" s="2" t="s">
        <v>77</v>
      </c>
      <c r="L26" s="2" t="s">
        <v>144</v>
      </c>
      <c r="M26" s="2" t="s">
        <v>145</v>
      </c>
      <c r="N26" s="2" t="s">
        <v>197</v>
      </c>
      <c r="O26" s="2" t="s">
        <v>81</v>
      </c>
      <c r="P26" s="2" t="str">
        <f>"2170584168                    "</f>
        <v xml:space="preserve">2170584168 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7.32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2</v>
      </c>
      <c r="BI26" s="2">
        <v>23.5</v>
      </c>
      <c r="BJ26" s="2">
        <v>11.3</v>
      </c>
      <c r="BK26" s="2">
        <v>24</v>
      </c>
      <c r="BL26" s="2">
        <v>80.81</v>
      </c>
      <c r="BM26" s="2">
        <v>11.31</v>
      </c>
      <c r="BN26" s="2">
        <v>92.12</v>
      </c>
      <c r="BO26" s="2">
        <v>92.12</v>
      </c>
      <c r="BP26" s="2"/>
      <c r="BQ26" s="2" t="s">
        <v>108</v>
      </c>
      <c r="BR26" s="2" t="s">
        <v>84</v>
      </c>
      <c r="BS26" s="3">
        <v>42962</v>
      </c>
      <c r="BT26" s="4">
        <v>0.45833333333333331</v>
      </c>
      <c r="BU26" s="2" t="s">
        <v>198</v>
      </c>
      <c r="BV26" s="2" t="s">
        <v>86</v>
      </c>
      <c r="BW26" s="2" t="s">
        <v>124</v>
      </c>
      <c r="BX26" s="2" t="s">
        <v>199</v>
      </c>
      <c r="BY26" s="2">
        <v>56519.32</v>
      </c>
      <c r="BZ26" s="2"/>
      <c r="CA26" s="2" t="s">
        <v>200</v>
      </c>
      <c r="CB26" s="2"/>
      <c r="CC26" s="2" t="s">
        <v>145</v>
      </c>
      <c r="CD26" s="2">
        <v>2040</v>
      </c>
      <c r="CE26" s="2" t="s">
        <v>89</v>
      </c>
      <c r="CF26" s="5">
        <v>42963</v>
      </c>
      <c r="CG26" s="2"/>
      <c r="CH26" s="2"/>
      <c r="CI26" s="2">
        <v>1</v>
      </c>
      <c r="CJ26" s="2">
        <v>2</v>
      </c>
      <c r="CK26" s="2" t="s">
        <v>132</v>
      </c>
      <c r="CL26" s="2" t="s">
        <v>86</v>
      </c>
      <c r="CM26" s="2"/>
    </row>
    <row r="27" spans="1:91">
      <c r="A27" s="2" t="s">
        <v>71</v>
      </c>
      <c r="B27" s="2" t="s">
        <v>72</v>
      </c>
      <c r="C27" s="2" t="s">
        <v>73</v>
      </c>
      <c r="D27" s="2"/>
      <c r="E27" s="2" t="str">
        <f>"FES1162567362"</f>
        <v>FES1162567362</v>
      </c>
      <c r="F27" s="3">
        <v>42954</v>
      </c>
      <c r="G27" s="2">
        <v>201802</v>
      </c>
      <c r="H27" s="2" t="s">
        <v>74</v>
      </c>
      <c r="I27" s="2" t="s">
        <v>75</v>
      </c>
      <c r="J27" s="2" t="s">
        <v>76</v>
      </c>
      <c r="K27" s="2" t="s">
        <v>77</v>
      </c>
      <c r="L27" s="2" t="s">
        <v>201</v>
      </c>
      <c r="M27" s="2" t="s">
        <v>202</v>
      </c>
      <c r="N27" s="2" t="s">
        <v>203</v>
      </c>
      <c r="O27" s="2" t="s">
        <v>81</v>
      </c>
      <c r="P27" s="2" t="str">
        <f>"2170577029                    "</f>
        <v xml:space="preserve">2170577029                    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25.37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4</v>
      </c>
      <c r="BI27" s="2">
        <v>63.6</v>
      </c>
      <c r="BJ27" s="2">
        <v>37.799999999999997</v>
      </c>
      <c r="BK27" s="2">
        <v>64</v>
      </c>
      <c r="BL27" s="2">
        <v>267.73</v>
      </c>
      <c r="BM27" s="2">
        <v>37.479999999999997</v>
      </c>
      <c r="BN27" s="2">
        <v>305.20999999999998</v>
      </c>
      <c r="BO27" s="2">
        <v>305.20999999999998</v>
      </c>
      <c r="BP27" s="2"/>
      <c r="BQ27" s="2" t="s">
        <v>83</v>
      </c>
      <c r="BR27" s="2" t="s">
        <v>84</v>
      </c>
      <c r="BS27" s="3">
        <v>42958</v>
      </c>
      <c r="BT27" s="4">
        <v>0.53749999999999998</v>
      </c>
      <c r="BU27" s="2" t="s">
        <v>204</v>
      </c>
      <c r="BV27" s="2" t="s">
        <v>86</v>
      </c>
      <c r="BW27" s="2" t="s">
        <v>110</v>
      </c>
      <c r="BX27" s="2" t="s">
        <v>111</v>
      </c>
      <c r="BY27" s="2">
        <v>188866.77</v>
      </c>
      <c r="BZ27" s="2"/>
      <c r="CA27" s="2" t="s">
        <v>205</v>
      </c>
      <c r="CB27" s="2"/>
      <c r="CC27" s="2" t="s">
        <v>202</v>
      </c>
      <c r="CD27" s="2">
        <v>7130</v>
      </c>
      <c r="CE27" s="2" t="s">
        <v>89</v>
      </c>
      <c r="CF27" s="5">
        <v>42961</v>
      </c>
      <c r="CG27" s="2"/>
      <c r="CH27" s="2"/>
      <c r="CI27" s="2">
        <v>0</v>
      </c>
      <c r="CJ27" s="2">
        <v>0</v>
      </c>
      <c r="CK27" s="2" t="s">
        <v>136</v>
      </c>
      <c r="CL27" s="2" t="s">
        <v>86</v>
      </c>
      <c r="CM27" s="2"/>
    </row>
    <row r="28" spans="1:91">
      <c r="A28" s="2" t="s">
        <v>71</v>
      </c>
      <c r="B28" s="2" t="s">
        <v>72</v>
      </c>
      <c r="C28" s="2" t="s">
        <v>73</v>
      </c>
      <c r="D28" s="2"/>
      <c r="E28" s="2" t="str">
        <f>"FES1162568798"</f>
        <v>FES1162568798</v>
      </c>
      <c r="F28" s="3">
        <v>42961</v>
      </c>
      <c r="G28" s="2">
        <v>201802</v>
      </c>
      <c r="H28" s="2" t="s">
        <v>74</v>
      </c>
      <c r="I28" s="2" t="s">
        <v>75</v>
      </c>
      <c r="J28" s="2" t="s">
        <v>76</v>
      </c>
      <c r="K28" s="2" t="s">
        <v>77</v>
      </c>
      <c r="L28" s="2" t="s">
        <v>206</v>
      </c>
      <c r="M28" s="2" t="s">
        <v>207</v>
      </c>
      <c r="N28" s="2" t="s">
        <v>208</v>
      </c>
      <c r="O28" s="2" t="s">
        <v>100</v>
      </c>
      <c r="P28" s="2" t="str">
        <f>"2170584853                    "</f>
        <v xml:space="preserve">2170584853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5.63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0.5</v>
      </c>
      <c r="BJ28" s="2">
        <v>0.2</v>
      </c>
      <c r="BK28" s="2">
        <v>0.5</v>
      </c>
      <c r="BL28" s="2">
        <v>58.28</v>
      </c>
      <c r="BM28" s="2">
        <v>8.16</v>
      </c>
      <c r="BN28" s="2">
        <v>66.44</v>
      </c>
      <c r="BO28" s="2">
        <v>66.44</v>
      </c>
      <c r="BP28" s="2"/>
      <c r="BQ28" s="2" t="s">
        <v>209</v>
      </c>
      <c r="BR28" s="2" t="s">
        <v>84</v>
      </c>
      <c r="BS28" s="3">
        <v>42962</v>
      </c>
      <c r="BT28" s="4">
        <v>0.43055555555555558</v>
      </c>
      <c r="BU28" s="2" t="s">
        <v>210</v>
      </c>
      <c r="BV28" s="2" t="s">
        <v>95</v>
      </c>
      <c r="BW28" s="2"/>
      <c r="BX28" s="2"/>
      <c r="BY28" s="2">
        <v>1200</v>
      </c>
      <c r="BZ28" s="2"/>
      <c r="CA28" s="2" t="s">
        <v>211</v>
      </c>
      <c r="CB28" s="2"/>
      <c r="CC28" s="2" t="s">
        <v>207</v>
      </c>
      <c r="CD28" s="2">
        <v>250</v>
      </c>
      <c r="CE28" s="2" t="s">
        <v>104</v>
      </c>
      <c r="CF28" s="5">
        <v>42964</v>
      </c>
      <c r="CG28" s="2"/>
      <c r="CH28" s="2"/>
      <c r="CI28" s="2">
        <v>1</v>
      </c>
      <c r="CJ28" s="2">
        <v>1</v>
      </c>
      <c r="CK28" s="2">
        <v>24</v>
      </c>
      <c r="CL28" s="2" t="s">
        <v>86</v>
      </c>
      <c r="CM28" s="2"/>
    </row>
    <row r="29" spans="1:91">
      <c r="A29" s="2" t="s">
        <v>71</v>
      </c>
      <c r="B29" s="2" t="s">
        <v>72</v>
      </c>
      <c r="C29" s="2" t="s">
        <v>73</v>
      </c>
      <c r="D29" s="2"/>
      <c r="E29" s="2" t="str">
        <f>"FES1162568769"</f>
        <v>FES1162568769</v>
      </c>
      <c r="F29" s="3">
        <v>42961</v>
      </c>
      <c r="G29" s="2">
        <v>201802</v>
      </c>
      <c r="H29" s="2" t="s">
        <v>74</v>
      </c>
      <c r="I29" s="2" t="s">
        <v>75</v>
      </c>
      <c r="J29" s="2" t="s">
        <v>76</v>
      </c>
      <c r="K29" s="2" t="s">
        <v>77</v>
      </c>
      <c r="L29" s="2" t="s">
        <v>97</v>
      </c>
      <c r="M29" s="2" t="s">
        <v>98</v>
      </c>
      <c r="N29" s="2" t="s">
        <v>119</v>
      </c>
      <c r="O29" s="2" t="s">
        <v>100</v>
      </c>
      <c r="P29" s="2" t="str">
        <f>"2170584269                    "</f>
        <v xml:space="preserve">2170584269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4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1</v>
      </c>
      <c r="BJ29" s="2">
        <v>0.2</v>
      </c>
      <c r="BK29" s="2">
        <v>1</v>
      </c>
      <c r="BL29" s="2">
        <v>41.44</v>
      </c>
      <c r="BM29" s="2">
        <v>5.8</v>
      </c>
      <c r="BN29" s="2">
        <v>47.24</v>
      </c>
      <c r="BO29" s="2">
        <v>47.24</v>
      </c>
      <c r="BP29" s="2"/>
      <c r="BQ29" s="2" t="s">
        <v>108</v>
      </c>
      <c r="BR29" s="2" t="s">
        <v>84</v>
      </c>
      <c r="BS29" s="3">
        <v>42962</v>
      </c>
      <c r="BT29" s="4">
        <v>0.33333333333333331</v>
      </c>
      <c r="BU29" s="2" t="s">
        <v>212</v>
      </c>
      <c r="BV29" s="2" t="s">
        <v>95</v>
      </c>
      <c r="BW29" s="2"/>
      <c r="BX29" s="2"/>
      <c r="BY29" s="2">
        <v>1200</v>
      </c>
      <c r="BZ29" s="2"/>
      <c r="CA29" s="2" t="s">
        <v>213</v>
      </c>
      <c r="CB29" s="2"/>
      <c r="CC29" s="2" t="s">
        <v>98</v>
      </c>
      <c r="CD29" s="2">
        <v>6001</v>
      </c>
      <c r="CE29" s="2" t="s">
        <v>104</v>
      </c>
      <c r="CF29" s="5">
        <v>42963</v>
      </c>
      <c r="CG29" s="2"/>
      <c r="CH29" s="2"/>
      <c r="CI29" s="2">
        <v>1</v>
      </c>
      <c r="CJ29" s="2">
        <v>1</v>
      </c>
      <c r="CK29" s="2">
        <v>21</v>
      </c>
      <c r="CL29" s="2" t="s">
        <v>86</v>
      </c>
      <c r="CM29" s="2"/>
    </row>
    <row r="30" spans="1:91">
      <c r="A30" s="2" t="s">
        <v>71</v>
      </c>
      <c r="B30" s="2" t="s">
        <v>72</v>
      </c>
      <c r="C30" s="2" t="s">
        <v>73</v>
      </c>
      <c r="D30" s="2"/>
      <c r="E30" s="2" t="str">
        <f>"FES1162568790"</f>
        <v>FES1162568790</v>
      </c>
      <c r="F30" s="3">
        <v>42961</v>
      </c>
      <c r="G30" s="2">
        <v>201802</v>
      </c>
      <c r="H30" s="2" t="s">
        <v>74</v>
      </c>
      <c r="I30" s="2" t="s">
        <v>75</v>
      </c>
      <c r="J30" s="2" t="s">
        <v>76</v>
      </c>
      <c r="K30" s="2" t="s">
        <v>77</v>
      </c>
      <c r="L30" s="2" t="s">
        <v>97</v>
      </c>
      <c r="M30" s="2" t="s">
        <v>98</v>
      </c>
      <c r="N30" s="2" t="s">
        <v>214</v>
      </c>
      <c r="O30" s="2" t="s">
        <v>100</v>
      </c>
      <c r="P30" s="2" t="str">
        <f>"2170584691                    "</f>
        <v xml:space="preserve">2170584691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4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1</v>
      </c>
      <c r="BJ30" s="2">
        <v>0.2</v>
      </c>
      <c r="BK30" s="2">
        <v>1</v>
      </c>
      <c r="BL30" s="2">
        <v>41.44</v>
      </c>
      <c r="BM30" s="2">
        <v>5.8</v>
      </c>
      <c r="BN30" s="2">
        <v>47.24</v>
      </c>
      <c r="BO30" s="2">
        <v>47.24</v>
      </c>
      <c r="BP30" s="2"/>
      <c r="BQ30" s="2" t="s">
        <v>108</v>
      </c>
      <c r="BR30" s="2" t="s">
        <v>84</v>
      </c>
      <c r="BS30" s="3">
        <v>42962</v>
      </c>
      <c r="BT30" s="4">
        <v>0.31805555555555554</v>
      </c>
      <c r="BU30" s="2" t="s">
        <v>215</v>
      </c>
      <c r="BV30" s="2" t="s">
        <v>95</v>
      </c>
      <c r="BW30" s="2"/>
      <c r="BX30" s="2"/>
      <c r="BY30" s="2">
        <v>1200</v>
      </c>
      <c r="BZ30" s="2"/>
      <c r="CA30" s="2" t="s">
        <v>213</v>
      </c>
      <c r="CB30" s="2"/>
      <c r="CC30" s="2" t="s">
        <v>98</v>
      </c>
      <c r="CD30" s="2">
        <v>6001</v>
      </c>
      <c r="CE30" s="2" t="s">
        <v>104</v>
      </c>
      <c r="CF30" s="5">
        <v>42962</v>
      </c>
      <c r="CG30" s="2"/>
      <c r="CH30" s="2"/>
      <c r="CI30" s="2">
        <v>1</v>
      </c>
      <c r="CJ30" s="2">
        <v>1</v>
      </c>
      <c r="CK30" s="2">
        <v>21</v>
      </c>
      <c r="CL30" s="2" t="s">
        <v>86</v>
      </c>
      <c r="CM30" s="2"/>
    </row>
    <row r="31" spans="1:91">
      <c r="A31" s="2" t="s">
        <v>71</v>
      </c>
      <c r="B31" s="2" t="s">
        <v>72</v>
      </c>
      <c r="C31" s="2" t="s">
        <v>73</v>
      </c>
      <c r="D31" s="2"/>
      <c r="E31" s="2" t="str">
        <f>"FES1162568793"</f>
        <v>FES1162568793</v>
      </c>
      <c r="F31" s="3">
        <v>42961</v>
      </c>
      <c r="G31" s="2">
        <v>201802</v>
      </c>
      <c r="H31" s="2" t="s">
        <v>74</v>
      </c>
      <c r="I31" s="2" t="s">
        <v>75</v>
      </c>
      <c r="J31" s="2" t="s">
        <v>76</v>
      </c>
      <c r="K31" s="2" t="s">
        <v>77</v>
      </c>
      <c r="L31" s="2" t="s">
        <v>216</v>
      </c>
      <c r="M31" s="2" t="s">
        <v>217</v>
      </c>
      <c r="N31" s="2" t="s">
        <v>218</v>
      </c>
      <c r="O31" s="2" t="s">
        <v>100</v>
      </c>
      <c r="P31" s="2" t="str">
        <f>"2170584840                    "</f>
        <v xml:space="preserve">2170584840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3.13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1.9</v>
      </c>
      <c r="BJ31" s="2">
        <v>1.3</v>
      </c>
      <c r="BK31" s="2">
        <v>2</v>
      </c>
      <c r="BL31" s="2">
        <v>32.380000000000003</v>
      </c>
      <c r="BM31" s="2">
        <v>4.53</v>
      </c>
      <c r="BN31" s="2">
        <v>36.909999999999997</v>
      </c>
      <c r="BO31" s="2">
        <v>36.909999999999997</v>
      </c>
      <c r="BP31" s="2"/>
      <c r="BQ31" s="2" t="s">
        <v>108</v>
      </c>
      <c r="BR31" s="2" t="s">
        <v>84</v>
      </c>
      <c r="BS31" s="3">
        <v>42962</v>
      </c>
      <c r="BT31" s="4">
        <v>0.31597222222222221</v>
      </c>
      <c r="BU31" s="2" t="s">
        <v>219</v>
      </c>
      <c r="BV31" s="2" t="s">
        <v>95</v>
      </c>
      <c r="BW31" s="2"/>
      <c r="BX31" s="2"/>
      <c r="BY31" s="2">
        <v>6706.8</v>
      </c>
      <c r="BZ31" s="2"/>
      <c r="CA31" s="2" t="s">
        <v>220</v>
      </c>
      <c r="CB31" s="2"/>
      <c r="CC31" s="2" t="s">
        <v>217</v>
      </c>
      <c r="CD31" s="2">
        <v>1451</v>
      </c>
      <c r="CE31" s="2" t="s">
        <v>89</v>
      </c>
      <c r="CF31" s="5">
        <v>42963</v>
      </c>
      <c r="CG31" s="2"/>
      <c r="CH31" s="2"/>
      <c r="CI31" s="2">
        <v>1</v>
      </c>
      <c r="CJ31" s="2">
        <v>1</v>
      </c>
      <c r="CK31" s="2">
        <v>22</v>
      </c>
      <c r="CL31" s="2" t="s">
        <v>86</v>
      </c>
      <c r="CM31" s="2"/>
    </row>
    <row r="32" spans="1:91">
      <c r="A32" s="2" t="s">
        <v>71</v>
      </c>
      <c r="B32" s="2" t="s">
        <v>72</v>
      </c>
      <c r="C32" s="2" t="s">
        <v>73</v>
      </c>
      <c r="D32" s="2"/>
      <c r="E32" s="2" t="str">
        <f>"FES1162568783"</f>
        <v>FES1162568783</v>
      </c>
      <c r="F32" s="3">
        <v>42961</v>
      </c>
      <c r="G32" s="2">
        <v>201802</v>
      </c>
      <c r="H32" s="2" t="s">
        <v>74</v>
      </c>
      <c r="I32" s="2" t="s">
        <v>75</v>
      </c>
      <c r="J32" s="2" t="s">
        <v>76</v>
      </c>
      <c r="K32" s="2" t="s">
        <v>77</v>
      </c>
      <c r="L32" s="2" t="s">
        <v>221</v>
      </c>
      <c r="M32" s="2" t="s">
        <v>222</v>
      </c>
      <c r="N32" s="2" t="s">
        <v>223</v>
      </c>
      <c r="O32" s="2" t="s">
        <v>100</v>
      </c>
      <c r="P32" s="2" t="str">
        <f>"2170584825                    "</f>
        <v xml:space="preserve">2170584825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4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1.9</v>
      </c>
      <c r="BJ32" s="2">
        <v>1.5</v>
      </c>
      <c r="BK32" s="2">
        <v>2</v>
      </c>
      <c r="BL32" s="2">
        <v>41.44</v>
      </c>
      <c r="BM32" s="2">
        <v>5.8</v>
      </c>
      <c r="BN32" s="2">
        <v>47.24</v>
      </c>
      <c r="BO32" s="2">
        <v>47.24</v>
      </c>
      <c r="BP32" s="2"/>
      <c r="BQ32" s="2" t="s">
        <v>108</v>
      </c>
      <c r="BR32" s="2" t="s">
        <v>84</v>
      </c>
      <c r="BS32" s="3">
        <v>42962</v>
      </c>
      <c r="BT32" s="4">
        <v>0.39305555555555555</v>
      </c>
      <c r="BU32" s="2" t="s">
        <v>224</v>
      </c>
      <c r="BV32" s="2" t="s">
        <v>95</v>
      </c>
      <c r="BW32" s="2"/>
      <c r="BX32" s="2"/>
      <c r="BY32" s="2">
        <v>7330.4</v>
      </c>
      <c r="BZ32" s="2"/>
      <c r="CA32" s="2" t="s">
        <v>225</v>
      </c>
      <c r="CB32" s="2"/>
      <c r="CC32" s="2" t="s">
        <v>222</v>
      </c>
      <c r="CD32" s="2">
        <v>4300</v>
      </c>
      <c r="CE32" s="2" t="s">
        <v>89</v>
      </c>
      <c r="CF32" s="5">
        <v>42963</v>
      </c>
      <c r="CG32" s="2"/>
      <c r="CH32" s="2"/>
      <c r="CI32" s="2">
        <v>1</v>
      </c>
      <c r="CJ32" s="2">
        <v>1</v>
      </c>
      <c r="CK32" s="2">
        <v>21</v>
      </c>
      <c r="CL32" s="2" t="s">
        <v>86</v>
      </c>
      <c r="CM32" s="2"/>
    </row>
    <row r="33" spans="1:91">
      <c r="A33" s="2" t="s">
        <v>71</v>
      </c>
      <c r="B33" s="2" t="s">
        <v>72</v>
      </c>
      <c r="C33" s="2" t="s">
        <v>73</v>
      </c>
      <c r="D33" s="2"/>
      <c r="E33" s="2" t="str">
        <f>"FES1162568773"</f>
        <v>FES1162568773</v>
      </c>
      <c r="F33" s="3">
        <v>42961</v>
      </c>
      <c r="G33" s="2">
        <v>201802</v>
      </c>
      <c r="H33" s="2" t="s">
        <v>74</v>
      </c>
      <c r="I33" s="2" t="s">
        <v>75</v>
      </c>
      <c r="J33" s="2" t="s">
        <v>76</v>
      </c>
      <c r="K33" s="2" t="s">
        <v>77</v>
      </c>
      <c r="L33" s="2" t="s">
        <v>137</v>
      </c>
      <c r="M33" s="2" t="s">
        <v>138</v>
      </c>
      <c r="N33" s="2" t="s">
        <v>226</v>
      </c>
      <c r="O33" s="2" t="s">
        <v>100</v>
      </c>
      <c r="P33" s="2" t="str">
        <f>"2170584796                    "</f>
        <v xml:space="preserve">2170584796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4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1.4</v>
      </c>
      <c r="BJ33" s="2">
        <v>1.8</v>
      </c>
      <c r="BK33" s="2">
        <v>2</v>
      </c>
      <c r="BL33" s="2">
        <v>41.44</v>
      </c>
      <c r="BM33" s="2">
        <v>5.8</v>
      </c>
      <c r="BN33" s="2">
        <v>47.24</v>
      </c>
      <c r="BO33" s="2">
        <v>47.24</v>
      </c>
      <c r="BP33" s="2"/>
      <c r="BQ33" s="2" t="s">
        <v>227</v>
      </c>
      <c r="BR33" s="2" t="s">
        <v>84</v>
      </c>
      <c r="BS33" s="3">
        <v>42962</v>
      </c>
      <c r="BT33" s="4">
        <v>0.33611111111111108</v>
      </c>
      <c r="BU33" s="2" t="s">
        <v>228</v>
      </c>
      <c r="BV33" s="2" t="s">
        <v>95</v>
      </c>
      <c r="BW33" s="2"/>
      <c r="BX33" s="2"/>
      <c r="BY33" s="2">
        <v>8896.16</v>
      </c>
      <c r="BZ33" s="2"/>
      <c r="CA33" s="2"/>
      <c r="CB33" s="2"/>
      <c r="CC33" s="2" t="s">
        <v>138</v>
      </c>
      <c r="CD33" s="2">
        <v>157</v>
      </c>
      <c r="CE33" s="2" t="s">
        <v>104</v>
      </c>
      <c r="CF33" s="5">
        <v>42963</v>
      </c>
      <c r="CG33" s="2"/>
      <c r="CH33" s="2"/>
      <c r="CI33" s="2">
        <v>1</v>
      </c>
      <c r="CJ33" s="2">
        <v>1</v>
      </c>
      <c r="CK33" s="2">
        <v>21</v>
      </c>
      <c r="CL33" s="2" t="s">
        <v>86</v>
      </c>
      <c r="CM33" s="2"/>
    </row>
    <row r="34" spans="1:91">
      <c r="A34" s="2" t="s">
        <v>71</v>
      </c>
      <c r="B34" s="2" t="s">
        <v>72</v>
      </c>
      <c r="C34" s="2" t="s">
        <v>73</v>
      </c>
      <c r="D34" s="2"/>
      <c r="E34" s="2" t="str">
        <f>"FES1162568792"</f>
        <v>FES1162568792</v>
      </c>
      <c r="F34" s="3">
        <v>42961</v>
      </c>
      <c r="G34" s="2">
        <v>201802</v>
      </c>
      <c r="H34" s="2" t="s">
        <v>74</v>
      </c>
      <c r="I34" s="2" t="s">
        <v>75</v>
      </c>
      <c r="J34" s="2" t="s">
        <v>76</v>
      </c>
      <c r="K34" s="2" t="s">
        <v>77</v>
      </c>
      <c r="L34" s="2" t="s">
        <v>97</v>
      </c>
      <c r="M34" s="2" t="s">
        <v>98</v>
      </c>
      <c r="N34" s="2" t="s">
        <v>229</v>
      </c>
      <c r="O34" s="2" t="s">
        <v>100</v>
      </c>
      <c r="P34" s="2" t="str">
        <f>"2170584838                    "</f>
        <v xml:space="preserve">2170584838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8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4</v>
      </c>
      <c r="BJ34" s="2">
        <v>2</v>
      </c>
      <c r="BK34" s="2">
        <v>4</v>
      </c>
      <c r="BL34" s="2">
        <v>82.88</v>
      </c>
      <c r="BM34" s="2">
        <v>11.6</v>
      </c>
      <c r="BN34" s="2">
        <v>94.48</v>
      </c>
      <c r="BO34" s="2">
        <v>94.48</v>
      </c>
      <c r="BP34" s="2"/>
      <c r="BQ34" s="2" t="s">
        <v>108</v>
      </c>
      <c r="BR34" s="2" t="s">
        <v>84</v>
      </c>
      <c r="BS34" s="3">
        <v>42962</v>
      </c>
      <c r="BT34" s="4">
        <v>0.43611111111111112</v>
      </c>
      <c r="BU34" s="2" t="s">
        <v>230</v>
      </c>
      <c r="BV34" s="2" t="s">
        <v>95</v>
      </c>
      <c r="BW34" s="2"/>
      <c r="BX34" s="2"/>
      <c r="BY34" s="2">
        <v>9918</v>
      </c>
      <c r="BZ34" s="2"/>
      <c r="CA34" s="2" t="s">
        <v>103</v>
      </c>
      <c r="CB34" s="2"/>
      <c r="CC34" s="2" t="s">
        <v>98</v>
      </c>
      <c r="CD34" s="2">
        <v>6001</v>
      </c>
      <c r="CE34" s="2" t="s">
        <v>89</v>
      </c>
      <c r="CF34" s="5">
        <v>42963</v>
      </c>
      <c r="CG34" s="2"/>
      <c r="CH34" s="2"/>
      <c r="CI34" s="2">
        <v>1</v>
      </c>
      <c r="CJ34" s="2">
        <v>1</v>
      </c>
      <c r="CK34" s="2">
        <v>21</v>
      </c>
      <c r="CL34" s="2" t="s">
        <v>86</v>
      </c>
      <c r="CM34" s="2"/>
    </row>
    <row r="35" spans="1:91">
      <c r="A35" s="2" t="s">
        <v>71</v>
      </c>
      <c r="B35" s="2" t="s">
        <v>72</v>
      </c>
      <c r="C35" s="2" t="s">
        <v>73</v>
      </c>
      <c r="D35" s="2"/>
      <c r="E35" s="2" t="str">
        <f>"FES1162568795"</f>
        <v>FES1162568795</v>
      </c>
      <c r="F35" s="3">
        <v>42961</v>
      </c>
      <c r="G35" s="2">
        <v>201802</v>
      </c>
      <c r="H35" s="2" t="s">
        <v>74</v>
      </c>
      <c r="I35" s="2" t="s">
        <v>75</v>
      </c>
      <c r="J35" s="2" t="s">
        <v>76</v>
      </c>
      <c r="K35" s="2" t="s">
        <v>77</v>
      </c>
      <c r="L35" s="2" t="s">
        <v>231</v>
      </c>
      <c r="M35" s="2" t="s">
        <v>232</v>
      </c>
      <c r="N35" s="2" t="s">
        <v>233</v>
      </c>
      <c r="O35" s="2" t="s">
        <v>100</v>
      </c>
      <c r="P35" s="2" t="str">
        <f>"2170584816                    "</f>
        <v xml:space="preserve">2170584816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4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0.2</v>
      </c>
      <c r="BJ35" s="2">
        <v>1.3</v>
      </c>
      <c r="BK35" s="2">
        <v>1.5</v>
      </c>
      <c r="BL35" s="2">
        <v>41.44</v>
      </c>
      <c r="BM35" s="2">
        <v>5.8</v>
      </c>
      <c r="BN35" s="2">
        <v>47.24</v>
      </c>
      <c r="BO35" s="2">
        <v>47.24</v>
      </c>
      <c r="BP35" s="2"/>
      <c r="BQ35" s="2" t="s">
        <v>83</v>
      </c>
      <c r="BR35" s="2" t="s">
        <v>84</v>
      </c>
      <c r="BS35" s="3">
        <v>42962</v>
      </c>
      <c r="BT35" s="4">
        <v>0.35694444444444445</v>
      </c>
      <c r="BU35" s="2" t="s">
        <v>234</v>
      </c>
      <c r="BV35" s="2" t="s">
        <v>95</v>
      </c>
      <c r="BW35" s="2"/>
      <c r="BX35" s="2"/>
      <c r="BY35" s="2">
        <v>6628.42</v>
      </c>
      <c r="BZ35" s="2"/>
      <c r="CA35" s="2" t="s">
        <v>235</v>
      </c>
      <c r="CB35" s="2"/>
      <c r="CC35" s="2" t="s">
        <v>232</v>
      </c>
      <c r="CD35" s="2">
        <v>4026</v>
      </c>
      <c r="CE35" s="2" t="s">
        <v>104</v>
      </c>
      <c r="CF35" s="5">
        <v>42963</v>
      </c>
      <c r="CG35" s="2"/>
      <c r="CH35" s="2"/>
      <c r="CI35" s="2">
        <v>1</v>
      </c>
      <c r="CJ35" s="2">
        <v>1</v>
      </c>
      <c r="CK35" s="2">
        <v>21</v>
      </c>
      <c r="CL35" s="2" t="s">
        <v>86</v>
      </c>
      <c r="CM35" s="2"/>
    </row>
    <row r="36" spans="1:91">
      <c r="A36" s="2" t="s">
        <v>71</v>
      </c>
      <c r="B36" s="2" t="s">
        <v>72</v>
      </c>
      <c r="C36" s="2" t="s">
        <v>73</v>
      </c>
      <c r="D36" s="2"/>
      <c r="E36" s="2" t="str">
        <f>"FES1162568582"</f>
        <v>FES1162568582</v>
      </c>
      <c r="F36" s="3">
        <v>42961</v>
      </c>
      <c r="G36" s="2">
        <v>201802</v>
      </c>
      <c r="H36" s="2" t="s">
        <v>74</v>
      </c>
      <c r="I36" s="2" t="s">
        <v>75</v>
      </c>
      <c r="J36" s="2" t="s">
        <v>76</v>
      </c>
      <c r="K36" s="2" t="s">
        <v>77</v>
      </c>
      <c r="L36" s="2" t="s">
        <v>105</v>
      </c>
      <c r="M36" s="2" t="s">
        <v>106</v>
      </c>
      <c r="N36" s="2" t="s">
        <v>107</v>
      </c>
      <c r="O36" s="2" t="s">
        <v>100</v>
      </c>
      <c r="P36" s="2" t="str">
        <f>"2170584549                    "</f>
        <v xml:space="preserve">2170584549  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4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1.8</v>
      </c>
      <c r="BJ36" s="2">
        <v>1.7</v>
      </c>
      <c r="BK36" s="2">
        <v>2</v>
      </c>
      <c r="BL36" s="2">
        <v>41.44</v>
      </c>
      <c r="BM36" s="2">
        <v>5.8</v>
      </c>
      <c r="BN36" s="2">
        <v>47.24</v>
      </c>
      <c r="BO36" s="2">
        <v>47.24</v>
      </c>
      <c r="BP36" s="2"/>
      <c r="BQ36" s="2" t="s">
        <v>108</v>
      </c>
      <c r="BR36" s="2" t="s">
        <v>84</v>
      </c>
      <c r="BS36" s="3">
        <v>42962</v>
      </c>
      <c r="BT36" s="4">
        <v>0.40625</v>
      </c>
      <c r="BU36" s="2" t="s">
        <v>236</v>
      </c>
      <c r="BV36" s="2" t="s">
        <v>95</v>
      </c>
      <c r="BW36" s="2"/>
      <c r="BX36" s="2"/>
      <c r="BY36" s="2">
        <v>8418.6200000000008</v>
      </c>
      <c r="BZ36" s="2"/>
      <c r="CA36" s="2" t="s">
        <v>112</v>
      </c>
      <c r="CB36" s="2"/>
      <c r="CC36" s="2" t="s">
        <v>106</v>
      </c>
      <c r="CD36" s="2">
        <v>7405</v>
      </c>
      <c r="CE36" s="2" t="s">
        <v>135</v>
      </c>
      <c r="CF36" s="5">
        <v>42963</v>
      </c>
      <c r="CG36" s="2"/>
      <c r="CH36" s="2"/>
      <c r="CI36" s="2">
        <v>1</v>
      </c>
      <c r="CJ36" s="2">
        <v>1</v>
      </c>
      <c r="CK36" s="2">
        <v>21</v>
      </c>
      <c r="CL36" s="2" t="s">
        <v>86</v>
      </c>
      <c r="CM36" s="2"/>
    </row>
    <row r="37" spans="1:91">
      <c r="A37" s="2" t="s">
        <v>71</v>
      </c>
      <c r="B37" s="2" t="s">
        <v>72</v>
      </c>
      <c r="C37" s="2" t="s">
        <v>73</v>
      </c>
      <c r="D37" s="2"/>
      <c r="E37" s="2" t="str">
        <f>"080001708191"</f>
        <v>080001708191</v>
      </c>
      <c r="F37" s="3">
        <v>42961</v>
      </c>
      <c r="G37" s="2">
        <v>201802</v>
      </c>
      <c r="H37" s="2" t="s">
        <v>237</v>
      </c>
      <c r="I37" s="2" t="s">
        <v>238</v>
      </c>
      <c r="J37" s="2" t="s">
        <v>239</v>
      </c>
      <c r="K37" s="2" t="s">
        <v>77</v>
      </c>
      <c r="L37" s="2" t="s">
        <v>74</v>
      </c>
      <c r="M37" s="2" t="s">
        <v>75</v>
      </c>
      <c r="N37" s="2" t="s">
        <v>118</v>
      </c>
      <c r="O37" s="2" t="s">
        <v>81</v>
      </c>
      <c r="P37" s="2" t="str">
        <f>"ZA1000651290                  "</f>
        <v xml:space="preserve">ZA1000651290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7.5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2</v>
      </c>
      <c r="BJ37" s="2">
        <v>1.3</v>
      </c>
      <c r="BK37" s="2">
        <v>2</v>
      </c>
      <c r="BL37" s="2">
        <v>82.7</v>
      </c>
      <c r="BM37" s="2">
        <v>11.58</v>
      </c>
      <c r="BN37" s="2">
        <v>94.28</v>
      </c>
      <c r="BO37" s="2">
        <v>94.28</v>
      </c>
      <c r="BP37" s="2" t="s">
        <v>240</v>
      </c>
      <c r="BQ37" s="2" t="s">
        <v>241</v>
      </c>
      <c r="BR37" s="2" t="s">
        <v>242</v>
      </c>
      <c r="BS37" s="3">
        <v>42962</v>
      </c>
      <c r="BT37" s="4">
        <v>0.66111111111111109</v>
      </c>
      <c r="BU37" s="2" t="s">
        <v>243</v>
      </c>
      <c r="BV37" s="2" t="s">
        <v>95</v>
      </c>
      <c r="BW37" s="2"/>
      <c r="BX37" s="2"/>
      <c r="BY37" s="2">
        <v>6720</v>
      </c>
      <c r="BZ37" s="2"/>
      <c r="CA37" s="2"/>
      <c r="CB37" s="2"/>
      <c r="CC37" s="2" t="s">
        <v>75</v>
      </c>
      <c r="CD37" s="2">
        <v>1600</v>
      </c>
      <c r="CE37" s="2" t="s">
        <v>89</v>
      </c>
      <c r="CF37" s="5">
        <v>42963</v>
      </c>
      <c r="CG37" s="2"/>
      <c r="CH37" s="2"/>
      <c r="CI37" s="2">
        <v>1</v>
      </c>
      <c r="CJ37" s="2">
        <v>1</v>
      </c>
      <c r="CK37" s="2" t="s">
        <v>180</v>
      </c>
      <c r="CL37" s="2" t="s">
        <v>86</v>
      </c>
      <c r="CM37" s="2"/>
    </row>
    <row r="38" spans="1:91">
      <c r="A38" s="2" t="s">
        <v>71</v>
      </c>
      <c r="B38" s="2" t="s">
        <v>72</v>
      </c>
      <c r="C38" s="2" t="s">
        <v>73</v>
      </c>
      <c r="D38" s="2"/>
      <c r="E38" s="2" t="str">
        <f>"FES1162568661"</f>
        <v>FES1162568661</v>
      </c>
      <c r="F38" s="3">
        <v>42961</v>
      </c>
      <c r="G38" s="2">
        <v>201802</v>
      </c>
      <c r="H38" s="2" t="s">
        <v>74</v>
      </c>
      <c r="I38" s="2" t="s">
        <v>75</v>
      </c>
      <c r="J38" s="2" t="s">
        <v>76</v>
      </c>
      <c r="K38" s="2" t="s">
        <v>77</v>
      </c>
      <c r="L38" s="2" t="s">
        <v>244</v>
      </c>
      <c r="M38" s="2" t="s">
        <v>245</v>
      </c>
      <c r="N38" s="2" t="s">
        <v>246</v>
      </c>
      <c r="O38" s="2" t="s">
        <v>81</v>
      </c>
      <c r="P38" s="2" t="str">
        <f>"2170581425                    "</f>
        <v xml:space="preserve">2170581425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6.76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2</v>
      </c>
      <c r="BI38" s="2">
        <v>20.2</v>
      </c>
      <c r="BJ38" s="2">
        <v>7.2</v>
      </c>
      <c r="BK38" s="2">
        <v>21</v>
      </c>
      <c r="BL38" s="2">
        <v>74.97</v>
      </c>
      <c r="BM38" s="2">
        <v>10.5</v>
      </c>
      <c r="BN38" s="2">
        <v>85.47</v>
      </c>
      <c r="BO38" s="2">
        <v>85.47</v>
      </c>
      <c r="BP38" s="2"/>
      <c r="BQ38" s="2" t="s">
        <v>209</v>
      </c>
      <c r="BR38" s="2" t="s">
        <v>84</v>
      </c>
      <c r="BS38" s="3">
        <v>42962</v>
      </c>
      <c r="BT38" s="4">
        <v>0.49861111111111112</v>
      </c>
      <c r="BU38" s="2" t="s">
        <v>247</v>
      </c>
      <c r="BV38" s="2" t="s">
        <v>95</v>
      </c>
      <c r="BW38" s="2"/>
      <c r="BX38" s="2"/>
      <c r="BY38" s="2">
        <v>36027.24</v>
      </c>
      <c r="BZ38" s="2"/>
      <c r="CA38" s="2"/>
      <c r="CB38" s="2"/>
      <c r="CC38" s="2" t="s">
        <v>245</v>
      </c>
      <c r="CD38" s="2">
        <v>1459</v>
      </c>
      <c r="CE38" s="2" t="s">
        <v>104</v>
      </c>
      <c r="CF38" s="5">
        <v>42963</v>
      </c>
      <c r="CG38" s="2"/>
      <c r="CH38" s="2"/>
      <c r="CI38" s="2">
        <v>1</v>
      </c>
      <c r="CJ38" s="2">
        <v>1</v>
      </c>
      <c r="CK38" s="2" t="s">
        <v>132</v>
      </c>
      <c r="CL38" s="2" t="s">
        <v>86</v>
      </c>
      <c r="CM38" s="2"/>
    </row>
    <row r="39" spans="1:91">
      <c r="A39" s="2" t="s">
        <v>71</v>
      </c>
      <c r="B39" s="2" t="s">
        <v>72</v>
      </c>
      <c r="C39" s="2" t="s">
        <v>73</v>
      </c>
      <c r="D39" s="2"/>
      <c r="E39" s="2" t="str">
        <f>"FES1162568645"</f>
        <v>FES1162568645</v>
      </c>
      <c r="F39" s="3">
        <v>42961</v>
      </c>
      <c r="G39" s="2">
        <v>201802</v>
      </c>
      <c r="H39" s="2" t="s">
        <v>74</v>
      </c>
      <c r="I39" s="2" t="s">
        <v>75</v>
      </c>
      <c r="J39" s="2" t="s">
        <v>76</v>
      </c>
      <c r="K39" s="2" t="s">
        <v>77</v>
      </c>
      <c r="L39" s="2" t="s">
        <v>97</v>
      </c>
      <c r="M39" s="2" t="s">
        <v>98</v>
      </c>
      <c r="N39" s="2" t="s">
        <v>248</v>
      </c>
      <c r="O39" s="2" t="s">
        <v>81</v>
      </c>
      <c r="P39" s="2" t="str">
        <f>"2170579562                    "</f>
        <v xml:space="preserve">2170579562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16.260000000000002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38</v>
      </c>
      <c r="BJ39" s="2">
        <v>18.100000000000001</v>
      </c>
      <c r="BK39" s="2">
        <v>38</v>
      </c>
      <c r="BL39" s="2">
        <v>173.34</v>
      </c>
      <c r="BM39" s="2">
        <v>24.27</v>
      </c>
      <c r="BN39" s="2">
        <v>197.61</v>
      </c>
      <c r="BO39" s="2">
        <v>197.61</v>
      </c>
      <c r="BP39" s="2"/>
      <c r="BQ39" s="2" t="s">
        <v>83</v>
      </c>
      <c r="BR39" s="2" t="s">
        <v>84</v>
      </c>
      <c r="BS39" s="3">
        <v>42963</v>
      </c>
      <c r="BT39" s="4">
        <v>0.45347222222222222</v>
      </c>
      <c r="BU39" s="2" t="s">
        <v>249</v>
      </c>
      <c r="BV39" s="2" t="s">
        <v>95</v>
      </c>
      <c r="BW39" s="2"/>
      <c r="BX39" s="2"/>
      <c r="BY39" s="2">
        <v>90720</v>
      </c>
      <c r="BZ39" s="2"/>
      <c r="CA39" s="2" t="s">
        <v>134</v>
      </c>
      <c r="CB39" s="2"/>
      <c r="CC39" s="2" t="s">
        <v>98</v>
      </c>
      <c r="CD39" s="2">
        <v>6001</v>
      </c>
      <c r="CE39" s="2" t="s">
        <v>89</v>
      </c>
      <c r="CF39" s="5">
        <v>42964</v>
      </c>
      <c r="CG39" s="2"/>
      <c r="CH39" s="2"/>
      <c r="CI39" s="2">
        <v>2</v>
      </c>
      <c r="CJ39" s="2">
        <v>2</v>
      </c>
      <c r="CK39" s="2" t="s">
        <v>136</v>
      </c>
      <c r="CL39" s="2" t="s">
        <v>86</v>
      </c>
      <c r="CM39" s="2"/>
    </row>
    <row r="40" spans="1:91">
      <c r="A40" s="2" t="s">
        <v>71</v>
      </c>
      <c r="B40" s="2" t="s">
        <v>72</v>
      </c>
      <c r="C40" s="2" t="s">
        <v>73</v>
      </c>
      <c r="D40" s="2"/>
      <c r="E40" s="2" t="str">
        <f>"FES1162568737"</f>
        <v>FES1162568737</v>
      </c>
      <c r="F40" s="3">
        <v>42961</v>
      </c>
      <c r="G40" s="2">
        <v>201802</v>
      </c>
      <c r="H40" s="2" t="s">
        <v>74</v>
      </c>
      <c r="I40" s="2" t="s">
        <v>75</v>
      </c>
      <c r="J40" s="2" t="s">
        <v>76</v>
      </c>
      <c r="K40" s="2" t="s">
        <v>77</v>
      </c>
      <c r="L40" s="2" t="s">
        <v>97</v>
      </c>
      <c r="M40" s="2" t="s">
        <v>98</v>
      </c>
      <c r="N40" s="2" t="s">
        <v>250</v>
      </c>
      <c r="O40" s="2" t="s">
        <v>81</v>
      </c>
      <c r="P40" s="2" t="str">
        <f>"2170580822                    "</f>
        <v xml:space="preserve">2170580822  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14.5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2</v>
      </c>
      <c r="BI40" s="2">
        <v>32.5</v>
      </c>
      <c r="BJ40" s="2">
        <v>12.8</v>
      </c>
      <c r="BK40" s="2">
        <v>33</v>
      </c>
      <c r="BL40" s="2">
        <v>155.18</v>
      </c>
      <c r="BM40" s="2">
        <v>21.73</v>
      </c>
      <c r="BN40" s="2">
        <v>176.91</v>
      </c>
      <c r="BO40" s="2">
        <v>176.91</v>
      </c>
      <c r="BP40" s="2"/>
      <c r="BQ40" s="2" t="s">
        <v>83</v>
      </c>
      <c r="BR40" s="2" t="s">
        <v>84</v>
      </c>
      <c r="BS40" s="3">
        <v>42962</v>
      </c>
      <c r="BT40" s="4">
        <v>0.34791666666666665</v>
      </c>
      <c r="BU40" s="2" t="s">
        <v>251</v>
      </c>
      <c r="BV40" s="2" t="s">
        <v>95</v>
      </c>
      <c r="BW40" s="2"/>
      <c r="BX40" s="2"/>
      <c r="BY40" s="2">
        <v>64039.46</v>
      </c>
      <c r="BZ40" s="2"/>
      <c r="CA40" s="2"/>
      <c r="CB40" s="2"/>
      <c r="CC40" s="2" t="s">
        <v>98</v>
      </c>
      <c r="CD40" s="2">
        <v>6012</v>
      </c>
      <c r="CE40" s="2" t="s">
        <v>89</v>
      </c>
      <c r="CF40" s="5">
        <v>42964</v>
      </c>
      <c r="CG40" s="2"/>
      <c r="CH40" s="2"/>
      <c r="CI40" s="2">
        <v>2</v>
      </c>
      <c r="CJ40" s="2">
        <v>1</v>
      </c>
      <c r="CK40" s="2" t="s">
        <v>136</v>
      </c>
      <c r="CL40" s="2" t="s">
        <v>86</v>
      </c>
      <c r="CM40" s="2"/>
    </row>
    <row r="41" spans="1:91">
      <c r="A41" s="2" t="s">
        <v>71</v>
      </c>
      <c r="B41" s="2" t="s">
        <v>72</v>
      </c>
      <c r="C41" s="2" t="s">
        <v>73</v>
      </c>
      <c r="D41" s="2"/>
      <c r="E41" s="2" t="str">
        <f>"FES1162568578"</f>
        <v>FES1162568578</v>
      </c>
      <c r="F41" s="3">
        <v>42961</v>
      </c>
      <c r="G41" s="2">
        <v>201802</v>
      </c>
      <c r="H41" s="2" t="s">
        <v>74</v>
      </c>
      <c r="I41" s="2" t="s">
        <v>75</v>
      </c>
      <c r="J41" s="2" t="s">
        <v>76</v>
      </c>
      <c r="K41" s="2" t="s">
        <v>77</v>
      </c>
      <c r="L41" s="2" t="s">
        <v>252</v>
      </c>
      <c r="M41" s="2" t="s">
        <v>106</v>
      </c>
      <c r="N41" s="2" t="s">
        <v>253</v>
      </c>
      <c r="O41" s="2" t="s">
        <v>81</v>
      </c>
      <c r="P41" s="2" t="str">
        <f>"2170573071                    "</f>
        <v xml:space="preserve">2170573071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12.75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4</v>
      </c>
      <c r="BI41" s="2">
        <v>27.2</v>
      </c>
      <c r="BJ41" s="2">
        <v>20.399999999999999</v>
      </c>
      <c r="BK41" s="2">
        <v>28</v>
      </c>
      <c r="BL41" s="2">
        <v>137.03</v>
      </c>
      <c r="BM41" s="2">
        <v>19.18</v>
      </c>
      <c r="BN41" s="2">
        <v>156.21</v>
      </c>
      <c r="BO41" s="2">
        <v>156.21</v>
      </c>
      <c r="BP41" s="2"/>
      <c r="BQ41" s="2" t="s">
        <v>108</v>
      </c>
      <c r="BR41" s="2" t="s">
        <v>84</v>
      </c>
      <c r="BS41" s="3">
        <v>42963</v>
      </c>
      <c r="BT41" s="4">
        <v>0.78402777777777777</v>
      </c>
      <c r="BU41" s="2" t="s">
        <v>254</v>
      </c>
      <c r="BV41" s="2" t="s">
        <v>86</v>
      </c>
      <c r="BW41" s="2" t="s">
        <v>110</v>
      </c>
      <c r="BX41" s="2" t="s">
        <v>111</v>
      </c>
      <c r="BY41" s="2">
        <v>102043.34</v>
      </c>
      <c r="BZ41" s="2"/>
      <c r="CA41" s="2" t="s">
        <v>255</v>
      </c>
      <c r="CB41" s="2"/>
      <c r="CC41" s="2" t="s">
        <v>106</v>
      </c>
      <c r="CD41" s="2">
        <v>7490</v>
      </c>
      <c r="CE41" s="2" t="s">
        <v>89</v>
      </c>
      <c r="CF41" s="5">
        <v>42963</v>
      </c>
      <c r="CG41" s="2"/>
      <c r="CH41" s="2"/>
      <c r="CI41" s="2">
        <v>2</v>
      </c>
      <c r="CJ41" s="2">
        <v>2</v>
      </c>
      <c r="CK41" s="2" t="s">
        <v>136</v>
      </c>
      <c r="CL41" s="2" t="s">
        <v>86</v>
      </c>
      <c r="CM41" s="2"/>
    </row>
    <row r="42" spans="1:91">
      <c r="A42" s="2" t="s">
        <v>71</v>
      </c>
      <c r="B42" s="2" t="s">
        <v>72</v>
      </c>
      <c r="C42" s="2" t="s">
        <v>73</v>
      </c>
      <c r="D42" s="2"/>
      <c r="E42" s="2" t="str">
        <f>"FES1162567692"</f>
        <v>FES1162567692</v>
      </c>
      <c r="F42" s="3">
        <v>42955</v>
      </c>
      <c r="G42" s="2">
        <v>201802</v>
      </c>
      <c r="H42" s="2" t="s">
        <v>74</v>
      </c>
      <c r="I42" s="2" t="s">
        <v>75</v>
      </c>
      <c r="J42" s="2" t="s">
        <v>76</v>
      </c>
      <c r="K42" s="2" t="s">
        <v>77</v>
      </c>
      <c r="L42" s="2" t="s">
        <v>170</v>
      </c>
      <c r="M42" s="2" t="s">
        <v>171</v>
      </c>
      <c r="N42" s="2" t="s">
        <v>256</v>
      </c>
      <c r="O42" s="2" t="s">
        <v>81</v>
      </c>
      <c r="P42" s="2" t="str">
        <f>"2170577227                    "</f>
        <v xml:space="preserve">2170577227 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27.45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1</v>
      </c>
      <c r="BI42" s="2">
        <v>79</v>
      </c>
      <c r="BJ42" s="2">
        <v>130.19999999999999</v>
      </c>
      <c r="BK42" s="2">
        <v>131</v>
      </c>
      <c r="BL42" s="2">
        <v>289.26</v>
      </c>
      <c r="BM42" s="2">
        <v>40.5</v>
      </c>
      <c r="BN42" s="2">
        <v>329.76</v>
      </c>
      <c r="BO42" s="2">
        <v>329.76</v>
      </c>
      <c r="BP42" s="2" t="s">
        <v>101</v>
      </c>
      <c r="BQ42" s="2" t="s">
        <v>83</v>
      </c>
      <c r="BR42" s="2" t="s">
        <v>84</v>
      </c>
      <c r="BS42" s="3">
        <v>42961</v>
      </c>
      <c r="BT42" s="4">
        <v>0.71805555555555556</v>
      </c>
      <c r="BU42" s="2" t="s">
        <v>257</v>
      </c>
      <c r="BV42" s="2" t="s">
        <v>86</v>
      </c>
      <c r="BW42" s="2" t="s">
        <v>124</v>
      </c>
      <c r="BX42" s="2" t="s">
        <v>199</v>
      </c>
      <c r="BY42" s="2">
        <v>650752</v>
      </c>
      <c r="BZ42" s="2"/>
      <c r="CA42" s="2" t="s">
        <v>258</v>
      </c>
      <c r="CB42" s="2"/>
      <c r="CC42" s="2" t="s">
        <v>171</v>
      </c>
      <c r="CD42" s="2">
        <v>1406</v>
      </c>
      <c r="CE42" s="2" t="s">
        <v>259</v>
      </c>
      <c r="CF42" s="5">
        <v>42962</v>
      </c>
      <c r="CG42" s="2"/>
      <c r="CH42" s="2"/>
      <c r="CI42" s="2">
        <v>0</v>
      </c>
      <c r="CJ42" s="2">
        <v>0</v>
      </c>
      <c r="CK42" s="2" t="s">
        <v>132</v>
      </c>
      <c r="CL42" s="2" t="s">
        <v>86</v>
      </c>
      <c r="CM42" s="2"/>
    </row>
    <row r="43" spans="1:91">
      <c r="A43" s="2" t="s">
        <v>71</v>
      </c>
      <c r="B43" s="2" t="s">
        <v>72</v>
      </c>
      <c r="C43" s="2" t="s">
        <v>73</v>
      </c>
      <c r="D43" s="2"/>
      <c r="E43" s="2" t="str">
        <f>"FES1162569107"</f>
        <v>FES1162569107</v>
      </c>
      <c r="F43" s="3">
        <v>42962</v>
      </c>
      <c r="G43" s="2">
        <v>201802</v>
      </c>
      <c r="H43" s="2" t="s">
        <v>74</v>
      </c>
      <c r="I43" s="2" t="s">
        <v>75</v>
      </c>
      <c r="J43" s="2" t="s">
        <v>76</v>
      </c>
      <c r="K43" s="2" t="s">
        <v>77</v>
      </c>
      <c r="L43" s="2" t="s">
        <v>144</v>
      </c>
      <c r="M43" s="2" t="s">
        <v>145</v>
      </c>
      <c r="N43" s="2" t="s">
        <v>260</v>
      </c>
      <c r="O43" s="2" t="s">
        <v>100</v>
      </c>
      <c r="P43" s="2" t="str">
        <f>"2170585104                    "</f>
        <v xml:space="preserve">2170585104  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3.13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1</v>
      </c>
      <c r="BJ43" s="2">
        <v>0.2</v>
      </c>
      <c r="BK43" s="2">
        <v>1</v>
      </c>
      <c r="BL43" s="2">
        <v>32.380000000000003</v>
      </c>
      <c r="BM43" s="2">
        <v>4.53</v>
      </c>
      <c r="BN43" s="2">
        <v>36.909999999999997</v>
      </c>
      <c r="BO43" s="2">
        <v>36.909999999999997</v>
      </c>
      <c r="BP43" s="2"/>
      <c r="BQ43" s="2" t="s">
        <v>108</v>
      </c>
      <c r="BR43" s="2" t="s">
        <v>84</v>
      </c>
      <c r="BS43" s="3">
        <v>42963</v>
      </c>
      <c r="BT43" s="4">
        <v>0.41666666666666669</v>
      </c>
      <c r="BU43" s="2" t="s">
        <v>261</v>
      </c>
      <c r="BV43" s="2" t="s">
        <v>95</v>
      </c>
      <c r="BW43" s="2"/>
      <c r="BX43" s="2"/>
      <c r="BY43" s="2">
        <v>1200</v>
      </c>
      <c r="BZ43" s="2"/>
      <c r="CA43" s="2" t="s">
        <v>148</v>
      </c>
      <c r="CB43" s="2"/>
      <c r="CC43" s="2" t="s">
        <v>145</v>
      </c>
      <c r="CD43" s="2">
        <v>2091</v>
      </c>
      <c r="CE43" s="2" t="s">
        <v>104</v>
      </c>
      <c r="CF43" s="5">
        <v>42964</v>
      </c>
      <c r="CG43" s="2"/>
      <c r="CH43" s="2"/>
      <c r="CI43" s="2">
        <v>1</v>
      </c>
      <c r="CJ43" s="2">
        <v>1</v>
      </c>
      <c r="CK43" s="2">
        <v>22</v>
      </c>
      <c r="CL43" s="2" t="s">
        <v>86</v>
      </c>
      <c r="CM43" s="2"/>
    </row>
    <row r="44" spans="1:91">
      <c r="A44" s="2" t="s">
        <v>71</v>
      </c>
      <c r="B44" s="2" t="s">
        <v>72</v>
      </c>
      <c r="C44" s="2" t="s">
        <v>73</v>
      </c>
      <c r="D44" s="2"/>
      <c r="E44" s="2" t="str">
        <f>"FES1162568992"</f>
        <v>FES1162568992</v>
      </c>
      <c r="F44" s="3">
        <v>42962</v>
      </c>
      <c r="G44" s="2">
        <v>201802</v>
      </c>
      <c r="H44" s="2" t="s">
        <v>74</v>
      </c>
      <c r="I44" s="2" t="s">
        <v>75</v>
      </c>
      <c r="J44" s="2" t="s">
        <v>76</v>
      </c>
      <c r="K44" s="2" t="s">
        <v>77</v>
      </c>
      <c r="L44" s="2" t="s">
        <v>206</v>
      </c>
      <c r="M44" s="2" t="s">
        <v>207</v>
      </c>
      <c r="N44" s="2" t="s">
        <v>262</v>
      </c>
      <c r="O44" s="2" t="s">
        <v>100</v>
      </c>
      <c r="P44" s="2" t="str">
        <f>"2170581807                    "</f>
        <v xml:space="preserve">2170581807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5.63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1</v>
      </c>
      <c r="BJ44" s="2">
        <v>0.2</v>
      </c>
      <c r="BK44" s="2">
        <v>1</v>
      </c>
      <c r="BL44" s="2">
        <v>58.28</v>
      </c>
      <c r="BM44" s="2">
        <v>8.16</v>
      </c>
      <c r="BN44" s="2">
        <v>66.44</v>
      </c>
      <c r="BO44" s="2">
        <v>66.44</v>
      </c>
      <c r="BP44" s="2"/>
      <c r="BQ44" s="2" t="s">
        <v>83</v>
      </c>
      <c r="BR44" s="2" t="s">
        <v>84</v>
      </c>
      <c r="BS44" s="3">
        <v>42963</v>
      </c>
      <c r="BT44" s="4">
        <v>0.57361111111111118</v>
      </c>
      <c r="BU44" s="2" t="s">
        <v>263</v>
      </c>
      <c r="BV44" s="2" t="s">
        <v>95</v>
      </c>
      <c r="BW44" s="2"/>
      <c r="BX44" s="2"/>
      <c r="BY44" s="2">
        <v>1200</v>
      </c>
      <c r="BZ44" s="2" t="s">
        <v>27</v>
      </c>
      <c r="CA44" s="2" t="s">
        <v>211</v>
      </c>
      <c r="CB44" s="2"/>
      <c r="CC44" s="2" t="s">
        <v>207</v>
      </c>
      <c r="CD44" s="2">
        <v>250</v>
      </c>
      <c r="CE44" s="2" t="s">
        <v>104</v>
      </c>
      <c r="CF44" s="5">
        <v>42965</v>
      </c>
      <c r="CG44" s="2"/>
      <c r="CH44" s="2"/>
      <c r="CI44" s="2">
        <v>1</v>
      </c>
      <c r="CJ44" s="2">
        <v>1</v>
      </c>
      <c r="CK44" s="2">
        <v>24</v>
      </c>
      <c r="CL44" s="2" t="s">
        <v>86</v>
      </c>
      <c r="CM44" s="2"/>
    </row>
    <row r="45" spans="1:91">
      <c r="A45" s="2" t="s">
        <v>71</v>
      </c>
      <c r="B45" s="2" t="s">
        <v>72</v>
      </c>
      <c r="C45" s="2" t="s">
        <v>73</v>
      </c>
      <c r="D45" s="2"/>
      <c r="E45" s="2" t="str">
        <f>"FES1162569096"</f>
        <v>FES1162569096</v>
      </c>
      <c r="F45" s="3">
        <v>42962</v>
      </c>
      <c r="G45" s="2">
        <v>201802</v>
      </c>
      <c r="H45" s="2" t="s">
        <v>74</v>
      </c>
      <c r="I45" s="2" t="s">
        <v>75</v>
      </c>
      <c r="J45" s="2" t="s">
        <v>76</v>
      </c>
      <c r="K45" s="2" t="s">
        <v>77</v>
      </c>
      <c r="L45" s="2" t="s">
        <v>74</v>
      </c>
      <c r="M45" s="2" t="s">
        <v>75</v>
      </c>
      <c r="N45" s="2" t="s">
        <v>264</v>
      </c>
      <c r="O45" s="2" t="s">
        <v>100</v>
      </c>
      <c r="P45" s="2" t="str">
        <f>"217055099                     "</f>
        <v xml:space="preserve">217055099  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3.13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1</v>
      </c>
      <c r="BJ45" s="2">
        <v>0.2</v>
      </c>
      <c r="BK45" s="2">
        <v>1</v>
      </c>
      <c r="BL45" s="2">
        <v>32.380000000000003</v>
      </c>
      <c r="BM45" s="2">
        <v>4.53</v>
      </c>
      <c r="BN45" s="2">
        <v>36.909999999999997</v>
      </c>
      <c r="BO45" s="2">
        <v>36.909999999999997</v>
      </c>
      <c r="BP45" s="2"/>
      <c r="BQ45" s="2" t="s">
        <v>265</v>
      </c>
      <c r="BR45" s="2" t="s">
        <v>84</v>
      </c>
      <c r="BS45" s="3">
        <v>42963</v>
      </c>
      <c r="BT45" s="4">
        <v>0.3833333333333333</v>
      </c>
      <c r="BU45" s="2" t="s">
        <v>266</v>
      </c>
      <c r="BV45" s="2" t="s">
        <v>95</v>
      </c>
      <c r="BW45" s="2"/>
      <c r="BX45" s="2"/>
      <c r="BY45" s="2">
        <v>1200</v>
      </c>
      <c r="BZ45" s="2"/>
      <c r="CA45" s="2" t="s">
        <v>267</v>
      </c>
      <c r="CB45" s="2"/>
      <c r="CC45" s="2" t="s">
        <v>75</v>
      </c>
      <c r="CD45" s="2">
        <v>1645</v>
      </c>
      <c r="CE45" s="2" t="s">
        <v>104</v>
      </c>
      <c r="CF45" s="5">
        <v>42964</v>
      </c>
      <c r="CG45" s="2"/>
      <c r="CH45" s="2"/>
      <c r="CI45" s="2">
        <v>1</v>
      </c>
      <c r="CJ45" s="2">
        <v>1</v>
      </c>
      <c r="CK45" s="2">
        <v>22</v>
      </c>
      <c r="CL45" s="2" t="s">
        <v>86</v>
      </c>
      <c r="CM45" s="2"/>
    </row>
    <row r="46" spans="1:91">
      <c r="A46" s="2" t="s">
        <v>71</v>
      </c>
      <c r="B46" s="2" t="s">
        <v>72</v>
      </c>
      <c r="C46" s="2" t="s">
        <v>73</v>
      </c>
      <c r="D46" s="2"/>
      <c r="E46" s="2" t="str">
        <f>"FES1162568991"</f>
        <v>FES1162568991</v>
      </c>
      <c r="F46" s="3">
        <v>42962</v>
      </c>
      <c r="G46" s="2">
        <v>201802</v>
      </c>
      <c r="H46" s="2" t="s">
        <v>74</v>
      </c>
      <c r="I46" s="2" t="s">
        <v>75</v>
      </c>
      <c r="J46" s="2" t="s">
        <v>76</v>
      </c>
      <c r="K46" s="2" t="s">
        <v>77</v>
      </c>
      <c r="L46" s="2" t="s">
        <v>268</v>
      </c>
      <c r="M46" s="2" t="s">
        <v>269</v>
      </c>
      <c r="N46" s="2" t="s">
        <v>270</v>
      </c>
      <c r="O46" s="2" t="s">
        <v>100</v>
      </c>
      <c r="P46" s="2" t="str">
        <f>"2170581755                    "</f>
        <v xml:space="preserve">2170581755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4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1</v>
      </c>
      <c r="BJ46" s="2">
        <v>0.2</v>
      </c>
      <c r="BK46" s="2">
        <v>1</v>
      </c>
      <c r="BL46" s="2">
        <v>41.44</v>
      </c>
      <c r="BM46" s="2">
        <v>5.8</v>
      </c>
      <c r="BN46" s="2">
        <v>47.24</v>
      </c>
      <c r="BO46" s="2">
        <v>47.24</v>
      </c>
      <c r="BP46" s="2"/>
      <c r="BQ46" s="2" t="s">
        <v>83</v>
      </c>
      <c r="BR46" s="2" t="s">
        <v>84</v>
      </c>
      <c r="BS46" s="3">
        <v>42963</v>
      </c>
      <c r="BT46" s="4">
        <v>0.47916666666666669</v>
      </c>
      <c r="BU46" s="2" t="s">
        <v>271</v>
      </c>
      <c r="BV46" s="2" t="s">
        <v>86</v>
      </c>
      <c r="BW46" s="2"/>
      <c r="BX46" s="2"/>
      <c r="BY46" s="2">
        <v>1200</v>
      </c>
      <c r="BZ46" s="2" t="s">
        <v>27</v>
      </c>
      <c r="CA46" s="2" t="s">
        <v>272</v>
      </c>
      <c r="CB46" s="2"/>
      <c r="CC46" s="2" t="s">
        <v>269</v>
      </c>
      <c r="CD46" s="2">
        <v>200</v>
      </c>
      <c r="CE46" s="2" t="s">
        <v>104</v>
      </c>
      <c r="CF46" s="5">
        <v>42964</v>
      </c>
      <c r="CG46" s="2"/>
      <c r="CH46" s="2"/>
      <c r="CI46" s="2">
        <v>1</v>
      </c>
      <c r="CJ46" s="2">
        <v>1</v>
      </c>
      <c r="CK46" s="2">
        <v>21</v>
      </c>
      <c r="CL46" s="2" t="s">
        <v>86</v>
      </c>
      <c r="CM46" s="2"/>
    </row>
    <row r="47" spans="1:91">
      <c r="A47" s="2" t="s">
        <v>71</v>
      </c>
      <c r="B47" s="2" t="s">
        <v>72</v>
      </c>
      <c r="C47" s="2" t="s">
        <v>73</v>
      </c>
      <c r="D47" s="2"/>
      <c r="E47" s="2" t="str">
        <f>"FES1162569010"</f>
        <v>FES1162569010</v>
      </c>
      <c r="F47" s="3">
        <v>42962</v>
      </c>
      <c r="G47" s="2">
        <v>201802</v>
      </c>
      <c r="H47" s="2" t="s">
        <v>74</v>
      </c>
      <c r="I47" s="2" t="s">
        <v>75</v>
      </c>
      <c r="J47" s="2" t="s">
        <v>76</v>
      </c>
      <c r="K47" s="2" t="s">
        <v>77</v>
      </c>
      <c r="L47" s="2" t="s">
        <v>144</v>
      </c>
      <c r="M47" s="2" t="s">
        <v>145</v>
      </c>
      <c r="N47" s="2" t="s">
        <v>146</v>
      </c>
      <c r="O47" s="2" t="s">
        <v>100</v>
      </c>
      <c r="P47" s="2" t="str">
        <f>"2170577044                    "</f>
        <v xml:space="preserve">2170577044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3.13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1.2</v>
      </c>
      <c r="BJ47" s="2">
        <v>1.4</v>
      </c>
      <c r="BK47" s="2">
        <v>2</v>
      </c>
      <c r="BL47" s="2">
        <v>32.380000000000003</v>
      </c>
      <c r="BM47" s="2">
        <v>4.53</v>
      </c>
      <c r="BN47" s="2">
        <v>36.909999999999997</v>
      </c>
      <c r="BO47" s="2">
        <v>36.909999999999997</v>
      </c>
      <c r="BP47" s="2"/>
      <c r="BQ47" s="2" t="s">
        <v>83</v>
      </c>
      <c r="BR47" s="2" t="s">
        <v>84</v>
      </c>
      <c r="BS47" s="3">
        <v>42963</v>
      </c>
      <c r="BT47" s="4">
        <v>0.37152777777777773</v>
      </c>
      <c r="BU47" s="2" t="s">
        <v>273</v>
      </c>
      <c r="BV47" s="2" t="s">
        <v>95</v>
      </c>
      <c r="BW47" s="2"/>
      <c r="BX47" s="2"/>
      <c r="BY47" s="2">
        <v>7042.14</v>
      </c>
      <c r="BZ47" s="2"/>
      <c r="CA47" s="2" t="s">
        <v>274</v>
      </c>
      <c r="CB47" s="2"/>
      <c r="CC47" s="2" t="s">
        <v>145</v>
      </c>
      <c r="CD47" s="2">
        <v>2094</v>
      </c>
      <c r="CE47" s="2" t="s">
        <v>89</v>
      </c>
      <c r="CF47" s="5">
        <v>42964</v>
      </c>
      <c r="CG47" s="2"/>
      <c r="CH47" s="2"/>
      <c r="CI47" s="2">
        <v>1</v>
      </c>
      <c r="CJ47" s="2">
        <v>1</v>
      </c>
      <c r="CK47" s="2">
        <v>22</v>
      </c>
      <c r="CL47" s="2" t="s">
        <v>86</v>
      </c>
      <c r="CM47" s="2"/>
    </row>
    <row r="48" spans="1:91">
      <c r="A48" s="2" t="s">
        <v>71</v>
      </c>
      <c r="B48" s="2" t="s">
        <v>72</v>
      </c>
      <c r="C48" s="2" t="s">
        <v>73</v>
      </c>
      <c r="D48" s="2"/>
      <c r="E48" s="2" t="str">
        <f>"FES1162568983"</f>
        <v>FES1162568983</v>
      </c>
      <c r="F48" s="3">
        <v>42962</v>
      </c>
      <c r="G48" s="2">
        <v>201802</v>
      </c>
      <c r="H48" s="2" t="s">
        <v>74</v>
      </c>
      <c r="I48" s="2" t="s">
        <v>75</v>
      </c>
      <c r="J48" s="2" t="s">
        <v>76</v>
      </c>
      <c r="K48" s="2" t="s">
        <v>77</v>
      </c>
      <c r="L48" s="2" t="s">
        <v>105</v>
      </c>
      <c r="M48" s="2" t="s">
        <v>106</v>
      </c>
      <c r="N48" s="2" t="s">
        <v>275</v>
      </c>
      <c r="O48" s="2" t="s">
        <v>100</v>
      </c>
      <c r="P48" s="2" t="str">
        <f>"2170584996                    "</f>
        <v xml:space="preserve">2170584996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10.01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4.8</v>
      </c>
      <c r="BJ48" s="2">
        <v>3.4</v>
      </c>
      <c r="BK48" s="2">
        <v>5</v>
      </c>
      <c r="BL48" s="2">
        <v>103.61</v>
      </c>
      <c r="BM48" s="2">
        <v>14.51</v>
      </c>
      <c r="BN48" s="2">
        <v>118.12</v>
      </c>
      <c r="BO48" s="2">
        <v>118.12</v>
      </c>
      <c r="BP48" s="2"/>
      <c r="BQ48" s="2" t="s">
        <v>276</v>
      </c>
      <c r="BR48" s="2" t="s">
        <v>84</v>
      </c>
      <c r="BS48" s="3">
        <v>42963</v>
      </c>
      <c r="BT48" s="4">
        <v>0.37847222222222227</v>
      </c>
      <c r="BU48" s="2" t="s">
        <v>277</v>
      </c>
      <c r="BV48" s="2" t="s">
        <v>95</v>
      </c>
      <c r="BW48" s="2"/>
      <c r="BX48" s="2"/>
      <c r="BY48" s="2">
        <v>16795.8</v>
      </c>
      <c r="BZ48" s="2" t="s">
        <v>27</v>
      </c>
      <c r="CA48" s="2" t="s">
        <v>278</v>
      </c>
      <c r="CB48" s="2"/>
      <c r="CC48" s="2" t="s">
        <v>106</v>
      </c>
      <c r="CD48" s="2">
        <v>7490</v>
      </c>
      <c r="CE48" s="2" t="s">
        <v>89</v>
      </c>
      <c r="CF48" s="5">
        <v>42964</v>
      </c>
      <c r="CG48" s="2"/>
      <c r="CH48" s="2"/>
      <c r="CI48" s="2">
        <v>1</v>
      </c>
      <c r="CJ48" s="2">
        <v>1</v>
      </c>
      <c r="CK48" s="2">
        <v>21</v>
      </c>
      <c r="CL48" s="2" t="s">
        <v>86</v>
      </c>
      <c r="CM48" s="2"/>
    </row>
    <row r="49" spans="1:91">
      <c r="A49" s="2" t="s">
        <v>71</v>
      </c>
      <c r="B49" s="2" t="s">
        <v>72</v>
      </c>
      <c r="C49" s="2" t="s">
        <v>73</v>
      </c>
      <c r="D49" s="2"/>
      <c r="E49" s="2" t="str">
        <f>"FES1162569012"</f>
        <v>FES1162569012</v>
      </c>
      <c r="F49" s="3">
        <v>42962</v>
      </c>
      <c r="G49" s="2">
        <v>201802</v>
      </c>
      <c r="H49" s="2" t="s">
        <v>74</v>
      </c>
      <c r="I49" s="2" t="s">
        <v>75</v>
      </c>
      <c r="J49" s="2" t="s">
        <v>76</v>
      </c>
      <c r="K49" s="2" t="s">
        <v>77</v>
      </c>
      <c r="L49" s="2" t="s">
        <v>268</v>
      </c>
      <c r="M49" s="2" t="s">
        <v>269</v>
      </c>
      <c r="N49" s="2" t="s">
        <v>279</v>
      </c>
      <c r="O49" s="2" t="s">
        <v>100</v>
      </c>
      <c r="P49" s="2" t="str">
        <f>"2170584499                    "</f>
        <v xml:space="preserve">2170584499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4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1.5</v>
      </c>
      <c r="BJ49" s="2">
        <v>1</v>
      </c>
      <c r="BK49" s="2">
        <v>1.5</v>
      </c>
      <c r="BL49" s="2">
        <v>41.44</v>
      </c>
      <c r="BM49" s="2">
        <v>5.8</v>
      </c>
      <c r="BN49" s="2">
        <v>47.24</v>
      </c>
      <c r="BO49" s="2">
        <v>47.24</v>
      </c>
      <c r="BP49" s="2"/>
      <c r="BQ49" s="2" t="s">
        <v>280</v>
      </c>
      <c r="BR49" s="2" t="s">
        <v>84</v>
      </c>
      <c r="BS49" s="3">
        <v>42963</v>
      </c>
      <c r="BT49" s="4">
        <v>0.61319444444444449</v>
      </c>
      <c r="BU49" s="2" t="s">
        <v>281</v>
      </c>
      <c r="BV49" s="2" t="s">
        <v>86</v>
      </c>
      <c r="BW49" s="2"/>
      <c r="BX49" s="2"/>
      <c r="BY49" s="2">
        <v>4864.87</v>
      </c>
      <c r="BZ49" s="2"/>
      <c r="CA49" s="2" t="s">
        <v>148</v>
      </c>
      <c r="CB49" s="2"/>
      <c r="CC49" s="2" t="s">
        <v>269</v>
      </c>
      <c r="CD49" s="2">
        <v>117</v>
      </c>
      <c r="CE49" s="2" t="s">
        <v>89</v>
      </c>
      <c r="CF49" s="5">
        <v>42964</v>
      </c>
      <c r="CG49" s="2"/>
      <c r="CH49" s="2"/>
      <c r="CI49" s="2">
        <v>1</v>
      </c>
      <c r="CJ49" s="2">
        <v>1</v>
      </c>
      <c r="CK49" s="2">
        <v>21</v>
      </c>
      <c r="CL49" s="2" t="s">
        <v>86</v>
      </c>
      <c r="CM49" s="2"/>
    </row>
    <row r="50" spans="1:91">
      <c r="A50" s="2" t="s">
        <v>71</v>
      </c>
      <c r="B50" s="2" t="s">
        <v>72</v>
      </c>
      <c r="C50" s="2" t="s">
        <v>73</v>
      </c>
      <c r="D50" s="2"/>
      <c r="E50" s="2" t="str">
        <f>"FES1162569013"</f>
        <v>FES1162569013</v>
      </c>
      <c r="F50" s="3">
        <v>42962</v>
      </c>
      <c r="G50" s="2">
        <v>201802</v>
      </c>
      <c r="H50" s="2" t="s">
        <v>74</v>
      </c>
      <c r="I50" s="2" t="s">
        <v>75</v>
      </c>
      <c r="J50" s="2" t="s">
        <v>76</v>
      </c>
      <c r="K50" s="2" t="s">
        <v>77</v>
      </c>
      <c r="L50" s="2" t="s">
        <v>144</v>
      </c>
      <c r="M50" s="2" t="s">
        <v>145</v>
      </c>
      <c r="N50" s="2" t="s">
        <v>282</v>
      </c>
      <c r="O50" s="2" t="s">
        <v>100</v>
      </c>
      <c r="P50" s="2" t="str">
        <f>"2170584622                    "</f>
        <v xml:space="preserve">2170584622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3.13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2.6</v>
      </c>
      <c r="BJ50" s="2">
        <v>1</v>
      </c>
      <c r="BK50" s="2">
        <v>3</v>
      </c>
      <c r="BL50" s="2">
        <v>32.380000000000003</v>
      </c>
      <c r="BM50" s="2">
        <v>4.53</v>
      </c>
      <c r="BN50" s="2">
        <v>36.909999999999997</v>
      </c>
      <c r="BO50" s="2">
        <v>36.909999999999997</v>
      </c>
      <c r="BP50" s="2"/>
      <c r="BQ50" s="2"/>
      <c r="BR50" s="2" t="s">
        <v>84</v>
      </c>
      <c r="BS50" s="3">
        <v>42963</v>
      </c>
      <c r="BT50" s="4">
        <v>0.32291666666666669</v>
      </c>
      <c r="BU50" s="2" t="s">
        <v>283</v>
      </c>
      <c r="BV50" s="2" t="s">
        <v>95</v>
      </c>
      <c r="BW50" s="2"/>
      <c r="BX50" s="2"/>
      <c r="BY50" s="2">
        <v>4848.4799999999996</v>
      </c>
      <c r="BZ50" s="2"/>
      <c r="CA50" s="2" t="s">
        <v>284</v>
      </c>
      <c r="CB50" s="2"/>
      <c r="CC50" s="2" t="s">
        <v>145</v>
      </c>
      <c r="CD50" s="2">
        <v>2094</v>
      </c>
      <c r="CE50" s="2" t="s">
        <v>89</v>
      </c>
      <c r="CF50" s="5">
        <v>42964</v>
      </c>
      <c r="CG50" s="2"/>
      <c r="CH50" s="2"/>
      <c r="CI50" s="2">
        <v>1</v>
      </c>
      <c r="CJ50" s="2">
        <v>1</v>
      </c>
      <c r="CK50" s="2">
        <v>22</v>
      </c>
      <c r="CL50" s="2" t="s">
        <v>86</v>
      </c>
      <c r="CM50" s="2"/>
    </row>
    <row r="51" spans="1:91">
      <c r="A51" s="2" t="s">
        <v>71</v>
      </c>
      <c r="B51" s="2" t="s">
        <v>72</v>
      </c>
      <c r="C51" s="2" t="s">
        <v>73</v>
      </c>
      <c r="D51" s="2"/>
      <c r="E51" s="2" t="str">
        <f>"FES1162569005"</f>
        <v>FES1162569005</v>
      </c>
      <c r="F51" s="3">
        <v>42962</v>
      </c>
      <c r="G51" s="2">
        <v>201802</v>
      </c>
      <c r="H51" s="2" t="s">
        <v>74</v>
      </c>
      <c r="I51" s="2" t="s">
        <v>75</v>
      </c>
      <c r="J51" s="2" t="s">
        <v>76</v>
      </c>
      <c r="K51" s="2" t="s">
        <v>77</v>
      </c>
      <c r="L51" s="2" t="s">
        <v>97</v>
      </c>
      <c r="M51" s="2" t="s">
        <v>98</v>
      </c>
      <c r="N51" s="2" t="s">
        <v>119</v>
      </c>
      <c r="O51" s="2" t="s">
        <v>100</v>
      </c>
      <c r="P51" s="2" t="str">
        <f>"2170584269                    "</f>
        <v xml:space="preserve">2170584269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13.01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6.2</v>
      </c>
      <c r="BJ51" s="2">
        <v>2.1</v>
      </c>
      <c r="BK51" s="2">
        <v>6.5</v>
      </c>
      <c r="BL51" s="2">
        <v>134.69</v>
      </c>
      <c r="BM51" s="2">
        <v>18.86</v>
      </c>
      <c r="BN51" s="2">
        <v>153.55000000000001</v>
      </c>
      <c r="BO51" s="2">
        <v>153.55000000000001</v>
      </c>
      <c r="BP51" s="2"/>
      <c r="BQ51" s="2" t="s">
        <v>108</v>
      </c>
      <c r="BR51" s="2" t="s">
        <v>84</v>
      </c>
      <c r="BS51" s="3">
        <v>42963</v>
      </c>
      <c r="BT51" s="4">
        <v>0.32916666666666666</v>
      </c>
      <c r="BU51" s="2" t="s">
        <v>285</v>
      </c>
      <c r="BV51" s="2" t="s">
        <v>95</v>
      </c>
      <c r="BW51" s="2"/>
      <c r="BX51" s="2"/>
      <c r="BY51" s="2">
        <v>10597.39</v>
      </c>
      <c r="BZ51" s="2" t="s">
        <v>27</v>
      </c>
      <c r="CA51" s="2" t="s">
        <v>286</v>
      </c>
      <c r="CB51" s="2"/>
      <c r="CC51" s="2" t="s">
        <v>98</v>
      </c>
      <c r="CD51" s="2">
        <v>6001</v>
      </c>
      <c r="CE51" s="2" t="s">
        <v>89</v>
      </c>
      <c r="CF51" s="5">
        <v>42964</v>
      </c>
      <c r="CG51" s="2"/>
      <c r="CH51" s="2"/>
      <c r="CI51" s="2">
        <v>1</v>
      </c>
      <c r="CJ51" s="2">
        <v>1</v>
      </c>
      <c r="CK51" s="2">
        <v>21</v>
      </c>
      <c r="CL51" s="2" t="s">
        <v>86</v>
      </c>
      <c r="CM51" s="2"/>
    </row>
    <row r="52" spans="1:91">
      <c r="A52" s="2" t="s">
        <v>71</v>
      </c>
      <c r="B52" s="2" t="s">
        <v>72</v>
      </c>
      <c r="C52" s="2" t="s">
        <v>73</v>
      </c>
      <c r="D52" s="2"/>
      <c r="E52" s="2" t="str">
        <f>"FES1162569113"</f>
        <v>FES1162569113</v>
      </c>
      <c r="F52" s="3">
        <v>42962</v>
      </c>
      <c r="G52" s="2">
        <v>201802</v>
      </c>
      <c r="H52" s="2" t="s">
        <v>74</v>
      </c>
      <c r="I52" s="2" t="s">
        <v>75</v>
      </c>
      <c r="J52" s="2" t="s">
        <v>76</v>
      </c>
      <c r="K52" s="2" t="s">
        <v>77</v>
      </c>
      <c r="L52" s="2" t="s">
        <v>105</v>
      </c>
      <c r="M52" s="2" t="s">
        <v>106</v>
      </c>
      <c r="N52" s="2" t="s">
        <v>287</v>
      </c>
      <c r="O52" s="2" t="s">
        <v>100</v>
      </c>
      <c r="P52" s="2" t="str">
        <f>"2170585112                    "</f>
        <v xml:space="preserve">2170585112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20.010000000000002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9.6</v>
      </c>
      <c r="BJ52" s="2">
        <v>3.5</v>
      </c>
      <c r="BK52" s="2">
        <v>10</v>
      </c>
      <c r="BL52" s="2">
        <v>207.21</v>
      </c>
      <c r="BM52" s="2">
        <v>29.01</v>
      </c>
      <c r="BN52" s="2">
        <v>236.22</v>
      </c>
      <c r="BO52" s="2">
        <v>236.22</v>
      </c>
      <c r="BP52" s="2"/>
      <c r="BQ52" s="2" t="s">
        <v>288</v>
      </c>
      <c r="BR52" s="2" t="s">
        <v>84</v>
      </c>
      <c r="BS52" s="3">
        <v>42963</v>
      </c>
      <c r="BT52" s="4">
        <v>0.50277777777777777</v>
      </c>
      <c r="BU52" s="2" t="s">
        <v>289</v>
      </c>
      <c r="BV52" s="2" t="s">
        <v>86</v>
      </c>
      <c r="BW52" s="2" t="s">
        <v>110</v>
      </c>
      <c r="BX52" s="2" t="s">
        <v>290</v>
      </c>
      <c r="BY52" s="2">
        <v>17343.560000000001</v>
      </c>
      <c r="BZ52" s="2"/>
      <c r="CA52" s="2" t="s">
        <v>291</v>
      </c>
      <c r="CB52" s="2"/>
      <c r="CC52" s="2" t="s">
        <v>106</v>
      </c>
      <c r="CD52" s="2">
        <v>7441</v>
      </c>
      <c r="CE52" s="2" t="s">
        <v>89</v>
      </c>
      <c r="CF52" s="5">
        <v>42963</v>
      </c>
      <c r="CG52" s="2"/>
      <c r="CH52" s="2"/>
      <c r="CI52" s="2">
        <v>1</v>
      </c>
      <c r="CJ52" s="2">
        <v>1</v>
      </c>
      <c r="CK52" s="2">
        <v>21</v>
      </c>
      <c r="CL52" s="2" t="s">
        <v>86</v>
      </c>
      <c r="CM52" s="2"/>
    </row>
    <row r="53" spans="1:91">
      <c r="A53" s="2" t="s">
        <v>71</v>
      </c>
      <c r="B53" s="2" t="s">
        <v>72</v>
      </c>
      <c r="C53" s="2" t="s">
        <v>73</v>
      </c>
      <c r="D53" s="2"/>
      <c r="E53" s="2" t="str">
        <f>"FES1162569025"</f>
        <v>FES1162569025</v>
      </c>
      <c r="F53" s="3">
        <v>42962</v>
      </c>
      <c r="G53" s="2">
        <v>201802</v>
      </c>
      <c r="H53" s="2" t="s">
        <v>74</v>
      </c>
      <c r="I53" s="2" t="s">
        <v>75</v>
      </c>
      <c r="J53" s="2" t="s">
        <v>76</v>
      </c>
      <c r="K53" s="2" t="s">
        <v>77</v>
      </c>
      <c r="L53" s="2" t="s">
        <v>97</v>
      </c>
      <c r="M53" s="2" t="s">
        <v>98</v>
      </c>
      <c r="N53" s="2" t="s">
        <v>292</v>
      </c>
      <c r="O53" s="2" t="s">
        <v>100</v>
      </c>
      <c r="P53" s="2" t="str">
        <f>"2170582054                    "</f>
        <v xml:space="preserve">2170582054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31.02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15.2</v>
      </c>
      <c r="BJ53" s="2">
        <v>6.6</v>
      </c>
      <c r="BK53" s="2">
        <v>15.5</v>
      </c>
      <c r="BL53" s="2">
        <v>321.18</v>
      </c>
      <c r="BM53" s="2">
        <v>44.97</v>
      </c>
      <c r="BN53" s="2">
        <v>366.15</v>
      </c>
      <c r="BO53" s="2">
        <v>366.15</v>
      </c>
      <c r="BP53" s="2"/>
      <c r="BQ53" s="2" t="s">
        <v>83</v>
      </c>
      <c r="BR53" s="2" t="s">
        <v>84</v>
      </c>
      <c r="BS53" s="3">
        <v>42963</v>
      </c>
      <c r="BT53" s="4">
        <v>0.3263888888888889</v>
      </c>
      <c r="BU53" s="2" t="s">
        <v>293</v>
      </c>
      <c r="BV53" s="2" t="s">
        <v>95</v>
      </c>
      <c r="BW53" s="2"/>
      <c r="BX53" s="2"/>
      <c r="BY53" s="2">
        <v>33240.06</v>
      </c>
      <c r="BZ53" s="2" t="s">
        <v>27</v>
      </c>
      <c r="CA53" s="2" t="s">
        <v>294</v>
      </c>
      <c r="CB53" s="2"/>
      <c r="CC53" s="2" t="s">
        <v>98</v>
      </c>
      <c r="CD53" s="2">
        <v>6001</v>
      </c>
      <c r="CE53" s="2" t="s">
        <v>89</v>
      </c>
      <c r="CF53" s="5">
        <v>42964</v>
      </c>
      <c r="CG53" s="2"/>
      <c r="CH53" s="2"/>
      <c r="CI53" s="2">
        <v>1</v>
      </c>
      <c r="CJ53" s="2">
        <v>1</v>
      </c>
      <c r="CK53" s="2">
        <v>21</v>
      </c>
      <c r="CL53" s="2" t="s">
        <v>86</v>
      </c>
      <c r="CM53" s="2"/>
    </row>
    <row r="54" spans="1:91">
      <c r="A54" s="2" t="s">
        <v>71</v>
      </c>
      <c r="B54" s="2" t="s">
        <v>72</v>
      </c>
      <c r="C54" s="2" t="s">
        <v>73</v>
      </c>
      <c r="D54" s="2"/>
      <c r="E54" s="2" t="str">
        <f>"FES1162569071"</f>
        <v>FES1162569071</v>
      </c>
      <c r="F54" s="3">
        <v>42962</v>
      </c>
      <c r="G54" s="2">
        <v>201802</v>
      </c>
      <c r="H54" s="2" t="s">
        <v>74</v>
      </c>
      <c r="I54" s="2" t="s">
        <v>75</v>
      </c>
      <c r="J54" s="2" t="s">
        <v>76</v>
      </c>
      <c r="K54" s="2" t="s">
        <v>77</v>
      </c>
      <c r="L54" s="2" t="s">
        <v>144</v>
      </c>
      <c r="M54" s="2" t="s">
        <v>145</v>
      </c>
      <c r="N54" s="2" t="s">
        <v>295</v>
      </c>
      <c r="O54" s="2" t="s">
        <v>100</v>
      </c>
      <c r="P54" s="2" t="str">
        <f>"2170585070                    "</f>
        <v xml:space="preserve">2170585070             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3.13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1</v>
      </c>
      <c r="BJ54" s="2">
        <v>0.2</v>
      </c>
      <c r="BK54" s="2">
        <v>1</v>
      </c>
      <c r="BL54" s="2">
        <v>32.380000000000003</v>
      </c>
      <c r="BM54" s="2">
        <v>4.53</v>
      </c>
      <c r="BN54" s="2">
        <v>36.909999999999997</v>
      </c>
      <c r="BO54" s="2">
        <v>36.909999999999997</v>
      </c>
      <c r="BP54" s="2"/>
      <c r="BQ54" s="2" t="s">
        <v>296</v>
      </c>
      <c r="BR54" s="2" t="s">
        <v>84</v>
      </c>
      <c r="BS54" s="3">
        <v>42963</v>
      </c>
      <c r="BT54" s="4">
        <v>0.36736111111111108</v>
      </c>
      <c r="BU54" s="2" t="s">
        <v>297</v>
      </c>
      <c r="BV54" s="2" t="s">
        <v>95</v>
      </c>
      <c r="BW54" s="2"/>
      <c r="BX54" s="2"/>
      <c r="BY54" s="2">
        <v>1200</v>
      </c>
      <c r="BZ54" s="2"/>
      <c r="CA54" s="2" t="s">
        <v>298</v>
      </c>
      <c r="CB54" s="2"/>
      <c r="CC54" s="2" t="s">
        <v>145</v>
      </c>
      <c r="CD54" s="2">
        <v>2013</v>
      </c>
      <c r="CE54" s="2" t="s">
        <v>104</v>
      </c>
      <c r="CF54" s="5">
        <v>42964</v>
      </c>
      <c r="CG54" s="2"/>
      <c r="CH54" s="2"/>
      <c r="CI54" s="2">
        <v>1</v>
      </c>
      <c r="CJ54" s="2">
        <v>1</v>
      </c>
      <c r="CK54" s="2">
        <v>22</v>
      </c>
      <c r="CL54" s="2" t="s">
        <v>86</v>
      </c>
      <c r="CM54" s="2"/>
    </row>
    <row r="55" spans="1:91">
      <c r="A55" s="2" t="s">
        <v>71</v>
      </c>
      <c r="B55" s="2" t="s">
        <v>72</v>
      </c>
      <c r="C55" s="2" t="s">
        <v>73</v>
      </c>
      <c r="D55" s="2"/>
      <c r="E55" s="2" t="str">
        <f>"FES1162568897"</f>
        <v>FES1162568897</v>
      </c>
      <c r="F55" s="3">
        <v>42962</v>
      </c>
      <c r="G55" s="2">
        <v>201802</v>
      </c>
      <c r="H55" s="2" t="s">
        <v>74</v>
      </c>
      <c r="I55" s="2" t="s">
        <v>75</v>
      </c>
      <c r="J55" s="2" t="s">
        <v>76</v>
      </c>
      <c r="K55" s="2" t="s">
        <v>77</v>
      </c>
      <c r="L55" s="2" t="s">
        <v>105</v>
      </c>
      <c r="M55" s="2" t="s">
        <v>106</v>
      </c>
      <c r="N55" s="2" t="s">
        <v>299</v>
      </c>
      <c r="O55" s="2" t="s">
        <v>100</v>
      </c>
      <c r="P55" s="2" t="str">
        <f>"2170581958                    "</f>
        <v xml:space="preserve">2170581958                 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4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1.9</v>
      </c>
      <c r="BJ55" s="2">
        <v>0.9</v>
      </c>
      <c r="BK55" s="2">
        <v>2</v>
      </c>
      <c r="BL55" s="2">
        <v>41.44</v>
      </c>
      <c r="BM55" s="2">
        <v>5.8</v>
      </c>
      <c r="BN55" s="2">
        <v>47.24</v>
      </c>
      <c r="BO55" s="2">
        <v>47.24</v>
      </c>
      <c r="BP55" s="2"/>
      <c r="BQ55" s="2" t="s">
        <v>300</v>
      </c>
      <c r="BR55" s="2" t="s">
        <v>84</v>
      </c>
      <c r="BS55" s="3">
        <v>42963</v>
      </c>
      <c r="BT55" s="4">
        <v>0.34583333333333338</v>
      </c>
      <c r="BU55" s="2" t="s">
        <v>301</v>
      </c>
      <c r="BV55" s="2" t="s">
        <v>95</v>
      </c>
      <c r="BW55" s="2"/>
      <c r="BX55" s="2"/>
      <c r="BY55" s="2">
        <v>4624.18</v>
      </c>
      <c r="BZ55" s="2" t="s">
        <v>27</v>
      </c>
      <c r="CA55" s="2" t="s">
        <v>302</v>
      </c>
      <c r="CB55" s="2"/>
      <c r="CC55" s="2" t="s">
        <v>106</v>
      </c>
      <c r="CD55" s="2">
        <v>7500</v>
      </c>
      <c r="CE55" s="2" t="s">
        <v>89</v>
      </c>
      <c r="CF55" s="5">
        <v>42964</v>
      </c>
      <c r="CG55" s="2"/>
      <c r="CH55" s="2"/>
      <c r="CI55" s="2">
        <v>1</v>
      </c>
      <c r="CJ55" s="2">
        <v>1</v>
      </c>
      <c r="CK55" s="2">
        <v>21</v>
      </c>
      <c r="CL55" s="2" t="s">
        <v>86</v>
      </c>
      <c r="CM55" s="2"/>
    </row>
    <row r="56" spans="1:91">
      <c r="A56" s="2" t="s">
        <v>71</v>
      </c>
      <c r="B56" s="2" t="s">
        <v>72</v>
      </c>
      <c r="C56" s="2" t="s">
        <v>73</v>
      </c>
      <c r="D56" s="2"/>
      <c r="E56" s="2" t="str">
        <f>"FES1162569079"</f>
        <v>FES1162569079</v>
      </c>
      <c r="F56" s="3">
        <v>42962</v>
      </c>
      <c r="G56" s="2">
        <v>201802</v>
      </c>
      <c r="H56" s="2" t="s">
        <v>74</v>
      </c>
      <c r="I56" s="2" t="s">
        <v>75</v>
      </c>
      <c r="J56" s="2" t="s">
        <v>76</v>
      </c>
      <c r="K56" s="2" t="s">
        <v>77</v>
      </c>
      <c r="L56" s="2" t="s">
        <v>268</v>
      </c>
      <c r="M56" s="2" t="s">
        <v>269</v>
      </c>
      <c r="N56" s="2" t="s">
        <v>303</v>
      </c>
      <c r="O56" s="2" t="s">
        <v>100</v>
      </c>
      <c r="P56" s="2" t="str">
        <f>"2170585077                    "</f>
        <v xml:space="preserve">2170585077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4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2</v>
      </c>
      <c r="BJ56" s="2">
        <v>0.2</v>
      </c>
      <c r="BK56" s="2">
        <v>2</v>
      </c>
      <c r="BL56" s="2">
        <v>41.44</v>
      </c>
      <c r="BM56" s="2">
        <v>5.8</v>
      </c>
      <c r="BN56" s="2">
        <v>47.24</v>
      </c>
      <c r="BO56" s="2">
        <v>47.24</v>
      </c>
      <c r="BP56" s="2"/>
      <c r="BQ56" s="2" t="s">
        <v>304</v>
      </c>
      <c r="BR56" s="2" t="s">
        <v>84</v>
      </c>
      <c r="BS56" s="3">
        <v>42963</v>
      </c>
      <c r="BT56" s="4">
        <v>0.66527777777777775</v>
      </c>
      <c r="BU56" s="2" t="s">
        <v>305</v>
      </c>
      <c r="BV56" s="2" t="s">
        <v>95</v>
      </c>
      <c r="BW56" s="2"/>
      <c r="BX56" s="2"/>
      <c r="BY56" s="2">
        <v>1200</v>
      </c>
      <c r="BZ56" s="2"/>
      <c r="CA56" s="2" t="s">
        <v>148</v>
      </c>
      <c r="CB56" s="2"/>
      <c r="CC56" s="2" t="s">
        <v>269</v>
      </c>
      <c r="CD56" s="2">
        <v>183</v>
      </c>
      <c r="CE56" s="2" t="s">
        <v>104</v>
      </c>
      <c r="CF56" s="5">
        <v>42964</v>
      </c>
      <c r="CG56" s="2"/>
      <c r="CH56" s="2"/>
      <c r="CI56" s="2">
        <v>1</v>
      </c>
      <c r="CJ56" s="2">
        <v>1</v>
      </c>
      <c r="CK56" s="2">
        <v>21</v>
      </c>
      <c r="CL56" s="2" t="s">
        <v>86</v>
      </c>
      <c r="CM56" s="2"/>
    </row>
    <row r="57" spans="1:91">
      <c r="A57" s="2" t="s">
        <v>71</v>
      </c>
      <c r="B57" s="2" t="s">
        <v>72</v>
      </c>
      <c r="C57" s="2" t="s">
        <v>73</v>
      </c>
      <c r="D57" s="2"/>
      <c r="E57" s="2" t="str">
        <f>"FES1162568847"</f>
        <v>FES1162568847</v>
      </c>
      <c r="F57" s="3">
        <v>42962</v>
      </c>
      <c r="G57" s="2">
        <v>201802</v>
      </c>
      <c r="H57" s="2" t="s">
        <v>74</v>
      </c>
      <c r="I57" s="2" t="s">
        <v>75</v>
      </c>
      <c r="J57" s="2" t="s">
        <v>76</v>
      </c>
      <c r="K57" s="2" t="s">
        <v>77</v>
      </c>
      <c r="L57" s="2" t="s">
        <v>306</v>
      </c>
      <c r="M57" s="2" t="s">
        <v>307</v>
      </c>
      <c r="N57" s="2" t="s">
        <v>308</v>
      </c>
      <c r="O57" s="2" t="s">
        <v>100</v>
      </c>
      <c r="P57" s="2" t="str">
        <f>"2170584911                    "</f>
        <v xml:space="preserve">2170584911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4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1</v>
      </c>
      <c r="BJ57" s="2">
        <v>0.2</v>
      </c>
      <c r="BK57" s="2">
        <v>1</v>
      </c>
      <c r="BL57" s="2">
        <v>41.44</v>
      </c>
      <c r="BM57" s="2">
        <v>5.8</v>
      </c>
      <c r="BN57" s="2">
        <v>47.24</v>
      </c>
      <c r="BO57" s="2">
        <v>47.24</v>
      </c>
      <c r="BP57" s="2"/>
      <c r="BQ57" s="2" t="s">
        <v>83</v>
      </c>
      <c r="BR57" s="2" t="s">
        <v>84</v>
      </c>
      <c r="BS57" s="3">
        <v>42963</v>
      </c>
      <c r="BT57" s="4">
        <v>0.36736111111111108</v>
      </c>
      <c r="BU57" s="2" t="s">
        <v>309</v>
      </c>
      <c r="BV57" s="2" t="s">
        <v>95</v>
      </c>
      <c r="BW57" s="2"/>
      <c r="BX57" s="2"/>
      <c r="BY57" s="2">
        <v>1200</v>
      </c>
      <c r="BZ57" s="2" t="s">
        <v>27</v>
      </c>
      <c r="CA57" s="2" t="s">
        <v>310</v>
      </c>
      <c r="CB57" s="2"/>
      <c r="CC57" s="2" t="s">
        <v>307</v>
      </c>
      <c r="CD57" s="2">
        <v>1930</v>
      </c>
      <c r="CE57" s="2" t="s">
        <v>104</v>
      </c>
      <c r="CF57" s="5">
        <v>42964</v>
      </c>
      <c r="CG57" s="2"/>
      <c r="CH57" s="2"/>
      <c r="CI57" s="2">
        <v>1</v>
      </c>
      <c r="CJ57" s="2">
        <v>1</v>
      </c>
      <c r="CK57" s="2">
        <v>21</v>
      </c>
      <c r="CL57" s="2" t="s">
        <v>86</v>
      </c>
      <c r="CM57" s="2"/>
    </row>
    <row r="58" spans="1:91">
      <c r="A58" s="2" t="s">
        <v>71</v>
      </c>
      <c r="B58" s="2" t="s">
        <v>72</v>
      </c>
      <c r="C58" s="2" t="s">
        <v>73</v>
      </c>
      <c r="D58" s="2"/>
      <c r="E58" s="2" t="str">
        <f>"FES1162569028"</f>
        <v>FES1162569028</v>
      </c>
      <c r="F58" s="3">
        <v>42962</v>
      </c>
      <c r="G58" s="2">
        <v>201802</v>
      </c>
      <c r="H58" s="2" t="s">
        <v>74</v>
      </c>
      <c r="I58" s="2" t="s">
        <v>75</v>
      </c>
      <c r="J58" s="2" t="s">
        <v>76</v>
      </c>
      <c r="K58" s="2" t="s">
        <v>77</v>
      </c>
      <c r="L58" s="2" t="s">
        <v>311</v>
      </c>
      <c r="M58" s="2" t="s">
        <v>312</v>
      </c>
      <c r="N58" s="2" t="s">
        <v>313</v>
      </c>
      <c r="O58" s="2" t="s">
        <v>100</v>
      </c>
      <c r="P58" s="2" t="str">
        <f>"2170582383                    "</f>
        <v xml:space="preserve">2170582383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3.13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1</v>
      </c>
      <c r="BJ58" s="2">
        <v>0.2</v>
      </c>
      <c r="BK58" s="2">
        <v>1</v>
      </c>
      <c r="BL58" s="2">
        <v>32.380000000000003</v>
      </c>
      <c r="BM58" s="2">
        <v>4.53</v>
      </c>
      <c r="BN58" s="2">
        <v>36.909999999999997</v>
      </c>
      <c r="BO58" s="2">
        <v>36.909999999999997</v>
      </c>
      <c r="BP58" s="2"/>
      <c r="BQ58" s="2" t="s">
        <v>314</v>
      </c>
      <c r="BR58" s="2" t="s">
        <v>84</v>
      </c>
      <c r="BS58" s="3">
        <v>42963</v>
      </c>
      <c r="BT58" s="4">
        <v>0.34027777777777773</v>
      </c>
      <c r="BU58" s="2" t="s">
        <v>315</v>
      </c>
      <c r="BV58" s="2" t="s">
        <v>95</v>
      </c>
      <c r="BW58" s="2"/>
      <c r="BX58" s="2"/>
      <c r="BY58" s="2">
        <v>1200</v>
      </c>
      <c r="BZ58" s="2"/>
      <c r="CA58" s="2" t="s">
        <v>148</v>
      </c>
      <c r="CB58" s="2"/>
      <c r="CC58" s="2" t="s">
        <v>312</v>
      </c>
      <c r="CD58" s="2">
        <v>1559</v>
      </c>
      <c r="CE58" s="2" t="s">
        <v>104</v>
      </c>
      <c r="CF58" s="5">
        <v>42964</v>
      </c>
      <c r="CG58" s="2"/>
      <c r="CH58" s="2"/>
      <c r="CI58" s="2">
        <v>1</v>
      </c>
      <c r="CJ58" s="2">
        <v>1</v>
      </c>
      <c r="CK58" s="2">
        <v>22</v>
      </c>
      <c r="CL58" s="2" t="s">
        <v>86</v>
      </c>
      <c r="CM58" s="2"/>
    </row>
    <row r="59" spans="1:91">
      <c r="A59" s="2" t="s">
        <v>71</v>
      </c>
      <c r="B59" s="2" t="s">
        <v>72</v>
      </c>
      <c r="C59" s="2" t="s">
        <v>73</v>
      </c>
      <c r="D59" s="2"/>
      <c r="E59" s="2" t="str">
        <f>"FES1162569122"</f>
        <v>FES1162569122</v>
      </c>
      <c r="F59" s="3">
        <v>42962</v>
      </c>
      <c r="G59" s="2">
        <v>201802</v>
      </c>
      <c r="H59" s="2" t="s">
        <v>74</v>
      </c>
      <c r="I59" s="2" t="s">
        <v>75</v>
      </c>
      <c r="J59" s="2" t="s">
        <v>76</v>
      </c>
      <c r="K59" s="2" t="s">
        <v>77</v>
      </c>
      <c r="L59" s="2" t="s">
        <v>306</v>
      </c>
      <c r="M59" s="2" t="s">
        <v>307</v>
      </c>
      <c r="N59" s="2" t="s">
        <v>316</v>
      </c>
      <c r="O59" s="2" t="s">
        <v>100</v>
      </c>
      <c r="P59" s="2" t="str">
        <f>"2170585121                    "</f>
        <v xml:space="preserve">2170585121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4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1</v>
      </c>
      <c r="BJ59" s="2">
        <v>0.2</v>
      </c>
      <c r="BK59" s="2">
        <v>1</v>
      </c>
      <c r="BL59" s="2">
        <v>41.44</v>
      </c>
      <c r="BM59" s="2">
        <v>5.8</v>
      </c>
      <c r="BN59" s="2">
        <v>47.24</v>
      </c>
      <c r="BO59" s="2">
        <v>47.24</v>
      </c>
      <c r="BP59" s="2"/>
      <c r="BQ59" s="2" t="s">
        <v>317</v>
      </c>
      <c r="BR59" s="2" t="s">
        <v>84</v>
      </c>
      <c r="BS59" s="3">
        <v>42963</v>
      </c>
      <c r="BT59" s="4">
        <v>0.4236111111111111</v>
      </c>
      <c r="BU59" s="2" t="s">
        <v>318</v>
      </c>
      <c r="BV59" s="2" t="s">
        <v>95</v>
      </c>
      <c r="BW59" s="2"/>
      <c r="BX59" s="2"/>
      <c r="BY59" s="2">
        <v>1200</v>
      </c>
      <c r="BZ59" s="2"/>
      <c r="CA59" s="2" t="s">
        <v>319</v>
      </c>
      <c r="CB59" s="2"/>
      <c r="CC59" s="2" t="s">
        <v>307</v>
      </c>
      <c r="CD59" s="2">
        <v>1873</v>
      </c>
      <c r="CE59" s="2" t="s">
        <v>104</v>
      </c>
      <c r="CF59" s="5">
        <v>42964</v>
      </c>
      <c r="CG59" s="2"/>
      <c r="CH59" s="2"/>
      <c r="CI59" s="2">
        <v>1</v>
      </c>
      <c r="CJ59" s="2">
        <v>1</v>
      </c>
      <c r="CK59" s="2">
        <v>21</v>
      </c>
      <c r="CL59" s="2" t="s">
        <v>86</v>
      </c>
      <c r="CM59" s="2"/>
    </row>
    <row r="60" spans="1:91">
      <c r="A60" s="2" t="s">
        <v>71</v>
      </c>
      <c r="B60" s="2" t="s">
        <v>72</v>
      </c>
      <c r="C60" s="2" t="s">
        <v>73</v>
      </c>
      <c r="D60" s="2"/>
      <c r="E60" s="2" t="str">
        <f>"FES1162568978"</f>
        <v>FES1162568978</v>
      </c>
      <c r="F60" s="3">
        <v>42962</v>
      </c>
      <c r="G60" s="2">
        <v>201802</v>
      </c>
      <c r="H60" s="2" t="s">
        <v>74</v>
      </c>
      <c r="I60" s="2" t="s">
        <v>75</v>
      </c>
      <c r="J60" s="2" t="s">
        <v>76</v>
      </c>
      <c r="K60" s="2" t="s">
        <v>77</v>
      </c>
      <c r="L60" s="2" t="s">
        <v>206</v>
      </c>
      <c r="M60" s="2" t="s">
        <v>207</v>
      </c>
      <c r="N60" s="2" t="s">
        <v>208</v>
      </c>
      <c r="O60" s="2" t="s">
        <v>100</v>
      </c>
      <c r="P60" s="2" t="str">
        <f>"2170584989                    "</f>
        <v xml:space="preserve">2170584989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5.63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1</v>
      </c>
      <c r="BI60" s="2">
        <v>1</v>
      </c>
      <c r="BJ60" s="2">
        <v>0.2</v>
      </c>
      <c r="BK60" s="2">
        <v>1</v>
      </c>
      <c r="BL60" s="2">
        <v>58.28</v>
      </c>
      <c r="BM60" s="2">
        <v>8.16</v>
      </c>
      <c r="BN60" s="2">
        <v>66.44</v>
      </c>
      <c r="BO60" s="2">
        <v>66.44</v>
      </c>
      <c r="BP60" s="2"/>
      <c r="BQ60" s="2" t="s">
        <v>209</v>
      </c>
      <c r="BR60" s="2" t="s">
        <v>84</v>
      </c>
      <c r="BS60" s="3">
        <v>42963</v>
      </c>
      <c r="BT60" s="4">
        <v>0.54583333333333328</v>
      </c>
      <c r="BU60" s="2" t="s">
        <v>320</v>
      </c>
      <c r="BV60" s="2" t="s">
        <v>95</v>
      </c>
      <c r="BW60" s="2"/>
      <c r="BX60" s="2"/>
      <c r="BY60" s="2">
        <v>1200</v>
      </c>
      <c r="BZ60" s="2" t="s">
        <v>27</v>
      </c>
      <c r="CA60" s="2" t="s">
        <v>211</v>
      </c>
      <c r="CB60" s="2"/>
      <c r="CC60" s="2" t="s">
        <v>207</v>
      </c>
      <c r="CD60" s="2">
        <v>250</v>
      </c>
      <c r="CE60" s="2" t="s">
        <v>104</v>
      </c>
      <c r="CF60" s="5">
        <v>42965</v>
      </c>
      <c r="CG60" s="2"/>
      <c r="CH60" s="2"/>
      <c r="CI60" s="2">
        <v>1</v>
      </c>
      <c r="CJ60" s="2">
        <v>1</v>
      </c>
      <c r="CK60" s="2">
        <v>24</v>
      </c>
      <c r="CL60" s="2" t="s">
        <v>86</v>
      </c>
      <c r="CM60" s="2"/>
    </row>
    <row r="61" spans="1:91">
      <c r="A61" s="2" t="s">
        <v>71</v>
      </c>
      <c r="B61" s="2" t="s">
        <v>72</v>
      </c>
      <c r="C61" s="2" t="s">
        <v>73</v>
      </c>
      <c r="D61" s="2"/>
      <c r="E61" s="2" t="str">
        <f>"FES1162569090"</f>
        <v>FES1162569090</v>
      </c>
      <c r="F61" s="3">
        <v>42962</v>
      </c>
      <c r="G61" s="2">
        <v>201802</v>
      </c>
      <c r="H61" s="2" t="s">
        <v>74</v>
      </c>
      <c r="I61" s="2" t="s">
        <v>75</v>
      </c>
      <c r="J61" s="2" t="s">
        <v>76</v>
      </c>
      <c r="K61" s="2" t="s">
        <v>77</v>
      </c>
      <c r="L61" s="2" t="s">
        <v>321</v>
      </c>
      <c r="M61" s="2" t="s">
        <v>322</v>
      </c>
      <c r="N61" s="2" t="s">
        <v>323</v>
      </c>
      <c r="O61" s="2" t="s">
        <v>100</v>
      </c>
      <c r="P61" s="2" t="str">
        <f>"2170585095                    "</f>
        <v xml:space="preserve">2170585095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4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1</v>
      </c>
      <c r="BI61" s="2">
        <v>1</v>
      </c>
      <c r="BJ61" s="2">
        <v>0.2</v>
      </c>
      <c r="BK61" s="2">
        <v>1</v>
      </c>
      <c r="BL61" s="2">
        <v>41.44</v>
      </c>
      <c r="BM61" s="2">
        <v>5.8</v>
      </c>
      <c r="BN61" s="2">
        <v>47.24</v>
      </c>
      <c r="BO61" s="2">
        <v>47.24</v>
      </c>
      <c r="BP61" s="2"/>
      <c r="BQ61" s="2" t="s">
        <v>83</v>
      </c>
      <c r="BR61" s="2" t="s">
        <v>84</v>
      </c>
      <c r="BS61" s="3">
        <v>42963</v>
      </c>
      <c r="BT61" s="4">
        <v>0.3576388888888889</v>
      </c>
      <c r="BU61" s="2" t="s">
        <v>324</v>
      </c>
      <c r="BV61" s="2" t="s">
        <v>95</v>
      </c>
      <c r="BW61" s="2"/>
      <c r="BX61" s="2"/>
      <c r="BY61" s="2">
        <v>1200</v>
      </c>
      <c r="BZ61" s="2"/>
      <c r="CA61" s="2" t="s">
        <v>103</v>
      </c>
      <c r="CB61" s="2"/>
      <c r="CC61" s="2" t="s">
        <v>322</v>
      </c>
      <c r="CD61" s="2">
        <v>6220</v>
      </c>
      <c r="CE61" s="2" t="s">
        <v>104</v>
      </c>
      <c r="CF61" s="5">
        <v>42964</v>
      </c>
      <c r="CG61" s="2"/>
      <c r="CH61" s="2"/>
      <c r="CI61" s="2">
        <v>1</v>
      </c>
      <c r="CJ61" s="2">
        <v>1</v>
      </c>
      <c r="CK61" s="2">
        <v>21</v>
      </c>
      <c r="CL61" s="2" t="s">
        <v>86</v>
      </c>
      <c r="CM61" s="2"/>
    </row>
    <row r="62" spans="1:91">
      <c r="A62" s="2" t="s">
        <v>71</v>
      </c>
      <c r="B62" s="2" t="s">
        <v>72</v>
      </c>
      <c r="C62" s="2" t="s">
        <v>73</v>
      </c>
      <c r="D62" s="2"/>
      <c r="E62" s="2" t="str">
        <f>"FES1162569091"</f>
        <v>FES1162569091</v>
      </c>
      <c r="F62" s="3">
        <v>42962</v>
      </c>
      <c r="G62" s="2">
        <v>201802</v>
      </c>
      <c r="H62" s="2" t="s">
        <v>74</v>
      </c>
      <c r="I62" s="2" t="s">
        <v>75</v>
      </c>
      <c r="J62" s="2" t="s">
        <v>76</v>
      </c>
      <c r="K62" s="2" t="s">
        <v>77</v>
      </c>
      <c r="L62" s="2" t="s">
        <v>244</v>
      </c>
      <c r="M62" s="2" t="s">
        <v>245</v>
      </c>
      <c r="N62" s="2" t="s">
        <v>325</v>
      </c>
      <c r="O62" s="2" t="s">
        <v>100</v>
      </c>
      <c r="P62" s="2" t="str">
        <f>"2170585065                    "</f>
        <v xml:space="preserve">2170585065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3.13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1</v>
      </c>
      <c r="BJ62" s="2">
        <v>0.2</v>
      </c>
      <c r="BK62" s="2">
        <v>1</v>
      </c>
      <c r="BL62" s="2">
        <v>32.380000000000003</v>
      </c>
      <c r="BM62" s="2">
        <v>4.53</v>
      </c>
      <c r="BN62" s="2">
        <v>36.909999999999997</v>
      </c>
      <c r="BO62" s="2">
        <v>36.909999999999997</v>
      </c>
      <c r="BP62" s="2"/>
      <c r="BQ62" s="2" t="s">
        <v>108</v>
      </c>
      <c r="BR62" s="2" t="s">
        <v>84</v>
      </c>
      <c r="BS62" s="3">
        <v>42964</v>
      </c>
      <c r="BT62" s="4">
        <v>0.46875</v>
      </c>
      <c r="BU62" s="2" t="s">
        <v>326</v>
      </c>
      <c r="BV62" s="2" t="s">
        <v>86</v>
      </c>
      <c r="BW62" s="2" t="s">
        <v>110</v>
      </c>
      <c r="BX62" s="2" t="s">
        <v>327</v>
      </c>
      <c r="BY62" s="2">
        <v>1200</v>
      </c>
      <c r="BZ62" s="2"/>
      <c r="CA62" s="2" t="s">
        <v>328</v>
      </c>
      <c r="CB62" s="2"/>
      <c r="CC62" s="2" t="s">
        <v>245</v>
      </c>
      <c r="CD62" s="2">
        <v>1459</v>
      </c>
      <c r="CE62" s="2" t="s">
        <v>104</v>
      </c>
      <c r="CF62" s="5">
        <v>42965</v>
      </c>
      <c r="CG62" s="2"/>
      <c r="CH62" s="2"/>
      <c r="CI62" s="2">
        <v>1</v>
      </c>
      <c r="CJ62" s="2">
        <v>2</v>
      </c>
      <c r="CK62" s="2">
        <v>22</v>
      </c>
      <c r="CL62" s="2" t="s">
        <v>86</v>
      </c>
      <c r="CM62" s="2"/>
    </row>
    <row r="63" spans="1:91">
      <c r="A63" s="2" t="s">
        <v>71</v>
      </c>
      <c r="B63" s="2" t="s">
        <v>72</v>
      </c>
      <c r="C63" s="2" t="s">
        <v>73</v>
      </c>
      <c r="D63" s="2"/>
      <c r="E63" s="2" t="str">
        <f>"FES1162568932"</f>
        <v>FES1162568932</v>
      </c>
      <c r="F63" s="3">
        <v>42962</v>
      </c>
      <c r="G63" s="2">
        <v>201802</v>
      </c>
      <c r="H63" s="2" t="s">
        <v>74</v>
      </c>
      <c r="I63" s="2" t="s">
        <v>75</v>
      </c>
      <c r="J63" s="2" t="s">
        <v>76</v>
      </c>
      <c r="K63" s="2" t="s">
        <v>77</v>
      </c>
      <c r="L63" s="2" t="s">
        <v>97</v>
      </c>
      <c r="M63" s="2" t="s">
        <v>98</v>
      </c>
      <c r="N63" s="2" t="s">
        <v>292</v>
      </c>
      <c r="O63" s="2" t="s">
        <v>100</v>
      </c>
      <c r="P63" s="2" t="str">
        <f>"2170584938                    "</f>
        <v xml:space="preserve">2170584938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20.010000000000002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1</v>
      </c>
      <c r="BI63" s="2">
        <v>10</v>
      </c>
      <c r="BJ63" s="2">
        <v>8.5</v>
      </c>
      <c r="BK63" s="2">
        <v>10</v>
      </c>
      <c r="BL63" s="2">
        <v>207.21</v>
      </c>
      <c r="BM63" s="2">
        <v>29.01</v>
      </c>
      <c r="BN63" s="2">
        <v>236.22</v>
      </c>
      <c r="BO63" s="2">
        <v>236.22</v>
      </c>
      <c r="BP63" s="2"/>
      <c r="BQ63" s="2" t="s">
        <v>83</v>
      </c>
      <c r="BR63" s="2" t="s">
        <v>84</v>
      </c>
      <c r="BS63" s="3">
        <v>42963</v>
      </c>
      <c r="BT63" s="4">
        <v>0.3263888888888889</v>
      </c>
      <c r="BU63" s="2" t="s">
        <v>293</v>
      </c>
      <c r="BV63" s="2" t="s">
        <v>95</v>
      </c>
      <c r="BW63" s="2"/>
      <c r="BX63" s="2"/>
      <c r="BY63" s="2">
        <v>42675.4</v>
      </c>
      <c r="BZ63" s="2" t="s">
        <v>27</v>
      </c>
      <c r="CA63" s="2" t="s">
        <v>294</v>
      </c>
      <c r="CB63" s="2"/>
      <c r="CC63" s="2" t="s">
        <v>98</v>
      </c>
      <c r="CD63" s="2">
        <v>6001</v>
      </c>
      <c r="CE63" s="2" t="s">
        <v>89</v>
      </c>
      <c r="CF63" s="5">
        <v>42964</v>
      </c>
      <c r="CG63" s="2"/>
      <c r="CH63" s="2"/>
      <c r="CI63" s="2">
        <v>1</v>
      </c>
      <c r="CJ63" s="2">
        <v>1</v>
      </c>
      <c r="CK63" s="2">
        <v>21</v>
      </c>
      <c r="CL63" s="2" t="s">
        <v>86</v>
      </c>
      <c r="CM63" s="2"/>
    </row>
    <row r="64" spans="1:91">
      <c r="A64" s="2" t="s">
        <v>71</v>
      </c>
      <c r="B64" s="2" t="s">
        <v>72</v>
      </c>
      <c r="C64" s="2" t="s">
        <v>73</v>
      </c>
      <c r="D64" s="2"/>
      <c r="E64" s="2" t="str">
        <f>"FES1162569014"</f>
        <v>FES1162569014</v>
      </c>
      <c r="F64" s="3">
        <v>42962</v>
      </c>
      <c r="G64" s="2">
        <v>201802</v>
      </c>
      <c r="H64" s="2" t="s">
        <v>74</v>
      </c>
      <c r="I64" s="2" t="s">
        <v>75</v>
      </c>
      <c r="J64" s="2" t="s">
        <v>76</v>
      </c>
      <c r="K64" s="2" t="s">
        <v>77</v>
      </c>
      <c r="L64" s="2" t="s">
        <v>74</v>
      </c>
      <c r="M64" s="2" t="s">
        <v>75</v>
      </c>
      <c r="N64" s="2" t="s">
        <v>329</v>
      </c>
      <c r="O64" s="2" t="s">
        <v>100</v>
      </c>
      <c r="P64" s="2" t="str">
        <f>"2170584771                    "</f>
        <v xml:space="preserve">2170584771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3.13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1</v>
      </c>
      <c r="BJ64" s="2">
        <v>0.2</v>
      </c>
      <c r="BK64" s="2">
        <v>1</v>
      </c>
      <c r="BL64" s="2">
        <v>32.380000000000003</v>
      </c>
      <c r="BM64" s="2">
        <v>4.53</v>
      </c>
      <c r="BN64" s="2">
        <v>36.909999999999997</v>
      </c>
      <c r="BO64" s="2">
        <v>36.909999999999997</v>
      </c>
      <c r="BP64" s="2"/>
      <c r="BQ64" s="2" t="s">
        <v>83</v>
      </c>
      <c r="BR64" s="2" t="s">
        <v>84</v>
      </c>
      <c r="BS64" s="3">
        <v>42963</v>
      </c>
      <c r="BT64" s="4">
        <v>0.35902777777777778</v>
      </c>
      <c r="BU64" s="2" t="s">
        <v>330</v>
      </c>
      <c r="BV64" s="2" t="s">
        <v>95</v>
      </c>
      <c r="BW64" s="2"/>
      <c r="BX64" s="2"/>
      <c r="BY64" s="2">
        <v>1200</v>
      </c>
      <c r="BZ64" s="2"/>
      <c r="CA64" s="2" t="s">
        <v>331</v>
      </c>
      <c r="CB64" s="2"/>
      <c r="CC64" s="2" t="s">
        <v>75</v>
      </c>
      <c r="CD64" s="2">
        <v>1600</v>
      </c>
      <c r="CE64" s="2" t="s">
        <v>104</v>
      </c>
      <c r="CF64" s="5">
        <v>42964</v>
      </c>
      <c r="CG64" s="2"/>
      <c r="CH64" s="2"/>
      <c r="CI64" s="2">
        <v>1</v>
      </c>
      <c r="CJ64" s="2">
        <v>1</v>
      </c>
      <c r="CK64" s="2">
        <v>22</v>
      </c>
      <c r="CL64" s="2" t="s">
        <v>86</v>
      </c>
      <c r="CM64" s="2"/>
    </row>
    <row r="65" spans="1:91">
      <c r="A65" s="2" t="s">
        <v>71</v>
      </c>
      <c r="B65" s="2" t="s">
        <v>72</v>
      </c>
      <c r="C65" s="2" t="s">
        <v>73</v>
      </c>
      <c r="D65" s="2"/>
      <c r="E65" s="2" t="str">
        <f>"FES1162569020"</f>
        <v>FES1162569020</v>
      </c>
      <c r="F65" s="3">
        <v>42962</v>
      </c>
      <c r="G65" s="2">
        <v>201802</v>
      </c>
      <c r="H65" s="2" t="s">
        <v>74</v>
      </c>
      <c r="I65" s="2" t="s">
        <v>75</v>
      </c>
      <c r="J65" s="2" t="s">
        <v>76</v>
      </c>
      <c r="K65" s="2" t="s">
        <v>77</v>
      </c>
      <c r="L65" s="2" t="s">
        <v>332</v>
      </c>
      <c r="M65" s="2" t="s">
        <v>333</v>
      </c>
      <c r="N65" s="2" t="s">
        <v>334</v>
      </c>
      <c r="O65" s="2" t="s">
        <v>100</v>
      </c>
      <c r="P65" s="2" t="str">
        <f>"2170585010                    "</f>
        <v xml:space="preserve">2170585010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7.75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</v>
      </c>
      <c r="BI65" s="2">
        <v>1</v>
      </c>
      <c r="BJ65" s="2">
        <v>0.2</v>
      </c>
      <c r="BK65" s="2">
        <v>1</v>
      </c>
      <c r="BL65" s="2">
        <v>80.290000000000006</v>
      </c>
      <c r="BM65" s="2">
        <v>11.24</v>
      </c>
      <c r="BN65" s="2">
        <v>91.53</v>
      </c>
      <c r="BO65" s="2">
        <v>91.53</v>
      </c>
      <c r="BP65" s="2"/>
      <c r="BQ65" s="2" t="s">
        <v>209</v>
      </c>
      <c r="BR65" s="2" t="s">
        <v>84</v>
      </c>
      <c r="BS65" s="3">
        <v>42964</v>
      </c>
      <c r="BT65" s="4">
        <v>0.48125000000000001</v>
      </c>
      <c r="BU65" s="2" t="s">
        <v>335</v>
      </c>
      <c r="BV65" s="2" t="s">
        <v>86</v>
      </c>
      <c r="BW65" s="2" t="s">
        <v>336</v>
      </c>
      <c r="BX65" s="2" t="s">
        <v>337</v>
      </c>
      <c r="BY65" s="2">
        <v>1200</v>
      </c>
      <c r="BZ65" s="2" t="s">
        <v>27</v>
      </c>
      <c r="CA65" s="2" t="s">
        <v>338</v>
      </c>
      <c r="CB65" s="2"/>
      <c r="CC65" s="2" t="s">
        <v>333</v>
      </c>
      <c r="CD65" s="2">
        <v>4450</v>
      </c>
      <c r="CE65" s="2" t="s">
        <v>104</v>
      </c>
      <c r="CF65" s="5">
        <v>42965</v>
      </c>
      <c r="CG65" s="2"/>
      <c r="CH65" s="2"/>
      <c r="CI65" s="2">
        <v>1</v>
      </c>
      <c r="CJ65" s="2">
        <v>2</v>
      </c>
      <c r="CK65" s="2">
        <v>23</v>
      </c>
      <c r="CL65" s="2" t="s">
        <v>86</v>
      </c>
      <c r="CM65" s="2"/>
    </row>
    <row r="66" spans="1:91">
      <c r="A66" s="2" t="s">
        <v>71</v>
      </c>
      <c r="B66" s="2" t="s">
        <v>72</v>
      </c>
      <c r="C66" s="2" t="s">
        <v>73</v>
      </c>
      <c r="D66" s="2"/>
      <c r="E66" s="2" t="str">
        <f>"FES1162569115"</f>
        <v>FES1162569115</v>
      </c>
      <c r="F66" s="3">
        <v>42962</v>
      </c>
      <c r="G66" s="2">
        <v>201802</v>
      </c>
      <c r="H66" s="2" t="s">
        <v>74</v>
      </c>
      <c r="I66" s="2" t="s">
        <v>75</v>
      </c>
      <c r="J66" s="2" t="s">
        <v>76</v>
      </c>
      <c r="K66" s="2" t="s">
        <v>77</v>
      </c>
      <c r="L66" s="2" t="s">
        <v>339</v>
      </c>
      <c r="M66" s="2" t="s">
        <v>340</v>
      </c>
      <c r="N66" s="2" t="s">
        <v>341</v>
      </c>
      <c r="O66" s="2" t="s">
        <v>100</v>
      </c>
      <c r="P66" s="2" t="str">
        <f>"2170585113                    "</f>
        <v xml:space="preserve">2170585113  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4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1</v>
      </c>
      <c r="BJ66" s="2">
        <v>0.2</v>
      </c>
      <c r="BK66" s="2">
        <v>1</v>
      </c>
      <c r="BL66" s="2">
        <v>41.44</v>
      </c>
      <c r="BM66" s="2">
        <v>5.8</v>
      </c>
      <c r="BN66" s="2">
        <v>47.24</v>
      </c>
      <c r="BO66" s="2">
        <v>47.24</v>
      </c>
      <c r="BP66" s="2"/>
      <c r="BQ66" s="2" t="s">
        <v>108</v>
      </c>
      <c r="BR66" s="2" t="s">
        <v>84</v>
      </c>
      <c r="BS66" s="3">
        <v>42963</v>
      </c>
      <c r="BT66" s="4">
        <v>0.5</v>
      </c>
      <c r="BU66" s="2" t="s">
        <v>342</v>
      </c>
      <c r="BV66" s="2" t="s">
        <v>86</v>
      </c>
      <c r="BW66" s="2"/>
      <c r="BX66" s="2"/>
      <c r="BY66" s="2">
        <v>1200</v>
      </c>
      <c r="BZ66" s="2"/>
      <c r="CA66" s="2" t="s">
        <v>148</v>
      </c>
      <c r="CB66" s="2"/>
      <c r="CC66" s="2" t="s">
        <v>340</v>
      </c>
      <c r="CD66" s="2">
        <v>1949</v>
      </c>
      <c r="CE66" s="2" t="s">
        <v>104</v>
      </c>
      <c r="CF66" s="5">
        <v>42964</v>
      </c>
      <c r="CG66" s="2"/>
      <c r="CH66" s="2"/>
      <c r="CI66" s="2">
        <v>1</v>
      </c>
      <c r="CJ66" s="2">
        <v>1</v>
      </c>
      <c r="CK66" s="2">
        <v>21</v>
      </c>
      <c r="CL66" s="2" t="s">
        <v>86</v>
      </c>
      <c r="CM66" s="2"/>
    </row>
    <row r="67" spans="1:91">
      <c r="A67" s="2" t="s">
        <v>71</v>
      </c>
      <c r="B67" s="2" t="s">
        <v>72</v>
      </c>
      <c r="C67" s="2" t="s">
        <v>73</v>
      </c>
      <c r="D67" s="2"/>
      <c r="E67" s="2" t="str">
        <f>"FES1162569045"</f>
        <v>FES1162569045</v>
      </c>
      <c r="F67" s="3">
        <v>42962</v>
      </c>
      <c r="G67" s="2">
        <v>201802</v>
      </c>
      <c r="H67" s="2" t="s">
        <v>74</v>
      </c>
      <c r="I67" s="2" t="s">
        <v>75</v>
      </c>
      <c r="J67" s="2" t="s">
        <v>76</v>
      </c>
      <c r="K67" s="2" t="s">
        <v>77</v>
      </c>
      <c r="L67" s="2" t="s">
        <v>343</v>
      </c>
      <c r="M67" s="2" t="s">
        <v>344</v>
      </c>
      <c r="N67" s="2" t="s">
        <v>345</v>
      </c>
      <c r="O67" s="2" t="s">
        <v>100</v>
      </c>
      <c r="P67" s="2" t="str">
        <f>"2170585036                    "</f>
        <v xml:space="preserve">2170585036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4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</v>
      </c>
      <c r="BI67" s="2">
        <v>1</v>
      </c>
      <c r="BJ67" s="2">
        <v>0.2</v>
      </c>
      <c r="BK67" s="2">
        <v>1</v>
      </c>
      <c r="BL67" s="2">
        <v>41.44</v>
      </c>
      <c r="BM67" s="2">
        <v>5.8</v>
      </c>
      <c r="BN67" s="2">
        <v>47.24</v>
      </c>
      <c r="BO67" s="2">
        <v>47.24</v>
      </c>
      <c r="BP67" s="2"/>
      <c r="BQ67" s="2" t="s">
        <v>288</v>
      </c>
      <c r="BR67" s="2" t="s">
        <v>84</v>
      </c>
      <c r="BS67" s="3">
        <v>42963</v>
      </c>
      <c r="BT67" s="4">
        <v>0.4375</v>
      </c>
      <c r="BU67" s="2" t="s">
        <v>346</v>
      </c>
      <c r="BV67" s="2" t="s">
        <v>95</v>
      </c>
      <c r="BW67" s="2"/>
      <c r="BX67" s="2"/>
      <c r="BY67" s="2">
        <v>1200</v>
      </c>
      <c r="BZ67" s="2" t="s">
        <v>27</v>
      </c>
      <c r="CA67" s="2" t="s">
        <v>347</v>
      </c>
      <c r="CB67" s="2"/>
      <c r="CC67" s="2" t="s">
        <v>344</v>
      </c>
      <c r="CD67" s="2">
        <v>4133</v>
      </c>
      <c r="CE67" s="2" t="s">
        <v>104</v>
      </c>
      <c r="CF67" s="5">
        <v>42963</v>
      </c>
      <c r="CG67" s="2"/>
      <c r="CH67" s="2"/>
      <c r="CI67" s="2">
        <v>1</v>
      </c>
      <c r="CJ67" s="2">
        <v>1</v>
      </c>
      <c r="CK67" s="2">
        <v>21</v>
      </c>
      <c r="CL67" s="2" t="s">
        <v>86</v>
      </c>
      <c r="CM67" s="2"/>
    </row>
    <row r="68" spans="1:91">
      <c r="A68" s="2" t="s">
        <v>71</v>
      </c>
      <c r="B68" s="2" t="s">
        <v>72</v>
      </c>
      <c r="C68" s="2" t="s">
        <v>73</v>
      </c>
      <c r="D68" s="2"/>
      <c r="E68" s="2" t="str">
        <f>"FES1162569080"</f>
        <v>FES1162569080</v>
      </c>
      <c r="F68" s="3">
        <v>42962</v>
      </c>
      <c r="G68" s="2">
        <v>201802</v>
      </c>
      <c r="H68" s="2" t="s">
        <v>74</v>
      </c>
      <c r="I68" s="2" t="s">
        <v>75</v>
      </c>
      <c r="J68" s="2" t="s">
        <v>76</v>
      </c>
      <c r="K68" s="2" t="s">
        <v>77</v>
      </c>
      <c r="L68" s="2" t="s">
        <v>105</v>
      </c>
      <c r="M68" s="2" t="s">
        <v>106</v>
      </c>
      <c r="N68" s="2" t="s">
        <v>348</v>
      </c>
      <c r="O68" s="2" t="s">
        <v>100</v>
      </c>
      <c r="P68" s="2" t="str">
        <f>"2170585079                    "</f>
        <v xml:space="preserve">2170585079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4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1</v>
      </c>
      <c r="BJ68" s="2">
        <v>0.2</v>
      </c>
      <c r="BK68" s="2">
        <v>1</v>
      </c>
      <c r="BL68" s="2">
        <v>41.44</v>
      </c>
      <c r="BM68" s="2">
        <v>5.8</v>
      </c>
      <c r="BN68" s="2">
        <v>47.24</v>
      </c>
      <c r="BO68" s="2">
        <v>47.24</v>
      </c>
      <c r="BP68" s="2"/>
      <c r="BQ68" s="2" t="s">
        <v>108</v>
      </c>
      <c r="BR68" s="2" t="s">
        <v>84</v>
      </c>
      <c r="BS68" s="3">
        <v>42963</v>
      </c>
      <c r="BT68" s="4">
        <v>0.55069444444444449</v>
      </c>
      <c r="BU68" s="2" t="s">
        <v>349</v>
      </c>
      <c r="BV68" s="2" t="s">
        <v>95</v>
      </c>
      <c r="BW68" s="2"/>
      <c r="BX68" s="2"/>
      <c r="BY68" s="2">
        <v>1200</v>
      </c>
      <c r="BZ68" s="2"/>
      <c r="CA68" s="2" t="s">
        <v>350</v>
      </c>
      <c r="CB68" s="2"/>
      <c r="CC68" s="2" t="s">
        <v>106</v>
      </c>
      <c r="CD68" s="2">
        <v>7945</v>
      </c>
      <c r="CE68" s="2" t="s">
        <v>104</v>
      </c>
      <c r="CF68" s="5">
        <v>42964</v>
      </c>
      <c r="CG68" s="2"/>
      <c r="CH68" s="2"/>
      <c r="CI68" s="2">
        <v>1</v>
      </c>
      <c r="CJ68" s="2">
        <v>1</v>
      </c>
      <c r="CK68" s="2">
        <v>21</v>
      </c>
      <c r="CL68" s="2" t="s">
        <v>86</v>
      </c>
      <c r="CM68" s="2"/>
    </row>
    <row r="69" spans="1:91">
      <c r="A69" s="2" t="s">
        <v>71</v>
      </c>
      <c r="B69" s="2" t="s">
        <v>72</v>
      </c>
      <c r="C69" s="2" t="s">
        <v>73</v>
      </c>
      <c r="D69" s="2"/>
      <c r="E69" s="2" t="str">
        <f>"FES1162569018"</f>
        <v>FES1162569018</v>
      </c>
      <c r="F69" s="3">
        <v>42962</v>
      </c>
      <c r="G69" s="2">
        <v>201802</v>
      </c>
      <c r="H69" s="2" t="s">
        <v>74</v>
      </c>
      <c r="I69" s="2" t="s">
        <v>75</v>
      </c>
      <c r="J69" s="2" t="s">
        <v>76</v>
      </c>
      <c r="K69" s="2" t="s">
        <v>77</v>
      </c>
      <c r="L69" s="2" t="s">
        <v>343</v>
      </c>
      <c r="M69" s="2" t="s">
        <v>344</v>
      </c>
      <c r="N69" s="2" t="s">
        <v>351</v>
      </c>
      <c r="O69" s="2" t="s">
        <v>100</v>
      </c>
      <c r="P69" s="2" t="str">
        <f>"2170585008                    "</f>
        <v xml:space="preserve">2170585008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4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1</v>
      </c>
      <c r="BJ69" s="2">
        <v>0.2</v>
      </c>
      <c r="BK69" s="2">
        <v>1</v>
      </c>
      <c r="BL69" s="2">
        <v>41.44</v>
      </c>
      <c r="BM69" s="2">
        <v>5.8</v>
      </c>
      <c r="BN69" s="2">
        <v>47.24</v>
      </c>
      <c r="BO69" s="2">
        <v>47.24</v>
      </c>
      <c r="BP69" s="2"/>
      <c r="BQ69" s="2" t="s">
        <v>288</v>
      </c>
      <c r="BR69" s="2" t="s">
        <v>84</v>
      </c>
      <c r="BS69" s="3">
        <v>42963</v>
      </c>
      <c r="BT69" s="4">
        <v>0.39583333333333331</v>
      </c>
      <c r="BU69" s="2" t="s">
        <v>352</v>
      </c>
      <c r="BV69" s="2" t="s">
        <v>95</v>
      </c>
      <c r="BW69" s="2"/>
      <c r="BX69" s="2"/>
      <c r="BY69" s="2">
        <v>1200</v>
      </c>
      <c r="BZ69" s="2" t="s">
        <v>27</v>
      </c>
      <c r="CA69" s="2" t="s">
        <v>347</v>
      </c>
      <c r="CB69" s="2"/>
      <c r="CC69" s="2" t="s">
        <v>344</v>
      </c>
      <c r="CD69" s="2">
        <v>4133</v>
      </c>
      <c r="CE69" s="2" t="s">
        <v>104</v>
      </c>
      <c r="CF69" s="5">
        <v>42964</v>
      </c>
      <c r="CG69" s="2"/>
      <c r="CH69" s="2"/>
      <c r="CI69" s="2">
        <v>1</v>
      </c>
      <c r="CJ69" s="2">
        <v>1</v>
      </c>
      <c r="CK69" s="2">
        <v>21</v>
      </c>
      <c r="CL69" s="2" t="s">
        <v>86</v>
      </c>
      <c r="CM69" s="2"/>
    </row>
    <row r="70" spans="1:91">
      <c r="A70" s="2" t="s">
        <v>71</v>
      </c>
      <c r="B70" s="2" t="s">
        <v>72</v>
      </c>
      <c r="C70" s="2" t="s">
        <v>73</v>
      </c>
      <c r="D70" s="2"/>
      <c r="E70" s="2" t="str">
        <f>"FES1162568980"</f>
        <v>FES1162568980</v>
      </c>
      <c r="F70" s="3">
        <v>42962</v>
      </c>
      <c r="G70" s="2">
        <v>201802</v>
      </c>
      <c r="H70" s="2" t="s">
        <v>74</v>
      </c>
      <c r="I70" s="2" t="s">
        <v>75</v>
      </c>
      <c r="J70" s="2" t="s">
        <v>76</v>
      </c>
      <c r="K70" s="2" t="s">
        <v>77</v>
      </c>
      <c r="L70" s="2" t="s">
        <v>353</v>
      </c>
      <c r="M70" s="2" t="s">
        <v>354</v>
      </c>
      <c r="N70" s="2" t="s">
        <v>355</v>
      </c>
      <c r="O70" s="2" t="s">
        <v>100</v>
      </c>
      <c r="P70" s="2" t="str">
        <f>"2170584991                    "</f>
        <v xml:space="preserve">2170584991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6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1</v>
      </c>
      <c r="BI70" s="2">
        <v>2</v>
      </c>
      <c r="BJ70" s="2">
        <v>2.9</v>
      </c>
      <c r="BK70" s="2">
        <v>3</v>
      </c>
      <c r="BL70" s="2">
        <v>62.16</v>
      </c>
      <c r="BM70" s="2">
        <v>8.6999999999999993</v>
      </c>
      <c r="BN70" s="2">
        <v>70.86</v>
      </c>
      <c r="BO70" s="2">
        <v>70.86</v>
      </c>
      <c r="BP70" s="2"/>
      <c r="BQ70" s="2" t="s">
        <v>288</v>
      </c>
      <c r="BR70" s="2" t="s">
        <v>84</v>
      </c>
      <c r="BS70" s="3">
        <v>42963</v>
      </c>
      <c r="BT70" s="4">
        <v>0.4375</v>
      </c>
      <c r="BU70" s="2" t="s">
        <v>356</v>
      </c>
      <c r="BV70" s="2" t="s">
        <v>95</v>
      </c>
      <c r="BW70" s="2"/>
      <c r="BX70" s="2"/>
      <c r="BY70" s="2">
        <v>14586</v>
      </c>
      <c r="BZ70" s="2"/>
      <c r="CA70" s="2" t="s">
        <v>148</v>
      </c>
      <c r="CB70" s="2"/>
      <c r="CC70" s="2" t="s">
        <v>354</v>
      </c>
      <c r="CD70" s="2">
        <v>3699</v>
      </c>
      <c r="CE70" s="2" t="s">
        <v>89</v>
      </c>
      <c r="CF70" s="5">
        <v>42964</v>
      </c>
      <c r="CG70" s="2"/>
      <c r="CH70" s="2"/>
      <c r="CI70" s="2">
        <v>1</v>
      </c>
      <c r="CJ70" s="2">
        <v>1</v>
      </c>
      <c r="CK70" s="2">
        <v>21</v>
      </c>
      <c r="CL70" s="2" t="s">
        <v>86</v>
      </c>
      <c r="CM70" s="2"/>
    </row>
    <row r="71" spans="1:91">
      <c r="A71" s="2" t="s">
        <v>71</v>
      </c>
      <c r="B71" s="2" t="s">
        <v>72</v>
      </c>
      <c r="C71" s="2" t="s">
        <v>73</v>
      </c>
      <c r="D71" s="2"/>
      <c r="E71" s="2" t="str">
        <f>"FES1162569048"</f>
        <v>FES1162569048</v>
      </c>
      <c r="F71" s="3">
        <v>42962</v>
      </c>
      <c r="G71" s="2">
        <v>201802</v>
      </c>
      <c r="H71" s="2" t="s">
        <v>74</v>
      </c>
      <c r="I71" s="2" t="s">
        <v>75</v>
      </c>
      <c r="J71" s="2" t="s">
        <v>76</v>
      </c>
      <c r="K71" s="2" t="s">
        <v>77</v>
      </c>
      <c r="L71" s="2" t="s">
        <v>174</v>
      </c>
      <c r="M71" s="2" t="s">
        <v>175</v>
      </c>
      <c r="N71" s="2" t="s">
        <v>357</v>
      </c>
      <c r="O71" s="2" t="s">
        <v>358</v>
      </c>
      <c r="P71" s="2" t="str">
        <f>"2170584903                    "</f>
        <v xml:space="preserve">2170584903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35.65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18.399999999999999</v>
      </c>
      <c r="BJ71" s="2">
        <v>8.8000000000000007</v>
      </c>
      <c r="BK71" s="2">
        <v>19</v>
      </c>
      <c r="BL71" s="2">
        <v>369.1</v>
      </c>
      <c r="BM71" s="2">
        <v>51.67</v>
      </c>
      <c r="BN71" s="2">
        <v>420.77</v>
      </c>
      <c r="BO71" s="2">
        <v>420.77</v>
      </c>
      <c r="BP71" s="2"/>
      <c r="BQ71" s="2" t="s">
        <v>83</v>
      </c>
      <c r="BR71" s="2" t="s">
        <v>84</v>
      </c>
      <c r="BS71" s="3">
        <v>42963</v>
      </c>
      <c r="BT71" s="4">
        <v>0.4201388888888889</v>
      </c>
      <c r="BU71" s="2" t="s">
        <v>359</v>
      </c>
      <c r="BV71" s="2" t="s">
        <v>95</v>
      </c>
      <c r="BW71" s="2"/>
      <c r="BX71" s="2"/>
      <c r="BY71" s="2">
        <v>44152.13</v>
      </c>
      <c r="BZ71" s="2" t="s">
        <v>27</v>
      </c>
      <c r="CA71" s="2" t="s">
        <v>360</v>
      </c>
      <c r="CB71" s="2"/>
      <c r="CC71" s="2" t="s">
        <v>175</v>
      </c>
      <c r="CD71" s="2">
        <v>5201</v>
      </c>
      <c r="CE71" s="2" t="s">
        <v>89</v>
      </c>
      <c r="CF71" s="5">
        <v>42964</v>
      </c>
      <c r="CG71" s="2"/>
      <c r="CH71" s="2"/>
      <c r="CI71" s="2">
        <v>1</v>
      </c>
      <c r="CJ71" s="2">
        <v>1</v>
      </c>
      <c r="CK71" s="2">
        <v>31</v>
      </c>
      <c r="CL71" s="2" t="s">
        <v>86</v>
      </c>
      <c r="CM71" s="2"/>
    </row>
    <row r="72" spans="1:91">
      <c r="A72" s="2" t="s">
        <v>71</v>
      </c>
      <c r="B72" s="2" t="s">
        <v>72</v>
      </c>
      <c r="C72" s="2" t="s">
        <v>73</v>
      </c>
      <c r="D72" s="2"/>
      <c r="E72" s="2" t="str">
        <f>"FES1162569077"</f>
        <v>FES1162569077</v>
      </c>
      <c r="F72" s="3">
        <v>42962</v>
      </c>
      <c r="G72" s="2">
        <v>201802</v>
      </c>
      <c r="H72" s="2" t="s">
        <v>74</v>
      </c>
      <c r="I72" s="2" t="s">
        <v>75</v>
      </c>
      <c r="J72" s="2" t="s">
        <v>76</v>
      </c>
      <c r="K72" s="2" t="s">
        <v>77</v>
      </c>
      <c r="L72" s="2" t="s">
        <v>201</v>
      </c>
      <c r="M72" s="2" t="s">
        <v>202</v>
      </c>
      <c r="N72" s="2" t="s">
        <v>203</v>
      </c>
      <c r="O72" s="2" t="s">
        <v>100</v>
      </c>
      <c r="P72" s="2" t="str">
        <f>"2170585075                    "</f>
        <v xml:space="preserve">2170585075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4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1</v>
      </c>
      <c r="BJ72" s="2">
        <v>0.2</v>
      </c>
      <c r="BK72" s="2">
        <v>1</v>
      </c>
      <c r="BL72" s="2">
        <v>41.44</v>
      </c>
      <c r="BM72" s="2">
        <v>5.8</v>
      </c>
      <c r="BN72" s="2">
        <v>47.24</v>
      </c>
      <c r="BO72" s="2">
        <v>47.24</v>
      </c>
      <c r="BP72" s="2"/>
      <c r="BQ72" s="2" t="s">
        <v>83</v>
      </c>
      <c r="BR72" s="2" t="s">
        <v>84</v>
      </c>
      <c r="BS72" s="3">
        <v>42963</v>
      </c>
      <c r="BT72" s="4">
        <v>0.41666666666666669</v>
      </c>
      <c r="BU72" s="2" t="s">
        <v>361</v>
      </c>
      <c r="BV72" s="2" t="s">
        <v>95</v>
      </c>
      <c r="BW72" s="2"/>
      <c r="BX72" s="2"/>
      <c r="BY72" s="2">
        <v>1200</v>
      </c>
      <c r="BZ72" s="2"/>
      <c r="CA72" s="2"/>
      <c r="CB72" s="2"/>
      <c r="CC72" s="2" t="s">
        <v>202</v>
      </c>
      <c r="CD72" s="2">
        <v>7130</v>
      </c>
      <c r="CE72" s="2" t="s">
        <v>104</v>
      </c>
      <c r="CF72" s="5">
        <v>42964</v>
      </c>
      <c r="CG72" s="2"/>
      <c r="CH72" s="2"/>
      <c r="CI72" s="2">
        <v>1</v>
      </c>
      <c r="CJ72" s="2">
        <v>1</v>
      </c>
      <c r="CK72" s="2">
        <v>21</v>
      </c>
      <c r="CL72" s="2" t="s">
        <v>86</v>
      </c>
      <c r="CM72" s="2"/>
    </row>
    <row r="73" spans="1:91">
      <c r="A73" s="2" t="s">
        <v>71</v>
      </c>
      <c r="B73" s="2" t="s">
        <v>72</v>
      </c>
      <c r="C73" s="2" t="s">
        <v>73</v>
      </c>
      <c r="D73" s="2"/>
      <c r="E73" s="2" t="str">
        <f>"FES1162568920"</f>
        <v>FES1162568920</v>
      </c>
      <c r="F73" s="3">
        <v>42962</v>
      </c>
      <c r="G73" s="2">
        <v>201802</v>
      </c>
      <c r="H73" s="2" t="s">
        <v>74</v>
      </c>
      <c r="I73" s="2" t="s">
        <v>75</v>
      </c>
      <c r="J73" s="2" t="s">
        <v>76</v>
      </c>
      <c r="K73" s="2" t="s">
        <v>77</v>
      </c>
      <c r="L73" s="2" t="s">
        <v>311</v>
      </c>
      <c r="M73" s="2" t="s">
        <v>312</v>
      </c>
      <c r="N73" s="2" t="s">
        <v>313</v>
      </c>
      <c r="O73" s="2" t="s">
        <v>100</v>
      </c>
      <c r="P73" s="2" t="str">
        <f>"2170582779                    "</f>
        <v xml:space="preserve">2170582779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3.13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1</v>
      </c>
      <c r="BJ73" s="2">
        <v>0.2</v>
      </c>
      <c r="BK73" s="2">
        <v>1</v>
      </c>
      <c r="BL73" s="2">
        <v>32.380000000000003</v>
      </c>
      <c r="BM73" s="2">
        <v>4.53</v>
      </c>
      <c r="BN73" s="2">
        <v>36.909999999999997</v>
      </c>
      <c r="BO73" s="2">
        <v>36.909999999999997</v>
      </c>
      <c r="BP73" s="2"/>
      <c r="BQ73" s="2" t="s">
        <v>108</v>
      </c>
      <c r="BR73" s="2" t="s">
        <v>84</v>
      </c>
      <c r="BS73" s="3">
        <v>42963</v>
      </c>
      <c r="BT73" s="4">
        <v>0.34027777777777773</v>
      </c>
      <c r="BU73" s="2" t="s">
        <v>315</v>
      </c>
      <c r="BV73" s="2" t="s">
        <v>95</v>
      </c>
      <c r="BW73" s="2"/>
      <c r="BX73" s="2"/>
      <c r="BY73" s="2">
        <v>1200</v>
      </c>
      <c r="BZ73" s="2" t="s">
        <v>27</v>
      </c>
      <c r="CA73" s="2" t="s">
        <v>148</v>
      </c>
      <c r="CB73" s="2"/>
      <c r="CC73" s="2" t="s">
        <v>312</v>
      </c>
      <c r="CD73" s="2">
        <v>1559</v>
      </c>
      <c r="CE73" s="2" t="s">
        <v>104</v>
      </c>
      <c r="CF73" s="5">
        <v>42964</v>
      </c>
      <c r="CG73" s="2"/>
      <c r="CH73" s="2"/>
      <c r="CI73" s="2">
        <v>1</v>
      </c>
      <c r="CJ73" s="2">
        <v>1</v>
      </c>
      <c r="CK73" s="2">
        <v>22</v>
      </c>
      <c r="CL73" s="2" t="s">
        <v>86</v>
      </c>
      <c r="CM73" s="2"/>
    </row>
    <row r="74" spans="1:91">
      <c r="A74" s="2" t="s">
        <v>71</v>
      </c>
      <c r="B74" s="2" t="s">
        <v>72</v>
      </c>
      <c r="C74" s="2" t="s">
        <v>73</v>
      </c>
      <c r="D74" s="2"/>
      <c r="E74" s="2" t="str">
        <f>"FES1162569062"</f>
        <v>FES1162569062</v>
      </c>
      <c r="F74" s="3">
        <v>42962</v>
      </c>
      <c r="G74" s="2">
        <v>201802</v>
      </c>
      <c r="H74" s="2" t="s">
        <v>74</v>
      </c>
      <c r="I74" s="2" t="s">
        <v>75</v>
      </c>
      <c r="J74" s="2" t="s">
        <v>76</v>
      </c>
      <c r="K74" s="2" t="s">
        <v>77</v>
      </c>
      <c r="L74" s="2" t="s">
        <v>362</v>
      </c>
      <c r="M74" s="2" t="s">
        <v>363</v>
      </c>
      <c r="N74" s="2" t="s">
        <v>364</v>
      </c>
      <c r="O74" s="2" t="s">
        <v>100</v>
      </c>
      <c r="P74" s="2" t="str">
        <f>"2170582320                    "</f>
        <v xml:space="preserve">2170582320 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7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1.8</v>
      </c>
      <c r="BJ74" s="2">
        <v>3.3</v>
      </c>
      <c r="BK74" s="2">
        <v>3.5</v>
      </c>
      <c r="BL74" s="2">
        <v>72.52</v>
      </c>
      <c r="BM74" s="2">
        <v>10.15</v>
      </c>
      <c r="BN74" s="2">
        <v>82.67</v>
      </c>
      <c r="BO74" s="2">
        <v>82.67</v>
      </c>
      <c r="BP74" s="2"/>
      <c r="BQ74" s="2" t="s">
        <v>365</v>
      </c>
      <c r="BR74" s="2" t="s">
        <v>84</v>
      </c>
      <c r="BS74" s="3">
        <v>42963</v>
      </c>
      <c r="BT74" s="4">
        <v>0.38125000000000003</v>
      </c>
      <c r="BU74" s="2" t="s">
        <v>366</v>
      </c>
      <c r="BV74" s="2" t="s">
        <v>95</v>
      </c>
      <c r="BW74" s="2"/>
      <c r="BX74" s="2"/>
      <c r="BY74" s="2">
        <v>16528.8</v>
      </c>
      <c r="BZ74" s="2"/>
      <c r="CA74" s="2" t="s">
        <v>367</v>
      </c>
      <c r="CB74" s="2"/>
      <c r="CC74" s="2" t="s">
        <v>363</v>
      </c>
      <c r="CD74" s="2">
        <v>3201</v>
      </c>
      <c r="CE74" s="2" t="s">
        <v>89</v>
      </c>
      <c r="CF74" s="5">
        <v>42964</v>
      </c>
      <c r="CG74" s="2"/>
      <c r="CH74" s="2"/>
      <c r="CI74" s="2">
        <v>1</v>
      </c>
      <c r="CJ74" s="2">
        <v>1</v>
      </c>
      <c r="CK74" s="2">
        <v>21</v>
      </c>
      <c r="CL74" s="2" t="s">
        <v>86</v>
      </c>
      <c r="CM74" s="2"/>
    </row>
    <row r="75" spans="1:91">
      <c r="A75" s="2" t="s">
        <v>71</v>
      </c>
      <c r="B75" s="2" t="s">
        <v>72</v>
      </c>
      <c r="C75" s="2" t="s">
        <v>73</v>
      </c>
      <c r="D75" s="2"/>
      <c r="E75" s="2" t="str">
        <f>"FES1162568889"</f>
        <v>FES1162568889</v>
      </c>
      <c r="F75" s="3">
        <v>42962</v>
      </c>
      <c r="G75" s="2">
        <v>201802</v>
      </c>
      <c r="H75" s="2" t="s">
        <v>74</v>
      </c>
      <c r="I75" s="2" t="s">
        <v>75</v>
      </c>
      <c r="J75" s="2" t="s">
        <v>76</v>
      </c>
      <c r="K75" s="2" t="s">
        <v>77</v>
      </c>
      <c r="L75" s="2" t="s">
        <v>137</v>
      </c>
      <c r="M75" s="2" t="s">
        <v>138</v>
      </c>
      <c r="N75" s="2" t="s">
        <v>368</v>
      </c>
      <c r="O75" s="2" t="s">
        <v>100</v>
      </c>
      <c r="P75" s="2" t="str">
        <f>"2170579914                    "</f>
        <v xml:space="preserve">2170579914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4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1</v>
      </c>
      <c r="BJ75" s="2">
        <v>0.2</v>
      </c>
      <c r="BK75" s="2">
        <v>1</v>
      </c>
      <c r="BL75" s="2">
        <v>41.44</v>
      </c>
      <c r="BM75" s="2">
        <v>5.8</v>
      </c>
      <c r="BN75" s="2">
        <v>47.24</v>
      </c>
      <c r="BO75" s="2">
        <v>47.24</v>
      </c>
      <c r="BP75" s="2"/>
      <c r="BQ75" s="2" t="s">
        <v>108</v>
      </c>
      <c r="BR75" s="2" t="s">
        <v>84</v>
      </c>
      <c r="BS75" s="3">
        <v>42963</v>
      </c>
      <c r="BT75" s="4">
        <v>0.33888888888888885</v>
      </c>
      <c r="BU75" s="2" t="s">
        <v>369</v>
      </c>
      <c r="BV75" s="2" t="s">
        <v>95</v>
      </c>
      <c r="BW75" s="2"/>
      <c r="BX75" s="2"/>
      <c r="BY75" s="2">
        <v>1200</v>
      </c>
      <c r="BZ75" s="2" t="s">
        <v>27</v>
      </c>
      <c r="CA75" s="2"/>
      <c r="CB75" s="2"/>
      <c r="CC75" s="2" t="s">
        <v>138</v>
      </c>
      <c r="CD75" s="2">
        <v>157</v>
      </c>
      <c r="CE75" s="2" t="s">
        <v>104</v>
      </c>
      <c r="CF75" s="5">
        <v>42964</v>
      </c>
      <c r="CG75" s="2"/>
      <c r="CH75" s="2"/>
      <c r="CI75" s="2">
        <v>1</v>
      </c>
      <c r="CJ75" s="2">
        <v>1</v>
      </c>
      <c r="CK75" s="2">
        <v>21</v>
      </c>
      <c r="CL75" s="2" t="s">
        <v>86</v>
      </c>
      <c r="CM75" s="2"/>
    </row>
    <row r="76" spans="1:91">
      <c r="A76" s="2" t="s">
        <v>71</v>
      </c>
      <c r="B76" s="2" t="s">
        <v>72</v>
      </c>
      <c r="C76" s="2" t="s">
        <v>73</v>
      </c>
      <c r="D76" s="2"/>
      <c r="E76" s="2" t="str">
        <f>"FES1162568987"</f>
        <v>FES1162568987</v>
      </c>
      <c r="F76" s="3">
        <v>42962</v>
      </c>
      <c r="G76" s="2">
        <v>201802</v>
      </c>
      <c r="H76" s="2" t="s">
        <v>74</v>
      </c>
      <c r="I76" s="2" t="s">
        <v>75</v>
      </c>
      <c r="J76" s="2" t="s">
        <v>76</v>
      </c>
      <c r="K76" s="2" t="s">
        <v>77</v>
      </c>
      <c r="L76" s="2" t="s">
        <v>306</v>
      </c>
      <c r="M76" s="2" t="s">
        <v>307</v>
      </c>
      <c r="N76" s="2" t="s">
        <v>370</v>
      </c>
      <c r="O76" s="2" t="s">
        <v>100</v>
      </c>
      <c r="P76" s="2" t="str">
        <f>"2170580814                    "</f>
        <v xml:space="preserve">2170580814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4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</v>
      </c>
      <c r="BI76" s="2">
        <v>1</v>
      </c>
      <c r="BJ76" s="2">
        <v>0.2</v>
      </c>
      <c r="BK76" s="2">
        <v>1</v>
      </c>
      <c r="BL76" s="2">
        <v>41.44</v>
      </c>
      <c r="BM76" s="2">
        <v>5.8</v>
      </c>
      <c r="BN76" s="2">
        <v>47.24</v>
      </c>
      <c r="BO76" s="2">
        <v>47.24</v>
      </c>
      <c r="BP76" s="2"/>
      <c r="BQ76" s="2" t="s">
        <v>83</v>
      </c>
      <c r="BR76" s="2" t="s">
        <v>84</v>
      </c>
      <c r="BS76" s="3">
        <v>42963</v>
      </c>
      <c r="BT76" s="4">
        <v>0.5</v>
      </c>
      <c r="BU76" s="2" t="s">
        <v>371</v>
      </c>
      <c r="BV76" s="2" t="s">
        <v>86</v>
      </c>
      <c r="BW76" s="2" t="s">
        <v>124</v>
      </c>
      <c r="BX76" s="2" t="s">
        <v>199</v>
      </c>
      <c r="BY76" s="2">
        <v>1200</v>
      </c>
      <c r="BZ76" s="2"/>
      <c r="CA76" s="2" t="s">
        <v>148</v>
      </c>
      <c r="CB76" s="2"/>
      <c r="CC76" s="2" t="s">
        <v>307</v>
      </c>
      <c r="CD76" s="2">
        <v>1873</v>
      </c>
      <c r="CE76" s="2" t="s">
        <v>104</v>
      </c>
      <c r="CF76" s="5">
        <v>42964</v>
      </c>
      <c r="CG76" s="2"/>
      <c r="CH76" s="2"/>
      <c r="CI76" s="2">
        <v>1</v>
      </c>
      <c r="CJ76" s="2">
        <v>1</v>
      </c>
      <c r="CK76" s="2">
        <v>21</v>
      </c>
      <c r="CL76" s="2" t="s">
        <v>86</v>
      </c>
      <c r="CM76" s="2"/>
    </row>
    <row r="77" spans="1:91">
      <c r="A77" s="2" t="s">
        <v>71</v>
      </c>
      <c r="B77" s="2" t="s">
        <v>72</v>
      </c>
      <c r="C77" s="2" t="s">
        <v>73</v>
      </c>
      <c r="D77" s="2"/>
      <c r="E77" s="2" t="str">
        <f>"FES1162568892"</f>
        <v>FES1162568892</v>
      </c>
      <c r="F77" s="3">
        <v>42962</v>
      </c>
      <c r="G77" s="2">
        <v>201802</v>
      </c>
      <c r="H77" s="2" t="s">
        <v>74</v>
      </c>
      <c r="I77" s="2" t="s">
        <v>75</v>
      </c>
      <c r="J77" s="2" t="s">
        <v>76</v>
      </c>
      <c r="K77" s="2" t="s">
        <v>77</v>
      </c>
      <c r="L77" s="2" t="s">
        <v>149</v>
      </c>
      <c r="M77" s="2" t="s">
        <v>150</v>
      </c>
      <c r="N77" s="2" t="s">
        <v>372</v>
      </c>
      <c r="O77" s="2" t="s">
        <v>100</v>
      </c>
      <c r="P77" s="2" t="str">
        <f>"2170580395                    "</f>
        <v xml:space="preserve">2170580395 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7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1.4</v>
      </c>
      <c r="BJ77" s="2">
        <v>3.3</v>
      </c>
      <c r="BK77" s="2">
        <v>3.5</v>
      </c>
      <c r="BL77" s="2">
        <v>72.52</v>
      </c>
      <c r="BM77" s="2">
        <v>10.15</v>
      </c>
      <c r="BN77" s="2">
        <v>82.67</v>
      </c>
      <c r="BO77" s="2">
        <v>82.67</v>
      </c>
      <c r="BP77" s="2"/>
      <c r="BQ77" s="2" t="s">
        <v>83</v>
      </c>
      <c r="BR77" s="2" t="s">
        <v>84</v>
      </c>
      <c r="BS77" s="3">
        <v>42963</v>
      </c>
      <c r="BT77" s="4">
        <v>0.30208333333333331</v>
      </c>
      <c r="BU77" s="2" t="s">
        <v>373</v>
      </c>
      <c r="BV77" s="2" t="s">
        <v>95</v>
      </c>
      <c r="BW77" s="2"/>
      <c r="BX77" s="2"/>
      <c r="BY77" s="2">
        <v>16391.490000000002</v>
      </c>
      <c r="BZ77" s="2" t="s">
        <v>27</v>
      </c>
      <c r="CA77" s="2" t="s">
        <v>235</v>
      </c>
      <c r="CB77" s="2"/>
      <c r="CC77" s="2" t="s">
        <v>150</v>
      </c>
      <c r="CD77" s="2">
        <v>4052</v>
      </c>
      <c r="CE77" s="2" t="s">
        <v>89</v>
      </c>
      <c r="CF77" s="5">
        <v>42964</v>
      </c>
      <c r="CG77" s="2"/>
      <c r="CH77" s="2"/>
      <c r="CI77" s="2">
        <v>1</v>
      </c>
      <c r="CJ77" s="2">
        <v>1</v>
      </c>
      <c r="CK77" s="2">
        <v>21</v>
      </c>
      <c r="CL77" s="2" t="s">
        <v>86</v>
      </c>
      <c r="CM77" s="2"/>
    </row>
    <row r="78" spans="1:91">
      <c r="A78" s="2" t="s">
        <v>71</v>
      </c>
      <c r="B78" s="2" t="s">
        <v>72</v>
      </c>
      <c r="C78" s="2" t="s">
        <v>73</v>
      </c>
      <c r="D78" s="2"/>
      <c r="E78" s="2" t="str">
        <f>"FES1162569119"</f>
        <v>FES1162569119</v>
      </c>
      <c r="F78" s="3">
        <v>42962</v>
      </c>
      <c r="G78" s="2">
        <v>201802</v>
      </c>
      <c r="H78" s="2" t="s">
        <v>74</v>
      </c>
      <c r="I78" s="2" t="s">
        <v>75</v>
      </c>
      <c r="J78" s="2" t="s">
        <v>76</v>
      </c>
      <c r="K78" s="2" t="s">
        <v>77</v>
      </c>
      <c r="L78" s="2" t="s">
        <v>216</v>
      </c>
      <c r="M78" s="2" t="s">
        <v>217</v>
      </c>
      <c r="N78" s="2" t="s">
        <v>374</v>
      </c>
      <c r="O78" s="2" t="s">
        <v>100</v>
      </c>
      <c r="P78" s="2" t="str">
        <f>"2170585119                    "</f>
        <v xml:space="preserve">2170585119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3.13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1</v>
      </c>
      <c r="BI78" s="2">
        <v>2.2999999999999998</v>
      </c>
      <c r="BJ78" s="2">
        <v>3.3</v>
      </c>
      <c r="BK78" s="2">
        <v>4</v>
      </c>
      <c r="BL78" s="2">
        <v>32.380000000000003</v>
      </c>
      <c r="BM78" s="2">
        <v>4.53</v>
      </c>
      <c r="BN78" s="2">
        <v>36.909999999999997</v>
      </c>
      <c r="BO78" s="2">
        <v>36.909999999999997</v>
      </c>
      <c r="BP78" s="2"/>
      <c r="BQ78" s="2" t="s">
        <v>375</v>
      </c>
      <c r="BR78" s="2" t="s">
        <v>84</v>
      </c>
      <c r="BS78" s="3">
        <v>42963</v>
      </c>
      <c r="BT78" s="4">
        <v>0.4375</v>
      </c>
      <c r="BU78" s="2" t="s">
        <v>376</v>
      </c>
      <c r="BV78" s="2" t="s">
        <v>95</v>
      </c>
      <c r="BW78" s="2"/>
      <c r="BX78" s="2"/>
      <c r="BY78" s="2">
        <v>16538.11</v>
      </c>
      <c r="BZ78" s="2"/>
      <c r="CA78" s="2" t="s">
        <v>220</v>
      </c>
      <c r="CB78" s="2"/>
      <c r="CC78" s="2" t="s">
        <v>217</v>
      </c>
      <c r="CD78" s="2">
        <v>1451</v>
      </c>
      <c r="CE78" s="2" t="s">
        <v>89</v>
      </c>
      <c r="CF78" s="5">
        <v>42964</v>
      </c>
      <c r="CG78" s="2"/>
      <c r="CH78" s="2"/>
      <c r="CI78" s="2">
        <v>1</v>
      </c>
      <c r="CJ78" s="2">
        <v>1</v>
      </c>
      <c r="CK78" s="2">
        <v>22</v>
      </c>
      <c r="CL78" s="2" t="s">
        <v>86</v>
      </c>
      <c r="CM78" s="2"/>
    </row>
    <row r="79" spans="1:91">
      <c r="A79" s="2" t="s">
        <v>71</v>
      </c>
      <c r="B79" s="2" t="s">
        <v>72</v>
      </c>
      <c r="C79" s="2" t="s">
        <v>73</v>
      </c>
      <c r="D79" s="2"/>
      <c r="E79" s="2" t="str">
        <f>"FES1162568899"</f>
        <v>FES1162568899</v>
      </c>
      <c r="F79" s="3">
        <v>42962</v>
      </c>
      <c r="G79" s="2">
        <v>201802</v>
      </c>
      <c r="H79" s="2" t="s">
        <v>74</v>
      </c>
      <c r="I79" s="2" t="s">
        <v>75</v>
      </c>
      <c r="J79" s="2" t="s">
        <v>76</v>
      </c>
      <c r="K79" s="2" t="s">
        <v>77</v>
      </c>
      <c r="L79" s="2" t="s">
        <v>362</v>
      </c>
      <c r="M79" s="2" t="s">
        <v>363</v>
      </c>
      <c r="N79" s="2" t="s">
        <v>377</v>
      </c>
      <c r="O79" s="2" t="s">
        <v>100</v>
      </c>
      <c r="P79" s="2" t="str">
        <f>"2170582201                    "</f>
        <v xml:space="preserve">2170582201 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6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2.7</v>
      </c>
      <c r="BJ79" s="2">
        <v>1.7</v>
      </c>
      <c r="BK79" s="2">
        <v>3</v>
      </c>
      <c r="BL79" s="2">
        <v>62.16</v>
      </c>
      <c r="BM79" s="2">
        <v>8.6999999999999993</v>
      </c>
      <c r="BN79" s="2">
        <v>70.86</v>
      </c>
      <c r="BO79" s="2">
        <v>70.86</v>
      </c>
      <c r="BP79" s="2"/>
      <c r="BQ79" s="2" t="s">
        <v>209</v>
      </c>
      <c r="BR79" s="2" t="s">
        <v>84</v>
      </c>
      <c r="BS79" s="3">
        <v>42963</v>
      </c>
      <c r="BT79" s="4">
        <v>0.41250000000000003</v>
      </c>
      <c r="BU79" s="2" t="s">
        <v>378</v>
      </c>
      <c r="BV79" s="2" t="s">
        <v>95</v>
      </c>
      <c r="BW79" s="2"/>
      <c r="BX79" s="2"/>
      <c r="BY79" s="2">
        <v>8729.2000000000007</v>
      </c>
      <c r="BZ79" s="2" t="s">
        <v>27</v>
      </c>
      <c r="CA79" s="2" t="s">
        <v>379</v>
      </c>
      <c r="CB79" s="2"/>
      <c r="CC79" s="2" t="s">
        <v>363</v>
      </c>
      <c r="CD79" s="2">
        <v>3201</v>
      </c>
      <c r="CE79" s="2" t="s">
        <v>89</v>
      </c>
      <c r="CF79" s="5">
        <v>42964</v>
      </c>
      <c r="CG79" s="2"/>
      <c r="CH79" s="2"/>
      <c r="CI79" s="2">
        <v>1</v>
      </c>
      <c r="CJ79" s="2">
        <v>1</v>
      </c>
      <c r="CK79" s="2">
        <v>21</v>
      </c>
      <c r="CL79" s="2" t="s">
        <v>86</v>
      </c>
      <c r="CM79" s="2"/>
    </row>
    <row r="80" spans="1:91">
      <c r="A80" s="2" t="s">
        <v>71</v>
      </c>
      <c r="B80" s="2" t="s">
        <v>72</v>
      </c>
      <c r="C80" s="2" t="s">
        <v>73</v>
      </c>
      <c r="D80" s="2"/>
      <c r="E80" s="2" t="str">
        <f>"FES1162569083"</f>
        <v>FES1162569083</v>
      </c>
      <c r="F80" s="3">
        <v>42962</v>
      </c>
      <c r="G80" s="2">
        <v>201802</v>
      </c>
      <c r="H80" s="2" t="s">
        <v>74</v>
      </c>
      <c r="I80" s="2" t="s">
        <v>75</v>
      </c>
      <c r="J80" s="2" t="s">
        <v>76</v>
      </c>
      <c r="K80" s="2" t="s">
        <v>77</v>
      </c>
      <c r="L80" s="2" t="s">
        <v>97</v>
      </c>
      <c r="M80" s="2" t="s">
        <v>98</v>
      </c>
      <c r="N80" s="2" t="s">
        <v>380</v>
      </c>
      <c r="O80" s="2" t="s">
        <v>100</v>
      </c>
      <c r="P80" s="2" t="str">
        <f>"2170585082                    "</f>
        <v xml:space="preserve">2170585082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4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</v>
      </c>
      <c r="BJ80" s="2">
        <v>0.2</v>
      </c>
      <c r="BK80" s="2">
        <v>1</v>
      </c>
      <c r="BL80" s="2">
        <v>41.44</v>
      </c>
      <c r="BM80" s="2">
        <v>5.8</v>
      </c>
      <c r="BN80" s="2">
        <v>47.24</v>
      </c>
      <c r="BO80" s="2">
        <v>47.24</v>
      </c>
      <c r="BP80" s="2"/>
      <c r="BQ80" s="2" t="s">
        <v>381</v>
      </c>
      <c r="BR80" s="2" t="s">
        <v>84</v>
      </c>
      <c r="BS80" s="3">
        <v>42963</v>
      </c>
      <c r="BT80" s="4">
        <v>0.32291666666666669</v>
      </c>
      <c r="BU80" s="2" t="s">
        <v>382</v>
      </c>
      <c r="BV80" s="2" t="s">
        <v>95</v>
      </c>
      <c r="BW80" s="2"/>
      <c r="BX80" s="2"/>
      <c r="BY80" s="2">
        <v>1200</v>
      </c>
      <c r="BZ80" s="2"/>
      <c r="CA80" s="2" t="s">
        <v>213</v>
      </c>
      <c r="CB80" s="2"/>
      <c r="CC80" s="2" t="s">
        <v>98</v>
      </c>
      <c r="CD80" s="2">
        <v>6001</v>
      </c>
      <c r="CE80" s="2" t="s">
        <v>104</v>
      </c>
      <c r="CF80" s="5">
        <v>42964</v>
      </c>
      <c r="CG80" s="2"/>
      <c r="CH80" s="2"/>
      <c r="CI80" s="2">
        <v>1</v>
      </c>
      <c r="CJ80" s="2">
        <v>1</v>
      </c>
      <c r="CK80" s="2">
        <v>21</v>
      </c>
      <c r="CL80" s="2" t="s">
        <v>86</v>
      </c>
      <c r="CM80" s="2"/>
    </row>
    <row r="81" spans="1:91">
      <c r="A81" s="2" t="s">
        <v>71</v>
      </c>
      <c r="B81" s="2" t="s">
        <v>72</v>
      </c>
      <c r="C81" s="2" t="s">
        <v>73</v>
      </c>
      <c r="D81" s="2"/>
      <c r="E81" s="2" t="str">
        <f>"FES1162569008"</f>
        <v>FES1162569008</v>
      </c>
      <c r="F81" s="3">
        <v>42962</v>
      </c>
      <c r="G81" s="2">
        <v>201802</v>
      </c>
      <c r="H81" s="2" t="s">
        <v>74</v>
      </c>
      <c r="I81" s="2" t="s">
        <v>75</v>
      </c>
      <c r="J81" s="2" t="s">
        <v>76</v>
      </c>
      <c r="K81" s="2" t="s">
        <v>77</v>
      </c>
      <c r="L81" s="2" t="s">
        <v>383</v>
      </c>
      <c r="M81" s="2" t="s">
        <v>384</v>
      </c>
      <c r="N81" s="2" t="s">
        <v>385</v>
      </c>
      <c r="O81" s="2" t="s">
        <v>100</v>
      </c>
      <c r="P81" s="2" t="str">
        <f>"2170585002                    "</f>
        <v xml:space="preserve">2170585002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5.63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1</v>
      </c>
      <c r="BJ81" s="2">
        <v>0.2</v>
      </c>
      <c r="BK81" s="2">
        <v>1</v>
      </c>
      <c r="BL81" s="2">
        <v>58.28</v>
      </c>
      <c r="BM81" s="2">
        <v>8.16</v>
      </c>
      <c r="BN81" s="2">
        <v>66.44</v>
      </c>
      <c r="BO81" s="2">
        <v>66.44</v>
      </c>
      <c r="BP81" s="2"/>
      <c r="BQ81" s="2" t="s">
        <v>83</v>
      </c>
      <c r="BR81" s="2" t="s">
        <v>84</v>
      </c>
      <c r="BS81" s="3">
        <v>42963</v>
      </c>
      <c r="BT81" s="4">
        <v>0.74930555555555556</v>
      </c>
      <c r="BU81" s="2" t="s">
        <v>386</v>
      </c>
      <c r="BV81" s="2" t="s">
        <v>95</v>
      </c>
      <c r="BW81" s="2"/>
      <c r="BX81" s="2"/>
      <c r="BY81" s="2">
        <v>1200</v>
      </c>
      <c r="BZ81" s="2" t="s">
        <v>27</v>
      </c>
      <c r="CA81" s="2" t="s">
        <v>387</v>
      </c>
      <c r="CB81" s="2"/>
      <c r="CC81" s="2" t="s">
        <v>384</v>
      </c>
      <c r="CD81" s="2">
        <v>2210</v>
      </c>
      <c r="CE81" s="2" t="s">
        <v>104</v>
      </c>
      <c r="CF81" s="5">
        <v>42964</v>
      </c>
      <c r="CG81" s="2"/>
      <c r="CH81" s="2"/>
      <c r="CI81" s="2">
        <v>1</v>
      </c>
      <c r="CJ81" s="2">
        <v>1</v>
      </c>
      <c r="CK81" s="2">
        <v>24</v>
      </c>
      <c r="CL81" s="2" t="s">
        <v>86</v>
      </c>
      <c r="CM81" s="2"/>
    </row>
    <row r="82" spans="1:91">
      <c r="A82" s="2" t="s">
        <v>71</v>
      </c>
      <c r="B82" s="2" t="s">
        <v>72</v>
      </c>
      <c r="C82" s="2" t="s">
        <v>73</v>
      </c>
      <c r="D82" s="2"/>
      <c r="E82" s="2" t="str">
        <f>"FES1162569061"</f>
        <v>FES1162569061</v>
      </c>
      <c r="F82" s="3">
        <v>42962</v>
      </c>
      <c r="G82" s="2">
        <v>201802</v>
      </c>
      <c r="H82" s="2" t="s">
        <v>74</v>
      </c>
      <c r="I82" s="2" t="s">
        <v>75</v>
      </c>
      <c r="J82" s="2" t="s">
        <v>76</v>
      </c>
      <c r="K82" s="2" t="s">
        <v>77</v>
      </c>
      <c r="L82" s="2" t="s">
        <v>144</v>
      </c>
      <c r="M82" s="2" t="s">
        <v>145</v>
      </c>
      <c r="N82" s="2" t="s">
        <v>146</v>
      </c>
      <c r="O82" s="2" t="s">
        <v>100</v>
      </c>
      <c r="P82" s="2" t="str">
        <f>"2170584756                    "</f>
        <v xml:space="preserve">2170584756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3.13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4.4000000000000004</v>
      </c>
      <c r="BJ82" s="2">
        <v>3.2</v>
      </c>
      <c r="BK82" s="2">
        <v>5</v>
      </c>
      <c r="BL82" s="2">
        <v>32.380000000000003</v>
      </c>
      <c r="BM82" s="2">
        <v>4.53</v>
      </c>
      <c r="BN82" s="2">
        <v>36.909999999999997</v>
      </c>
      <c r="BO82" s="2">
        <v>36.909999999999997</v>
      </c>
      <c r="BP82" s="2"/>
      <c r="BQ82" s="2" t="s">
        <v>83</v>
      </c>
      <c r="BR82" s="2" t="s">
        <v>84</v>
      </c>
      <c r="BS82" s="3">
        <v>42963</v>
      </c>
      <c r="BT82" s="4">
        <v>0.37152777777777773</v>
      </c>
      <c r="BU82" s="2" t="s">
        <v>273</v>
      </c>
      <c r="BV82" s="2" t="s">
        <v>95</v>
      </c>
      <c r="BW82" s="2"/>
      <c r="BX82" s="2"/>
      <c r="BY82" s="2">
        <v>16125.34</v>
      </c>
      <c r="BZ82" s="2"/>
      <c r="CA82" s="2" t="s">
        <v>274</v>
      </c>
      <c r="CB82" s="2"/>
      <c r="CC82" s="2" t="s">
        <v>145</v>
      </c>
      <c r="CD82" s="2">
        <v>2094</v>
      </c>
      <c r="CE82" s="2" t="s">
        <v>89</v>
      </c>
      <c r="CF82" s="5">
        <v>42964</v>
      </c>
      <c r="CG82" s="2"/>
      <c r="CH82" s="2"/>
      <c r="CI82" s="2">
        <v>1</v>
      </c>
      <c r="CJ82" s="2">
        <v>1</v>
      </c>
      <c r="CK82" s="2">
        <v>22</v>
      </c>
      <c r="CL82" s="2" t="s">
        <v>86</v>
      </c>
      <c r="CM82" s="2"/>
    </row>
    <row r="83" spans="1:91">
      <c r="A83" s="2" t="s">
        <v>71</v>
      </c>
      <c r="B83" s="2" t="s">
        <v>72</v>
      </c>
      <c r="C83" s="2" t="s">
        <v>73</v>
      </c>
      <c r="D83" s="2"/>
      <c r="E83" s="2" t="str">
        <f>"FES1162568873"</f>
        <v>FES1162568873</v>
      </c>
      <c r="F83" s="3">
        <v>42962</v>
      </c>
      <c r="G83" s="2">
        <v>201802</v>
      </c>
      <c r="H83" s="2" t="s">
        <v>74</v>
      </c>
      <c r="I83" s="2" t="s">
        <v>75</v>
      </c>
      <c r="J83" s="2" t="s">
        <v>76</v>
      </c>
      <c r="K83" s="2" t="s">
        <v>77</v>
      </c>
      <c r="L83" s="2" t="s">
        <v>237</v>
      </c>
      <c r="M83" s="2" t="s">
        <v>238</v>
      </c>
      <c r="N83" s="2" t="s">
        <v>388</v>
      </c>
      <c r="O83" s="2" t="s">
        <v>100</v>
      </c>
      <c r="P83" s="2" t="str">
        <f>"2170584930                    "</f>
        <v xml:space="preserve">2170584930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4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1.1000000000000001</v>
      </c>
      <c r="BJ83" s="2">
        <v>1.2</v>
      </c>
      <c r="BK83" s="2">
        <v>1.5</v>
      </c>
      <c r="BL83" s="2">
        <v>41.44</v>
      </c>
      <c r="BM83" s="2">
        <v>5.8</v>
      </c>
      <c r="BN83" s="2">
        <v>47.24</v>
      </c>
      <c r="BO83" s="2">
        <v>47.24</v>
      </c>
      <c r="BP83" s="2"/>
      <c r="BQ83" s="2" t="s">
        <v>288</v>
      </c>
      <c r="BR83" s="2" t="s">
        <v>84</v>
      </c>
      <c r="BS83" s="3">
        <v>42963</v>
      </c>
      <c r="BT83" s="4">
        <v>0.375</v>
      </c>
      <c r="BU83" s="2" t="s">
        <v>109</v>
      </c>
      <c r="BV83" s="2" t="s">
        <v>95</v>
      </c>
      <c r="BW83" s="2"/>
      <c r="BX83" s="2"/>
      <c r="BY83" s="2">
        <v>6072</v>
      </c>
      <c r="BZ83" s="2" t="s">
        <v>27</v>
      </c>
      <c r="CA83" s="2" t="s">
        <v>389</v>
      </c>
      <c r="CB83" s="2"/>
      <c r="CC83" s="2" t="s">
        <v>238</v>
      </c>
      <c r="CD83" s="2">
        <v>3610</v>
      </c>
      <c r="CE83" s="2" t="s">
        <v>89</v>
      </c>
      <c r="CF83" s="5">
        <v>42964</v>
      </c>
      <c r="CG83" s="2"/>
      <c r="CH83" s="2"/>
      <c r="CI83" s="2">
        <v>1</v>
      </c>
      <c r="CJ83" s="2">
        <v>1</v>
      </c>
      <c r="CK83" s="2">
        <v>21</v>
      </c>
      <c r="CL83" s="2" t="s">
        <v>86</v>
      </c>
      <c r="CM83" s="2"/>
    </row>
    <row r="84" spans="1:91">
      <c r="A84" s="2" t="s">
        <v>71</v>
      </c>
      <c r="B84" s="2" t="s">
        <v>72</v>
      </c>
      <c r="C84" s="2" t="s">
        <v>73</v>
      </c>
      <c r="D84" s="2"/>
      <c r="E84" s="2" t="str">
        <f>"FES1162569088"</f>
        <v>FES1162569088</v>
      </c>
      <c r="F84" s="3">
        <v>42962</v>
      </c>
      <c r="G84" s="2">
        <v>201802</v>
      </c>
      <c r="H84" s="2" t="s">
        <v>74</v>
      </c>
      <c r="I84" s="2" t="s">
        <v>75</v>
      </c>
      <c r="J84" s="2" t="s">
        <v>76</v>
      </c>
      <c r="K84" s="2" t="s">
        <v>77</v>
      </c>
      <c r="L84" s="2" t="s">
        <v>97</v>
      </c>
      <c r="M84" s="2" t="s">
        <v>98</v>
      </c>
      <c r="N84" s="2" t="s">
        <v>248</v>
      </c>
      <c r="O84" s="2" t="s">
        <v>100</v>
      </c>
      <c r="P84" s="2" t="str">
        <f>"2170585089                    "</f>
        <v xml:space="preserve">2170585089 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4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1</v>
      </c>
      <c r="BJ84" s="2">
        <v>0.2</v>
      </c>
      <c r="BK84" s="2">
        <v>1</v>
      </c>
      <c r="BL84" s="2">
        <v>41.44</v>
      </c>
      <c r="BM84" s="2">
        <v>5.8</v>
      </c>
      <c r="BN84" s="2">
        <v>47.24</v>
      </c>
      <c r="BO84" s="2">
        <v>47.24</v>
      </c>
      <c r="BP84" s="2"/>
      <c r="BQ84" s="2" t="s">
        <v>83</v>
      </c>
      <c r="BR84" s="2" t="s">
        <v>84</v>
      </c>
      <c r="BS84" s="3">
        <v>42963</v>
      </c>
      <c r="BT84" s="4">
        <v>0.34375</v>
      </c>
      <c r="BU84" s="2" t="s">
        <v>390</v>
      </c>
      <c r="BV84" s="2" t="s">
        <v>95</v>
      </c>
      <c r="BW84" s="2"/>
      <c r="BX84" s="2"/>
      <c r="BY84" s="2">
        <v>1200</v>
      </c>
      <c r="BZ84" s="2"/>
      <c r="CA84" s="2" t="s">
        <v>294</v>
      </c>
      <c r="CB84" s="2"/>
      <c r="CC84" s="2" t="s">
        <v>98</v>
      </c>
      <c r="CD84" s="2">
        <v>6001</v>
      </c>
      <c r="CE84" s="2" t="s">
        <v>104</v>
      </c>
      <c r="CF84" s="5">
        <v>42964</v>
      </c>
      <c r="CG84" s="2"/>
      <c r="CH84" s="2"/>
      <c r="CI84" s="2">
        <v>1</v>
      </c>
      <c r="CJ84" s="2">
        <v>1</v>
      </c>
      <c r="CK84" s="2">
        <v>21</v>
      </c>
      <c r="CL84" s="2" t="s">
        <v>86</v>
      </c>
      <c r="CM84" s="2"/>
    </row>
    <row r="85" spans="1:91">
      <c r="A85" s="2" t="s">
        <v>71</v>
      </c>
      <c r="B85" s="2" t="s">
        <v>72</v>
      </c>
      <c r="C85" s="2" t="s">
        <v>73</v>
      </c>
      <c r="D85" s="2"/>
      <c r="E85" s="2" t="str">
        <f>"FES1162568852"</f>
        <v>FES1162568852</v>
      </c>
      <c r="F85" s="3">
        <v>42962</v>
      </c>
      <c r="G85" s="2">
        <v>201802</v>
      </c>
      <c r="H85" s="2" t="s">
        <v>74</v>
      </c>
      <c r="I85" s="2" t="s">
        <v>75</v>
      </c>
      <c r="J85" s="2" t="s">
        <v>76</v>
      </c>
      <c r="K85" s="2" t="s">
        <v>77</v>
      </c>
      <c r="L85" s="2" t="s">
        <v>268</v>
      </c>
      <c r="M85" s="2" t="s">
        <v>269</v>
      </c>
      <c r="N85" s="2" t="s">
        <v>391</v>
      </c>
      <c r="O85" s="2" t="s">
        <v>100</v>
      </c>
      <c r="P85" s="2" t="str">
        <f>"2170581831                    "</f>
        <v xml:space="preserve">2170581831  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4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1</v>
      </c>
      <c r="BJ85" s="2">
        <v>0.2</v>
      </c>
      <c r="BK85" s="2">
        <v>1</v>
      </c>
      <c r="BL85" s="2">
        <v>41.44</v>
      </c>
      <c r="BM85" s="2">
        <v>5.8</v>
      </c>
      <c r="BN85" s="2">
        <v>47.24</v>
      </c>
      <c r="BO85" s="2">
        <v>47.24</v>
      </c>
      <c r="BP85" s="2"/>
      <c r="BQ85" s="2" t="s">
        <v>83</v>
      </c>
      <c r="BR85" s="2" t="s">
        <v>84</v>
      </c>
      <c r="BS85" s="3">
        <v>42963</v>
      </c>
      <c r="BT85" s="4">
        <v>0.52430555555555558</v>
      </c>
      <c r="BU85" s="2" t="s">
        <v>392</v>
      </c>
      <c r="BV85" s="2" t="s">
        <v>86</v>
      </c>
      <c r="BW85" s="2"/>
      <c r="BX85" s="2"/>
      <c r="BY85" s="2">
        <v>1200</v>
      </c>
      <c r="BZ85" s="2" t="s">
        <v>27</v>
      </c>
      <c r="CA85" s="2"/>
      <c r="CB85" s="2"/>
      <c r="CC85" s="2" t="s">
        <v>269</v>
      </c>
      <c r="CD85" s="2">
        <v>182</v>
      </c>
      <c r="CE85" s="2" t="s">
        <v>104</v>
      </c>
      <c r="CF85" s="5">
        <v>42964</v>
      </c>
      <c r="CG85" s="2"/>
      <c r="CH85" s="2"/>
      <c r="CI85" s="2">
        <v>1</v>
      </c>
      <c r="CJ85" s="2">
        <v>1</v>
      </c>
      <c r="CK85" s="2">
        <v>21</v>
      </c>
      <c r="CL85" s="2" t="s">
        <v>86</v>
      </c>
      <c r="CM85" s="2"/>
    </row>
    <row r="86" spans="1:91">
      <c r="A86" s="2" t="s">
        <v>71</v>
      </c>
      <c r="B86" s="2" t="s">
        <v>72</v>
      </c>
      <c r="C86" s="2" t="s">
        <v>73</v>
      </c>
      <c r="D86" s="2"/>
      <c r="E86" s="2" t="str">
        <f>"FES1162569112"</f>
        <v>FES1162569112</v>
      </c>
      <c r="F86" s="3">
        <v>42962</v>
      </c>
      <c r="G86" s="2">
        <v>201802</v>
      </c>
      <c r="H86" s="2" t="s">
        <v>74</v>
      </c>
      <c r="I86" s="2" t="s">
        <v>75</v>
      </c>
      <c r="J86" s="2" t="s">
        <v>76</v>
      </c>
      <c r="K86" s="2" t="s">
        <v>77</v>
      </c>
      <c r="L86" s="2" t="s">
        <v>144</v>
      </c>
      <c r="M86" s="2" t="s">
        <v>145</v>
      </c>
      <c r="N86" s="2" t="s">
        <v>146</v>
      </c>
      <c r="O86" s="2" t="s">
        <v>100</v>
      </c>
      <c r="P86" s="2" t="str">
        <f>"2170585111                    "</f>
        <v xml:space="preserve">2170585111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3.13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1.3</v>
      </c>
      <c r="BJ86" s="2">
        <v>2</v>
      </c>
      <c r="BK86" s="2">
        <v>2</v>
      </c>
      <c r="BL86" s="2">
        <v>32.380000000000003</v>
      </c>
      <c r="BM86" s="2">
        <v>4.53</v>
      </c>
      <c r="BN86" s="2">
        <v>36.909999999999997</v>
      </c>
      <c r="BO86" s="2">
        <v>36.909999999999997</v>
      </c>
      <c r="BP86" s="2"/>
      <c r="BQ86" s="2" t="s">
        <v>83</v>
      </c>
      <c r="BR86" s="2" t="s">
        <v>84</v>
      </c>
      <c r="BS86" s="3">
        <v>42963</v>
      </c>
      <c r="BT86" s="4">
        <v>0.37152777777777773</v>
      </c>
      <c r="BU86" s="2" t="s">
        <v>273</v>
      </c>
      <c r="BV86" s="2" t="s">
        <v>95</v>
      </c>
      <c r="BW86" s="2"/>
      <c r="BX86" s="2"/>
      <c r="BY86" s="2">
        <v>9881.0300000000007</v>
      </c>
      <c r="BZ86" s="2"/>
      <c r="CA86" s="2" t="s">
        <v>274</v>
      </c>
      <c r="CB86" s="2"/>
      <c r="CC86" s="2" t="s">
        <v>145</v>
      </c>
      <c r="CD86" s="2">
        <v>2094</v>
      </c>
      <c r="CE86" s="2" t="s">
        <v>89</v>
      </c>
      <c r="CF86" s="5">
        <v>42964</v>
      </c>
      <c r="CG86" s="2"/>
      <c r="CH86" s="2"/>
      <c r="CI86" s="2">
        <v>1</v>
      </c>
      <c r="CJ86" s="2">
        <v>1</v>
      </c>
      <c r="CK86" s="2">
        <v>22</v>
      </c>
      <c r="CL86" s="2" t="s">
        <v>86</v>
      </c>
      <c r="CM86" s="2"/>
    </row>
    <row r="87" spans="1:91">
      <c r="A87" s="2" t="s">
        <v>71</v>
      </c>
      <c r="B87" s="2" t="s">
        <v>72</v>
      </c>
      <c r="C87" s="2" t="s">
        <v>73</v>
      </c>
      <c r="D87" s="2"/>
      <c r="E87" s="2" t="str">
        <f>"FES1162568905"</f>
        <v>FES1162568905</v>
      </c>
      <c r="F87" s="3">
        <v>42962</v>
      </c>
      <c r="G87" s="2">
        <v>201802</v>
      </c>
      <c r="H87" s="2" t="s">
        <v>74</v>
      </c>
      <c r="I87" s="2" t="s">
        <v>75</v>
      </c>
      <c r="J87" s="2" t="s">
        <v>76</v>
      </c>
      <c r="K87" s="2" t="s">
        <v>77</v>
      </c>
      <c r="L87" s="2" t="s">
        <v>144</v>
      </c>
      <c r="M87" s="2" t="s">
        <v>145</v>
      </c>
      <c r="N87" s="2" t="s">
        <v>393</v>
      </c>
      <c r="O87" s="2" t="s">
        <v>100</v>
      </c>
      <c r="P87" s="2" t="str">
        <f>"2170582351                    "</f>
        <v xml:space="preserve">2170582351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3.13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1</v>
      </c>
      <c r="BJ87" s="2">
        <v>0.2</v>
      </c>
      <c r="BK87" s="2">
        <v>1</v>
      </c>
      <c r="BL87" s="2">
        <v>32.380000000000003</v>
      </c>
      <c r="BM87" s="2">
        <v>4.53</v>
      </c>
      <c r="BN87" s="2">
        <v>36.909999999999997</v>
      </c>
      <c r="BO87" s="2">
        <v>36.909999999999997</v>
      </c>
      <c r="BP87" s="2"/>
      <c r="BQ87" s="2" t="s">
        <v>394</v>
      </c>
      <c r="BR87" s="2" t="s">
        <v>84</v>
      </c>
      <c r="BS87" s="3">
        <v>42963</v>
      </c>
      <c r="BT87" s="4">
        <v>0.34583333333333338</v>
      </c>
      <c r="BU87" s="2" t="s">
        <v>395</v>
      </c>
      <c r="BV87" s="2" t="s">
        <v>95</v>
      </c>
      <c r="BW87" s="2"/>
      <c r="BX87" s="2"/>
      <c r="BY87" s="2">
        <v>1200</v>
      </c>
      <c r="BZ87" s="2" t="s">
        <v>27</v>
      </c>
      <c r="CA87" s="2" t="s">
        <v>396</v>
      </c>
      <c r="CB87" s="2"/>
      <c r="CC87" s="2" t="s">
        <v>145</v>
      </c>
      <c r="CD87" s="2">
        <v>2001</v>
      </c>
      <c r="CE87" s="2" t="s">
        <v>104</v>
      </c>
      <c r="CF87" s="5">
        <v>42964</v>
      </c>
      <c r="CG87" s="2"/>
      <c r="CH87" s="2"/>
      <c r="CI87" s="2">
        <v>1</v>
      </c>
      <c r="CJ87" s="2">
        <v>1</v>
      </c>
      <c r="CK87" s="2">
        <v>22</v>
      </c>
      <c r="CL87" s="2" t="s">
        <v>86</v>
      </c>
      <c r="CM87" s="2"/>
    </row>
    <row r="88" spans="1:91">
      <c r="A88" s="2" t="s">
        <v>71</v>
      </c>
      <c r="B88" s="2" t="s">
        <v>72</v>
      </c>
      <c r="C88" s="2" t="s">
        <v>73</v>
      </c>
      <c r="D88" s="2"/>
      <c r="E88" s="2" t="str">
        <f>"FES1162569087"</f>
        <v>FES1162569087</v>
      </c>
      <c r="F88" s="3">
        <v>42962</v>
      </c>
      <c r="G88" s="2">
        <v>201802</v>
      </c>
      <c r="H88" s="2" t="s">
        <v>74</v>
      </c>
      <c r="I88" s="2" t="s">
        <v>75</v>
      </c>
      <c r="J88" s="2" t="s">
        <v>76</v>
      </c>
      <c r="K88" s="2" t="s">
        <v>77</v>
      </c>
      <c r="L88" s="2" t="s">
        <v>97</v>
      </c>
      <c r="M88" s="2" t="s">
        <v>98</v>
      </c>
      <c r="N88" s="2" t="s">
        <v>397</v>
      </c>
      <c r="O88" s="2" t="s">
        <v>100</v>
      </c>
      <c r="P88" s="2" t="str">
        <f>"2170585087                    "</f>
        <v xml:space="preserve">2170585087              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4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1</v>
      </c>
      <c r="BJ88" s="2">
        <v>0.2</v>
      </c>
      <c r="BK88" s="2">
        <v>1</v>
      </c>
      <c r="BL88" s="2">
        <v>41.44</v>
      </c>
      <c r="BM88" s="2">
        <v>5.8</v>
      </c>
      <c r="BN88" s="2">
        <v>47.24</v>
      </c>
      <c r="BO88" s="2">
        <v>47.24</v>
      </c>
      <c r="BP88" s="2"/>
      <c r="BQ88" s="2" t="s">
        <v>83</v>
      </c>
      <c r="BR88" s="2" t="s">
        <v>84</v>
      </c>
      <c r="BS88" s="3">
        <v>42963</v>
      </c>
      <c r="BT88" s="4">
        <v>0.30555555555555552</v>
      </c>
      <c r="BU88" s="2" t="s">
        <v>398</v>
      </c>
      <c r="BV88" s="2" t="s">
        <v>95</v>
      </c>
      <c r="BW88" s="2"/>
      <c r="BX88" s="2"/>
      <c r="BY88" s="2">
        <v>1200</v>
      </c>
      <c r="BZ88" s="2"/>
      <c r="CA88" s="2" t="s">
        <v>286</v>
      </c>
      <c r="CB88" s="2"/>
      <c r="CC88" s="2" t="s">
        <v>98</v>
      </c>
      <c r="CD88" s="2">
        <v>6020</v>
      </c>
      <c r="CE88" s="2" t="s">
        <v>104</v>
      </c>
      <c r="CF88" s="5">
        <v>42964</v>
      </c>
      <c r="CG88" s="2"/>
      <c r="CH88" s="2"/>
      <c r="CI88" s="2">
        <v>1</v>
      </c>
      <c r="CJ88" s="2">
        <v>1</v>
      </c>
      <c r="CK88" s="2">
        <v>21</v>
      </c>
      <c r="CL88" s="2" t="s">
        <v>86</v>
      </c>
      <c r="CM88" s="2"/>
    </row>
    <row r="89" spans="1:91">
      <c r="A89" s="2" t="s">
        <v>71</v>
      </c>
      <c r="B89" s="2" t="s">
        <v>72</v>
      </c>
      <c r="C89" s="2" t="s">
        <v>73</v>
      </c>
      <c r="D89" s="2"/>
      <c r="E89" s="2" t="str">
        <f>"FES1162568927"</f>
        <v>FES1162568927</v>
      </c>
      <c r="F89" s="3">
        <v>42962</v>
      </c>
      <c r="G89" s="2">
        <v>201802</v>
      </c>
      <c r="H89" s="2" t="s">
        <v>74</v>
      </c>
      <c r="I89" s="2" t="s">
        <v>75</v>
      </c>
      <c r="J89" s="2" t="s">
        <v>76</v>
      </c>
      <c r="K89" s="2" t="s">
        <v>77</v>
      </c>
      <c r="L89" s="2" t="s">
        <v>237</v>
      </c>
      <c r="M89" s="2" t="s">
        <v>238</v>
      </c>
      <c r="N89" s="2" t="s">
        <v>399</v>
      </c>
      <c r="O89" s="2" t="s">
        <v>100</v>
      </c>
      <c r="P89" s="2" t="str">
        <f>"2170583205                    "</f>
        <v xml:space="preserve">2170583205 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4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1</v>
      </c>
      <c r="BJ89" s="2">
        <v>0.2</v>
      </c>
      <c r="BK89" s="2">
        <v>1</v>
      </c>
      <c r="BL89" s="2">
        <v>41.44</v>
      </c>
      <c r="BM89" s="2">
        <v>5.8</v>
      </c>
      <c r="BN89" s="2">
        <v>47.24</v>
      </c>
      <c r="BO89" s="2">
        <v>47.24</v>
      </c>
      <c r="BP89" s="2"/>
      <c r="BQ89" s="2" t="s">
        <v>108</v>
      </c>
      <c r="BR89" s="2" t="s">
        <v>84</v>
      </c>
      <c r="BS89" s="3">
        <v>42964</v>
      </c>
      <c r="BT89" s="4">
        <v>0.4145833333333333</v>
      </c>
      <c r="BU89" s="2" t="s">
        <v>400</v>
      </c>
      <c r="BV89" s="2" t="s">
        <v>86</v>
      </c>
      <c r="BW89" s="2" t="s">
        <v>124</v>
      </c>
      <c r="BX89" s="2" t="s">
        <v>337</v>
      </c>
      <c r="BY89" s="2">
        <v>1200</v>
      </c>
      <c r="BZ89" s="2" t="s">
        <v>27</v>
      </c>
      <c r="CA89" s="2" t="s">
        <v>401</v>
      </c>
      <c r="CB89" s="2"/>
      <c r="CC89" s="2" t="s">
        <v>238</v>
      </c>
      <c r="CD89" s="2">
        <v>3610</v>
      </c>
      <c r="CE89" s="2" t="s">
        <v>104</v>
      </c>
      <c r="CF89" s="5">
        <v>42964</v>
      </c>
      <c r="CG89" s="2"/>
      <c r="CH89" s="2"/>
      <c r="CI89" s="2">
        <v>1</v>
      </c>
      <c r="CJ89" s="2">
        <v>2</v>
      </c>
      <c r="CK89" s="2">
        <v>21</v>
      </c>
      <c r="CL89" s="2" t="s">
        <v>86</v>
      </c>
      <c r="CM89" s="2"/>
    </row>
    <row r="90" spans="1:91">
      <c r="A90" s="2" t="s">
        <v>71</v>
      </c>
      <c r="B90" s="2" t="s">
        <v>72</v>
      </c>
      <c r="C90" s="2" t="s">
        <v>73</v>
      </c>
      <c r="D90" s="2"/>
      <c r="E90" s="2" t="str">
        <f>"FES1162568895"</f>
        <v>FES1162568895</v>
      </c>
      <c r="F90" s="3">
        <v>42962</v>
      </c>
      <c r="G90" s="2">
        <v>201802</v>
      </c>
      <c r="H90" s="2" t="s">
        <v>74</v>
      </c>
      <c r="I90" s="2" t="s">
        <v>75</v>
      </c>
      <c r="J90" s="2" t="s">
        <v>76</v>
      </c>
      <c r="K90" s="2" t="s">
        <v>77</v>
      </c>
      <c r="L90" s="2" t="s">
        <v>74</v>
      </c>
      <c r="M90" s="2" t="s">
        <v>75</v>
      </c>
      <c r="N90" s="2" t="s">
        <v>402</v>
      </c>
      <c r="O90" s="2" t="s">
        <v>100</v>
      </c>
      <c r="P90" s="2" t="str">
        <f>"2170581280                    "</f>
        <v xml:space="preserve">2170581280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3.13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</v>
      </c>
      <c r="BI90" s="2">
        <v>1</v>
      </c>
      <c r="BJ90" s="2">
        <v>0.2</v>
      </c>
      <c r="BK90" s="2">
        <v>1</v>
      </c>
      <c r="BL90" s="2">
        <v>32.380000000000003</v>
      </c>
      <c r="BM90" s="2">
        <v>4.53</v>
      </c>
      <c r="BN90" s="2">
        <v>36.909999999999997</v>
      </c>
      <c r="BO90" s="2">
        <v>36.909999999999997</v>
      </c>
      <c r="BP90" s="2"/>
      <c r="BQ90" s="2" t="s">
        <v>403</v>
      </c>
      <c r="BR90" s="2" t="s">
        <v>84</v>
      </c>
      <c r="BS90" s="3">
        <v>42963</v>
      </c>
      <c r="BT90" s="4">
        <v>0.36458333333333331</v>
      </c>
      <c r="BU90" s="2" t="s">
        <v>404</v>
      </c>
      <c r="BV90" s="2" t="s">
        <v>95</v>
      </c>
      <c r="BW90" s="2"/>
      <c r="BX90" s="2"/>
      <c r="BY90" s="2">
        <v>1200</v>
      </c>
      <c r="BZ90" s="2" t="s">
        <v>27</v>
      </c>
      <c r="CA90" s="2" t="s">
        <v>405</v>
      </c>
      <c r="CB90" s="2"/>
      <c r="CC90" s="2" t="s">
        <v>75</v>
      </c>
      <c r="CD90" s="2">
        <v>1665</v>
      </c>
      <c r="CE90" s="2" t="s">
        <v>104</v>
      </c>
      <c r="CF90" s="5">
        <v>42964</v>
      </c>
      <c r="CG90" s="2"/>
      <c r="CH90" s="2"/>
      <c r="CI90" s="2">
        <v>1</v>
      </c>
      <c r="CJ90" s="2">
        <v>1</v>
      </c>
      <c r="CK90" s="2">
        <v>22</v>
      </c>
      <c r="CL90" s="2" t="s">
        <v>86</v>
      </c>
      <c r="CM90" s="2"/>
    </row>
    <row r="91" spans="1:91">
      <c r="A91" s="2" t="s">
        <v>71</v>
      </c>
      <c r="B91" s="2" t="s">
        <v>72</v>
      </c>
      <c r="C91" s="2" t="s">
        <v>73</v>
      </c>
      <c r="D91" s="2"/>
      <c r="E91" s="2" t="str">
        <f>"FES1162568946"</f>
        <v>FES1162568946</v>
      </c>
      <c r="F91" s="3">
        <v>42962</v>
      </c>
      <c r="G91" s="2">
        <v>201802</v>
      </c>
      <c r="H91" s="2" t="s">
        <v>74</v>
      </c>
      <c r="I91" s="2" t="s">
        <v>75</v>
      </c>
      <c r="J91" s="2" t="s">
        <v>76</v>
      </c>
      <c r="K91" s="2" t="s">
        <v>77</v>
      </c>
      <c r="L91" s="2" t="s">
        <v>144</v>
      </c>
      <c r="M91" s="2" t="s">
        <v>145</v>
      </c>
      <c r="N91" s="2" t="s">
        <v>282</v>
      </c>
      <c r="O91" s="2" t="s">
        <v>100</v>
      </c>
      <c r="P91" s="2" t="str">
        <f>"2170584622                    "</f>
        <v xml:space="preserve">2170584622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3.13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2</v>
      </c>
      <c r="BJ91" s="2">
        <v>1.3</v>
      </c>
      <c r="BK91" s="2">
        <v>2</v>
      </c>
      <c r="BL91" s="2">
        <v>32.380000000000003</v>
      </c>
      <c r="BM91" s="2">
        <v>4.53</v>
      </c>
      <c r="BN91" s="2">
        <v>36.909999999999997</v>
      </c>
      <c r="BO91" s="2">
        <v>36.909999999999997</v>
      </c>
      <c r="BP91" s="2"/>
      <c r="BQ91" s="2" t="s">
        <v>406</v>
      </c>
      <c r="BR91" s="2" t="s">
        <v>84</v>
      </c>
      <c r="BS91" s="3">
        <v>42963</v>
      </c>
      <c r="BT91" s="4">
        <v>0.32291666666666669</v>
      </c>
      <c r="BU91" s="2" t="s">
        <v>283</v>
      </c>
      <c r="BV91" s="2" t="s">
        <v>95</v>
      </c>
      <c r="BW91" s="2"/>
      <c r="BX91" s="2"/>
      <c r="BY91" s="2">
        <v>6666.99</v>
      </c>
      <c r="BZ91" s="2"/>
      <c r="CA91" s="2" t="s">
        <v>284</v>
      </c>
      <c r="CB91" s="2"/>
      <c r="CC91" s="2" t="s">
        <v>145</v>
      </c>
      <c r="CD91" s="2">
        <v>2094</v>
      </c>
      <c r="CE91" s="2" t="s">
        <v>89</v>
      </c>
      <c r="CF91" s="5">
        <v>42964</v>
      </c>
      <c r="CG91" s="2"/>
      <c r="CH91" s="2"/>
      <c r="CI91" s="2">
        <v>1</v>
      </c>
      <c r="CJ91" s="2">
        <v>1</v>
      </c>
      <c r="CK91" s="2">
        <v>22</v>
      </c>
      <c r="CL91" s="2" t="s">
        <v>86</v>
      </c>
      <c r="CM91" s="2"/>
    </row>
    <row r="92" spans="1:91">
      <c r="A92" s="2" t="s">
        <v>71</v>
      </c>
      <c r="B92" s="2" t="s">
        <v>72</v>
      </c>
      <c r="C92" s="2" t="s">
        <v>73</v>
      </c>
      <c r="D92" s="2"/>
      <c r="E92" s="2" t="str">
        <f>"FES1162569004"</f>
        <v>FES1162569004</v>
      </c>
      <c r="F92" s="3">
        <v>42962</v>
      </c>
      <c r="G92" s="2">
        <v>201802</v>
      </c>
      <c r="H92" s="2" t="s">
        <v>74</v>
      </c>
      <c r="I92" s="2" t="s">
        <v>75</v>
      </c>
      <c r="J92" s="2" t="s">
        <v>76</v>
      </c>
      <c r="K92" s="2" t="s">
        <v>77</v>
      </c>
      <c r="L92" s="2" t="s">
        <v>74</v>
      </c>
      <c r="M92" s="2" t="s">
        <v>75</v>
      </c>
      <c r="N92" s="2" t="s">
        <v>407</v>
      </c>
      <c r="O92" s="2" t="s">
        <v>100</v>
      </c>
      <c r="P92" s="2" t="str">
        <f>"2170583560                    "</f>
        <v xml:space="preserve">2170583560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3.13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1</v>
      </c>
      <c r="BJ92" s="2">
        <v>0.2</v>
      </c>
      <c r="BK92" s="2">
        <v>1</v>
      </c>
      <c r="BL92" s="2">
        <v>32.380000000000003</v>
      </c>
      <c r="BM92" s="2">
        <v>4.53</v>
      </c>
      <c r="BN92" s="2">
        <v>36.909999999999997</v>
      </c>
      <c r="BO92" s="2">
        <v>36.909999999999997</v>
      </c>
      <c r="BP92" s="2"/>
      <c r="BQ92" s="2" t="s">
        <v>108</v>
      </c>
      <c r="BR92" s="2" t="s">
        <v>84</v>
      </c>
      <c r="BS92" s="3">
        <v>42963</v>
      </c>
      <c r="BT92" s="4">
        <v>0.34930555555555554</v>
      </c>
      <c r="BU92" s="2" t="s">
        <v>266</v>
      </c>
      <c r="BV92" s="2" t="s">
        <v>95</v>
      </c>
      <c r="BW92" s="2"/>
      <c r="BX92" s="2"/>
      <c r="BY92" s="2">
        <v>1200</v>
      </c>
      <c r="BZ92" s="2" t="s">
        <v>27</v>
      </c>
      <c r="CA92" s="2" t="s">
        <v>267</v>
      </c>
      <c r="CB92" s="2"/>
      <c r="CC92" s="2" t="s">
        <v>75</v>
      </c>
      <c r="CD92" s="2">
        <v>1645</v>
      </c>
      <c r="CE92" s="2" t="s">
        <v>104</v>
      </c>
      <c r="CF92" s="5">
        <v>42964</v>
      </c>
      <c r="CG92" s="2"/>
      <c r="CH92" s="2"/>
      <c r="CI92" s="2">
        <v>1</v>
      </c>
      <c r="CJ92" s="2">
        <v>1</v>
      </c>
      <c r="CK92" s="2">
        <v>22</v>
      </c>
      <c r="CL92" s="2" t="s">
        <v>86</v>
      </c>
      <c r="CM92" s="2"/>
    </row>
    <row r="93" spans="1:91">
      <c r="A93" s="2" t="s">
        <v>71</v>
      </c>
      <c r="B93" s="2" t="s">
        <v>72</v>
      </c>
      <c r="C93" s="2" t="s">
        <v>73</v>
      </c>
      <c r="D93" s="2"/>
      <c r="E93" s="2" t="str">
        <f>"FES1162569128"</f>
        <v>FES1162569128</v>
      </c>
      <c r="F93" s="3">
        <v>42962</v>
      </c>
      <c r="G93" s="2">
        <v>201802</v>
      </c>
      <c r="H93" s="2" t="s">
        <v>74</v>
      </c>
      <c r="I93" s="2" t="s">
        <v>75</v>
      </c>
      <c r="J93" s="2" t="s">
        <v>76</v>
      </c>
      <c r="K93" s="2" t="s">
        <v>77</v>
      </c>
      <c r="L93" s="2" t="s">
        <v>105</v>
      </c>
      <c r="M93" s="2" t="s">
        <v>106</v>
      </c>
      <c r="N93" s="2" t="s">
        <v>397</v>
      </c>
      <c r="O93" s="2" t="s">
        <v>100</v>
      </c>
      <c r="P93" s="2" t="str">
        <f>"2170585045                    "</f>
        <v xml:space="preserve">2170585045 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4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1</v>
      </c>
      <c r="BI93" s="2">
        <v>1</v>
      </c>
      <c r="BJ93" s="2">
        <v>0.2</v>
      </c>
      <c r="BK93" s="2">
        <v>1</v>
      </c>
      <c r="BL93" s="2">
        <v>41.44</v>
      </c>
      <c r="BM93" s="2">
        <v>5.8</v>
      </c>
      <c r="BN93" s="2">
        <v>47.24</v>
      </c>
      <c r="BO93" s="2">
        <v>47.24</v>
      </c>
      <c r="BP93" s="2"/>
      <c r="BQ93" s="2" t="s">
        <v>83</v>
      </c>
      <c r="BR93" s="2" t="s">
        <v>84</v>
      </c>
      <c r="BS93" s="3">
        <v>42963</v>
      </c>
      <c r="BT93" s="4">
        <v>0.40138888888888885</v>
      </c>
      <c r="BU93" s="2" t="s">
        <v>408</v>
      </c>
      <c r="BV93" s="2" t="s">
        <v>95</v>
      </c>
      <c r="BW93" s="2"/>
      <c r="BX93" s="2"/>
      <c r="BY93" s="2">
        <v>1200</v>
      </c>
      <c r="BZ93" s="2"/>
      <c r="CA93" s="2" t="s">
        <v>112</v>
      </c>
      <c r="CB93" s="2"/>
      <c r="CC93" s="2" t="s">
        <v>106</v>
      </c>
      <c r="CD93" s="2">
        <v>7405</v>
      </c>
      <c r="CE93" s="2" t="s">
        <v>104</v>
      </c>
      <c r="CF93" s="5">
        <v>42964</v>
      </c>
      <c r="CG93" s="2"/>
      <c r="CH93" s="2"/>
      <c r="CI93" s="2">
        <v>1</v>
      </c>
      <c r="CJ93" s="2">
        <v>1</v>
      </c>
      <c r="CK93" s="2">
        <v>21</v>
      </c>
      <c r="CL93" s="2" t="s">
        <v>86</v>
      </c>
      <c r="CM93" s="2"/>
    </row>
    <row r="94" spans="1:91">
      <c r="A94" s="2" t="s">
        <v>71</v>
      </c>
      <c r="B94" s="2" t="s">
        <v>72</v>
      </c>
      <c r="C94" s="2" t="s">
        <v>73</v>
      </c>
      <c r="D94" s="2"/>
      <c r="E94" s="2" t="str">
        <f>"FES1162568988"</f>
        <v>FES1162568988</v>
      </c>
      <c r="F94" s="3">
        <v>42962</v>
      </c>
      <c r="G94" s="2">
        <v>201802</v>
      </c>
      <c r="H94" s="2" t="s">
        <v>74</v>
      </c>
      <c r="I94" s="2" t="s">
        <v>75</v>
      </c>
      <c r="J94" s="2" t="s">
        <v>76</v>
      </c>
      <c r="K94" s="2" t="s">
        <v>77</v>
      </c>
      <c r="L94" s="2" t="s">
        <v>201</v>
      </c>
      <c r="M94" s="2" t="s">
        <v>202</v>
      </c>
      <c r="N94" s="2" t="s">
        <v>409</v>
      </c>
      <c r="O94" s="2" t="s">
        <v>100</v>
      </c>
      <c r="P94" s="2" t="str">
        <f>"2170581250                    "</f>
        <v xml:space="preserve">2170581250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4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1</v>
      </c>
      <c r="BJ94" s="2">
        <v>0.2</v>
      </c>
      <c r="BK94" s="2">
        <v>1</v>
      </c>
      <c r="BL94" s="2">
        <v>41.44</v>
      </c>
      <c r="BM94" s="2">
        <v>5.8</v>
      </c>
      <c r="BN94" s="2">
        <v>47.24</v>
      </c>
      <c r="BO94" s="2">
        <v>47.24</v>
      </c>
      <c r="BP94" s="2"/>
      <c r="BQ94" s="2" t="s">
        <v>83</v>
      </c>
      <c r="BR94" s="2" t="s">
        <v>84</v>
      </c>
      <c r="BS94" s="3">
        <v>42963</v>
      </c>
      <c r="BT94" s="4">
        <v>0.42777777777777781</v>
      </c>
      <c r="BU94" s="2" t="s">
        <v>410</v>
      </c>
      <c r="BV94" s="2" t="s">
        <v>95</v>
      </c>
      <c r="BW94" s="2"/>
      <c r="BX94" s="2"/>
      <c r="BY94" s="2">
        <v>1200</v>
      </c>
      <c r="BZ94" s="2" t="s">
        <v>27</v>
      </c>
      <c r="CA94" s="2" t="s">
        <v>411</v>
      </c>
      <c r="CB94" s="2"/>
      <c r="CC94" s="2" t="s">
        <v>202</v>
      </c>
      <c r="CD94" s="2">
        <v>7130</v>
      </c>
      <c r="CE94" s="2" t="s">
        <v>104</v>
      </c>
      <c r="CF94" s="5">
        <v>42964</v>
      </c>
      <c r="CG94" s="2"/>
      <c r="CH94" s="2"/>
      <c r="CI94" s="2">
        <v>1</v>
      </c>
      <c r="CJ94" s="2">
        <v>1</v>
      </c>
      <c r="CK94" s="2">
        <v>21</v>
      </c>
      <c r="CL94" s="2" t="s">
        <v>86</v>
      </c>
      <c r="CM94" s="2"/>
    </row>
    <row r="95" spans="1:91">
      <c r="A95" s="2" t="s">
        <v>71</v>
      </c>
      <c r="B95" s="2" t="s">
        <v>72</v>
      </c>
      <c r="C95" s="2" t="s">
        <v>73</v>
      </c>
      <c r="D95" s="2"/>
      <c r="E95" s="2" t="str">
        <f>"FES1162568957"</f>
        <v>FES1162568957</v>
      </c>
      <c r="F95" s="3">
        <v>42962</v>
      </c>
      <c r="G95" s="2">
        <v>201802</v>
      </c>
      <c r="H95" s="2" t="s">
        <v>74</v>
      </c>
      <c r="I95" s="2" t="s">
        <v>75</v>
      </c>
      <c r="J95" s="2" t="s">
        <v>76</v>
      </c>
      <c r="K95" s="2" t="s">
        <v>77</v>
      </c>
      <c r="L95" s="2" t="s">
        <v>128</v>
      </c>
      <c r="M95" s="2" t="s">
        <v>129</v>
      </c>
      <c r="N95" s="2" t="s">
        <v>412</v>
      </c>
      <c r="O95" s="2" t="s">
        <v>100</v>
      </c>
      <c r="P95" s="2" t="str">
        <f>"2170584963                    "</f>
        <v xml:space="preserve">2170584963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3.13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2.2000000000000002</v>
      </c>
      <c r="BJ95" s="2">
        <v>1.9</v>
      </c>
      <c r="BK95" s="2">
        <v>3</v>
      </c>
      <c r="BL95" s="2">
        <v>32.380000000000003</v>
      </c>
      <c r="BM95" s="2">
        <v>4.53</v>
      </c>
      <c r="BN95" s="2">
        <v>36.909999999999997</v>
      </c>
      <c r="BO95" s="2">
        <v>36.909999999999997</v>
      </c>
      <c r="BP95" s="2"/>
      <c r="BQ95" s="2" t="s">
        <v>209</v>
      </c>
      <c r="BR95" s="2" t="s">
        <v>84</v>
      </c>
      <c r="BS95" s="3">
        <v>42963</v>
      </c>
      <c r="BT95" s="4">
        <v>0.40972222222222227</v>
      </c>
      <c r="BU95" s="2" t="s">
        <v>413</v>
      </c>
      <c r="BV95" s="2" t="s">
        <v>95</v>
      </c>
      <c r="BW95" s="2"/>
      <c r="BX95" s="2"/>
      <c r="BY95" s="2">
        <v>9266.52</v>
      </c>
      <c r="BZ95" s="2"/>
      <c r="CA95" s="2" t="s">
        <v>414</v>
      </c>
      <c r="CB95" s="2"/>
      <c r="CC95" s="2" t="s">
        <v>129</v>
      </c>
      <c r="CD95" s="2">
        <v>1709</v>
      </c>
      <c r="CE95" s="2" t="s">
        <v>89</v>
      </c>
      <c r="CF95" s="5">
        <v>42963</v>
      </c>
      <c r="CG95" s="2"/>
      <c r="CH95" s="2"/>
      <c r="CI95" s="2">
        <v>1</v>
      </c>
      <c r="CJ95" s="2">
        <v>1</v>
      </c>
      <c r="CK95" s="2">
        <v>22</v>
      </c>
      <c r="CL95" s="2" t="s">
        <v>86</v>
      </c>
      <c r="CM95" s="2"/>
    </row>
    <row r="96" spans="1:91">
      <c r="A96" s="2" t="s">
        <v>71</v>
      </c>
      <c r="B96" s="2" t="s">
        <v>72</v>
      </c>
      <c r="C96" s="2" t="s">
        <v>73</v>
      </c>
      <c r="D96" s="2"/>
      <c r="E96" s="2" t="str">
        <f>"FES1162568915"</f>
        <v>FES1162568915</v>
      </c>
      <c r="F96" s="3">
        <v>42962</v>
      </c>
      <c r="G96" s="2">
        <v>201802</v>
      </c>
      <c r="H96" s="2" t="s">
        <v>74</v>
      </c>
      <c r="I96" s="2" t="s">
        <v>75</v>
      </c>
      <c r="J96" s="2" t="s">
        <v>76</v>
      </c>
      <c r="K96" s="2" t="s">
        <v>77</v>
      </c>
      <c r="L96" s="2" t="s">
        <v>221</v>
      </c>
      <c r="M96" s="2" t="s">
        <v>222</v>
      </c>
      <c r="N96" s="2" t="s">
        <v>415</v>
      </c>
      <c r="O96" s="2" t="s">
        <v>100</v>
      </c>
      <c r="P96" s="2" t="str">
        <f>"2170582676                    "</f>
        <v xml:space="preserve">2170582676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4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1</v>
      </c>
      <c r="BJ96" s="2">
        <v>0.2</v>
      </c>
      <c r="BK96" s="2">
        <v>1</v>
      </c>
      <c r="BL96" s="2">
        <v>41.44</v>
      </c>
      <c r="BM96" s="2">
        <v>5.8</v>
      </c>
      <c r="BN96" s="2">
        <v>47.24</v>
      </c>
      <c r="BO96" s="2">
        <v>47.24</v>
      </c>
      <c r="BP96" s="2"/>
      <c r="BQ96" s="2" t="s">
        <v>108</v>
      </c>
      <c r="BR96" s="2" t="s">
        <v>84</v>
      </c>
      <c r="BS96" s="3">
        <v>42963</v>
      </c>
      <c r="BT96" s="4">
        <v>0.33680555555555558</v>
      </c>
      <c r="BU96" s="2" t="s">
        <v>416</v>
      </c>
      <c r="BV96" s="2" t="s">
        <v>95</v>
      </c>
      <c r="BW96" s="2"/>
      <c r="BX96" s="2"/>
      <c r="BY96" s="2">
        <v>1200</v>
      </c>
      <c r="BZ96" s="2" t="s">
        <v>27</v>
      </c>
      <c r="CA96" s="2" t="s">
        <v>225</v>
      </c>
      <c r="CB96" s="2"/>
      <c r="CC96" s="2" t="s">
        <v>222</v>
      </c>
      <c r="CD96" s="2">
        <v>4302</v>
      </c>
      <c r="CE96" s="2" t="s">
        <v>104</v>
      </c>
      <c r="CF96" s="5">
        <v>42964</v>
      </c>
      <c r="CG96" s="2"/>
      <c r="CH96" s="2"/>
      <c r="CI96" s="2">
        <v>1</v>
      </c>
      <c r="CJ96" s="2">
        <v>1</v>
      </c>
      <c r="CK96" s="2">
        <v>21</v>
      </c>
      <c r="CL96" s="2" t="s">
        <v>86</v>
      </c>
      <c r="CM96" s="2"/>
    </row>
    <row r="97" spans="1:91">
      <c r="A97" s="2" t="s">
        <v>71</v>
      </c>
      <c r="B97" s="2" t="s">
        <v>72</v>
      </c>
      <c r="C97" s="2" t="s">
        <v>73</v>
      </c>
      <c r="D97" s="2"/>
      <c r="E97" s="2" t="str">
        <f>"FES1162569121"</f>
        <v>FES1162569121</v>
      </c>
      <c r="F97" s="3">
        <v>42962</v>
      </c>
      <c r="G97" s="2">
        <v>201802</v>
      </c>
      <c r="H97" s="2" t="s">
        <v>74</v>
      </c>
      <c r="I97" s="2" t="s">
        <v>75</v>
      </c>
      <c r="J97" s="2" t="s">
        <v>76</v>
      </c>
      <c r="K97" s="2" t="s">
        <v>77</v>
      </c>
      <c r="L97" s="2" t="s">
        <v>417</v>
      </c>
      <c r="M97" s="2" t="s">
        <v>417</v>
      </c>
      <c r="N97" s="2" t="s">
        <v>418</v>
      </c>
      <c r="O97" s="2" t="s">
        <v>100</v>
      </c>
      <c r="P97" s="2" t="str">
        <f>"2170585117                    "</f>
        <v xml:space="preserve">2170585117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5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2.5</v>
      </c>
      <c r="BJ97" s="2">
        <v>1.4</v>
      </c>
      <c r="BK97" s="2">
        <v>2.5</v>
      </c>
      <c r="BL97" s="2">
        <v>51.8</v>
      </c>
      <c r="BM97" s="2">
        <v>7.25</v>
      </c>
      <c r="BN97" s="2">
        <v>59.05</v>
      </c>
      <c r="BO97" s="2">
        <v>59.05</v>
      </c>
      <c r="BP97" s="2"/>
      <c r="BQ97" s="2" t="s">
        <v>108</v>
      </c>
      <c r="BR97" s="2" t="s">
        <v>84</v>
      </c>
      <c r="BS97" s="3">
        <v>42963</v>
      </c>
      <c r="BT97" s="4">
        <v>0.48958333333333331</v>
      </c>
      <c r="BU97" s="2" t="s">
        <v>419</v>
      </c>
      <c r="BV97" s="2" t="s">
        <v>95</v>
      </c>
      <c r="BW97" s="2"/>
      <c r="BX97" s="2"/>
      <c r="BY97" s="2">
        <v>7141.26</v>
      </c>
      <c r="BZ97" s="2"/>
      <c r="CA97" s="2" t="s">
        <v>420</v>
      </c>
      <c r="CB97" s="2"/>
      <c r="CC97" s="2" t="s">
        <v>417</v>
      </c>
      <c r="CD97" s="2">
        <v>7646</v>
      </c>
      <c r="CE97" s="2" t="s">
        <v>89</v>
      </c>
      <c r="CF97" s="5">
        <v>42963</v>
      </c>
      <c r="CG97" s="2"/>
      <c r="CH97" s="2"/>
      <c r="CI97" s="2">
        <v>1</v>
      </c>
      <c r="CJ97" s="2">
        <v>1</v>
      </c>
      <c r="CK97" s="2">
        <v>21</v>
      </c>
      <c r="CL97" s="2" t="s">
        <v>86</v>
      </c>
      <c r="CM97" s="2"/>
    </row>
    <row r="98" spans="1:91">
      <c r="A98" s="2" t="s">
        <v>71</v>
      </c>
      <c r="B98" s="2" t="s">
        <v>72</v>
      </c>
      <c r="C98" s="2" t="s">
        <v>73</v>
      </c>
      <c r="D98" s="2"/>
      <c r="E98" s="2" t="str">
        <f>"FES1162568884"</f>
        <v>FES1162568884</v>
      </c>
      <c r="F98" s="3">
        <v>42962</v>
      </c>
      <c r="G98" s="2">
        <v>201802</v>
      </c>
      <c r="H98" s="2" t="s">
        <v>74</v>
      </c>
      <c r="I98" s="2" t="s">
        <v>75</v>
      </c>
      <c r="J98" s="2" t="s">
        <v>76</v>
      </c>
      <c r="K98" s="2" t="s">
        <v>77</v>
      </c>
      <c r="L98" s="2" t="s">
        <v>244</v>
      </c>
      <c r="M98" s="2" t="s">
        <v>245</v>
      </c>
      <c r="N98" s="2" t="s">
        <v>421</v>
      </c>
      <c r="O98" s="2" t="s">
        <v>100</v>
      </c>
      <c r="P98" s="2" t="str">
        <f>"2170588407                    "</f>
        <v xml:space="preserve">2170588407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3.13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1</v>
      </c>
      <c r="BJ98" s="2">
        <v>0.2</v>
      </c>
      <c r="BK98" s="2">
        <v>1</v>
      </c>
      <c r="BL98" s="2">
        <v>32.380000000000003</v>
      </c>
      <c r="BM98" s="2">
        <v>4.53</v>
      </c>
      <c r="BN98" s="2">
        <v>36.909999999999997</v>
      </c>
      <c r="BO98" s="2">
        <v>36.909999999999997</v>
      </c>
      <c r="BP98" s="2"/>
      <c r="BQ98" s="2" t="s">
        <v>288</v>
      </c>
      <c r="BR98" s="2" t="s">
        <v>84</v>
      </c>
      <c r="BS98" s="3">
        <v>42963</v>
      </c>
      <c r="BT98" s="4">
        <v>0.4145833333333333</v>
      </c>
      <c r="BU98" s="2" t="s">
        <v>422</v>
      </c>
      <c r="BV98" s="2" t="s">
        <v>95</v>
      </c>
      <c r="BW98" s="2"/>
      <c r="BX98" s="2"/>
      <c r="BY98" s="2">
        <v>1200</v>
      </c>
      <c r="BZ98" s="2" t="s">
        <v>27</v>
      </c>
      <c r="CA98" s="2" t="s">
        <v>423</v>
      </c>
      <c r="CB98" s="2"/>
      <c r="CC98" s="2" t="s">
        <v>245</v>
      </c>
      <c r="CD98" s="2">
        <v>1459</v>
      </c>
      <c r="CE98" s="2" t="s">
        <v>104</v>
      </c>
      <c r="CF98" s="5">
        <v>42964</v>
      </c>
      <c r="CG98" s="2"/>
      <c r="CH98" s="2"/>
      <c r="CI98" s="2">
        <v>1</v>
      </c>
      <c r="CJ98" s="2">
        <v>1</v>
      </c>
      <c r="CK98" s="2">
        <v>22</v>
      </c>
      <c r="CL98" s="2" t="s">
        <v>86</v>
      </c>
      <c r="CM98" s="2"/>
    </row>
    <row r="99" spans="1:91">
      <c r="A99" s="2" t="s">
        <v>71</v>
      </c>
      <c r="B99" s="2" t="s">
        <v>72</v>
      </c>
      <c r="C99" s="2" t="s">
        <v>73</v>
      </c>
      <c r="D99" s="2"/>
      <c r="E99" s="2" t="str">
        <f>"FES1162569021"</f>
        <v>FES1162569021</v>
      </c>
      <c r="F99" s="3">
        <v>42962</v>
      </c>
      <c r="G99" s="2">
        <v>201802</v>
      </c>
      <c r="H99" s="2" t="s">
        <v>74</v>
      </c>
      <c r="I99" s="2" t="s">
        <v>75</v>
      </c>
      <c r="J99" s="2" t="s">
        <v>76</v>
      </c>
      <c r="K99" s="2" t="s">
        <v>77</v>
      </c>
      <c r="L99" s="2" t="s">
        <v>244</v>
      </c>
      <c r="M99" s="2" t="s">
        <v>245</v>
      </c>
      <c r="N99" s="2" t="s">
        <v>424</v>
      </c>
      <c r="O99" s="2" t="s">
        <v>100</v>
      </c>
      <c r="P99" s="2" t="str">
        <f>"2170585012                    "</f>
        <v xml:space="preserve">2170585012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3.13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1</v>
      </c>
      <c r="BI99" s="2">
        <v>4.8</v>
      </c>
      <c r="BJ99" s="2">
        <v>1.4</v>
      </c>
      <c r="BK99" s="2">
        <v>5</v>
      </c>
      <c r="BL99" s="2">
        <v>32.380000000000003</v>
      </c>
      <c r="BM99" s="2">
        <v>4.53</v>
      </c>
      <c r="BN99" s="2">
        <v>36.909999999999997</v>
      </c>
      <c r="BO99" s="2">
        <v>36.909999999999997</v>
      </c>
      <c r="BP99" s="2"/>
      <c r="BQ99" s="2" t="s">
        <v>108</v>
      </c>
      <c r="BR99" s="2" t="s">
        <v>84</v>
      </c>
      <c r="BS99" s="3">
        <v>42963</v>
      </c>
      <c r="BT99" s="4">
        <v>0.33194444444444443</v>
      </c>
      <c r="BU99" s="2" t="s">
        <v>425</v>
      </c>
      <c r="BV99" s="2" t="s">
        <v>95</v>
      </c>
      <c r="BW99" s="2"/>
      <c r="BX99" s="2"/>
      <c r="BY99" s="2">
        <v>7025</v>
      </c>
      <c r="BZ99" s="2"/>
      <c r="CA99" s="2" t="s">
        <v>426</v>
      </c>
      <c r="CB99" s="2"/>
      <c r="CC99" s="2" t="s">
        <v>245</v>
      </c>
      <c r="CD99" s="2">
        <v>1459</v>
      </c>
      <c r="CE99" s="2" t="s">
        <v>89</v>
      </c>
      <c r="CF99" s="5">
        <v>42964</v>
      </c>
      <c r="CG99" s="2"/>
      <c r="CH99" s="2"/>
      <c r="CI99" s="2">
        <v>1</v>
      </c>
      <c r="CJ99" s="2">
        <v>1</v>
      </c>
      <c r="CK99" s="2">
        <v>22</v>
      </c>
      <c r="CL99" s="2" t="s">
        <v>86</v>
      </c>
      <c r="CM99" s="2"/>
    </row>
    <row r="100" spans="1:91">
      <c r="A100" s="2" t="s">
        <v>71</v>
      </c>
      <c r="B100" s="2" t="s">
        <v>72</v>
      </c>
      <c r="C100" s="2" t="s">
        <v>73</v>
      </c>
      <c r="D100" s="2"/>
      <c r="E100" s="2" t="str">
        <f>"FES11625682770"</f>
        <v>FES11625682770</v>
      </c>
      <c r="F100" s="3">
        <v>42962</v>
      </c>
      <c r="G100" s="2">
        <v>201802</v>
      </c>
      <c r="H100" s="2" t="s">
        <v>74</v>
      </c>
      <c r="I100" s="2" t="s">
        <v>75</v>
      </c>
      <c r="J100" s="2" t="s">
        <v>76</v>
      </c>
      <c r="K100" s="2" t="s">
        <v>77</v>
      </c>
      <c r="L100" s="2" t="s">
        <v>149</v>
      </c>
      <c r="M100" s="2" t="s">
        <v>150</v>
      </c>
      <c r="N100" s="2" t="s">
        <v>427</v>
      </c>
      <c r="O100" s="2" t="s">
        <v>100</v>
      </c>
      <c r="P100" s="2" t="str">
        <f>"2170582770                    "</f>
        <v xml:space="preserve">2170582770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4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1</v>
      </c>
      <c r="BJ100" s="2">
        <v>0.2</v>
      </c>
      <c r="BK100" s="2">
        <v>1</v>
      </c>
      <c r="BL100" s="2">
        <v>41.44</v>
      </c>
      <c r="BM100" s="2">
        <v>5.8</v>
      </c>
      <c r="BN100" s="2">
        <v>47.24</v>
      </c>
      <c r="BO100" s="2">
        <v>47.24</v>
      </c>
      <c r="BP100" s="2"/>
      <c r="BQ100" s="2" t="s">
        <v>83</v>
      </c>
      <c r="BR100" s="2" t="s">
        <v>84</v>
      </c>
      <c r="BS100" s="3">
        <v>42963</v>
      </c>
      <c r="BT100" s="4">
        <v>0.35138888888888892</v>
      </c>
      <c r="BU100" s="2" t="s">
        <v>428</v>
      </c>
      <c r="BV100" s="2" t="s">
        <v>95</v>
      </c>
      <c r="BW100" s="2"/>
      <c r="BX100" s="2"/>
      <c r="BY100" s="2">
        <v>1200</v>
      </c>
      <c r="BZ100" s="2" t="s">
        <v>27</v>
      </c>
      <c r="CA100" s="2" t="s">
        <v>429</v>
      </c>
      <c r="CB100" s="2"/>
      <c r="CC100" s="2" t="s">
        <v>150</v>
      </c>
      <c r="CD100" s="2">
        <v>4001</v>
      </c>
      <c r="CE100" s="2" t="s">
        <v>104</v>
      </c>
      <c r="CF100" s="5">
        <v>42963</v>
      </c>
      <c r="CG100" s="2"/>
      <c r="CH100" s="2"/>
      <c r="CI100" s="2">
        <v>1</v>
      </c>
      <c r="CJ100" s="2">
        <v>1</v>
      </c>
      <c r="CK100" s="2">
        <v>21</v>
      </c>
      <c r="CL100" s="2" t="s">
        <v>86</v>
      </c>
      <c r="CM100" s="2"/>
    </row>
    <row r="101" spans="1:91">
      <c r="A101" s="2" t="s">
        <v>71</v>
      </c>
      <c r="B101" s="2" t="s">
        <v>72</v>
      </c>
      <c r="C101" s="2" t="s">
        <v>73</v>
      </c>
      <c r="D101" s="2"/>
      <c r="E101" s="2" t="str">
        <f>"FES1162569066"</f>
        <v>FES1162569066</v>
      </c>
      <c r="F101" s="3">
        <v>42962</v>
      </c>
      <c r="G101" s="2">
        <v>201802</v>
      </c>
      <c r="H101" s="2" t="s">
        <v>74</v>
      </c>
      <c r="I101" s="2" t="s">
        <v>75</v>
      </c>
      <c r="J101" s="2" t="s">
        <v>76</v>
      </c>
      <c r="K101" s="2" t="s">
        <v>77</v>
      </c>
      <c r="L101" s="2" t="s">
        <v>144</v>
      </c>
      <c r="M101" s="2" t="s">
        <v>145</v>
      </c>
      <c r="N101" s="2" t="s">
        <v>146</v>
      </c>
      <c r="O101" s="2" t="s">
        <v>100</v>
      </c>
      <c r="P101" s="2" t="str">
        <f>"2170585058                    "</f>
        <v xml:space="preserve">2170585058 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3.13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1</v>
      </c>
      <c r="BI101" s="2">
        <v>3</v>
      </c>
      <c r="BJ101" s="2">
        <v>1.7</v>
      </c>
      <c r="BK101" s="2">
        <v>3</v>
      </c>
      <c r="BL101" s="2">
        <v>32.380000000000003</v>
      </c>
      <c r="BM101" s="2">
        <v>4.53</v>
      </c>
      <c r="BN101" s="2">
        <v>36.909999999999997</v>
      </c>
      <c r="BO101" s="2">
        <v>36.909999999999997</v>
      </c>
      <c r="BP101" s="2"/>
      <c r="BQ101" s="2" t="s">
        <v>83</v>
      </c>
      <c r="BR101" s="2" t="s">
        <v>84</v>
      </c>
      <c r="BS101" s="3">
        <v>42963</v>
      </c>
      <c r="BT101" s="4">
        <v>0.37152777777777773</v>
      </c>
      <c r="BU101" s="2" t="s">
        <v>430</v>
      </c>
      <c r="BV101" s="2" t="s">
        <v>95</v>
      </c>
      <c r="BW101" s="2"/>
      <c r="BX101" s="2"/>
      <c r="BY101" s="2">
        <v>8679.0400000000009</v>
      </c>
      <c r="BZ101" s="2"/>
      <c r="CA101" s="2" t="s">
        <v>274</v>
      </c>
      <c r="CB101" s="2"/>
      <c r="CC101" s="2" t="s">
        <v>145</v>
      </c>
      <c r="CD101" s="2">
        <v>2094</v>
      </c>
      <c r="CE101" s="2" t="s">
        <v>89</v>
      </c>
      <c r="CF101" s="5">
        <v>42964</v>
      </c>
      <c r="CG101" s="2"/>
      <c r="CH101" s="2"/>
      <c r="CI101" s="2">
        <v>1</v>
      </c>
      <c r="CJ101" s="2">
        <v>1</v>
      </c>
      <c r="CK101" s="2">
        <v>22</v>
      </c>
      <c r="CL101" s="2" t="s">
        <v>86</v>
      </c>
      <c r="CM101" s="2"/>
    </row>
    <row r="102" spans="1:91">
      <c r="A102" s="2" t="s">
        <v>71</v>
      </c>
      <c r="B102" s="2" t="s">
        <v>72</v>
      </c>
      <c r="C102" s="2" t="s">
        <v>73</v>
      </c>
      <c r="D102" s="2"/>
      <c r="E102" s="2" t="str">
        <f>"FES1162569126"</f>
        <v>FES1162569126</v>
      </c>
      <c r="F102" s="3">
        <v>42962</v>
      </c>
      <c r="G102" s="2">
        <v>201802</v>
      </c>
      <c r="H102" s="2" t="s">
        <v>74</v>
      </c>
      <c r="I102" s="2" t="s">
        <v>75</v>
      </c>
      <c r="J102" s="2" t="s">
        <v>76</v>
      </c>
      <c r="K102" s="2" t="s">
        <v>77</v>
      </c>
      <c r="L102" s="2" t="s">
        <v>97</v>
      </c>
      <c r="M102" s="2" t="s">
        <v>98</v>
      </c>
      <c r="N102" s="2" t="s">
        <v>292</v>
      </c>
      <c r="O102" s="2" t="s">
        <v>100</v>
      </c>
      <c r="P102" s="2" t="str">
        <f>"2170585123                    "</f>
        <v xml:space="preserve">2170585123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35.020000000000003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8.5</v>
      </c>
      <c r="BJ102" s="2">
        <v>17.2</v>
      </c>
      <c r="BK102" s="2">
        <v>17.5</v>
      </c>
      <c r="BL102" s="2">
        <v>362.62</v>
      </c>
      <c r="BM102" s="2">
        <v>50.77</v>
      </c>
      <c r="BN102" s="2">
        <v>413.39</v>
      </c>
      <c r="BO102" s="2">
        <v>413.39</v>
      </c>
      <c r="BP102" s="2"/>
      <c r="BQ102" s="2" t="s">
        <v>83</v>
      </c>
      <c r="BR102" s="2" t="s">
        <v>84</v>
      </c>
      <c r="BS102" s="3">
        <v>42963</v>
      </c>
      <c r="BT102" s="4">
        <v>0.3263888888888889</v>
      </c>
      <c r="BU102" s="2" t="s">
        <v>293</v>
      </c>
      <c r="BV102" s="2" t="s">
        <v>95</v>
      </c>
      <c r="BW102" s="2"/>
      <c r="BX102" s="2"/>
      <c r="BY102" s="2">
        <v>86206.46</v>
      </c>
      <c r="BZ102" s="2"/>
      <c r="CA102" s="2" t="s">
        <v>294</v>
      </c>
      <c r="CB102" s="2"/>
      <c r="CC102" s="2" t="s">
        <v>98</v>
      </c>
      <c r="CD102" s="2">
        <v>6001</v>
      </c>
      <c r="CE102" s="2" t="s">
        <v>89</v>
      </c>
      <c r="CF102" s="5">
        <v>42964</v>
      </c>
      <c r="CG102" s="2"/>
      <c r="CH102" s="2"/>
      <c r="CI102" s="2">
        <v>1</v>
      </c>
      <c r="CJ102" s="2">
        <v>1</v>
      </c>
      <c r="CK102" s="2">
        <v>21</v>
      </c>
      <c r="CL102" s="2" t="s">
        <v>86</v>
      </c>
      <c r="CM102" s="2"/>
    </row>
    <row r="103" spans="1:91">
      <c r="A103" s="2" t="s">
        <v>71</v>
      </c>
      <c r="B103" s="2" t="s">
        <v>72</v>
      </c>
      <c r="C103" s="2" t="s">
        <v>73</v>
      </c>
      <c r="D103" s="2"/>
      <c r="E103" s="2" t="str">
        <f>"FES1162568913"</f>
        <v>FES1162568913</v>
      </c>
      <c r="F103" s="3">
        <v>42962</v>
      </c>
      <c r="G103" s="2">
        <v>201802</v>
      </c>
      <c r="H103" s="2" t="s">
        <v>74</v>
      </c>
      <c r="I103" s="2" t="s">
        <v>75</v>
      </c>
      <c r="J103" s="2" t="s">
        <v>76</v>
      </c>
      <c r="K103" s="2" t="s">
        <v>77</v>
      </c>
      <c r="L103" s="2" t="s">
        <v>221</v>
      </c>
      <c r="M103" s="2" t="s">
        <v>222</v>
      </c>
      <c r="N103" s="2" t="s">
        <v>415</v>
      </c>
      <c r="O103" s="2" t="s">
        <v>100</v>
      </c>
      <c r="P103" s="2" t="str">
        <f>"2170582657                    "</f>
        <v xml:space="preserve">2170582657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4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</v>
      </c>
      <c r="BI103" s="2">
        <v>1</v>
      </c>
      <c r="BJ103" s="2">
        <v>0.2</v>
      </c>
      <c r="BK103" s="2">
        <v>1</v>
      </c>
      <c r="BL103" s="2">
        <v>41.44</v>
      </c>
      <c r="BM103" s="2">
        <v>5.8</v>
      </c>
      <c r="BN103" s="2">
        <v>47.24</v>
      </c>
      <c r="BO103" s="2">
        <v>47.24</v>
      </c>
      <c r="BP103" s="2"/>
      <c r="BQ103" s="2" t="s">
        <v>108</v>
      </c>
      <c r="BR103" s="2" t="s">
        <v>84</v>
      </c>
      <c r="BS103" s="3">
        <v>42963</v>
      </c>
      <c r="BT103" s="4">
        <v>0.33680555555555558</v>
      </c>
      <c r="BU103" s="2" t="s">
        <v>416</v>
      </c>
      <c r="BV103" s="2" t="s">
        <v>95</v>
      </c>
      <c r="BW103" s="2"/>
      <c r="BX103" s="2"/>
      <c r="BY103" s="2">
        <v>1200</v>
      </c>
      <c r="BZ103" s="2" t="s">
        <v>27</v>
      </c>
      <c r="CA103" s="2" t="s">
        <v>225</v>
      </c>
      <c r="CB103" s="2"/>
      <c r="CC103" s="2" t="s">
        <v>222</v>
      </c>
      <c r="CD103" s="2">
        <v>4302</v>
      </c>
      <c r="CE103" s="2" t="s">
        <v>104</v>
      </c>
      <c r="CF103" s="5">
        <v>42964</v>
      </c>
      <c r="CG103" s="2"/>
      <c r="CH103" s="2"/>
      <c r="CI103" s="2">
        <v>1</v>
      </c>
      <c r="CJ103" s="2">
        <v>1</v>
      </c>
      <c r="CK103" s="2">
        <v>21</v>
      </c>
      <c r="CL103" s="2" t="s">
        <v>86</v>
      </c>
      <c r="CM103" s="2"/>
    </row>
    <row r="104" spans="1:91">
      <c r="A104" s="2" t="s">
        <v>71</v>
      </c>
      <c r="B104" s="2" t="s">
        <v>72</v>
      </c>
      <c r="C104" s="2" t="s">
        <v>73</v>
      </c>
      <c r="D104" s="2"/>
      <c r="E104" s="2" t="str">
        <f>"FES1162569095"</f>
        <v>FES1162569095</v>
      </c>
      <c r="F104" s="3">
        <v>42962</v>
      </c>
      <c r="G104" s="2">
        <v>201802</v>
      </c>
      <c r="H104" s="2" t="s">
        <v>74</v>
      </c>
      <c r="I104" s="2" t="s">
        <v>75</v>
      </c>
      <c r="J104" s="2" t="s">
        <v>76</v>
      </c>
      <c r="K104" s="2" t="s">
        <v>77</v>
      </c>
      <c r="L104" s="2" t="s">
        <v>105</v>
      </c>
      <c r="M104" s="2" t="s">
        <v>106</v>
      </c>
      <c r="N104" s="2" t="s">
        <v>253</v>
      </c>
      <c r="O104" s="2" t="s">
        <v>100</v>
      </c>
      <c r="P104" s="2" t="str">
        <f>"2170585098                    "</f>
        <v xml:space="preserve">2170585098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6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1.7</v>
      </c>
      <c r="BJ104" s="2">
        <v>2.6</v>
      </c>
      <c r="BK104" s="2">
        <v>3</v>
      </c>
      <c r="BL104" s="2">
        <v>62.16</v>
      </c>
      <c r="BM104" s="2">
        <v>8.6999999999999993</v>
      </c>
      <c r="BN104" s="2">
        <v>70.86</v>
      </c>
      <c r="BO104" s="2">
        <v>70.86</v>
      </c>
      <c r="BP104" s="2"/>
      <c r="BQ104" s="2" t="s">
        <v>108</v>
      </c>
      <c r="BR104" s="2" t="s">
        <v>84</v>
      </c>
      <c r="BS104" s="3">
        <v>42963</v>
      </c>
      <c r="BT104" s="4">
        <v>0.3527777777777778</v>
      </c>
      <c r="BU104" s="2" t="s">
        <v>431</v>
      </c>
      <c r="BV104" s="2" t="s">
        <v>95</v>
      </c>
      <c r="BW104" s="2"/>
      <c r="BX104" s="2"/>
      <c r="BY104" s="2">
        <v>12865.25</v>
      </c>
      <c r="BZ104" s="2"/>
      <c r="CA104" s="2" t="s">
        <v>278</v>
      </c>
      <c r="CB104" s="2"/>
      <c r="CC104" s="2" t="s">
        <v>106</v>
      </c>
      <c r="CD104" s="2">
        <v>7490</v>
      </c>
      <c r="CE104" s="2" t="s">
        <v>89</v>
      </c>
      <c r="CF104" s="5">
        <v>42964</v>
      </c>
      <c r="CG104" s="2"/>
      <c r="CH104" s="2"/>
      <c r="CI104" s="2">
        <v>1</v>
      </c>
      <c r="CJ104" s="2">
        <v>1</v>
      </c>
      <c r="CK104" s="2">
        <v>21</v>
      </c>
      <c r="CL104" s="2" t="s">
        <v>86</v>
      </c>
      <c r="CM104" s="2"/>
    </row>
    <row r="105" spans="1:91">
      <c r="A105" s="2" t="s">
        <v>71</v>
      </c>
      <c r="B105" s="2" t="s">
        <v>72</v>
      </c>
      <c r="C105" s="2" t="s">
        <v>73</v>
      </c>
      <c r="D105" s="2"/>
      <c r="E105" s="2" t="str">
        <f>"FES1162568894"</f>
        <v>FES1162568894</v>
      </c>
      <c r="F105" s="3">
        <v>42962</v>
      </c>
      <c r="G105" s="2">
        <v>201802</v>
      </c>
      <c r="H105" s="2" t="s">
        <v>74</v>
      </c>
      <c r="I105" s="2" t="s">
        <v>75</v>
      </c>
      <c r="J105" s="2" t="s">
        <v>76</v>
      </c>
      <c r="K105" s="2" t="s">
        <v>77</v>
      </c>
      <c r="L105" s="2" t="s">
        <v>268</v>
      </c>
      <c r="M105" s="2" t="s">
        <v>269</v>
      </c>
      <c r="N105" s="2" t="s">
        <v>432</v>
      </c>
      <c r="O105" s="2" t="s">
        <v>100</v>
      </c>
      <c r="P105" s="2" t="str">
        <f>"2170581255                    "</f>
        <v xml:space="preserve">2170581255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4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1</v>
      </c>
      <c r="BJ105" s="2">
        <v>0.2</v>
      </c>
      <c r="BK105" s="2">
        <v>1</v>
      </c>
      <c r="BL105" s="2">
        <v>41.44</v>
      </c>
      <c r="BM105" s="2">
        <v>5.8</v>
      </c>
      <c r="BN105" s="2">
        <v>47.24</v>
      </c>
      <c r="BO105" s="2">
        <v>47.24</v>
      </c>
      <c r="BP105" s="2"/>
      <c r="BQ105" s="2" t="s">
        <v>433</v>
      </c>
      <c r="BR105" s="2" t="s">
        <v>84</v>
      </c>
      <c r="BS105" s="3">
        <v>42963</v>
      </c>
      <c r="BT105" s="4">
        <v>0.41666666666666669</v>
      </c>
      <c r="BU105" s="2" t="s">
        <v>434</v>
      </c>
      <c r="BV105" s="2" t="s">
        <v>95</v>
      </c>
      <c r="BW105" s="2"/>
      <c r="BX105" s="2"/>
      <c r="BY105" s="2">
        <v>1200</v>
      </c>
      <c r="BZ105" s="2" t="s">
        <v>27</v>
      </c>
      <c r="CA105" s="2"/>
      <c r="CB105" s="2"/>
      <c r="CC105" s="2" t="s">
        <v>269</v>
      </c>
      <c r="CD105" s="2">
        <v>117</v>
      </c>
      <c r="CE105" s="2" t="s">
        <v>104</v>
      </c>
      <c r="CF105" s="5">
        <v>42964</v>
      </c>
      <c r="CG105" s="2"/>
      <c r="CH105" s="2"/>
      <c r="CI105" s="2">
        <v>1</v>
      </c>
      <c r="CJ105" s="2">
        <v>1</v>
      </c>
      <c r="CK105" s="2">
        <v>21</v>
      </c>
      <c r="CL105" s="2" t="s">
        <v>86</v>
      </c>
      <c r="CM105" s="2"/>
    </row>
    <row r="106" spans="1:91">
      <c r="A106" s="2" t="s">
        <v>71</v>
      </c>
      <c r="B106" s="2" t="s">
        <v>72</v>
      </c>
      <c r="C106" s="2" t="s">
        <v>73</v>
      </c>
      <c r="D106" s="2"/>
      <c r="E106" s="2" t="str">
        <f>"FES1162569003"</f>
        <v>FES1162569003</v>
      </c>
      <c r="F106" s="3">
        <v>42962</v>
      </c>
      <c r="G106" s="2">
        <v>201802</v>
      </c>
      <c r="H106" s="2" t="s">
        <v>74</v>
      </c>
      <c r="I106" s="2" t="s">
        <v>75</v>
      </c>
      <c r="J106" s="2" t="s">
        <v>76</v>
      </c>
      <c r="K106" s="2" t="s">
        <v>77</v>
      </c>
      <c r="L106" s="2" t="s">
        <v>339</v>
      </c>
      <c r="M106" s="2" t="s">
        <v>340</v>
      </c>
      <c r="N106" s="2" t="s">
        <v>341</v>
      </c>
      <c r="O106" s="2" t="s">
        <v>100</v>
      </c>
      <c r="P106" s="2" t="str">
        <f>"2170583485                    "</f>
        <v xml:space="preserve">2170583485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4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1</v>
      </c>
      <c r="BJ106" s="2">
        <v>0.2</v>
      </c>
      <c r="BK106" s="2">
        <v>1</v>
      </c>
      <c r="BL106" s="2">
        <v>41.44</v>
      </c>
      <c r="BM106" s="2">
        <v>5.8</v>
      </c>
      <c r="BN106" s="2">
        <v>47.24</v>
      </c>
      <c r="BO106" s="2">
        <v>47.24</v>
      </c>
      <c r="BP106" s="2"/>
      <c r="BQ106" s="2" t="s">
        <v>108</v>
      </c>
      <c r="BR106" s="2" t="s">
        <v>84</v>
      </c>
      <c r="BS106" s="3">
        <v>42963</v>
      </c>
      <c r="BT106" s="4">
        <v>0.5</v>
      </c>
      <c r="BU106" s="2" t="s">
        <v>342</v>
      </c>
      <c r="BV106" s="2" t="s">
        <v>86</v>
      </c>
      <c r="BW106" s="2"/>
      <c r="BX106" s="2"/>
      <c r="BY106" s="2">
        <v>1200</v>
      </c>
      <c r="BZ106" s="2"/>
      <c r="CA106" s="2" t="s">
        <v>148</v>
      </c>
      <c r="CB106" s="2"/>
      <c r="CC106" s="2" t="s">
        <v>340</v>
      </c>
      <c r="CD106" s="2">
        <v>1949</v>
      </c>
      <c r="CE106" s="2" t="s">
        <v>104</v>
      </c>
      <c r="CF106" s="5">
        <v>42964</v>
      </c>
      <c r="CG106" s="2"/>
      <c r="CH106" s="2"/>
      <c r="CI106" s="2">
        <v>1</v>
      </c>
      <c r="CJ106" s="2">
        <v>1</v>
      </c>
      <c r="CK106" s="2">
        <v>21</v>
      </c>
      <c r="CL106" s="2" t="s">
        <v>86</v>
      </c>
      <c r="CM106" s="2"/>
    </row>
    <row r="107" spans="1:91">
      <c r="A107" s="2" t="s">
        <v>71</v>
      </c>
      <c r="B107" s="2" t="s">
        <v>72</v>
      </c>
      <c r="C107" s="2" t="s">
        <v>73</v>
      </c>
      <c r="D107" s="2"/>
      <c r="E107" s="2" t="str">
        <f>"FES1162568880"</f>
        <v>FES1162568880</v>
      </c>
      <c r="F107" s="3">
        <v>42962</v>
      </c>
      <c r="G107" s="2">
        <v>201802</v>
      </c>
      <c r="H107" s="2" t="s">
        <v>74</v>
      </c>
      <c r="I107" s="2" t="s">
        <v>75</v>
      </c>
      <c r="J107" s="2" t="s">
        <v>76</v>
      </c>
      <c r="K107" s="2" t="s">
        <v>77</v>
      </c>
      <c r="L107" s="2" t="s">
        <v>149</v>
      </c>
      <c r="M107" s="2" t="s">
        <v>150</v>
      </c>
      <c r="N107" s="2" t="s">
        <v>435</v>
      </c>
      <c r="O107" s="2" t="s">
        <v>100</v>
      </c>
      <c r="P107" s="2" t="str">
        <f>"2170575444                    "</f>
        <v xml:space="preserve">2170575444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4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1</v>
      </c>
      <c r="BJ107" s="2">
        <v>0.2</v>
      </c>
      <c r="BK107" s="2">
        <v>1</v>
      </c>
      <c r="BL107" s="2">
        <v>41.44</v>
      </c>
      <c r="BM107" s="2">
        <v>5.8</v>
      </c>
      <c r="BN107" s="2">
        <v>47.24</v>
      </c>
      <c r="BO107" s="2">
        <v>47.24</v>
      </c>
      <c r="BP107" s="2"/>
      <c r="BQ107" s="2" t="s">
        <v>83</v>
      </c>
      <c r="BR107" s="2" t="s">
        <v>84</v>
      </c>
      <c r="BS107" s="3">
        <v>42963</v>
      </c>
      <c r="BT107" s="4">
        <v>0.35069444444444442</v>
      </c>
      <c r="BU107" s="2" t="s">
        <v>436</v>
      </c>
      <c r="BV107" s="2" t="s">
        <v>95</v>
      </c>
      <c r="BW107" s="2"/>
      <c r="BX107" s="2"/>
      <c r="BY107" s="2">
        <v>1200</v>
      </c>
      <c r="BZ107" s="2" t="s">
        <v>27</v>
      </c>
      <c r="CA107" s="2" t="s">
        <v>429</v>
      </c>
      <c r="CB107" s="2"/>
      <c r="CC107" s="2" t="s">
        <v>150</v>
      </c>
      <c r="CD107" s="2">
        <v>4001</v>
      </c>
      <c r="CE107" s="2" t="s">
        <v>104</v>
      </c>
      <c r="CF107" s="5">
        <v>42964</v>
      </c>
      <c r="CG107" s="2"/>
      <c r="CH107" s="2"/>
      <c r="CI107" s="2">
        <v>1</v>
      </c>
      <c r="CJ107" s="2">
        <v>1</v>
      </c>
      <c r="CK107" s="2">
        <v>21</v>
      </c>
      <c r="CL107" s="2" t="s">
        <v>86</v>
      </c>
      <c r="CM107" s="2"/>
    </row>
    <row r="108" spans="1:91">
      <c r="A108" s="2" t="s">
        <v>71</v>
      </c>
      <c r="B108" s="2" t="s">
        <v>72</v>
      </c>
      <c r="C108" s="2" t="s">
        <v>73</v>
      </c>
      <c r="D108" s="2"/>
      <c r="E108" s="2" t="str">
        <f>"FES1162569070"</f>
        <v>FES1162569070</v>
      </c>
      <c r="F108" s="3">
        <v>42962</v>
      </c>
      <c r="G108" s="2">
        <v>201802</v>
      </c>
      <c r="H108" s="2" t="s">
        <v>74</v>
      </c>
      <c r="I108" s="2" t="s">
        <v>75</v>
      </c>
      <c r="J108" s="2" t="s">
        <v>76</v>
      </c>
      <c r="K108" s="2" t="s">
        <v>77</v>
      </c>
      <c r="L108" s="2" t="s">
        <v>437</v>
      </c>
      <c r="M108" s="2" t="s">
        <v>438</v>
      </c>
      <c r="N108" s="2" t="s">
        <v>439</v>
      </c>
      <c r="O108" s="2" t="s">
        <v>100</v>
      </c>
      <c r="P108" s="2" t="str">
        <f>"2170585069                    "</f>
        <v xml:space="preserve">2170585069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4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1.4</v>
      </c>
      <c r="BJ108" s="2">
        <v>1.9</v>
      </c>
      <c r="BK108" s="2">
        <v>2</v>
      </c>
      <c r="BL108" s="2">
        <v>41.44</v>
      </c>
      <c r="BM108" s="2">
        <v>5.8</v>
      </c>
      <c r="BN108" s="2">
        <v>47.24</v>
      </c>
      <c r="BO108" s="2">
        <v>47.24</v>
      </c>
      <c r="BP108" s="2"/>
      <c r="BQ108" s="2" t="s">
        <v>108</v>
      </c>
      <c r="BR108" s="2" t="s">
        <v>84</v>
      </c>
      <c r="BS108" s="3">
        <v>42963</v>
      </c>
      <c r="BT108" s="4">
        <v>0.35416666666666669</v>
      </c>
      <c r="BU108" s="2" t="s">
        <v>440</v>
      </c>
      <c r="BV108" s="2" t="s">
        <v>95</v>
      </c>
      <c r="BW108" s="2"/>
      <c r="BX108" s="2"/>
      <c r="BY108" s="2">
        <v>9404.51</v>
      </c>
      <c r="BZ108" s="2"/>
      <c r="CA108" s="2" t="s">
        <v>441</v>
      </c>
      <c r="CB108" s="2"/>
      <c r="CC108" s="2" t="s">
        <v>438</v>
      </c>
      <c r="CD108" s="2">
        <v>6536</v>
      </c>
      <c r="CE108" s="2" t="s">
        <v>89</v>
      </c>
      <c r="CF108" s="5">
        <v>42964</v>
      </c>
      <c r="CG108" s="2"/>
      <c r="CH108" s="2"/>
      <c r="CI108" s="2">
        <v>1</v>
      </c>
      <c r="CJ108" s="2">
        <v>1</v>
      </c>
      <c r="CK108" s="2">
        <v>21</v>
      </c>
      <c r="CL108" s="2" t="s">
        <v>86</v>
      </c>
      <c r="CM108" s="2"/>
    </row>
    <row r="109" spans="1:91">
      <c r="A109" s="2" t="s">
        <v>71</v>
      </c>
      <c r="B109" s="2" t="s">
        <v>72</v>
      </c>
      <c r="C109" s="2" t="s">
        <v>73</v>
      </c>
      <c r="D109" s="2"/>
      <c r="E109" s="2" t="str">
        <f>"FES1162569076"</f>
        <v>FES1162569076</v>
      </c>
      <c r="F109" s="3">
        <v>42962</v>
      </c>
      <c r="G109" s="2">
        <v>201802</v>
      </c>
      <c r="H109" s="2" t="s">
        <v>74</v>
      </c>
      <c r="I109" s="2" t="s">
        <v>75</v>
      </c>
      <c r="J109" s="2" t="s">
        <v>76</v>
      </c>
      <c r="K109" s="2" t="s">
        <v>77</v>
      </c>
      <c r="L109" s="2" t="s">
        <v>343</v>
      </c>
      <c r="M109" s="2" t="s">
        <v>344</v>
      </c>
      <c r="N109" s="2" t="s">
        <v>351</v>
      </c>
      <c r="O109" s="2" t="s">
        <v>100</v>
      </c>
      <c r="P109" s="2" t="str">
        <f>"2170585072                    "</f>
        <v xml:space="preserve">2170585072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4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1</v>
      </c>
      <c r="BJ109" s="2">
        <v>0.2</v>
      </c>
      <c r="BK109" s="2">
        <v>1</v>
      </c>
      <c r="BL109" s="2">
        <v>41.44</v>
      </c>
      <c r="BM109" s="2">
        <v>5.8</v>
      </c>
      <c r="BN109" s="2">
        <v>47.24</v>
      </c>
      <c r="BO109" s="2">
        <v>47.24</v>
      </c>
      <c r="BP109" s="2"/>
      <c r="BQ109" s="2" t="s">
        <v>108</v>
      </c>
      <c r="BR109" s="2" t="s">
        <v>84</v>
      </c>
      <c r="BS109" s="3">
        <v>42963</v>
      </c>
      <c r="BT109" s="4">
        <v>0.39583333333333331</v>
      </c>
      <c r="BU109" s="2" t="s">
        <v>352</v>
      </c>
      <c r="BV109" s="2" t="s">
        <v>95</v>
      </c>
      <c r="BW109" s="2"/>
      <c r="BX109" s="2"/>
      <c r="BY109" s="2">
        <v>1200</v>
      </c>
      <c r="BZ109" s="2"/>
      <c r="CA109" s="2" t="s">
        <v>347</v>
      </c>
      <c r="CB109" s="2"/>
      <c r="CC109" s="2" t="s">
        <v>344</v>
      </c>
      <c r="CD109" s="2">
        <v>4133</v>
      </c>
      <c r="CE109" s="2" t="s">
        <v>104</v>
      </c>
      <c r="CF109" s="5">
        <v>42964</v>
      </c>
      <c r="CG109" s="2"/>
      <c r="CH109" s="2"/>
      <c r="CI109" s="2">
        <v>1</v>
      </c>
      <c r="CJ109" s="2">
        <v>1</v>
      </c>
      <c r="CK109" s="2">
        <v>21</v>
      </c>
      <c r="CL109" s="2" t="s">
        <v>86</v>
      </c>
      <c r="CM109" s="2"/>
    </row>
    <row r="110" spans="1:91">
      <c r="A110" s="2" t="s">
        <v>71</v>
      </c>
      <c r="B110" s="2" t="s">
        <v>72</v>
      </c>
      <c r="C110" s="2" t="s">
        <v>73</v>
      </c>
      <c r="D110" s="2"/>
      <c r="E110" s="2" t="str">
        <f>"FES1162568839"</f>
        <v>FES1162568839</v>
      </c>
      <c r="F110" s="3">
        <v>42962</v>
      </c>
      <c r="G110" s="2">
        <v>201802</v>
      </c>
      <c r="H110" s="2" t="s">
        <v>74</v>
      </c>
      <c r="I110" s="2" t="s">
        <v>75</v>
      </c>
      <c r="J110" s="2" t="s">
        <v>76</v>
      </c>
      <c r="K110" s="2" t="s">
        <v>77</v>
      </c>
      <c r="L110" s="2" t="s">
        <v>268</v>
      </c>
      <c r="M110" s="2" t="s">
        <v>269</v>
      </c>
      <c r="N110" s="2" t="s">
        <v>442</v>
      </c>
      <c r="O110" s="2" t="s">
        <v>100</v>
      </c>
      <c r="P110" s="2" t="str">
        <f>"2170584726                    "</f>
        <v xml:space="preserve">2170584726 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4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1</v>
      </c>
      <c r="BJ110" s="2">
        <v>0.2</v>
      </c>
      <c r="BK110" s="2">
        <v>1</v>
      </c>
      <c r="BL110" s="2">
        <v>41.44</v>
      </c>
      <c r="BM110" s="2">
        <v>5.8</v>
      </c>
      <c r="BN110" s="2">
        <v>47.24</v>
      </c>
      <c r="BO110" s="2">
        <v>47.24</v>
      </c>
      <c r="BP110" s="2"/>
      <c r="BQ110" s="2" t="s">
        <v>83</v>
      </c>
      <c r="BR110" s="2" t="s">
        <v>84</v>
      </c>
      <c r="BS110" s="3">
        <v>42963</v>
      </c>
      <c r="BT110" s="4">
        <v>0.46458333333333335</v>
      </c>
      <c r="BU110" s="2" t="s">
        <v>443</v>
      </c>
      <c r="BV110" s="2" t="s">
        <v>86</v>
      </c>
      <c r="BW110" s="2" t="s">
        <v>110</v>
      </c>
      <c r="BX110" s="2" t="s">
        <v>444</v>
      </c>
      <c r="BY110" s="2">
        <v>1200</v>
      </c>
      <c r="BZ110" s="2" t="s">
        <v>27</v>
      </c>
      <c r="CA110" s="2" t="s">
        <v>445</v>
      </c>
      <c r="CB110" s="2"/>
      <c r="CC110" s="2" t="s">
        <v>269</v>
      </c>
      <c r="CD110" s="2">
        <v>1</v>
      </c>
      <c r="CE110" s="2" t="s">
        <v>104</v>
      </c>
      <c r="CF110" s="5">
        <v>42964</v>
      </c>
      <c r="CG110" s="2"/>
      <c r="CH110" s="2"/>
      <c r="CI110" s="2">
        <v>1</v>
      </c>
      <c r="CJ110" s="2">
        <v>1</v>
      </c>
      <c r="CK110" s="2">
        <v>21</v>
      </c>
      <c r="CL110" s="2" t="s">
        <v>86</v>
      </c>
      <c r="CM110" s="2"/>
    </row>
    <row r="111" spans="1:91">
      <c r="A111" s="2" t="s">
        <v>71</v>
      </c>
      <c r="B111" s="2" t="s">
        <v>72</v>
      </c>
      <c r="C111" s="2" t="s">
        <v>73</v>
      </c>
      <c r="D111" s="2"/>
      <c r="E111" s="2" t="str">
        <f>"FES1162568819"</f>
        <v>FES1162568819</v>
      </c>
      <c r="F111" s="3">
        <v>42962</v>
      </c>
      <c r="G111" s="2">
        <v>201802</v>
      </c>
      <c r="H111" s="2" t="s">
        <v>74</v>
      </c>
      <c r="I111" s="2" t="s">
        <v>75</v>
      </c>
      <c r="J111" s="2" t="s">
        <v>76</v>
      </c>
      <c r="K111" s="2" t="s">
        <v>77</v>
      </c>
      <c r="L111" s="2" t="s">
        <v>446</v>
      </c>
      <c r="M111" s="2" t="s">
        <v>447</v>
      </c>
      <c r="N111" s="2" t="s">
        <v>448</v>
      </c>
      <c r="O111" s="2" t="s">
        <v>100</v>
      </c>
      <c r="P111" s="2" t="str">
        <f>"2170584894                    "</f>
        <v xml:space="preserve">2170584894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5.63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</v>
      </c>
      <c r="BI111" s="2">
        <v>1</v>
      </c>
      <c r="BJ111" s="2">
        <v>0.2</v>
      </c>
      <c r="BK111" s="2">
        <v>1</v>
      </c>
      <c r="BL111" s="2">
        <v>58.28</v>
      </c>
      <c r="BM111" s="2">
        <v>8.16</v>
      </c>
      <c r="BN111" s="2">
        <v>66.44</v>
      </c>
      <c r="BO111" s="2">
        <v>66.44</v>
      </c>
      <c r="BP111" s="2"/>
      <c r="BQ111" s="2" t="s">
        <v>83</v>
      </c>
      <c r="BR111" s="2" t="s">
        <v>84</v>
      </c>
      <c r="BS111" s="3">
        <v>42963</v>
      </c>
      <c r="BT111" s="4">
        <v>0.54166666666666663</v>
      </c>
      <c r="BU111" s="2" t="s">
        <v>449</v>
      </c>
      <c r="BV111" s="2" t="s">
        <v>95</v>
      </c>
      <c r="BW111" s="2"/>
      <c r="BX111" s="2"/>
      <c r="BY111" s="2">
        <v>1200</v>
      </c>
      <c r="BZ111" s="2" t="s">
        <v>27</v>
      </c>
      <c r="CA111" s="2"/>
      <c r="CB111" s="2"/>
      <c r="CC111" s="2" t="s">
        <v>447</v>
      </c>
      <c r="CD111" s="2">
        <v>1759</v>
      </c>
      <c r="CE111" s="2" t="s">
        <v>104</v>
      </c>
      <c r="CF111" s="5">
        <v>42964</v>
      </c>
      <c r="CG111" s="2"/>
      <c r="CH111" s="2"/>
      <c r="CI111" s="2">
        <v>1</v>
      </c>
      <c r="CJ111" s="2">
        <v>1</v>
      </c>
      <c r="CK111" s="2">
        <v>24</v>
      </c>
      <c r="CL111" s="2" t="s">
        <v>86</v>
      </c>
      <c r="CM111" s="2"/>
    </row>
    <row r="112" spans="1:91">
      <c r="A112" s="2" t="s">
        <v>71</v>
      </c>
      <c r="B112" s="2" t="s">
        <v>72</v>
      </c>
      <c r="C112" s="2" t="s">
        <v>73</v>
      </c>
      <c r="D112" s="2"/>
      <c r="E112" s="2" t="str">
        <f>"FES1162569019"</f>
        <v>FES1162569019</v>
      </c>
      <c r="F112" s="3">
        <v>42962</v>
      </c>
      <c r="G112" s="2">
        <v>201802</v>
      </c>
      <c r="H112" s="2" t="s">
        <v>74</v>
      </c>
      <c r="I112" s="2" t="s">
        <v>75</v>
      </c>
      <c r="J112" s="2" t="s">
        <v>76</v>
      </c>
      <c r="K112" s="2" t="s">
        <v>77</v>
      </c>
      <c r="L112" s="2" t="s">
        <v>78</v>
      </c>
      <c r="M112" s="2" t="s">
        <v>79</v>
      </c>
      <c r="N112" s="2" t="s">
        <v>450</v>
      </c>
      <c r="O112" s="2" t="s">
        <v>100</v>
      </c>
      <c r="P112" s="2" t="str">
        <f>"2170583836                    "</f>
        <v xml:space="preserve">2170583836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4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1</v>
      </c>
      <c r="BJ112" s="2">
        <v>0.2</v>
      </c>
      <c r="BK112" s="2">
        <v>1</v>
      </c>
      <c r="BL112" s="2">
        <v>41.44</v>
      </c>
      <c r="BM112" s="2">
        <v>5.8</v>
      </c>
      <c r="BN112" s="2">
        <v>47.24</v>
      </c>
      <c r="BO112" s="2">
        <v>47.24</v>
      </c>
      <c r="BP112" s="2"/>
      <c r="BQ112" s="2" t="s">
        <v>451</v>
      </c>
      <c r="BR112" s="2" t="s">
        <v>84</v>
      </c>
      <c r="BS112" s="3">
        <v>42963</v>
      </c>
      <c r="BT112" s="4">
        <v>0.41666666666666669</v>
      </c>
      <c r="BU112" s="2" t="s">
        <v>452</v>
      </c>
      <c r="BV112" s="2" t="s">
        <v>95</v>
      </c>
      <c r="BW112" s="2"/>
      <c r="BX112" s="2"/>
      <c r="BY112" s="2">
        <v>1200</v>
      </c>
      <c r="BZ112" s="2" t="s">
        <v>27</v>
      </c>
      <c r="CA112" s="2" t="s">
        <v>453</v>
      </c>
      <c r="CB112" s="2"/>
      <c r="CC112" s="2" t="s">
        <v>79</v>
      </c>
      <c r="CD112" s="2">
        <v>9300</v>
      </c>
      <c r="CE112" s="2" t="s">
        <v>104</v>
      </c>
      <c r="CF112" s="5">
        <v>42965</v>
      </c>
      <c r="CG112" s="2"/>
      <c r="CH112" s="2"/>
      <c r="CI112" s="2">
        <v>1</v>
      </c>
      <c r="CJ112" s="2">
        <v>1</v>
      </c>
      <c r="CK112" s="2">
        <v>21</v>
      </c>
      <c r="CL112" s="2" t="s">
        <v>86</v>
      </c>
      <c r="CM112" s="2"/>
    </row>
    <row r="113" spans="1:91">
      <c r="A113" s="2" t="s">
        <v>71</v>
      </c>
      <c r="B113" s="2" t="s">
        <v>72</v>
      </c>
      <c r="C113" s="2" t="s">
        <v>73</v>
      </c>
      <c r="D113" s="2"/>
      <c r="E113" s="2" t="str">
        <f>"FES1162568989"</f>
        <v>FES1162568989</v>
      </c>
      <c r="F113" s="3">
        <v>42962</v>
      </c>
      <c r="G113" s="2">
        <v>201802</v>
      </c>
      <c r="H113" s="2" t="s">
        <v>74</v>
      </c>
      <c r="I113" s="2" t="s">
        <v>75</v>
      </c>
      <c r="J113" s="2" t="s">
        <v>76</v>
      </c>
      <c r="K113" s="2" t="s">
        <v>77</v>
      </c>
      <c r="L113" s="2" t="s">
        <v>97</v>
      </c>
      <c r="M113" s="2" t="s">
        <v>98</v>
      </c>
      <c r="N113" s="2" t="s">
        <v>248</v>
      </c>
      <c r="O113" s="2" t="s">
        <v>100</v>
      </c>
      <c r="P113" s="2" t="str">
        <f>"2170581644                    "</f>
        <v xml:space="preserve">2170581644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4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1</v>
      </c>
      <c r="BJ113" s="2">
        <v>0.2</v>
      </c>
      <c r="BK113" s="2">
        <v>1</v>
      </c>
      <c r="BL113" s="2">
        <v>41.44</v>
      </c>
      <c r="BM113" s="2">
        <v>5.8</v>
      </c>
      <c r="BN113" s="2">
        <v>47.24</v>
      </c>
      <c r="BO113" s="2">
        <v>47.24</v>
      </c>
      <c r="BP113" s="2"/>
      <c r="BQ113" s="2" t="s">
        <v>83</v>
      </c>
      <c r="BR113" s="2" t="s">
        <v>84</v>
      </c>
      <c r="BS113" s="3">
        <v>42963</v>
      </c>
      <c r="BT113" s="4">
        <v>0.34375</v>
      </c>
      <c r="BU113" s="2" t="s">
        <v>390</v>
      </c>
      <c r="BV113" s="2" t="s">
        <v>95</v>
      </c>
      <c r="BW113" s="2"/>
      <c r="BX113" s="2"/>
      <c r="BY113" s="2">
        <v>1200</v>
      </c>
      <c r="BZ113" s="2" t="s">
        <v>27</v>
      </c>
      <c r="CA113" s="2" t="s">
        <v>294</v>
      </c>
      <c r="CB113" s="2"/>
      <c r="CC113" s="2" t="s">
        <v>98</v>
      </c>
      <c r="CD113" s="2">
        <v>6001</v>
      </c>
      <c r="CE113" s="2" t="s">
        <v>104</v>
      </c>
      <c r="CF113" s="5">
        <v>42964</v>
      </c>
      <c r="CG113" s="2"/>
      <c r="CH113" s="2"/>
      <c r="CI113" s="2">
        <v>1</v>
      </c>
      <c r="CJ113" s="2">
        <v>1</v>
      </c>
      <c r="CK113" s="2">
        <v>21</v>
      </c>
      <c r="CL113" s="2" t="s">
        <v>86</v>
      </c>
      <c r="CM113" s="2"/>
    </row>
    <row r="114" spans="1:91">
      <c r="A114" s="2" t="s">
        <v>71</v>
      </c>
      <c r="B114" s="2" t="s">
        <v>72</v>
      </c>
      <c r="C114" s="2" t="s">
        <v>73</v>
      </c>
      <c r="D114" s="2"/>
      <c r="E114" s="2" t="str">
        <f>"FES1162569001"</f>
        <v>FES1162569001</v>
      </c>
      <c r="F114" s="3">
        <v>42962</v>
      </c>
      <c r="G114" s="2">
        <v>201802</v>
      </c>
      <c r="H114" s="2" t="s">
        <v>74</v>
      </c>
      <c r="I114" s="2" t="s">
        <v>75</v>
      </c>
      <c r="J114" s="2" t="s">
        <v>76</v>
      </c>
      <c r="K114" s="2" t="s">
        <v>77</v>
      </c>
      <c r="L114" s="2" t="s">
        <v>362</v>
      </c>
      <c r="M114" s="2" t="s">
        <v>363</v>
      </c>
      <c r="N114" s="2" t="s">
        <v>377</v>
      </c>
      <c r="O114" s="2" t="s">
        <v>100</v>
      </c>
      <c r="P114" s="2" t="str">
        <f>"2170582604                    "</f>
        <v xml:space="preserve">2170582604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4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1</v>
      </c>
      <c r="BI114" s="2">
        <v>1</v>
      </c>
      <c r="BJ114" s="2">
        <v>0.2</v>
      </c>
      <c r="BK114" s="2">
        <v>1</v>
      </c>
      <c r="BL114" s="2">
        <v>41.44</v>
      </c>
      <c r="BM114" s="2">
        <v>5.8</v>
      </c>
      <c r="BN114" s="2">
        <v>47.24</v>
      </c>
      <c r="BO114" s="2">
        <v>47.24</v>
      </c>
      <c r="BP114" s="2"/>
      <c r="BQ114" s="2" t="s">
        <v>209</v>
      </c>
      <c r="BR114" s="2" t="s">
        <v>84</v>
      </c>
      <c r="BS114" s="3">
        <v>42963</v>
      </c>
      <c r="BT114" s="4">
        <v>0.41250000000000003</v>
      </c>
      <c r="BU114" s="2" t="s">
        <v>378</v>
      </c>
      <c r="BV114" s="2" t="s">
        <v>95</v>
      </c>
      <c r="BW114" s="2"/>
      <c r="BX114" s="2"/>
      <c r="BY114" s="2">
        <v>1200</v>
      </c>
      <c r="BZ114" s="2"/>
      <c r="CA114" s="2" t="s">
        <v>379</v>
      </c>
      <c r="CB114" s="2"/>
      <c r="CC114" s="2" t="s">
        <v>363</v>
      </c>
      <c r="CD114" s="2">
        <v>3201</v>
      </c>
      <c r="CE114" s="2" t="s">
        <v>104</v>
      </c>
      <c r="CF114" s="5">
        <v>42964</v>
      </c>
      <c r="CG114" s="2"/>
      <c r="CH114" s="2"/>
      <c r="CI114" s="2">
        <v>1</v>
      </c>
      <c r="CJ114" s="2">
        <v>1</v>
      </c>
      <c r="CK114" s="2">
        <v>21</v>
      </c>
      <c r="CL114" s="2" t="s">
        <v>86</v>
      </c>
      <c r="CM114" s="2"/>
    </row>
    <row r="115" spans="1:91">
      <c r="A115" s="2" t="s">
        <v>71</v>
      </c>
      <c r="B115" s="2" t="s">
        <v>72</v>
      </c>
      <c r="C115" s="2" t="s">
        <v>73</v>
      </c>
      <c r="D115" s="2"/>
      <c r="E115" s="2" t="str">
        <f>"FES1162569092"</f>
        <v>FES1162569092</v>
      </c>
      <c r="F115" s="3">
        <v>42962</v>
      </c>
      <c r="G115" s="2">
        <v>201802</v>
      </c>
      <c r="H115" s="2" t="s">
        <v>74</v>
      </c>
      <c r="I115" s="2" t="s">
        <v>75</v>
      </c>
      <c r="J115" s="2" t="s">
        <v>76</v>
      </c>
      <c r="K115" s="2" t="s">
        <v>77</v>
      </c>
      <c r="L115" s="2" t="s">
        <v>97</v>
      </c>
      <c r="M115" s="2" t="s">
        <v>98</v>
      </c>
      <c r="N115" s="2" t="s">
        <v>454</v>
      </c>
      <c r="O115" s="2" t="s">
        <v>100</v>
      </c>
      <c r="P115" s="2" t="str">
        <f>"2170585091                    "</f>
        <v xml:space="preserve">2170585091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4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</v>
      </c>
      <c r="BI115" s="2">
        <v>1.9</v>
      </c>
      <c r="BJ115" s="2">
        <v>1</v>
      </c>
      <c r="BK115" s="2">
        <v>2</v>
      </c>
      <c r="BL115" s="2">
        <v>41.44</v>
      </c>
      <c r="BM115" s="2">
        <v>5.8</v>
      </c>
      <c r="BN115" s="2">
        <v>47.24</v>
      </c>
      <c r="BO115" s="2">
        <v>47.24</v>
      </c>
      <c r="BP115" s="2"/>
      <c r="BQ115" s="2" t="s">
        <v>288</v>
      </c>
      <c r="BR115" s="2" t="s">
        <v>84</v>
      </c>
      <c r="BS115" s="3">
        <v>42963</v>
      </c>
      <c r="BT115" s="4">
        <v>0.29166666666666669</v>
      </c>
      <c r="BU115" s="2" t="s">
        <v>455</v>
      </c>
      <c r="BV115" s="2" t="s">
        <v>95</v>
      </c>
      <c r="BW115" s="2"/>
      <c r="BX115" s="2"/>
      <c r="BY115" s="2">
        <v>4941.55</v>
      </c>
      <c r="BZ115" s="2"/>
      <c r="CA115" s="2" t="s">
        <v>294</v>
      </c>
      <c r="CB115" s="2"/>
      <c r="CC115" s="2" t="s">
        <v>98</v>
      </c>
      <c r="CD115" s="2">
        <v>6012</v>
      </c>
      <c r="CE115" s="2" t="s">
        <v>89</v>
      </c>
      <c r="CF115" s="5">
        <v>42964</v>
      </c>
      <c r="CG115" s="2"/>
      <c r="CH115" s="2"/>
      <c r="CI115" s="2">
        <v>1</v>
      </c>
      <c r="CJ115" s="2">
        <v>1</v>
      </c>
      <c r="CK115" s="2">
        <v>21</v>
      </c>
      <c r="CL115" s="2" t="s">
        <v>86</v>
      </c>
      <c r="CM115" s="2"/>
    </row>
    <row r="116" spans="1:91">
      <c r="A116" s="2" t="s">
        <v>71</v>
      </c>
      <c r="B116" s="2" t="s">
        <v>72</v>
      </c>
      <c r="C116" s="2" t="s">
        <v>73</v>
      </c>
      <c r="D116" s="2"/>
      <c r="E116" s="2" t="str">
        <f>"FES1162568923"</f>
        <v>FES1162568923</v>
      </c>
      <c r="F116" s="3">
        <v>42962</v>
      </c>
      <c r="G116" s="2">
        <v>201802</v>
      </c>
      <c r="H116" s="2" t="s">
        <v>74</v>
      </c>
      <c r="I116" s="2" t="s">
        <v>75</v>
      </c>
      <c r="J116" s="2" t="s">
        <v>76</v>
      </c>
      <c r="K116" s="2" t="s">
        <v>77</v>
      </c>
      <c r="L116" s="2" t="s">
        <v>221</v>
      </c>
      <c r="M116" s="2" t="s">
        <v>222</v>
      </c>
      <c r="N116" s="2" t="s">
        <v>415</v>
      </c>
      <c r="O116" s="2" t="s">
        <v>100</v>
      </c>
      <c r="P116" s="2" t="str">
        <f>"2170582914                    "</f>
        <v xml:space="preserve">2170582914 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12.01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5.7</v>
      </c>
      <c r="BJ116" s="2">
        <v>3.7</v>
      </c>
      <c r="BK116" s="2">
        <v>6</v>
      </c>
      <c r="BL116" s="2">
        <v>124.33</v>
      </c>
      <c r="BM116" s="2">
        <v>17.41</v>
      </c>
      <c r="BN116" s="2">
        <v>141.74</v>
      </c>
      <c r="BO116" s="2">
        <v>141.74</v>
      </c>
      <c r="BP116" s="2"/>
      <c r="BQ116" s="2" t="s">
        <v>108</v>
      </c>
      <c r="BR116" s="2" t="s">
        <v>84</v>
      </c>
      <c r="BS116" s="3">
        <v>42963</v>
      </c>
      <c r="BT116" s="4">
        <v>0.33680555555555558</v>
      </c>
      <c r="BU116" s="2" t="s">
        <v>416</v>
      </c>
      <c r="BV116" s="2" t="s">
        <v>95</v>
      </c>
      <c r="BW116" s="2"/>
      <c r="BX116" s="2"/>
      <c r="BY116" s="2">
        <v>18667.39</v>
      </c>
      <c r="BZ116" s="2" t="s">
        <v>27</v>
      </c>
      <c r="CA116" s="2" t="s">
        <v>225</v>
      </c>
      <c r="CB116" s="2"/>
      <c r="CC116" s="2" t="s">
        <v>222</v>
      </c>
      <c r="CD116" s="2">
        <v>4302</v>
      </c>
      <c r="CE116" s="2" t="s">
        <v>89</v>
      </c>
      <c r="CF116" s="5">
        <v>42964</v>
      </c>
      <c r="CG116" s="2"/>
      <c r="CH116" s="2"/>
      <c r="CI116" s="2">
        <v>1</v>
      </c>
      <c r="CJ116" s="2">
        <v>1</v>
      </c>
      <c r="CK116" s="2">
        <v>21</v>
      </c>
      <c r="CL116" s="2" t="s">
        <v>86</v>
      </c>
      <c r="CM116" s="2"/>
    </row>
    <row r="117" spans="1:91">
      <c r="A117" s="2" t="s">
        <v>71</v>
      </c>
      <c r="B117" s="2" t="s">
        <v>72</v>
      </c>
      <c r="C117" s="2" t="s">
        <v>73</v>
      </c>
      <c r="D117" s="2"/>
      <c r="E117" s="2" t="str">
        <f>"FES1162569065"</f>
        <v>FES1162569065</v>
      </c>
      <c r="F117" s="3">
        <v>42962</v>
      </c>
      <c r="G117" s="2">
        <v>201802</v>
      </c>
      <c r="H117" s="2" t="s">
        <v>74</v>
      </c>
      <c r="I117" s="2" t="s">
        <v>75</v>
      </c>
      <c r="J117" s="2" t="s">
        <v>76</v>
      </c>
      <c r="K117" s="2" t="s">
        <v>77</v>
      </c>
      <c r="L117" s="2" t="s">
        <v>149</v>
      </c>
      <c r="M117" s="2" t="s">
        <v>150</v>
      </c>
      <c r="N117" s="2" t="s">
        <v>456</v>
      </c>
      <c r="O117" s="2" t="s">
        <v>100</v>
      </c>
      <c r="P117" s="2" t="str">
        <f>"2170585057                    "</f>
        <v xml:space="preserve">2170585057 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4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1</v>
      </c>
      <c r="BJ117" s="2">
        <v>0.2</v>
      </c>
      <c r="BK117" s="2">
        <v>1</v>
      </c>
      <c r="BL117" s="2">
        <v>41.44</v>
      </c>
      <c r="BM117" s="2">
        <v>5.8</v>
      </c>
      <c r="BN117" s="2">
        <v>47.24</v>
      </c>
      <c r="BO117" s="2">
        <v>47.24</v>
      </c>
      <c r="BP117" s="2"/>
      <c r="BQ117" s="2" t="s">
        <v>83</v>
      </c>
      <c r="BR117" s="2" t="s">
        <v>84</v>
      </c>
      <c r="BS117" s="3">
        <v>42963</v>
      </c>
      <c r="BT117" s="4">
        <v>0.38472222222222219</v>
      </c>
      <c r="BU117" s="2" t="s">
        <v>457</v>
      </c>
      <c r="BV117" s="2" t="s">
        <v>95</v>
      </c>
      <c r="BW117" s="2"/>
      <c r="BX117" s="2"/>
      <c r="BY117" s="2">
        <v>1200</v>
      </c>
      <c r="BZ117" s="2"/>
      <c r="CA117" s="2" t="s">
        <v>225</v>
      </c>
      <c r="CB117" s="2"/>
      <c r="CC117" s="2" t="s">
        <v>150</v>
      </c>
      <c r="CD117" s="2">
        <v>4068</v>
      </c>
      <c r="CE117" s="2" t="s">
        <v>104</v>
      </c>
      <c r="CF117" s="5">
        <v>42964</v>
      </c>
      <c r="CG117" s="2"/>
      <c r="CH117" s="2"/>
      <c r="CI117" s="2">
        <v>1</v>
      </c>
      <c r="CJ117" s="2">
        <v>1</v>
      </c>
      <c r="CK117" s="2">
        <v>21</v>
      </c>
      <c r="CL117" s="2" t="s">
        <v>86</v>
      </c>
      <c r="CM117" s="2"/>
    </row>
    <row r="118" spans="1:91">
      <c r="A118" s="2" t="s">
        <v>71</v>
      </c>
      <c r="B118" s="2" t="s">
        <v>72</v>
      </c>
      <c r="C118" s="2" t="s">
        <v>73</v>
      </c>
      <c r="D118" s="2"/>
      <c r="E118" s="2" t="str">
        <f>"FES1162568910"</f>
        <v>FES1162568910</v>
      </c>
      <c r="F118" s="3">
        <v>42962</v>
      </c>
      <c r="G118" s="2">
        <v>201802</v>
      </c>
      <c r="H118" s="2" t="s">
        <v>74</v>
      </c>
      <c r="I118" s="2" t="s">
        <v>75</v>
      </c>
      <c r="J118" s="2" t="s">
        <v>76</v>
      </c>
      <c r="K118" s="2" t="s">
        <v>77</v>
      </c>
      <c r="L118" s="2" t="s">
        <v>417</v>
      </c>
      <c r="M118" s="2" t="s">
        <v>417</v>
      </c>
      <c r="N118" s="2" t="s">
        <v>458</v>
      </c>
      <c r="O118" s="2" t="s">
        <v>100</v>
      </c>
      <c r="P118" s="2" t="str">
        <f>"2170582573                    "</f>
        <v xml:space="preserve">2170582573 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5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2.1</v>
      </c>
      <c r="BJ118" s="2">
        <v>1.6</v>
      </c>
      <c r="BK118" s="2">
        <v>2.5</v>
      </c>
      <c r="BL118" s="2">
        <v>51.8</v>
      </c>
      <c r="BM118" s="2">
        <v>7.25</v>
      </c>
      <c r="BN118" s="2">
        <v>59.05</v>
      </c>
      <c r="BO118" s="2">
        <v>59.05</v>
      </c>
      <c r="BP118" s="2"/>
      <c r="BQ118" s="2" t="s">
        <v>83</v>
      </c>
      <c r="BR118" s="2" t="s">
        <v>84</v>
      </c>
      <c r="BS118" s="3">
        <v>42963</v>
      </c>
      <c r="BT118" s="4">
        <v>0.4777777777777778</v>
      </c>
      <c r="BU118" s="2" t="s">
        <v>459</v>
      </c>
      <c r="BV118" s="2" t="s">
        <v>95</v>
      </c>
      <c r="BW118" s="2"/>
      <c r="BX118" s="2"/>
      <c r="BY118" s="2">
        <v>7933.46</v>
      </c>
      <c r="BZ118" s="2" t="s">
        <v>27</v>
      </c>
      <c r="CA118" s="2" t="s">
        <v>460</v>
      </c>
      <c r="CB118" s="2"/>
      <c r="CC118" s="2" t="s">
        <v>417</v>
      </c>
      <c r="CD118" s="2">
        <v>7646</v>
      </c>
      <c r="CE118" s="2" t="s">
        <v>89</v>
      </c>
      <c r="CF118" s="5">
        <v>42964</v>
      </c>
      <c r="CG118" s="2"/>
      <c r="CH118" s="2"/>
      <c r="CI118" s="2">
        <v>1</v>
      </c>
      <c r="CJ118" s="2">
        <v>1</v>
      </c>
      <c r="CK118" s="2">
        <v>21</v>
      </c>
      <c r="CL118" s="2" t="s">
        <v>86</v>
      </c>
      <c r="CM118" s="2"/>
    </row>
    <row r="119" spans="1:91">
      <c r="A119" s="2" t="s">
        <v>71</v>
      </c>
      <c r="B119" s="2" t="s">
        <v>72</v>
      </c>
      <c r="C119" s="2" t="s">
        <v>73</v>
      </c>
      <c r="D119" s="2"/>
      <c r="E119" s="2" t="str">
        <f>"FES1162569052"</f>
        <v>FES1162569052</v>
      </c>
      <c r="F119" s="3">
        <v>42962</v>
      </c>
      <c r="G119" s="2">
        <v>201802</v>
      </c>
      <c r="H119" s="2" t="s">
        <v>74</v>
      </c>
      <c r="I119" s="2" t="s">
        <v>75</v>
      </c>
      <c r="J119" s="2" t="s">
        <v>76</v>
      </c>
      <c r="K119" s="2" t="s">
        <v>77</v>
      </c>
      <c r="L119" s="2" t="s">
        <v>244</v>
      </c>
      <c r="M119" s="2" t="s">
        <v>245</v>
      </c>
      <c r="N119" s="2" t="s">
        <v>246</v>
      </c>
      <c r="O119" s="2" t="s">
        <v>100</v>
      </c>
      <c r="P119" s="2" t="str">
        <f>"2170585040                    "</f>
        <v xml:space="preserve">2170585040  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3.13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1</v>
      </c>
      <c r="BJ119" s="2">
        <v>0.2</v>
      </c>
      <c r="BK119" s="2">
        <v>1</v>
      </c>
      <c r="BL119" s="2">
        <v>32.380000000000003</v>
      </c>
      <c r="BM119" s="2">
        <v>4.53</v>
      </c>
      <c r="BN119" s="2">
        <v>36.909999999999997</v>
      </c>
      <c r="BO119" s="2">
        <v>36.909999999999997</v>
      </c>
      <c r="BP119" s="2"/>
      <c r="BQ119" s="2" t="s">
        <v>209</v>
      </c>
      <c r="BR119" s="2" t="s">
        <v>84</v>
      </c>
      <c r="BS119" s="3">
        <v>42963</v>
      </c>
      <c r="BT119" s="4">
        <v>0.41388888888888892</v>
      </c>
      <c r="BU119" s="2" t="s">
        <v>461</v>
      </c>
      <c r="BV119" s="2" t="s">
        <v>95</v>
      </c>
      <c r="BW119" s="2"/>
      <c r="BX119" s="2"/>
      <c r="BY119" s="2">
        <v>1200</v>
      </c>
      <c r="BZ119" s="2"/>
      <c r="CA119" s="2" t="s">
        <v>423</v>
      </c>
      <c r="CB119" s="2"/>
      <c r="CC119" s="2" t="s">
        <v>245</v>
      </c>
      <c r="CD119" s="2">
        <v>1459</v>
      </c>
      <c r="CE119" s="2" t="s">
        <v>104</v>
      </c>
      <c r="CF119" s="5">
        <v>42964</v>
      </c>
      <c r="CG119" s="2"/>
      <c r="CH119" s="2"/>
      <c r="CI119" s="2">
        <v>1</v>
      </c>
      <c r="CJ119" s="2">
        <v>1</v>
      </c>
      <c r="CK119" s="2">
        <v>22</v>
      </c>
      <c r="CL119" s="2" t="s">
        <v>86</v>
      </c>
      <c r="CM119" s="2"/>
    </row>
    <row r="120" spans="1:91">
      <c r="A120" s="2" t="s">
        <v>71</v>
      </c>
      <c r="B120" s="2" t="s">
        <v>72</v>
      </c>
      <c r="C120" s="2" t="s">
        <v>73</v>
      </c>
      <c r="D120" s="2"/>
      <c r="E120" s="2" t="str">
        <f>"FES1162568952"</f>
        <v>FES1162568952</v>
      </c>
      <c r="F120" s="3">
        <v>42962</v>
      </c>
      <c r="G120" s="2">
        <v>201802</v>
      </c>
      <c r="H120" s="2" t="s">
        <v>74</v>
      </c>
      <c r="I120" s="2" t="s">
        <v>75</v>
      </c>
      <c r="J120" s="2" t="s">
        <v>76</v>
      </c>
      <c r="K120" s="2" t="s">
        <v>77</v>
      </c>
      <c r="L120" s="2" t="s">
        <v>105</v>
      </c>
      <c r="M120" s="2" t="s">
        <v>106</v>
      </c>
      <c r="N120" s="2" t="s">
        <v>397</v>
      </c>
      <c r="O120" s="2" t="s">
        <v>100</v>
      </c>
      <c r="P120" s="2" t="str">
        <f>"2170584957                    "</f>
        <v xml:space="preserve">2170584957  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5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2.2999999999999998</v>
      </c>
      <c r="BJ120" s="2">
        <v>1</v>
      </c>
      <c r="BK120" s="2">
        <v>2.5</v>
      </c>
      <c r="BL120" s="2">
        <v>51.8</v>
      </c>
      <c r="BM120" s="2">
        <v>7.25</v>
      </c>
      <c r="BN120" s="2">
        <v>59.05</v>
      </c>
      <c r="BO120" s="2">
        <v>59.05</v>
      </c>
      <c r="BP120" s="2"/>
      <c r="BQ120" s="2" t="s">
        <v>108</v>
      </c>
      <c r="BR120" s="2" t="s">
        <v>84</v>
      </c>
      <c r="BS120" s="3">
        <v>42963</v>
      </c>
      <c r="BT120" s="4">
        <v>0.44166666666666665</v>
      </c>
      <c r="BU120" s="2" t="s">
        <v>462</v>
      </c>
      <c r="BV120" s="2" t="s">
        <v>95</v>
      </c>
      <c r="BW120" s="2"/>
      <c r="BX120" s="2"/>
      <c r="BY120" s="2">
        <v>5052.4399999999996</v>
      </c>
      <c r="BZ120" s="2" t="s">
        <v>27</v>
      </c>
      <c r="CA120" s="2" t="s">
        <v>302</v>
      </c>
      <c r="CB120" s="2"/>
      <c r="CC120" s="2" t="s">
        <v>106</v>
      </c>
      <c r="CD120" s="2">
        <v>7530</v>
      </c>
      <c r="CE120" s="2" t="s">
        <v>89</v>
      </c>
      <c r="CF120" s="5">
        <v>42964</v>
      </c>
      <c r="CG120" s="2"/>
      <c r="CH120" s="2"/>
      <c r="CI120" s="2">
        <v>1</v>
      </c>
      <c r="CJ120" s="2">
        <v>1</v>
      </c>
      <c r="CK120" s="2">
        <v>21</v>
      </c>
      <c r="CL120" s="2" t="s">
        <v>86</v>
      </c>
      <c r="CM120" s="2"/>
    </row>
    <row r="121" spans="1:91">
      <c r="A121" s="2" t="s">
        <v>71</v>
      </c>
      <c r="B121" s="2" t="s">
        <v>72</v>
      </c>
      <c r="C121" s="2" t="s">
        <v>73</v>
      </c>
      <c r="D121" s="2"/>
      <c r="E121" s="2" t="str">
        <f>"FES1162569069"</f>
        <v>FES1162569069</v>
      </c>
      <c r="F121" s="3">
        <v>42962</v>
      </c>
      <c r="G121" s="2">
        <v>201802</v>
      </c>
      <c r="H121" s="2" t="s">
        <v>74</v>
      </c>
      <c r="I121" s="2" t="s">
        <v>75</v>
      </c>
      <c r="J121" s="2" t="s">
        <v>76</v>
      </c>
      <c r="K121" s="2" t="s">
        <v>77</v>
      </c>
      <c r="L121" s="2" t="s">
        <v>149</v>
      </c>
      <c r="M121" s="2" t="s">
        <v>150</v>
      </c>
      <c r="N121" s="2" t="s">
        <v>463</v>
      </c>
      <c r="O121" s="2" t="s">
        <v>100</v>
      </c>
      <c r="P121" s="2" t="str">
        <f>"2170585068                    "</f>
        <v xml:space="preserve">2170585068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4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1</v>
      </c>
      <c r="BJ121" s="2">
        <v>0.2</v>
      </c>
      <c r="BK121" s="2">
        <v>1</v>
      </c>
      <c r="BL121" s="2">
        <v>41.44</v>
      </c>
      <c r="BM121" s="2">
        <v>5.8</v>
      </c>
      <c r="BN121" s="2">
        <v>47.24</v>
      </c>
      <c r="BO121" s="2">
        <v>47.24</v>
      </c>
      <c r="BP121" s="2"/>
      <c r="BQ121" s="2" t="s">
        <v>108</v>
      </c>
      <c r="BR121" s="2" t="s">
        <v>84</v>
      </c>
      <c r="BS121" s="3">
        <v>42963</v>
      </c>
      <c r="BT121" s="4">
        <v>0.4375</v>
      </c>
      <c r="BU121" s="2" t="s">
        <v>464</v>
      </c>
      <c r="BV121" s="2" t="s">
        <v>95</v>
      </c>
      <c r="BW121" s="2"/>
      <c r="BX121" s="2"/>
      <c r="BY121" s="2">
        <v>1200</v>
      </c>
      <c r="BZ121" s="2"/>
      <c r="CA121" s="2" t="s">
        <v>347</v>
      </c>
      <c r="CB121" s="2"/>
      <c r="CC121" s="2" t="s">
        <v>150</v>
      </c>
      <c r="CD121" s="2">
        <v>4001</v>
      </c>
      <c r="CE121" s="2" t="s">
        <v>104</v>
      </c>
      <c r="CF121" s="5">
        <v>42963</v>
      </c>
      <c r="CG121" s="2"/>
      <c r="CH121" s="2"/>
      <c r="CI121" s="2">
        <v>1</v>
      </c>
      <c r="CJ121" s="2">
        <v>1</v>
      </c>
      <c r="CK121" s="2">
        <v>21</v>
      </c>
      <c r="CL121" s="2" t="s">
        <v>86</v>
      </c>
      <c r="CM121" s="2"/>
    </row>
    <row r="122" spans="1:91">
      <c r="A122" s="2" t="s">
        <v>71</v>
      </c>
      <c r="B122" s="2" t="s">
        <v>72</v>
      </c>
      <c r="C122" s="2" t="s">
        <v>73</v>
      </c>
      <c r="D122" s="2"/>
      <c r="E122" s="2" t="str">
        <f>"FES1162568851"</f>
        <v>FES1162568851</v>
      </c>
      <c r="F122" s="3">
        <v>42962</v>
      </c>
      <c r="G122" s="2">
        <v>201802</v>
      </c>
      <c r="H122" s="2" t="s">
        <v>74</v>
      </c>
      <c r="I122" s="2" t="s">
        <v>75</v>
      </c>
      <c r="J122" s="2" t="s">
        <v>76</v>
      </c>
      <c r="K122" s="2" t="s">
        <v>77</v>
      </c>
      <c r="L122" s="2" t="s">
        <v>105</v>
      </c>
      <c r="M122" s="2" t="s">
        <v>106</v>
      </c>
      <c r="N122" s="2" t="s">
        <v>465</v>
      </c>
      <c r="O122" s="2" t="s">
        <v>100</v>
      </c>
      <c r="P122" s="2" t="str">
        <f>"2170581822                    "</f>
        <v xml:space="preserve">2170581822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4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1</v>
      </c>
      <c r="BJ122" s="2">
        <v>0.2</v>
      </c>
      <c r="BK122" s="2">
        <v>1</v>
      </c>
      <c r="BL122" s="2">
        <v>41.44</v>
      </c>
      <c r="BM122" s="2">
        <v>5.8</v>
      </c>
      <c r="BN122" s="2">
        <v>47.24</v>
      </c>
      <c r="BO122" s="2">
        <v>47.24</v>
      </c>
      <c r="BP122" s="2"/>
      <c r="BQ122" s="2" t="s">
        <v>288</v>
      </c>
      <c r="BR122" s="2" t="s">
        <v>84</v>
      </c>
      <c r="BS122" s="3">
        <v>42963</v>
      </c>
      <c r="BT122" s="4">
        <v>0.53888888888888886</v>
      </c>
      <c r="BU122" s="2" t="s">
        <v>466</v>
      </c>
      <c r="BV122" s="2" t="s">
        <v>95</v>
      </c>
      <c r="BW122" s="2"/>
      <c r="BX122" s="2"/>
      <c r="BY122" s="2">
        <v>1200</v>
      </c>
      <c r="BZ122" s="2" t="s">
        <v>27</v>
      </c>
      <c r="CA122" s="2" t="s">
        <v>350</v>
      </c>
      <c r="CB122" s="2"/>
      <c r="CC122" s="2" t="s">
        <v>106</v>
      </c>
      <c r="CD122" s="2">
        <v>7945</v>
      </c>
      <c r="CE122" s="2" t="s">
        <v>104</v>
      </c>
      <c r="CF122" s="5">
        <v>42964</v>
      </c>
      <c r="CG122" s="2"/>
      <c r="CH122" s="2"/>
      <c r="CI122" s="2">
        <v>1</v>
      </c>
      <c r="CJ122" s="2">
        <v>1</v>
      </c>
      <c r="CK122" s="2">
        <v>21</v>
      </c>
      <c r="CL122" s="2" t="s">
        <v>86</v>
      </c>
      <c r="CM122" s="2"/>
    </row>
    <row r="123" spans="1:91">
      <c r="A123" s="2" t="s">
        <v>71</v>
      </c>
      <c r="B123" s="2" t="s">
        <v>72</v>
      </c>
      <c r="C123" s="2" t="s">
        <v>73</v>
      </c>
      <c r="D123" s="2"/>
      <c r="E123" s="2" t="str">
        <f>"FES1162569041"</f>
        <v>FES1162569041</v>
      </c>
      <c r="F123" s="3">
        <v>42962</v>
      </c>
      <c r="G123" s="2">
        <v>201802</v>
      </c>
      <c r="H123" s="2" t="s">
        <v>74</v>
      </c>
      <c r="I123" s="2" t="s">
        <v>75</v>
      </c>
      <c r="J123" s="2" t="s">
        <v>76</v>
      </c>
      <c r="K123" s="2" t="s">
        <v>77</v>
      </c>
      <c r="L123" s="2" t="s">
        <v>74</v>
      </c>
      <c r="M123" s="2" t="s">
        <v>75</v>
      </c>
      <c r="N123" s="2" t="s">
        <v>467</v>
      </c>
      <c r="O123" s="2" t="s">
        <v>100</v>
      </c>
      <c r="P123" s="2" t="str">
        <f>"2170585027                    "</f>
        <v xml:space="preserve">2170585027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3.13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1</v>
      </c>
      <c r="BJ123" s="2">
        <v>0.2</v>
      </c>
      <c r="BK123" s="2">
        <v>1</v>
      </c>
      <c r="BL123" s="2">
        <v>32.380000000000003</v>
      </c>
      <c r="BM123" s="2">
        <v>4.53</v>
      </c>
      <c r="BN123" s="2">
        <v>36.909999999999997</v>
      </c>
      <c r="BO123" s="2">
        <v>36.909999999999997</v>
      </c>
      <c r="BP123" s="2"/>
      <c r="BQ123" s="2" t="s">
        <v>468</v>
      </c>
      <c r="BR123" s="2" t="s">
        <v>84</v>
      </c>
      <c r="BS123" s="3">
        <v>42963</v>
      </c>
      <c r="BT123" s="4">
        <v>0.43402777777777773</v>
      </c>
      <c r="BU123" s="2" t="s">
        <v>469</v>
      </c>
      <c r="BV123" s="2" t="s">
        <v>95</v>
      </c>
      <c r="BW123" s="2"/>
      <c r="BX123" s="2"/>
      <c r="BY123" s="2">
        <v>1200</v>
      </c>
      <c r="BZ123" s="2"/>
      <c r="CA123" s="2"/>
      <c r="CB123" s="2"/>
      <c r="CC123" s="2" t="s">
        <v>75</v>
      </c>
      <c r="CD123" s="2">
        <v>1601</v>
      </c>
      <c r="CE123" s="2" t="s">
        <v>104</v>
      </c>
      <c r="CF123" s="5">
        <v>42964</v>
      </c>
      <c r="CG123" s="2"/>
      <c r="CH123" s="2"/>
      <c r="CI123" s="2">
        <v>1</v>
      </c>
      <c r="CJ123" s="2">
        <v>1</v>
      </c>
      <c r="CK123" s="2">
        <v>22</v>
      </c>
      <c r="CL123" s="2" t="s">
        <v>86</v>
      </c>
      <c r="CM123" s="2"/>
    </row>
    <row r="124" spans="1:91">
      <c r="A124" s="2" t="s">
        <v>71</v>
      </c>
      <c r="B124" s="2" t="s">
        <v>72</v>
      </c>
      <c r="C124" s="2" t="s">
        <v>73</v>
      </c>
      <c r="D124" s="2"/>
      <c r="E124" s="2" t="str">
        <f>"FES1162568977"</f>
        <v>FES1162568977</v>
      </c>
      <c r="F124" s="3">
        <v>42962</v>
      </c>
      <c r="G124" s="2">
        <v>201802</v>
      </c>
      <c r="H124" s="2" t="s">
        <v>74</v>
      </c>
      <c r="I124" s="2" t="s">
        <v>75</v>
      </c>
      <c r="J124" s="2" t="s">
        <v>76</v>
      </c>
      <c r="K124" s="2" t="s">
        <v>77</v>
      </c>
      <c r="L124" s="2" t="s">
        <v>470</v>
      </c>
      <c r="M124" s="2" t="s">
        <v>471</v>
      </c>
      <c r="N124" s="2" t="s">
        <v>472</v>
      </c>
      <c r="O124" s="2" t="s">
        <v>100</v>
      </c>
      <c r="P124" s="2" t="str">
        <f>"2170584988                    "</f>
        <v xml:space="preserve">2170584988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4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1</v>
      </c>
      <c r="BI124" s="2">
        <v>1</v>
      </c>
      <c r="BJ124" s="2">
        <v>0.2</v>
      </c>
      <c r="BK124" s="2">
        <v>1</v>
      </c>
      <c r="BL124" s="2">
        <v>41.44</v>
      </c>
      <c r="BM124" s="2">
        <v>5.8</v>
      </c>
      <c r="BN124" s="2">
        <v>47.24</v>
      </c>
      <c r="BO124" s="2">
        <v>47.24</v>
      </c>
      <c r="BP124" s="2"/>
      <c r="BQ124" s="2" t="s">
        <v>83</v>
      </c>
      <c r="BR124" s="2" t="s">
        <v>84</v>
      </c>
      <c r="BS124" s="3">
        <v>42963</v>
      </c>
      <c r="BT124" s="4">
        <v>0.35347222222222219</v>
      </c>
      <c r="BU124" s="2" t="s">
        <v>473</v>
      </c>
      <c r="BV124" s="2" t="s">
        <v>95</v>
      </c>
      <c r="BW124" s="2"/>
      <c r="BX124" s="2"/>
      <c r="BY124" s="2">
        <v>1200</v>
      </c>
      <c r="BZ124" s="2"/>
      <c r="CA124" s="2" t="s">
        <v>474</v>
      </c>
      <c r="CB124" s="2"/>
      <c r="CC124" s="2" t="s">
        <v>471</v>
      </c>
      <c r="CD124" s="2">
        <v>1911</v>
      </c>
      <c r="CE124" s="2" t="s">
        <v>104</v>
      </c>
      <c r="CF124" s="5">
        <v>42964</v>
      </c>
      <c r="CG124" s="2"/>
      <c r="CH124" s="2"/>
      <c r="CI124" s="2">
        <v>1</v>
      </c>
      <c r="CJ124" s="2">
        <v>1</v>
      </c>
      <c r="CK124" s="2">
        <v>21</v>
      </c>
      <c r="CL124" s="2" t="s">
        <v>86</v>
      </c>
      <c r="CM124" s="2"/>
    </row>
    <row r="125" spans="1:91">
      <c r="A125" s="2" t="s">
        <v>71</v>
      </c>
      <c r="B125" s="2" t="s">
        <v>72</v>
      </c>
      <c r="C125" s="2" t="s">
        <v>73</v>
      </c>
      <c r="D125" s="2"/>
      <c r="E125" s="2" t="str">
        <f>"FES1162568928"</f>
        <v>FES1162568928</v>
      </c>
      <c r="F125" s="3">
        <v>42962</v>
      </c>
      <c r="G125" s="2">
        <v>201802</v>
      </c>
      <c r="H125" s="2" t="s">
        <v>74</v>
      </c>
      <c r="I125" s="2" t="s">
        <v>75</v>
      </c>
      <c r="J125" s="2" t="s">
        <v>76</v>
      </c>
      <c r="K125" s="2" t="s">
        <v>77</v>
      </c>
      <c r="L125" s="2" t="s">
        <v>417</v>
      </c>
      <c r="M125" s="2" t="s">
        <v>417</v>
      </c>
      <c r="N125" s="2" t="s">
        <v>475</v>
      </c>
      <c r="O125" s="2" t="s">
        <v>100</v>
      </c>
      <c r="P125" s="2" t="str">
        <f>"2170583272                    "</f>
        <v xml:space="preserve">2170583272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4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1</v>
      </c>
      <c r="BJ125" s="2">
        <v>0.2</v>
      </c>
      <c r="BK125" s="2">
        <v>1</v>
      </c>
      <c r="BL125" s="2">
        <v>41.44</v>
      </c>
      <c r="BM125" s="2">
        <v>5.8</v>
      </c>
      <c r="BN125" s="2">
        <v>47.24</v>
      </c>
      <c r="BO125" s="2">
        <v>47.24</v>
      </c>
      <c r="BP125" s="2"/>
      <c r="BQ125" s="2" t="s">
        <v>108</v>
      </c>
      <c r="BR125" s="2" t="s">
        <v>84</v>
      </c>
      <c r="BS125" s="3">
        <v>42963</v>
      </c>
      <c r="BT125" s="4">
        <v>0.47430555555555554</v>
      </c>
      <c r="BU125" s="2" t="s">
        <v>476</v>
      </c>
      <c r="BV125" s="2" t="s">
        <v>95</v>
      </c>
      <c r="BW125" s="2"/>
      <c r="BX125" s="2"/>
      <c r="BY125" s="2">
        <v>1200</v>
      </c>
      <c r="BZ125" s="2" t="s">
        <v>27</v>
      </c>
      <c r="CA125" s="2" t="s">
        <v>460</v>
      </c>
      <c r="CB125" s="2"/>
      <c r="CC125" s="2" t="s">
        <v>417</v>
      </c>
      <c r="CD125" s="2">
        <v>7646</v>
      </c>
      <c r="CE125" s="2" t="s">
        <v>104</v>
      </c>
      <c r="CF125" s="5">
        <v>42963</v>
      </c>
      <c r="CG125" s="2"/>
      <c r="CH125" s="2"/>
      <c r="CI125" s="2">
        <v>1</v>
      </c>
      <c r="CJ125" s="2">
        <v>1</v>
      </c>
      <c r="CK125" s="2">
        <v>21</v>
      </c>
      <c r="CL125" s="2" t="s">
        <v>86</v>
      </c>
      <c r="CM125" s="2"/>
    </row>
    <row r="126" spans="1:91">
      <c r="A126" s="2" t="s">
        <v>71</v>
      </c>
      <c r="B126" s="2" t="s">
        <v>72</v>
      </c>
      <c r="C126" s="2" t="s">
        <v>73</v>
      </c>
      <c r="D126" s="2"/>
      <c r="E126" s="2" t="str">
        <f>"FES1162568806"</f>
        <v>FES1162568806</v>
      </c>
      <c r="F126" s="3">
        <v>42962</v>
      </c>
      <c r="G126" s="2">
        <v>201802</v>
      </c>
      <c r="H126" s="2" t="s">
        <v>74</v>
      </c>
      <c r="I126" s="2" t="s">
        <v>75</v>
      </c>
      <c r="J126" s="2" t="s">
        <v>76</v>
      </c>
      <c r="K126" s="2" t="s">
        <v>77</v>
      </c>
      <c r="L126" s="2" t="s">
        <v>74</v>
      </c>
      <c r="M126" s="2" t="s">
        <v>75</v>
      </c>
      <c r="N126" s="2" t="s">
        <v>467</v>
      </c>
      <c r="O126" s="2" t="s">
        <v>100</v>
      </c>
      <c r="P126" s="2" t="str">
        <f>"2170583565                    "</f>
        <v xml:space="preserve">2170583565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3.13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1</v>
      </c>
      <c r="BI126" s="2">
        <v>6.4</v>
      </c>
      <c r="BJ126" s="2">
        <v>3.9</v>
      </c>
      <c r="BK126" s="2">
        <v>7</v>
      </c>
      <c r="BL126" s="2">
        <v>32.380000000000003</v>
      </c>
      <c r="BM126" s="2">
        <v>4.53</v>
      </c>
      <c r="BN126" s="2">
        <v>36.909999999999997</v>
      </c>
      <c r="BO126" s="2">
        <v>36.909999999999997</v>
      </c>
      <c r="BP126" s="2"/>
      <c r="BQ126" s="2" t="s">
        <v>468</v>
      </c>
      <c r="BR126" s="2" t="s">
        <v>84</v>
      </c>
      <c r="BS126" s="3">
        <v>42963</v>
      </c>
      <c r="BT126" s="4">
        <v>0.43402777777777773</v>
      </c>
      <c r="BU126" s="2" t="s">
        <v>469</v>
      </c>
      <c r="BV126" s="2" t="s">
        <v>95</v>
      </c>
      <c r="BW126" s="2"/>
      <c r="BX126" s="2"/>
      <c r="BY126" s="2">
        <v>19459.439999999999</v>
      </c>
      <c r="BZ126" s="2"/>
      <c r="CA126" s="2"/>
      <c r="CB126" s="2"/>
      <c r="CC126" s="2" t="s">
        <v>75</v>
      </c>
      <c r="CD126" s="2">
        <v>1601</v>
      </c>
      <c r="CE126" s="2" t="s">
        <v>89</v>
      </c>
      <c r="CF126" s="5">
        <v>42964</v>
      </c>
      <c r="CG126" s="2"/>
      <c r="CH126" s="2"/>
      <c r="CI126" s="2">
        <v>1</v>
      </c>
      <c r="CJ126" s="2">
        <v>1</v>
      </c>
      <c r="CK126" s="2">
        <v>22</v>
      </c>
      <c r="CL126" s="2" t="s">
        <v>86</v>
      </c>
      <c r="CM126" s="2"/>
    </row>
    <row r="127" spans="1:91">
      <c r="A127" s="2" t="s">
        <v>71</v>
      </c>
      <c r="B127" s="2" t="s">
        <v>72</v>
      </c>
      <c r="C127" s="2" t="s">
        <v>73</v>
      </c>
      <c r="D127" s="2"/>
      <c r="E127" s="2" t="str">
        <f>"FES1162568812"</f>
        <v>FES1162568812</v>
      </c>
      <c r="F127" s="3">
        <v>42962</v>
      </c>
      <c r="G127" s="2">
        <v>201802</v>
      </c>
      <c r="H127" s="2" t="s">
        <v>74</v>
      </c>
      <c r="I127" s="2" t="s">
        <v>75</v>
      </c>
      <c r="J127" s="2" t="s">
        <v>76</v>
      </c>
      <c r="K127" s="2" t="s">
        <v>77</v>
      </c>
      <c r="L127" s="2" t="s">
        <v>231</v>
      </c>
      <c r="M127" s="2" t="s">
        <v>232</v>
      </c>
      <c r="N127" s="2" t="s">
        <v>477</v>
      </c>
      <c r="O127" s="2" t="s">
        <v>100</v>
      </c>
      <c r="P127" s="2" t="str">
        <f>"2170584886                    "</f>
        <v xml:space="preserve">2170584886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4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1</v>
      </c>
      <c r="BJ127" s="2">
        <v>0.2</v>
      </c>
      <c r="BK127" s="2">
        <v>1</v>
      </c>
      <c r="BL127" s="2">
        <v>41.44</v>
      </c>
      <c r="BM127" s="2">
        <v>5.8</v>
      </c>
      <c r="BN127" s="2">
        <v>47.24</v>
      </c>
      <c r="BO127" s="2">
        <v>47.24</v>
      </c>
      <c r="BP127" s="2"/>
      <c r="BQ127" s="2" t="s">
        <v>209</v>
      </c>
      <c r="BR127" s="2" t="s">
        <v>84</v>
      </c>
      <c r="BS127" s="3">
        <v>42964</v>
      </c>
      <c r="BT127" s="4">
        <v>0.33958333333333335</v>
      </c>
      <c r="BU127" s="2" t="s">
        <v>478</v>
      </c>
      <c r="BV127" s="2" t="s">
        <v>86</v>
      </c>
      <c r="BW127" s="2" t="s">
        <v>124</v>
      </c>
      <c r="BX127" s="2" t="s">
        <v>337</v>
      </c>
      <c r="BY127" s="2">
        <v>1200</v>
      </c>
      <c r="BZ127" s="2" t="s">
        <v>27</v>
      </c>
      <c r="CA127" s="2" t="s">
        <v>429</v>
      </c>
      <c r="CB127" s="2"/>
      <c r="CC127" s="2" t="s">
        <v>232</v>
      </c>
      <c r="CD127" s="2">
        <v>4026</v>
      </c>
      <c r="CE127" s="2" t="s">
        <v>104</v>
      </c>
      <c r="CF127" s="5">
        <v>42964</v>
      </c>
      <c r="CG127" s="2"/>
      <c r="CH127" s="2"/>
      <c r="CI127" s="2">
        <v>1</v>
      </c>
      <c r="CJ127" s="2">
        <v>2</v>
      </c>
      <c r="CK127" s="2">
        <v>21</v>
      </c>
      <c r="CL127" s="2" t="s">
        <v>86</v>
      </c>
      <c r="CM127" s="2"/>
    </row>
    <row r="128" spans="1:91">
      <c r="A128" s="2" t="s">
        <v>71</v>
      </c>
      <c r="B128" s="2" t="s">
        <v>72</v>
      </c>
      <c r="C128" s="2" t="s">
        <v>73</v>
      </c>
      <c r="D128" s="2"/>
      <c r="E128" s="2" t="str">
        <f>"FES1162569101"</f>
        <v>FES1162569101</v>
      </c>
      <c r="F128" s="3">
        <v>42962</v>
      </c>
      <c r="G128" s="2">
        <v>201802</v>
      </c>
      <c r="H128" s="2" t="s">
        <v>74</v>
      </c>
      <c r="I128" s="2" t="s">
        <v>75</v>
      </c>
      <c r="J128" s="2" t="s">
        <v>76</v>
      </c>
      <c r="K128" s="2" t="s">
        <v>77</v>
      </c>
      <c r="L128" s="2" t="s">
        <v>216</v>
      </c>
      <c r="M128" s="2" t="s">
        <v>217</v>
      </c>
      <c r="N128" s="2" t="s">
        <v>479</v>
      </c>
      <c r="O128" s="2" t="s">
        <v>100</v>
      </c>
      <c r="P128" s="2" t="str">
        <f>"2170584823                    "</f>
        <v xml:space="preserve">2170584823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3.13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6.1</v>
      </c>
      <c r="BJ128" s="2">
        <v>2.8</v>
      </c>
      <c r="BK128" s="2">
        <v>7</v>
      </c>
      <c r="BL128" s="2">
        <v>32.380000000000003</v>
      </c>
      <c r="BM128" s="2">
        <v>4.53</v>
      </c>
      <c r="BN128" s="2">
        <v>36.909999999999997</v>
      </c>
      <c r="BO128" s="2">
        <v>36.909999999999997</v>
      </c>
      <c r="BP128" s="2"/>
      <c r="BQ128" s="2" t="s">
        <v>480</v>
      </c>
      <c r="BR128" s="2" t="s">
        <v>84</v>
      </c>
      <c r="BS128" s="3">
        <v>42963</v>
      </c>
      <c r="BT128" s="4">
        <v>0.33263888888888887</v>
      </c>
      <c r="BU128" s="2" t="s">
        <v>481</v>
      </c>
      <c r="BV128" s="2" t="s">
        <v>95</v>
      </c>
      <c r="BW128" s="2"/>
      <c r="BX128" s="2"/>
      <c r="BY128" s="2">
        <v>13966.56</v>
      </c>
      <c r="BZ128" s="2"/>
      <c r="CA128" s="2" t="s">
        <v>220</v>
      </c>
      <c r="CB128" s="2"/>
      <c r="CC128" s="2" t="s">
        <v>217</v>
      </c>
      <c r="CD128" s="2">
        <v>1451</v>
      </c>
      <c r="CE128" s="2" t="s">
        <v>89</v>
      </c>
      <c r="CF128" s="5">
        <v>42964</v>
      </c>
      <c r="CG128" s="2"/>
      <c r="CH128" s="2"/>
      <c r="CI128" s="2">
        <v>1</v>
      </c>
      <c r="CJ128" s="2">
        <v>1</v>
      </c>
      <c r="CK128" s="2">
        <v>22</v>
      </c>
      <c r="CL128" s="2" t="s">
        <v>86</v>
      </c>
      <c r="CM128" s="2"/>
    </row>
    <row r="129" spans="1:91">
      <c r="A129" s="2" t="s">
        <v>71</v>
      </c>
      <c r="B129" s="2" t="s">
        <v>72</v>
      </c>
      <c r="C129" s="2" t="s">
        <v>73</v>
      </c>
      <c r="D129" s="2"/>
      <c r="E129" s="2" t="str">
        <f>"FES1162568950"</f>
        <v>FES1162568950</v>
      </c>
      <c r="F129" s="3">
        <v>42962</v>
      </c>
      <c r="G129" s="2">
        <v>201802</v>
      </c>
      <c r="H129" s="2" t="s">
        <v>74</v>
      </c>
      <c r="I129" s="2" t="s">
        <v>75</v>
      </c>
      <c r="J129" s="2" t="s">
        <v>76</v>
      </c>
      <c r="K129" s="2" t="s">
        <v>77</v>
      </c>
      <c r="L129" s="2" t="s">
        <v>149</v>
      </c>
      <c r="M129" s="2" t="s">
        <v>150</v>
      </c>
      <c r="N129" s="2" t="s">
        <v>482</v>
      </c>
      <c r="O129" s="2" t="s">
        <v>100</v>
      </c>
      <c r="P129" s="2" t="str">
        <f>"2170584954                    "</f>
        <v xml:space="preserve">2170584954  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4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1</v>
      </c>
      <c r="BJ129" s="2">
        <v>0.2</v>
      </c>
      <c r="BK129" s="2">
        <v>1</v>
      </c>
      <c r="BL129" s="2">
        <v>41.44</v>
      </c>
      <c r="BM129" s="2">
        <v>5.8</v>
      </c>
      <c r="BN129" s="2">
        <v>47.24</v>
      </c>
      <c r="BO129" s="2">
        <v>47.24</v>
      </c>
      <c r="BP129" s="2"/>
      <c r="BQ129" s="2" t="s">
        <v>83</v>
      </c>
      <c r="BR129" s="2" t="s">
        <v>84</v>
      </c>
      <c r="BS129" s="3">
        <v>42963</v>
      </c>
      <c r="BT129" s="4">
        <v>0.37916666666666665</v>
      </c>
      <c r="BU129" s="2" t="s">
        <v>483</v>
      </c>
      <c r="BV129" s="2" t="s">
        <v>95</v>
      </c>
      <c r="BW129" s="2"/>
      <c r="BX129" s="2"/>
      <c r="BY129" s="2">
        <v>1200</v>
      </c>
      <c r="BZ129" s="2" t="s">
        <v>27</v>
      </c>
      <c r="CA129" s="2" t="s">
        <v>484</v>
      </c>
      <c r="CB129" s="2"/>
      <c r="CC129" s="2" t="s">
        <v>150</v>
      </c>
      <c r="CD129" s="2">
        <v>4001</v>
      </c>
      <c r="CE129" s="2" t="s">
        <v>104</v>
      </c>
      <c r="CF129" s="5">
        <v>42964</v>
      </c>
      <c r="CG129" s="2"/>
      <c r="CH129" s="2"/>
      <c r="CI129" s="2">
        <v>1</v>
      </c>
      <c r="CJ129" s="2">
        <v>1</v>
      </c>
      <c r="CK129" s="2">
        <v>21</v>
      </c>
      <c r="CL129" s="2" t="s">
        <v>86</v>
      </c>
      <c r="CM129" s="2"/>
    </row>
    <row r="130" spans="1:91">
      <c r="A130" s="2" t="s">
        <v>71</v>
      </c>
      <c r="B130" s="2" t="s">
        <v>72</v>
      </c>
      <c r="C130" s="2" t="s">
        <v>73</v>
      </c>
      <c r="D130" s="2"/>
      <c r="E130" s="2" t="str">
        <f>"FES1162569054"</f>
        <v>FES1162569054</v>
      </c>
      <c r="F130" s="3">
        <v>42962</v>
      </c>
      <c r="G130" s="2">
        <v>201802</v>
      </c>
      <c r="H130" s="2" t="s">
        <v>74</v>
      </c>
      <c r="I130" s="2" t="s">
        <v>75</v>
      </c>
      <c r="J130" s="2" t="s">
        <v>76</v>
      </c>
      <c r="K130" s="2" t="s">
        <v>77</v>
      </c>
      <c r="L130" s="2" t="s">
        <v>201</v>
      </c>
      <c r="M130" s="2" t="s">
        <v>202</v>
      </c>
      <c r="N130" s="2" t="s">
        <v>409</v>
      </c>
      <c r="O130" s="2" t="s">
        <v>100</v>
      </c>
      <c r="P130" s="2" t="str">
        <f>"2170582260                    "</f>
        <v xml:space="preserve">2170582260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6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3</v>
      </c>
      <c r="BJ130" s="2">
        <v>1.5</v>
      </c>
      <c r="BK130" s="2">
        <v>3</v>
      </c>
      <c r="BL130" s="2">
        <v>62.16</v>
      </c>
      <c r="BM130" s="2">
        <v>8.6999999999999993</v>
      </c>
      <c r="BN130" s="2">
        <v>70.86</v>
      </c>
      <c r="BO130" s="2">
        <v>70.86</v>
      </c>
      <c r="BP130" s="2"/>
      <c r="BQ130" s="2" t="s">
        <v>485</v>
      </c>
      <c r="BR130" s="2" t="s">
        <v>84</v>
      </c>
      <c r="BS130" s="3">
        <v>42963</v>
      </c>
      <c r="BT130" s="4">
        <v>0.42708333333333331</v>
      </c>
      <c r="BU130" s="2" t="s">
        <v>410</v>
      </c>
      <c r="BV130" s="2" t="s">
        <v>95</v>
      </c>
      <c r="BW130" s="2"/>
      <c r="BX130" s="2"/>
      <c r="BY130" s="2">
        <v>7400</v>
      </c>
      <c r="BZ130" s="2"/>
      <c r="CA130" s="2" t="s">
        <v>411</v>
      </c>
      <c r="CB130" s="2"/>
      <c r="CC130" s="2" t="s">
        <v>202</v>
      </c>
      <c r="CD130" s="2">
        <v>7130</v>
      </c>
      <c r="CE130" s="2" t="s">
        <v>89</v>
      </c>
      <c r="CF130" s="5">
        <v>42964</v>
      </c>
      <c r="CG130" s="2"/>
      <c r="CH130" s="2"/>
      <c r="CI130" s="2">
        <v>1</v>
      </c>
      <c r="CJ130" s="2">
        <v>1</v>
      </c>
      <c r="CK130" s="2">
        <v>21</v>
      </c>
      <c r="CL130" s="2" t="s">
        <v>86</v>
      </c>
      <c r="CM130" s="2"/>
    </row>
    <row r="131" spans="1:91">
      <c r="A131" s="2" t="s">
        <v>71</v>
      </c>
      <c r="B131" s="2" t="s">
        <v>72</v>
      </c>
      <c r="C131" s="2" t="s">
        <v>73</v>
      </c>
      <c r="D131" s="2"/>
      <c r="E131" s="2" t="str">
        <f>"FES1162568942"</f>
        <v>FES1162568942</v>
      </c>
      <c r="F131" s="3">
        <v>42962</v>
      </c>
      <c r="G131" s="2">
        <v>201802</v>
      </c>
      <c r="H131" s="2" t="s">
        <v>74</v>
      </c>
      <c r="I131" s="2" t="s">
        <v>75</v>
      </c>
      <c r="J131" s="2" t="s">
        <v>76</v>
      </c>
      <c r="K131" s="2" t="s">
        <v>77</v>
      </c>
      <c r="L131" s="2" t="s">
        <v>105</v>
      </c>
      <c r="M131" s="2" t="s">
        <v>106</v>
      </c>
      <c r="N131" s="2" t="s">
        <v>486</v>
      </c>
      <c r="O131" s="2" t="s">
        <v>100</v>
      </c>
      <c r="P131" s="2" t="str">
        <f>"2170583165                    "</f>
        <v xml:space="preserve">2170583165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4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1</v>
      </c>
      <c r="BJ131" s="2">
        <v>0.2</v>
      </c>
      <c r="BK131" s="2">
        <v>1</v>
      </c>
      <c r="BL131" s="2">
        <v>41.44</v>
      </c>
      <c r="BM131" s="2">
        <v>5.8</v>
      </c>
      <c r="BN131" s="2">
        <v>47.24</v>
      </c>
      <c r="BO131" s="2">
        <v>47.24</v>
      </c>
      <c r="BP131" s="2"/>
      <c r="BQ131" s="2" t="s">
        <v>365</v>
      </c>
      <c r="BR131" s="2" t="s">
        <v>84</v>
      </c>
      <c r="BS131" s="3">
        <v>42964</v>
      </c>
      <c r="BT131" s="4">
        <v>0.75069444444444444</v>
      </c>
      <c r="BU131" s="2" t="s">
        <v>487</v>
      </c>
      <c r="BV131" s="2" t="s">
        <v>86</v>
      </c>
      <c r="BW131" s="2" t="s">
        <v>110</v>
      </c>
      <c r="BX131" s="2" t="s">
        <v>111</v>
      </c>
      <c r="BY131" s="2">
        <v>1200</v>
      </c>
      <c r="BZ131" s="2" t="s">
        <v>27</v>
      </c>
      <c r="CA131" s="2" t="s">
        <v>488</v>
      </c>
      <c r="CB131" s="2"/>
      <c r="CC131" s="2" t="s">
        <v>106</v>
      </c>
      <c r="CD131" s="2">
        <v>7441</v>
      </c>
      <c r="CE131" s="2" t="s">
        <v>104</v>
      </c>
      <c r="CF131" s="5">
        <v>42965</v>
      </c>
      <c r="CG131" s="2"/>
      <c r="CH131" s="2"/>
      <c r="CI131" s="2">
        <v>1</v>
      </c>
      <c r="CJ131" s="2">
        <v>2</v>
      </c>
      <c r="CK131" s="2">
        <v>21</v>
      </c>
      <c r="CL131" s="2" t="s">
        <v>86</v>
      </c>
      <c r="CM131" s="2"/>
    </row>
    <row r="132" spans="1:91">
      <c r="A132" s="2" t="s">
        <v>71</v>
      </c>
      <c r="B132" s="2" t="s">
        <v>72</v>
      </c>
      <c r="C132" s="2" t="s">
        <v>73</v>
      </c>
      <c r="D132" s="2"/>
      <c r="E132" s="2" t="str">
        <f>"FES1162568893"</f>
        <v>FES1162568893</v>
      </c>
      <c r="F132" s="3">
        <v>42962</v>
      </c>
      <c r="G132" s="2">
        <v>201802</v>
      </c>
      <c r="H132" s="2" t="s">
        <v>74</v>
      </c>
      <c r="I132" s="2" t="s">
        <v>75</v>
      </c>
      <c r="J132" s="2" t="s">
        <v>76</v>
      </c>
      <c r="K132" s="2" t="s">
        <v>77</v>
      </c>
      <c r="L132" s="2" t="s">
        <v>170</v>
      </c>
      <c r="M132" s="2" t="s">
        <v>171</v>
      </c>
      <c r="N132" s="2" t="s">
        <v>489</v>
      </c>
      <c r="O132" s="2" t="s">
        <v>100</v>
      </c>
      <c r="P132" s="2" t="str">
        <f>"2170580894                    "</f>
        <v xml:space="preserve">2170580894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3.13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2.2000000000000002</v>
      </c>
      <c r="BJ132" s="2">
        <v>0.9</v>
      </c>
      <c r="BK132" s="2">
        <v>3</v>
      </c>
      <c r="BL132" s="2">
        <v>32.380000000000003</v>
      </c>
      <c r="BM132" s="2">
        <v>4.53</v>
      </c>
      <c r="BN132" s="2">
        <v>36.909999999999997</v>
      </c>
      <c r="BO132" s="2">
        <v>36.909999999999997</v>
      </c>
      <c r="BP132" s="2"/>
      <c r="BQ132" s="2" t="s">
        <v>490</v>
      </c>
      <c r="BR132" s="2" t="s">
        <v>84</v>
      </c>
      <c r="BS132" s="3">
        <v>42963</v>
      </c>
      <c r="BT132" s="4">
        <v>0.48472222222222222</v>
      </c>
      <c r="BU132" s="2" t="s">
        <v>491</v>
      </c>
      <c r="BV132" s="2" t="s">
        <v>86</v>
      </c>
      <c r="BW132" s="2" t="s">
        <v>110</v>
      </c>
      <c r="BX132" s="2" t="s">
        <v>327</v>
      </c>
      <c r="BY132" s="2">
        <v>4653</v>
      </c>
      <c r="BZ132" s="2"/>
      <c r="CA132" s="2" t="s">
        <v>492</v>
      </c>
      <c r="CB132" s="2"/>
      <c r="CC132" s="2" t="s">
        <v>171</v>
      </c>
      <c r="CD132" s="2">
        <v>1401</v>
      </c>
      <c r="CE132" s="2" t="s">
        <v>89</v>
      </c>
      <c r="CF132" s="5">
        <v>42964</v>
      </c>
      <c r="CG132" s="2"/>
      <c r="CH132" s="2"/>
      <c r="CI132" s="2">
        <v>1</v>
      </c>
      <c r="CJ132" s="2">
        <v>1</v>
      </c>
      <c r="CK132" s="2">
        <v>22</v>
      </c>
      <c r="CL132" s="2" t="s">
        <v>86</v>
      </c>
      <c r="CM132" s="2"/>
    </row>
    <row r="133" spans="1:91">
      <c r="A133" s="2" t="s">
        <v>71</v>
      </c>
      <c r="B133" s="2" t="s">
        <v>72</v>
      </c>
      <c r="C133" s="2" t="s">
        <v>73</v>
      </c>
      <c r="D133" s="2"/>
      <c r="E133" s="2" t="str">
        <f>"FES1162568916"</f>
        <v>FES1162568916</v>
      </c>
      <c r="F133" s="3">
        <v>42962</v>
      </c>
      <c r="G133" s="2">
        <v>201802</v>
      </c>
      <c r="H133" s="2" t="s">
        <v>74</v>
      </c>
      <c r="I133" s="2" t="s">
        <v>75</v>
      </c>
      <c r="J133" s="2" t="s">
        <v>76</v>
      </c>
      <c r="K133" s="2" t="s">
        <v>77</v>
      </c>
      <c r="L133" s="2" t="s">
        <v>268</v>
      </c>
      <c r="M133" s="2" t="s">
        <v>269</v>
      </c>
      <c r="N133" s="2" t="s">
        <v>493</v>
      </c>
      <c r="O133" s="2" t="s">
        <v>100</v>
      </c>
      <c r="P133" s="2" t="str">
        <f>"2170582690                    "</f>
        <v xml:space="preserve">2170582690 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4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1</v>
      </c>
      <c r="BJ133" s="2">
        <v>0.2</v>
      </c>
      <c r="BK133" s="2">
        <v>1</v>
      </c>
      <c r="BL133" s="2">
        <v>41.44</v>
      </c>
      <c r="BM133" s="2">
        <v>5.8</v>
      </c>
      <c r="BN133" s="2">
        <v>47.24</v>
      </c>
      <c r="BO133" s="2">
        <v>47.24</v>
      </c>
      <c r="BP133" s="2"/>
      <c r="BQ133" s="2" t="s">
        <v>494</v>
      </c>
      <c r="BR133" s="2" t="s">
        <v>84</v>
      </c>
      <c r="BS133" s="3">
        <v>42963</v>
      </c>
      <c r="BT133" s="4">
        <v>0.46527777777777773</v>
      </c>
      <c r="BU133" s="2" t="s">
        <v>495</v>
      </c>
      <c r="BV133" s="2" t="s">
        <v>86</v>
      </c>
      <c r="BW133" s="2"/>
      <c r="BX133" s="2"/>
      <c r="BY133" s="2">
        <v>1200</v>
      </c>
      <c r="BZ133" s="2" t="s">
        <v>27</v>
      </c>
      <c r="CA133" s="2" t="s">
        <v>272</v>
      </c>
      <c r="CB133" s="2"/>
      <c r="CC133" s="2" t="s">
        <v>269</v>
      </c>
      <c r="CD133" s="2">
        <v>200</v>
      </c>
      <c r="CE133" s="2" t="s">
        <v>104</v>
      </c>
      <c r="CF133" s="5">
        <v>42964</v>
      </c>
      <c r="CG133" s="2"/>
      <c r="CH133" s="2"/>
      <c r="CI133" s="2">
        <v>1</v>
      </c>
      <c r="CJ133" s="2">
        <v>1</v>
      </c>
      <c r="CK133" s="2">
        <v>21</v>
      </c>
      <c r="CL133" s="2" t="s">
        <v>86</v>
      </c>
      <c r="CM133" s="2"/>
    </row>
    <row r="134" spans="1:91">
      <c r="A134" s="2" t="s">
        <v>71</v>
      </c>
      <c r="B134" s="2" t="s">
        <v>72</v>
      </c>
      <c r="C134" s="2" t="s">
        <v>73</v>
      </c>
      <c r="D134" s="2"/>
      <c r="E134" s="2" t="str">
        <f>"FES1162569059"</f>
        <v>FES1162569059</v>
      </c>
      <c r="F134" s="3">
        <v>42962</v>
      </c>
      <c r="G134" s="2">
        <v>201802</v>
      </c>
      <c r="H134" s="2" t="s">
        <v>74</v>
      </c>
      <c r="I134" s="2" t="s">
        <v>75</v>
      </c>
      <c r="J134" s="2" t="s">
        <v>76</v>
      </c>
      <c r="K134" s="2" t="s">
        <v>77</v>
      </c>
      <c r="L134" s="2" t="s">
        <v>244</v>
      </c>
      <c r="M134" s="2" t="s">
        <v>245</v>
      </c>
      <c r="N134" s="2" t="s">
        <v>496</v>
      </c>
      <c r="O134" s="2" t="s">
        <v>100</v>
      </c>
      <c r="P134" s="2" t="str">
        <f>"2170585048                    "</f>
        <v xml:space="preserve">2170585048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3.13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1</v>
      </c>
      <c r="BJ134" s="2">
        <v>0.2</v>
      </c>
      <c r="BK134" s="2">
        <v>1</v>
      </c>
      <c r="BL134" s="2">
        <v>32.380000000000003</v>
      </c>
      <c r="BM134" s="2">
        <v>4.53</v>
      </c>
      <c r="BN134" s="2">
        <v>36.909999999999997</v>
      </c>
      <c r="BO134" s="2">
        <v>36.909999999999997</v>
      </c>
      <c r="BP134" s="2"/>
      <c r="BQ134" s="2" t="s">
        <v>288</v>
      </c>
      <c r="BR134" s="2" t="s">
        <v>84</v>
      </c>
      <c r="BS134" s="3">
        <v>42964</v>
      </c>
      <c r="BT134" s="4">
        <v>0.3833333333333333</v>
      </c>
      <c r="BU134" s="2" t="s">
        <v>497</v>
      </c>
      <c r="BV134" s="2" t="s">
        <v>86</v>
      </c>
      <c r="BW134" s="2" t="s">
        <v>124</v>
      </c>
      <c r="BX134" s="2" t="s">
        <v>498</v>
      </c>
      <c r="BY134" s="2">
        <v>1200</v>
      </c>
      <c r="BZ134" s="2"/>
      <c r="CA134" s="2" t="s">
        <v>499</v>
      </c>
      <c r="CB134" s="2"/>
      <c r="CC134" s="2" t="s">
        <v>245</v>
      </c>
      <c r="CD134" s="2">
        <v>1460</v>
      </c>
      <c r="CE134" s="2" t="s">
        <v>104</v>
      </c>
      <c r="CF134" s="5">
        <v>42965</v>
      </c>
      <c r="CG134" s="2"/>
      <c r="CH134" s="2"/>
      <c r="CI134" s="2">
        <v>1</v>
      </c>
      <c r="CJ134" s="2">
        <v>2</v>
      </c>
      <c r="CK134" s="2">
        <v>22</v>
      </c>
      <c r="CL134" s="2" t="s">
        <v>86</v>
      </c>
      <c r="CM134" s="2"/>
    </row>
    <row r="135" spans="1:91">
      <c r="A135" s="2" t="s">
        <v>71</v>
      </c>
      <c r="B135" s="2" t="s">
        <v>72</v>
      </c>
      <c r="C135" s="2" t="s">
        <v>73</v>
      </c>
      <c r="D135" s="2"/>
      <c r="E135" s="2" t="str">
        <f>"FES1162568999"</f>
        <v>FES1162568999</v>
      </c>
      <c r="F135" s="3">
        <v>42962</v>
      </c>
      <c r="G135" s="2">
        <v>201802</v>
      </c>
      <c r="H135" s="2" t="s">
        <v>74</v>
      </c>
      <c r="I135" s="2" t="s">
        <v>75</v>
      </c>
      <c r="J135" s="2" t="s">
        <v>76</v>
      </c>
      <c r="K135" s="2" t="s">
        <v>77</v>
      </c>
      <c r="L135" s="2" t="s">
        <v>97</v>
      </c>
      <c r="M135" s="2" t="s">
        <v>98</v>
      </c>
      <c r="N135" s="2" t="s">
        <v>500</v>
      </c>
      <c r="O135" s="2" t="s">
        <v>100</v>
      </c>
      <c r="P135" s="2" t="str">
        <f>"2170582376                    "</f>
        <v xml:space="preserve">2170582376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4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1</v>
      </c>
      <c r="BJ135" s="2">
        <v>0.2</v>
      </c>
      <c r="BK135" s="2">
        <v>1</v>
      </c>
      <c r="BL135" s="2">
        <v>41.44</v>
      </c>
      <c r="BM135" s="2">
        <v>5.8</v>
      </c>
      <c r="BN135" s="2">
        <v>47.24</v>
      </c>
      <c r="BO135" s="2">
        <v>47.24</v>
      </c>
      <c r="BP135" s="2"/>
      <c r="BQ135" s="2" t="s">
        <v>108</v>
      </c>
      <c r="BR135" s="2" t="s">
        <v>84</v>
      </c>
      <c r="BS135" s="3">
        <v>42963</v>
      </c>
      <c r="BT135" s="4">
        <v>0.3743055555555555</v>
      </c>
      <c r="BU135" s="2" t="s">
        <v>501</v>
      </c>
      <c r="BV135" s="2" t="s">
        <v>95</v>
      </c>
      <c r="BW135" s="2"/>
      <c r="BX135" s="2"/>
      <c r="BY135" s="2">
        <v>1200</v>
      </c>
      <c r="BZ135" s="2" t="s">
        <v>27</v>
      </c>
      <c r="CA135" s="2" t="s">
        <v>294</v>
      </c>
      <c r="CB135" s="2"/>
      <c r="CC135" s="2" t="s">
        <v>98</v>
      </c>
      <c r="CD135" s="2">
        <v>6001</v>
      </c>
      <c r="CE135" s="2" t="s">
        <v>104</v>
      </c>
      <c r="CF135" s="5">
        <v>42964</v>
      </c>
      <c r="CG135" s="2"/>
      <c r="CH135" s="2"/>
      <c r="CI135" s="2">
        <v>1</v>
      </c>
      <c r="CJ135" s="2">
        <v>1</v>
      </c>
      <c r="CK135" s="2">
        <v>21</v>
      </c>
      <c r="CL135" s="2" t="s">
        <v>86</v>
      </c>
      <c r="CM135" s="2"/>
    </row>
    <row r="136" spans="1:91">
      <c r="A136" s="2" t="s">
        <v>71</v>
      </c>
      <c r="B136" s="2" t="s">
        <v>72</v>
      </c>
      <c r="C136" s="2" t="s">
        <v>73</v>
      </c>
      <c r="D136" s="2"/>
      <c r="E136" s="2" t="str">
        <f>"FES1162569058"</f>
        <v>FES1162569058</v>
      </c>
      <c r="F136" s="3">
        <v>42962</v>
      </c>
      <c r="G136" s="2">
        <v>201802</v>
      </c>
      <c r="H136" s="2" t="s">
        <v>74</v>
      </c>
      <c r="I136" s="2" t="s">
        <v>75</v>
      </c>
      <c r="J136" s="2" t="s">
        <v>76</v>
      </c>
      <c r="K136" s="2" t="s">
        <v>77</v>
      </c>
      <c r="L136" s="2" t="s">
        <v>268</v>
      </c>
      <c r="M136" s="2" t="s">
        <v>269</v>
      </c>
      <c r="N136" s="2" t="s">
        <v>402</v>
      </c>
      <c r="O136" s="2" t="s">
        <v>100</v>
      </c>
      <c r="P136" s="2" t="str">
        <f>"2170585044                    "</f>
        <v xml:space="preserve">2170585044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4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1</v>
      </c>
      <c r="BJ136" s="2">
        <v>0.2</v>
      </c>
      <c r="BK136" s="2">
        <v>1</v>
      </c>
      <c r="BL136" s="2">
        <v>41.44</v>
      </c>
      <c r="BM136" s="2">
        <v>5.8</v>
      </c>
      <c r="BN136" s="2">
        <v>47.24</v>
      </c>
      <c r="BO136" s="2">
        <v>47.24</v>
      </c>
      <c r="BP136" s="2"/>
      <c r="BQ136" s="2" t="s">
        <v>108</v>
      </c>
      <c r="BR136" s="2" t="s">
        <v>84</v>
      </c>
      <c r="BS136" s="3">
        <v>42964</v>
      </c>
      <c r="BT136" s="4">
        <v>0.46666666666666662</v>
      </c>
      <c r="BU136" s="2" t="s">
        <v>502</v>
      </c>
      <c r="BV136" s="2" t="s">
        <v>86</v>
      </c>
      <c r="BW136" s="2" t="s">
        <v>110</v>
      </c>
      <c r="BX136" s="2" t="s">
        <v>444</v>
      </c>
      <c r="BY136" s="2">
        <v>1200</v>
      </c>
      <c r="BZ136" s="2"/>
      <c r="CA136" s="2"/>
      <c r="CB136" s="2"/>
      <c r="CC136" s="2" t="s">
        <v>269</v>
      </c>
      <c r="CD136" s="2">
        <v>82</v>
      </c>
      <c r="CE136" s="2" t="s">
        <v>104</v>
      </c>
      <c r="CF136" s="5">
        <v>42965</v>
      </c>
      <c r="CG136" s="2"/>
      <c r="CH136" s="2"/>
      <c r="CI136" s="2">
        <v>1</v>
      </c>
      <c r="CJ136" s="2">
        <v>2</v>
      </c>
      <c r="CK136" s="2">
        <v>21</v>
      </c>
      <c r="CL136" s="2" t="s">
        <v>86</v>
      </c>
      <c r="CM136" s="2"/>
    </row>
    <row r="137" spans="1:91">
      <c r="A137" s="2" t="s">
        <v>71</v>
      </c>
      <c r="B137" s="2" t="s">
        <v>72</v>
      </c>
      <c r="C137" s="2" t="s">
        <v>73</v>
      </c>
      <c r="D137" s="2"/>
      <c r="E137" s="2" t="str">
        <f>"FES1162568874"</f>
        <v>FES1162568874</v>
      </c>
      <c r="F137" s="3">
        <v>42962</v>
      </c>
      <c r="G137" s="2">
        <v>201802</v>
      </c>
      <c r="H137" s="2" t="s">
        <v>74</v>
      </c>
      <c r="I137" s="2" t="s">
        <v>75</v>
      </c>
      <c r="J137" s="2" t="s">
        <v>76</v>
      </c>
      <c r="K137" s="2" t="s">
        <v>77</v>
      </c>
      <c r="L137" s="2" t="s">
        <v>149</v>
      </c>
      <c r="M137" s="2" t="s">
        <v>150</v>
      </c>
      <c r="N137" s="2" t="s">
        <v>503</v>
      </c>
      <c r="O137" s="2" t="s">
        <v>100</v>
      </c>
      <c r="P137" s="2" t="str">
        <f>"2170584933                    "</f>
        <v xml:space="preserve">2170584933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4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1</v>
      </c>
      <c r="BJ137" s="2">
        <v>0.2</v>
      </c>
      <c r="BK137" s="2">
        <v>1</v>
      </c>
      <c r="BL137" s="2">
        <v>41.44</v>
      </c>
      <c r="BM137" s="2">
        <v>5.8</v>
      </c>
      <c r="BN137" s="2">
        <v>47.24</v>
      </c>
      <c r="BO137" s="2">
        <v>47.24</v>
      </c>
      <c r="BP137" s="2"/>
      <c r="BQ137" s="2" t="s">
        <v>504</v>
      </c>
      <c r="BR137" s="2" t="s">
        <v>84</v>
      </c>
      <c r="BS137" s="3">
        <v>42963</v>
      </c>
      <c r="BT137" s="4">
        <v>0.4375</v>
      </c>
      <c r="BU137" s="2" t="s">
        <v>505</v>
      </c>
      <c r="BV137" s="2" t="s">
        <v>95</v>
      </c>
      <c r="BW137" s="2"/>
      <c r="BX137" s="2"/>
      <c r="BY137" s="2">
        <v>1200</v>
      </c>
      <c r="BZ137" s="2" t="s">
        <v>27</v>
      </c>
      <c r="CA137" s="2" t="s">
        <v>484</v>
      </c>
      <c r="CB137" s="2"/>
      <c r="CC137" s="2" t="s">
        <v>150</v>
      </c>
      <c r="CD137" s="2">
        <v>4001</v>
      </c>
      <c r="CE137" s="2" t="s">
        <v>104</v>
      </c>
      <c r="CF137" s="5">
        <v>42964</v>
      </c>
      <c r="CG137" s="2"/>
      <c r="CH137" s="2"/>
      <c r="CI137" s="2">
        <v>1</v>
      </c>
      <c r="CJ137" s="2">
        <v>1</v>
      </c>
      <c r="CK137" s="2">
        <v>21</v>
      </c>
      <c r="CL137" s="2" t="s">
        <v>86</v>
      </c>
      <c r="CM137" s="2"/>
    </row>
    <row r="138" spans="1:91">
      <c r="A138" s="2" t="s">
        <v>71</v>
      </c>
      <c r="B138" s="2" t="s">
        <v>72</v>
      </c>
      <c r="C138" s="2" t="s">
        <v>73</v>
      </c>
      <c r="D138" s="2"/>
      <c r="E138" s="2" t="str">
        <f>"FES1162569049"</f>
        <v>FES1162569049</v>
      </c>
      <c r="F138" s="3">
        <v>42962</v>
      </c>
      <c r="G138" s="2">
        <v>201802</v>
      </c>
      <c r="H138" s="2" t="s">
        <v>74</v>
      </c>
      <c r="I138" s="2" t="s">
        <v>75</v>
      </c>
      <c r="J138" s="2" t="s">
        <v>76</v>
      </c>
      <c r="K138" s="2" t="s">
        <v>77</v>
      </c>
      <c r="L138" s="2" t="s">
        <v>74</v>
      </c>
      <c r="M138" s="2" t="s">
        <v>75</v>
      </c>
      <c r="N138" s="2" t="s">
        <v>506</v>
      </c>
      <c r="O138" s="2" t="s">
        <v>100</v>
      </c>
      <c r="P138" s="2" t="str">
        <f>"2170585033                    "</f>
        <v xml:space="preserve">2170585033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3.13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2.8</v>
      </c>
      <c r="BJ138" s="2">
        <v>1.1000000000000001</v>
      </c>
      <c r="BK138" s="2">
        <v>3</v>
      </c>
      <c r="BL138" s="2">
        <v>32.380000000000003</v>
      </c>
      <c r="BM138" s="2">
        <v>4.53</v>
      </c>
      <c r="BN138" s="2">
        <v>36.909999999999997</v>
      </c>
      <c r="BO138" s="2">
        <v>36.909999999999997</v>
      </c>
      <c r="BP138" s="2"/>
      <c r="BQ138" s="2" t="s">
        <v>507</v>
      </c>
      <c r="BR138" s="2" t="s">
        <v>84</v>
      </c>
      <c r="BS138" s="3">
        <v>42963</v>
      </c>
      <c r="BT138" s="4">
        <v>0.38472222222222219</v>
      </c>
      <c r="BU138" s="2" t="s">
        <v>508</v>
      </c>
      <c r="BV138" s="2" t="s">
        <v>95</v>
      </c>
      <c r="BW138" s="2"/>
      <c r="BX138" s="2"/>
      <c r="BY138" s="2">
        <v>5303.34</v>
      </c>
      <c r="BZ138" s="2"/>
      <c r="CA138" s="2" t="s">
        <v>267</v>
      </c>
      <c r="CB138" s="2"/>
      <c r="CC138" s="2" t="s">
        <v>75</v>
      </c>
      <c r="CD138" s="2">
        <v>1609</v>
      </c>
      <c r="CE138" s="2" t="s">
        <v>89</v>
      </c>
      <c r="CF138" s="5">
        <v>42963</v>
      </c>
      <c r="CG138" s="2"/>
      <c r="CH138" s="2"/>
      <c r="CI138" s="2">
        <v>1</v>
      </c>
      <c r="CJ138" s="2">
        <v>1</v>
      </c>
      <c r="CK138" s="2">
        <v>22</v>
      </c>
      <c r="CL138" s="2" t="s">
        <v>86</v>
      </c>
      <c r="CM138" s="2"/>
    </row>
    <row r="139" spans="1:91">
      <c r="A139" s="2" t="s">
        <v>71</v>
      </c>
      <c r="B139" s="2" t="s">
        <v>72</v>
      </c>
      <c r="C139" s="2" t="s">
        <v>73</v>
      </c>
      <c r="D139" s="2"/>
      <c r="E139" s="2" t="str">
        <f>"FES1162568833"</f>
        <v>FES1162568833</v>
      </c>
      <c r="F139" s="3">
        <v>42962</v>
      </c>
      <c r="G139" s="2">
        <v>201802</v>
      </c>
      <c r="H139" s="2" t="s">
        <v>74</v>
      </c>
      <c r="I139" s="2" t="s">
        <v>75</v>
      </c>
      <c r="J139" s="2" t="s">
        <v>76</v>
      </c>
      <c r="K139" s="2" t="s">
        <v>77</v>
      </c>
      <c r="L139" s="2" t="s">
        <v>417</v>
      </c>
      <c r="M139" s="2" t="s">
        <v>417</v>
      </c>
      <c r="N139" s="2" t="s">
        <v>475</v>
      </c>
      <c r="O139" s="2" t="s">
        <v>100</v>
      </c>
      <c r="P139" s="2" t="str">
        <f>"2170583039                    "</f>
        <v xml:space="preserve">2170583039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4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1</v>
      </c>
      <c r="BJ139" s="2">
        <v>0.2</v>
      </c>
      <c r="BK139" s="2">
        <v>1</v>
      </c>
      <c r="BL139" s="2">
        <v>41.44</v>
      </c>
      <c r="BM139" s="2">
        <v>5.8</v>
      </c>
      <c r="BN139" s="2">
        <v>47.24</v>
      </c>
      <c r="BO139" s="2">
        <v>47.24</v>
      </c>
      <c r="BP139" s="2"/>
      <c r="BQ139" s="2" t="s">
        <v>108</v>
      </c>
      <c r="BR139" s="2" t="s">
        <v>84</v>
      </c>
      <c r="BS139" s="3">
        <v>42964</v>
      </c>
      <c r="BT139" s="4">
        <v>0.42708333333333331</v>
      </c>
      <c r="BU139" s="2" t="s">
        <v>509</v>
      </c>
      <c r="BV139" s="2" t="s">
        <v>86</v>
      </c>
      <c r="BW139" s="2" t="s">
        <v>336</v>
      </c>
      <c r="BX139" s="2" t="s">
        <v>116</v>
      </c>
      <c r="BY139" s="2">
        <v>1200</v>
      </c>
      <c r="BZ139" s="2" t="s">
        <v>27</v>
      </c>
      <c r="CA139" s="2" t="s">
        <v>460</v>
      </c>
      <c r="CB139" s="2"/>
      <c r="CC139" s="2" t="s">
        <v>417</v>
      </c>
      <c r="CD139" s="2">
        <v>7646</v>
      </c>
      <c r="CE139" s="2" t="s">
        <v>104</v>
      </c>
      <c r="CF139" s="5">
        <v>42964</v>
      </c>
      <c r="CG139" s="2"/>
      <c r="CH139" s="2"/>
      <c r="CI139" s="2">
        <v>1</v>
      </c>
      <c r="CJ139" s="2">
        <v>2</v>
      </c>
      <c r="CK139" s="2">
        <v>21</v>
      </c>
      <c r="CL139" s="2" t="s">
        <v>86</v>
      </c>
      <c r="CM139" s="2"/>
    </row>
    <row r="140" spans="1:91">
      <c r="A140" s="2" t="s">
        <v>71</v>
      </c>
      <c r="B140" s="2" t="s">
        <v>72</v>
      </c>
      <c r="C140" s="2" t="s">
        <v>73</v>
      </c>
      <c r="D140" s="2"/>
      <c r="E140" s="2" t="str">
        <f>"FES1162569105"</f>
        <v>FES1162569105</v>
      </c>
      <c r="F140" s="3">
        <v>42962</v>
      </c>
      <c r="G140" s="2">
        <v>201802</v>
      </c>
      <c r="H140" s="2" t="s">
        <v>74</v>
      </c>
      <c r="I140" s="2" t="s">
        <v>75</v>
      </c>
      <c r="J140" s="2" t="s">
        <v>76</v>
      </c>
      <c r="K140" s="2" t="s">
        <v>77</v>
      </c>
      <c r="L140" s="2" t="s">
        <v>105</v>
      </c>
      <c r="M140" s="2" t="s">
        <v>106</v>
      </c>
      <c r="N140" s="2" t="s">
        <v>253</v>
      </c>
      <c r="O140" s="2" t="s">
        <v>100</v>
      </c>
      <c r="P140" s="2" t="str">
        <f>"2170585102                    "</f>
        <v xml:space="preserve">2170585102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4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1</v>
      </c>
      <c r="BJ140" s="2">
        <v>0.2</v>
      </c>
      <c r="BK140" s="2">
        <v>1</v>
      </c>
      <c r="BL140" s="2">
        <v>41.44</v>
      </c>
      <c r="BM140" s="2">
        <v>5.8</v>
      </c>
      <c r="BN140" s="2">
        <v>47.24</v>
      </c>
      <c r="BO140" s="2">
        <v>47.24</v>
      </c>
      <c r="BP140" s="2"/>
      <c r="BQ140" s="2" t="s">
        <v>108</v>
      </c>
      <c r="BR140" s="2" t="s">
        <v>84</v>
      </c>
      <c r="BS140" s="3">
        <v>42963</v>
      </c>
      <c r="BT140" s="4">
        <v>0.3527777777777778</v>
      </c>
      <c r="BU140" s="2" t="s">
        <v>431</v>
      </c>
      <c r="BV140" s="2" t="s">
        <v>95</v>
      </c>
      <c r="BW140" s="2"/>
      <c r="BX140" s="2"/>
      <c r="BY140" s="2">
        <v>1200</v>
      </c>
      <c r="BZ140" s="2"/>
      <c r="CA140" s="2" t="s">
        <v>278</v>
      </c>
      <c r="CB140" s="2"/>
      <c r="CC140" s="2" t="s">
        <v>106</v>
      </c>
      <c r="CD140" s="2">
        <v>7490</v>
      </c>
      <c r="CE140" s="2" t="s">
        <v>104</v>
      </c>
      <c r="CF140" s="5">
        <v>42964</v>
      </c>
      <c r="CG140" s="2"/>
      <c r="CH140" s="2"/>
      <c r="CI140" s="2">
        <v>1</v>
      </c>
      <c r="CJ140" s="2">
        <v>1</v>
      </c>
      <c r="CK140" s="2">
        <v>21</v>
      </c>
      <c r="CL140" s="2" t="s">
        <v>86</v>
      </c>
      <c r="CM140" s="2"/>
    </row>
    <row r="141" spans="1:91">
      <c r="A141" s="2" t="s">
        <v>71</v>
      </c>
      <c r="B141" s="2" t="s">
        <v>72</v>
      </c>
      <c r="C141" s="2" t="s">
        <v>73</v>
      </c>
      <c r="D141" s="2"/>
      <c r="E141" s="2" t="str">
        <f>"FES1162569104"</f>
        <v>FES1162569104</v>
      </c>
      <c r="F141" s="3">
        <v>42962</v>
      </c>
      <c r="G141" s="2">
        <v>201802</v>
      </c>
      <c r="H141" s="2" t="s">
        <v>74</v>
      </c>
      <c r="I141" s="2" t="s">
        <v>75</v>
      </c>
      <c r="J141" s="2" t="s">
        <v>76</v>
      </c>
      <c r="K141" s="2" t="s">
        <v>77</v>
      </c>
      <c r="L141" s="2" t="s">
        <v>510</v>
      </c>
      <c r="M141" s="2" t="s">
        <v>511</v>
      </c>
      <c r="N141" s="2" t="s">
        <v>512</v>
      </c>
      <c r="O141" s="2" t="s">
        <v>100</v>
      </c>
      <c r="P141" s="2" t="str">
        <f>"2170585101                    "</f>
        <v xml:space="preserve">2170585101 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4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1</v>
      </c>
      <c r="BJ141" s="2">
        <v>0.2</v>
      </c>
      <c r="BK141" s="2">
        <v>1</v>
      </c>
      <c r="BL141" s="2">
        <v>41.44</v>
      </c>
      <c r="BM141" s="2">
        <v>5.8</v>
      </c>
      <c r="BN141" s="2">
        <v>47.24</v>
      </c>
      <c r="BO141" s="2">
        <v>47.24</v>
      </c>
      <c r="BP141" s="2"/>
      <c r="BQ141" s="2" t="s">
        <v>288</v>
      </c>
      <c r="BR141" s="2" t="s">
        <v>84</v>
      </c>
      <c r="BS141" s="3">
        <v>42963</v>
      </c>
      <c r="BT141" s="4">
        <v>0.39444444444444443</v>
      </c>
      <c r="BU141" s="2" t="s">
        <v>513</v>
      </c>
      <c r="BV141" s="2" t="s">
        <v>95</v>
      </c>
      <c r="BW141" s="2"/>
      <c r="BX141" s="2"/>
      <c r="BY141" s="2">
        <v>1200</v>
      </c>
      <c r="BZ141" s="2"/>
      <c r="CA141" s="2" t="s">
        <v>514</v>
      </c>
      <c r="CB141" s="2"/>
      <c r="CC141" s="2" t="s">
        <v>511</v>
      </c>
      <c r="CD141" s="2">
        <v>6229</v>
      </c>
      <c r="CE141" s="2" t="s">
        <v>104</v>
      </c>
      <c r="CF141" s="5">
        <v>42964</v>
      </c>
      <c r="CG141" s="2"/>
      <c r="CH141" s="2"/>
      <c r="CI141" s="2">
        <v>1</v>
      </c>
      <c r="CJ141" s="2">
        <v>1</v>
      </c>
      <c r="CK141" s="2">
        <v>21</v>
      </c>
      <c r="CL141" s="2" t="s">
        <v>86</v>
      </c>
      <c r="CM141" s="2"/>
    </row>
    <row r="142" spans="1:91">
      <c r="A142" s="2" t="s">
        <v>71</v>
      </c>
      <c r="B142" s="2" t="s">
        <v>72</v>
      </c>
      <c r="C142" s="2" t="s">
        <v>73</v>
      </c>
      <c r="D142" s="2"/>
      <c r="E142" s="2" t="str">
        <f>"FES1162568930"</f>
        <v>FES1162568930</v>
      </c>
      <c r="F142" s="3">
        <v>42962</v>
      </c>
      <c r="G142" s="2">
        <v>201802</v>
      </c>
      <c r="H142" s="2" t="s">
        <v>74</v>
      </c>
      <c r="I142" s="2" t="s">
        <v>75</v>
      </c>
      <c r="J142" s="2" t="s">
        <v>76</v>
      </c>
      <c r="K142" s="2" t="s">
        <v>77</v>
      </c>
      <c r="L142" s="2" t="s">
        <v>105</v>
      </c>
      <c r="M142" s="2" t="s">
        <v>106</v>
      </c>
      <c r="N142" s="2" t="s">
        <v>107</v>
      </c>
      <c r="O142" s="2" t="s">
        <v>100</v>
      </c>
      <c r="P142" s="2" t="str">
        <f>"2170584763                    "</f>
        <v xml:space="preserve">2170584763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4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1</v>
      </c>
      <c r="BJ142" s="2">
        <v>0.2</v>
      </c>
      <c r="BK142" s="2">
        <v>1</v>
      </c>
      <c r="BL142" s="2">
        <v>41.44</v>
      </c>
      <c r="BM142" s="2">
        <v>5.8</v>
      </c>
      <c r="BN142" s="2">
        <v>47.24</v>
      </c>
      <c r="BO142" s="2">
        <v>47.24</v>
      </c>
      <c r="BP142" s="2"/>
      <c r="BQ142" s="2" t="s">
        <v>108</v>
      </c>
      <c r="BR142" s="2" t="s">
        <v>84</v>
      </c>
      <c r="BS142" s="3">
        <v>42964</v>
      </c>
      <c r="BT142" s="4">
        <v>0.37083333333333335</v>
      </c>
      <c r="BU142" s="2" t="s">
        <v>236</v>
      </c>
      <c r="BV142" s="2" t="s">
        <v>86</v>
      </c>
      <c r="BW142" s="2" t="s">
        <v>110</v>
      </c>
      <c r="BX142" s="2" t="s">
        <v>111</v>
      </c>
      <c r="BY142" s="2">
        <v>1200</v>
      </c>
      <c r="BZ142" s="2" t="s">
        <v>27</v>
      </c>
      <c r="CA142" s="2" t="s">
        <v>112</v>
      </c>
      <c r="CB142" s="2"/>
      <c r="CC142" s="2" t="s">
        <v>106</v>
      </c>
      <c r="CD142" s="2">
        <v>7405</v>
      </c>
      <c r="CE142" s="2" t="s">
        <v>104</v>
      </c>
      <c r="CF142" s="5">
        <v>42965</v>
      </c>
      <c r="CG142" s="2"/>
      <c r="CH142" s="2"/>
      <c r="CI142" s="2">
        <v>1</v>
      </c>
      <c r="CJ142" s="2">
        <v>2</v>
      </c>
      <c r="CK142" s="2">
        <v>21</v>
      </c>
      <c r="CL142" s="2" t="s">
        <v>86</v>
      </c>
      <c r="CM142" s="2"/>
    </row>
    <row r="143" spans="1:91">
      <c r="A143" s="2" t="s">
        <v>71</v>
      </c>
      <c r="B143" s="2" t="s">
        <v>72</v>
      </c>
      <c r="C143" s="2" t="s">
        <v>73</v>
      </c>
      <c r="D143" s="2"/>
      <c r="E143" s="2" t="str">
        <f>"FES1162569022"</f>
        <v>FES1162569022</v>
      </c>
      <c r="F143" s="3">
        <v>42962</v>
      </c>
      <c r="G143" s="2">
        <v>201802</v>
      </c>
      <c r="H143" s="2" t="s">
        <v>74</v>
      </c>
      <c r="I143" s="2" t="s">
        <v>75</v>
      </c>
      <c r="J143" s="2" t="s">
        <v>76</v>
      </c>
      <c r="K143" s="2" t="s">
        <v>77</v>
      </c>
      <c r="L143" s="2" t="s">
        <v>446</v>
      </c>
      <c r="M143" s="2" t="s">
        <v>447</v>
      </c>
      <c r="N143" s="2" t="s">
        <v>515</v>
      </c>
      <c r="O143" s="2" t="s">
        <v>100</v>
      </c>
      <c r="P143" s="2" t="str">
        <f>"2170585013                    "</f>
        <v xml:space="preserve">2170585013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5.63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1</v>
      </c>
      <c r="BJ143" s="2">
        <v>0.2</v>
      </c>
      <c r="BK143" s="2">
        <v>1</v>
      </c>
      <c r="BL143" s="2">
        <v>58.28</v>
      </c>
      <c r="BM143" s="2">
        <v>8.16</v>
      </c>
      <c r="BN143" s="2">
        <v>66.44</v>
      </c>
      <c r="BO143" s="2">
        <v>66.44</v>
      </c>
      <c r="BP143" s="2"/>
      <c r="BQ143" s="2" t="s">
        <v>83</v>
      </c>
      <c r="BR143" s="2" t="s">
        <v>84</v>
      </c>
      <c r="BS143" s="3">
        <v>42963</v>
      </c>
      <c r="BT143" s="4">
        <v>0.55555555555555558</v>
      </c>
      <c r="BU143" s="2" t="s">
        <v>516</v>
      </c>
      <c r="BV143" s="2" t="s">
        <v>95</v>
      </c>
      <c r="BW143" s="2"/>
      <c r="BX143" s="2"/>
      <c r="BY143" s="2">
        <v>1200</v>
      </c>
      <c r="BZ143" s="2"/>
      <c r="CA143" s="2"/>
      <c r="CB143" s="2"/>
      <c r="CC143" s="2" t="s">
        <v>447</v>
      </c>
      <c r="CD143" s="2">
        <v>1760</v>
      </c>
      <c r="CE143" s="2" t="s">
        <v>104</v>
      </c>
      <c r="CF143" s="5">
        <v>42964</v>
      </c>
      <c r="CG143" s="2"/>
      <c r="CH143" s="2"/>
      <c r="CI143" s="2">
        <v>1</v>
      </c>
      <c r="CJ143" s="2">
        <v>1</v>
      </c>
      <c r="CK143" s="2">
        <v>24</v>
      </c>
      <c r="CL143" s="2" t="s">
        <v>86</v>
      </c>
      <c r="CM143" s="2"/>
    </row>
    <row r="144" spans="1:91">
      <c r="A144" s="2" t="s">
        <v>71</v>
      </c>
      <c r="B144" s="2" t="s">
        <v>72</v>
      </c>
      <c r="C144" s="2" t="s">
        <v>73</v>
      </c>
      <c r="D144" s="2"/>
      <c r="E144" s="2" t="str">
        <f>"FES1162568856"</f>
        <v>FES1162568856</v>
      </c>
      <c r="F144" s="3">
        <v>42962</v>
      </c>
      <c r="G144" s="2">
        <v>201802</v>
      </c>
      <c r="H144" s="2" t="s">
        <v>74</v>
      </c>
      <c r="I144" s="2" t="s">
        <v>75</v>
      </c>
      <c r="J144" s="2" t="s">
        <v>76</v>
      </c>
      <c r="K144" s="2" t="s">
        <v>77</v>
      </c>
      <c r="L144" s="2" t="s">
        <v>78</v>
      </c>
      <c r="M144" s="2" t="s">
        <v>79</v>
      </c>
      <c r="N144" s="2" t="s">
        <v>450</v>
      </c>
      <c r="O144" s="2" t="s">
        <v>100</v>
      </c>
      <c r="P144" s="2" t="str">
        <f>"2170582089                    "</f>
        <v xml:space="preserve">2170582089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4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1</v>
      </c>
      <c r="BJ144" s="2">
        <v>0.2</v>
      </c>
      <c r="BK144" s="2">
        <v>1</v>
      </c>
      <c r="BL144" s="2">
        <v>41.44</v>
      </c>
      <c r="BM144" s="2">
        <v>5.8</v>
      </c>
      <c r="BN144" s="2">
        <v>47.24</v>
      </c>
      <c r="BO144" s="2">
        <v>47.24</v>
      </c>
      <c r="BP144" s="2"/>
      <c r="BQ144" s="2" t="s">
        <v>451</v>
      </c>
      <c r="BR144" s="2" t="s">
        <v>84</v>
      </c>
      <c r="BS144" s="3">
        <v>42963</v>
      </c>
      <c r="BT144" s="4">
        <v>0.3659722222222222</v>
      </c>
      <c r="BU144" s="2" t="s">
        <v>517</v>
      </c>
      <c r="BV144" s="2" t="s">
        <v>95</v>
      </c>
      <c r="BW144" s="2"/>
      <c r="BX144" s="2"/>
      <c r="BY144" s="2">
        <v>1200</v>
      </c>
      <c r="BZ144" s="2" t="s">
        <v>27</v>
      </c>
      <c r="CA144" s="2" t="s">
        <v>518</v>
      </c>
      <c r="CB144" s="2"/>
      <c r="CC144" s="2" t="s">
        <v>79</v>
      </c>
      <c r="CD144" s="2">
        <v>9300</v>
      </c>
      <c r="CE144" s="2" t="s">
        <v>104</v>
      </c>
      <c r="CF144" s="5">
        <v>42964</v>
      </c>
      <c r="CG144" s="2"/>
      <c r="CH144" s="2"/>
      <c r="CI144" s="2">
        <v>1</v>
      </c>
      <c r="CJ144" s="2">
        <v>1</v>
      </c>
      <c r="CK144" s="2">
        <v>21</v>
      </c>
      <c r="CL144" s="2" t="s">
        <v>86</v>
      </c>
      <c r="CM144" s="2"/>
    </row>
    <row r="145" spans="1:91">
      <c r="A145" s="2" t="s">
        <v>71</v>
      </c>
      <c r="B145" s="2" t="s">
        <v>72</v>
      </c>
      <c r="C145" s="2" t="s">
        <v>73</v>
      </c>
      <c r="D145" s="2"/>
      <c r="E145" s="2" t="str">
        <f>"FES1162569031"</f>
        <v>FES1162569031</v>
      </c>
      <c r="F145" s="3">
        <v>42962</v>
      </c>
      <c r="G145" s="2">
        <v>201802</v>
      </c>
      <c r="H145" s="2" t="s">
        <v>74</v>
      </c>
      <c r="I145" s="2" t="s">
        <v>75</v>
      </c>
      <c r="J145" s="2" t="s">
        <v>76</v>
      </c>
      <c r="K145" s="2" t="s">
        <v>77</v>
      </c>
      <c r="L145" s="2" t="s">
        <v>216</v>
      </c>
      <c r="M145" s="2" t="s">
        <v>217</v>
      </c>
      <c r="N145" s="2" t="s">
        <v>351</v>
      </c>
      <c r="O145" s="2" t="s">
        <v>100</v>
      </c>
      <c r="P145" s="2" t="str">
        <f>"2170583138                    "</f>
        <v xml:space="preserve">2170583138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3.13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1</v>
      </c>
      <c r="BJ145" s="2">
        <v>0.2</v>
      </c>
      <c r="BK145" s="2">
        <v>1</v>
      </c>
      <c r="BL145" s="2">
        <v>32.380000000000003</v>
      </c>
      <c r="BM145" s="2">
        <v>4.53</v>
      </c>
      <c r="BN145" s="2">
        <v>36.909999999999997</v>
      </c>
      <c r="BO145" s="2">
        <v>36.909999999999997</v>
      </c>
      <c r="BP145" s="2"/>
      <c r="BQ145" s="2" t="s">
        <v>288</v>
      </c>
      <c r="BR145" s="2" t="s">
        <v>84</v>
      </c>
      <c r="BS145" s="3">
        <v>42963</v>
      </c>
      <c r="BT145" s="4">
        <v>0.36874999999999997</v>
      </c>
      <c r="BU145" s="2" t="s">
        <v>519</v>
      </c>
      <c r="BV145" s="2" t="s">
        <v>95</v>
      </c>
      <c r="BW145" s="2"/>
      <c r="BX145" s="2"/>
      <c r="BY145" s="2">
        <v>1200</v>
      </c>
      <c r="BZ145" s="2"/>
      <c r="CA145" s="2" t="s">
        <v>220</v>
      </c>
      <c r="CB145" s="2"/>
      <c r="CC145" s="2" t="s">
        <v>217</v>
      </c>
      <c r="CD145" s="2">
        <v>1451</v>
      </c>
      <c r="CE145" s="2" t="s">
        <v>104</v>
      </c>
      <c r="CF145" s="5">
        <v>42964</v>
      </c>
      <c r="CG145" s="2"/>
      <c r="CH145" s="2"/>
      <c r="CI145" s="2">
        <v>1</v>
      </c>
      <c r="CJ145" s="2">
        <v>1</v>
      </c>
      <c r="CK145" s="2">
        <v>22</v>
      </c>
      <c r="CL145" s="2" t="s">
        <v>86</v>
      </c>
      <c r="CM145" s="2"/>
    </row>
    <row r="146" spans="1:91">
      <c r="A146" s="2" t="s">
        <v>71</v>
      </c>
      <c r="B146" s="2" t="s">
        <v>72</v>
      </c>
      <c r="C146" s="2" t="s">
        <v>73</v>
      </c>
      <c r="D146" s="2"/>
      <c r="E146" s="2" t="str">
        <f>"FES1162568986"</f>
        <v>FES1162568986</v>
      </c>
      <c r="F146" s="3">
        <v>42962</v>
      </c>
      <c r="G146" s="2">
        <v>201802</v>
      </c>
      <c r="H146" s="2" t="s">
        <v>74</v>
      </c>
      <c r="I146" s="2" t="s">
        <v>75</v>
      </c>
      <c r="J146" s="2" t="s">
        <v>76</v>
      </c>
      <c r="K146" s="2" t="s">
        <v>77</v>
      </c>
      <c r="L146" s="2" t="s">
        <v>97</v>
      </c>
      <c r="M146" s="2" t="s">
        <v>98</v>
      </c>
      <c r="N146" s="2" t="s">
        <v>248</v>
      </c>
      <c r="O146" s="2" t="s">
        <v>100</v>
      </c>
      <c r="P146" s="2" t="str">
        <f>"2170589562                    "</f>
        <v xml:space="preserve">2170589562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4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1</v>
      </c>
      <c r="BJ146" s="2">
        <v>0.2</v>
      </c>
      <c r="BK146" s="2">
        <v>1</v>
      </c>
      <c r="BL146" s="2">
        <v>41.44</v>
      </c>
      <c r="BM146" s="2">
        <v>5.8</v>
      </c>
      <c r="BN146" s="2">
        <v>47.24</v>
      </c>
      <c r="BO146" s="2">
        <v>47.24</v>
      </c>
      <c r="BP146" s="2"/>
      <c r="BQ146" s="2" t="s">
        <v>83</v>
      </c>
      <c r="BR146" s="2" t="s">
        <v>84</v>
      </c>
      <c r="BS146" s="3">
        <v>42963</v>
      </c>
      <c r="BT146" s="4">
        <v>0.34375</v>
      </c>
      <c r="BU146" s="2" t="s">
        <v>390</v>
      </c>
      <c r="BV146" s="2" t="s">
        <v>95</v>
      </c>
      <c r="BW146" s="2"/>
      <c r="BX146" s="2"/>
      <c r="BY146" s="2">
        <v>1200</v>
      </c>
      <c r="BZ146" s="2" t="s">
        <v>27</v>
      </c>
      <c r="CA146" s="2" t="s">
        <v>294</v>
      </c>
      <c r="CB146" s="2"/>
      <c r="CC146" s="2" t="s">
        <v>98</v>
      </c>
      <c r="CD146" s="2">
        <v>6001</v>
      </c>
      <c r="CE146" s="2" t="s">
        <v>104</v>
      </c>
      <c r="CF146" s="5">
        <v>42964</v>
      </c>
      <c r="CG146" s="2"/>
      <c r="CH146" s="2"/>
      <c r="CI146" s="2">
        <v>1</v>
      </c>
      <c r="CJ146" s="2">
        <v>1</v>
      </c>
      <c r="CK146" s="2">
        <v>21</v>
      </c>
      <c r="CL146" s="2" t="s">
        <v>86</v>
      </c>
      <c r="CM146" s="2"/>
    </row>
    <row r="147" spans="1:91">
      <c r="A147" s="2" t="s">
        <v>71</v>
      </c>
      <c r="B147" s="2" t="s">
        <v>72</v>
      </c>
      <c r="C147" s="2" t="s">
        <v>73</v>
      </c>
      <c r="D147" s="2"/>
      <c r="E147" s="2" t="str">
        <f>"FES1162569109"</f>
        <v>FES1162569109</v>
      </c>
      <c r="F147" s="3">
        <v>42962</v>
      </c>
      <c r="G147" s="2">
        <v>201802</v>
      </c>
      <c r="H147" s="2" t="s">
        <v>74</v>
      </c>
      <c r="I147" s="2" t="s">
        <v>75</v>
      </c>
      <c r="J147" s="2" t="s">
        <v>76</v>
      </c>
      <c r="K147" s="2" t="s">
        <v>77</v>
      </c>
      <c r="L147" s="2" t="s">
        <v>105</v>
      </c>
      <c r="M147" s="2" t="s">
        <v>106</v>
      </c>
      <c r="N147" s="2" t="s">
        <v>520</v>
      </c>
      <c r="O147" s="2" t="s">
        <v>100</v>
      </c>
      <c r="P147" s="2" t="str">
        <f>"2170585106                    "</f>
        <v xml:space="preserve">2170585106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4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1</v>
      </c>
      <c r="BJ147" s="2">
        <v>0.2</v>
      </c>
      <c r="BK147" s="2">
        <v>1</v>
      </c>
      <c r="BL147" s="2">
        <v>41.44</v>
      </c>
      <c r="BM147" s="2">
        <v>5.8</v>
      </c>
      <c r="BN147" s="2">
        <v>47.24</v>
      </c>
      <c r="BO147" s="2">
        <v>47.24</v>
      </c>
      <c r="BP147" s="2"/>
      <c r="BQ147" s="2" t="s">
        <v>521</v>
      </c>
      <c r="BR147" s="2" t="s">
        <v>84</v>
      </c>
      <c r="BS147" s="3">
        <v>42963</v>
      </c>
      <c r="BT147" s="4">
        <v>0.4826388888888889</v>
      </c>
      <c r="BU147" s="2" t="s">
        <v>522</v>
      </c>
      <c r="BV147" s="2" t="s">
        <v>86</v>
      </c>
      <c r="BW147" s="2" t="s">
        <v>110</v>
      </c>
      <c r="BX147" s="2" t="s">
        <v>290</v>
      </c>
      <c r="BY147" s="2">
        <v>1200</v>
      </c>
      <c r="BZ147" s="2"/>
      <c r="CA147" s="2" t="s">
        <v>523</v>
      </c>
      <c r="CB147" s="2"/>
      <c r="CC147" s="2" t="s">
        <v>106</v>
      </c>
      <c r="CD147" s="2">
        <v>7405</v>
      </c>
      <c r="CE147" s="2" t="s">
        <v>104</v>
      </c>
      <c r="CF147" s="5">
        <v>42964</v>
      </c>
      <c r="CG147" s="2"/>
      <c r="CH147" s="2"/>
      <c r="CI147" s="2">
        <v>1</v>
      </c>
      <c r="CJ147" s="2">
        <v>1</v>
      </c>
      <c r="CK147" s="2">
        <v>21</v>
      </c>
      <c r="CL147" s="2" t="s">
        <v>86</v>
      </c>
      <c r="CM147" s="2"/>
    </row>
    <row r="148" spans="1:91">
      <c r="A148" s="2" t="s">
        <v>71</v>
      </c>
      <c r="B148" s="2" t="s">
        <v>72</v>
      </c>
      <c r="C148" s="2" t="s">
        <v>73</v>
      </c>
      <c r="D148" s="2"/>
      <c r="E148" s="2" t="str">
        <f>"FES1162568901"</f>
        <v>FES1162568901</v>
      </c>
      <c r="F148" s="3">
        <v>42962</v>
      </c>
      <c r="G148" s="2">
        <v>201802</v>
      </c>
      <c r="H148" s="2" t="s">
        <v>74</v>
      </c>
      <c r="I148" s="2" t="s">
        <v>75</v>
      </c>
      <c r="J148" s="2" t="s">
        <v>76</v>
      </c>
      <c r="K148" s="2" t="s">
        <v>77</v>
      </c>
      <c r="L148" s="2" t="s">
        <v>524</v>
      </c>
      <c r="M148" s="2" t="s">
        <v>525</v>
      </c>
      <c r="N148" s="2" t="s">
        <v>93</v>
      </c>
      <c r="O148" s="2" t="s">
        <v>100</v>
      </c>
      <c r="P148" s="2" t="str">
        <f>"2170582252                    "</f>
        <v xml:space="preserve">2170582252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7.75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1</v>
      </c>
      <c r="BJ148" s="2">
        <v>0.2</v>
      </c>
      <c r="BK148" s="2">
        <v>1</v>
      </c>
      <c r="BL148" s="2">
        <v>80.290000000000006</v>
      </c>
      <c r="BM148" s="2">
        <v>11.24</v>
      </c>
      <c r="BN148" s="2">
        <v>91.53</v>
      </c>
      <c r="BO148" s="2">
        <v>91.53</v>
      </c>
      <c r="BP148" s="2"/>
      <c r="BQ148" s="2" t="s">
        <v>83</v>
      </c>
      <c r="BR148" s="2" t="s">
        <v>84</v>
      </c>
      <c r="BS148" s="3">
        <v>42963</v>
      </c>
      <c r="BT148" s="4">
        <v>0.64097222222222217</v>
      </c>
      <c r="BU148" s="2" t="s">
        <v>526</v>
      </c>
      <c r="BV148" s="2" t="s">
        <v>95</v>
      </c>
      <c r="BW148" s="2"/>
      <c r="BX148" s="2"/>
      <c r="BY148" s="2">
        <v>1200</v>
      </c>
      <c r="BZ148" s="2" t="s">
        <v>27</v>
      </c>
      <c r="CA148" s="2" t="s">
        <v>527</v>
      </c>
      <c r="CB148" s="2"/>
      <c r="CC148" s="2" t="s">
        <v>525</v>
      </c>
      <c r="CD148" s="2">
        <v>5605</v>
      </c>
      <c r="CE148" s="2" t="s">
        <v>104</v>
      </c>
      <c r="CF148" s="5">
        <v>42965</v>
      </c>
      <c r="CG148" s="2"/>
      <c r="CH148" s="2"/>
      <c r="CI148" s="2">
        <v>4</v>
      </c>
      <c r="CJ148" s="2">
        <v>1</v>
      </c>
      <c r="CK148" s="2">
        <v>23</v>
      </c>
      <c r="CL148" s="2" t="s">
        <v>86</v>
      </c>
      <c r="CM148" s="2"/>
    </row>
    <row r="149" spans="1:91">
      <c r="A149" s="2" t="s">
        <v>71</v>
      </c>
      <c r="B149" s="2" t="s">
        <v>72</v>
      </c>
      <c r="C149" s="2" t="s">
        <v>73</v>
      </c>
      <c r="D149" s="2"/>
      <c r="E149" s="2" t="str">
        <f>"FES1162568904"</f>
        <v>FES1162568904</v>
      </c>
      <c r="F149" s="3">
        <v>42962</v>
      </c>
      <c r="G149" s="2">
        <v>201802</v>
      </c>
      <c r="H149" s="2" t="s">
        <v>74</v>
      </c>
      <c r="I149" s="2" t="s">
        <v>75</v>
      </c>
      <c r="J149" s="2" t="s">
        <v>76</v>
      </c>
      <c r="K149" s="2" t="s">
        <v>77</v>
      </c>
      <c r="L149" s="2" t="s">
        <v>528</v>
      </c>
      <c r="M149" s="2" t="s">
        <v>529</v>
      </c>
      <c r="N149" s="2" t="s">
        <v>530</v>
      </c>
      <c r="O149" s="2" t="s">
        <v>100</v>
      </c>
      <c r="P149" s="2" t="str">
        <f>"2170582285                    "</f>
        <v xml:space="preserve">2170582285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7.75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1</v>
      </c>
      <c r="BI149" s="2">
        <v>1</v>
      </c>
      <c r="BJ149" s="2">
        <v>0.2</v>
      </c>
      <c r="BK149" s="2">
        <v>1</v>
      </c>
      <c r="BL149" s="2">
        <v>80.290000000000006</v>
      </c>
      <c r="BM149" s="2">
        <v>11.24</v>
      </c>
      <c r="BN149" s="2">
        <v>91.53</v>
      </c>
      <c r="BO149" s="2">
        <v>91.53</v>
      </c>
      <c r="BP149" s="2"/>
      <c r="BQ149" s="2" t="s">
        <v>108</v>
      </c>
      <c r="BR149" s="2" t="s">
        <v>84</v>
      </c>
      <c r="BS149" s="3">
        <v>42963</v>
      </c>
      <c r="BT149" s="4">
        <v>0.92499999999999993</v>
      </c>
      <c r="BU149" s="2" t="s">
        <v>531</v>
      </c>
      <c r="BV149" s="2" t="s">
        <v>95</v>
      </c>
      <c r="BW149" s="2"/>
      <c r="BX149" s="2"/>
      <c r="BY149" s="2">
        <v>1200</v>
      </c>
      <c r="BZ149" s="2" t="s">
        <v>27</v>
      </c>
      <c r="CA149" s="2" t="s">
        <v>532</v>
      </c>
      <c r="CB149" s="2"/>
      <c r="CC149" s="2" t="s">
        <v>529</v>
      </c>
      <c r="CD149" s="2">
        <v>5099</v>
      </c>
      <c r="CE149" s="2" t="s">
        <v>104</v>
      </c>
      <c r="CF149" s="5">
        <v>42965</v>
      </c>
      <c r="CG149" s="2"/>
      <c r="CH149" s="2"/>
      <c r="CI149" s="2">
        <v>3</v>
      </c>
      <c r="CJ149" s="2">
        <v>1</v>
      </c>
      <c r="CK149" s="2">
        <v>23</v>
      </c>
      <c r="CL149" s="2" t="s">
        <v>86</v>
      </c>
      <c r="CM149" s="2"/>
    </row>
    <row r="150" spans="1:91">
      <c r="A150" s="2" t="s">
        <v>71</v>
      </c>
      <c r="B150" s="2" t="s">
        <v>72</v>
      </c>
      <c r="C150" s="2" t="s">
        <v>73</v>
      </c>
      <c r="D150" s="2"/>
      <c r="E150" s="2" t="str">
        <f>"FES1162566609"</f>
        <v>FES1162566609</v>
      </c>
      <c r="F150" s="3">
        <v>42962</v>
      </c>
      <c r="G150" s="2">
        <v>201802</v>
      </c>
      <c r="H150" s="2" t="s">
        <v>74</v>
      </c>
      <c r="I150" s="2" t="s">
        <v>75</v>
      </c>
      <c r="J150" s="2" t="s">
        <v>76</v>
      </c>
      <c r="K150" s="2" t="s">
        <v>77</v>
      </c>
      <c r="L150" s="2" t="s">
        <v>268</v>
      </c>
      <c r="M150" s="2" t="s">
        <v>269</v>
      </c>
      <c r="N150" s="2" t="s">
        <v>303</v>
      </c>
      <c r="O150" s="2" t="s">
        <v>100</v>
      </c>
      <c r="P150" s="2" t="str">
        <f>"2170580673                    "</f>
        <v xml:space="preserve">2170580673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4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0.2</v>
      </c>
      <c r="BK150" s="2">
        <v>1</v>
      </c>
      <c r="BL150" s="2">
        <v>41.44</v>
      </c>
      <c r="BM150" s="2">
        <v>5.8</v>
      </c>
      <c r="BN150" s="2">
        <v>47.24</v>
      </c>
      <c r="BO150" s="2">
        <v>47.24</v>
      </c>
      <c r="BP150" s="2"/>
      <c r="BQ150" s="2" t="s">
        <v>304</v>
      </c>
      <c r="BR150" s="2" t="s">
        <v>84</v>
      </c>
      <c r="BS150" s="3">
        <v>42963</v>
      </c>
      <c r="BT150" s="4">
        <v>0.17569444444444446</v>
      </c>
      <c r="BU150" s="2" t="s">
        <v>533</v>
      </c>
      <c r="BV150" s="2" t="s">
        <v>95</v>
      </c>
      <c r="BW150" s="2"/>
      <c r="BX150" s="2"/>
      <c r="BY150" s="2">
        <v>1200</v>
      </c>
      <c r="BZ150" s="2"/>
      <c r="CA150" s="2"/>
      <c r="CB150" s="2"/>
      <c r="CC150" s="2" t="s">
        <v>269</v>
      </c>
      <c r="CD150" s="2">
        <v>183</v>
      </c>
      <c r="CE150" s="2" t="s">
        <v>104</v>
      </c>
      <c r="CF150" s="5">
        <v>42964</v>
      </c>
      <c r="CG150" s="2"/>
      <c r="CH150" s="2"/>
      <c r="CI150" s="2">
        <v>1</v>
      </c>
      <c r="CJ150" s="2">
        <v>1</v>
      </c>
      <c r="CK150" s="2">
        <v>21</v>
      </c>
      <c r="CL150" s="2" t="s">
        <v>86</v>
      </c>
      <c r="CM150" s="2"/>
    </row>
    <row r="151" spans="1:91">
      <c r="A151" s="2" t="s">
        <v>71</v>
      </c>
      <c r="B151" s="2" t="s">
        <v>72</v>
      </c>
      <c r="C151" s="2" t="s">
        <v>73</v>
      </c>
      <c r="D151" s="2"/>
      <c r="E151" s="2" t="str">
        <f>"FES1162568829"</f>
        <v>FES1162568829</v>
      </c>
      <c r="F151" s="3">
        <v>42962</v>
      </c>
      <c r="G151" s="2">
        <v>201802</v>
      </c>
      <c r="H151" s="2" t="s">
        <v>74</v>
      </c>
      <c r="I151" s="2" t="s">
        <v>75</v>
      </c>
      <c r="J151" s="2" t="s">
        <v>76</v>
      </c>
      <c r="K151" s="2" t="s">
        <v>77</v>
      </c>
      <c r="L151" s="2" t="s">
        <v>105</v>
      </c>
      <c r="M151" s="2" t="s">
        <v>106</v>
      </c>
      <c r="N151" s="2" t="s">
        <v>534</v>
      </c>
      <c r="O151" s="2" t="s">
        <v>100</v>
      </c>
      <c r="P151" s="2" t="str">
        <f>"2170582034                    "</f>
        <v xml:space="preserve">2170582034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4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1</v>
      </c>
      <c r="BJ151" s="2">
        <v>0.2</v>
      </c>
      <c r="BK151" s="2">
        <v>1</v>
      </c>
      <c r="BL151" s="2">
        <v>41.44</v>
      </c>
      <c r="BM151" s="2">
        <v>5.8</v>
      </c>
      <c r="BN151" s="2">
        <v>47.24</v>
      </c>
      <c r="BO151" s="2">
        <v>47.24</v>
      </c>
      <c r="BP151" s="2"/>
      <c r="BQ151" s="2" t="s">
        <v>535</v>
      </c>
      <c r="BR151" s="2" t="s">
        <v>84</v>
      </c>
      <c r="BS151" s="3">
        <v>42963</v>
      </c>
      <c r="BT151" s="4">
        <v>0.50486111111111109</v>
      </c>
      <c r="BU151" s="2" t="s">
        <v>536</v>
      </c>
      <c r="BV151" s="2" t="s">
        <v>86</v>
      </c>
      <c r="BW151" s="2" t="s">
        <v>110</v>
      </c>
      <c r="BX151" s="2" t="s">
        <v>537</v>
      </c>
      <c r="BY151" s="2">
        <v>1200</v>
      </c>
      <c r="BZ151" s="2" t="s">
        <v>27</v>
      </c>
      <c r="CA151" s="2" t="s">
        <v>112</v>
      </c>
      <c r="CB151" s="2"/>
      <c r="CC151" s="2" t="s">
        <v>106</v>
      </c>
      <c r="CD151" s="2">
        <v>7405</v>
      </c>
      <c r="CE151" s="2" t="s">
        <v>104</v>
      </c>
      <c r="CF151" s="5">
        <v>42963</v>
      </c>
      <c r="CG151" s="2"/>
      <c r="CH151" s="2"/>
      <c r="CI151" s="2">
        <v>1</v>
      </c>
      <c r="CJ151" s="2">
        <v>1</v>
      </c>
      <c r="CK151" s="2">
        <v>21</v>
      </c>
      <c r="CL151" s="2" t="s">
        <v>86</v>
      </c>
      <c r="CM151" s="2"/>
    </row>
    <row r="152" spans="1:91">
      <c r="A152" s="2" t="s">
        <v>71</v>
      </c>
      <c r="B152" s="2" t="s">
        <v>72</v>
      </c>
      <c r="C152" s="2" t="s">
        <v>73</v>
      </c>
      <c r="D152" s="2"/>
      <c r="E152" s="2" t="str">
        <f>"FES1162569030"</f>
        <v>FES1162569030</v>
      </c>
      <c r="F152" s="3">
        <v>42962</v>
      </c>
      <c r="G152" s="2">
        <v>201802</v>
      </c>
      <c r="H152" s="2" t="s">
        <v>74</v>
      </c>
      <c r="I152" s="2" t="s">
        <v>75</v>
      </c>
      <c r="J152" s="2" t="s">
        <v>76</v>
      </c>
      <c r="K152" s="2" t="s">
        <v>77</v>
      </c>
      <c r="L152" s="2" t="s">
        <v>144</v>
      </c>
      <c r="M152" s="2" t="s">
        <v>145</v>
      </c>
      <c r="N152" s="2" t="s">
        <v>146</v>
      </c>
      <c r="O152" s="2" t="s">
        <v>100</v>
      </c>
      <c r="P152" s="2" t="str">
        <f>"2170582549                    "</f>
        <v xml:space="preserve">2170582549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3.88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9.9</v>
      </c>
      <c r="BJ152" s="2">
        <v>8.8000000000000007</v>
      </c>
      <c r="BK152" s="2">
        <v>10</v>
      </c>
      <c r="BL152" s="2">
        <v>40.15</v>
      </c>
      <c r="BM152" s="2">
        <v>5.62</v>
      </c>
      <c r="BN152" s="2">
        <v>45.77</v>
      </c>
      <c r="BO152" s="2">
        <v>45.77</v>
      </c>
      <c r="BP152" s="2"/>
      <c r="BQ152" s="2" t="s">
        <v>83</v>
      </c>
      <c r="BR152" s="2" t="s">
        <v>84</v>
      </c>
      <c r="BS152" s="3">
        <v>42963</v>
      </c>
      <c r="BT152" s="4">
        <v>0.37152777777777773</v>
      </c>
      <c r="BU152" s="2" t="s">
        <v>538</v>
      </c>
      <c r="BV152" s="2" t="s">
        <v>95</v>
      </c>
      <c r="BW152" s="2"/>
      <c r="BX152" s="2"/>
      <c r="BY152" s="2">
        <v>43895.61</v>
      </c>
      <c r="BZ152" s="2"/>
      <c r="CA152" s="2" t="s">
        <v>274</v>
      </c>
      <c r="CB152" s="2"/>
      <c r="CC152" s="2" t="s">
        <v>145</v>
      </c>
      <c r="CD152" s="2">
        <v>2094</v>
      </c>
      <c r="CE152" s="2" t="s">
        <v>89</v>
      </c>
      <c r="CF152" s="5">
        <v>42964</v>
      </c>
      <c r="CG152" s="2"/>
      <c r="CH152" s="2"/>
      <c r="CI152" s="2">
        <v>1</v>
      </c>
      <c r="CJ152" s="2">
        <v>1</v>
      </c>
      <c r="CK152" s="2">
        <v>22</v>
      </c>
      <c r="CL152" s="2" t="s">
        <v>86</v>
      </c>
      <c r="CM152" s="2"/>
    </row>
    <row r="153" spans="1:91">
      <c r="A153" s="2" t="s">
        <v>71</v>
      </c>
      <c r="B153" s="2" t="s">
        <v>72</v>
      </c>
      <c r="C153" s="2" t="s">
        <v>73</v>
      </c>
      <c r="D153" s="2"/>
      <c r="E153" s="2" t="str">
        <f>"FES1162568828"</f>
        <v>FES1162568828</v>
      </c>
      <c r="F153" s="3">
        <v>42962</v>
      </c>
      <c r="G153" s="2">
        <v>201802</v>
      </c>
      <c r="H153" s="2" t="s">
        <v>74</v>
      </c>
      <c r="I153" s="2" t="s">
        <v>75</v>
      </c>
      <c r="J153" s="2" t="s">
        <v>76</v>
      </c>
      <c r="K153" s="2" t="s">
        <v>77</v>
      </c>
      <c r="L153" s="2" t="s">
        <v>539</v>
      </c>
      <c r="M153" s="2" t="s">
        <v>540</v>
      </c>
      <c r="N153" s="2" t="s">
        <v>541</v>
      </c>
      <c r="O153" s="2" t="s">
        <v>100</v>
      </c>
      <c r="P153" s="2" t="str">
        <f>"2170582011                    "</f>
        <v xml:space="preserve">2170582011 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4.63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</v>
      </c>
      <c r="BI153" s="2">
        <v>11.7</v>
      </c>
      <c r="BJ153" s="2">
        <v>8.9</v>
      </c>
      <c r="BK153" s="2">
        <v>12</v>
      </c>
      <c r="BL153" s="2">
        <v>47.92</v>
      </c>
      <c r="BM153" s="2">
        <v>6.71</v>
      </c>
      <c r="BN153" s="2">
        <v>54.63</v>
      </c>
      <c r="BO153" s="2">
        <v>54.63</v>
      </c>
      <c r="BP153" s="2"/>
      <c r="BQ153" s="2" t="s">
        <v>542</v>
      </c>
      <c r="BR153" s="2" t="s">
        <v>84</v>
      </c>
      <c r="BS153" s="3">
        <v>42963</v>
      </c>
      <c r="BT153" s="4">
        <v>0.4201388888888889</v>
      </c>
      <c r="BU153" s="2" t="s">
        <v>543</v>
      </c>
      <c r="BV153" s="2" t="s">
        <v>95</v>
      </c>
      <c r="BW153" s="2"/>
      <c r="BX153" s="2"/>
      <c r="BY153" s="2">
        <v>44307.65</v>
      </c>
      <c r="BZ153" s="2" t="s">
        <v>27</v>
      </c>
      <c r="CA153" s="2" t="s">
        <v>200</v>
      </c>
      <c r="CB153" s="2"/>
      <c r="CC153" s="2" t="s">
        <v>540</v>
      </c>
      <c r="CD153" s="2">
        <v>2162</v>
      </c>
      <c r="CE153" s="2" t="s">
        <v>89</v>
      </c>
      <c r="CF153" s="5">
        <v>42964</v>
      </c>
      <c r="CG153" s="2"/>
      <c r="CH153" s="2"/>
      <c r="CI153" s="2">
        <v>1</v>
      </c>
      <c r="CJ153" s="2">
        <v>1</v>
      </c>
      <c r="CK153" s="2">
        <v>22</v>
      </c>
      <c r="CL153" s="2" t="s">
        <v>86</v>
      </c>
      <c r="CM153" s="2"/>
    </row>
    <row r="154" spans="1:91">
      <c r="A154" s="2" t="s">
        <v>71</v>
      </c>
      <c r="B154" s="2" t="s">
        <v>72</v>
      </c>
      <c r="C154" s="2" t="s">
        <v>73</v>
      </c>
      <c r="D154" s="2"/>
      <c r="E154" s="2" t="str">
        <f>"FES1162569043"</f>
        <v>FES1162569043</v>
      </c>
      <c r="F154" s="3">
        <v>42962</v>
      </c>
      <c r="G154" s="2">
        <v>201802</v>
      </c>
      <c r="H154" s="2" t="s">
        <v>74</v>
      </c>
      <c r="I154" s="2" t="s">
        <v>75</v>
      </c>
      <c r="J154" s="2" t="s">
        <v>76</v>
      </c>
      <c r="K154" s="2" t="s">
        <v>77</v>
      </c>
      <c r="L154" s="2" t="s">
        <v>137</v>
      </c>
      <c r="M154" s="2" t="s">
        <v>138</v>
      </c>
      <c r="N154" s="2" t="s">
        <v>544</v>
      </c>
      <c r="O154" s="2" t="s">
        <v>100</v>
      </c>
      <c r="P154" s="2" t="str">
        <f>"2170585032                    "</f>
        <v xml:space="preserve">2170585032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4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1</v>
      </c>
      <c r="BJ154" s="2">
        <v>0.2</v>
      </c>
      <c r="BK154" s="2">
        <v>1</v>
      </c>
      <c r="BL154" s="2">
        <v>41.44</v>
      </c>
      <c r="BM154" s="2">
        <v>5.8</v>
      </c>
      <c r="BN154" s="2">
        <v>47.24</v>
      </c>
      <c r="BO154" s="2">
        <v>47.24</v>
      </c>
      <c r="BP154" s="2"/>
      <c r="BQ154" s="2" t="s">
        <v>108</v>
      </c>
      <c r="BR154" s="2" t="s">
        <v>84</v>
      </c>
      <c r="BS154" s="3">
        <v>42963</v>
      </c>
      <c r="BT154" s="4">
        <v>0.36527777777777781</v>
      </c>
      <c r="BU154" s="2" t="s">
        <v>545</v>
      </c>
      <c r="BV154" s="2" t="s">
        <v>95</v>
      </c>
      <c r="BW154" s="2"/>
      <c r="BX154" s="2"/>
      <c r="BY154" s="2">
        <v>1200</v>
      </c>
      <c r="BZ154" s="2"/>
      <c r="CA154" s="2"/>
      <c r="CB154" s="2"/>
      <c r="CC154" s="2" t="s">
        <v>138</v>
      </c>
      <c r="CD154" s="2">
        <v>157</v>
      </c>
      <c r="CE154" s="2" t="s">
        <v>104</v>
      </c>
      <c r="CF154" s="5">
        <v>42964</v>
      </c>
      <c r="CG154" s="2"/>
      <c r="CH154" s="2"/>
      <c r="CI154" s="2">
        <v>1</v>
      </c>
      <c r="CJ154" s="2">
        <v>1</v>
      </c>
      <c r="CK154" s="2">
        <v>21</v>
      </c>
      <c r="CL154" s="2" t="s">
        <v>86</v>
      </c>
      <c r="CM154" s="2"/>
    </row>
    <row r="155" spans="1:91">
      <c r="A155" s="2" t="s">
        <v>71</v>
      </c>
      <c r="B155" s="2" t="s">
        <v>72</v>
      </c>
      <c r="C155" s="2" t="s">
        <v>73</v>
      </c>
      <c r="D155" s="2"/>
      <c r="E155" s="2" t="str">
        <f>"FES1162568931"</f>
        <v>FES1162568931</v>
      </c>
      <c r="F155" s="3">
        <v>42962</v>
      </c>
      <c r="G155" s="2">
        <v>201802</v>
      </c>
      <c r="H155" s="2" t="s">
        <v>74</v>
      </c>
      <c r="I155" s="2" t="s">
        <v>75</v>
      </c>
      <c r="J155" s="2" t="s">
        <v>76</v>
      </c>
      <c r="K155" s="2" t="s">
        <v>77</v>
      </c>
      <c r="L155" s="2" t="s">
        <v>362</v>
      </c>
      <c r="M155" s="2" t="s">
        <v>363</v>
      </c>
      <c r="N155" s="2" t="s">
        <v>546</v>
      </c>
      <c r="O155" s="2" t="s">
        <v>100</v>
      </c>
      <c r="P155" s="2" t="str">
        <f>"2170584936                    "</f>
        <v xml:space="preserve">2170584936 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10.01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4.9000000000000004</v>
      </c>
      <c r="BJ155" s="2">
        <v>3.4</v>
      </c>
      <c r="BK155" s="2">
        <v>5</v>
      </c>
      <c r="BL155" s="2">
        <v>103.61</v>
      </c>
      <c r="BM155" s="2">
        <v>14.51</v>
      </c>
      <c r="BN155" s="2">
        <v>118.12</v>
      </c>
      <c r="BO155" s="2">
        <v>118.12</v>
      </c>
      <c r="BP155" s="2"/>
      <c r="BQ155" s="2" t="s">
        <v>209</v>
      </c>
      <c r="BR155" s="2" t="s">
        <v>84</v>
      </c>
      <c r="BS155" s="3">
        <v>42966</v>
      </c>
      <c r="BT155" s="4">
        <v>0.4375</v>
      </c>
      <c r="BU155" s="2" t="s">
        <v>547</v>
      </c>
      <c r="BV155" s="2" t="s">
        <v>86</v>
      </c>
      <c r="BW155" s="2" t="s">
        <v>548</v>
      </c>
      <c r="BX155" s="2" t="s">
        <v>549</v>
      </c>
      <c r="BY155" s="2">
        <v>17126.82</v>
      </c>
      <c r="BZ155" s="2" t="s">
        <v>27</v>
      </c>
      <c r="CA155" s="2" t="s">
        <v>550</v>
      </c>
      <c r="CB155" s="2"/>
      <c r="CC155" s="2" t="s">
        <v>363</v>
      </c>
      <c r="CD155" s="2">
        <v>3201</v>
      </c>
      <c r="CE155" s="2" t="s">
        <v>89</v>
      </c>
      <c r="CF155" s="5">
        <v>42976</v>
      </c>
      <c r="CG155" s="2"/>
      <c r="CH155" s="2"/>
      <c r="CI155" s="2">
        <v>1</v>
      </c>
      <c r="CJ155" s="2">
        <v>3</v>
      </c>
      <c r="CK155" s="2">
        <v>21</v>
      </c>
      <c r="CL155" s="2" t="s">
        <v>86</v>
      </c>
      <c r="CM155" s="2"/>
    </row>
    <row r="156" spans="1:91">
      <c r="A156" s="2" t="s">
        <v>71</v>
      </c>
      <c r="B156" s="2" t="s">
        <v>72</v>
      </c>
      <c r="C156" s="2" t="s">
        <v>73</v>
      </c>
      <c r="D156" s="2"/>
      <c r="E156" s="2" t="str">
        <f>"FES1162569029"</f>
        <v>FES1162569029</v>
      </c>
      <c r="F156" s="3">
        <v>42962</v>
      </c>
      <c r="G156" s="2">
        <v>201802</v>
      </c>
      <c r="H156" s="2" t="s">
        <v>74</v>
      </c>
      <c r="I156" s="2" t="s">
        <v>75</v>
      </c>
      <c r="J156" s="2" t="s">
        <v>76</v>
      </c>
      <c r="K156" s="2" t="s">
        <v>77</v>
      </c>
      <c r="L156" s="2" t="s">
        <v>244</v>
      </c>
      <c r="M156" s="2" t="s">
        <v>245</v>
      </c>
      <c r="N156" s="2" t="s">
        <v>551</v>
      </c>
      <c r="O156" s="2" t="s">
        <v>100</v>
      </c>
      <c r="P156" s="2" t="str">
        <f>"2170582537                    "</f>
        <v xml:space="preserve">2170582537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3.13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</v>
      </c>
      <c r="BI156" s="2">
        <v>1</v>
      </c>
      <c r="BJ156" s="2">
        <v>0.2</v>
      </c>
      <c r="BK156" s="2">
        <v>1</v>
      </c>
      <c r="BL156" s="2">
        <v>32.380000000000003</v>
      </c>
      <c r="BM156" s="2">
        <v>4.53</v>
      </c>
      <c r="BN156" s="2">
        <v>36.909999999999997</v>
      </c>
      <c r="BO156" s="2">
        <v>36.909999999999997</v>
      </c>
      <c r="BP156" s="2"/>
      <c r="BQ156" s="2"/>
      <c r="BR156" s="2" t="s">
        <v>84</v>
      </c>
      <c r="BS156" s="3">
        <v>42963</v>
      </c>
      <c r="BT156" s="4">
        <v>0.34166666666666662</v>
      </c>
      <c r="BU156" s="2" t="s">
        <v>552</v>
      </c>
      <c r="BV156" s="2" t="s">
        <v>95</v>
      </c>
      <c r="BW156" s="2"/>
      <c r="BX156" s="2"/>
      <c r="BY156" s="2">
        <v>1200</v>
      </c>
      <c r="BZ156" s="2"/>
      <c r="CA156" s="2" t="s">
        <v>426</v>
      </c>
      <c r="CB156" s="2"/>
      <c r="CC156" s="2" t="s">
        <v>245</v>
      </c>
      <c r="CD156" s="2">
        <v>1459</v>
      </c>
      <c r="CE156" s="2" t="s">
        <v>104</v>
      </c>
      <c r="CF156" s="5">
        <v>42964</v>
      </c>
      <c r="CG156" s="2"/>
      <c r="CH156" s="2"/>
      <c r="CI156" s="2">
        <v>1</v>
      </c>
      <c r="CJ156" s="2">
        <v>1</v>
      </c>
      <c r="CK156" s="2">
        <v>22</v>
      </c>
      <c r="CL156" s="2" t="s">
        <v>86</v>
      </c>
      <c r="CM156" s="2"/>
    </row>
    <row r="157" spans="1:91">
      <c r="A157" s="2" t="s">
        <v>71</v>
      </c>
      <c r="B157" s="2" t="s">
        <v>72</v>
      </c>
      <c r="C157" s="2" t="s">
        <v>73</v>
      </c>
      <c r="D157" s="2"/>
      <c r="E157" s="2" t="str">
        <f>"FES1162568846"</f>
        <v>FES1162568846</v>
      </c>
      <c r="F157" s="3">
        <v>42962</v>
      </c>
      <c r="G157" s="2">
        <v>201802</v>
      </c>
      <c r="H157" s="2" t="s">
        <v>74</v>
      </c>
      <c r="I157" s="2" t="s">
        <v>75</v>
      </c>
      <c r="J157" s="2" t="s">
        <v>76</v>
      </c>
      <c r="K157" s="2" t="s">
        <v>77</v>
      </c>
      <c r="L157" s="2" t="s">
        <v>244</v>
      </c>
      <c r="M157" s="2" t="s">
        <v>245</v>
      </c>
      <c r="N157" s="2" t="s">
        <v>553</v>
      </c>
      <c r="O157" s="2" t="s">
        <v>100</v>
      </c>
      <c r="P157" s="2" t="str">
        <f>"2170584908                    "</f>
        <v xml:space="preserve">2170584908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3.13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4.9000000000000004</v>
      </c>
      <c r="BJ157" s="2">
        <v>1.8</v>
      </c>
      <c r="BK157" s="2">
        <v>5</v>
      </c>
      <c r="BL157" s="2">
        <v>32.380000000000003</v>
      </c>
      <c r="BM157" s="2">
        <v>4.53</v>
      </c>
      <c r="BN157" s="2">
        <v>36.909999999999997</v>
      </c>
      <c r="BO157" s="2">
        <v>36.909999999999997</v>
      </c>
      <c r="BP157" s="2"/>
      <c r="BQ157" s="2" t="s">
        <v>288</v>
      </c>
      <c r="BR157" s="2" t="s">
        <v>84</v>
      </c>
      <c r="BS157" s="3">
        <v>42963</v>
      </c>
      <c r="BT157" s="4">
        <v>0.31319444444444444</v>
      </c>
      <c r="BU157" s="2" t="s">
        <v>554</v>
      </c>
      <c r="BV157" s="2" t="s">
        <v>95</v>
      </c>
      <c r="BW157" s="2"/>
      <c r="BX157" s="2"/>
      <c r="BY157" s="2">
        <v>8779.2000000000007</v>
      </c>
      <c r="BZ157" s="2" t="s">
        <v>27</v>
      </c>
      <c r="CA157" s="2" t="s">
        <v>423</v>
      </c>
      <c r="CB157" s="2"/>
      <c r="CC157" s="2" t="s">
        <v>245</v>
      </c>
      <c r="CD157" s="2">
        <v>1460</v>
      </c>
      <c r="CE157" s="2" t="s">
        <v>89</v>
      </c>
      <c r="CF157" s="5">
        <v>42964</v>
      </c>
      <c r="CG157" s="2"/>
      <c r="CH157" s="2"/>
      <c r="CI157" s="2">
        <v>1</v>
      </c>
      <c r="CJ157" s="2">
        <v>1</v>
      </c>
      <c r="CK157" s="2">
        <v>22</v>
      </c>
      <c r="CL157" s="2" t="s">
        <v>86</v>
      </c>
      <c r="CM157" s="2"/>
    </row>
    <row r="158" spans="1:91">
      <c r="A158" s="2" t="s">
        <v>71</v>
      </c>
      <c r="B158" s="2" t="s">
        <v>72</v>
      </c>
      <c r="C158" s="2" t="s">
        <v>73</v>
      </c>
      <c r="D158" s="2"/>
      <c r="E158" s="2" t="str">
        <f>"FES1162567106"</f>
        <v>FES1162567106</v>
      </c>
      <c r="F158" s="3">
        <v>42962</v>
      </c>
      <c r="G158" s="2">
        <v>201802</v>
      </c>
      <c r="H158" s="2" t="s">
        <v>74</v>
      </c>
      <c r="I158" s="2" t="s">
        <v>75</v>
      </c>
      <c r="J158" s="2" t="s">
        <v>76</v>
      </c>
      <c r="K158" s="2" t="s">
        <v>77</v>
      </c>
      <c r="L158" s="2" t="s">
        <v>268</v>
      </c>
      <c r="M158" s="2" t="s">
        <v>269</v>
      </c>
      <c r="N158" s="2" t="s">
        <v>303</v>
      </c>
      <c r="O158" s="2" t="s">
        <v>100</v>
      </c>
      <c r="P158" s="2" t="str">
        <f>"2170580673                    "</f>
        <v xml:space="preserve">2170580673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4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1</v>
      </c>
      <c r="BJ158" s="2">
        <v>0.2</v>
      </c>
      <c r="BK158" s="2">
        <v>1</v>
      </c>
      <c r="BL158" s="2">
        <v>41.44</v>
      </c>
      <c r="BM158" s="2">
        <v>5.8</v>
      </c>
      <c r="BN158" s="2">
        <v>47.24</v>
      </c>
      <c r="BO158" s="2">
        <v>47.24</v>
      </c>
      <c r="BP158" s="2"/>
      <c r="BQ158" s="2" t="s">
        <v>304</v>
      </c>
      <c r="BR158" s="2" t="s">
        <v>84</v>
      </c>
      <c r="BS158" s="3">
        <v>42963</v>
      </c>
      <c r="BT158" s="4">
        <v>0.41666666666666669</v>
      </c>
      <c r="BU158" s="2" t="s">
        <v>555</v>
      </c>
      <c r="BV158" s="2" t="s">
        <v>95</v>
      </c>
      <c r="BW158" s="2"/>
      <c r="BX158" s="2"/>
      <c r="BY158" s="2">
        <v>1200</v>
      </c>
      <c r="BZ158" s="2"/>
      <c r="CA158" s="2"/>
      <c r="CB158" s="2"/>
      <c r="CC158" s="2" t="s">
        <v>269</v>
      </c>
      <c r="CD158" s="2">
        <v>183</v>
      </c>
      <c r="CE158" s="2" t="s">
        <v>104</v>
      </c>
      <c r="CF158" s="5">
        <v>42964</v>
      </c>
      <c r="CG158" s="2"/>
      <c r="CH158" s="2"/>
      <c r="CI158" s="2">
        <v>1</v>
      </c>
      <c r="CJ158" s="2">
        <v>1</v>
      </c>
      <c r="CK158" s="2">
        <v>21</v>
      </c>
      <c r="CL158" s="2" t="s">
        <v>86</v>
      </c>
      <c r="CM158" s="2"/>
    </row>
    <row r="159" spans="1:91">
      <c r="A159" s="2" t="s">
        <v>71</v>
      </c>
      <c r="B159" s="2" t="s">
        <v>72</v>
      </c>
      <c r="C159" s="2" t="s">
        <v>73</v>
      </c>
      <c r="D159" s="2"/>
      <c r="E159" s="2" t="str">
        <f>"FES1162568817"</f>
        <v>FES1162568817</v>
      </c>
      <c r="F159" s="3">
        <v>42962</v>
      </c>
      <c r="G159" s="2">
        <v>201802</v>
      </c>
      <c r="H159" s="2" t="s">
        <v>74</v>
      </c>
      <c r="I159" s="2" t="s">
        <v>75</v>
      </c>
      <c r="J159" s="2" t="s">
        <v>76</v>
      </c>
      <c r="K159" s="2" t="s">
        <v>77</v>
      </c>
      <c r="L159" s="2" t="s">
        <v>417</v>
      </c>
      <c r="M159" s="2" t="s">
        <v>417</v>
      </c>
      <c r="N159" s="2" t="s">
        <v>475</v>
      </c>
      <c r="O159" s="2" t="s">
        <v>100</v>
      </c>
      <c r="P159" s="2" t="str">
        <f>"2170584891                    "</f>
        <v xml:space="preserve">2170584891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4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0.8</v>
      </c>
      <c r="BJ159" s="2">
        <v>1</v>
      </c>
      <c r="BK159" s="2">
        <v>1</v>
      </c>
      <c r="BL159" s="2">
        <v>41.44</v>
      </c>
      <c r="BM159" s="2">
        <v>5.8</v>
      </c>
      <c r="BN159" s="2">
        <v>47.24</v>
      </c>
      <c r="BO159" s="2">
        <v>47.24</v>
      </c>
      <c r="BP159" s="2"/>
      <c r="BQ159" s="2" t="s">
        <v>108</v>
      </c>
      <c r="BR159" s="2" t="s">
        <v>84</v>
      </c>
      <c r="BS159" s="3">
        <v>42963</v>
      </c>
      <c r="BT159" s="4">
        <v>0.47430555555555554</v>
      </c>
      <c r="BU159" s="2" t="s">
        <v>476</v>
      </c>
      <c r="BV159" s="2" t="s">
        <v>95</v>
      </c>
      <c r="BW159" s="2"/>
      <c r="BX159" s="2"/>
      <c r="BY159" s="2">
        <v>5048.18</v>
      </c>
      <c r="BZ159" s="2" t="s">
        <v>27</v>
      </c>
      <c r="CA159" s="2" t="s">
        <v>460</v>
      </c>
      <c r="CB159" s="2"/>
      <c r="CC159" s="2" t="s">
        <v>417</v>
      </c>
      <c r="CD159" s="2">
        <v>7646</v>
      </c>
      <c r="CE159" s="2" t="s">
        <v>89</v>
      </c>
      <c r="CF159" s="5">
        <v>42964</v>
      </c>
      <c r="CG159" s="2"/>
      <c r="CH159" s="2"/>
      <c r="CI159" s="2">
        <v>1</v>
      </c>
      <c r="CJ159" s="2">
        <v>1</v>
      </c>
      <c r="CK159" s="2">
        <v>21</v>
      </c>
      <c r="CL159" s="2" t="s">
        <v>86</v>
      </c>
      <c r="CM159" s="2"/>
    </row>
    <row r="160" spans="1:91">
      <c r="A160" s="2" t="s">
        <v>71</v>
      </c>
      <c r="B160" s="2" t="s">
        <v>72</v>
      </c>
      <c r="C160" s="2" t="s">
        <v>73</v>
      </c>
      <c r="D160" s="2"/>
      <c r="E160" s="2" t="str">
        <f>"FES1162568990"</f>
        <v>FES1162568990</v>
      </c>
      <c r="F160" s="3">
        <v>42962</v>
      </c>
      <c r="G160" s="2">
        <v>201802</v>
      </c>
      <c r="H160" s="2" t="s">
        <v>74</v>
      </c>
      <c r="I160" s="2" t="s">
        <v>75</v>
      </c>
      <c r="J160" s="2" t="s">
        <v>76</v>
      </c>
      <c r="K160" s="2" t="s">
        <v>77</v>
      </c>
      <c r="L160" s="2" t="s">
        <v>539</v>
      </c>
      <c r="M160" s="2" t="s">
        <v>540</v>
      </c>
      <c r="N160" s="2" t="s">
        <v>556</v>
      </c>
      <c r="O160" s="2" t="s">
        <v>100</v>
      </c>
      <c r="P160" s="2" t="str">
        <f>"2170581699                    "</f>
        <v xml:space="preserve">2170581699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3.13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1</v>
      </c>
      <c r="BJ160" s="2">
        <v>0.2</v>
      </c>
      <c r="BK160" s="2">
        <v>1</v>
      </c>
      <c r="BL160" s="2">
        <v>32.380000000000003</v>
      </c>
      <c r="BM160" s="2">
        <v>4.53</v>
      </c>
      <c r="BN160" s="2">
        <v>36.909999999999997</v>
      </c>
      <c r="BO160" s="2">
        <v>36.909999999999997</v>
      </c>
      <c r="BP160" s="2"/>
      <c r="BQ160" s="2" t="s">
        <v>288</v>
      </c>
      <c r="BR160" s="2" t="s">
        <v>84</v>
      </c>
      <c r="BS160" s="3">
        <v>42963</v>
      </c>
      <c r="BT160" s="4">
        <v>0.4375</v>
      </c>
      <c r="BU160" s="2" t="s">
        <v>557</v>
      </c>
      <c r="BV160" s="2" t="s">
        <v>95</v>
      </c>
      <c r="BW160" s="2"/>
      <c r="BX160" s="2"/>
      <c r="BY160" s="2">
        <v>1200</v>
      </c>
      <c r="BZ160" s="2"/>
      <c r="CA160" s="2" t="s">
        <v>200</v>
      </c>
      <c r="CB160" s="2"/>
      <c r="CC160" s="2" t="s">
        <v>540</v>
      </c>
      <c r="CD160" s="2">
        <v>2162</v>
      </c>
      <c r="CE160" s="2" t="s">
        <v>104</v>
      </c>
      <c r="CF160" s="5">
        <v>42964</v>
      </c>
      <c r="CG160" s="2"/>
      <c r="CH160" s="2"/>
      <c r="CI160" s="2">
        <v>1</v>
      </c>
      <c r="CJ160" s="2">
        <v>1</v>
      </c>
      <c r="CK160" s="2">
        <v>22</v>
      </c>
      <c r="CL160" s="2" t="s">
        <v>86</v>
      </c>
      <c r="CM160" s="2"/>
    </row>
    <row r="161" spans="1:91">
      <c r="A161" s="2" t="s">
        <v>71</v>
      </c>
      <c r="B161" s="2" t="s">
        <v>72</v>
      </c>
      <c r="C161" s="2" t="s">
        <v>73</v>
      </c>
      <c r="D161" s="2"/>
      <c r="E161" s="2" t="str">
        <f>"FES1162564902"</f>
        <v>FES1162564902</v>
      </c>
      <c r="F161" s="3">
        <v>42962</v>
      </c>
      <c r="G161" s="2">
        <v>201802</v>
      </c>
      <c r="H161" s="2" t="s">
        <v>74</v>
      </c>
      <c r="I161" s="2" t="s">
        <v>75</v>
      </c>
      <c r="J161" s="2" t="s">
        <v>76</v>
      </c>
      <c r="K161" s="2" t="s">
        <v>77</v>
      </c>
      <c r="L161" s="2" t="s">
        <v>268</v>
      </c>
      <c r="M161" s="2" t="s">
        <v>269</v>
      </c>
      <c r="N161" s="2" t="s">
        <v>303</v>
      </c>
      <c r="O161" s="2" t="s">
        <v>100</v>
      </c>
      <c r="P161" s="2" t="str">
        <f>"2170580673                    "</f>
        <v xml:space="preserve">2170580673 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4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1</v>
      </c>
      <c r="BJ161" s="2">
        <v>0.2</v>
      </c>
      <c r="BK161" s="2">
        <v>1</v>
      </c>
      <c r="BL161" s="2">
        <v>41.44</v>
      </c>
      <c r="BM161" s="2">
        <v>5.8</v>
      </c>
      <c r="BN161" s="2">
        <v>47.24</v>
      </c>
      <c r="BO161" s="2">
        <v>47.24</v>
      </c>
      <c r="BP161" s="2"/>
      <c r="BQ161" s="2" t="s">
        <v>304</v>
      </c>
      <c r="BR161" s="2" t="s">
        <v>84</v>
      </c>
      <c r="BS161" s="3">
        <v>42963</v>
      </c>
      <c r="BT161" s="4">
        <v>0.66319444444444442</v>
      </c>
      <c r="BU161" s="2" t="s">
        <v>305</v>
      </c>
      <c r="BV161" s="2" t="s">
        <v>95</v>
      </c>
      <c r="BW161" s="2"/>
      <c r="BX161" s="2"/>
      <c r="BY161" s="2">
        <v>1200</v>
      </c>
      <c r="BZ161" s="2"/>
      <c r="CA161" s="2" t="s">
        <v>148</v>
      </c>
      <c r="CB161" s="2"/>
      <c r="CC161" s="2" t="s">
        <v>269</v>
      </c>
      <c r="CD161" s="2">
        <v>183</v>
      </c>
      <c r="CE161" s="2" t="s">
        <v>104</v>
      </c>
      <c r="CF161" s="5">
        <v>42964</v>
      </c>
      <c r="CG161" s="2"/>
      <c r="CH161" s="2"/>
      <c r="CI161" s="2">
        <v>1</v>
      </c>
      <c r="CJ161" s="2">
        <v>1</v>
      </c>
      <c r="CK161" s="2">
        <v>21</v>
      </c>
      <c r="CL161" s="2" t="s">
        <v>86</v>
      </c>
      <c r="CM161" s="2"/>
    </row>
    <row r="162" spans="1:91">
      <c r="A162" s="2" t="s">
        <v>71</v>
      </c>
      <c r="B162" s="2" t="s">
        <v>72</v>
      </c>
      <c r="C162" s="2" t="s">
        <v>73</v>
      </c>
      <c r="D162" s="2"/>
      <c r="E162" s="2" t="str">
        <f>"FES1162568862"</f>
        <v>FES1162568862</v>
      </c>
      <c r="F162" s="3">
        <v>42962</v>
      </c>
      <c r="G162" s="2">
        <v>201802</v>
      </c>
      <c r="H162" s="2" t="s">
        <v>74</v>
      </c>
      <c r="I162" s="2" t="s">
        <v>75</v>
      </c>
      <c r="J162" s="2" t="s">
        <v>76</v>
      </c>
      <c r="K162" s="2" t="s">
        <v>77</v>
      </c>
      <c r="L162" s="2" t="s">
        <v>105</v>
      </c>
      <c r="M162" s="2" t="s">
        <v>106</v>
      </c>
      <c r="N162" s="2" t="s">
        <v>558</v>
      </c>
      <c r="O162" s="2" t="s">
        <v>100</v>
      </c>
      <c r="P162" s="2" t="str">
        <f>"2170584913                    "</f>
        <v xml:space="preserve">2170584913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4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</v>
      </c>
      <c r="BJ162" s="2">
        <v>0.2</v>
      </c>
      <c r="BK162" s="2">
        <v>1</v>
      </c>
      <c r="BL162" s="2">
        <v>41.44</v>
      </c>
      <c r="BM162" s="2">
        <v>5.8</v>
      </c>
      <c r="BN162" s="2">
        <v>47.24</v>
      </c>
      <c r="BO162" s="2">
        <v>47.24</v>
      </c>
      <c r="BP162" s="2"/>
      <c r="BQ162" s="2" t="s">
        <v>288</v>
      </c>
      <c r="BR162" s="2" t="s">
        <v>84</v>
      </c>
      <c r="BS162" s="3">
        <v>42963</v>
      </c>
      <c r="BT162" s="4">
        <v>0.45</v>
      </c>
      <c r="BU162" s="2" t="s">
        <v>559</v>
      </c>
      <c r="BV162" s="2" t="s">
        <v>95</v>
      </c>
      <c r="BW162" s="2"/>
      <c r="BX162" s="2"/>
      <c r="BY162" s="2">
        <v>1200</v>
      </c>
      <c r="BZ162" s="2" t="s">
        <v>27</v>
      </c>
      <c r="CA162" s="2"/>
      <c r="CB162" s="2"/>
      <c r="CC162" s="2" t="s">
        <v>106</v>
      </c>
      <c r="CD162" s="2">
        <v>7530</v>
      </c>
      <c r="CE162" s="2" t="s">
        <v>104</v>
      </c>
      <c r="CF162" s="5">
        <v>42964</v>
      </c>
      <c r="CG162" s="2"/>
      <c r="CH162" s="2"/>
      <c r="CI162" s="2">
        <v>1</v>
      </c>
      <c r="CJ162" s="2">
        <v>1</v>
      </c>
      <c r="CK162" s="2">
        <v>21</v>
      </c>
      <c r="CL162" s="2" t="s">
        <v>86</v>
      </c>
      <c r="CM162" s="2"/>
    </row>
    <row r="163" spans="1:91">
      <c r="A163" s="2" t="s">
        <v>71</v>
      </c>
      <c r="B163" s="2" t="s">
        <v>72</v>
      </c>
      <c r="C163" s="2" t="s">
        <v>73</v>
      </c>
      <c r="D163" s="2"/>
      <c r="E163" s="2" t="str">
        <f>"FES1162569111"</f>
        <v>FES1162569111</v>
      </c>
      <c r="F163" s="3">
        <v>42962</v>
      </c>
      <c r="G163" s="2">
        <v>201802</v>
      </c>
      <c r="H163" s="2" t="s">
        <v>74</v>
      </c>
      <c r="I163" s="2" t="s">
        <v>75</v>
      </c>
      <c r="J163" s="2" t="s">
        <v>76</v>
      </c>
      <c r="K163" s="2" t="s">
        <v>77</v>
      </c>
      <c r="L163" s="2" t="s">
        <v>97</v>
      </c>
      <c r="M163" s="2" t="s">
        <v>98</v>
      </c>
      <c r="N163" s="2" t="s">
        <v>229</v>
      </c>
      <c r="O163" s="2" t="s">
        <v>100</v>
      </c>
      <c r="P163" s="2" t="str">
        <f>"2170585109                    "</f>
        <v xml:space="preserve">2170585109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4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1</v>
      </c>
      <c r="BJ163" s="2">
        <v>0.2</v>
      </c>
      <c r="BK163" s="2">
        <v>1</v>
      </c>
      <c r="BL163" s="2">
        <v>41.44</v>
      </c>
      <c r="BM163" s="2">
        <v>5.8</v>
      </c>
      <c r="BN163" s="2">
        <v>47.24</v>
      </c>
      <c r="BO163" s="2">
        <v>47.24</v>
      </c>
      <c r="BP163" s="2"/>
      <c r="BQ163" s="2" t="s">
        <v>108</v>
      </c>
      <c r="BR163" s="2" t="s">
        <v>84</v>
      </c>
      <c r="BS163" s="3">
        <v>42963</v>
      </c>
      <c r="BT163" s="4">
        <v>0.41111111111111115</v>
      </c>
      <c r="BU163" s="2" t="s">
        <v>560</v>
      </c>
      <c r="BV163" s="2" t="s">
        <v>95</v>
      </c>
      <c r="BW163" s="2"/>
      <c r="BX163" s="2"/>
      <c r="BY163" s="2">
        <v>1200</v>
      </c>
      <c r="BZ163" s="2"/>
      <c r="CA163" s="2" t="s">
        <v>103</v>
      </c>
      <c r="CB163" s="2"/>
      <c r="CC163" s="2" t="s">
        <v>98</v>
      </c>
      <c r="CD163" s="2">
        <v>6001</v>
      </c>
      <c r="CE163" s="2" t="s">
        <v>104</v>
      </c>
      <c r="CF163" s="5">
        <v>42964</v>
      </c>
      <c r="CG163" s="2"/>
      <c r="CH163" s="2"/>
      <c r="CI163" s="2">
        <v>1</v>
      </c>
      <c r="CJ163" s="2">
        <v>1</v>
      </c>
      <c r="CK163" s="2">
        <v>21</v>
      </c>
      <c r="CL163" s="2" t="s">
        <v>86</v>
      </c>
      <c r="CM163" s="2"/>
    </row>
    <row r="164" spans="1:91">
      <c r="A164" s="2" t="s">
        <v>71</v>
      </c>
      <c r="B164" s="2" t="s">
        <v>72</v>
      </c>
      <c r="C164" s="2" t="s">
        <v>73</v>
      </c>
      <c r="D164" s="2"/>
      <c r="E164" s="2" t="str">
        <f>"FES1162568900"</f>
        <v>FES1162568900</v>
      </c>
      <c r="F164" s="3">
        <v>42962</v>
      </c>
      <c r="G164" s="2">
        <v>201802</v>
      </c>
      <c r="H164" s="2" t="s">
        <v>74</v>
      </c>
      <c r="I164" s="2" t="s">
        <v>75</v>
      </c>
      <c r="J164" s="2" t="s">
        <v>76</v>
      </c>
      <c r="K164" s="2" t="s">
        <v>77</v>
      </c>
      <c r="L164" s="2" t="s">
        <v>105</v>
      </c>
      <c r="M164" s="2" t="s">
        <v>106</v>
      </c>
      <c r="N164" s="2" t="s">
        <v>107</v>
      </c>
      <c r="O164" s="2" t="s">
        <v>100</v>
      </c>
      <c r="P164" s="2" t="str">
        <f>"2170582205                    "</f>
        <v xml:space="preserve">2170582205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4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1</v>
      </c>
      <c r="BJ164" s="2">
        <v>0.2</v>
      </c>
      <c r="BK164" s="2">
        <v>1</v>
      </c>
      <c r="BL164" s="2">
        <v>41.44</v>
      </c>
      <c r="BM164" s="2">
        <v>5.8</v>
      </c>
      <c r="BN164" s="2">
        <v>47.24</v>
      </c>
      <c r="BO164" s="2">
        <v>47.24</v>
      </c>
      <c r="BP164" s="2"/>
      <c r="BQ164" s="2" t="s">
        <v>108</v>
      </c>
      <c r="BR164" s="2" t="s">
        <v>84</v>
      </c>
      <c r="BS164" s="3">
        <v>42963</v>
      </c>
      <c r="BT164" s="4">
        <v>0.36874999999999997</v>
      </c>
      <c r="BU164" s="2" t="s">
        <v>236</v>
      </c>
      <c r="BV164" s="2" t="s">
        <v>95</v>
      </c>
      <c r="BW164" s="2"/>
      <c r="BX164" s="2"/>
      <c r="BY164" s="2">
        <v>1200</v>
      </c>
      <c r="BZ164" s="2" t="s">
        <v>27</v>
      </c>
      <c r="CA164" s="2" t="s">
        <v>112</v>
      </c>
      <c r="CB164" s="2"/>
      <c r="CC164" s="2" t="s">
        <v>106</v>
      </c>
      <c r="CD164" s="2">
        <v>7405</v>
      </c>
      <c r="CE164" s="2" t="s">
        <v>104</v>
      </c>
      <c r="CF164" s="5">
        <v>42964</v>
      </c>
      <c r="CG164" s="2"/>
      <c r="CH164" s="2"/>
      <c r="CI164" s="2">
        <v>1</v>
      </c>
      <c r="CJ164" s="2">
        <v>1</v>
      </c>
      <c r="CK164" s="2">
        <v>21</v>
      </c>
      <c r="CL164" s="2" t="s">
        <v>86</v>
      </c>
      <c r="CM164" s="2"/>
    </row>
    <row r="165" spans="1:91">
      <c r="A165" s="2" t="s">
        <v>71</v>
      </c>
      <c r="B165" s="2" t="s">
        <v>72</v>
      </c>
      <c r="C165" s="2" t="s">
        <v>73</v>
      </c>
      <c r="D165" s="2"/>
      <c r="E165" s="2" t="str">
        <f>"FES1162568974"</f>
        <v>FES1162568974</v>
      </c>
      <c r="F165" s="3">
        <v>42962</v>
      </c>
      <c r="G165" s="2">
        <v>201802</v>
      </c>
      <c r="H165" s="2" t="s">
        <v>74</v>
      </c>
      <c r="I165" s="2" t="s">
        <v>75</v>
      </c>
      <c r="J165" s="2" t="s">
        <v>76</v>
      </c>
      <c r="K165" s="2" t="s">
        <v>77</v>
      </c>
      <c r="L165" s="2" t="s">
        <v>144</v>
      </c>
      <c r="M165" s="2" t="s">
        <v>145</v>
      </c>
      <c r="N165" s="2" t="s">
        <v>561</v>
      </c>
      <c r="O165" s="2" t="s">
        <v>100</v>
      </c>
      <c r="P165" s="2" t="str">
        <f>"2170584986                    "</f>
        <v xml:space="preserve">2170584986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3.13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1</v>
      </c>
      <c r="BJ165" s="2">
        <v>0.2</v>
      </c>
      <c r="BK165" s="2">
        <v>1</v>
      </c>
      <c r="BL165" s="2">
        <v>32.380000000000003</v>
      </c>
      <c r="BM165" s="2">
        <v>4.53</v>
      </c>
      <c r="BN165" s="2">
        <v>36.909999999999997</v>
      </c>
      <c r="BO165" s="2">
        <v>36.909999999999997</v>
      </c>
      <c r="BP165" s="2"/>
      <c r="BQ165" s="2" t="s">
        <v>562</v>
      </c>
      <c r="BR165" s="2" t="s">
        <v>84</v>
      </c>
      <c r="BS165" s="3">
        <v>42963</v>
      </c>
      <c r="BT165" s="4">
        <v>0.41666666666666669</v>
      </c>
      <c r="BU165" s="2" t="s">
        <v>563</v>
      </c>
      <c r="BV165" s="2" t="s">
        <v>95</v>
      </c>
      <c r="BW165" s="2"/>
      <c r="BX165" s="2"/>
      <c r="BY165" s="2">
        <v>1200</v>
      </c>
      <c r="BZ165" s="2"/>
      <c r="CA165" s="2"/>
      <c r="CB165" s="2"/>
      <c r="CC165" s="2" t="s">
        <v>145</v>
      </c>
      <c r="CD165" s="2">
        <v>1821</v>
      </c>
      <c r="CE165" s="2" t="s">
        <v>104</v>
      </c>
      <c r="CF165" s="5">
        <v>42964</v>
      </c>
      <c r="CG165" s="2"/>
      <c r="CH165" s="2"/>
      <c r="CI165" s="2">
        <v>1</v>
      </c>
      <c r="CJ165" s="2">
        <v>1</v>
      </c>
      <c r="CK165" s="2">
        <v>22</v>
      </c>
      <c r="CL165" s="2" t="s">
        <v>86</v>
      </c>
      <c r="CM165" s="2"/>
    </row>
    <row r="166" spans="1:91">
      <c r="A166" s="2" t="s">
        <v>71</v>
      </c>
      <c r="B166" s="2" t="s">
        <v>72</v>
      </c>
      <c r="C166" s="2" t="s">
        <v>73</v>
      </c>
      <c r="D166" s="2"/>
      <c r="E166" s="2" t="str">
        <f>"FES1162568906"</f>
        <v>FES1162568906</v>
      </c>
      <c r="F166" s="3">
        <v>42962</v>
      </c>
      <c r="G166" s="2">
        <v>201802</v>
      </c>
      <c r="H166" s="2" t="s">
        <v>74</v>
      </c>
      <c r="I166" s="2" t="s">
        <v>75</v>
      </c>
      <c r="J166" s="2" t="s">
        <v>76</v>
      </c>
      <c r="K166" s="2" t="s">
        <v>77</v>
      </c>
      <c r="L166" s="2" t="s">
        <v>362</v>
      </c>
      <c r="M166" s="2" t="s">
        <v>363</v>
      </c>
      <c r="N166" s="2" t="s">
        <v>564</v>
      </c>
      <c r="O166" s="2" t="s">
        <v>100</v>
      </c>
      <c r="P166" s="2" t="str">
        <f>"2170582374                    "</f>
        <v xml:space="preserve">2170582374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4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1</v>
      </c>
      <c r="BI166" s="2">
        <v>1</v>
      </c>
      <c r="BJ166" s="2">
        <v>0.2</v>
      </c>
      <c r="BK166" s="2">
        <v>1</v>
      </c>
      <c r="BL166" s="2">
        <v>41.44</v>
      </c>
      <c r="BM166" s="2">
        <v>5.8</v>
      </c>
      <c r="BN166" s="2">
        <v>47.24</v>
      </c>
      <c r="BO166" s="2">
        <v>47.24</v>
      </c>
      <c r="BP166" s="2"/>
      <c r="BQ166" s="2" t="s">
        <v>288</v>
      </c>
      <c r="BR166" s="2" t="s">
        <v>84</v>
      </c>
      <c r="BS166" s="3">
        <v>42963</v>
      </c>
      <c r="BT166" s="4">
        <v>0.53680555555555554</v>
      </c>
      <c r="BU166" s="2" t="s">
        <v>565</v>
      </c>
      <c r="BV166" s="2" t="s">
        <v>86</v>
      </c>
      <c r="BW166" s="2" t="s">
        <v>336</v>
      </c>
      <c r="BX166" s="2" t="s">
        <v>549</v>
      </c>
      <c r="BY166" s="2">
        <v>1200</v>
      </c>
      <c r="BZ166" s="2" t="s">
        <v>27</v>
      </c>
      <c r="CA166" s="2" t="s">
        <v>566</v>
      </c>
      <c r="CB166" s="2"/>
      <c r="CC166" s="2" t="s">
        <v>363</v>
      </c>
      <c r="CD166" s="2">
        <v>3201</v>
      </c>
      <c r="CE166" s="2" t="s">
        <v>104</v>
      </c>
      <c r="CF166" s="5">
        <v>42965</v>
      </c>
      <c r="CG166" s="2"/>
      <c r="CH166" s="2"/>
      <c r="CI166" s="2">
        <v>1</v>
      </c>
      <c r="CJ166" s="2">
        <v>1</v>
      </c>
      <c r="CK166" s="2">
        <v>21</v>
      </c>
      <c r="CL166" s="2" t="s">
        <v>86</v>
      </c>
      <c r="CM166" s="2"/>
    </row>
    <row r="167" spans="1:91">
      <c r="A167" s="2" t="s">
        <v>71</v>
      </c>
      <c r="B167" s="2" t="s">
        <v>72</v>
      </c>
      <c r="C167" s="2" t="s">
        <v>73</v>
      </c>
      <c r="D167" s="2"/>
      <c r="E167" s="2" t="str">
        <f>"FES1162569053"</f>
        <v>FES1162569053</v>
      </c>
      <c r="F167" s="3">
        <v>42962</v>
      </c>
      <c r="G167" s="2">
        <v>201802</v>
      </c>
      <c r="H167" s="2" t="s">
        <v>74</v>
      </c>
      <c r="I167" s="2" t="s">
        <v>75</v>
      </c>
      <c r="J167" s="2" t="s">
        <v>76</v>
      </c>
      <c r="K167" s="2" t="s">
        <v>77</v>
      </c>
      <c r="L167" s="2" t="s">
        <v>74</v>
      </c>
      <c r="M167" s="2" t="s">
        <v>75</v>
      </c>
      <c r="N167" s="2" t="s">
        <v>567</v>
      </c>
      <c r="O167" s="2" t="s">
        <v>100</v>
      </c>
      <c r="P167" s="2" t="str">
        <f>"2170585041                    "</f>
        <v xml:space="preserve">2170585041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3.13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0.2</v>
      </c>
      <c r="BK167" s="2">
        <v>1</v>
      </c>
      <c r="BL167" s="2">
        <v>32.380000000000003</v>
      </c>
      <c r="BM167" s="2">
        <v>4.53</v>
      </c>
      <c r="BN167" s="2">
        <v>36.909999999999997</v>
      </c>
      <c r="BO167" s="2">
        <v>36.909999999999997</v>
      </c>
      <c r="BP167" s="2"/>
      <c r="BQ167" s="2" t="s">
        <v>568</v>
      </c>
      <c r="BR167" s="2" t="s">
        <v>84</v>
      </c>
      <c r="BS167" s="3">
        <v>42963</v>
      </c>
      <c r="BT167" s="4">
        <v>0.39027777777777778</v>
      </c>
      <c r="BU167" s="2" t="s">
        <v>569</v>
      </c>
      <c r="BV167" s="2" t="s">
        <v>95</v>
      </c>
      <c r="BW167" s="2"/>
      <c r="BX167" s="2"/>
      <c r="BY167" s="2">
        <v>1200</v>
      </c>
      <c r="BZ167" s="2"/>
      <c r="CA167" s="2" t="s">
        <v>570</v>
      </c>
      <c r="CB167" s="2"/>
      <c r="CC167" s="2" t="s">
        <v>75</v>
      </c>
      <c r="CD167" s="2">
        <v>1682</v>
      </c>
      <c r="CE167" s="2" t="s">
        <v>104</v>
      </c>
      <c r="CF167" s="5">
        <v>42963</v>
      </c>
      <c r="CG167" s="2"/>
      <c r="CH167" s="2"/>
      <c r="CI167" s="2">
        <v>1</v>
      </c>
      <c r="CJ167" s="2">
        <v>1</v>
      </c>
      <c r="CK167" s="2">
        <v>22</v>
      </c>
      <c r="CL167" s="2" t="s">
        <v>86</v>
      </c>
      <c r="CM167" s="2"/>
    </row>
    <row r="168" spans="1:91">
      <c r="A168" s="2" t="s">
        <v>71</v>
      </c>
      <c r="B168" s="2" t="s">
        <v>72</v>
      </c>
      <c r="C168" s="2" t="s">
        <v>73</v>
      </c>
      <c r="D168" s="2"/>
      <c r="E168" s="2" t="str">
        <f>"FES1162568949"</f>
        <v>FES1162568949</v>
      </c>
      <c r="F168" s="3">
        <v>42962</v>
      </c>
      <c r="G168" s="2">
        <v>201802</v>
      </c>
      <c r="H168" s="2" t="s">
        <v>74</v>
      </c>
      <c r="I168" s="2" t="s">
        <v>75</v>
      </c>
      <c r="J168" s="2" t="s">
        <v>76</v>
      </c>
      <c r="K168" s="2" t="s">
        <v>77</v>
      </c>
      <c r="L168" s="2" t="s">
        <v>237</v>
      </c>
      <c r="M168" s="2" t="s">
        <v>238</v>
      </c>
      <c r="N168" s="2" t="s">
        <v>571</v>
      </c>
      <c r="O168" s="2" t="s">
        <v>100</v>
      </c>
      <c r="P168" s="2" t="str">
        <f>"2170584952                    "</f>
        <v xml:space="preserve">2170584952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4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1</v>
      </c>
      <c r="BJ168" s="2">
        <v>0.2</v>
      </c>
      <c r="BK168" s="2">
        <v>1</v>
      </c>
      <c r="BL168" s="2">
        <v>41.44</v>
      </c>
      <c r="BM168" s="2">
        <v>5.8</v>
      </c>
      <c r="BN168" s="2">
        <v>47.24</v>
      </c>
      <c r="BO168" s="2">
        <v>47.24</v>
      </c>
      <c r="BP168" s="2"/>
      <c r="BQ168" s="2" t="s">
        <v>572</v>
      </c>
      <c r="BR168" s="2" t="s">
        <v>84</v>
      </c>
      <c r="BS168" s="3">
        <v>42963</v>
      </c>
      <c r="BT168" s="4">
        <v>0.37083333333333335</v>
      </c>
      <c r="BU168" s="2" t="s">
        <v>573</v>
      </c>
      <c r="BV168" s="2" t="s">
        <v>95</v>
      </c>
      <c r="BW168" s="2"/>
      <c r="BX168" s="2"/>
      <c r="BY168" s="2">
        <v>1200</v>
      </c>
      <c r="BZ168" s="2" t="s">
        <v>27</v>
      </c>
      <c r="CA168" s="2" t="s">
        <v>401</v>
      </c>
      <c r="CB168" s="2"/>
      <c r="CC168" s="2" t="s">
        <v>238</v>
      </c>
      <c r="CD168" s="2">
        <v>3610</v>
      </c>
      <c r="CE168" s="2" t="s">
        <v>104</v>
      </c>
      <c r="CF168" s="5">
        <v>42964</v>
      </c>
      <c r="CG168" s="2"/>
      <c r="CH168" s="2"/>
      <c r="CI168" s="2">
        <v>1</v>
      </c>
      <c r="CJ168" s="2">
        <v>1</v>
      </c>
      <c r="CK168" s="2">
        <v>21</v>
      </c>
      <c r="CL168" s="2" t="s">
        <v>86</v>
      </c>
      <c r="CM168" s="2"/>
    </row>
    <row r="169" spans="1:91">
      <c r="A169" s="2" t="s">
        <v>71</v>
      </c>
      <c r="B169" s="2" t="s">
        <v>72</v>
      </c>
      <c r="C169" s="2" t="s">
        <v>73</v>
      </c>
      <c r="D169" s="2"/>
      <c r="E169" s="2" t="str">
        <f>"FES1162569034"</f>
        <v>FES1162569034</v>
      </c>
      <c r="F169" s="3">
        <v>42962</v>
      </c>
      <c r="G169" s="2">
        <v>201802</v>
      </c>
      <c r="H169" s="2" t="s">
        <v>74</v>
      </c>
      <c r="I169" s="2" t="s">
        <v>75</v>
      </c>
      <c r="J169" s="2" t="s">
        <v>76</v>
      </c>
      <c r="K169" s="2" t="s">
        <v>77</v>
      </c>
      <c r="L169" s="2" t="s">
        <v>470</v>
      </c>
      <c r="M169" s="2" t="s">
        <v>471</v>
      </c>
      <c r="N169" s="2" t="s">
        <v>574</v>
      </c>
      <c r="O169" s="2" t="s">
        <v>100</v>
      </c>
      <c r="P169" s="2" t="str">
        <f>"2170585020                    "</f>
        <v xml:space="preserve">2170585020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4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1</v>
      </c>
      <c r="BJ169" s="2">
        <v>0.2</v>
      </c>
      <c r="BK169" s="2">
        <v>1</v>
      </c>
      <c r="BL169" s="2">
        <v>41.44</v>
      </c>
      <c r="BM169" s="2">
        <v>5.8</v>
      </c>
      <c r="BN169" s="2">
        <v>47.24</v>
      </c>
      <c r="BO169" s="2">
        <v>47.24</v>
      </c>
      <c r="BP169" s="2"/>
      <c r="BQ169" s="2" t="s">
        <v>83</v>
      </c>
      <c r="BR169" s="2" t="s">
        <v>84</v>
      </c>
      <c r="BS169" s="3">
        <v>42963</v>
      </c>
      <c r="BT169" s="4">
        <v>0.41041666666666665</v>
      </c>
      <c r="BU169" s="2" t="s">
        <v>575</v>
      </c>
      <c r="BV169" s="2" t="s">
        <v>95</v>
      </c>
      <c r="BW169" s="2"/>
      <c r="BX169" s="2"/>
      <c r="BY169" s="2">
        <v>1200</v>
      </c>
      <c r="BZ169" s="2"/>
      <c r="CA169" s="2" t="s">
        <v>474</v>
      </c>
      <c r="CB169" s="2"/>
      <c r="CC169" s="2" t="s">
        <v>471</v>
      </c>
      <c r="CD169" s="2">
        <v>1900</v>
      </c>
      <c r="CE169" s="2" t="s">
        <v>104</v>
      </c>
      <c r="CF169" s="5">
        <v>42964</v>
      </c>
      <c r="CG169" s="2"/>
      <c r="CH169" s="2"/>
      <c r="CI169" s="2">
        <v>1</v>
      </c>
      <c r="CJ169" s="2">
        <v>1</v>
      </c>
      <c r="CK169" s="2">
        <v>21</v>
      </c>
      <c r="CL169" s="2" t="s">
        <v>86</v>
      </c>
      <c r="CM169" s="2"/>
    </row>
    <row r="170" spans="1:91">
      <c r="A170" s="2" t="s">
        <v>71</v>
      </c>
      <c r="B170" s="2" t="s">
        <v>72</v>
      </c>
      <c r="C170" s="2" t="s">
        <v>73</v>
      </c>
      <c r="D170" s="2"/>
      <c r="E170" s="2" t="str">
        <f>"FES1162568836"</f>
        <v>FES1162568836</v>
      </c>
      <c r="F170" s="3">
        <v>42962</v>
      </c>
      <c r="G170" s="2">
        <v>201802</v>
      </c>
      <c r="H170" s="2" t="s">
        <v>74</v>
      </c>
      <c r="I170" s="2" t="s">
        <v>75</v>
      </c>
      <c r="J170" s="2" t="s">
        <v>76</v>
      </c>
      <c r="K170" s="2" t="s">
        <v>77</v>
      </c>
      <c r="L170" s="2" t="s">
        <v>576</v>
      </c>
      <c r="M170" s="2" t="s">
        <v>577</v>
      </c>
      <c r="N170" s="2" t="s">
        <v>578</v>
      </c>
      <c r="O170" s="2" t="s">
        <v>100</v>
      </c>
      <c r="P170" s="2" t="str">
        <f>"2170584415                    "</f>
        <v xml:space="preserve">2170584415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7.75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1</v>
      </c>
      <c r="BJ170" s="2">
        <v>0.2</v>
      </c>
      <c r="BK170" s="2">
        <v>1</v>
      </c>
      <c r="BL170" s="2">
        <v>80.290000000000006</v>
      </c>
      <c r="BM170" s="2">
        <v>11.24</v>
      </c>
      <c r="BN170" s="2">
        <v>91.53</v>
      </c>
      <c r="BO170" s="2">
        <v>91.53</v>
      </c>
      <c r="BP170" s="2"/>
      <c r="BQ170" s="2" t="s">
        <v>288</v>
      </c>
      <c r="BR170" s="2" t="s">
        <v>84</v>
      </c>
      <c r="BS170" s="3">
        <v>42963</v>
      </c>
      <c r="BT170" s="4">
        <v>0.45694444444444443</v>
      </c>
      <c r="BU170" s="2" t="s">
        <v>579</v>
      </c>
      <c r="BV170" s="2" t="s">
        <v>95</v>
      </c>
      <c r="BW170" s="2"/>
      <c r="BX170" s="2"/>
      <c r="BY170" s="2">
        <v>1200</v>
      </c>
      <c r="BZ170" s="2" t="s">
        <v>27</v>
      </c>
      <c r="CA170" s="2" t="s">
        <v>580</v>
      </c>
      <c r="CB170" s="2"/>
      <c r="CC170" s="2" t="s">
        <v>577</v>
      </c>
      <c r="CD170" s="2">
        <v>3236</v>
      </c>
      <c r="CE170" s="2" t="s">
        <v>104</v>
      </c>
      <c r="CF170" s="5">
        <v>42965</v>
      </c>
      <c r="CG170" s="2"/>
      <c r="CH170" s="2"/>
      <c r="CI170" s="2">
        <v>1</v>
      </c>
      <c r="CJ170" s="2">
        <v>1</v>
      </c>
      <c r="CK170" s="2">
        <v>23</v>
      </c>
      <c r="CL170" s="2" t="s">
        <v>86</v>
      </c>
      <c r="CM170" s="2"/>
    </row>
    <row r="171" spans="1:91">
      <c r="A171" s="2" t="s">
        <v>71</v>
      </c>
      <c r="B171" s="2" t="s">
        <v>72</v>
      </c>
      <c r="C171" s="2" t="s">
        <v>73</v>
      </c>
      <c r="D171" s="2"/>
      <c r="E171" s="2" t="str">
        <f>"FES1162569086"</f>
        <v>FES1162569086</v>
      </c>
      <c r="F171" s="3">
        <v>42962</v>
      </c>
      <c r="G171" s="2">
        <v>201802</v>
      </c>
      <c r="H171" s="2" t="s">
        <v>74</v>
      </c>
      <c r="I171" s="2" t="s">
        <v>75</v>
      </c>
      <c r="J171" s="2" t="s">
        <v>76</v>
      </c>
      <c r="K171" s="2" t="s">
        <v>77</v>
      </c>
      <c r="L171" s="2" t="s">
        <v>244</v>
      </c>
      <c r="M171" s="2" t="s">
        <v>245</v>
      </c>
      <c r="N171" s="2" t="s">
        <v>581</v>
      </c>
      <c r="O171" s="2" t="s">
        <v>100</v>
      </c>
      <c r="P171" s="2" t="str">
        <f>"2170585086                    "</f>
        <v xml:space="preserve">2170585086           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3.13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3.9</v>
      </c>
      <c r="BJ171" s="2">
        <v>3.5</v>
      </c>
      <c r="BK171" s="2">
        <v>4</v>
      </c>
      <c r="BL171" s="2">
        <v>32.380000000000003</v>
      </c>
      <c r="BM171" s="2">
        <v>4.53</v>
      </c>
      <c r="BN171" s="2">
        <v>36.909999999999997</v>
      </c>
      <c r="BO171" s="2">
        <v>36.909999999999997</v>
      </c>
      <c r="BP171" s="2"/>
      <c r="BQ171" s="2" t="s">
        <v>108</v>
      </c>
      <c r="BR171" s="2" t="s">
        <v>84</v>
      </c>
      <c r="BS171" s="3">
        <v>42963</v>
      </c>
      <c r="BT171" s="4">
        <v>0.37152777777777773</v>
      </c>
      <c r="BU171" s="2" t="s">
        <v>582</v>
      </c>
      <c r="BV171" s="2" t="s">
        <v>95</v>
      </c>
      <c r="BW171" s="2"/>
      <c r="BX171" s="2"/>
      <c r="BY171" s="2">
        <v>17328.169999999998</v>
      </c>
      <c r="BZ171" s="2"/>
      <c r="CA171" s="2" t="s">
        <v>423</v>
      </c>
      <c r="CB171" s="2"/>
      <c r="CC171" s="2" t="s">
        <v>245</v>
      </c>
      <c r="CD171" s="2">
        <v>1459</v>
      </c>
      <c r="CE171" s="2" t="s">
        <v>135</v>
      </c>
      <c r="CF171" s="5">
        <v>42964</v>
      </c>
      <c r="CG171" s="2"/>
      <c r="CH171" s="2"/>
      <c r="CI171" s="2">
        <v>1</v>
      </c>
      <c r="CJ171" s="2">
        <v>1</v>
      </c>
      <c r="CK171" s="2">
        <v>22</v>
      </c>
      <c r="CL171" s="2" t="s">
        <v>86</v>
      </c>
      <c r="CM171" s="2"/>
    </row>
    <row r="172" spans="1:91">
      <c r="A172" s="2" t="s">
        <v>71</v>
      </c>
      <c r="B172" s="2" t="s">
        <v>72</v>
      </c>
      <c r="C172" s="2" t="s">
        <v>73</v>
      </c>
      <c r="D172" s="2"/>
      <c r="E172" s="2" t="str">
        <f>"FES1162568804"</f>
        <v>FES1162568804</v>
      </c>
      <c r="F172" s="3">
        <v>42962</v>
      </c>
      <c r="G172" s="2">
        <v>201802</v>
      </c>
      <c r="H172" s="2" t="s">
        <v>74</v>
      </c>
      <c r="I172" s="2" t="s">
        <v>75</v>
      </c>
      <c r="J172" s="2" t="s">
        <v>76</v>
      </c>
      <c r="K172" s="2" t="s">
        <v>77</v>
      </c>
      <c r="L172" s="2" t="s">
        <v>417</v>
      </c>
      <c r="M172" s="2" t="s">
        <v>417</v>
      </c>
      <c r="N172" s="2" t="s">
        <v>458</v>
      </c>
      <c r="O172" s="2" t="s">
        <v>100</v>
      </c>
      <c r="P172" s="2" t="str">
        <f>"2170584881                    "</f>
        <v xml:space="preserve">2170584881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12.01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3.6</v>
      </c>
      <c r="BJ172" s="2">
        <v>5.9</v>
      </c>
      <c r="BK172" s="2">
        <v>6</v>
      </c>
      <c r="BL172" s="2">
        <v>124.33</v>
      </c>
      <c r="BM172" s="2">
        <v>17.41</v>
      </c>
      <c r="BN172" s="2">
        <v>141.74</v>
      </c>
      <c r="BO172" s="2">
        <v>141.74</v>
      </c>
      <c r="BP172" s="2"/>
      <c r="BQ172" s="2" t="s">
        <v>83</v>
      </c>
      <c r="BR172" s="2" t="s">
        <v>84</v>
      </c>
      <c r="BS172" s="3">
        <v>42963</v>
      </c>
      <c r="BT172" s="4">
        <v>0.4777777777777778</v>
      </c>
      <c r="BU172" s="2" t="s">
        <v>459</v>
      </c>
      <c r="BV172" s="2"/>
      <c r="BW172" s="2"/>
      <c r="BX172" s="2"/>
      <c r="BY172" s="2">
        <v>29351.52</v>
      </c>
      <c r="BZ172" s="2" t="s">
        <v>27</v>
      </c>
      <c r="CA172" s="2" t="s">
        <v>460</v>
      </c>
      <c r="CB172" s="2"/>
      <c r="CC172" s="2" t="s">
        <v>417</v>
      </c>
      <c r="CD172" s="2">
        <v>7646</v>
      </c>
      <c r="CE172" s="2" t="s">
        <v>89</v>
      </c>
      <c r="CF172" s="5">
        <v>42964</v>
      </c>
      <c r="CG172" s="2"/>
      <c r="CH172" s="2"/>
      <c r="CI172" s="2">
        <v>0</v>
      </c>
      <c r="CJ172" s="2">
        <v>0</v>
      </c>
      <c r="CK172" s="2">
        <v>21</v>
      </c>
      <c r="CL172" s="2" t="s">
        <v>86</v>
      </c>
      <c r="CM172" s="2"/>
    </row>
    <row r="173" spans="1:91">
      <c r="A173" s="2" t="s">
        <v>71</v>
      </c>
      <c r="B173" s="2" t="s">
        <v>72</v>
      </c>
      <c r="C173" s="2" t="s">
        <v>73</v>
      </c>
      <c r="D173" s="2"/>
      <c r="E173" s="2" t="str">
        <f>"FES1162568891"</f>
        <v>FES1162568891</v>
      </c>
      <c r="F173" s="3">
        <v>42962</v>
      </c>
      <c r="G173" s="2">
        <v>201802</v>
      </c>
      <c r="H173" s="2" t="s">
        <v>74</v>
      </c>
      <c r="I173" s="2" t="s">
        <v>75</v>
      </c>
      <c r="J173" s="2" t="s">
        <v>76</v>
      </c>
      <c r="K173" s="2" t="s">
        <v>77</v>
      </c>
      <c r="L173" s="2" t="s">
        <v>510</v>
      </c>
      <c r="M173" s="2" t="s">
        <v>511</v>
      </c>
      <c r="N173" s="2" t="s">
        <v>583</v>
      </c>
      <c r="O173" s="2" t="s">
        <v>100</v>
      </c>
      <c r="P173" s="2" t="str">
        <f>"2170580129                    "</f>
        <v xml:space="preserve">2170580129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16.010000000000002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8</v>
      </c>
      <c r="BJ173" s="2">
        <v>3.4</v>
      </c>
      <c r="BK173" s="2">
        <v>8</v>
      </c>
      <c r="BL173" s="2">
        <v>165.77</v>
      </c>
      <c r="BM173" s="2">
        <v>23.21</v>
      </c>
      <c r="BN173" s="2">
        <v>188.98</v>
      </c>
      <c r="BO173" s="2">
        <v>188.98</v>
      </c>
      <c r="BP173" s="2"/>
      <c r="BQ173" s="2" t="s">
        <v>288</v>
      </c>
      <c r="BR173" s="2" t="s">
        <v>84</v>
      </c>
      <c r="BS173" s="3">
        <v>42963</v>
      </c>
      <c r="BT173" s="4">
        <v>0.32222222222222224</v>
      </c>
      <c r="BU173" s="2" t="s">
        <v>584</v>
      </c>
      <c r="BV173" s="2" t="s">
        <v>95</v>
      </c>
      <c r="BW173" s="2"/>
      <c r="BX173" s="2"/>
      <c r="BY173" s="2">
        <v>17141.099999999999</v>
      </c>
      <c r="BZ173" s="2" t="s">
        <v>27</v>
      </c>
      <c r="CA173" s="2" t="s">
        <v>514</v>
      </c>
      <c r="CB173" s="2"/>
      <c r="CC173" s="2" t="s">
        <v>511</v>
      </c>
      <c r="CD173" s="2">
        <v>6229</v>
      </c>
      <c r="CE173" s="2" t="s">
        <v>89</v>
      </c>
      <c r="CF173" s="5">
        <v>42964</v>
      </c>
      <c r="CG173" s="2"/>
      <c r="CH173" s="2"/>
      <c r="CI173" s="2">
        <v>1</v>
      </c>
      <c r="CJ173" s="2">
        <v>1</v>
      </c>
      <c r="CK173" s="2">
        <v>21</v>
      </c>
      <c r="CL173" s="2" t="s">
        <v>86</v>
      </c>
      <c r="CM173" s="2"/>
    </row>
    <row r="174" spans="1:91">
      <c r="A174" s="2" t="s">
        <v>71</v>
      </c>
      <c r="B174" s="2" t="s">
        <v>72</v>
      </c>
      <c r="C174" s="2" t="s">
        <v>73</v>
      </c>
      <c r="D174" s="2"/>
      <c r="E174" s="2" t="str">
        <f>"FES1162569067"</f>
        <v>FES1162569067</v>
      </c>
      <c r="F174" s="3">
        <v>42962</v>
      </c>
      <c r="G174" s="2">
        <v>201802</v>
      </c>
      <c r="H174" s="2" t="s">
        <v>74</v>
      </c>
      <c r="I174" s="2" t="s">
        <v>75</v>
      </c>
      <c r="J174" s="2" t="s">
        <v>76</v>
      </c>
      <c r="K174" s="2" t="s">
        <v>77</v>
      </c>
      <c r="L174" s="2" t="s">
        <v>170</v>
      </c>
      <c r="M174" s="2" t="s">
        <v>171</v>
      </c>
      <c r="N174" s="2" t="s">
        <v>585</v>
      </c>
      <c r="O174" s="2" t="s">
        <v>100</v>
      </c>
      <c r="P174" s="2" t="str">
        <f>"2170585062                    "</f>
        <v xml:space="preserve">2170585062 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3.13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1</v>
      </c>
      <c r="BJ174" s="2">
        <v>0.2</v>
      </c>
      <c r="BK174" s="2">
        <v>1</v>
      </c>
      <c r="BL174" s="2">
        <v>32.380000000000003</v>
      </c>
      <c r="BM174" s="2">
        <v>4.53</v>
      </c>
      <c r="BN174" s="2">
        <v>36.909999999999997</v>
      </c>
      <c r="BO174" s="2">
        <v>36.909999999999997</v>
      </c>
      <c r="BP174" s="2"/>
      <c r="BQ174" s="2" t="s">
        <v>586</v>
      </c>
      <c r="BR174" s="2" t="s">
        <v>84</v>
      </c>
      <c r="BS174" s="3">
        <v>42963</v>
      </c>
      <c r="BT174" s="4">
        <v>0.36319444444444443</v>
      </c>
      <c r="BU174" s="2" t="s">
        <v>587</v>
      </c>
      <c r="BV174" s="2" t="s">
        <v>95</v>
      </c>
      <c r="BW174" s="2"/>
      <c r="BX174" s="2"/>
      <c r="BY174" s="2">
        <v>1200</v>
      </c>
      <c r="BZ174" s="2"/>
      <c r="CA174" s="2" t="s">
        <v>588</v>
      </c>
      <c r="CB174" s="2"/>
      <c r="CC174" s="2" t="s">
        <v>171</v>
      </c>
      <c r="CD174" s="2">
        <v>1406</v>
      </c>
      <c r="CE174" s="2" t="s">
        <v>104</v>
      </c>
      <c r="CF174" s="5">
        <v>42964</v>
      </c>
      <c r="CG174" s="2"/>
      <c r="CH174" s="2"/>
      <c r="CI174" s="2">
        <v>1</v>
      </c>
      <c r="CJ174" s="2">
        <v>1</v>
      </c>
      <c r="CK174" s="2">
        <v>22</v>
      </c>
      <c r="CL174" s="2" t="s">
        <v>86</v>
      </c>
      <c r="CM174" s="2"/>
    </row>
    <row r="175" spans="1:91">
      <c r="A175" s="2" t="s">
        <v>71</v>
      </c>
      <c r="B175" s="2" t="s">
        <v>72</v>
      </c>
      <c r="C175" s="2" t="s">
        <v>73</v>
      </c>
      <c r="D175" s="2"/>
      <c r="E175" s="2" t="str">
        <f>"FES1162568938"</f>
        <v>FES1162568938</v>
      </c>
      <c r="F175" s="3">
        <v>42962</v>
      </c>
      <c r="G175" s="2">
        <v>201802</v>
      </c>
      <c r="H175" s="2" t="s">
        <v>74</v>
      </c>
      <c r="I175" s="2" t="s">
        <v>75</v>
      </c>
      <c r="J175" s="2" t="s">
        <v>76</v>
      </c>
      <c r="K175" s="2" t="s">
        <v>77</v>
      </c>
      <c r="L175" s="2" t="s">
        <v>97</v>
      </c>
      <c r="M175" s="2" t="s">
        <v>98</v>
      </c>
      <c r="N175" s="2" t="s">
        <v>214</v>
      </c>
      <c r="O175" s="2" t="s">
        <v>100</v>
      </c>
      <c r="P175" s="2" t="str">
        <f>"2170580964                    "</f>
        <v xml:space="preserve">2170580964         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4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1.9</v>
      </c>
      <c r="BJ175" s="2">
        <v>1.6</v>
      </c>
      <c r="BK175" s="2">
        <v>2</v>
      </c>
      <c r="BL175" s="2">
        <v>41.44</v>
      </c>
      <c r="BM175" s="2">
        <v>5.8</v>
      </c>
      <c r="BN175" s="2">
        <v>47.24</v>
      </c>
      <c r="BO175" s="2">
        <v>47.24</v>
      </c>
      <c r="BP175" s="2"/>
      <c r="BQ175" s="2" t="s">
        <v>108</v>
      </c>
      <c r="BR175" s="2" t="s">
        <v>84</v>
      </c>
      <c r="BS175" s="3">
        <v>42963</v>
      </c>
      <c r="BT175" s="4">
        <v>0.31944444444444448</v>
      </c>
      <c r="BU175" s="2" t="s">
        <v>589</v>
      </c>
      <c r="BV175" s="2" t="s">
        <v>95</v>
      </c>
      <c r="BW175" s="2"/>
      <c r="BX175" s="2"/>
      <c r="BY175" s="2">
        <v>8051.94</v>
      </c>
      <c r="BZ175" s="2" t="s">
        <v>27</v>
      </c>
      <c r="CA175" s="2" t="s">
        <v>286</v>
      </c>
      <c r="CB175" s="2"/>
      <c r="CC175" s="2" t="s">
        <v>98</v>
      </c>
      <c r="CD175" s="2">
        <v>6001</v>
      </c>
      <c r="CE175" s="2" t="s">
        <v>89</v>
      </c>
      <c r="CF175" s="5">
        <v>42964</v>
      </c>
      <c r="CG175" s="2"/>
      <c r="CH175" s="2"/>
      <c r="CI175" s="2">
        <v>1</v>
      </c>
      <c r="CJ175" s="2">
        <v>1</v>
      </c>
      <c r="CK175" s="2">
        <v>21</v>
      </c>
      <c r="CL175" s="2" t="s">
        <v>86</v>
      </c>
      <c r="CM175" s="2"/>
    </row>
    <row r="176" spans="1:91">
      <c r="A176" s="2" t="s">
        <v>71</v>
      </c>
      <c r="B176" s="2" t="s">
        <v>72</v>
      </c>
      <c r="C176" s="2" t="s">
        <v>73</v>
      </c>
      <c r="D176" s="2"/>
      <c r="E176" s="2" t="str">
        <f>"FES1162269130"</f>
        <v>FES1162269130</v>
      </c>
      <c r="F176" s="3">
        <v>42962</v>
      </c>
      <c r="G176" s="2">
        <v>201802</v>
      </c>
      <c r="H176" s="2" t="s">
        <v>74</v>
      </c>
      <c r="I176" s="2" t="s">
        <v>75</v>
      </c>
      <c r="J176" s="2" t="s">
        <v>76</v>
      </c>
      <c r="K176" s="2" t="s">
        <v>77</v>
      </c>
      <c r="L176" s="2" t="s">
        <v>311</v>
      </c>
      <c r="M176" s="2" t="s">
        <v>312</v>
      </c>
      <c r="N176" s="2" t="s">
        <v>590</v>
      </c>
      <c r="O176" s="2" t="s">
        <v>100</v>
      </c>
      <c r="P176" s="2" t="str">
        <f>"2170583647                    "</f>
        <v xml:space="preserve">2170583647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4.25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2</v>
      </c>
      <c r="BI176" s="2">
        <v>10.6</v>
      </c>
      <c r="BJ176" s="2">
        <v>3.3</v>
      </c>
      <c r="BK176" s="2">
        <v>11</v>
      </c>
      <c r="BL176" s="2">
        <v>44.03</v>
      </c>
      <c r="BM176" s="2">
        <v>6.16</v>
      </c>
      <c r="BN176" s="2">
        <v>50.19</v>
      </c>
      <c r="BO176" s="2">
        <v>50.19</v>
      </c>
      <c r="BP176" s="2"/>
      <c r="BQ176" s="2" t="s">
        <v>108</v>
      </c>
      <c r="BR176" s="2" t="s">
        <v>84</v>
      </c>
      <c r="BS176" s="3">
        <v>42963</v>
      </c>
      <c r="BT176" s="4">
        <v>0.43055555555555558</v>
      </c>
      <c r="BU176" s="2" t="s">
        <v>591</v>
      </c>
      <c r="BV176" s="2" t="s">
        <v>95</v>
      </c>
      <c r="BW176" s="2"/>
      <c r="BX176" s="2"/>
      <c r="BY176" s="2">
        <v>16697.3</v>
      </c>
      <c r="BZ176" s="2"/>
      <c r="CA176" s="2" t="s">
        <v>148</v>
      </c>
      <c r="CB176" s="2"/>
      <c r="CC176" s="2" t="s">
        <v>312</v>
      </c>
      <c r="CD176" s="2">
        <v>1559</v>
      </c>
      <c r="CE176" s="2" t="s">
        <v>104</v>
      </c>
      <c r="CF176" s="2"/>
      <c r="CG176" s="2"/>
      <c r="CH176" s="2"/>
      <c r="CI176" s="2">
        <v>1</v>
      </c>
      <c r="CJ176" s="2">
        <v>1</v>
      </c>
      <c r="CK176" s="2">
        <v>22</v>
      </c>
      <c r="CL176" s="2" t="s">
        <v>86</v>
      </c>
      <c r="CM176" s="2"/>
    </row>
    <row r="177" spans="1:91">
      <c r="A177" s="2" t="s">
        <v>71</v>
      </c>
      <c r="B177" s="2" t="s">
        <v>72</v>
      </c>
      <c r="C177" s="2" t="s">
        <v>73</v>
      </c>
      <c r="D177" s="2"/>
      <c r="E177" s="2" t="str">
        <f>"FES1162569098"</f>
        <v>FES1162569098</v>
      </c>
      <c r="F177" s="3">
        <v>42962</v>
      </c>
      <c r="G177" s="2">
        <v>201802</v>
      </c>
      <c r="H177" s="2" t="s">
        <v>74</v>
      </c>
      <c r="I177" s="2" t="s">
        <v>75</v>
      </c>
      <c r="J177" s="2" t="s">
        <v>76</v>
      </c>
      <c r="K177" s="2" t="s">
        <v>77</v>
      </c>
      <c r="L177" s="2" t="s">
        <v>97</v>
      </c>
      <c r="M177" s="2" t="s">
        <v>98</v>
      </c>
      <c r="N177" s="2" t="s">
        <v>119</v>
      </c>
      <c r="O177" s="2" t="s">
        <v>100</v>
      </c>
      <c r="P177" s="2" t="str">
        <f>"2170584269                    "</f>
        <v xml:space="preserve">2170584269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18.010000000000002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</v>
      </c>
      <c r="BI177" s="2">
        <v>8.8000000000000007</v>
      </c>
      <c r="BJ177" s="2">
        <v>4.4000000000000004</v>
      </c>
      <c r="BK177" s="2">
        <v>9</v>
      </c>
      <c r="BL177" s="2">
        <v>186.49</v>
      </c>
      <c r="BM177" s="2">
        <v>26.11</v>
      </c>
      <c r="BN177" s="2">
        <v>212.6</v>
      </c>
      <c r="BO177" s="2">
        <v>212.6</v>
      </c>
      <c r="BP177" s="2"/>
      <c r="BQ177" s="2" t="s">
        <v>108</v>
      </c>
      <c r="BR177" s="2" t="s">
        <v>84</v>
      </c>
      <c r="BS177" s="3">
        <v>42963</v>
      </c>
      <c r="BT177" s="4">
        <v>0.32916666666666666</v>
      </c>
      <c r="BU177" s="2" t="s">
        <v>285</v>
      </c>
      <c r="BV177" s="2" t="s">
        <v>95</v>
      </c>
      <c r="BW177" s="2"/>
      <c r="BX177" s="2"/>
      <c r="BY177" s="2">
        <v>21873.72</v>
      </c>
      <c r="BZ177" s="2"/>
      <c r="CA177" s="2" t="s">
        <v>286</v>
      </c>
      <c r="CB177" s="2"/>
      <c r="CC177" s="2" t="s">
        <v>98</v>
      </c>
      <c r="CD177" s="2">
        <v>6001</v>
      </c>
      <c r="CE177" s="2" t="s">
        <v>89</v>
      </c>
      <c r="CF177" s="5">
        <v>42964</v>
      </c>
      <c r="CG177" s="2"/>
      <c r="CH177" s="2"/>
      <c r="CI177" s="2">
        <v>1</v>
      </c>
      <c r="CJ177" s="2">
        <v>1</v>
      </c>
      <c r="CK177" s="2">
        <v>21</v>
      </c>
      <c r="CL177" s="2" t="s">
        <v>86</v>
      </c>
      <c r="CM177" s="2"/>
    </row>
    <row r="178" spans="1:91">
      <c r="A178" s="2" t="s">
        <v>71</v>
      </c>
      <c r="B178" s="2" t="s">
        <v>72</v>
      </c>
      <c r="C178" s="2" t="s">
        <v>73</v>
      </c>
      <c r="D178" s="2"/>
      <c r="E178" s="2" t="str">
        <f>"FES1162568879"</f>
        <v>FES1162568879</v>
      </c>
      <c r="F178" s="3">
        <v>42962</v>
      </c>
      <c r="G178" s="2">
        <v>201802</v>
      </c>
      <c r="H178" s="2" t="s">
        <v>74</v>
      </c>
      <c r="I178" s="2" t="s">
        <v>75</v>
      </c>
      <c r="J178" s="2" t="s">
        <v>76</v>
      </c>
      <c r="K178" s="2" t="s">
        <v>77</v>
      </c>
      <c r="L178" s="2" t="s">
        <v>174</v>
      </c>
      <c r="M178" s="2" t="s">
        <v>175</v>
      </c>
      <c r="N178" s="2" t="s">
        <v>357</v>
      </c>
      <c r="O178" s="2" t="s">
        <v>100</v>
      </c>
      <c r="P178" s="2" t="str">
        <f>"2170573445                    "</f>
        <v xml:space="preserve">2170573445           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4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</v>
      </c>
      <c r="BJ178" s="2">
        <v>0.2</v>
      </c>
      <c r="BK178" s="2">
        <v>1</v>
      </c>
      <c r="BL178" s="2">
        <v>41.44</v>
      </c>
      <c r="BM178" s="2">
        <v>5.8</v>
      </c>
      <c r="BN178" s="2">
        <v>47.24</v>
      </c>
      <c r="BO178" s="2">
        <v>47.24</v>
      </c>
      <c r="BP178" s="2"/>
      <c r="BQ178" s="2" t="s">
        <v>83</v>
      </c>
      <c r="BR178" s="2" t="s">
        <v>84</v>
      </c>
      <c r="BS178" s="3">
        <v>42963</v>
      </c>
      <c r="BT178" s="4">
        <v>0.57708333333333328</v>
      </c>
      <c r="BU178" s="2" t="s">
        <v>359</v>
      </c>
      <c r="BV178" s="2" t="s">
        <v>86</v>
      </c>
      <c r="BW178" s="2" t="s">
        <v>110</v>
      </c>
      <c r="BX178" s="2" t="s">
        <v>592</v>
      </c>
      <c r="BY178" s="2">
        <v>1200</v>
      </c>
      <c r="BZ178" s="2" t="s">
        <v>27</v>
      </c>
      <c r="CA178" s="2" t="s">
        <v>360</v>
      </c>
      <c r="CB178" s="2"/>
      <c r="CC178" s="2" t="s">
        <v>175</v>
      </c>
      <c r="CD178" s="2">
        <v>5201</v>
      </c>
      <c r="CE178" s="2" t="s">
        <v>104</v>
      </c>
      <c r="CF178" s="5">
        <v>42964</v>
      </c>
      <c r="CG178" s="2"/>
      <c r="CH178" s="2"/>
      <c r="CI178" s="2">
        <v>1</v>
      </c>
      <c r="CJ178" s="2">
        <v>1</v>
      </c>
      <c r="CK178" s="2">
        <v>21</v>
      </c>
      <c r="CL178" s="2" t="s">
        <v>86</v>
      </c>
      <c r="CM178" s="2"/>
    </row>
    <row r="179" spans="1:91">
      <c r="A179" s="2" t="s">
        <v>71</v>
      </c>
      <c r="B179" s="2" t="s">
        <v>72</v>
      </c>
      <c r="C179" s="2" t="s">
        <v>73</v>
      </c>
      <c r="D179" s="2"/>
      <c r="E179" s="2" t="str">
        <f>"FES1162569132"</f>
        <v>FES1162569132</v>
      </c>
      <c r="F179" s="3">
        <v>42962</v>
      </c>
      <c r="G179" s="2">
        <v>201802</v>
      </c>
      <c r="H179" s="2" t="s">
        <v>74</v>
      </c>
      <c r="I179" s="2" t="s">
        <v>75</v>
      </c>
      <c r="J179" s="2" t="s">
        <v>76</v>
      </c>
      <c r="K179" s="2" t="s">
        <v>77</v>
      </c>
      <c r="L179" s="2" t="s">
        <v>201</v>
      </c>
      <c r="M179" s="2" t="s">
        <v>202</v>
      </c>
      <c r="N179" s="2" t="s">
        <v>409</v>
      </c>
      <c r="O179" s="2" t="s">
        <v>100</v>
      </c>
      <c r="P179" s="2" t="str">
        <f>"2170584310                    "</f>
        <v xml:space="preserve">2170584310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10.01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4.9000000000000004</v>
      </c>
      <c r="BJ179" s="2">
        <v>1.8</v>
      </c>
      <c r="BK179" s="2">
        <v>5</v>
      </c>
      <c r="BL179" s="2">
        <v>103.61</v>
      </c>
      <c r="BM179" s="2">
        <v>14.51</v>
      </c>
      <c r="BN179" s="2">
        <v>118.12</v>
      </c>
      <c r="BO179" s="2">
        <v>118.12</v>
      </c>
      <c r="BP179" s="2"/>
      <c r="BQ179" s="2" t="s">
        <v>108</v>
      </c>
      <c r="BR179" s="2" t="s">
        <v>84</v>
      </c>
      <c r="BS179" s="3">
        <v>42963</v>
      </c>
      <c r="BT179" s="4">
        <v>0.42777777777777781</v>
      </c>
      <c r="BU179" s="2" t="s">
        <v>410</v>
      </c>
      <c r="BV179" s="2" t="s">
        <v>95</v>
      </c>
      <c r="BW179" s="2"/>
      <c r="BX179" s="2"/>
      <c r="BY179" s="2">
        <v>9168.39</v>
      </c>
      <c r="BZ179" s="2"/>
      <c r="CA179" s="2" t="s">
        <v>411</v>
      </c>
      <c r="CB179" s="2"/>
      <c r="CC179" s="2" t="s">
        <v>202</v>
      </c>
      <c r="CD179" s="2">
        <v>7130</v>
      </c>
      <c r="CE179" s="2" t="s">
        <v>89</v>
      </c>
      <c r="CF179" s="5">
        <v>42964</v>
      </c>
      <c r="CG179" s="2"/>
      <c r="CH179" s="2"/>
      <c r="CI179" s="2">
        <v>1</v>
      </c>
      <c r="CJ179" s="2">
        <v>1</v>
      </c>
      <c r="CK179" s="2">
        <v>21</v>
      </c>
      <c r="CL179" s="2" t="s">
        <v>86</v>
      </c>
      <c r="CM179" s="2"/>
    </row>
    <row r="180" spans="1:91">
      <c r="A180" s="2" t="s">
        <v>71</v>
      </c>
      <c r="B180" s="2" t="s">
        <v>72</v>
      </c>
      <c r="C180" s="2" t="s">
        <v>73</v>
      </c>
      <c r="D180" s="2"/>
      <c r="E180" s="2" t="str">
        <f>"FES1162568826"</f>
        <v>FES1162568826</v>
      </c>
      <c r="F180" s="3">
        <v>42962</v>
      </c>
      <c r="G180" s="2">
        <v>201802</v>
      </c>
      <c r="H180" s="2" t="s">
        <v>74</v>
      </c>
      <c r="I180" s="2" t="s">
        <v>75</v>
      </c>
      <c r="J180" s="2" t="s">
        <v>76</v>
      </c>
      <c r="K180" s="2" t="s">
        <v>77</v>
      </c>
      <c r="L180" s="2" t="s">
        <v>97</v>
      </c>
      <c r="M180" s="2" t="s">
        <v>98</v>
      </c>
      <c r="N180" s="2" t="s">
        <v>119</v>
      </c>
      <c r="O180" s="2" t="s">
        <v>100</v>
      </c>
      <c r="P180" s="2" t="str">
        <f>"2170581643                    "</f>
        <v xml:space="preserve">2170581643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4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1</v>
      </c>
      <c r="BJ180" s="2">
        <v>0.2</v>
      </c>
      <c r="BK180" s="2">
        <v>1</v>
      </c>
      <c r="BL180" s="2">
        <v>41.44</v>
      </c>
      <c r="BM180" s="2">
        <v>5.8</v>
      </c>
      <c r="BN180" s="2">
        <v>47.24</v>
      </c>
      <c r="BO180" s="2">
        <v>47.24</v>
      </c>
      <c r="BP180" s="2"/>
      <c r="BQ180" s="2" t="s">
        <v>108</v>
      </c>
      <c r="BR180" s="2" t="s">
        <v>84</v>
      </c>
      <c r="BS180" s="3">
        <v>42963</v>
      </c>
      <c r="BT180" s="4">
        <v>0.32916666666666666</v>
      </c>
      <c r="BU180" s="2" t="s">
        <v>285</v>
      </c>
      <c r="BV180" s="2" t="s">
        <v>95</v>
      </c>
      <c r="BW180" s="2"/>
      <c r="BX180" s="2"/>
      <c r="BY180" s="2">
        <v>1200</v>
      </c>
      <c r="BZ180" s="2" t="s">
        <v>27</v>
      </c>
      <c r="CA180" s="2" t="s">
        <v>286</v>
      </c>
      <c r="CB180" s="2"/>
      <c r="CC180" s="2" t="s">
        <v>98</v>
      </c>
      <c r="CD180" s="2">
        <v>6001</v>
      </c>
      <c r="CE180" s="2" t="s">
        <v>104</v>
      </c>
      <c r="CF180" s="5">
        <v>42964</v>
      </c>
      <c r="CG180" s="2"/>
      <c r="CH180" s="2"/>
      <c r="CI180" s="2">
        <v>1</v>
      </c>
      <c r="CJ180" s="2">
        <v>1</v>
      </c>
      <c r="CK180" s="2">
        <v>21</v>
      </c>
      <c r="CL180" s="2" t="s">
        <v>86</v>
      </c>
      <c r="CM180" s="2"/>
    </row>
    <row r="181" spans="1:91">
      <c r="A181" s="2" t="s">
        <v>71</v>
      </c>
      <c r="B181" s="2" t="s">
        <v>72</v>
      </c>
      <c r="C181" s="2" t="s">
        <v>73</v>
      </c>
      <c r="D181" s="2"/>
      <c r="E181" s="2" t="str">
        <f>"FES1162569085"</f>
        <v>FES1162569085</v>
      </c>
      <c r="F181" s="3">
        <v>42962</v>
      </c>
      <c r="G181" s="2">
        <v>201802</v>
      </c>
      <c r="H181" s="2" t="s">
        <v>74</v>
      </c>
      <c r="I181" s="2" t="s">
        <v>75</v>
      </c>
      <c r="J181" s="2" t="s">
        <v>76</v>
      </c>
      <c r="K181" s="2" t="s">
        <v>77</v>
      </c>
      <c r="L181" s="2" t="s">
        <v>593</v>
      </c>
      <c r="M181" s="2" t="s">
        <v>594</v>
      </c>
      <c r="N181" s="2" t="s">
        <v>595</v>
      </c>
      <c r="O181" s="2" t="s">
        <v>358</v>
      </c>
      <c r="P181" s="2" t="str">
        <f>"2170585085                    "</f>
        <v xml:space="preserve">2170585085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5.93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15.7</v>
      </c>
      <c r="BJ181" s="2">
        <v>8.6</v>
      </c>
      <c r="BK181" s="2">
        <v>16</v>
      </c>
      <c r="BL181" s="2">
        <v>61.42</v>
      </c>
      <c r="BM181" s="2">
        <v>8.6</v>
      </c>
      <c r="BN181" s="2">
        <v>70.02</v>
      </c>
      <c r="BO181" s="2">
        <v>70.02</v>
      </c>
      <c r="BP181" s="2"/>
      <c r="BQ181" s="2" t="s">
        <v>108</v>
      </c>
      <c r="BR181" s="2" t="s">
        <v>84</v>
      </c>
      <c r="BS181" s="3">
        <v>42963</v>
      </c>
      <c r="BT181" s="4">
        <v>0.36180555555555555</v>
      </c>
      <c r="BU181" s="2" t="s">
        <v>596</v>
      </c>
      <c r="BV181" s="2" t="s">
        <v>95</v>
      </c>
      <c r="BW181" s="2"/>
      <c r="BX181" s="2"/>
      <c r="BY181" s="2">
        <v>42802.5</v>
      </c>
      <c r="BZ181" s="2"/>
      <c r="CA181" s="2" t="s">
        <v>570</v>
      </c>
      <c r="CB181" s="2"/>
      <c r="CC181" s="2" t="s">
        <v>594</v>
      </c>
      <c r="CD181" s="2">
        <v>1685</v>
      </c>
      <c r="CE181" s="2" t="s">
        <v>89</v>
      </c>
      <c r="CF181" s="5">
        <v>42963</v>
      </c>
      <c r="CG181" s="2"/>
      <c r="CH181" s="2"/>
      <c r="CI181" s="2">
        <v>1</v>
      </c>
      <c r="CJ181" s="2">
        <v>1</v>
      </c>
      <c r="CK181" s="2">
        <v>32</v>
      </c>
      <c r="CL181" s="2" t="s">
        <v>86</v>
      </c>
      <c r="CM181" s="2"/>
    </row>
    <row r="182" spans="1:91">
      <c r="A182" s="2" t="s">
        <v>71</v>
      </c>
      <c r="B182" s="2" t="s">
        <v>72</v>
      </c>
      <c r="C182" s="2" t="s">
        <v>73</v>
      </c>
      <c r="D182" s="2"/>
      <c r="E182" s="2" t="str">
        <f>"FES1162568835"</f>
        <v>FES1162568835</v>
      </c>
      <c r="F182" s="3">
        <v>42962</v>
      </c>
      <c r="G182" s="2">
        <v>201802</v>
      </c>
      <c r="H182" s="2" t="s">
        <v>74</v>
      </c>
      <c r="I182" s="2" t="s">
        <v>75</v>
      </c>
      <c r="J182" s="2" t="s">
        <v>76</v>
      </c>
      <c r="K182" s="2" t="s">
        <v>77</v>
      </c>
      <c r="L182" s="2" t="s">
        <v>97</v>
      </c>
      <c r="M182" s="2" t="s">
        <v>98</v>
      </c>
      <c r="N182" s="2" t="s">
        <v>597</v>
      </c>
      <c r="O182" s="2" t="s">
        <v>100</v>
      </c>
      <c r="P182" s="2" t="str">
        <f>"2170584099                    "</f>
        <v xml:space="preserve">2170584099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4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1</v>
      </c>
      <c r="BJ182" s="2">
        <v>0.2</v>
      </c>
      <c r="BK182" s="2">
        <v>1</v>
      </c>
      <c r="BL182" s="2">
        <v>41.44</v>
      </c>
      <c r="BM182" s="2">
        <v>5.8</v>
      </c>
      <c r="BN182" s="2">
        <v>47.24</v>
      </c>
      <c r="BO182" s="2">
        <v>47.24</v>
      </c>
      <c r="BP182" s="2"/>
      <c r="BQ182" s="2" t="s">
        <v>598</v>
      </c>
      <c r="BR182" s="2" t="s">
        <v>84</v>
      </c>
      <c r="BS182" s="3">
        <v>42963</v>
      </c>
      <c r="BT182" s="4">
        <v>0.3840277777777778</v>
      </c>
      <c r="BU182" s="2" t="s">
        <v>599</v>
      </c>
      <c r="BV182" s="2" t="s">
        <v>95</v>
      </c>
      <c r="BW182" s="2"/>
      <c r="BX182" s="2"/>
      <c r="BY182" s="2">
        <v>1200</v>
      </c>
      <c r="BZ182" s="2" t="s">
        <v>27</v>
      </c>
      <c r="CA182" s="2" t="s">
        <v>600</v>
      </c>
      <c r="CB182" s="2"/>
      <c r="CC182" s="2" t="s">
        <v>98</v>
      </c>
      <c r="CD182" s="2">
        <v>6070</v>
      </c>
      <c r="CE182" s="2" t="s">
        <v>104</v>
      </c>
      <c r="CF182" s="5">
        <v>42964</v>
      </c>
      <c r="CG182" s="2"/>
      <c r="CH182" s="2"/>
      <c r="CI182" s="2">
        <v>1</v>
      </c>
      <c r="CJ182" s="2">
        <v>1</v>
      </c>
      <c r="CK182" s="2">
        <v>21</v>
      </c>
      <c r="CL182" s="2" t="s">
        <v>86</v>
      </c>
      <c r="CM182" s="2"/>
    </row>
    <row r="183" spans="1:91">
      <c r="A183" s="2" t="s">
        <v>71</v>
      </c>
      <c r="B183" s="2" t="s">
        <v>72</v>
      </c>
      <c r="C183" s="2" t="s">
        <v>73</v>
      </c>
      <c r="D183" s="2"/>
      <c r="E183" s="2" t="str">
        <f>"FES1162569125"</f>
        <v>FES1162569125</v>
      </c>
      <c r="F183" s="3">
        <v>42962</v>
      </c>
      <c r="G183" s="2">
        <v>201802</v>
      </c>
      <c r="H183" s="2" t="s">
        <v>74</v>
      </c>
      <c r="I183" s="2" t="s">
        <v>75</v>
      </c>
      <c r="J183" s="2" t="s">
        <v>76</v>
      </c>
      <c r="K183" s="2" t="s">
        <v>77</v>
      </c>
      <c r="L183" s="2" t="s">
        <v>417</v>
      </c>
      <c r="M183" s="2" t="s">
        <v>417</v>
      </c>
      <c r="N183" s="2" t="s">
        <v>418</v>
      </c>
      <c r="O183" s="2" t="s">
        <v>100</v>
      </c>
      <c r="P183" s="2" t="str">
        <f>"2170585120                    "</f>
        <v xml:space="preserve">2170585120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4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1</v>
      </c>
      <c r="BJ183" s="2">
        <v>0.2</v>
      </c>
      <c r="BK183" s="2">
        <v>1</v>
      </c>
      <c r="BL183" s="2">
        <v>41.44</v>
      </c>
      <c r="BM183" s="2">
        <v>5.8</v>
      </c>
      <c r="BN183" s="2">
        <v>47.24</v>
      </c>
      <c r="BO183" s="2">
        <v>47.24</v>
      </c>
      <c r="BP183" s="2"/>
      <c r="BQ183" s="2" t="s">
        <v>108</v>
      </c>
      <c r="BR183" s="2" t="s">
        <v>84</v>
      </c>
      <c r="BS183" s="3">
        <v>42963</v>
      </c>
      <c r="BT183" s="4">
        <v>0.48958333333333331</v>
      </c>
      <c r="BU183" s="2" t="s">
        <v>601</v>
      </c>
      <c r="BV183" s="2" t="s">
        <v>95</v>
      </c>
      <c r="BW183" s="2"/>
      <c r="BX183" s="2"/>
      <c r="BY183" s="2">
        <v>1200</v>
      </c>
      <c r="BZ183" s="2"/>
      <c r="CA183" s="2" t="s">
        <v>460</v>
      </c>
      <c r="CB183" s="2"/>
      <c r="CC183" s="2" t="s">
        <v>417</v>
      </c>
      <c r="CD183" s="2">
        <v>7646</v>
      </c>
      <c r="CE183" s="2" t="s">
        <v>104</v>
      </c>
      <c r="CF183" s="5">
        <v>42963</v>
      </c>
      <c r="CG183" s="2"/>
      <c r="CH183" s="2"/>
      <c r="CI183" s="2">
        <v>1</v>
      </c>
      <c r="CJ183" s="2">
        <v>1</v>
      </c>
      <c r="CK183" s="2">
        <v>21</v>
      </c>
      <c r="CL183" s="2" t="s">
        <v>86</v>
      </c>
      <c r="CM183" s="2"/>
    </row>
    <row r="184" spans="1:91">
      <c r="A184" s="2" t="s">
        <v>71</v>
      </c>
      <c r="B184" s="2" t="s">
        <v>72</v>
      </c>
      <c r="C184" s="2" t="s">
        <v>73</v>
      </c>
      <c r="D184" s="2"/>
      <c r="E184" s="2" t="str">
        <f>"FES1162568998"</f>
        <v>FES1162568998</v>
      </c>
      <c r="F184" s="3">
        <v>42962</v>
      </c>
      <c r="G184" s="2">
        <v>201802</v>
      </c>
      <c r="H184" s="2" t="s">
        <v>74</v>
      </c>
      <c r="I184" s="2" t="s">
        <v>75</v>
      </c>
      <c r="J184" s="2" t="s">
        <v>76</v>
      </c>
      <c r="K184" s="2" t="s">
        <v>77</v>
      </c>
      <c r="L184" s="2" t="s">
        <v>539</v>
      </c>
      <c r="M184" s="2" t="s">
        <v>540</v>
      </c>
      <c r="N184" s="2" t="s">
        <v>602</v>
      </c>
      <c r="O184" s="2" t="s">
        <v>100</v>
      </c>
      <c r="P184" s="2" t="str">
        <f>"2170582132                    "</f>
        <v xml:space="preserve">2170582132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3.13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1</v>
      </c>
      <c r="BJ184" s="2">
        <v>0.2</v>
      </c>
      <c r="BK184" s="2">
        <v>1</v>
      </c>
      <c r="BL184" s="2">
        <v>32.380000000000003</v>
      </c>
      <c r="BM184" s="2">
        <v>4.53</v>
      </c>
      <c r="BN184" s="2">
        <v>36.909999999999997</v>
      </c>
      <c r="BO184" s="2">
        <v>36.909999999999997</v>
      </c>
      <c r="BP184" s="2"/>
      <c r="BQ184" s="2" t="s">
        <v>83</v>
      </c>
      <c r="BR184" s="2" t="s">
        <v>84</v>
      </c>
      <c r="BS184" s="3">
        <v>42963</v>
      </c>
      <c r="BT184" s="4">
        <v>0.43402777777777773</v>
      </c>
      <c r="BU184" s="2" t="s">
        <v>603</v>
      </c>
      <c r="BV184" s="2" t="s">
        <v>95</v>
      </c>
      <c r="BW184" s="2"/>
      <c r="BX184" s="2"/>
      <c r="BY184" s="2">
        <v>1200</v>
      </c>
      <c r="BZ184" s="2" t="s">
        <v>27</v>
      </c>
      <c r="CA184" s="2" t="s">
        <v>200</v>
      </c>
      <c r="CB184" s="2"/>
      <c r="CC184" s="2" t="s">
        <v>540</v>
      </c>
      <c r="CD184" s="2">
        <v>2162</v>
      </c>
      <c r="CE184" s="2" t="s">
        <v>104</v>
      </c>
      <c r="CF184" s="5">
        <v>42964</v>
      </c>
      <c r="CG184" s="2"/>
      <c r="CH184" s="2"/>
      <c r="CI184" s="2">
        <v>1</v>
      </c>
      <c r="CJ184" s="2">
        <v>1</v>
      </c>
      <c r="CK184" s="2">
        <v>22</v>
      </c>
      <c r="CL184" s="2" t="s">
        <v>86</v>
      </c>
      <c r="CM184" s="2"/>
    </row>
    <row r="185" spans="1:91">
      <c r="A185" s="2" t="s">
        <v>71</v>
      </c>
      <c r="B185" s="2" t="s">
        <v>72</v>
      </c>
      <c r="C185" s="2" t="s">
        <v>73</v>
      </c>
      <c r="D185" s="2"/>
      <c r="E185" s="2" t="str">
        <f>"FES1162569024"</f>
        <v>FES1162569024</v>
      </c>
      <c r="F185" s="3">
        <v>42962</v>
      </c>
      <c r="G185" s="2">
        <v>201802</v>
      </c>
      <c r="H185" s="2" t="s">
        <v>74</v>
      </c>
      <c r="I185" s="2" t="s">
        <v>75</v>
      </c>
      <c r="J185" s="2" t="s">
        <v>76</v>
      </c>
      <c r="K185" s="2" t="s">
        <v>77</v>
      </c>
      <c r="L185" s="2" t="s">
        <v>604</v>
      </c>
      <c r="M185" s="2" t="s">
        <v>605</v>
      </c>
      <c r="N185" s="2" t="s">
        <v>391</v>
      </c>
      <c r="O185" s="2" t="s">
        <v>100</v>
      </c>
      <c r="P185" s="2" t="str">
        <f>"2170581620                    "</f>
        <v xml:space="preserve">2170581620 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19.010000000000002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1</v>
      </c>
      <c r="BI185" s="2">
        <v>9.1</v>
      </c>
      <c r="BJ185" s="2">
        <v>3.3</v>
      </c>
      <c r="BK185" s="2">
        <v>9.5</v>
      </c>
      <c r="BL185" s="2">
        <v>196.85</v>
      </c>
      <c r="BM185" s="2">
        <v>27.56</v>
      </c>
      <c r="BN185" s="2">
        <v>224.41</v>
      </c>
      <c r="BO185" s="2">
        <v>224.41</v>
      </c>
      <c r="BP185" s="2"/>
      <c r="BQ185" s="2" t="s">
        <v>108</v>
      </c>
      <c r="BR185" s="2" t="s">
        <v>84</v>
      </c>
      <c r="BS185" s="3">
        <v>42963</v>
      </c>
      <c r="BT185" s="4">
        <v>0.4236111111111111</v>
      </c>
      <c r="BU185" s="2" t="s">
        <v>606</v>
      </c>
      <c r="BV185" s="2" t="s">
        <v>95</v>
      </c>
      <c r="BW185" s="2"/>
      <c r="BX185" s="2"/>
      <c r="BY185" s="2">
        <v>16266.38</v>
      </c>
      <c r="BZ185" s="2"/>
      <c r="CA185" s="2" t="s">
        <v>607</v>
      </c>
      <c r="CB185" s="2"/>
      <c r="CC185" s="2" t="s">
        <v>605</v>
      </c>
      <c r="CD185" s="2">
        <v>4126</v>
      </c>
      <c r="CE185" s="2" t="s">
        <v>89</v>
      </c>
      <c r="CF185" s="5">
        <v>42964</v>
      </c>
      <c r="CG185" s="2"/>
      <c r="CH185" s="2"/>
      <c r="CI185" s="2">
        <v>1</v>
      </c>
      <c r="CJ185" s="2">
        <v>1</v>
      </c>
      <c r="CK185" s="2">
        <v>21</v>
      </c>
      <c r="CL185" s="2" t="s">
        <v>86</v>
      </c>
      <c r="CM185" s="2"/>
    </row>
    <row r="186" spans="1:91">
      <c r="A186" s="2" t="s">
        <v>71</v>
      </c>
      <c r="B186" s="2" t="s">
        <v>72</v>
      </c>
      <c r="C186" s="2" t="s">
        <v>73</v>
      </c>
      <c r="D186" s="2"/>
      <c r="E186" s="2" t="str">
        <f>"FES1162568831"</f>
        <v>FES1162568831</v>
      </c>
      <c r="F186" s="3">
        <v>42962</v>
      </c>
      <c r="G186" s="2">
        <v>201802</v>
      </c>
      <c r="H186" s="2" t="s">
        <v>74</v>
      </c>
      <c r="I186" s="2" t="s">
        <v>75</v>
      </c>
      <c r="J186" s="2" t="s">
        <v>76</v>
      </c>
      <c r="K186" s="2" t="s">
        <v>77</v>
      </c>
      <c r="L186" s="2" t="s">
        <v>97</v>
      </c>
      <c r="M186" s="2" t="s">
        <v>98</v>
      </c>
      <c r="N186" s="2" t="s">
        <v>608</v>
      </c>
      <c r="O186" s="2" t="s">
        <v>100</v>
      </c>
      <c r="P186" s="2" t="str">
        <f>"2170582392                    "</f>
        <v xml:space="preserve">2170582392 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4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1</v>
      </c>
      <c r="BI186" s="2">
        <v>1</v>
      </c>
      <c r="BJ186" s="2">
        <v>0.2</v>
      </c>
      <c r="BK186" s="2">
        <v>1</v>
      </c>
      <c r="BL186" s="2">
        <v>41.44</v>
      </c>
      <c r="BM186" s="2">
        <v>5.8</v>
      </c>
      <c r="BN186" s="2">
        <v>47.24</v>
      </c>
      <c r="BO186" s="2">
        <v>47.24</v>
      </c>
      <c r="BP186" s="2"/>
      <c r="BQ186" s="2" t="s">
        <v>288</v>
      </c>
      <c r="BR186" s="2" t="s">
        <v>84</v>
      </c>
      <c r="BS186" s="3">
        <v>42963</v>
      </c>
      <c r="BT186" s="4">
        <v>0.33333333333333331</v>
      </c>
      <c r="BU186" s="2" t="s">
        <v>609</v>
      </c>
      <c r="BV186" s="2" t="s">
        <v>95</v>
      </c>
      <c r="BW186" s="2"/>
      <c r="BX186" s="2"/>
      <c r="BY186" s="2">
        <v>1200</v>
      </c>
      <c r="BZ186" s="2" t="s">
        <v>27</v>
      </c>
      <c r="CA186" s="2" t="s">
        <v>294</v>
      </c>
      <c r="CB186" s="2"/>
      <c r="CC186" s="2" t="s">
        <v>98</v>
      </c>
      <c r="CD186" s="2">
        <v>6001</v>
      </c>
      <c r="CE186" s="2" t="s">
        <v>104</v>
      </c>
      <c r="CF186" s="5">
        <v>42964</v>
      </c>
      <c r="CG186" s="2"/>
      <c r="CH186" s="2"/>
      <c r="CI186" s="2">
        <v>1</v>
      </c>
      <c r="CJ186" s="2">
        <v>1</v>
      </c>
      <c r="CK186" s="2">
        <v>21</v>
      </c>
      <c r="CL186" s="2" t="s">
        <v>86</v>
      </c>
      <c r="CM186" s="2"/>
    </row>
    <row r="187" spans="1:91">
      <c r="A187" s="2" t="s">
        <v>71</v>
      </c>
      <c r="B187" s="2" t="s">
        <v>72</v>
      </c>
      <c r="C187" s="2" t="s">
        <v>73</v>
      </c>
      <c r="D187" s="2"/>
      <c r="E187" s="2" t="str">
        <f>"FES1162568870"</f>
        <v>FES1162568870</v>
      </c>
      <c r="F187" s="3">
        <v>42962</v>
      </c>
      <c r="G187" s="2">
        <v>201802</v>
      </c>
      <c r="H187" s="2" t="s">
        <v>74</v>
      </c>
      <c r="I187" s="2" t="s">
        <v>75</v>
      </c>
      <c r="J187" s="2" t="s">
        <v>76</v>
      </c>
      <c r="K187" s="2" t="s">
        <v>77</v>
      </c>
      <c r="L187" s="2" t="s">
        <v>97</v>
      </c>
      <c r="M187" s="2" t="s">
        <v>98</v>
      </c>
      <c r="N187" s="2" t="s">
        <v>610</v>
      </c>
      <c r="O187" s="2" t="s">
        <v>100</v>
      </c>
      <c r="P187" s="2" t="str">
        <f>"2170584926                    "</f>
        <v xml:space="preserve">2170584926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4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1</v>
      </c>
      <c r="BJ187" s="2">
        <v>0.2</v>
      </c>
      <c r="BK187" s="2">
        <v>1</v>
      </c>
      <c r="BL187" s="2">
        <v>41.44</v>
      </c>
      <c r="BM187" s="2">
        <v>5.8</v>
      </c>
      <c r="BN187" s="2">
        <v>47.24</v>
      </c>
      <c r="BO187" s="2">
        <v>47.24</v>
      </c>
      <c r="BP187" s="2"/>
      <c r="BQ187" s="2" t="s">
        <v>83</v>
      </c>
      <c r="BR187" s="2" t="s">
        <v>84</v>
      </c>
      <c r="BS187" s="3">
        <v>42963</v>
      </c>
      <c r="BT187" s="4">
        <v>0.3611111111111111</v>
      </c>
      <c r="BU187" s="2" t="s">
        <v>611</v>
      </c>
      <c r="BV187" s="2" t="s">
        <v>95</v>
      </c>
      <c r="BW187" s="2"/>
      <c r="BX187" s="2"/>
      <c r="BY187" s="2">
        <v>1200</v>
      </c>
      <c r="BZ187" s="2" t="s">
        <v>27</v>
      </c>
      <c r="CA187" s="2" t="s">
        <v>294</v>
      </c>
      <c r="CB187" s="2"/>
      <c r="CC187" s="2" t="s">
        <v>98</v>
      </c>
      <c r="CD187" s="2">
        <v>6001</v>
      </c>
      <c r="CE187" s="2" t="s">
        <v>104</v>
      </c>
      <c r="CF187" s="5">
        <v>42964</v>
      </c>
      <c r="CG187" s="2"/>
      <c r="CH187" s="2"/>
      <c r="CI187" s="2">
        <v>1</v>
      </c>
      <c r="CJ187" s="2">
        <v>1</v>
      </c>
      <c r="CK187" s="2">
        <v>21</v>
      </c>
      <c r="CL187" s="2" t="s">
        <v>86</v>
      </c>
      <c r="CM187" s="2"/>
    </row>
    <row r="188" spans="1:91">
      <c r="A188" s="2" t="s">
        <v>71</v>
      </c>
      <c r="B188" s="2" t="s">
        <v>72</v>
      </c>
      <c r="C188" s="2" t="s">
        <v>73</v>
      </c>
      <c r="D188" s="2"/>
      <c r="E188" s="2" t="str">
        <f>"FES1162569099"</f>
        <v>FES1162569099</v>
      </c>
      <c r="F188" s="3">
        <v>42962</v>
      </c>
      <c r="G188" s="2">
        <v>201802</v>
      </c>
      <c r="H188" s="2" t="s">
        <v>74</v>
      </c>
      <c r="I188" s="2" t="s">
        <v>75</v>
      </c>
      <c r="J188" s="2" t="s">
        <v>76</v>
      </c>
      <c r="K188" s="2" t="s">
        <v>77</v>
      </c>
      <c r="L188" s="2" t="s">
        <v>97</v>
      </c>
      <c r="M188" s="2" t="s">
        <v>98</v>
      </c>
      <c r="N188" s="2" t="s">
        <v>119</v>
      </c>
      <c r="O188" s="2" t="s">
        <v>100</v>
      </c>
      <c r="P188" s="2" t="str">
        <f>"2170584394                    "</f>
        <v xml:space="preserve">2170584394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33.020000000000003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16.2</v>
      </c>
      <c r="BJ188" s="2">
        <v>6.7</v>
      </c>
      <c r="BK188" s="2">
        <v>16.5</v>
      </c>
      <c r="BL188" s="2">
        <v>341.9</v>
      </c>
      <c r="BM188" s="2">
        <v>47.87</v>
      </c>
      <c r="BN188" s="2">
        <v>389.77</v>
      </c>
      <c r="BO188" s="2">
        <v>389.77</v>
      </c>
      <c r="BP188" s="2"/>
      <c r="BQ188" s="2" t="s">
        <v>108</v>
      </c>
      <c r="BR188" s="2" t="s">
        <v>84</v>
      </c>
      <c r="BS188" s="3">
        <v>42963</v>
      </c>
      <c r="BT188" s="4">
        <v>0.32916666666666666</v>
      </c>
      <c r="BU188" s="2" t="s">
        <v>612</v>
      </c>
      <c r="BV188" s="2" t="s">
        <v>95</v>
      </c>
      <c r="BW188" s="2"/>
      <c r="BX188" s="2"/>
      <c r="BY188" s="2">
        <v>33463.25</v>
      </c>
      <c r="BZ188" s="2"/>
      <c r="CA188" s="2" t="s">
        <v>286</v>
      </c>
      <c r="CB188" s="2"/>
      <c r="CC188" s="2" t="s">
        <v>98</v>
      </c>
      <c r="CD188" s="2">
        <v>6001</v>
      </c>
      <c r="CE188" s="2" t="s">
        <v>135</v>
      </c>
      <c r="CF188" s="5">
        <v>42964</v>
      </c>
      <c r="CG188" s="2"/>
      <c r="CH188" s="2"/>
      <c r="CI188" s="2">
        <v>1</v>
      </c>
      <c r="CJ188" s="2">
        <v>1</v>
      </c>
      <c r="CK188" s="2">
        <v>21</v>
      </c>
      <c r="CL188" s="2" t="s">
        <v>86</v>
      </c>
      <c r="CM188" s="2"/>
    </row>
    <row r="189" spans="1:91">
      <c r="A189" s="2" t="s">
        <v>71</v>
      </c>
      <c r="B189" s="2" t="s">
        <v>72</v>
      </c>
      <c r="C189" s="2" t="s">
        <v>73</v>
      </c>
      <c r="D189" s="2"/>
      <c r="E189" s="2" t="str">
        <f>"FES1162568641"</f>
        <v>FES1162568641</v>
      </c>
      <c r="F189" s="3">
        <v>42962</v>
      </c>
      <c r="G189" s="2">
        <v>201802</v>
      </c>
      <c r="H189" s="2" t="s">
        <v>74</v>
      </c>
      <c r="I189" s="2" t="s">
        <v>75</v>
      </c>
      <c r="J189" s="2" t="s">
        <v>76</v>
      </c>
      <c r="K189" s="2" t="s">
        <v>77</v>
      </c>
      <c r="L189" s="2" t="s">
        <v>339</v>
      </c>
      <c r="M189" s="2" t="s">
        <v>340</v>
      </c>
      <c r="N189" s="2" t="s">
        <v>613</v>
      </c>
      <c r="O189" s="2" t="s">
        <v>81</v>
      </c>
      <c r="P189" s="2" t="str">
        <f>"2170577612                    "</f>
        <v xml:space="preserve">2170577612 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13.27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36</v>
      </c>
      <c r="BJ189" s="2">
        <v>18.7</v>
      </c>
      <c r="BK189" s="2">
        <v>36</v>
      </c>
      <c r="BL189" s="2">
        <v>142.44</v>
      </c>
      <c r="BM189" s="2">
        <v>19.940000000000001</v>
      </c>
      <c r="BN189" s="2">
        <v>162.38</v>
      </c>
      <c r="BO189" s="2">
        <v>162.38</v>
      </c>
      <c r="BP189" s="2"/>
      <c r="BQ189" s="2" t="s">
        <v>365</v>
      </c>
      <c r="BR189" s="2" t="s">
        <v>84</v>
      </c>
      <c r="BS189" s="3">
        <v>42963</v>
      </c>
      <c r="BT189" s="4">
        <v>0.54027777777777775</v>
      </c>
      <c r="BU189" s="2" t="s">
        <v>614</v>
      </c>
      <c r="BV189" s="2" t="s">
        <v>95</v>
      </c>
      <c r="BW189" s="2"/>
      <c r="BX189" s="2"/>
      <c r="BY189" s="2">
        <v>93600</v>
      </c>
      <c r="BZ189" s="2"/>
      <c r="CA189" s="2" t="s">
        <v>615</v>
      </c>
      <c r="CB189" s="2"/>
      <c r="CC189" s="2" t="s">
        <v>340</v>
      </c>
      <c r="CD189" s="2">
        <v>1947</v>
      </c>
      <c r="CE189" s="2" t="s">
        <v>89</v>
      </c>
      <c r="CF189" s="5">
        <v>42964</v>
      </c>
      <c r="CG189" s="2"/>
      <c r="CH189" s="2"/>
      <c r="CI189" s="2">
        <v>1</v>
      </c>
      <c r="CJ189" s="2">
        <v>1</v>
      </c>
      <c r="CK189" s="2" t="s">
        <v>163</v>
      </c>
      <c r="CL189" s="2" t="s">
        <v>86</v>
      </c>
      <c r="CM189" s="2"/>
    </row>
    <row r="190" spans="1:91">
      <c r="A190" s="2" t="s">
        <v>71</v>
      </c>
      <c r="B190" s="2" t="s">
        <v>72</v>
      </c>
      <c r="C190" s="2" t="s">
        <v>73</v>
      </c>
      <c r="D190" s="2"/>
      <c r="E190" s="2" t="str">
        <f>"FES1162568907"</f>
        <v>FES1162568907</v>
      </c>
      <c r="F190" s="3">
        <v>42962</v>
      </c>
      <c r="G190" s="2">
        <v>201802</v>
      </c>
      <c r="H190" s="2" t="s">
        <v>74</v>
      </c>
      <c r="I190" s="2" t="s">
        <v>75</v>
      </c>
      <c r="J190" s="2" t="s">
        <v>76</v>
      </c>
      <c r="K190" s="2" t="s">
        <v>77</v>
      </c>
      <c r="L190" s="2" t="s">
        <v>97</v>
      </c>
      <c r="M190" s="2" t="s">
        <v>98</v>
      </c>
      <c r="N190" s="2" t="s">
        <v>500</v>
      </c>
      <c r="O190" s="2" t="s">
        <v>81</v>
      </c>
      <c r="P190" s="2" t="str">
        <f>"2170582376                    "</f>
        <v xml:space="preserve">2170582376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13.1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28.2</v>
      </c>
      <c r="BJ190" s="2">
        <v>18</v>
      </c>
      <c r="BK190" s="2">
        <v>29</v>
      </c>
      <c r="BL190" s="2">
        <v>140.66</v>
      </c>
      <c r="BM190" s="2">
        <v>19.690000000000001</v>
      </c>
      <c r="BN190" s="2">
        <v>160.35</v>
      </c>
      <c r="BO190" s="2">
        <v>160.35</v>
      </c>
      <c r="BP190" s="2"/>
      <c r="BQ190" s="2" t="s">
        <v>108</v>
      </c>
      <c r="BR190" s="2" t="s">
        <v>84</v>
      </c>
      <c r="BS190" s="3">
        <v>42965</v>
      </c>
      <c r="BT190" s="4">
        <v>0.3527777777777778</v>
      </c>
      <c r="BU190" s="2" t="s">
        <v>616</v>
      </c>
      <c r="BV190" s="2" t="s">
        <v>86</v>
      </c>
      <c r="BW190" s="2" t="s">
        <v>115</v>
      </c>
      <c r="BX190" s="2" t="s">
        <v>617</v>
      </c>
      <c r="BY190" s="2">
        <v>90223.42</v>
      </c>
      <c r="BZ190" s="2"/>
      <c r="CA190" s="2" t="s">
        <v>618</v>
      </c>
      <c r="CB190" s="2"/>
      <c r="CC190" s="2" t="s">
        <v>98</v>
      </c>
      <c r="CD190" s="2">
        <v>6001</v>
      </c>
      <c r="CE190" s="2" t="s">
        <v>89</v>
      </c>
      <c r="CF190" s="5">
        <v>42968</v>
      </c>
      <c r="CG190" s="2"/>
      <c r="CH190" s="2"/>
      <c r="CI190" s="2">
        <v>2</v>
      </c>
      <c r="CJ190" s="2">
        <v>3</v>
      </c>
      <c r="CK190" s="2" t="s">
        <v>136</v>
      </c>
      <c r="CL190" s="2" t="s">
        <v>86</v>
      </c>
      <c r="CM190" s="2"/>
    </row>
    <row r="191" spans="1:91">
      <c r="A191" s="2" t="s">
        <v>71</v>
      </c>
      <c r="B191" s="2" t="s">
        <v>72</v>
      </c>
      <c r="C191" s="2" t="s">
        <v>73</v>
      </c>
      <c r="D191" s="2"/>
      <c r="E191" s="2" t="str">
        <f>"FES1162569027"</f>
        <v>FES1162569027</v>
      </c>
      <c r="F191" s="3">
        <v>42962</v>
      </c>
      <c r="G191" s="2">
        <v>201802</v>
      </c>
      <c r="H191" s="2" t="s">
        <v>74</v>
      </c>
      <c r="I191" s="2" t="s">
        <v>75</v>
      </c>
      <c r="J191" s="2" t="s">
        <v>76</v>
      </c>
      <c r="K191" s="2" t="s">
        <v>77</v>
      </c>
      <c r="L191" s="2" t="s">
        <v>97</v>
      </c>
      <c r="M191" s="2" t="s">
        <v>98</v>
      </c>
      <c r="N191" s="2" t="s">
        <v>500</v>
      </c>
      <c r="O191" s="2" t="s">
        <v>81</v>
      </c>
      <c r="P191" s="2" t="str">
        <f>"2170582376                    "</f>
        <v xml:space="preserve">2170582376 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11.7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25</v>
      </c>
      <c r="BJ191" s="2">
        <v>17.899999999999999</v>
      </c>
      <c r="BK191" s="2">
        <v>25</v>
      </c>
      <c r="BL191" s="2">
        <v>126.14</v>
      </c>
      <c r="BM191" s="2">
        <v>17.66</v>
      </c>
      <c r="BN191" s="2">
        <v>143.80000000000001</v>
      </c>
      <c r="BO191" s="2">
        <v>143.80000000000001</v>
      </c>
      <c r="BP191" s="2"/>
      <c r="BQ191" s="2" t="s">
        <v>108</v>
      </c>
      <c r="BR191" s="2" t="s">
        <v>84</v>
      </c>
      <c r="BS191" s="3">
        <v>42965</v>
      </c>
      <c r="BT191" s="4">
        <v>0.34722222222222227</v>
      </c>
      <c r="BU191" s="2" t="s">
        <v>616</v>
      </c>
      <c r="BV191" s="2" t="s">
        <v>86</v>
      </c>
      <c r="BW191" s="2" t="s">
        <v>115</v>
      </c>
      <c r="BX191" s="2" t="s">
        <v>617</v>
      </c>
      <c r="BY191" s="2">
        <v>89591.23</v>
      </c>
      <c r="BZ191" s="2"/>
      <c r="CA191" s="2" t="s">
        <v>618</v>
      </c>
      <c r="CB191" s="2"/>
      <c r="CC191" s="2" t="s">
        <v>98</v>
      </c>
      <c r="CD191" s="2">
        <v>6001</v>
      </c>
      <c r="CE191" s="2" t="s">
        <v>89</v>
      </c>
      <c r="CF191" s="5">
        <v>42968</v>
      </c>
      <c r="CG191" s="2"/>
      <c r="CH191" s="2"/>
      <c r="CI191" s="2">
        <v>2</v>
      </c>
      <c r="CJ191" s="2">
        <v>3</v>
      </c>
      <c r="CK191" s="2" t="s">
        <v>136</v>
      </c>
      <c r="CL191" s="2" t="s">
        <v>86</v>
      </c>
      <c r="CM191" s="2"/>
    </row>
    <row r="192" spans="1:91">
      <c r="A192" s="2" t="s">
        <v>71</v>
      </c>
      <c r="B192" s="2" t="s">
        <v>72</v>
      </c>
      <c r="C192" s="2" t="s">
        <v>73</v>
      </c>
      <c r="D192" s="2"/>
      <c r="E192" s="2" t="str">
        <f>"FES1162569036"</f>
        <v>FES1162569036</v>
      </c>
      <c r="F192" s="3">
        <v>42962</v>
      </c>
      <c r="G192" s="2">
        <v>201802</v>
      </c>
      <c r="H192" s="2" t="s">
        <v>74</v>
      </c>
      <c r="I192" s="2" t="s">
        <v>75</v>
      </c>
      <c r="J192" s="2" t="s">
        <v>76</v>
      </c>
      <c r="K192" s="2" t="s">
        <v>77</v>
      </c>
      <c r="L192" s="2" t="s">
        <v>619</v>
      </c>
      <c r="M192" s="2" t="s">
        <v>620</v>
      </c>
      <c r="N192" s="2" t="s">
        <v>621</v>
      </c>
      <c r="O192" s="2" t="s">
        <v>81</v>
      </c>
      <c r="P192" s="2" t="str">
        <f>"2170585026                    "</f>
        <v xml:space="preserve">2170585026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12.17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2</v>
      </c>
      <c r="BI192" s="2">
        <v>31.8</v>
      </c>
      <c r="BJ192" s="2">
        <v>10.4</v>
      </c>
      <c r="BK192" s="2">
        <v>32</v>
      </c>
      <c r="BL192" s="2">
        <v>131.06</v>
      </c>
      <c r="BM192" s="2">
        <v>18.350000000000001</v>
      </c>
      <c r="BN192" s="2">
        <v>149.41</v>
      </c>
      <c r="BO192" s="2">
        <v>149.41</v>
      </c>
      <c r="BP192" s="2"/>
      <c r="BQ192" s="2" t="s">
        <v>288</v>
      </c>
      <c r="BR192" s="2" t="s">
        <v>84</v>
      </c>
      <c r="BS192" s="3">
        <v>42970</v>
      </c>
      <c r="BT192" s="4">
        <v>0.58333333333333337</v>
      </c>
      <c r="BU192" s="2" t="s">
        <v>622</v>
      </c>
      <c r="BV192" s="2"/>
      <c r="BW192" s="2" t="s">
        <v>124</v>
      </c>
      <c r="BX192" s="2" t="s">
        <v>623</v>
      </c>
      <c r="BY192" s="2">
        <v>51987.75</v>
      </c>
      <c r="BZ192" s="2"/>
      <c r="CA192" s="2"/>
      <c r="CB192" s="2"/>
      <c r="CC192" s="2" t="s">
        <v>620</v>
      </c>
      <c r="CD192" s="2">
        <v>1000</v>
      </c>
      <c r="CE192" s="2" t="s">
        <v>89</v>
      </c>
      <c r="CF192" s="5">
        <v>42971</v>
      </c>
      <c r="CG192" s="2"/>
      <c r="CH192" s="2"/>
      <c r="CI192" s="2">
        <v>0</v>
      </c>
      <c r="CJ192" s="2">
        <v>0</v>
      </c>
      <c r="CK192" s="2" t="s">
        <v>163</v>
      </c>
      <c r="CL192" s="2" t="s">
        <v>86</v>
      </c>
      <c r="CM192" s="2"/>
    </row>
    <row r="193" spans="1:91">
      <c r="A193" s="2" t="s">
        <v>71</v>
      </c>
      <c r="B193" s="2" t="s">
        <v>72</v>
      </c>
      <c r="C193" s="2" t="s">
        <v>73</v>
      </c>
      <c r="D193" s="2"/>
      <c r="E193" s="2" t="str">
        <f>"FES1162568937"</f>
        <v>FES1162568937</v>
      </c>
      <c r="F193" s="3">
        <v>42962</v>
      </c>
      <c r="G193" s="2">
        <v>201802</v>
      </c>
      <c r="H193" s="2" t="s">
        <v>74</v>
      </c>
      <c r="I193" s="2" t="s">
        <v>75</v>
      </c>
      <c r="J193" s="2" t="s">
        <v>76</v>
      </c>
      <c r="K193" s="2" t="s">
        <v>77</v>
      </c>
      <c r="L193" s="2" t="s">
        <v>362</v>
      </c>
      <c r="M193" s="2" t="s">
        <v>363</v>
      </c>
      <c r="N193" s="2" t="s">
        <v>564</v>
      </c>
      <c r="O193" s="2" t="s">
        <v>81</v>
      </c>
      <c r="P193" s="2" t="str">
        <f>"2170584940                    "</f>
        <v xml:space="preserve">2170584940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8.1300000000000008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4.9000000000000004</v>
      </c>
      <c r="BJ193" s="2">
        <v>2.6</v>
      </c>
      <c r="BK193" s="2">
        <v>5</v>
      </c>
      <c r="BL193" s="2">
        <v>89.18</v>
      </c>
      <c r="BM193" s="2">
        <v>12.49</v>
      </c>
      <c r="BN193" s="2">
        <v>101.67</v>
      </c>
      <c r="BO193" s="2">
        <v>101.67</v>
      </c>
      <c r="BP193" s="2"/>
      <c r="BQ193" s="2" t="s">
        <v>288</v>
      </c>
      <c r="BR193" s="2" t="s">
        <v>84</v>
      </c>
      <c r="BS193" s="3">
        <v>42963</v>
      </c>
      <c r="BT193" s="4">
        <v>0.53749999999999998</v>
      </c>
      <c r="BU193" s="2" t="s">
        <v>565</v>
      </c>
      <c r="BV193" s="2" t="s">
        <v>95</v>
      </c>
      <c r="BW193" s="2"/>
      <c r="BX193" s="2"/>
      <c r="BY193" s="2">
        <v>13085.05</v>
      </c>
      <c r="BZ193" s="2"/>
      <c r="CA193" s="2" t="s">
        <v>566</v>
      </c>
      <c r="CB193" s="2"/>
      <c r="CC193" s="2" t="s">
        <v>363</v>
      </c>
      <c r="CD193" s="2">
        <v>3201</v>
      </c>
      <c r="CE193" s="2" t="s">
        <v>89</v>
      </c>
      <c r="CF193" s="5">
        <v>42965</v>
      </c>
      <c r="CG193" s="2"/>
      <c r="CH193" s="2"/>
      <c r="CI193" s="2">
        <v>1</v>
      </c>
      <c r="CJ193" s="2">
        <v>1</v>
      </c>
      <c r="CK193" s="2" t="s">
        <v>624</v>
      </c>
      <c r="CL193" s="2" t="s">
        <v>86</v>
      </c>
      <c r="CM193" s="2"/>
    </row>
    <row r="194" spans="1:91">
      <c r="A194" s="2" t="s">
        <v>71</v>
      </c>
      <c r="B194" s="2" t="s">
        <v>72</v>
      </c>
      <c r="C194" s="2" t="s">
        <v>73</v>
      </c>
      <c r="D194" s="2"/>
      <c r="E194" s="2" t="str">
        <f>"FES1162568903"</f>
        <v>FES1162568903</v>
      </c>
      <c r="F194" s="3">
        <v>42962</v>
      </c>
      <c r="G194" s="2">
        <v>201802</v>
      </c>
      <c r="H194" s="2" t="s">
        <v>74</v>
      </c>
      <c r="I194" s="2" t="s">
        <v>75</v>
      </c>
      <c r="J194" s="2" t="s">
        <v>76</v>
      </c>
      <c r="K194" s="2" t="s">
        <v>77</v>
      </c>
      <c r="L194" s="2" t="s">
        <v>97</v>
      </c>
      <c r="M194" s="2" t="s">
        <v>98</v>
      </c>
      <c r="N194" s="2" t="s">
        <v>625</v>
      </c>
      <c r="O194" s="2" t="s">
        <v>81</v>
      </c>
      <c r="P194" s="2" t="str">
        <f>"2170582282                    "</f>
        <v xml:space="preserve">2170582282         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9.9499999999999993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19.8</v>
      </c>
      <c r="BJ194" s="2">
        <v>8.6999999999999993</v>
      </c>
      <c r="BK194" s="2">
        <v>20</v>
      </c>
      <c r="BL194" s="2">
        <v>107.99</v>
      </c>
      <c r="BM194" s="2">
        <v>15.12</v>
      </c>
      <c r="BN194" s="2">
        <v>123.11</v>
      </c>
      <c r="BO194" s="2">
        <v>123.11</v>
      </c>
      <c r="BP194" s="2"/>
      <c r="BQ194" s="2" t="s">
        <v>108</v>
      </c>
      <c r="BR194" s="2" t="s">
        <v>84</v>
      </c>
      <c r="BS194" s="3">
        <v>42965</v>
      </c>
      <c r="BT194" s="4">
        <v>0.375</v>
      </c>
      <c r="BU194" s="2" t="s">
        <v>626</v>
      </c>
      <c r="BV194" s="2" t="s">
        <v>86</v>
      </c>
      <c r="BW194" s="2" t="s">
        <v>115</v>
      </c>
      <c r="BX194" s="2" t="s">
        <v>617</v>
      </c>
      <c r="BY194" s="2">
        <v>43654.34</v>
      </c>
      <c r="BZ194" s="2"/>
      <c r="CA194" s="2" t="s">
        <v>627</v>
      </c>
      <c r="CB194" s="2"/>
      <c r="CC194" s="2" t="s">
        <v>98</v>
      </c>
      <c r="CD194" s="2">
        <v>6001</v>
      </c>
      <c r="CE194" s="2" t="s">
        <v>89</v>
      </c>
      <c r="CF194" s="5">
        <v>42968</v>
      </c>
      <c r="CG194" s="2"/>
      <c r="CH194" s="2"/>
      <c r="CI194" s="2">
        <v>2</v>
      </c>
      <c r="CJ194" s="2">
        <v>3</v>
      </c>
      <c r="CK194" s="2" t="s">
        <v>136</v>
      </c>
      <c r="CL194" s="2" t="s">
        <v>86</v>
      </c>
      <c r="CM194" s="2"/>
    </row>
    <row r="195" spans="1:91">
      <c r="A195" s="2" t="s">
        <v>71</v>
      </c>
      <c r="B195" s="2" t="s">
        <v>72</v>
      </c>
      <c r="C195" s="2" t="s">
        <v>73</v>
      </c>
      <c r="D195" s="2"/>
      <c r="E195" s="2" t="str">
        <f>"080001709325"</f>
        <v>080001709325</v>
      </c>
      <c r="F195" s="3">
        <v>42962</v>
      </c>
      <c r="G195" s="2">
        <v>201802</v>
      </c>
      <c r="H195" s="2" t="s">
        <v>105</v>
      </c>
      <c r="I195" s="2" t="s">
        <v>106</v>
      </c>
      <c r="J195" s="2" t="s">
        <v>628</v>
      </c>
      <c r="K195" s="2" t="s">
        <v>77</v>
      </c>
      <c r="L195" s="2" t="s">
        <v>74</v>
      </c>
      <c r="M195" s="2" t="s">
        <v>75</v>
      </c>
      <c r="N195" s="2" t="s">
        <v>118</v>
      </c>
      <c r="O195" s="2" t="s">
        <v>81</v>
      </c>
      <c r="P195" s="2" t="str">
        <f>"ZA1000659613                  "</f>
        <v xml:space="preserve">ZA1000659613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8.19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2.6</v>
      </c>
      <c r="BJ195" s="2">
        <v>2.5</v>
      </c>
      <c r="BK195" s="2">
        <v>3</v>
      </c>
      <c r="BL195" s="2">
        <v>89.83</v>
      </c>
      <c r="BM195" s="2">
        <v>12.58</v>
      </c>
      <c r="BN195" s="2">
        <v>102.41</v>
      </c>
      <c r="BO195" s="2">
        <v>102.41</v>
      </c>
      <c r="BP195" s="2" t="s">
        <v>629</v>
      </c>
      <c r="BQ195" s="2" t="s">
        <v>241</v>
      </c>
      <c r="BR195" s="2" t="s">
        <v>630</v>
      </c>
      <c r="BS195" s="3">
        <v>42964</v>
      </c>
      <c r="BT195" s="4">
        <v>0.50208333333333333</v>
      </c>
      <c r="BU195" s="2" t="s">
        <v>631</v>
      </c>
      <c r="BV195" s="2" t="s">
        <v>95</v>
      </c>
      <c r="BW195" s="2"/>
      <c r="BX195" s="2"/>
      <c r="BY195" s="2">
        <v>12662.48</v>
      </c>
      <c r="BZ195" s="2"/>
      <c r="CA195" s="2"/>
      <c r="CB195" s="2"/>
      <c r="CC195" s="2" t="s">
        <v>75</v>
      </c>
      <c r="CD195" s="2">
        <v>1600</v>
      </c>
      <c r="CE195" s="2" t="s">
        <v>89</v>
      </c>
      <c r="CF195" s="5">
        <v>42965</v>
      </c>
      <c r="CG195" s="2"/>
      <c r="CH195" s="2"/>
      <c r="CI195" s="2">
        <v>2</v>
      </c>
      <c r="CJ195" s="2">
        <v>2</v>
      </c>
      <c r="CK195" s="2" t="s">
        <v>136</v>
      </c>
      <c r="CL195" s="2" t="s">
        <v>86</v>
      </c>
      <c r="CM195" s="2"/>
    </row>
    <row r="196" spans="1:91">
      <c r="A196" s="2" t="s">
        <v>71</v>
      </c>
      <c r="B196" s="2" t="s">
        <v>72</v>
      </c>
      <c r="C196" s="2" t="s">
        <v>73</v>
      </c>
      <c r="D196" s="2"/>
      <c r="E196" s="2" t="str">
        <f>"FES11625600535"</f>
        <v>FES11625600535</v>
      </c>
      <c r="F196" s="3">
        <v>42921</v>
      </c>
      <c r="G196" s="2">
        <v>201802</v>
      </c>
      <c r="H196" s="2" t="s">
        <v>74</v>
      </c>
      <c r="I196" s="2" t="s">
        <v>75</v>
      </c>
      <c r="J196" s="2" t="s">
        <v>118</v>
      </c>
      <c r="K196" s="2" t="s">
        <v>77</v>
      </c>
      <c r="L196" s="2" t="s">
        <v>632</v>
      </c>
      <c r="M196" s="2" t="s">
        <v>269</v>
      </c>
      <c r="N196" s="2" t="s">
        <v>633</v>
      </c>
      <c r="O196" s="2" t="s">
        <v>81</v>
      </c>
      <c r="P196" s="2" t="str">
        <f>"2170577230                    "</f>
        <v xml:space="preserve">2170577230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6.24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1</v>
      </c>
      <c r="BI196" s="2">
        <v>5</v>
      </c>
      <c r="BJ196" s="2">
        <v>6.2</v>
      </c>
      <c r="BK196" s="2">
        <v>7</v>
      </c>
      <c r="BL196" s="2">
        <v>75.59</v>
      </c>
      <c r="BM196" s="2">
        <v>10.58</v>
      </c>
      <c r="BN196" s="2">
        <v>86.17</v>
      </c>
      <c r="BO196" s="2">
        <v>86.17</v>
      </c>
      <c r="BP196" s="2"/>
      <c r="BQ196" s="2"/>
      <c r="BR196" s="2" t="s">
        <v>122</v>
      </c>
      <c r="BS196" s="3">
        <v>42922</v>
      </c>
      <c r="BT196" s="4">
        <v>0.41666666666666669</v>
      </c>
      <c r="BU196" s="2" t="s">
        <v>634</v>
      </c>
      <c r="BV196" s="2"/>
      <c r="BW196" s="2"/>
      <c r="BX196" s="2"/>
      <c r="BY196" s="2">
        <v>30859.599999999999</v>
      </c>
      <c r="BZ196" s="2"/>
      <c r="CA196" s="2" t="s">
        <v>148</v>
      </c>
      <c r="CB196" s="2"/>
      <c r="CC196" s="2" t="s">
        <v>269</v>
      </c>
      <c r="CD196" s="2">
        <v>20</v>
      </c>
      <c r="CE196" s="2" t="s">
        <v>89</v>
      </c>
      <c r="CF196" s="5">
        <v>42963</v>
      </c>
      <c r="CG196" s="2"/>
      <c r="CH196" s="2"/>
      <c r="CI196" s="2">
        <v>0</v>
      </c>
      <c r="CJ196" s="2">
        <v>0</v>
      </c>
      <c r="CK196" s="2" t="s">
        <v>143</v>
      </c>
      <c r="CL196" s="2" t="s">
        <v>86</v>
      </c>
      <c r="CM196" s="2"/>
    </row>
    <row r="197" spans="1:91">
      <c r="A197" s="2" t="s">
        <v>71</v>
      </c>
      <c r="B197" s="2" t="s">
        <v>72</v>
      </c>
      <c r="C197" s="2" t="s">
        <v>73</v>
      </c>
      <c r="D197" s="2"/>
      <c r="E197" s="2" t="str">
        <f>"FES1162569183"</f>
        <v>FES1162569183</v>
      </c>
      <c r="F197" s="3">
        <v>42963</v>
      </c>
      <c r="G197" s="2">
        <v>201802</v>
      </c>
      <c r="H197" s="2" t="s">
        <v>74</v>
      </c>
      <c r="I197" s="2" t="s">
        <v>75</v>
      </c>
      <c r="J197" s="2" t="s">
        <v>76</v>
      </c>
      <c r="K197" s="2" t="s">
        <v>77</v>
      </c>
      <c r="L197" s="2" t="s">
        <v>268</v>
      </c>
      <c r="M197" s="2" t="s">
        <v>269</v>
      </c>
      <c r="N197" s="2" t="s">
        <v>635</v>
      </c>
      <c r="O197" s="2" t="s">
        <v>100</v>
      </c>
      <c r="P197" s="2" t="str">
        <f>"2170584914                    "</f>
        <v xml:space="preserve">2170584914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4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1</v>
      </c>
      <c r="BJ197" s="2">
        <v>0.2</v>
      </c>
      <c r="BK197" s="2">
        <v>1</v>
      </c>
      <c r="BL197" s="2">
        <v>41.44</v>
      </c>
      <c r="BM197" s="2">
        <v>5.8</v>
      </c>
      <c r="BN197" s="2">
        <v>47.24</v>
      </c>
      <c r="BO197" s="2">
        <v>47.24</v>
      </c>
      <c r="BP197" s="2"/>
      <c r="BQ197" s="2" t="s">
        <v>636</v>
      </c>
      <c r="BR197" s="2" t="s">
        <v>84</v>
      </c>
      <c r="BS197" s="3">
        <v>42964</v>
      </c>
      <c r="BT197" s="4">
        <v>0.47916666666666669</v>
      </c>
      <c r="BU197" s="2" t="s">
        <v>637</v>
      </c>
      <c r="BV197" s="2" t="s">
        <v>86</v>
      </c>
      <c r="BW197" s="2"/>
      <c r="BX197" s="2"/>
      <c r="BY197" s="2">
        <v>1200</v>
      </c>
      <c r="BZ197" s="2" t="s">
        <v>27</v>
      </c>
      <c r="CA197" s="2" t="s">
        <v>638</v>
      </c>
      <c r="CB197" s="2"/>
      <c r="CC197" s="2" t="s">
        <v>269</v>
      </c>
      <c r="CD197" s="2">
        <v>184</v>
      </c>
      <c r="CE197" s="2" t="s">
        <v>104</v>
      </c>
      <c r="CF197" s="5">
        <v>42965</v>
      </c>
      <c r="CG197" s="2"/>
      <c r="CH197" s="2"/>
      <c r="CI197" s="2">
        <v>1</v>
      </c>
      <c r="CJ197" s="2">
        <v>1</v>
      </c>
      <c r="CK197" s="2">
        <v>21</v>
      </c>
      <c r="CL197" s="2" t="s">
        <v>86</v>
      </c>
      <c r="CM197" s="2"/>
    </row>
    <row r="198" spans="1:91">
      <c r="A198" s="2" t="s">
        <v>71</v>
      </c>
      <c r="B198" s="2" t="s">
        <v>72</v>
      </c>
      <c r="C198" s="2" t="s">
        <v>73</v>
      </c>
      <c r="D198" s="2"/>
      <c r="E198" s="2" t="str">
        <f>"FES1162569164"</f>
        <v>FES1162569164</v>
      </c>
      <c r="F198" s="3">
        <v>42963</v>
      </c>
      <c r="G198" s="2">
        <v>201802</v>
      </c>
      <c r="H198" s="2" t="s">
        <v>74</v>
      </c>
      <c r="I198" s="2" t="s">
        <v>75</v>
      </c>
      <c r="J198" s="2" t="s">
        <v>76</v>
      </c>
      <c r="K198" s="2" t="s">
        <v>77</v>
      </c>
      <c r="L198" s="2" t="s">
        <v>206</v>
      </c>
      <c r="M198" s="2" t="s">
        <v>207</v>
      </c>
      <c r="N198" s="2" t="s">
        <v>262</v>
      </c>
      <c r="O198" s="2" t="s">
        <v>100</v>
      </c>
      <c r="P198" s="2" t="str">
        <f>"2170583735                    "</f>
        <v xml:space="preserve">2170583735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5.63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1</v>
      </c>
      <c r="BI198" s="2">
        <v>1</v>
      </c>
      <c r="BJ198" s="2">
        <v>0.2</v>
      </c>
      <c r="BK198" s="2">
        <v>1</v>
      </c>
      <c r="BL198" s="2">
        <v>58.28</v>
      </c>
      <c r="BM198" s="2">
        <v>8.16</v>
      </c>
      <c r="BN198" s="2">
        <v>66.44</v>
      </c>
      <c r="BO198" s="2">
        <v>66.44</v>
      </c>
      <c r="BP198" s="2"/>
      <c r="BQ198" s="2" t="s">
        <v>83</v>
      </c>
      <c r="BR198" s="2" t="s">
        <v>84</v>
      </c>
      <c r="BS198" s="3">
        <v>42964</v>
      </c>
      <c r="BT198" s="4">
        <v>0.51527777777777783</v>
      </c>
      <c r="BU198" s="2" t="s">
        <v>639</v>
      </c>
      <c r="BV198" s="2" t="s">
        <v>95</v>
      </c>
      <c r="BW198" s="2"/>
      <c r="BX198" s="2"/>
      <c r="BY198" s="2">
        <v>1200</v>
      </c>
      <c r="BZ198" s="2" t="s">
        <v>27</v>
      </c>
      <c r="CA198" s="2" t="s">
        <v>640</v>
      </c>
      <c r="CB198" s="2"/>
      <c r="CC198" s="2" t="s">
        <v>207</v>
      </c>
      <c r="CD198" s="2">
        <v>250</v>
      </c>
      <c r="CE198" s="2" t="s">
        <v>104</v>
      </c>
      <c r="CF198" s="5">
        <v>42968</v>
      </c>
      <c r="CG198" s="2"/>
      <c r="CH198" s="2"/>
      <c r="CI198" s="2">
        <v>1</v>
      </c>
      <c r="CJ198" s="2">
        <v>1</v>
      </c>
      <c r="CK198" s="2">
        <v>24</v>
      </c>
      <c r="CL198" s="2" t="s">
        <v>86</v>
      </c>
      <c r="CM198" s="2"/>
    </row>
    <row r="199" spans="1:91">
      <c r="A199" s="2" t="s">
        <v>71</v>
      </c>
      <c r="B199" s="2" t="s">
        <v>72</v>
      </c>
      <c r="C199" s="2" t="s">
        <v>73</v>
      </c>
      <c r="D199" s="2"/>
      <c r="E199" s="2" t="str">
        <f>"FES1162569244"</f>
        <v>FES1162569244</v>
      </c>
      <c r="F199" s="3">
        <v>42963</v>
      </c>
      <c r="G199" s="2">
        <v>201802</v>
      </c>
      <c r="H199" s="2" t="s">
        <v>74</v>
      </c>
      <c r="I199" s="2" t="s">
        <v>75</v>
      </c>
      <c r="J199" s="2" t="s">
        <v>76</v>
      </c>
      <c r="K199" s="2" t="s">
        <v>77</v>
      </c>
      <c r="L199" s="2" t="s">
        <v>105</v>
      </c>
      <c r="M199" s="2" t="s">
        <v>106</v>
      </c>
      <c r="N199" s="2" t="s">
        <v>107</v>
      </c>
      <c r="O199" s="2" t="s">
        <v>100</v>
      </c>
      <c r="P199" s="2" t="str">
        <f>"2170582941                    "</f>
        <v xml:space="preserve">2170582941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4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1</v>
      </c>
      <c r="BJ199" s="2">
        <v>0.2</v>
      </c>
      <c r="BK199" s="2">
        <v>1</v>
      </c>
      <c r="BL199" s="2">
        <v>41.44</v>
      </c>
      <c r="BM199" s="2">
        <v>5.8</v>
      </c>
      <c r="BN199" s="2">
        <v>47.24</v>
      </c>
      <c r="BO199" s="2">
        <v>47.24</v>
      </c>
      <c r="BP199" s="2"/>
      <c r="BQ199" s="2" t="s">
        <v>108</v>
      </c>
      <c r="BR199" s="2" t="s">
        <v>84</v>
      </c>
      <c r="BS199" s="3">
        <v>42964</v>
      </c>
      <c r="BT199" s="4">
        <v>0.37152777777777773</v>
      </c>
      <c r="BU199" s="2" t="s">
        <v>236</v>
      </c>
      <c r="BV199" s="2" t="s">
        <v>95</v>
      </c>
      <c r="BW199" s="2"/>
      <c r="BX199" s="2"/>
      <c r="BY199" s="2">
        <v>1200</v>
      </c>
      <c r="BZ199" s="2" t="s">
        <v>27</v>
      </c>
      <c r="CA199" s="2" t="s">
        <v>112</v>
      </c>
      <c r="CB199" s="2"/>
      <c r="CC199" s="2" t="s">
        <v>106</v>
      </c>
      <c r="CD199" s="2">
        <v>7405</v>
      </c>
      <c r="CE199" s="2" t="s">
        <v>104</v>
      </c>
      <c r="CF199" s="5">
        <v>42965</v>
      </c>
      <c r="CG199" s="2"/>
      <c r="CH199" s="2"/>
      <c r="CI199" s="2">
        <v>1</v>
      </c>
      <c r="CJ199" s="2">
        <v>1</v>
      </c>
      <c r="CK199" s="2">
        <v>21</v>
      </c>
      <c r="CL199" s="2" t="s">
        <v>86</v>
      </c>
      <c r="CM199" s="2"/>
    </row>
    <row r="200" spans="1:91">
      <c r="A200" s="2" t="s">
        <v>71</v>
      </c>
      <c r="B200" s="2" t="s">
        <v>72</v>
      </c>
      <c r="C200" s="2" t="s">
        <v>73</v>
      </c>
      <c r="D200" s="2"/>
      <c r="E200" s="2" t="str">
        <f>"FES1162569258"</f>
        <v>FES1162569258</v>
      </c>
      <c r="F200" s="3">
        <v>42963</v>
      </c>
      <c r="G200" s="2">
        <v>201802</v>
      </c>
      <c r="H200" s="2" t="s">
        <v>74</v>
      </c>
      <c r="I200" s="2" t="s">
        <v>75</v>
      </c>
      <c r="J200" s="2" t="s">
        <v>76</v>
      </c>
      <c r="K200" s="2" t="s">
        <v>77</v>
      </c>
      <c r="L200" s="2" t="s">
        <v>105</v>
      </c>
      <c r="M200" s="2" t="s">
        <v>106</v>
      </c>
      <c r="N200" s="2" t="s">
        <v>641</v>
      </c>
      <c r="O200" s="2" t="s">
        <v>100</v>
      </c>
      <c r="P200" s="2" t="str">
        <f>"2170585159                    "</f>
        <v xml:space="preserve">2170585159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4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1</v>
      </c>
      <c r="BJ200" s="2">
        <v>0.2</v>
      </c>
      <c r="BK200" s="2">
        <v>1</v>
      </c>
      <c r="BL200" s="2">
        <v>41.44</v>
      </c>
      <c r="BM200" s="2">
        <v>5.8</v>
      </c>
      <c r="BN200" s="2">
        <v>47.24</v>
      </c>
      <c r="BO200" s="2">
        <v>47.24</v>
      </c>
      <c r="BP200" s="2"/>
      <c r="BQ200" s="2" t="s">
        <v>108</v>
      </c>
      <c r="BR200" s="2" t="s">
        <v>84</v>
      </c>
      <c r="BS200" s="3">
        <v>42964</v>
      </c>
      <c r="BT200" s="4">
        <v>0.58124999999999993</v>
      </c>
      <c r="BU200" s="2" t="s">
        <v>642</v>
      </c>
      <c r="BV200" s="2" t="s">
        <v>86</v>
      </c>
      <c r="BW200" s="2" t="s">
        <v>110</v>
      </c>
      <c r="BX200" s="2" t="s">
        <v>111</v>
      </c>
      <c r="BY200" s="2">
        <v>1200</v>
      </c>
      <c r="BZ200" s="2" t="s">
        <v>27</v>
      </c>
      <c r="CA200" s="2" t="s">
        <v>643</v>
      </c>
      <c r="CB200" s="2"/>
      <c r="CC200" s="2" t="s">
        <v>106</v>
      </c>
      <c r="CD200" s="2">
        <v>7915</v>
      </c>
      <c r="CE200" s="2" t="s">
        <v>104</v>
      </c>
      <c r="CF200" s="5">
        <v>42965</v>
      </c>
      <c r="CG200" s="2"/>
      <c r="CH200" s="2"/>
      <c r="CI200" s="2">
        <v>1</v>
      </c>
      <c r="CJ200" s="2">
        <v>1</v>
      </c>
      <c r="CK200" s="2">
        <v>21</v>
      </c>
      <c r="CL200" s="2" t="s">
        <v>86</v>
      </c>
      <c r="CM200" s="2"/>
    </row>
    <row r="201" spans="1:91">
      <c r="A201" s="2" t="s">
        <v>71</v>
      </c>
      <c r="B201" s="2" t="s">
        <v>72</v>
      </c>
      <c r="C201" s="2" t="s">
        <v>73</v>
      </c>
      <c r="D201" s="2"/>
      <c r="E201" s="2" t="str">
        <f>"FES1162569372"</f>
        <v>FES1162569372</v>
      </c>
      <c r="F201" s="3">
        <v>42963</v>
      </c>
      <c r="G201" s="2">
        <v>201802</v>
      </c>
      <c r="H201" s="2" t="s">
        <v>74</v>
      </c>
      <c r="I201" s="2" t="s">
        <v>75</v>
      </c>
      <c r="J201" s="2" t="s">
        <v>76</v>
      </c>
      <c r="K201" s="2" t="s">
        <v>77</v>
      </c>
      <c r="L201" s="2" t="s">
        <v>105</v>
      </c>
      <c r="M201" s="2" t="s">
        <v>106</v>
      </c>
      <c r="N201" s="2" t="s">
        <v>644</v>
      </c>
      <c r="O201" s="2" t="s">
        <v>100</v>
      </c>
      <c r="P201" s="2" t="str">
        <f>"2170585217                    "</f>
        <v xml:space="preserve">2170585217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4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1</v>
      </c>
      <c r="BJ201" s="2">
        <v>0.2</v>
      </c>
      <c r="BK201" s="2">
        <v>1</v>
      </c>
      <c r="BL201" s="2">
        <v>41.44</v>
      </c>
      <c r="BM201" s="2">
        <v>5.8</v>
      </c>
      <c r="BN201" s="2">
        <v>47.24</v>
      </c>
      <c r="BO201" s="2">
        <v>47.24</v>
      </c>
      <c r="BP201" s="2"/>
      <c r="BQ201" s="2" t="s">
        <v>108</v>
      </c>
      <c r="BR201" s="2" t="s">
        <v>84</v>
      </c>
      <c r="BS201" s="3">
        <v>42964</v>
      </c>
      <c r="BT201" s="4">
        <v>0.45208333333333334</v>
      </c>
      <c r="BU201" s="2" t="s">
        <v>645</v>
      </c>
      <c r="BV201" s="2" t="s">
        <v>95</v>
      </c>
      <c r="BW201" s="2"/>
      <c r="BX201" s="2"/>
      <c r="BY201" s="2">
        <v>1200</v>
      </c>
      <c r="BZ201" s="2" t="s">
        <v>27</v>
      </c>
      <c r="CA201" s="2" t="s">
        <v>112</v>
      </c>
      <c r="CB201" s="2"/>
      <c r="CC201" s="2" t="s">
        <v>106</v>
      </c>
      <c r="CD201" s="2">
        <v>7441</v>
      </c>
      <c r="CE201" s="2" t="s">
        <v>104</v>
      </c>
      <c r="CF201" s="5">
        <v>42965</v>
      </c>
      <c r="CG201" s="2"/>
      <c r="CH201" s="2"/>
      <c r="CI201" s="2">
        <v>1</v>
      </c>
      <c r="CJ201" s="2">
        <v>1</v>
      </c>
      <c r="CK201" s="2">
        <v>21</v>
      </c>
      <c r="CL201" s="2" t="s">
        <v>86</v>
      </c>
      <c r="CM201" s="2"/>
    </row>
    <row r="202" spans="1:91">
      <c r="A202" s="2" t="s">
        <v>71</v>
      </c>
      <c r="B202" s="2" t="s">
        <v>72</v>
      </c>
      <c r="C202" s="2" t="s">
        <v>73</v>
      </c>
      <c r="D202" s="2"/>
      <c r="E202" s="2" t="str">
        <f>"FES1162569230"</f>
        <v>FES1162569230</v>
      </c>
      <c r="F202" s="3">
        <v>42963</v>
      </c>
      <c r="G202" s="2">
        <v>201802</v>
      </c>
      <c r="H202" s="2" t="s">
        <v>74</v>
      </c>
      <c r="I202" s="2" t="s">
        <v>75</v>
      </c>
      <c r="J202" s="2" t="s">
        <v>76</v>
      </c>
      <c r="K202" s="2" t="s">
        <v>77</v>
      </c>
      <c r="L202" s="2" t="s">
        <v>105</v>
      </c>
      <c r="M202" s="2" t="s">
        <v>106</v>
      </c>
      <c r="N202" s="2" t="s">
        <v>107</v>
      </c>
      <c r="O202" s="2" t="s">
        <v>100</v>
      </c>
      <c r="P202" s="2" t="str">
        <f>"2170582632                    "</f>
        <v xml:space="preserve">2170582632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4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0.2</v>
      </c>
      <c r="BK202" s="2">
        <v>1</v>
      </c>
      <c r="BL202" s="2">
        <v>41.44</v>
      </c>
      <c r="BM202" s="2">
        <v>5.8</v>
      </c>
      <c r="BN202" s="2">
        <v>47.24</v>
      </c>
      <c r="BO202" s="2">
        <v>47.24</v>
      </c>
      <c r="BP202" s="2"/>
      <c r="BQ202" s="2" t="s">
        <v>108</v>
      </c>
      <c r="BR202" s="2" t="s">
        <v>84</v>
      </c>
      <c r="BS202" s="3">
        <v>42964</v>
      </c>
      <c r="BT202" s="4">
        <v>0.37222222222222223</v>
      </c>
      <c r="BU202" s="2" t="s">
        <v>236</v>
      </c>
      <c r="BV202" s="2" t="s">
        <v>95</v>
      </c>
      <c r="BW202" s="2"/>
      <c r="BX202" s="2"/>
      <c r="BY202" s="2">
        <v>1200</v>
      </c>
      <c r="BZ202" s="2" t="s">
        <v>27</v>
      </c>
      <c r="CA202" s="2" t="s">
        <v>112</v>
      </c>
      <c r="CB202" s="2"/>
      <c r="CC202" s="2" t="s">
        <v>106</v>
      </c>
      <c r="CD202" s="2">
        <v>7405</v>
      </c>
      <c r="CE202" s="2" t="s">
        <v>104</v>
      </c>
      <c r="CF202" s="5">
        <v>42965</v>
      </c>
      <c r="CG202" s="2"/>
      <c r="CH202" s="2"/>
      <c r="CI202" s="2">
        <v>1</v>
      </c>
      <c r="CJ202" s="2">
        <v>1</v>
      </c>
      <c r="CK202" s="2">
        <v>21</v>
      </c>
      <c r="CL202" s="2" t="s">
        <v>86</v>
      </c>
      <c r="CM202" s="2"/>
    </row>
    <row r="203" spans="1:91">
      <c r="A203" s="2" t="s">
        <v>71</v>
      </c>
      <c r="B203" s="2" t="s">
        <v>72</v>
      </c>
      <c r="C203" s="2" t="s">
        <v>73</v>
      </c>
      <c r="D203" s="2"/>
      <c r="E203" s="2" t="str">
        <f>"FES1162569187"</f>
        <v>FES1162569187</v>
      </c>
      <c r="F203" s="3">
        <v>42963</v>
      </c>
      <c r="G203" s="2">
        <v>201802</v>
      </c>
      <c r="H203" s="2" t="s">
        <v>74</v>
      </c>
      <c r="I203" s="2" t="s">
        <v>75</v>
      </c>
      <c r="J203" s="2" t="s">
        <v>76</v>
      </c>
      <c r="K203" s="2" t="s">
        <v>77</v>
      </c>
      <c r="L203" s="2" t="s">
        <v>105</v>
      </c>
      <c r="M203" s="2" t="s">
        <v>106</v>
      </c>
      <c r="N203" s="2" t="s">
        <v>646</v>
      </c>
      <c r="O203" s="2" t="s">
        <v>100</v>
      </c>
      <c r="P203" s="2" t="str">
        <f>"2170585125                    "</f>
        <v xml:space="preserve">2170585125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4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1</v>
      </c>
      <c r="BJ203" s="2">
        <v>0.2</v>
      </c>
      <c r="BK203" s="2">
        <v>1</v>
      </c>
      <c r="BL203" s="2">
        <v>41.44</v>
      </c>
      <c r="BM203" s="2">
        <v>5.8</v>
      </c>
      <c r="BN203" s="2">
        <v>47.24</v>
      </c>
      <c r="BO203" s="2">
        <v>47.24</v>
      </c>
      <c r="BP203" s="2"/>
      <c r="BQ203" s="2" t="s">
        <v>108</v>
      </c>
      <c r="BR203" s="2" t="s">
        <v>84</v>
      </c>
      <c r="BS203" s="3">
        <v>42964</v>
      </c>
      <c r="BT203" s="4">
        <v>0.54722222222222217</v>
      </c>
      <c r="BU203" s="2" t="s">
        <v>647</v>
      </c>
      <c r="BV203" s="2" t="s">
        <v>86</v>
      </c>
      <c r="BW203" s="2" t="s">
        <v>115</v>
      </c>
      <c r="BX203" s="2" t="s">
        <v>116</v>
      </c>
      <c r="BY203" s="2">
        <v>1200</v>
      </c>
      <c r="BZ203" s="2" t="s">
        <v>27</v>
      </c>
      <c r="CA203" s="2" t="s">
        <v>648</v>
      </c>
      <c r="CB203" s="2"/>
      <c r="CC203" s="2" t="s">
        <v>106</v>
      </c>
      <c r="CD203" s="2">
        <v>7800</v>
      </c>
      <c r="CE203" s="2" t="s">
        <v>104</v>
      </c>
      <c r="CF203" s="5">
        <v>42964</v>
      </c>
      <c r="CG203" s="2"/>
      <c r="CH203" s="2"/>
      <c r="CI203" s="2">
        <v>1</v>
      </c>
      <c r="CJ203" s="2">
        <v>1</v>
      </c>
      <c r="CK203" s="2">
        <v>21</v>
      </c>
      <c r="CL203" s="2" t="s">
        <v>86</v>
      </c>
      <c r="CM203" s="2"/>
    </row>
    <row r="204" spans="1:91">
      <c r="A204" s="2" t="s">
        <v>71</v>
      </c>
      <c r="B204" s="2" t="s">
        <v>72</v>
      </c>
      <c r="C204" s="2" t="s">
        <v>73</v>
      </c>
      <c r="D204" s="2"/>
      <c r="E204" s="2" t="str">
        <f>"FES1162569160"</f>
        <v>FES1162569160</v>
      </c>
      <c r="F204" s="3">
        <v>42963</v>
      </c>
      <c r="G204" s="2">
        <v>201802</v>
      </c>
      <c r="H204" s="2" t="s">
        <v>74</v>
      </c>
      <c r="I204" s="2" t="s">
        <v>75</v>
      </c>
      <c r="J204" s="2" t="s">
        <v>76</v>
      </c>
      <c r="K204" s="2" t="s">
        <v>77</v>
      </c>
      <c r="L204" s="2" t="s">
        <v>105</v>
      </c>
      <c r="M204" s="2" t="s">
        <v>106</v>
      </c>
      <c r="N204" s="2" t="s">
        <v>107</v>
      </c>
      <c r="O204" s="2" t="s">
        <v>100</v>
      </c>
      <c r="P204" s="2" t="str">
        <f>"2170583339                    "</f>
        <v xml:space="preserve">2170583339 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4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1</v>
      </c>
      <c r="BJ204" s="2">
        <v>0.2</v>
      </c>
      <c r="BK204" s="2">
        <v>1</v>
      </c>
      <c r="BL204" s="2">
        <v>41.44</v>
      </c>
      <c r="BM204" s="2">
        <v>5.8</v>
      </c>
      <c r="BN204" s="2">
        <v>47.24</v>
      </c>
      <c r="BO204" s="2">
        <v>47.24</v>
      </c>
      <c r="BP204" s="2"/>
      <c r="BQ204" s="2" t="s">
        <v>108</v>
      </c>
      <c r="BR204" s="2" t="s">
        <v>84</v>
      </c>
      <c r="BS204" s="3">
        <v>42964</v>
      </c>
      <c r="BT204" s="4">
        <v>0.37152777777777773</v>
      </c>
      <c r="BU204" s="2" t="s">
        <v>236</v>
      </c>
      <c r="BV204" s="2" t="s">
        <v>95</v>
      </c>
      <c r="BW204" s="2"/>
      <c r="BX204" s="2"/>
      <c r="BY204" s="2">
        <v>1200</v>
      </c>
      <c r="BZ204" s="2" t="s">
        <v>27</v>
      </c>
      <c r="CA204" s="2" t="s">
        <v>112</v>
      </c>
      <c r="CB204" s="2"/>
      <c r="CC204" s="2" t="s">
        <v>106</v>
      </c>
      <c r="CD204" s="2">
        <v>7405</v>
      </c>
      <c r="CE204" s="2" t="s">
        <v>104</v>
      </c>
      <c r="CF204" s="5">
        <v>42965</v>
      </c>
      <c r="CG204" s="2"/>
      <c r="CH204" s="2"/>
      <c r="CI204" s="2">
        <v>1</v>
      </c>
      <c r="CJ204" s="2">
        <v>1</v>
      </c>
      <c r="CK204" s="2">
        <v>21</v>
      </c>
      <c r="CL204" s="2" t="s">
        <v>86</v>
      </c>
      <c r="CM204" s="2"/>
    </row>
    <row r="205" spans="1:91">
      <c r="A205" s="2" t="s">
        <v>71</v>
      </c>
      <c r="B205" s="2" t="s">
        <v>72</v>
      </c>
      <c r="C205" s="2" t="s">
        <v>73</v>
      </c>
      <c r="D205" s="2"/>
      <c r="E205" s="2" t="str">
        <f>"FES1162569378"</f>
        <v>FES1162569378</v>
      </c>
      <c r="F205" s="3">
        <v>42963</v>
      </c>
      <c r="G205" s="2">
        <v>201802</v>
      </c>
      <c r="H205" s="2" t="s">
        <v>74</v>
      </c>
      <c r="I205" s="2" t="s">
        <v>75</v>
      </c>
      <c r="J205" s="2" t="s">
        <v>76</v>
      </c>
      <c r="K205" s="2" t="s">
        <v>77</v>
      </c>
      <c r="L205" s="2" t="s">
        <v>105</v>
      </c>
      <c r="M205" s="2" t="s">
        <v>106</v>
      </c>
      <c r="N205" s="2" t="s">
        <v>649</v>
      </c>
      <c r="O205" s="2" t="s">
        <v>100</v>
      </c>
      <c r="P205" s="2" t="str">
        <f>"2170585220                    "</f>
        <v xml:space="preserve">2170585220 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4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1</v>
      </c>
      <c r="BJ205" s="2">
        <v>0.2</v>
      </c>
      <c r="BK205" s="2">
        <v>1</v>
      </c>
      <c r="BL205" s="2">
        <v>41.44</v>
      </c>
      <c r="BM205" s="2">
        <v>5.8</v>
      </c>
      <c r="BN205" s="2">
        <v>47.24</v>
      </c>
      <c r="BO205" s="2">
        <v>47.24</v>
      </c>
      <c r="BP205" s="2"/>
      <c r="BQ205" s="2" t="s">
        <v>83</v>
      </c>
      <c r="BR205" s="2" t="s">
        <v>84</v>
      </c>
      <c r="BS205" s="3">
        <v>42964</v>
      </c>
      <c r="BT205" s="4">
        <v>0.5444444444444444</v>
      </c>
      <c r="BU205" s="2" t="s">
        <v>508</v>
      </c>
      <c r="BV205" s="2" t="s">
        <v>86</v>
      </c>
      <c r="BW205" s="2" t="s">
        <v>115</v>
      </c>
      <c r="BX205" s="2" t="s">
        <v>116</v>
      </c>
      <c r="BY205" s="2">
        <v>1200</v>
      </c>
      <c r="BZ205" s="2" t="s">
        <v>27</v>
      </c>
      <c r="CA205" s="2" t="s">
        <v>648</v>
      </c>
      <c r="CB205" s="2"/>
      <c r="CC205" s="2" t="s">
        <v>106</v>
      </c>
      <c r="CD205" s="2">
        <v>7800</v>
      </c>
      <c r="CE205" s="2" t="s">
        <v>104</v>
      </c>
      <c r="CF205" s="5">
        <v>42964</v>
      </c>
      <c r="CG205" s="2"/>
      <c r="CH205" s="2"/>
      <c r="CI205" s="2">
        <v>1</v>
      </c>
      <c r="CJ205" s="2">
        <v>1</v>
      </c>
      <c r="CK205" s="2">
        <v>21</v>
      </c>
      <c r="CL205" s="2" t="s">
        <v>86</v>
      </c>
      <c r="CM205" s="2"/>
    </row>
    <row r="206" spans="1:91">
      <c r="A206" s="2" t="s">
        <v>71</v>
      </c>
      <c r="B206" s="2" t="s">
        <v>72</v>
      </c>
      <c r="C206" s="2" t="s">
        <v>73</v>
      </c>
      <c r="D206" s="2"/>
      <c r="E206" s="2" t="str">
        <f>"FES1162569145"</f>
        <v>FES1162569145</v>
      </c>
      <c r="F206" s="3">
        <v>42963</v>
      </c>
      <c r="G206" s="2">
        <v>201802</v>
      </c>
      <c r="H206" s="2" t="s">
        <v>74</v>
      </c>
      <c r="I206" s="2" t="s">
        <v>75</v>
      </c>
      <c r="J206" s="2" t="s">
        <v>76</v>
      </c>
      <c r="K206" s="2" t="s">
        <v>77</v>
      </c>
      <c r="L206" s="2" t="s">
        <v>206</v>
      </c>
      <c r="M206" s="2" t="s">
        <v>207</v>
      </c>
      <c r="N206" s="2" t="s">
        <v>650</v>
      </c>
      <c r="O206" s="2" t="s">
        <v>100</v>
      </c>
      <c r="P206" s="2" t="str">
        <f>"2170582572                    "</f>
        <v xml:space="preserve">2170582572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5.63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</v>
      </c>
      <c r="BJ206" s="2">
        <v>0.2</v>
      </c>
      <c r="BK206" s="2">
        <v>1</v>
      </c>
      <c r="BL206" s="2">
        <v>58.28</v>
      </c>
      <c r="BM206" s="2">
        <v>8.16</v>
      </c>
      <c r="BN206" s="2">
        <v>66.44</v>
      </c>
      <c r="BO206" s="2">
        <v>66.44</v>
      </c>
      <c r="BP206" s="2"/>
      <c r="BQ206" s="2" t="s">
        <v>108</v>
      </c>
      <c r="BR206" s="2" t="s">
        <v>84</v>
      </c>
      <c r="BS206" s="3">
        <v>42964</v>
      </c>
      <c r="BT206" s="4">
        <v>0.53472222222222221</v>
      </c>
      <c r="BU206" s="2" t="s">
        <v>651</v>
      </c>
      <c r="BV206" s="2" t="s">
        <v>95</v>
      </c>
      <c r="BW206" s="2"/>
      <c r="BX206" s="2"/>
      <c r="BY206" s="2">
        <v>1200</v>
      </c>
      <c r="BZ206" s="2" t="s">
        <v>27</v>
      </c>
      <c r="CA206" s="2" t="s">
        <v>640</v>
      </c>
      <c r="CB206" s="2"/>
      <c r="CC206" s="2" t="s">
        <v>207</v>
      </c>
      <c r="CD206" s="2">
        <v>250</v>
      </c>
      <c r="CE206" s="2" t="s">
        <v>104</v>
      </c>
      <c r="CF206" s="5">
        <v>42968</v>
      </c>
      <c r="CG206" s="2"/>
      <c r="CH206" s="2"/>
      <c r="CI206" s="2">
        <v>1</v>
      </c>
      <c r="CJ206" s="2">
        <v>1</v>
      </c>
      <c r="CK206" s="2">
        <v>24</v>
      </c>
      <c r="CL206" s="2" t="s">
        <v>86</v>
      </c>
      <c r="CM206" s="2"/>
    </row>
    <row r="207" spans="1:91">
      <c r="A207" s="2" t="s">
        <v>71</v>
      </c>
      <c r="B207" s="2" t="s">
        <v>72</v>
      </c>
      <c r="C207" s="2" t="s">
        <v>73</v>
      </c>
      <c r="D207" s="2"/>
      <c r="E207" s="2" t="str">
        <f>"FES1162569154"</f>
        <v>FES1162569154</v>
      </c>
      <c r="F207" s="3">
        <v>42963</v>
      </c>
      <c r="G207" s="2">
        <v>201802</v>
      </c>
      <c r="H207" s="2" t="s">
        <v>74</v>
      </c>
      <c r="I207" s="2" t="s">
        <v>75</v>
      </c>
      <c r="J207" s="2" t="s">
        <v>76</v>
      </c>
      <c r="K207" s="2" t="s">
        <v>77</v>
      </c>
      <c r="L207" s="2" t="s">
        <v>105</v>
      </c>
      <c r="M207" s="2" t="s">
        <v>106</v>
      </c>
      <c r="N207" s="2" t="s">
        <v>652</v>
      </c>
      <c r="O207" s="2" t="s">
        <v>100</v>
      </c>
      <c r="P207" s="2" t="str">
        <f>"2170583081                    "</f>
        <v xml:space="preserve">2170583081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4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1</v>
      </c>
      <c r="BJ207" s="2">
        <v>0.2</v>
      </c>
      <c r="BK207" s="2">
        <v>1</v>
      </c>
      <c r="BL207" s="2">
        <v>41.44</v>
      </c>
      <c r="BM207" s="2">
        <v>5.8</v>
      </c>
      <c r="BN207" s="2">
        <v>47.24</v>
      </c>
      <c r="BO207" s="2">
        <v>47.24</v>
      </c>
      <c r="BP207" s="2"/>
      <c r="BQ207" s="2" t="s">
        <v>288</v>
      </c>
      <c r="BR207" s="2" t="s">
        <v>84</v>
      </c>
      <c r="BS207" s="3">
        <v>42964</v>
      </c>
      <c r="BT207" s="4">
        <v>0.32777777777777778</v>
      </c>
      <c r="BU207" s="2" t="s">
        <v>653</v>
      </c>
      <c r="BV207" s="2" t="s">
        <v>95</v>
      </c>
      <c r="BW207" s="2"/>
      <c r="BX207" s="2"/>
      <c r="BY207" s="2">
        <v>1200</v>
      </c>
      <c r="BZ207" s="2" t="s">
        <v>27</v>
      </c>
      <c r="CA207" s="2" t="s">
        <v>654</v>
      </c>
      <c r="CB207" s="2"/>
      <c r="CC207" s="2" t="s">
        <v>106</v>
      </c>
      <c r="CD207" s="2">
        <v>7493</v>
      </c>
      <c r="CE207" s="2" t="s">
        <v>104</v>
      </c>
      <c r="CF207" s="5">
        <v>42965</v>
      </c>
      <c r="CG207" s="2"/>
      <c r="CH207" s="2"/>
      <c r="CI207" s="2">
        <v>1</v>
      </c>
      <c r="CJ207" s="2">
        <v>1</v>
      </c>
      <c r="CK207" s="2">
        <v>21</v>
      </c>
      <c r="CL207" s="2" t="s">
        <v>86</v>
      </c>
      <c r="CM207" s="2"/>
    </row>
    <row r="208" spans="1:91">
      <c r="A208" s="2" t="s">
        <v>71</v>
      </c>
      <c r="B208" s="2" t="s">
        <v>72</v>
      </c>
      <c r="C208" s="2" t="s">
        <v>73</v>
      </c>
      <c r="D208" s="2"/>
      <c r="E208" s="2" t="str">
        <f>"FES1162569156"</f>
        <v>FES1162569156</v>
      </c>
      <c r="F208" s="3">
        <v>42963</v>
      </c>
      <c r="G208" s="2">
        <v>201802</v>
      </c>
      <c r="H208" s="2" t="s">
        <v>74</v>
      </c>
      <c r="I208" s="2" t="s">
        <v>75</v>
      </c>
      <c r="J208" s="2" t="s">
        <v>76</v>
      </c>
      <c r="K208" s="2" t="s">
        <v>77</v>
      </c>
      <c r="L208" s="2" t="s">
        <v>105</v>
      </c>
      <c r="M208" s="2" t="s">
        <v>106</v>
      </c>
      <c r="N208" s="2" t="s">
        <v>655</v>
      </c>
      <c r="O208" s="2" t="s">
        <v>100</v>
      </c>
      <c r="P208" s="2" t="str">
        <f>"2170583092                    "</f>
        <v xml:space="preserve">2170583092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4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1</v>
      </c>
      <c r="BI208" s="2">
        <v>1</v>
      </c>
      <c r="BJ208" s="2">
        <v>0.2</v>
      </c>
      <c r="BK208" s="2">
        <v>1</v>
      </c>
      <c r="BL208" s="2">
        <v>41.44</v>
      </c>
      <c r="BM208" s="2">
        <v>5.8</v>
      </c>
      <c r="BN208" s="2">
        <v>47.24</v>
      </c>
      <c r="BO208" s="2">
        <v>47.24</v>
      </c>
      <c r="BP208" s="2"/>
      <c r="BQ208" s="2" t="s">
        <v>209</v>
      </c>
      <c r="BR208" s="2" t="s">
        <v>84</v>
      </c>
      <c r="BS208" s="3">
        <v>42964</v>
      </c>
      <c r="BT208" s="4">
        <v>0.4826388888888889</v>
      </c>
      <c r="BU208" s="2" t="s">
        <v>656</v>
      </c>
      <c r="BV208" s="2" t="s">
        <v>86</v>
      </c>
      <c r="BW208" s="2" t="s">
        <v>110</v>
      </c>
      <c r="BX208" s="2" t="s">
        <v>111</v>
      </c>
      <c r="BY208" s="2">
        <v>1200</v>
      </c>
      <c r="BZ208" s="2" t="s">
        <v>27</v>
      </c>
      <c r="CA208" s="2" t="s">
        <v>350</v>
      </c>
      <c r="CB208" s="2"/>
      <c r="CC208" s="2" t="s">
        <v>106</v>
      </c>
      <c r="CD208" s="2">
        <v>7945</v>
      </c>
      <c r="CE208" s="2" t="s">
        <v>104</v>
      </c>
      <c r="CF208" s="5">
        <v>42965</v>
      </c>
      <c r="CG208" s="2"/>
      <c r="CH208" s="2"/>
      <c r="CI208" s="2">
        <v>1</v>
      </c>
      <c r="CJ208" s="2">
        <v>1</v>
      </c>
      <c r="CK208" s="2">
        <v>21</v>
      </c>
      <c r="CL208" s="2" t="s">
        <v>86</v>
      </c>
      <c r="CM208" s="2"/>
    </row>
    <row r="209" spans="1:91">
      <c r="A209" s="2" t="s">
        <v>71</v>
      </c>
      <c r="B209" s="2" t="s">
        <v>72</v>
      </c>
      <c r="C209" s="2" t="s">
        <v>73</v>
      </c>
      <c r="D209" s="2"/>
      <c r="E209" s="2" t="str">
        <f>"FES1162569307"</f>
        <v>FES1162569307</v>
      </c>
      <c r="F209" s="3">
        <v>42963</v>
      </c>
      <c r="G209" s="2">
        <v>201802</v>
      </c>
      <c r="H209" s="2" t="s">
        <v>74</v>
      </c>
      <c r="I209" s="2" t="s">
        <v>75</v>
      </c>
      <c r="J209" s="2" t="s">
        <v>76</v>
      </c>
      <c r="K209" s="2" t="s">
        <v>77</v>
      </c>
      <c r="L209" s="2" t="s">
        <v>206</v>
      </c>
      <c r="M209" s="2" t="s">
        <v>207</v>
      </c>
      <c r="N209" s="2" t="s">
        <v>262</v>
      </c>
      <c r="O209" s="2" t="s">
        <v>100</v>
      </c>
      <c r="P209" s="2" t="str">
        <f>"2170583735                    "</f>
        <v xml:space="preserve">2170583735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5.63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1</v>
      </c>
      <c r="BJ209" s="2">
        <v>0.2</v>
      </c>
      <c r="BK209" s="2">
        <v>1</v>
      </c>
      <c r="BL209" s="2">
        <v>58.28</v>
      </c>
      <c r="BM209" s="2">
        <v>8.16</v>
      </c>
      <c r="BN209" s="2">
        <v>66.44</v>
      </c>
      <c r="BO209" s="2">
        <v>66.44</v>
      </c>
      <c r="BP209" s="2"/>
      <c r="BQ209" s="2" t="s">
        <v>83</v>
      </c>
      <c r="BR209" s="2" t="s">
        <v>84</v>
      </c>
      <c r="BS209" s="3">
        <v>42964</v>
      </c>
      <c r="BT209" s="4">
        <v>0.51527777777777783</v>
      </c>
      <c r="BU209" s="2" t="s">
        <v>639</v>
      </c>
      <c r="BV209" s="2" t="s">
        <v>95</v>
      </c>
      <c r="BW209" s="2"/>
      <c r="BX209" s="2"/>
      <c r="BY209" s="2">
        <v>1200</v>
      </c>
      <c r="BZ209" s="2" t="s">
        <v>27</v>
      </c>
      <c r="CA209" s="2" t="s">
        <v>640</v>
      </c>
      <c r="CB209" s="2"/>
      <c r="CC209" s="2" t="s">
        <v>207</v>
      </c>
      <c r="CD209" s="2">
        <v>250</v>
      </c>
      <c r="CE209" s="2" t="s">
        <v>104</v>
      </c>
      <c r="CF209" s="5">
        <v>42968</v>
      </c>
      <c r="CG209" s="2"/>
      <c r="CH209" s="2"/>
      <c r="CI209" s="2">
        <v>1</v>
      </c>
      <c r="CJ209" s="2">
        <v>1</v>
      </c>
      <c r="CK209" s="2">
        <v>24</v>
      </c>
      <c r="CL209" s="2" t="s">
        <v>86</v>
      </c>
      <c r="CM209" s="2"/>
    </row>
    <row r="210" spans="1:91">
      <c r="A210" s="2" t="s">
        <v>71</v>
      </c>
      <c r="B210" s="2" t="s">
        <v>72</v>
      </c>
      <c r="C210" s="2" t="s">
        <v>73</v>
      </c>
      <c r="D210" s="2"/>
      <c r="E210" s="2" t="str">
        <f>"FES1162569151"</f>
        <v>FES1162569151</v>
      </c>
      <c r="F210" s="3">
        <v>42963</v>
      </c>
      <c r="G210" s="2">
        <v>201802</v>
      </c>
      <c r="H210" s="2" t="s">
        <v>74</v>
      </c>
      <c r="I210" s="2" t="s">
        <v>75</v>
      </c>
      <c r="J210" s="2" t="s">
        <v>76</v>
      </c>
      <c r="K210" s="2" t="s">
        <v>77</v>
      </c>
      <c r="L210" s="2" t="s">
        <v>105</v>
      </c>
      <c r="M210" s="2" t="s">
        <v>106</v>
      </c>
      <c r="N210" s="2" t="s">
        <v>657</v>
      </c>
      <c r="O210" s="2" t="s">
        <v>100</v>
      </c>
      <c r="P210" s="2" t="str">
        <f>"2170583018                    "</f>
        <v xml:space="preserve">2170583018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4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1</v>
      </c>
      <c r="BJ210" s="2">
        <v>0.2</v>
      </c>
      <c r="BK210" s="2">
        <v>1</v>
      </c>
      <c r="BL210" s="2">
        <v>41.44</v>
      </c>
      <c r="BM210" s="2">
        <v>5.8</v>
      </c>
      <c r="BN210" s="2">
        <v>47.24</v>
      </c>
      <c r="BO210" s="2">
        <v>47.24</v>
      </c>
      <c r="BP210" s="2"/>
      <c r="BQ210" s="2" t="s">
        <v>658</v>
      </c>
      <c r="BR210" s="2" t="s">
        <v>84</v>
      </c>
      <c r="BS210" s="3">
        <v>42964</v>
      </c>
      <c r="BT210" s="4">
        <v>0.41666666666666669</v>
      </c>
      <c r="BU210" s="2" t="s">
        <v>659</v>
      </c>
      <c r="BV210" s="2" t="s">
        <v>95</v>
      </c>
      <c r="BW210" s="2"/>
      <c r="BX210" s="2"/>
      <c r="BY210" s="2">
        <v>1200</v>
      </c>
      <c r="BZ210" s="2" t="s">
        <v>27</v>
      </c>
      <c r="CA210" s="2"/>
      <c r="CB210" s="2"/>
      <c r="CC210" s="2" t="s">
        <v>106</v>
      </c>
      <c r="CD210" s="2">
        <v>7945</v>
      </c>
      <c r="CE210" s="2" t="s">
        <v>104</v>
      </c>
      <c r="CF210" s="5">
        <v>42965</v>
      </c>
      <c r="CG210" s="2"/>
      <c r="CH210" s="2"/>
      <c r="CI210" s="2">
        <v>1</v>
      </c>
      <c r="CJ210" s="2">
        <v>1</v>
      </c>
      <c r="CK210" s="2">
        <v>21</v>
      </c>
      <c r="CL210" s="2" t="s">
        <v>86</v>
      </c>
      <c r="CM210" s="2"/>
    </row>
    <row r="211" spans="1:91">
      <c r="A211" s="2" t="s">
        <v>71</v>
      </c>
      <c r="B211" s="2" t="s">
        <v>72</v>
      </c>
      <c r="C211" s="2" t="s">
        <v>73</v>
      </c>
      <c r="D211" s="2"/>
      <c r="E211" s="2" t="str">
        <f>"FES1162569280"</f>
        <v>FES1162569280</v>
      </c>
      <c r="F211" s="3">
        <v>42963</v>
      </c>
      <c r="G211" s="2">
        <v>201802</v>
      </c>
      <c r="H211" s="2" t="s">
        <v>74</v>
      </c>
      <c r="I211" s="2" t="s">
        <v>75</v>
      </c>
      <c r="J211" s="2" t="s">
        <v>76</v>
      </c>
      <c r="K211" s="2" t="s">
        <v>77</v>
      </c>
      <c r="L211" s="2" t="s">
        <v>105</v>
      </c>
      <c r="M211" s="2" t="s">
        <v>106</v>
      </c>
      <c r="N211" s="2" t="s">
        <v>660</v>
      </c>
      <c r="O211" s="2" t="s">
        <v>100</v>
      </c>
      <c r="P211" s="2" t="str">
        <f>"2170579370                    "</f>
        <v xml:space="preserve">2170579370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4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1</v>
      </c>
      <c r="BJ211" s="2">
        <v>0.2</v>
      </c>
      <c r="BK211" s="2">
        <v>1</v>
      </c>
      <c r="BL211" s="2">
        <v>41.44</v>
      </c>
      <c r="BM211" s="2">
        <v>5.8</v>
      </c>
      <c r="BN211" s="2">
        <v>47.24</v>
      </c>
      <c r="BO211" s="2">
        <v>47.24</v>
      </c>
      <c r="BP211" s="2"/>
      <c r="BQ211" s="2" t="s">
        <v>661</v>
      </c>
      <c r="BR211" s="2" t="s">
        <v>84</v>
      </c>
      <c r="BS211" s="3">
        <v>42964</v>
      </c>
      <c r="BT211" s="4">
        <v>0.35416666666666669</v>
      </c>
      <c r="BU211" s="2" t="s">
        <v>662</v>
      </c>
      <c r="BV211" s="2" t="s">
        <v>95</v>
      </c>
      <c r="BW211" s="2"/>
      <c r="BX211" s="2"/>
      <c r="BY211" s="2">
        <v>1200</v>
      </c>
      <c r="BZ211" s="2" t="s">
        <v>27</v>
      </c>
      <c r="CA211" s="2" t="s">
        <v>663</v>
      </c>
      <c r="CB211" s="2"/>
      <c r="CC211" s="2" t="s">
        <v>106</v>
      </c>
      <c r="CD211" s="2">
        <v>7500</v>
      </c>
      <c r="CE211" s="2" t="s">
        <v>104</v>
      </c>
      <c r="CF211" s="5">
        <v>42965</v>
      </c>
      <c r="CG211" s="2"/>
      <c r="CH211" s="2"/>
      <c r="CI211" s="2">
        <v>1</v>
      </c>
      <c r="CJ211" s="2">
        <v>1</v>
      </c>
      <c r="CK211" s="2">
        <v>21</v>
      </c>
      <c r="CL211" s="2" t="s">
        <v>86</v>
      </c>
      <c r="CM211" s="2"/>
    </row>
    <row r="212" spans="1:91">
      <c r="A212" s="2" t="s">
        <v>71</v>
      </c>
      <c r="B212" s="2" t="s">
        <v>72</v>
      </c>
      <c r="C212" s="2" t="s">
        <v>73</v>
      </c>
      <c r="D212" s="2"/>
      <c r="E212" s="2" t="str">
        <f>"FES1162569184"</f>
        <v>FES1162569184</v>
      </c>
      <c r="F212" s="3">
        <v>42963</v>
      </c>
      <c r="G212" s="2">
        <v>201802</v>
      </c>
      <c r="H212" s="2" t="s">
        <v>74</v>
      </c>
      <c r="I212" s="2" t="s">
        <v>75</v>
      </c>
      <c r="J212" s="2" t="s">
        <v>76</v>
      </c>
      <c r="K212" s="2" t="s">
        <v>77</v>
      </c>
      <c r="L212" s="2" t="s">
        <v>268</v>
      </c>
      <c r="M212" s="2" t="s">
        <v>269</v>
      </c>
      <c r="N212" s="2" t="s">
        <v>635</v>
      </c>
      <c r="O212" s="2" t="s">
        <v>100</v>
      </c>
      <c r="P212" s="2" t="str">
        <f>"2170584929                    "</f>
        <v xml:space="preserve">2170584929 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4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1</v>
      </c>
      <c r="BJ212" s="2">
        <v>0.2</v>
      </c>
      <c r="BK212" s="2">
        <v>1</v>
      </c>
      <c r="BL212" s="2">
        <v>41.44</v>
      </c>
      <c r="BM212" s="2">
        <v>5.8</v>
      </c>
      <c r="BN212" s="2">
        <v>47.24</v>
      </c>
      <c r="BO212" s="2">
        <v>47.24</v>
      </c>
      <c r="BP212" s="2"/>
      <c r="BQ212" s="2" t="s">
        <v>108</v>
      </c>
      <c r="BR212" s="2" t="s">
        <v>84</v>
      </c>
      <c r="BS212" s="3">
        <v>42964</v>
      </c>
      <c r="BT212" s="4">
        <v>0.47916666666666669</v>
      </c>
      <c r="BU212" s="2" t="s">
        <v>664</v>
      </c>
      <c r="BV212" s="2" t="s">
        <v>86</v>
      </c>
      <c r="BW212" s="2"/>
      <c r="BX212" s="2"/>
      <c r="BY212" s="2">
        <v>1200</v>
      </c>
      <c r="BZ212" s="2" t="s">
        <v>27</v>
      </c>
      <c r="CA212" s="2" t="s">
        <v>638</v>
      </c>
      <c r="CB212" s="2"/>
      <c r="CC212" s="2" t="s">
        <v>269</v>
      </c>
      <c r="CD212" s="2">
        <v>184</v>
      </c>
      <c r="CE212" s="2" t="s">
        <v>104</v>
      </c>
      <c r="CF212" s="5">
        <v>42965</v>
      </c>
      <c r="CG212" s="2"/>
      <c r="CH212" s="2"/>
      <c r="CI212" s="2">
        <v>1</v>
      </c>
      <c r="CJ212" s="2">
        <v>1</v>
      </c>
      <c r="CK212" s="2">
        <v>21</v>
      </c>
      <c r="CL212" s="2" t="s">
        <v>86</v>
      </c>
      <c r="CM212" s="2"/>
    </row>
    <row r="213" spans="1:91">
      <c r="A213" s="2" t="s">
        <v>71</v>
      </c>
      <c r="B213" s="2" t="s">
        <v>72</v>
      </c>
      <c r="C213" s="2" t="s">
        <v>73</v>
      </c>
      <c r="D213" s="2"/>
      <c r="E213" s="2" t="str">
        <f>"FES1162569370"</f>
        <v>FES1162569370</v>
      </c>
      <c r="F213" s="3">
        <v>42963</v>
      </c>
      <c r="G213" s="2">
        <v>201802</v>
      </c>
      <c r="H213" s="2" t="s">
        <v>74</v>
      </c>
      <c r="I213" s="2" t="s">
        <v>75</v>
      </c>
      <c r="J213" s="2" t="s">
        <v>76</v>
      </c>
      <c r="K213" s="2" t="s">
        <v>77</v>
      </c>
      <c r="L213" s="2" t="s">
        <v>321</v>
      </c>
      <c r="M213" s="2" t="s">
        <v>322</v>
      </c>
      <c r="N213" s="2" t="s">
        <v>323</v>
      </c>
      <c r="O213" s="2" t="s">
        <v>100</v>
      </c>
      <c r="P213" s="2" t="str">
        <f>"2170585209                    "</f>
        <v xml:space="preserve">2170585209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12.01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1</v>
      </c>
      <c r="BI213" s="2">
        <v>6</v>
      </c>
      <c r="BJ213" s="2">
        <v>0.2</v>
      </c>
      <c r="BK213" s="2">
        <v>6</v>
      </c>
      <c r="BL213" s="2">
        <v>124.33</v>
      </c>
      <c r="BM213" s="2">
        <v>17.41</v>
      </c>
      <c r="BN213" s="2">
        <v>141.74</v>
      </c>
      <c r="BO213" s="2">
        <v>141.74</v>
      </c>
      <c r="BP213" s="2"/>
      <c r="BQ213" s="2" t="s">
        <v>83</v>
      </c>
      <c r="BR213" s="2" t="s">
        <v>84</v>
      </c>
      <c r="BS213" s="3">
        <v>42964</v>
      </c>
      <c r="BT213" s="4">
        <v>0.39097222222222222</v>
      </c>
      <c r="BU213" s="2" t="s">
        <v>324</v>
      </c>
      <c r="BV213" s="2" t="s">
        <v>95</v>
      </c>
      <c r="BW213" s="2"/>
      <c r="BX213" s="2"/>
      <c r="BY213" s="2">
        <v>1200</v>
      </c>
      <c r="BZ213" s="2" t="s">
        <v>27</v>
      </c>
      <c r="CA213" s="2" t="s">
        <v>103</v>
      </c>
      <c r="CB213" s="2"/>
      <c r="CC213" s="2" t="s">
        <v>322</v>
      </c>
      <c r="CD213" s="2">
        <v>6220</v>
      </c>
      <c r="CE213" s="2" t="s">
        <v>104</v>
      </c>
      <c r="CF213" s="5">
        <v>42965</v>
      </c>
      <c r="CG213" s="2"/>
      <c r="CH213" s="2"/>
      <c r="CI213" s="2">
        <v>1</v>
      </c>
      <c r="CJ213" s="2">
        <v>1</v>
      </c>
      <c r="CK213" s="2">
        <v>21</v>
      </c>
      <c r="CL213" s="2" t="s">
        <v>86</v>
      </c>
      <c r="CM213" s="2"/>
    </row>
    <row r="214" spans="1:91">
      <c r="A214" s="2" t="s">
        <v>71</v>
      </c>
      <c r="B214" s="2" t="s">
        <v>72</v>
      </c>
      <c r="C214" s="2" t="s">
        <v>73</v>
      </c>
      <c r="D214" s="2"/>
      <c r="E214" s="2" t="str">
        <f>"FES1162569377"</f>
        <v>FES1162569377</v>
      </c>
      <c r="F214" s="3">
        <v>42963</v>
      </c>
      <c r="G214" s="2">
        <v>201802</v>
      </c>
      <c r="H214" s="2" t="s">
        <v>74</v>
      </c>
      <c r="I214" s="2" t="s">
        <v>75</v>
      </c>
      <c r="J214" s="2" t="s">
        <v>76</v>
      </c>
      <c r="K214" s="2" t="s">
        <v>77</v>
      </c>
      <c r="L214" s="2" t="s">
        <v>353</v>
      </c>
      <c r="M214" s="2" t="s">
        <v>354</v>
      </c>
      <c r="N214" s="2" t="s">
        <v>665</v>
      </c>
      <c r="O214" s="2" t="s">
        <v>100</v>
      </c>
      <c r="P214" s="2" t="str">
        <f>"2170585219                    "</f>
        <v xml:space="preserve">2170585219 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4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1</v>
      </c>
      <c r="BJ214" s="2">
        <v>0.2</v>
      </c>
      <c r="BK214" s="2">
        <v>1</v>
      </c>
      <c r="BL214" s="2">
        <v>41.44</v>
      </c>
      <c r="BM214" s="2">
        <v>5.8</v>
      </c>
      <c r="BN214" s="2">
        <v>47.24</v>
      </c>
      <c r="BO214" s="2">
        <v>47.24</v>
      </c>
      <c r="BP214" s="2"/>
      <c r="BQ214" s="2" t="s">
        <v>666</v>
      </c>
      <c r="BR214" s="2" t="s">
        <v>84</v>
      </c>
      <c r="BS214" s="3">
        <v>42964</v>
      </c>
      <c r="BT214" s="4">
        <v>0.44305555555555554</v>
      </c>
      <c r="BU214" s="2" t="s">
        <v>667</v>
      </c>
      <c r="BV214" s="2" t="s">
        <v>95</v>
      </c>
      <c r="BW214" s="2"/>
      <c r="BX214" s="2"/>
      <c r="BY214" s="2">
        <v>1200</v>
      </c>
      <c r="BZ214" s="2" t="s">
        <v>27</v>
      </c>
      <c r="CA214" s="2" t="s">
        <v>668</v>
      </c>
      <c r="CB214" s="2"/>
      <c r="CC214" s="2" t="s">
        <v>354</v>
      </c>
      <c r="CD214" s="2">
        <v>3699</v>
      </c>
      <c r="CE214" s="2" t="s">
        <v>104</v>
      </c>
      <c r="CF214" s="5">
        <v>42965</v>
      </c>
      <c r="CG214" s="2"/>
      <c r="CH214" s="2"/>
      <c r="CI214" s="2">
        <v>1</v>
      </c>
      <c r="CJ214" s="2">
        <v>1</v>
      </c>
      <c r="CK214" s="2">
        <v>21</v>
      </c>
      <c r="CL214" s="2" t="s">
        <v>86</v>
      </c>
      <c r="CM214" s="2"/>
    </row>
    <row r="215" spans="1:91">
      <c r="A215" s="2" t="s">
        <v>71</v>
      </c>
      <c r="B215" s="2" t="s">
        <v>72</v>
      </c>
      <c r="C215" s="2" t="s">
        <v>73</v>
      </c>
      <c r="D215" s="2"/>
      <c r="E215" s="2" t="str">
        <f>"FES1162569368"</f>
        <v>FES1162569368</v>
      </c>
      <c r="F215" s="3">
        <v>42963</v>
      </c>
      <c r="G215" s="2">
        <v>201802</v>
      </c>
      <c r="H215" s="2" t="s">
        <v>74</v>
      </c>
      <c r="I215" s="2" t="s">
        <v>75</v>
      </c>
      <c r="J215" s="2" t="s">
        <v>76</v>
      </c>
      <c r="K215" s="2" t="s">
        <v>77</v>
      </c>
      <c r="L215" s="2" t="s">
        <v>237</v>
      </c>
      <c r="M215" s="2" t="s">
        <v>238</v>
      </c>
      <c r="N215" s="2" t="s">
        <v>669</v>
      </c>
      <c r="O215" s="2" t="s">
        <v>100</v>
      </c>
      <c r="P215" s="2" t="str">
        <f>"2170584748                    "</f>
        <v xml:space="preserve">2170584748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4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1</v>
      </c>
      <c r="BJ215" s="2">
        <v>0.2</v>
      </c>
      <c r="BK215" s="2">
        <v>1</v>
      </c>
      <c r="BL215" s="2">
        <v>41.44</v>
      </c>
      <c r="BM215" s="2">
        <v>5.8</v>
      </c>
      <c r="BN215" s="2">
        <v>47.24</v>
      </c>
      <c r="BO215" s="2">
        <v>47.24</v>
      </c>
      <c r="BP215" s="2"/>
      <c r="BQ215" s="2" t="s">
        <v>670</v>
      </c>
      <c r="BR215" s="2" t="s">
        <v>84</v>
      </c>
      <c r="BS215" s="3">
        <v>42964</v>
      </c>
      <c r="BT215" s="4">
        <v>0.40972222222222227</v>
      </c>
      <c r="BU215" s="2" t="s">
        <v>671</v>
      </c>
      <c r="BV215" s="2" t="s">
        <v>95</v>
      </c>
      <c r="BW215" s="2"/>
      <c r="BX215" s="2"/>
      <c r="BY215" s="2">
        <v>1200</v>
      </c>
      <c r="BZ215" s="2" t="s">
        <v>27</v>
      </c>
      <c r="CA215" s="2" t="s">
        <v>672</v>
      </c>
      <c r="CB215" s="2"/>
      <c r="CC215" s="2" t="s">
        <v>238</v>
      </c>
      <c r="CD215" s="2">
        <v>3610</v>
      </c>
      <c r="CE215" s="2" t="s">
        <v>104</v>
      </c>
      <c r="CF215" s="5">
        <v>42965</v>
      </c>
      <c r="CG215" s="2"/>
      <c r="CH215" s="2"/>
      <c r="CI215" s="2">
        <v>1</v>
      </c>
      <c r="CJ215" s="2">
        <v>1</v>
      </c>
      <c r="CK215" s="2">
        <v>21</v>
      </c>
      <c r="CL215" s="2" t="s">
        <v>86</v>
      </c>
      <c r="CM215" s="2"/>
    </row>
    <row r="216" spans="1:91">
      <c r="A216" s="2" t="s">
        <v>71</v>
      </c>
      <c r="B216" s="2" t="s">
        <v>72</v>
      </c>
      <c r="C216" s="2" t="s">
        <v>73</v>
      </c>
      <c r="D216" s="2"/>
      <c r="E216" s="2" t="str">
        <f>"FES1162569165"</f>
        <v>FES1162569165</v>
      </c>
      <c r="F216" s="3">
        <v>42963</v>
      </c>
      <c r="G216" s="2">
        <v>201802</v>
      </c>
      <c r="H216" s="2" t="s">
        <v>74</v>
      </c>
      <c r="I216" s="2" t="s">
        <v>75</v>
      </c>
      <c r="J216" s="2" t="s">
        <v>76</v>
      </c>
      <c r="K216" s="2" t="s">
        <v>77</v>
      </c>
      <c r="L216" s="2" t="s">
        <v>237</v>
      </c>
      <c r="M216" s="2" t="s">
        <v>238</v>
      </c>
      <c r="N216" s="2" t="s">
        <v>673</v>
      </c>
      <c r="O216" s="2" t="s">
        <v>100</v>
      </c>
      <c r="P216" s="2" t="str">
        <f>"2170583737                    "</f>
        <v xml:space="preserve">2170583737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4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1</v>
      </c>
      <c r="BJ216" s="2">
        <v>0.2</v>
      </c>
      <c r="BK216" s="2">
        <v>1</v>
      </c>
      <c r="BL216" s="2">
        <v>41.44</v>
      </c>
      <c r="BM216" s="2">
        <v>5.8</v>
      </c>
      <c r="BN216" s="2">
        <v>47.24</v>
      </c>
      <c r="BO216" s="2">
        <v>47.24</v>
      </c>
      <c r="BP216" s="2"/>
      <c r="BQ216" s="2" t="s">
        <v>83</v>
      </c>
      <c r="BR216" s="2" t="s">
        <v>84</v>
      </c>
      <c r="BS216" s="3">
        <v>42964</v>
      </c>
      <c r="BT216" s="4">
        <v>0.3979166666666667</v>
      </c>
      <c r="BU216" s="2" t="s">
        <v>674</v>
      </c>
      <c r="BV216" s="2" t="s">
        <v>95</v>
      </c>
      <c r="BW216" s="2"/>
      <c r="BX216" s="2"/>
      <c r="BY216" s="2">
        <v>1200</v>
      </c>
      <c r="BZ216" s="2" t="s">
        <v>27</v>
      </c>
      <c r="CA216" s="2" t="s">
        <v>401</v>
      </c>
      <c r="CB216" s="2"/>
      <c r="CC216" s="2" t="s">
        <v>238</v>
      </c>
      <c r="CD216" s="2">
        <v>3610</v>
      </c>
      <c r="CE216" s="2" t="s">
        <v>104</v>
      </c>
      <c r="CF216" s="5">
        <v>42970</v>
      </c>
      <c r="CG216" s="2"/>
      <c r="CH216" s="2"/>
      <c r="CI216" s="2">
        <v>1</v>
      </c>
      <c r="CJ216" s="2">
        <v>1</v>
      </c>
      <c r="CK216" s="2">
        <v>21</v>
      </c>
      <c r="CL216" s="2" t="s">
        <v>86</v>
      </c>
      <c r="CM216" s="2"/>
    </row>
    <row r="217" spans="1:91">
      <c r="A217" s="2" t="s">
        <v>71</v>
      </c>
      <c r="B217" s="2" t="s">
        <v>72</v>
      </c>
      <c r="C217" s="2" t="s">
        <v>73</v>
      </c>
      <c r="D217" s="2"/>
      <c r="E217" s="2" t="str">
        <f>"FES1162569167"</f>
        <v>FES1162569167</v>
      </c>
      <c r="F217" s="3">
        <v>42963</v>
      </c>
      <c r="G217" s="2">
        <v>201802</v>
      </c>
      <c r="H217" s="2" t="s">
        <v>74</v>
      </c>
      <c r="I217" s="2" t="s">
        <v>75</v>
      </c>
      <c r="J217" s="2" t="s">
        <v>76</v>
      </c>
      <c r="K217" s="2" t="s">
        <v>77</v>
      </c>
      <c r="L217" s="2" t="s">
        <v>221</v>
      </c>
      <c r="M217" s="2" t="s">
        <v>222</v>
      </c>
      <c r="N217" s="2" t="s">
        <v>675</v>
      </c>
      <c r="O217" s="2" t="s">
        <v>100</v>
      </c>
      <c r="P217" s="2" t="str">
        <f>"2170583833                    "</f>
        <v xml:space="preserve">2170583833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4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1</v>
      </c>
      <c r="BJ217" s="2">
        <v>0.2</v>
      </c>
      <c r="BK217" s="2">
        <v>1</v>
      </c>
      <c r="BL217" s="2">
        <v>41.44</v>
      </c>
      <c r="BM217" s="2">
        <v>5.8</v>
      </c>
      <c r="BN217" s="2">
        <v>47.24</v>
      </c>
      <c r="BO217" s="2">
        <v>47.24</v>
      </c>
      <c r="BP217" s="2"/>
      <c r="BQ217" s="2" t="s">
        <v>83</v>
      </c>
      <c r="BR217" s="2" t="s">
        <v>84</v>
      </c>
      <c r="BS217" s="3">
        <v>42964</v>
      </c>
      <c r="BT217" s="4">
        <v>0.3611111111111111</v>
      </c>
      <c r="BU217" s="2" t="s">
        <v>676</v>
      </c>
      <c r="BV217" s="2" t="s">
        <v>95</v>
      </c>
      <c r="BW217" s="2"/>
      <c r="BX217" s="2"/>
      <c r="BY217" s="2">
        <v>1200</v>
      </c>
      <c r="BZ217" s="2" t="s">
        <v>27</v>
      </c>
      <c r="CA217" s="2" t="s">
        <v>225</v>
      </c>
      <c r="CB217" s="2"/>
      <c r="CC217" s="2" t="s">
        <v>222</v>
      </c>
      <c r="CD217" s="2">
        <v>4300</v>
      </c>
      <c r="CE217" s="2" t="s">
        <v>104</v>
      </c>
      <c r="CF217" s="5">
        <v>42965</v>
      </c>
      <c r="CG217" s="2"/>
      <c r="CH217" s="2"/>
      <c r="CI217" s="2">
        <v>1</v>
      </c>
      <c r="CJ217" s="2">
        <v>1</v>
      </c>
      <c r="CK217" s="2">
        <v>21</v>
      </c>
      <c r="CL217" s="2" t="s">
        <v>86</v>
      </c>
      <c r="CM217" s="2"/>
    </row>
    <row r="218" spans="1:91">
      <c r="A218" s="2" t="s">
        <v>71</v>
      </c>
      <c r="B218" s="2" t="s">
        <v>72</v>
      </c>
      <c r="C218" s="2" t="s">
        <v>73</v>
      </c>
      <c r="D218" s="2"/>
      <c r="E218" s="2" t="str">
        <f>"FES1162569272"</f>
        <v>FES1162569272</v>
      </c>
      <c r="F218" s="3">
        <v>42963</v>
      </c>
      <c r="G218" s="2">
        <v>201802</v>
      </c>
      <c r="H218" s="2" t="s">
        <v>74</v>
      </c>
      <c r="I218" s="2" t="s">
        <v>75</v>
      </c>
      <c r="J218" s="2" t="s">
        <v>76</v>
      </c>
      <c r="K218" s="2" t="s">
        <v>77</v>
      </c>
      <c r="L218" s="2" t="s">
        <v>237</v>
      </c>
      <c r="M218" s="2" t="s">
        <v>238</v>
      </c>
      <c r="N218" s="2" t="s">
        <v>669</v>
      </c>
      <c r="O218" s="2" t="s">
        <v>100</v>
      </c>
      <c r="P218" s="2" t="str">
        <f>"2170585176                    "</f>
        <v xml:space="preserve">2170585176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4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1</v>
      </c>
      <c r="BJ218" s="2">
        <v>0.2</v>
      </c>
      <c r="BK218" s="2">
        <v>1</v>
      </c>
      <c r="BL218" s="2">
        <v>41.44</v>
      </c>
      <c r="BM218" s="2">
        <v>5.8</v>
      </c>
      <c r="BN218" s="2">
        <v>47.24</v>
      </c>
      <c r="BO218" s="2">
        <v>47.24</v>
      </c>
      <c r="BP218" s="2"/>
      <c r="BQ218" s="2" t="s">
        <v>670</v>
      </c>
      <c r="BR218" s="2" t="s">
        <v>84</v>
      </c>
      <c r="BS218" s="3">
        <v>42964</v>
      </c>
      <c r="BT218" s="4">
        <v>0.40902777777777777</v>
      </c>
      <c r="BU218" s="2" t="s">
        <v>671</v>
      </c>
      <c r="BV218" s="2" t="s">
        <v>95</v>
      </c>
      <c r="BW218" s="2"/>
      <c r="BX218" s="2"/>
      <c r="BY218" s="2">
        <v>1200</v>
      </c>
      <c r="BZ218" s="2" t="s">
        <v>27</v>
      </c>
      <c r="CA218" s="2" t="s">
        <v>672</v>
      </c>
      <c r="CB218" s="2"/>
      <c r="CC218" s="2" t="s">
        <v>238</v>
      </c>
      <c r="CD218" s="2">
        <v>3610</v>
      </c>
      <c r="CE218" s="2" t="s">
        <v>104</v>
      </c>
      <c r="CF218" s="5">
        <v>42965</v>
      </c>
      <c r="CG218" s="2"/>
      <c r="CH218" s="2"/>
      <c r="CI218" s="2">
        <v>1</v>
      </c>
      <c r="CJ218" s="2">
        <v>1</v>
      </c>
      <c r="CK218" s="2">
        <v>21</v>
      </c>
      <c r="CL218" s="2" t="s">
        <v>86</v>
      </c>
      <c r="CM218" s="2"/>
    </row>
    <row r="219" spans="1:91">
      <c r="A219" s="2" t="s">
        <v>71</v>
      </c>
      <c r="B219" s="2" t="s">
        <v>72</v>
      </c>
      <c r="C219" s="2" t="s">
        <v>73</v>
      </c>
      <c r="D219" s="2"/>
      <c r="E219" s="2" t="str">
        <f>"FES1162569250"</f>
        <v>FES1162569250</v>
      </c>
      <c r="F219" s="3">
        <v>42963</v>
      </c>
      <c r="G219" s="2">
        <v>201802</v>
      </c>
      <c r="H219" s="2" t="s">
        <v>74</v>
      </c>
      <c r="I219" s="2" t="s">
        <v>75</v>
      </c>
      <c r="J219" s="2" t="s">
        <v>76</v>
      </c>
      <c r="K219" s="2" t="s">
        <v>77</v>
      </c>
      <c r="L219" s="2" t="s">
        <v>237</v>
      </c>
      <c r="M219" s="2" t="s">
        <v>238</v>
      </c>
      <c r="N219" s="2" t="s">
        <v>669</v>
      </c>
      <c r="O219" s="2" t="s">
        <v>100</v>
      </c>
      <c r="P219" s="2" t="str">
        <f>"2170583631                    "</f>
        <v xml:space="preserve">2170583631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4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1</v>
      </c>
      <c r="BJ219" s="2">
        <v>0.2</v>
      </c>
      <c r="BK219" s="2">
        <v>1</v>
      </c>
      <c r="BL219" s="2">
        <v>41.44</v>
      </c>
      <c r="BM219" s="2">
        <v>5.8</v>
      </c>
      <c r="BN219" s="2">
        <v>47.24</v>
      </c>
      <c r="BO219" s="2">
        <v>47.24</v>
      </c>
      <c r="BP219" s="2"/>
      <c r="BQ219" s="2" t="s">
        <v>670</v>
      </c>
      <c r="BR219" s="2" t="s">
        <v>84</v>
      </c>
      <c r="BS219" s="3">
        <v>42964</v>
      </c>
      <c r="BT219" s="4">
        <v>0.40972222222222227</v>
      </c>
      <c r="BU219" s="2" t="s">
        <v>677</v>
      </c>
      <c r="BV219" s="2" t="s">
        <v>95</v>
      </c>
      <c r="BW219" s="2"/>
      <c r="BX219" s="2"/>
      <c r="BY219" s="2">
        <v>1200</v>
      </c>
      <c r="BZ219" s="2" t="s">
        <v>27</v>
      </c>
      <c r="CA219" s="2" t="s">
        <v>672</v>
      </c>
      <c r="CB219" s="2"/>
      <c r="CC219" s="2" t="s">
        <v>238</v>
      </c>
      <c r="CD219" s="2">
        <v>3610</v>
      </c>
      <c r="CE219" s="2" t="s">
        <v>104</v>
      </c>
      <c r="CF219" s="5">
        <v>42965</v>
      </c>
      <c r="CG219" s="2"/>
      <c r="CH219" s="2"/>
      <c r="CI219" s="2">
        <v>1</v>
      </c>
      <c r="CJ219" s="2">
        <v>1</v>
      </c>
      <c r="CK219" s="2">
        <v>21</v>
      </c>
      <c r="CL219" s="2" t="s">
        <v>86</v>
      </c>
      <c r="CM219" s="2"/>
    </row>
    <row r="220" spans="1:91">
      <c r="A220" s="2" t="s">
        <v>71</v>
      </c>
      <c r="B220" s="2" t="s">
        <v>72</v>
      </c>
      <c r="C220" s="2" t="s">
        <v>73</v>
      </c>
      <c r="D220" s="2"/>
      <c r="E220" s="2" t="str">
        <f>"FES1162569175"</f>
        <v>FES1162569175</v>
      </c>
      <c r="F220" s="3">
        <v>42963</v>
      </c>
      <c r="G220" s="2">
        <v>201802</v>
      </c>
      <c r="H220" s="2" t="s">
        <v>74</v>
      </c>
      <c r="I220" s="2" t="s">
        <v>75</v>
      </c>
      <c r="J220" s="2" t="s">
        <v>76</v>
      </c>
      <c r="K220" s="2" t="s">
        <v>77</v>
      </c>
      <c r="L220" s="2" t="s">
        <v>237</v>
      </c>
      <c r="M220" s="2" t="s">
        <v>238</v>
      </c>
      <c r="N220" s="2" t="s">
        <v>678</v>
      </c>
      <c r="O220" s="2" t="s">
        <v>100</v>
      </c>
      <c r="P220" s="2" t="str">
        <f>"2170584482                    "</f>
        <v xml:space="preserve">2170584482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4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1</v>
      </c>
      <c r="BJ220" s="2">
        <v>0.2</v>
      </c>
      <c r="BK220" s="2">
        <v>1</v>
      </c>
      <c r="BL220" s="2">
        <v>41.44</v>
      </c>
      <c r="BM220" s="2">
        <v>5.8</v>
      </c>
      <c r="BN220" s="2">
        <v>47.24</v>
      </c>
      <c r="BO220" s="2">
        <v>47.24</v>
      </c>
      <c r="BP220" s="2"/>
      <c r="BQ220" s="2" t="s">
        <v>679</v>
      </c>
      <c r="BR220" s="2" t="s">
        <v>84</v>
      </c>
      <c r="BS220" s="3">
        <v>42964</v>
      </c>
      <c r="BT220" s="4">
        <v>0.33611111111111108</v>
      </c>
      <c r="BU220" s="2" t="s">
        <v>680</v>
      </c>
      <c r="BV220" s="2" t="s">
        <v>95</v>
      </c>
      <c r="BW220" s="2"/>
      <c r="BX220" s="2"/>
      <c r="BY220" s="2">
        <v>1200</v>
      </c>
      <c r="BZ220" s="2" t="s">
        <v>27</v>
      </c>
      <c r="CA220" s="2" t="s">
        <v>672</v>
      </c>
      <c r="CB220" s="2"/>
      <c r="CC220" s="2" t="s">
        <v>238</v>
      </c>
      <c r="CD220" s="2">
        <v>3610</v>
      </c>
      <c r="CE220" s="2" t="s">
        <v>104</v>
      </c>
      <c r="CF220" s="5">
        <v>42965</v>
      </c>
      <c r="CG220" s="2"/>
      <c r="CH220" s="2"/>
      <c r="CI220" s="2">
        <v>1</v>
      </c>
      <c r="CJ220" s="2">
        <v>1</v>
      </c>
      <c r="CK220" s="2">
        <v>21</v>
      </c>
      <c r="CL220" s="2" t="s">
        <v>86</v>
      </c>
      <c r="CM220" s="2"/>
    </row>
    <row r="221" spans="1:91">
      <c r="A221" s="2" t="s">
        <v>71</v>
      </c>
      <c r="B221" s="2" t="s">
        <v>72</v>
      </c>
      <c r="C221" s="2" t="s">
        <v>73</v>
      </c>
      <c r="D221" s="2"/>
      <c r="E221" s="2" t="str">
        <f>"FES1162569409"</f>
        <v>FES1162569409</v>
      </c>
      <c r="F221" s="3">
        <v>42963</v>
      </c>
      <c r="G221" s="2">
        <v>201802</v>
      </c>
      <c r="H221" s="2" t="s">
        <v>74</v>
      </c>
      <c r="I221" s="2" t="s">
        <v>75</v>
      </c>
      <c r="J221" s="2" t="s">
        <v>76</v>
      </c>
      <c r="K221" s="2" t="s">
        <v>77</v>
      </c>
      <c r="L221" s="2" t="s">
        <v>149</v>
      </c>
      <c r="M221" s="2" t="s">
        <v>150</v>
      </c>
      <c r="N221" s="2" t="s">
        <v>503</v>
      </c>
      <c r="O221" s="2" t="s">
        <v>100</v>
      </c>
      <c r="P221" s="2" t="str">
        <f>"2170585260                    "</f>
        <v xml:space="preserve">2170585260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4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0.2</v>
      </c>
      <c r="BK221" s="2">
        <v>1</v>
      </c>
      <c r="BL221" s="2">
        <v>41.44</v>
      </c>
      <c r="BM221" s="2">
        <v>5.8</v>
      </c>
      <c r="BN221" s="2">
        <v>47.24</v>
      </c>
      <c r="BO221" s="2">
        <v>47.24</v>
      </c>
      <c r="BP221" s="2"/>
      <c r="BQ221" s="2" t="s">
        <v>504</v>
      </c>
      <c r="BR221" s="2" t="s">
        <v>84</v>
      </c>
      <c r="BS221" s="3">
        <v>42964</v>
      </c>
      <c r="BT221" s="4">
        <v>0.43472222222222223</v>
      </c>
      <c r="BU221" s="2" t="s">
        <v>681</v>
      </c>
      <c r="BV221" s="2" t="s">
        <v>95</v>
      </c>
      <c r="BW221" s="2"/>
      <c r="BX221" s="2"/>
      <c r="BY221" s="2">
        <v>1200</v>
      </c>
      <c r="BZ221" s="2" t="s">
        <v>27</v>
      </c>
      <c r="CA221" s="2" t="s">
        <v>682</v>
      </c>
      <c r="CB221" s="2"/>
      <c r="CC221" s="2" t="s">
        <v>150</v>
      </c>
      <c r="CD221" s="2">
        <v>4001</v>
      </c>
      <c r="CE221" s="2" t="s">
        <v>104</v>
      </c>
      <c r="CF221" s="5">
        <v>42965</v>
      </c>
      <c r="CG221" s="2"/>
      <c r="CH221" s="2"/>
      <c r="CI221" s="2">
        <v>1</v>
      </c>
      <c r="CJ221" s="2">
        <v>1</v>
      </c>
      <c r="CK221" s="2">
        <v>21</v>
      </c>
      <c r="CL221" s="2" t="s">
        <v>86</v>
      </c>
      <c r="CM221" s="2"/>
    </row>
    <row r="222" spans="1:91">
      <c r="A222" s="2" t="s">
        <v>71</v>
      </c>
      <c r="B222" s="2" t="s">
        <v>72</v>
      </c>
      <c r="C222" s="2" t="s">
        <v>73</v>
      </c>
      <c r="D222" s="2"/>
      <c r="E222" s="2" t="str">
        <f>"FES1162569254"</f>
        <v>FES1162569254</v>
      </c>
      <c r="F222" s="3">
        <v>42963</v>
      </c>
      <c r="G222" s="2">
        <v>201802</v>
      </c>
      <c r="H222" s="2" t="s">
        <v>74</v>
      </c>
      <c r="I222" s="2" t="s">
        <v>75</v>
      </c>
      <c r="J222" s="2" t="s">
        <v>76</v>
      </c>
      <c r="K222" s="2" t="s">
        <v>77</v>
      </c>
      <c r="L222" s="2" t="s">
        <v>362</v>
      </c>
      <c r="M222" s="2" t="s">
        <v>363</v>
      </c>
      <c r="N222" s="2" t="s">
        <v>683</v>
      </c>
      <c r="O222" s="2" t="s">
        <v>100</v>
      </c>
      <c r="P222" s="2" t="str">
        <f>"2170584536                    "</f>
        <v xml:space="preserve">2170584536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4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0.3</v>
      </c>
      <c r="BJ222" s="2">
        <v>1.1000000000000001</v>
      </c>
      <c r="BK222" s="2">
        <v>1.5</v>
      </c>
      <c r="BL222" s="2">
        <v>41.44</v>
      </c>
      <c r="BM222" s="2">
        <v>5.8</v>
      </c>
      <c r="BN222" s="2">
        <v>47.24</v>
      </c>
      <c r="BO222" s="2">
        <v>47.24</v>
      </c>
      <c r="BP222" s="2"/>
      <c r="BQ222" s="2" t="s">
        <v>108</v>
      </c>
      <c r="BR222" s="2" t="s">
        <v>84</v>
      </c>
      <c r="BS222" s="3">
        <v>42964</v>
      </c>
      <c r="BT222" s="4">
        <v>0.42083333333333334</v>
      </c>
      <c r="BU222" s="2" t="s">
        <v>684</v>
      </c>
      <c r="BV222" s="2" t="s">
        <v>95</v>
      </c>
      <c r="BW222" s="2"/>
      <c r="BX222" s="2"/>
      <c r="BY222" s="2">
        <v>5300.3</v>
      </c>
      <c r="BZ222" s="2" t="s">
        <v>27</v>
      </c>
      <c r="CA222" s="2" t="s">
        <v>685</v>
      </c>
      <c r="CB222" s="2"/>
      <c r="CC222" s="2" t="s">
        <v>363</v>
      </c>
      <c r="CD222" s="2">
        <v>3201</v>
      </c>
      <c r="CE222" s="2" t="s">
        <v>104</v>
      </c>
      <c r="CF222" s="5">
        <v>42965</v>
      </c>
      <c r="CG222" s="2"/>
      <c r="CH222" s="2"/>
      <c r="CI222" s="2">
        <v>1</v>
      </c>
      <c r="CJ222" s="2">
        <v>1</v>
      </c>
      <c r="CK222" s="2">
        <v>21</v>
      </c>
      <c r="CL222" s="2" t="s">
        <v>86</v>
      </c>
      <c r="CM222" s="2"/>
    </row>
    <row r="223" spans="1:91">
      <c r="A223" s="2" t="s">
        <v>71</v>
      </c>
      <c r="B223" s="2" t="s">
        <v>72</v>
      </c>
      <c r="C223" s="2" t="s">
        <v>73</v>
      </c>
      <c r="D223" s="2"/>
      <c r="E223" s="2" t="str">
        <f>"FES1162569400"</f>
        <v>FES1162569400</v>
      </c>
      <c r="F223" s="3">
        <v>42963</v>
      </c>
      <c r="G223" s="2">
        <v>201802</v>
      </c>
      <c r="H223" s="2" t="s">
        <v>74</v>
      </c>
      <c r="I223" s="2" t="s">
        <v>75</v>
      </c>
      <c r="J223" s="2" t="s">
        <v>76</v>
      </c>
      <c r="K223" s="2" t="s">
        <v>77</v>
      </c>
      <c r="L223" s="2" t="s">
        <v>353</v>
      </c>
      <c r="M223" s="2" t="s">
        <v>354</v>
      </c>
      <c r="N223" s="2" t="s">
        <v>686</v>
      </c>
      <c r="O223" s="2" t="s">
        <v>100</v>
      </c>
      <c r="P223" s="2" t="str">
        <f>"2170585243                    "</f>
        <v xml:space="preserve">2170585243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4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1</v>
      </c>
      <c r="BJ223" s="2">
        <v>0.2</v>
      </c>
      <c r="BK223" s="2">
        <v>1</v>
      </c>
      <c r="BL223" s="2">
        <v>41.44</v>
      </c>
      <c r="BM223" s="2">
        <v>5.8</v>
      </c>
      <c r="BN223" s="2">
        <v>47.24</v>
      </c>
      <c r="BO223" s="2">
        <v>47.24</v>
      </c>
      <c r="BP223" s="2"/>
      <c r="BQ223" s="2" t="s">
        <v>108</v>
      </c>
      <c r="BR223" s="2" t="s">
        <v>84</v>
      </c>
      <c r="BS223" s="3">
        <v>42964</v>
      </c>
      <c r="BT223" s="4">
        <v>0.4375</v>
      </c>
      <c r="BU223" s="2" t="s">
        <v>687</v>
      </c>
      <c r="BV223" s="2" t="s">
        <v>95</v>
      </c>
      <c r="BW223" s="2"/>
      <c r="BX223" s="2"/>
      <c r="BY223" s="2">
        <v>1200</v>
      </c>
      <c r="BZ223" s="2" t="s">
        <v>27</v>
      </c>
      <c r="CA223" s="2" t="s">
        <v>668</v>
      </c>
      <c r="CB223" s="2"/>
      <c r="CC223" s="2" t="s">
        <v>354</v>
      </c>
      <c r="CD223" s="2">
        <v>3699</v>
      </c>
      <c r="CE223" s="2" t="s">
        <v>104</v>
      </c>
      <c r="CF223" s="5">
        <v>42965</v>
      </c>
      <c r="CG223" s="2"/>
      <c r="CH223" s="2"/>
      <c r="CI223" s="2">
        <v>1</v>
      </c>
      <c r="CJ223" s="2">
        <v>1</v>
      </c>
      <c r="CK223" s="2">
        <v>21</v>
      </c>
      <c r="CL223" s="2" t="s">
        <v>86</v>
      </c>
      <c r="CM223" s="2"/>
    </row>
    <row r="224" spans="1:91">
      <c r="A224" s="2" t="s">
        <v>71</v>
      </c>
      <c r="B224" s="2" t="s">
        <v>72</v>
      </c>
      <c r="C224" s="2" t="s">
        <v>73</v>
      </c>
      <c r="D224" s="2"/>
      <c r="E224" s="2" t="str">
        <f>"FES1162569157"</f>
        <v>FES1162569157</v>
      </c>
      <c r="F224" s="3">
        <v>42963</v>
      </c>
      <c r="G224" s="2">
        <v>201802</v>
      </c>
      <c r="H224" s="2" t="s">
        <v>74</v>
      </c>
      <c r="I224" s="2" t="s">
        <v>75</v>
      </c>
      <c r="J224" s="2" t="s">
        <v>76</v>
      </c>
      <c r="K224" s="2" t="s">
        <v>77</v>
      </c>
      <c r="L224" s="2" t="s">
        <v>688</v>
      </c>
      <c r="M224" s="2" t="s">
        <v>689</v>
      </c>
      <c r="N224" s="2" t="s">
        <v>690</v>
      </c>
      <c r="O224" s="2" t="s">
        <v>100</v>
      </c>
      <c r="P224" s="2" t="str">
        <f>"2170583170                    "</f>
        <v xml:space="preserve">2170583170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7.75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0.6</v>
      </c>
      <c r="BJ224" s="2">
        <v>1.5</v>
      </c>
      <c r="BK224" s="2">
        <v>1.5</v>
      </c>
      <c r="BL224" s="2">
        <v>80.290000000000006</v>
      </c>
      <c r="BM224" s="2">
        <v>11.24</v>
      </c>
      <c r="BN224" s="2">
        <v>91.53</v>
      </c>
      <c r="BO224" s="2">
        <v>91.53</v>
      </c>
      <c r="BP224" s="2"/>
      <c r="BQ224" s="2" t="s">
        <v>83</v>
      </c>
      <c r="BR224" s="2" t="s">
        <v>84</v>
      </c>
      <c r="BS224" s="3">
        <v>42964</v>
      </c>
      <c r="BT224" s="4">
        <v>0.39583333333333331</v>
      </c>
      <c r="BU224" s="2" t="s">
        <v>691</v>
      </c>
      <c r="BV224" s="2" t="s">
        <v>95</v>
      </c>
      <c r="BW224" s="2"/>
      <c r="BX224" s="2"/>
      <c r="BY224" s="2">
        <v>7511.62</v>
      </c>
      <c r="BZ224" s="2" t="s">
        <v>27</v>
      </c>
      <c r="CA224" s="2" t="s">
        <v>692</v>
      </c>
      <c r="CB224" s="2"/>
      <c r="CC224" s="2" t="s">
        <v>689</v>
      </c>
      <c r="CD224" s="2">
        <v>9880</v>
      </c>
      <c r="CE224" s="2" t="s">
        <v>104</v>
      </c>
      <c r="CF224" s="5">
        <v>42968</v>
      </c>
      <c r="CG224" s="2"/>
      <c r="CH224" s="2"/>
      <c r="CI224" s="2">
        <v>1</v>
      </c>
      <c r="CJ224" s="2">
        <v>1</v>
      </c>
      <c r="CK224" s="2">
        <v>23</v>
      </c>
      <c r="CL224" s="2" t="s">
        <v>86</v>
      </c>
      <c r="CM224" s="2"/>
    </row>
    <row r="225" spans="1:91">
      <c r="A225" s="2" t="s">
        <v>71</v>
      </c>
      <c r="B225" s="2" t="s">
        <v>72</v>
      </c>
      <c r="C225" s="2" t="s">
        <v>73</v>
      </c>
      <c r="D225" s="2"/>
      <c r="E225" s="2" t="str">
        <f>"FES1162569306"</f>
        <v>FES1162569306</v>
      </c>
      <c r="F225" s="3">
        <v>42963</v>
      </c>
      <c r="G225" s="2">
        <v>201802</v>
      </c>
      <c r="H225" s="2" t="s">
        <v>74</v>
      </c>
      <c r="I225" s="2" t="s">
        <v>75</v>
      </c>
      <c r="J225" s="2" t="s">
        <v>76</v>
      </c>
      <c r="K225" s="2" t="s">
        <v>77</v>
      </c>
      <c r="L225" s="2" t="s">
        <v>688</v>
      </c>
      <c r="M225" s="2" t="s">
        <v>689</v>
      </c>
      <c r="N225" s="2" t="s">
        <v>690</v>
      </c>
      <c r="O225" s="2" t="s">
        <v>100</v>
      </c>
      <c r="P225" s="2" t="str">
        <f>"2170583170                    "</f>
        <v xml:space="preserve">2170583170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7.75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</v>
      </c>
      <c r="BJ225" s="2">
        <v>0.2</v>
      </c>
      <c r="BK225" s="2">
        <v>1</v>
      </c>
      <c r="BL225" s="2">
        <v>80.290000000000006</v>
      </c>
      <c r="BM225" s="2">
        <v>11.24</v>
      </c>
      <c r="BN225" s="2">
        <v>91.53</v>
      </c>
      <c r="BO225" s="2">
        <v>91.53</v>
      </c>
      <c r="BP225" s="2"/>
      <c r="BQ225" s="2" t="s">
        <v>83</v>
      </c>
      <c r="BR225" s="2" t="s">
        <v>84</v>
      </c>
      <c r="BS225" s="3">
        <v>42964</v>
      </c>
      <c r="BT225" s="4">
        <v>0.39583333333333331</v>
      </c>
      <c r="BU225" s="2" t="s">
        <v>691</v>
      </c>
      <c r="BV225" s="2" t="s">
        <v>95</v>
      </c>
      <c r="BW225" s="2"/>
      <c r="BX225" s="2"/>
      <c r="BY225" s="2">
        <v>1200</v>
      </c>
      <c r="BZ225" s="2" t="s">
        <v>27</v>
      </c>
      <c r="CA225" s="2" t="s">
        <v>692</v>
      </c>
      <c r="CB225" s="2"/>
      <c r="CC225" s="2" t="s">
        <v>689</v>
      </c>
      <c r="CD225" s="2">
        <v>9880</v>
      </c>
      <c r="CE225" s="2" t="s">
        <v>104</v>
      </c>
      <c r="CF225" s="5">
        <v>42968</v>
      </c>
      <c r="CG225" s="2"/>
      <c r="CH225" s="2"/>
      <c r="CI225" s="2">
        <v>1</v>
      </c>
      <c r="CJ225" s="2">
        <v>1</v>
      </c>
      <c r="CK225" s="2">
        <v>23</v>
      </c>
      <c r="CL225" s="2" t="s">
        <v>86</v>
      </c>
      <c r="CM225" s="2"/>
    </row>
    <row r="226" spans="1:91">
      <c r="A226" s="2" t="s">
        <v>71</v>
      </c>
      <c r="B226" s="2" t="s">
        <v>72</v>
      </c>
      <c r="C226" s="2" t="s">
        <v>73</v>
      </c>
      <c r="D226" s="2"/>
      <c r="E226" s="2" t="str">
        <f>"FES1162569353"</f>
        <v>FES1162569353</v>
      </c>
      <c r="F226" s="3">
        <v>42963</v>
      </c>
      <c r="G226" s="2">
        <v>201802</v>
      </c>
      <c r="H226" s="2" t="s">
        <v>74</v>
      </c>
      <c r="I226" s="2" t="s">
        <v>75</v>
      </c>
      <c r="J226" s="2" t="s">
        <v>76</v>
      </c>
      <c r="K226" s="2" t="s">
        <v>77</v>
      </c>
      <c r="L226" s="2" t="s">
        <v>268</v>
      </c>
      <c r="M226" s="2" t="s">
        <v>269</v>
      </c>
      <c r="N226" s="2" t="s">
        <v>693</v>
      </c>
      <c r="O226" s="2" t="s">
        <v>100</v>
      </c>
      <c r="P226" s="2" t="str">
        <f>"2170582280                    "</f>
        <v xml:space="preserve">2170582280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4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1</v>
      </c>
      <c r="BJ226" s="2">
        <v>0.2</v>
      </c>
      <c r="BK226" s="2">
        <v>1</v>
      </c>
      <c r="BL226" s="2">
        <v>41.44</v>
      </c>
      <c r="BM226" s="2">
        <v>5.8</v>
      </c>
      <c r="BN226" s="2">
        <v>47.24</v>
      </c>
      <c r="BO226" s="2">
        <v>47.24</v>
      </c>
      <c r="BP226" s="2"/>
      <c r="BQ226" s="2" t="s">
        <v>108</v>
      </c>
      <c r="BR226" s="2" t="s">
        <v>84</v>
      </c>
      <c r="BS226" s="3">
        <v>42964</v>
      </c>
      <c r="BT226" s="4">
        <v>0.43055555555555558</v>
      </c>
      <c r="BU226" s="2" t="s">
        <v>694</v>
      </c>
      <c r="BV226" s="2" t="s">
        <v>95</v>
      </c>
      <c r="BW226" s="2"/>
      <c r="BX226" s="2"/>
      <c r="BY226" s="2">
        <v>1200</v>
      </c>
      <c r="BZ226" s="2" t="s">
        <v>27</v>
      </c>
      <c r="CA226" s="2"/>
      <c r="CB226" s="2"/>
      <c r="CC226" s="2" t="s">
        <v>269</v>
      </c>
      <c r="CD226" s="2">
        <v>200</v>
      </c>
      <c r="CE226" s="2" t="s">
        <v>104</v>
      </c>
      <c r="CF226" s="5">
        <v>42965</v>
      </c>
      <c r="CG226" s="2"/>
      <c r="CH226" s="2"/>
      <c r="CI226" s="2">
        <v>1</v>
      </c>
      <c r="CJ226" s="2">
        <v>1</v>
      </c>
      <c r="CK226" s="2">
        <v>21</v>
      </c>
      <c r="CL226" s="2" t="s">
        <v>86</v>
      </c>
      <c r="CM226" s="2"/>
    </row>
    <row r="227" spans="1:91">
      <c r="A227" s="2" t="s">
        <v>71</v>
      </c>
      <c r="B227" s="2" t="s">
        <v>72</v>
      </c>
      <c r="C227" s="2" t="s">
        <v>73</v>
      </c>
      <c r="D227" s="2"/>
      <c r="E227" s="2" t="str">
        <f>"FES1162569407"</f>
        <v>FES1162569407</v>
      </c>
      <c r="F227" s="3">
        <v>42963</v>
      </c>
      <c r="G227" s="2">
        <v>201802</v>
      </c>
      <c r="H227" s="2" t="s">
        <v>74</v>
      </c>
      <c r="I227" s="2" t="s">
        <v>75</v>
      </c>
      <c r="J227" s="2" t="s">
        <v>76</v>
      </c>
      <c r="K227" s="2" t="s">
        <v>77</v>
      </c>
      <c r="L227" s="2" t="s">
        <v>237</v>
      </c>
      <c r="M227" s="2" t="s">
        <v>238</v>
      </c>
      <c r="N227" s="2" t="s">
        <v>695</v>
      </c>
      <c r="O227" s="2" t="s">
        <v>100</v>
      </c>
      <c r="P227" s="2" t="str">
        <f>"2170585259                    "</f>
        <v xml:space="preserve">2170585259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4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1</v>
      </c>
      <c r="BJ227" s="2">
        <v>0.2</v>
      </c>
      <c r="BK227" s="2">
        <v>1</v>
      </c>
      <c r="BL227" s="2">
        <v>41.44</v>
      </c>
      <c r="BM227" s="2">
        <v>5.8</v>
      </c>
      <c r="BN227" s="2">
        <v>47.24</v>
      </c>
      <c r="BO227" s="2">
        <v>47.24</v>
      </c>
      <c r="BP227" s="2"/>
      <c r="BQ227" s="2" t="s">
        <v>209</v>
      </c>
      <c r="BR227" s="2" t="s">
        <v>84</v>
      </c>
      <c r="BS227" s="3">
        <v>42964</v>
      </c>
      <c r="BT227" s="4">
        <v>0.41250000000000003</v>
      </c>
      <c r="BU227" s="2" t="s">
        <v>109</v>
      </c>
      <c r="BV227" s="2" t="s">
        <v>95</v>
      </c>
      <c r="BW227" s="2"/>
      <c r="BX227" s="2"/>
      <c r="BY227" s="2">
        <v>1200</v>
      </c>
      <c r="BZ227" s="2" t="s">
        <v>27</v>
      </c>
      <c r="CA227" s="2" t="s">
        <v>389</v>
      </c>
      <c r="CB227" s="2"/>
      <c r="CC227" s="2" t="s">
        <v>238</v>
      </c>
      <c r="CD227" s="2">
        <v>3600</v>
      </c>
      <c r="CE227" s="2" t="s">
        <v>104</v>
      </c>
      <c r="CF227" s="5">
        <v>42965</v>
      </c>
      <c r="CG227" s="2"/>
      <c r="CH227" s="2"/>
      <c r="CI227" s="2">
        <v>1</v>
      </c>
      <c r="CJ227" s="2">
        <v>1</v>
      </c>
      <c r="CK227" s="2">
        <v>21</v>
      </c>
      <c r="CL227" s="2" t="s">
        <v>86</v>
      </c>
      <c r="CM227" s="2"/>
    </row>
    <row r="228" spans="1:91">
      <c r="A228" s="2" t="s">
        <v>71</v>
      </c>
      <c r="B228" s="2" t="s">
        <v>72</v>
      </c>
      <c r="C228" s="2" t="s">
        <v>73</v>
      </c>
      <c r="D228" s="2"/>
      <c r="E228" s="2" t="str">
        <f>"FES1162569273"</f>
        <v>FES1162569273</v>
      </c>
      <c r="F228" s="3">
        <v>42963</v>
      </c>
      <c r="G228" s="2">
        <v>201802</v>
      </c>
      <c r="H228" s="2" t="s">
        <v>74</v>
      </c>
      <c r="I228" s="2" t="s">
        <v>75</v>
      </c>
      <c r="J228" s="2" t="s">
        <v>76</v>
      </c>
      <c r="K228" s="2" t="s">
        <v>77</v>
      </c>
      <c r="L228" s="2" t="s">
        <v>237</v>
      </c>
      <c r="M228" s="2" t="s">
        <v>238</v>
      </c>
      <c r="N228" s="2" t="s">
        <v>695</v>
      </c>
      <c r="O228" s="2" t="s">
        <v>100</v>
      </c>
      <c r="P228" s="2" t="str">
        <f>"2170585177                    "</f>
        <v xml:space="preserve">2170585177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4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1</v>
      </c>
      <c r="BJ228" s="2">
        <v>0.2</v>
      </c>
      <c r="BK228" s="2">
        <v>1</v>
      </c>
      <c r="BL228" s="2">
        <v>41.44</v>
      </c>
      <c r="BM228" s="2">
        <v>5.8</v>
      </c>
      <c r="BN228" s="2">
        <v>47.24</v>
      </c>
      <c r="BO228" s="2">
        <v>47.24</v>
      </c>
      <c r="BP228" s="2"/>
      <c r="BQ228" s="2" t="s">
        <v>209</v>
      </c>
      <c r="BR228" s="2" t="s">
        <v>84</v>
      </c>
      <c r="BS228" s="3">
        <v>42964</v>
      </c>
      <c r="BT228" s="4">
        <v>0.41250000000000003</v>
      </c>
      <c r="BU228" s="2" t="s">
        <v>109</v>
      </c>
      <c r="BV228" s="2" t="s">
        <v>95</v>
      </c>
      <c r="BW228" s="2"/>
      <c r="BX228" s="2"/>
      <c r="BY228" s="2">
        <v>1200</v>
      </c>
      <c r="BZ228" s="2" t="s">
        <v>27</v>
      </c>
      <c r="CA228" s="2" t="s">
        <v>389</v>
      </c>
      <c r="CB228" s="2"/>
      <c r="CC228" s="2" t="s">
        <v>238</v>
      </c>
      <c r="CD228" s="2">
        <v>3600</v>
      </c>
      <c r="CE228" s="2" t="s">
        <v>104</v>
      </c>
      <c r="CF228" s="5">
        <v>42965</v>
      </c>
      <c r="CG228" s="2"/>
      <c r="CH228" s="2"/>
      <c r="CI228" s="2">
        <v>1</v>
      </c>
      <c r="CJ228" s="2">
        <v>1</v>
      </c>
      <c r="CK228" s="2">
        <v>21</v>
      </c>
      <c r="CL228" s="2" t="s">
        <v>86</v>
      </c>
      <c r="CM228" s="2"/>
    </row>
    <row r="229" spans="1:91">
      <c r="A229" s="2" t="s">
        <v>71</v>
      </c>
      <c r="B229" s="2" t="s">
        <v>72</v>
      </c>
      <c r="C229" s="2" t="s">
        <v>73</v>
      </c>
      <c r="D229" s="2"/>
      <c r="E229" s="2" t="str">
        <f>"FES1162569387"</f>
        <v>FES1162569387</v>
      </c>
      <c r="F229" s="3">
        <v>42963</v>
      </c>
      <c r="G229" s="2">
        <v>201802</v>
      </c>
      <c r="H229" s="2" t="s">
        <v>74</v>
      </c>
      <c r="I229" s="2" t="s">
        <v>75</v>
      </c>
      <c r="J229" s="2" t="s">
        <v>76</v>
      </c>
      <c r="K229" s="2" t="s">
        <v>77</v>
      </c>
      <c r="L229" s="2" t="s">
        <v>149</v>
      </c>
      <c r="M229" s="2" t="s">
        <v>150</v>
      </c>
      <c r="N229" s="2" t="s">
        <v>696</v>
      </c>
      <c r="O229" s="2" t="s">
        <v>100</v>
      </c>
      <c r="P229" s="2" t="str">
        <f>"2170585229                    "</f>
        <v xml:space="preserve">2170585229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4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2</v>
      </c>
      <c r="BJ229" s="2">
        <v>0.2</v>
      </c>
      <c r="BK229" s="2">
        <v>2</v>
      </c>
      <c r="BL229" s="2">
        <v>41.44</v>
      </c>
      <c r="BM229" s="2">
        <v>5.8</v>
      </c>
      <c r="BN229" s="2">
        <v>47.24</v>
      </c>
      <c r="BO229" s="2">
        <v>47.24</v>
      </c>
      <c r="BP229" s="2"/>
      <c r="BQ229" s="2" t="s">
        <v>83</v>
      </c>
      <c r="BR229" s="2" t="s">
        <v>84</v>
      </c>
      <c r="BS229" s="3">
        <v>42964</v>
      </c>
      <c r="BT229" s="4">
        <v>0.36736111111111108</v>
      </c>
      <c r="BU229" s="2" t="s">
        <v>697</v>
      </c>
      <c r="BV229" s="2" t="s">
        <v>95</v>
      </c>
      <c r="BW229" s="2"/>
      <c r="BX229" s="2"/>
      <c r="BY229" s="2">
        <v>1200</v>
      </c>
      <c r="BZ229" s="2" t="s">
        <v>27</v>
      </c>
      <c r="CA229" s="2" t="s">
        <v>235</v>
      </c>
      <c r="CB229" s="2"/>
      <c r="CC229" s="2" t="s">
        <v>150</v>
      </c>
      <c r="CD229" s="2">
        <v>4052</v>
      </c>
      <c r="CE229" s="2" t="s">
        <v>104</v>
      </c>
      <c r="CF229" s="5">
        <v>42964</v>
      </c>
      <c r="CG229" s="2"/>
      <c r="CH229" s="2"/>
      <c r="CI229" s="2">
        <v>1</v>
      </c>
      <c r="CJ229" s="2">
        <v>1</v>
      </c>
      <c r="CK229" s="2">
        <v>21</v>
      </c>
      <c r="CL229" s="2" t="s">
        <v>86</v>
      </c>
      <c r="CM229" s="2"/>
    </row>
    <row r="230" spans="1:91">
      <c r="A230" s="2" t="s">
        <v>71</v>
      </c>
      <c r="B230" s="2" t="s">
        <v>72</v>
      </c>
      <c r="C230" s="2" t="s">
        <v>73</v>
      </c>
      <c r="D230" s="2"/>
      <c r="E230" s="2" t="str">
        <f>"FES1162569241"</f>
        <v>FES1162569241</v>
      </c>
      <c r="F230" s="3">
        <v>42963</v>
      </c>
      <c r="G230" s="2">
        <v>201802</v>
      </c>
      <c r="H230" s="2" t="s">
        <v>74</v>
      </c>
      <c r="I230" s="2" t="s">
        <v>75</v>
      </c>
      <c r="J230" s="2" t="s">
        <v>76</v>
      </c>
      <c r="K230" s="2" t="s">
        <v>77</v>
      </c>
      <c r="L230" s="2" t="s">
        <v>221</v>
      </c>
      <c r="M230" s="2" t="s">
        <v>222</v>
      </c>
      <c r="N230" s="2" t="s">
        <v>415</v>
      </c>
      <c r="O230" s="2" t="s">
        <v>100</v>
      </c>
      <c r="P230" s="2" t="str">
        <f>"2170582914                    "</f>
        <v xml:space="preserve">2170582914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4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1</v>
      </c>
      <c r="BJ230" s="2">
        <v>0.2</v>
      </c>
      <c r="BK230" s="2">
        <v>1</v>
      </c>
      <c r="BL230" s="2">
        <v>41.44</v>
      </c>
      <c r="BM230" s="2">
        <v>5.8</v>
      </c>
      <c r="BN230" s="2">
        <v>47.24</v>
      </c>
      <c r="BO230" s="2">
        <v>47.24</v>
      </c>
      <c r="BP230" s="2"/>
      <c r="BQ230" s="2" t="s">
        <v>108</v>
      </c>
      <c r="BR230" s="2" t="s">
        <v>84</v>
      </c>
      <c r="BS230" s="3">
        <v>42964</v>
      </c>
      <c r="BT230" s="4">
        <v>0.35694444444444445</v>
      </c>
      <c r="BU230" s="2" t="s">
        <v>416</v>
      </c>
      <c r="BV230" s="2" t="s">
        <v>95</v>
      </c>
      <c r="BW230" s="2"/>
      <c r="BX230" s="2"/>
      <c r="BY230" s="2">
        <v>1200</v>
      </c>
      <c r="BZ230" s="2" t="s">
        <v>27</v>
      </c>
      <c r="CA230" s="2" t="s">
        <v>225</v>
      </c>
      <c r="CB230" s="2"/>
      <c r="CC230" s="2" t="s">
        <v>222</v>
      </c>
      <c r="CD230" s="2">
        <v>4302</v>
      </c>
      <c r="CE230" s="2" t="s">
        <v>104</v>
      </c>
      <c r="CF230" s="5">
        <v>42965</v>
      </c>
      <c r="CG230" s="2"/>
      <c r="CH230" s="2"/>
      <c r="CI230" s="2">
        <v>1</v>
      </c>
      <c r="CJ230" s="2">
        <v>1</v>
      </c>
      <c r="CK230" s="2">
        <v>21</v>
      </c>
      <c r="CL230" s="2" t="s">
        <v>86</v>
      </c>
      <c r="CM230" s="2"/>
    </row>
    <row r="231" spans="1:91">
      <c r="A231" s="2" t="s">
        <v>71</v>
      </c>
      <c r="B231" s="2" t="s">
        <v>72</v>
      </c>
      <c r="C231" s="2" t="s">
        <v>73</v>
      </c>
      <c r="D231" s="2"/>
      <c r="E231" s="2" t="str">
        <f>"FES1162569327"</f>
        <v>FES1162569327</v>
      </c>
      <c r="F231" s="3">
        <v>42963</v>
      </c>
      <c r="G231" s="2">
        <v>201802</v>
      </c>
      <c r="H231" s="2" t="s">
        <v>74</v>
      </c>
      <c r="I231" s="2" t="s">
        <v>75</v>
      </c>
      <c r="J231" s="2" t="s">
        <v>76</v>
      </c>
      <c r="K231" s="2" t="s">
        <v>77</v>
      </c>
      <c r="L231" s="2" t="s">
        <v>206</v>
      </c>
      <c r="M231" s="2" t="s">
        <v>207</v>
      </c>
      <c r="N231" s="2" t="s">
        <v>698</v>
      </c>
      <c r="O231" s="2" t="s">
        <v>100</v>
      </c>
      <c r="P231" s="2" t="str">
        <f>"2170585090                    "</f>
        <v xml:space="preserve">2170585090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5.63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1</v>
      </c>
      <c r="BJ231" s="2">
        <v>0.2</v>
      </c>
      <c r="BK231" s="2">
        <v>1</v>
      </c>
      <c r="BL231" s="2">
        <v>58.28</v>
      </c>
      <c r="BM231" s="2">
        <v>8.16</v>
      </c>
      <c r="BN231" s="2">
        <v>66.44</v>
      </c>
      <c r="BO231" s="2">
        <v>66.44</v>
      </c>
      <c r="BP231" s="2"/>
      <c r="BQ231" s="2" t="s">
        <v>108</v>
      </c>
      <c r="BR231" s="2" t="s">
        <v>84</v>
      </c>
      <c r="BS231" s="3">
        <v>42964</v>
      </c>
      <c r="BT231" s="4">
        <v>0.61458333333333337</v>
      </c>
      <c r="BU231" s="2" t="s">
        <v>699</v>
      </c>
      <c r="BV231" s="2" t="s">
        <v>86</v>
      </c>
      <c r="BW231" s="2"/>
      <c r="BX231" s="2"/>
      <c r="BY231" s="2">
        <v>1200</v>
      </c>
      <c r="BZ231" s="2" t="s">
        <v>27</v>
      </c>
      <c r="CA231" s="2" t="s">
        <v>700</v>
      </c>
      <c r="CB231" s="2"/>
      <c r="CC231" s="2" t="s">
        <v>207</v>
      </c>
      <c r="CD231" s="2">
        <v>216</v>
      </c>
      <c r="CE231" s="2" t="s">
        <v>104</v>
      </c>
      <c r="CF231" s="5">
        <v>42968</v>
      </c>
      <c r="CG231" s="2"/>
      <c r="CH231" s="2"/>
      <c r="CI231" s="2">
        <v>1</v>
      </c>
      <c r="CJ231" s="2">
        <v>1</v>
      </c>
      <c r="CK231" s="2">
        <v>24</v>
      </c>
      <c r="CL231" s="2" t="s">
        <v>86</v>
      </c>
      <c r="CM231" s="2"/>
    </row>
    <row r="232" spans="1:91">
      <c r="A232" s="2" t="s">
        <v>71</v>
      </c>
      <c r="B232" s="2" t="s">
        <v>72</v>
      </c>
      <c r="C232" s="2" t="s">
        <v>73</v>
      </c>
      <c r="D232" s="2"/>
      <c r="E232" s="2" t="str">
        <f>"FES1162569170"</f>
        <v>FES1162569170</v>
      </c>
      <c r="F232" s="3">
        <v>42963</v>
      </c>
      <c r="G232" s="2">
        <v>201802</v>
      </c>
      <c r="H232" s="2" t="s">
        <v>74</v>
      </c>
      <c r="I232" s="2" t="s">
        <v>75</v>
      </c>
      <c r="J232" s="2" t="s">
        <v>76</v>
      </c>
      <c r="K232" s="2" t="s">
        <v>77</v>
      </c>
      <c r="L232" s="2" t="s">
        <v>137</v>
      </c>
      <c r="M232" s="2" t="s">
        <v>138</v>
      </c>
      <c r="N232" s="2" t="s">
        <v>701</v>
      </c>
      <c r="O232" s="2" t="s">
        <v>100</v>
      </c>
      <c r="P232" s="2" t="str">
        <f>"2170584209                    "</f>
        <v xml:space="preserve">2170584209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4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1</v>
      </c>
      <c r="BJ232" s="2">
        <v>0.2</v>
      </c>
      <c r="BK232" s="2">
        <v>1</v>
      </c>
      <c r="BL232" s="2">
        <v>41.44</v>
      </c>
      <c r="BM232" s="2">
        <v>5.8</v>
      </c>
      <c r="BN232" s="2">
        <v>47.24</v>
      </c>
      <c r="BO232" s="2">
        <v>47.24</v>
      </c>
      <c r="BP232" s="2"/>
      <c r="BQ232" s="2" t="s">
        <v>108</v>
      </c>
      <c r="BR232" s="2" t="s">
        <v>84</v>
      </c>
      <c r="BS232" s="3">
        <v>42964</v>
      </c>
      <c r="BT232" s="4">
        <v>0.35138888888888892</v>
      </c>
      <c r="BU232" s="2" t="s">
        <v>85</v>
      </c>
      <c r="BV232" s="2" t="s">
        <v>95</v>
      </c>
      <c r="BW232" s="2"/>
      <c r="BX232" s="2"/>
      <c r="BY232" s="2">
        <v>1200</v>
      </c>
      <c r="BZ232" s="2" t="s">
        <v>27</v>
      </c>
      <c r="CA232" s="2"/>
      <c r="CB232" s="2"/>
      <c r="CC232" s="2" t="s">
        <v>138</v>
      </c>
      <c r="CD232" s="2">
        <v>157</v>
      </c>
      <c r="CE232" s="2" t="s">
        <v>104</v>
      </c>
      <c r="CF232" s="5">
        <v>42965</v>
      </c>
      <c r="CG232" s="2"/>
      <c r="CH232" s="2"/>
      <c r="CI232" s="2">
        <v>1</v>
      </c>
      <c r="CJ232" s="2">
        <v>1</v>
      </c>
      <c r="CK232" s="2">
        <v>21</v>
      </c>
      <c r="CL232" s="2" t="s">
        <v>86</v>
      </c>
      <c r="CM232" s="2"/>
    </row>
    <row r="233" spans="1:91">
      <c r="A233" s="2" t="s">
        <v>71</v>
      </c>
      <c r="B233" s="2" t="s">
        <v>72</v>
      </c>
      <c r="C233" s="2" t="s">
        <v>73</v>
      </c>
      <c r="D233" s="2"/>
      <c r="E233" s="2" t="str">
        <f>"FES1162569354"</f>
        <v>FES1162569354</v>
      </c>
      <c r="F233" s="3">
        <v>42963</v>
      </c>
      <c r="G233" s="2">
        <v>201802</v>
      </c>
      <c r="H233" s="2" t="s">
        <v>74</v>
      </c>
      <c r="I233" s="2" t="s">
        <v>75</v>
      </c>
      <c r="J233" s="2" t="s">
        <v>76</v>
      </c>
      <c r="K233" s="2" t="s">
        <v>77</v>
      </c>
      <c r="L233" s="2" t="s">
        <v>470</v>
      </c>
      <c r="M233" s="2" t="s">
        <v>471</v>
      </c>
      <c r="N233" s="2" t="s">
        <v>472</v>
      </c>
      <c r="O233" s="2" t="s">
        <v>100</v>
      </c>
      <c r="P233" s="2" t="str">
        <f>"2170582350                    "</f>
        <v xml:space="preserve">2170582350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4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</v>
      </c>
      <c r="BI233" s="2">
        <v>1</v>
      </c>
      <c r="BJ233" s="2">
        <v>0.2</v>
      </c>
      <c r="BK233" s="2">
        <v>1</v>
      </c>
      <c r="BL233" s="2">
        <v>41.44</v>
      </c>
      <c r="BM233" s="2">
        <v>5.8</v>
      </c>
      <c r="BN233" s="2">
        <v>47.24</v>
      </c>
      <c r="BO233" s="2">
        <v>47.24</v>
      </c>
      <c r="BP233" s="2"/>
      <c r="BQ233" s="2" t="s">
        <v>83</v>
      </c>
      <c r="BR233" s="2" t="s">
        <v>84</v>
      </c>
      <c r="BS233" s="3">
        <v>42964</v>
      </c>
      <c r="BT233" s="4">
        <v>0.3611111111111111</v>
      </c>
      <c r="BU233" s="2" t="s">
        <v>702</v>
      </c>
      <c r="BV233" s="2" t="s">
        <v>95</v>
      </c>
      <c r="BW233" s="2"/>
      <c r="BX233" s="2"/>
      <c r="BY233" s="2">
        <v>1200</v>
      </c>
      <c r="BZ233" s="2" t="s">
        <v>27</v>
      </c>
      <c r="CA233" s="2" t="s">
        <v>703</v>
      </c>
      <c r="CB233" s="2"/>
      <c r="CC233" s="2" t="s">
        <v>471</v>
      </c>
      <c r="CD233" s="2">
        <v>1911</v>
      </c>
      <c r="CE233" s="2" t="s">
        <v>104</v>
      </c>
      <c r="CF233" s="5">
        <v>42965</v>
      </c>
      <c r="CG233" s="2"/>
      <c r="CH233" s="2"/>
      <c r="CI233" s="2">
        <v>1</v>
      </c>
      <c r="CJ233" s="2">
        <v>1</v>
      </c>
      <c r="CK233" s="2">
        <v>21</v>
      </c>
      <c r="CL233" s="2" t="s">
        <v>86</v>
      </c>
      <c r="CM233" s="2"/>
    </row>
    <row r="234" spans="1:91">
      <c r="A234" s="2" t="s">
        <v>71</v>
      </c>
      <c r="B234" s="2" t="s">
        <v>72</v>
      </c>
      <c r="C234" s="2" t="s">
        <v>73</v>
      </c>
      <c r="D234" s="2"/>
      <c r="E234" s="2" t="str">
        <f>"FES1162569287"</f>
        <v>FES1162569287</v>
      </c>
      <c r="F234" s="3">
        <v>42963</v>
      </c>
      <c r="G234" s="2">
        <v>201802</v>
      </c>
      <c r="H234" s="2" t="s">
        <v>74</v>
      </c>
      <c r="I234" s="2" t="s">
        <v>75</v>
      </c>
      <c r="J234" s="2" t="s">
        <v>76</v>
      </c>
      <c r="K234" s="2" t="s">
        <v>77</v>
      </c>
      <c r="L234" s="2" t="s">
        <v>221</v>
      </c>
      <c r="M234" s="2" t="s">
        <v>222</v>
      </c>
      <c r="N234" s="2" t="s">
        <v>415</v>
      </c>
      <c r="O234" s="2" t="s">
        <v>100</v>
      </c>
      <c r="P234" s="2" t="str">
        <f>"2170582533                    "</f>
        <v xml:space="preserve">2170582533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4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1</v>
      </c>
      <c r="BJ234" s="2">
        <v>0.2</v>
      </c>
      <c r="BK234" s="2">
        <v>1</v>
      </c>
      <c r="BL234" s="2">
        <v>41.44</v>
      </c>
      <c r="BM234" s="2">
        <v>5.8</v>
      </c>
      <c r="BN234" s="2">
        <v>47.24</v>
      </c>
      <c r="BO234" s="2">
        <v>47.24</v>
      </c>
      <c r="BP234" s="2"/>
      <c r="BQ234" s="2" t="s">
        <v>108</v>
      </c>
      <c r="BR234" s="2" t="s">
        <v>84</v>
      </c>
      <c r="BS234" s="3">
        <v>42964</v>
      </c>
      <c r="BT234" s="4">
        <v>0.35694444444444445</v>
      </c>
      <c r="BU234" s="2" t="s">
        <v>416</v>
      </c>
      <c r="BV234" s="2" t="s">
        <v>95</v>
      </c>
      <c r="BW234" s="2"/>
      <c r="BX234" s="2"/>
      <c r="BY234" s="2">
        <v>1200</v>
      </c>
      <c r="BZ234" s="2" t="s">
        <v>27</v>
      </c>
      <c r="CA234" s="2" t="s">
        <v>225</v>
      </c>
      <c r="CB234" s="2"/>
      <c r="CC234" s="2" t="s">
        <v>222</v>
      </c>
      <c r="CD234" s="2">
        <v>4302</v>
      </c>
      <c r="CE234" s="2" t="s">
        <v>104</v>
      </c>
      <c r="CF234" s="5">
        <v>42965</v>
      </c>
      <c r="CG234" s="2"/>
      <c r="CH234" s="2"/>
      <c r="CI234" s="2">
        <v>1</v>
      </c>
      <c r="CJ234" s="2">
        <v>1</v>
      </c>
      <c r="CK234" s="2">
        <v>21</v>
      </c>
      <c r="CL234" s="2" t="s">
        <v>86</v>
      </c>
      <c r="CM234" s="2"/>
    </row>
    <row r="235" spans="1:91">
      <c r="A235" s="2" t="s">
        <v>71</v>
      </c>
      <c r="B235" s="2" t="s">
        <v>72</v>
      </c>
      <c r="C235" s="2" t="s">
        <v>73</v>
      </c>
      <c r="D235" s="2"/>
      <c r="E235" s="2" t="str">
        <f>"FES1162569343"</f>
        <v>FES1162569343</v>
      </c>
      <c r="F235" s="3">
        <v>42963</v>
      </c>
      <c r="G235" s="2">
        <v>201802</v>
      </c>
      <c r="H235" s="2" t="s">
        <v>74</v>
      </c>
      <c r="I235" s="2" t="s">
        <v>75</v>
      </c>
      <c r="J235" s="2" t="s">
        <v>76</v>
      </c>
      <c r="K235" s="2" t="s">
        <v>77</v>
      </c>
      <c r="L235" s="2" t="s">
        <v>321</v>
      </c>
      <c r="M235" s="2" t="s">
        <v>322</v>
      </c>
      <c r="N235" s="2" t="s">
        <v>323</v>
      </c>
      <c r="O235" s="2" t="s">
        <v>100</v>
      </c>
      <c r="P235" s="2" t="str">
        <f>"2170585209                    "</f>
        <v xml:space="preserve">2170585209   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6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2.9</v>
      </c>
      <c r="BJ235" s="2">
        <v>1.7</v>
      </c>
      <c r="BK235" s="2">
        <v>3</v>
      </c>
      <c r="BL235" s="2">
        <v>62.16</v>
      </c>
      <c r="BM235" s="2">
        <v>8.6999999999999993</v>
      </c>
      <c r="BN235" s="2">
        <v>70.86</v>
      </c>
      <c r="BO235" s="2">
        <v>70.86</v>
      </c>
      <c r="BP235" s="2"/>
      <c r="BQ235" s="2" t="s">
        <v>83</v>
      </c>
      <c r="BR235" s="2" t="s">
        <v>84</v>
      </c>
      <c r="BS235" s="3">
        <v>42964</v>
      </c>
      <c r="BT235" s="4">
        <v>0.39097222222222222</v>
      </c>
      <c r="BU235" s="2" t="s">
        <v>324</v>
      </c>
      <c r="BV235" s="2" t="s">
        <v>95</v>
      </c>
      <c r="BW235" s="2"/>
      <c r="BX235" s="2"/>
      <c r="BY235" s="2">
        <v>8314.02</v>
      </c>
      <c r="BZ235" s="2" t="s">
        <v>27</v>
      </c>
      <c r="CA235" s="2" t="s">
        <v>103</v>
      </c>
      <c r="CB235" s="2"/>
      <c r="CC235" s="2" t="s">
        <v>322</v>
      </c>
      <c r="CD235" s="2">
        <v>6220</v>
      </c>
      <c r="CE235" s="2" t="s">
        <v>89</v>
      </c>
      <c r="CF235" s="5">
        <v>42965</v>
      </c>
      <c r="CG235" s="2"/>
      <c r="CH235" s="2"/>
      <c r="CI235" s="2">
        <v>1</v>
      </c>
      <c r="CJ235" s="2">
        <v>1</v>
      </c>
      <c r="CK235" s="2">
        <v>21</v>
      </c>
      <c r="CL235" s="2" t="s">
        <v>86</v>
      </c>
      <c r="CM235" s="2"/>
    </row>
    <row r="236" spans="1:91">
      <c r="A236" s="2" t="s">
        <v>71</v>
      </c>
      <c r="B236" s="2" t="s">
        <v>72</v>
      </c>
      <c r="C236" s="2" t="s">
        <v>73</v>
      </c>
      <c r="D236" s="2"/>
      <c r="E236" s="2" t="str">
        <f>"FES1162569476"</f>
        <v>FES1162569476</v>
      </c>
      <c r="F236" s="3">
        <v>42963</v>
      </c>
      <c r="G236" s="2">
        <v>201802</v>
      </c>
      <c r="H236" s="2" t="s">
        <v>74</v>
      </c>
      <c r="I236" s="2" t="s">
        <v>75</v>
      </c>
      <c r="J236" s="2" t="s">
        <v>76</v>
      </c>
      <c r="K236" s="2" t="s">
        <v>77</v>
      </c>
      <c r="L236" s="2" t="s">
        <v>510</v>
      </c>
      <c r="M236" s="2" t="s">
        <v>511</v>
      </c>
      <c r="N236" s="2" t="s">
        <v>512</v>
      </c>
      <c r="O236" s="2" t="s">
        <v>100</v>
      </c>
      <c r="P236" s="2" t="str">
        <f>"2170574868                    "</f>
        <v xml:space="preserve">2170574868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26.02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2</v>
      </c>
      <c r="BI236" s="2">
        <v>11.9</v>
      </c>
      <c r="BJ236" s="2">
        <v>13</v>
      </c>
      <c r="BK236" s="2">
        <v>13</v>
      </c>
      <c r="BL236" s="2">
        <v>269.38</v>
      </c>
      <c r="BM236" s="2">
        <v>37.71</v>
      </c>
      <c r="BN236" s="2">
        <v>307.08999999999997</v>
      </c>
      <c r="BO236" s="2">
        <v>307.08999999999997</v>
      </c>
      <c r="BP236" s="2"/>
      <c r="BQ236" s="2" t="s">
        <v>83</v>
      </c>
      <c r="BR236" s="2" t="s">
        <v>84</v>
      </c>
      <c r="BS236" s="3">
        <v>42964</v>
      </c>
      <c r="BT236" s="4">
        <v>0.40763888888888888</v>
      </c>
      <c r="BU236" s="2" t="s">
        <v>704</v>
      </c>
      <c r="BV236" s="2" t="s">
        <v>95</v>
      </c>
      <c r="BW236" s="2"/>
      <c r="BX236" s="2"/>
      <c r="BY236" s="2">
        <v>64960.18</v>
      </c>
      <c r="BZ236" s="2" t="s">
        <v>27</v>
      </c>
      <c r="CA236" s="2" t="s">
        <v>514</v>
      </c>
      <c r="CB236" s="2"/>
      <c r="CC236" s="2" t="s">
        <v>511</v>
      </c>
      <c r="CD236" s="2">
        <v>6229</v>
      </c>
      <c r="CE236" s="2" t="s">
        <v>89</v>
      </c>
      <c r="CF236" s="5">
        <v>42965</v>
      </c>
      <c r="CG236" s="2"/>
      <c r="CH236" s="2"/>
      <c r="CI236" s="2">
        <v>1</v>
      </c>
      <c r="CJ236" s="2">
        <v>1</v>
      </c>
      <c r="CK236" s="2">
        <v>21</v>
      </c>
      <c r="CL236" s="2" t="s">
        <v>86</v>
      </c>
      <c r="CM236" s="2"/>
    </row>
    <row r="237" spans="1:91">
      <c r="A237" s="2" t="s">
        <v>71</v>
      </c>
      <c r="B237" s="2" t="s">
        <v>72</v>
      </c>
      <c r="C237" s="2" t="s">
        <v>73</v>
      </c>
      <c r="D237" s="2"/>
      <c r="E237" s="2" t="str">
        <f>"FES1162569457"</f>
        <v>FES1162569457</v>
      </c>
      <c r="F237" s="3">
        <v>42963</v>
      </c>
      <c r="G237" s="2">
        <v>201802</v>
      </c>
      <c r="H237" s="2" t="s">
        <v>74</v>
      </c>
      <c r="I237" s="2" t="s">
        <v>75</v>
      </c>
      <c r="J237" s="2" t="s">
        <v>76</v>
      </c>
      <c r="K237" s="2" t="s">
        <v>77</v>
      </c>
      <c r="L237" s="2" t="s">
        <v>105</v>
      </c>
      <c r="M237" s="2" t="s">
        <v>106</v>
      </c>
      <c r="N237" s="2" t="s">
        <v>705</v>
      </c>
      <c r="O237" s="2" t="s">
        <v>100</v>
      </c>
      <c r="P237" s="2" t="str">
        <f>"2170585311                    "</f>
        <v xml:space="preserve">2170585311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4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0.9</v>
      </c>
      <c r="BJ237" s="2">
        <v>1</v>
      </c>
      <c r="BK237" s="2">
        <v>1</v>
      </c>
      <c r="BL237" s="2">
        <v>41.44</v>
      </c>
      <c r="BM237" s="2">
        <v>5.8</v>
      </c>
      <c r="BN237" s="2">
        <v>47.24</v>
      </c>
      <c r="BO237" s="2">
        <v>47.24</v>
      </c>
      <c r="BP237" s="2"/>
      <c r="BQ237" s="2" t="s">
        <v>108</v>
      </c>
      <c r="BR237" s="2" t="s">
        <v>84</v>
      </c>
      <c r="BS237" s="3">
        <v>42964</v>
      </c>
      <c r="BT237" s="4">
        <v>0.7583333333333333</v>
      </c>
      <c r="BU237" s="2" t="s">
        <v>706</v>
      </c>
      <c r="BV237" s="2" t="s">
        <v>86</v>
      </c>
      <c r="BW237" s="2" t="s">
        <v>110</v>
      </c>
      <c r="BX237" s="2" t="s">
        <v>111</v>
      </c>
      <c r="BY237" s="2">
        <v>4961.55</v>
      </c>
      <c r="BZ237" s="2"/>
      <c r="CA237" s="2" t="s">
        <v>488</v>
      </c>
      <c r="CB237" s="2"/>
      <c r="CC237" s="2" t="s">
        <v>106</v>
      </c>
      <c r="CD237" s="2">
        <v>7441</v>
      </c>
      <c r="CE237" s="2" t="s">
        <v>89</v>
      </c>
      <c r="CF237" s="5">
        <v>42965</v>
      </c>
      <c r="CG237" s="2"/>
      <c r="CH237" s="2"/>
      <c r="CI237" s="2">
        <v>1</v>
      </c>
      <c r="CJ237" s="2">
        <v>1</v>
      </c>
      <c r="CK237" s="2">
        <v>21</v>
      </c>
      <c r="CL237" s="2" t="s">
        <v>86</v>
      </c>
      <c r="CM237" s="2"/>
    </row>
    <row r="238" spans="1:91">
      <c r="A238" s="2" t="s">
        <v>71</v>
      </c>
      <c r="B238" s="2" t="s">
        <v>72</v>
      </c>
      <c r="C238" s="2" t="s">
        <v>73</v>
      </c>
      <c r="D238" s="2"/>
      <c r="E238" s="2" t="str">
        <f>"FES1162569207"</f>
        <v>FES1162569207</v>
      </c>
      <c r="F238" s="3">
        <v>42963</v>
      </c>
      <c r="G238" s="2">
        <v>201802</v>
      </c>
      <c r="H238" s="2" t="s">
        <v>74</v>
      </c>
      <c r="I238" s="2" t="s">
        <v>75</v>
      </c>
      <c r="J238" s="2" t="s">
        <v>76</v>
      </c>
      <c r="K238" s="2" t="s">
        <v>77</v>
      </c>
      <c r="L238" s="2" t="s">
        <v>362</v>
      </c>
      <c r="M238" s="2" t="s">
        <v>363</v>
      </c>
      <c r="N238" s="2" t="s">
        <v>364</v>
      </c>
      <c r="O238" s="2" t="s">
        <v>100</v>
      </c>
      <c r="P238" s="2" t="str">
        <f>"2170581412                    "</f>
        <v xml:space="preserve">2170581412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4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1</v>
      </c>
      <c r="BJ238" s="2">
        <v>0.2</v>
      </c>
      <c r="BK238" s="2">
        <v>1</v>
      </c>
      <c r="BL238" s="2">
        <v>41.44</v>
      </c>
      <c r="BM238" s="2">
        <v>5.8</v>
      </c>
      <c r="BN238" s="2">
        <v>47.24</v>
      </c>
      <c r="BO238" s="2">
        <v>47.24</v>
      </c>
      <c r="BP238" s="2"/>
      <c r="BQ238" s="2" t="s">
        <v>83</v>
      </c>
      <c r="BR238" s="2" t="s">
        <v>84</v>
      </c>
      <c r="BS238" s="3">
        <v>42964</v>
      </c>
      <c r="BT238" s="4">
        <v>0.40277777777777773</v>
      </c>
      <c r="BU238" s="2" t="s">
        <v>707</v>
      </c>
      <c r="BV238" s="2" t="s">
        <v>95</v>
      </c>
      <c r="BW238" s="2"/>
      <c r="BX238" s="2"/>
      <c r="BY238" s="2">
        <v>1200</v>
      </c>
      <c r="BZ238" s="2"/>
      <c r="CA238" s="2" t="s">
        <v>685</v>
      </c>
      <c r="CB238" s="2"/>
      <c r="CC238" s="2" t="s">
        <v>363</v>
      </c>
      <c r="CD238" s="2">
        <v>3201</v>
      </c>
      <c r="CE238" s="2" t="s">
        <v>104</v>
      </c>
      <c r="CF238" s="5">
        <v>42965</v>
      </c>
      <c r="CG238" s="2"/>
      <c r="CH238" s="2"/>
      <c r="CI238" s="2">
        <v>1</v>
      </c>
      <c r="CJ238" s="2">
        <v>1</v>
      </c>
      <c r="CK238" s="2">
        <v>21</v>
      </c>
      <c r="CL238" s="2" t="s">
        <v>86</v>
      </c>
      <c r="CM238" s="2"/>
    </row>
    <row r="239" spans="1:91">
      <c r="A239" s="2" t="s">
        <v>71</v>
      </c>
      <c r="B239" s="2" t="s">
        <v>72</v>
      </c>
      <c r="C239" s="2" t="s">
        <v>73</v>
      </c>
      <c r="D239" s="2"/>
      <c r="E239" s="2" t="str">
        <f>"FES1162569326"</f>
        <v>FES1162569326</v>
      </c>
      <c r="F239" s="3">
        <v>42963</v>
      </c>
      <c r="G239" s="2">
        <v>201802</v>
      </c>
      <c r="H239" s="2" t="s">
        <v>74</v>
      </c>
      <c r="I239" s="2" t="s">
        <v>75</v>
      </c>
      <c r="J239" s="2" t="s">
        <v>76</v>
      </c>
      <c r="K239" s="2" t="s">
        <v>77</v>
      </c>
      <c r="L239" s="2" t="s">
        <v>74</v>
      </c>
      <c r="M239" s="2" t="s">
        <v>75</v>
      </c>
      <c r="N239" s="2" t="s">
        <v>407</v>
      </c>
      <c r="O239" s="2" t="s">
        <v>100</v>
      </c>
      <c r="P239" s="2" t="str">
        <f>"2170584360                    "</f>
        <v xml:space="preserve">2170584360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4.25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10.5</v>
      </c>
      <c r="BJ239" s="2">
        <v>4.3</v>
      </c>
      <c r="BK239" s="2">
        <v>11</v>
      </c>
      <c r="BL239" s="2">
        <v>44.03</v>
      </c>
      <c r="BM239" s="2">
        <v>6.16</v>
      </c>
      <c r="BN239" s="2">
        <v>50.19</v>
      </c>
      <c r="BO239" s="2">
        <v>50.19</v>
      </c>
      <c r="BP239" s="2"/>
      <c r="BQ239" s="2" t="s">
        <v>108</v>
      </c>
      <c r="BR239" s="2" t="s">
        <v>84</v>
      </c>
      <c r="BS239" s="3">
        <v>42964</v>
      </c>
      <c r="BT239" s="4">
        <v>0.33333333333333331</v>
      </c>
      <c r="BU239" s="2" t="s">
        <v>708</v>
      </c>
      <c r="BV239" s="2" t="s">
        <v>95</v>
      </c>
      <c r="BW239" s="2"/>
      <c r="BX239" s="2"/>
      <c r="BY239" s="2">
        <v>21323.54</v>
      </c>
      <c r="BZ239" s="2"/>
      <c r="CA239" s="2" t="s">
        <v>709</v>
      </c>
      <c r="CB239" s="2"/>
      <c r="CC239" s="2" t="s">
        <v>75</v>
      </c>
      <c r="CD239" s="2">
        <v>1645</v>
      </c>
      <c r="CE239" s="2" t="s">
        <v>89</v>
      </c>
      <c r="CF239" s="5">
        <v>42965</v>
      </c>
      <c r="CG239" s="2"/>
      <c r="CH239" s="2"/>
      <c r="CI239" s="2">
        <v>1</v>
      </c>
      <c r="CJ239" s="2">
        <v>1</v>
      </c>
      <c r="CK239" s="2">
        <v>22</v>
      </c>
      <c r="CL239" s="2" t="s">
        <v>86</v>
      </c>
      <c r="CM239" s="2"/>
    </row>
    <row r="240" spans="1:91">
      <c r="A240" s="2" t="s">
        <v>71</v>
      </c>
      <c r="B240" s="2" t="s">
        <v>72</v>
      </c>
      <c r="C240" s="2" t="s">
        <v>73</v>
      </c>
      <c r="D240" s="2"/>
      <c r="E240" s="2" t="str">
        <f>"FES1162569349"</f>
        <v>FES1162569349</v>
      </c>
      <c r="F240" s="3">
        <v>42963</v>
      </c>
      <c r="G240" s="2">
        <v>201802</v>
      </c>
      <c r="H240" s="2" t="s">
        <v>74</v>
      </c>
      <c r="I240" s="2" t="s">
        <v>75</v>
      </c>
      <c r="J240" s="2" t="s">
        <v>76</v>
      </c>
      <c r="K240" s="2" t="s">
        <v>77</v>
      </c>
      <c r="L240" s="2" t="s">
        <v>710</v>
      </c>
      <c r="M240" s="2" t="s">
        <v>711</v>
      </c>
      <c r="N240" s="2" t="s">
        <v>712</v>
      </c>
      <c r="O240" s="2" t="s">
        <v>100</v>
      </c>
      <c r="P240" s="2" t="str">
        <f>"2170582198                    "</f>
        <v xml:space="preserve">2170582198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7.75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1</v>
      </c>
      <c r="BJ240" s="2">
        <v>0.2</v>
      </c>
      <c r="BK240" s="2">
        <v>1</v>
      </c>
      <c r="BL240" s="2">
        <v>80.290000000000006</v>
      </c>
      <c r="BM240" s="2">
        <v>11.24</v>
      </c>
      <c r="BN240" s="2">
        <v>91.53</v>
      </c>
      <c r="BO240" s="2">
        <v>91.53</v>
      </c>
      <c r="BP240" s="2"/>
      <c r="BQ240" s="2" t="s">
        <v>288</v>
      </c>
      <c r="BR240" s="2" t="s">
        <v>84</v>
      </c>
      <c r="BS240" s="3">
        <v>42964</v>
      </c>
      <c r="BT240" s="4">
        <v>0.49027777777777781</v>
      </c>
      <c r="BU240" s="2" t="s">
        <v>713</v>
      </c>
      <c r="BV240" s="2" t="s">
        <v>95</v>
      </c>
      <c r="BW240" s="2"/>
      <c r="BX240" s="2"/>
      <c r="BY240" s="2">
        <v>1200</v>
      </c>
      <c r="BZ240" s="2"/>
      <c r="CA240" s="2" t="s">
        <v>714</v>
      </c>
      <c r="CB240" s="2"/>
      <c r="CC240" s="2" t="s">
        <v>711</v>
      </c>
      <c r="CD240" s="2">
        <v>4339</v>
      </c>
      <c r="CE240" s="2" t="s">
        <v>104</v>
      </c>
      <c r="CF240" s="5">
        <v>42965</v>
      </c>
      <c r="CG240" s="2"/>
      <c r="CH240" s="2"/>
      <c r="CI240" s="2">
        <v>1</v>
      </c>
      <c r="CJ240" s="2">
        <v>1</v>
      </c>
      <c r="CK240" s="2">
        <v>23</v>
      </c>
      <c r="CL240" s="2" t="s">
        <v>86</v>
      </c>
      <c r="CM240" s="2"/>
    </row>
    <row r="241" spans="1:91">
      <c r="A241" s="2" t="s">
        <v>71</v>
      </c>
      <c r="B241" s="2" t="s">
        <v>72</v>
      </c>
      <c r="C241" s="2" t="s">
        <v>73</v>
      </c>
      <c r="D241" s="2"/>
      <c r="E241" s="2" t="str">
        <f>"FES1162569255"</f>
        <v>FES1162569255</v>
      </c>
      <c r="F241" s="3">
        <v>42963</v>
      </c>
      <c r="G241" s="2">
        <v>201802</v>
      </c>
      <c r="H241" s="2" t="s">
        <v>74</v>
      </c>
      <c r="I241" s="2" t="s">
        <v>75</v>
      </c>
      <c r="J241" s="2" t="s">
        <v>76</v>
      </c>
      <c r="K241" s="2" t="s">
        <v>77</v>
      </c>
      <c r="L241" s="2" t="s">
        <v>362</v>
      </c>
      <c r="M241" s="2" t="s">
        <v>363</v>
      </c>
      <c r="N241" s="2" t="s">
        <v>683</v>
      </c>
      <c r="O241" s="2" t="s">
        <v>100</v>
      </c>
      <c r="P241" s="2" t="str">
        <f>"2170584944                    "</f>
        <v xml:space="preserve">2170584944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4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2</v>
      </c>
      <c r="BJ241" s="2">
        <v>0.2</v>
      </c>
      <c r="BK241" s="2">
        <v>2</v>
      </c>
      <c r="BL241" s="2">
        <v>41.44</v>
      </c>
      <c r="BM241" s="2">
        <v>5.8</v>
      </c>
      <c r="BN241" s="2">
        <v>47.24</v>
      </c>
      <c r="BO241" s="2">
        <v>47.24</v>
      </c>
      <c r="BP241" s="2"/>
      <c r="BQ241" s="2" t="s">
        <v>108</v>
      </c>
      <c r="BR241" s="2" t="s">
        <v>84</v>
      </c>
      <c r="BS241" s="3">
        <v>42964</v>
      </c>
      <c r="BT241" s="4">
        <v>0.4201388888888889</v>
      </c>
      <c r="BU241" s="2" t="s">
        <v>684</v>
      </c>
      <c r="BV241" s="2" t="s">
        <v>95</v>
      </c>
      <c r="BW241" s="2"/>
      <c r="BX241" s="2"/>
      <c r="BY241" s="2">
        <v>1200</v>
      </c>
      <c r="BZ241" s="2"/>
      <c r="CA241" s="2" t="s">
        <v>685</v>
      </c>
      <c r="CB241" s="2"/>
      <c r="CC241" s="2" t="s">
        <v>363</v>
      </c>
      <c r="CD241" s="2">
        <v>3201</v>
      </c>
      <c r="CE241" s="2" t="s">
        <v>104</v>
      </c>
      <c r="CF241" s="5">
        <v>42965</v>
      </c>
      <c r="CG241" s="2"/>
      <c r="CH241" s="2"/>
      <c r="CI241" s="2">
        <v>1</v>
      </c>
      <c r="CJ241" s="2">
        <v>1</v>
      </c>
      <c r="CK241" s="2">
        <v>21</v>
      </c>
      <c r="CL241" s="2" t="s">
        <v>86</v>
      </c>
      <c r="CM241" s="2"/>
    </row>
    <row r="242" spans="1:91">
      <c r="A242" s="2" t="s">
        <v>71</v>
      </c>
      <c r="B242" s="2" t="s">
        <v>72</v>
      </c>
      <c r="C242" s="2" t="s">
        <v>73</v>
      </c>
      <c r="D242" s="2"/>
      <c r="E242" s="2" t="str">
        <f>"FES1162569428"</f>
        <v>FES1162569428</v>
      </c>
      <c r="F242" s="3">
        <v>42963</v>
      </c>
      <c r="G242" s="2">
        <v>201802</v>
      </c>
      <c r="H242" s="2" t="s">
        <v>74</v>
      </c>
      <c r="I242" s="2" t="s">
        <v>75</v>
      </c>
      <c r="J242" s="2" t="s">
        <v>76</v>
      </c>
      <c r="K242" s="2" t="s">
        <v>77</v>
      </c>
      <c r="L242" s="2" t="s">
        <v>332</v>
      </c>
      <c r="M242" s="2" t="s">
        <v>333</v>
      </c>
      <c r="N242" s="2" t="s">
        <v>334</v>
      </c>
      <c r="O242" s="2" t="s">
        <v>100</v>
      </c>
      <c r="P242" s="2" t="str">
        <f>"2170585266                    "</f>
        <v xml:space="preserve">2170585266   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9.51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2.1</v>
      </c>
      <c r="BJ242" s="2">
        <v>2.4</v>
      </c>
      <c r="BK242" s="2">
        <v>2.5</v>
      </c>
      <c r="BL242" s="2">
        <v>98.43</v>
      </c>
      <c r="BM242" s="2">
        <v>13.78</v>
      </c>
      <c r="BN242" s="2">
        <v>112.21</v>
      </c>
      <c r="BO242" s="2">
        <v>112.21</v>
      </c>
      <c r="BP242" s="2"/>
      <c r="BQ242" s="2" t="s">
        <v>209</v>
      </c>
      <c r="BR242" s="2" t="s">
        <v>84</v>
      </c>
      <c r="BS242" s="3">
        <v>42964</v>
      </c>
      <c r="BT242" s="4">
        <v>0.48125000000000001</v>
      </c>
      <c r="BU242" s="2" t="s">
        <v>335</v>
      </c>
      <c r="BV242" s="2" t="s">
        <v>95</v>
      </c>
      <c r="BW242" s="2"/>
      <c r="BX242" s="2"/>
      <c r="BY242" s="2">
        <v>11907.17</v>
      </c>
      <c r="BZ242" s="2"/>
      <c r="CA242" s="2" t="s">
        <v>338</v>
      </c>
      <c r="CB242" s="2"/>
      <c r="CC242" s="2" t="s">
        <v>333</v>
      </c>
      <c r="CD242" s="2">
        <v>4450</v>
      </c>
      <c r="CE242" s="2" t="s">
        <v>104</v>
      </c>
      <c r="CF242" s="5">
        <v>42965</v>
      </c>
      <c r="CG242" s="2"/>
      <c r="CH242" s="2"/>
      <c r="CI242" s="2">
        <v>1</v>
      </c>
      <c r="CJ242" s="2">
        <v>1</v>
      </c>
      <c r="CK242" s="2">
        <v>23</v>
      </c>
      <c r="CL242" s="2" t="s">
        <v>86</v>
      </c>
      <c r="CM242" s="2"/>
    </row>
    <row r="243" spans="1:91">
      <c r="A243" s="2" t="s">
        <v>71</v>
      </c>
      <c r="B243" s="2" t="s">
        <v>72</v>
      </c>
      <c r="C243" s="2" t="s">
        <v>73</v>
      </c>
      <c r="D243" s="2"/>
      <c r="E243" s="2" t="str">
        <f>"FES1162569321"</f>
        <v>FES1162569321</v>
      </c>
      <c r="F243" s="3">
        <v>42963</v>
      </c>
      <c r="G243" s="2">
        <v>201802</v>
      </c>
      <c r="H243" s="2" t="s">
        <v>74</v>
      </c>
      <c r="I243" s="2" t="s">
        <v>75</v>
      </c>
      <c r="J243" s="2" t="s">
        <v>76</v>
      </c>
      <c r="K243" s="2" t="s">
        <v>77</v>
      </c>
      <c r="L243" s="2" t="s">
        <v>715</v>
      </c>
      <c r="M243" s="2" t="s">
        <v>716</v>
      </c>
      <c r="N243" s="2" t="s">
        <v>717</v>
      </c>
      <c r="O243" s="2" t="s">
        <v>100</v>
      </c>
      <c r="P243" s="2" t="str">
        <f>"2170585189                    "</f>
        <v xml:space="preserve">2170585189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4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</v>
      </c>
      <c r="BJ243" s="2">
        <v>0.2</v>
      </c>
      <c r="BK243" s="2">
        <v>1</v>
      </c>
      <c r="BL243" s="2">
        <v>41.44</v>
      </c>
      <c r="BM243" s="2">
        <v>5.8</v>
      </c>
      <c r="BN243" s="2">
        <v>47.24</v>
      </c>
      <c r="BO243" s="2">
        <v>47.24</v>
      </c>
      <c r="BP243" s="2"/>
      <c r="BQ243" s="2" t="s">
        <v>108</v>
      </c>
      <c r="BR243" s="2" t="s">
        <v>84</v>
      </c>
      <c r="BS243" s="3">
        <v>42964</v>
      </c>
      <c r="BT243" s="4">
        <v>0.4458333333333333</v>
      </c>
      <c r="BU243" s="2" t="s">
        <v>718</v>
      </c>
      <c r="BV243" s="2" t="s">
        <v>95</v>
      </c>
      <c r="BW243" s="2"/>
      <c r="BX243" s="2"/>
      <c r="BY243" s="2">
        <v>1200</v>
      </c>
      <c r="BZ243" s="2"/>
      <c r="CA243" s="2" t="s">
        <v>566</v>
      </c>
      <c r="CB243" s="2"/>
      <c r="CC243" s="2" t="s">
        <v>716</v>
      </c>
      <c r="CD243" s="2">
        <v>3290</v>
      </c>
      <c r="CE243" s="2" t="s">
        <v>104</v>
      </c>
      <c r="CF243" s="5">
        <v>42968</v>
      </c>
      <c r="CG243" s="2"/>
      <c r="CH243" s="2"/>
      <c r="CI243" s="2">
        <v>1</v>
      </c>
      <c r="CJ243" s="2">
        <v>1</v>
      </c>
      <c r="CK243" s="2">
        <v>21</v>
      </c>
      <c r="CL243" s="2" t="s">
        <v>86</v>
      </c>
      <c r="CM243" s="2"/>
    </row>
    <row r="244" spans="1:91">
      <c r="A244" s="2" t="s">
        <v>71</v>
      </c>
      <c r="B244" s="2" t="s">
        <v>72</v>
      </c>
      <c r="C244" s="2" t="s">
        <v>73</v>
      </c>
      <c r="D244" s="2"/>
      <c r="E244" s="2" t="str">
        <f>"FES1162569290"</f>
        <v>FES1162569290</v>
      </c>
      <c r="F244" s="3">
        <v>42963</v>
      </c>
      <c r="G244" s="2">
        <v>201802</v>
      </c>
      <c r="H244" s="2" t="s">
        <v>74</v>
      </c>
      <c r="I244" s="2" t="s">
        <v>75</v>
      </c>
      <c r="J244" s="2" t="s">
        <v>76</v>
      </c>
      <c r="K244" s="2" t="s">
        <v>77</v>
      </c>
      <c r="L244" s="2" t="s">
        <v>221</v>
      </c>
      <c r="M244" s="2" t="s">
        <v>222</v>
      </c>
      <c r="N244" s="2" t="s">
        <v>223</v>
      </c>
      <c r="O244" s="2" t="s">
        <v>100</v>
      </c>
      <c r="P244" s="2" t="str">
        <f>"2170582584                    "</f>
        <v xml:space="preserve">2170582584 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4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1</v>
      </c>
      <c r="BJ244" s="2">
        <v>0.2</v>
      </c>
      <c r="BK244" s="2">
        <v>1</v>
      </c>
      <c r="BL244" s="2">
        <v>41.44</v>
      </c>
      <c r="BM244" s="2">
        <v>5.8</v>
      </c>
      <c r="BN244" s="2">
        <v>47.24</v>
      </c>
      <c r="BO244" s="2">
        <v>47.24</v>
      </c>
      <c r="BP244" s="2"/>
      <c r="BQ244" s="2" t="s">
        <v>288</v>
      </c>
      <c r="BR244" s="2" t="s">
        <v>84</v>
      </c>
      <c r="BS244" s="3">
        <v>42964</v>
      </c>
      <c r="BT244" s="4">
        <v>0.37361111111111112</v>
      </c>
      <c r="BU244" s="2" t="s">
        <v>719</v>
      </c>
      <c r="BV244" s="2" t="s">
        <v>95</v>
      </c>
      <c r="BW244" s="2"/>
      <c r="BX244" s="2"/>
      <c r="BY244" s="2">
        <v>1200</v>
      </c>
      <c r="BZ244" s="2"/>
      <c r="CA244" s="2" t="s">
        <v>225</v>
      </c>
      <c r="CB244" s="2"/>
      <c r="CC244" s="2" t="s">
        <v>222</v>
      </c>
      <c r="CD244" s="2">
        <v>4300</v>
      </c>
      <c r="CE244" s="2" t="s">
        <v>104</v>
      </c>
      <c r="CF244" s="5">
        <v>42965</v>
      </c>
      <c r="CG244" s="2"/>
      <c r="CH244" s="2"/>
      <c r="CI244" s="2">
        <v>1</v>
      </c>
      <c r="CJ244" s="2">
        <v>1</v>
      </c>
      <c r="CK244" s="2">
        <v>21</v>
      </c>
      <c r="CL244" s="2" t="s">
        <v>86</v>
      </c>
      <c r="CM244" s="2"/>
    </row>
    <row r="245" spans="1:91">
      <c r="A245" s="2" t="s">
        <v>71</v>
      </c>
      <c r="B245" s="2" t="s">
        <v>72</v>
      </c>
      <c r="C245" s="2" t="s">
        <v>73</v>
      </c>
      <c r="D245" s="2"/>
      <c r="E245" s="2" t="str">
        <f>"FES1162569296"</f>
        <v>FES1162569296</v>
      </c>
      <c r="F245" s="3">
        <v>42963</v>
      </c>
      <c r="G245" s="2">
        <v>201802</v>
      </c>
      <c r="H245" s="2" t="s">
        <v>74</v>
      </c>
      <c r="I245" s="2" t="s">
        <v>75</v>
      </c>
      <c r="J245" s="2" t="s">
        <v>76</v>
      </c>
      <c r="K245" s="2" t="s">
        <v>77</v>
      </c>
      <c r="L245" s="2" t="s">
        <v>244</v>
      </c>
      <c r="M245" s="2" t="s">
        <v>245</v>
      </c>
      <c r="N245" s="2" t="s">
        <v>720</v>
      </c>
      <c r="O245" s="2" t="s">
        <v>100</v>
      </c>
      <c r="P245" s="2" t="str">
        <f>"2170582725                    "</f>
        <v xml:space="preserve">2170582725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3.13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1</v>
      </c>
      <c r="BJ245" s="2">
        <v>0.2</v>
      </c>
      <c r="BK245" s="2">
        <v>1</v>
      </c>
      <c r="BL245" s="2">
        <v>32.380000000000003</v>
      </c>
      <c r="BM245" s="2">
        <v>4.53</v>
      </c>
      <c r="BN245" s="2">
        <v>36.909999999999997</v>
      </c>
      <c r="BO245" s="2">
        <v>36.909999999999997</v>
      </c>
      <c r="BP245" s="2"/>
      <c r="BQ245" s="2" t="s">
        <v>288</v>
      </c>
      <c r="BR245" s="2" t="s">
        <v>84</v>
      </c>
      <c r="BS245" s="3">
        <v>42964</v>
      </c>
      <c r="BT245" s="4">
        <v>0.34166666666666662</v>
      </c>
      <c r="BU245" s="2" t="s">
        <v>721</v>
      </c>
      <c r="BV245" s="2" t="s">
        <v>95</v>
      </c>
      <c r="BW245" s="2"/>
      <c r="BX245" s="2"/>
      <c r="BY245" s="2">
        <v>1200</v>
      </c>
      <c r="BZ245" s="2"/>
      <c r="CA245" s="2" t="s">
        <v>499</v>
      </c>
      <c r="CB245" s="2"/>
      <c r="CC245" s="2" t="s">
        <v>245</v>
      </c>
      <c r="CD245" s="2">
        <v>1459</v>
      </c>
      <c r="CE245" s="2" t="s">
        <v>104</v>
      </c>
      <c r="CF245" s="5">
        <v>42965</v>
      </c>
      <c r="CG245" s="2"/>
      <c r="CH245" s="2"/>
      <c r="CI245" s="2">
        <v>1</v>
      </c>
      <c r="CJ245" s="2">
        <v>1</v>
      </c>
      <c r="CK245" s="2">
        <v>22</v>
      </c>
      <c r="CL245" s="2" t="s">
        <v>86</v>
      </c>
      <c r="CM245" s="2"/>
    </row>
    <row r="246" spans="1:91">
      <c r="A246" s="2" t="s">
        <v>71</v>
      </c>
      <c r="B246" s="2" t="s">
        <v>72</v>
      </c>
      <c r="C246" s="2" t="s">
        <v>73</v>
      </c>
      <c r="D246" s="2"/>
      <c r="E246" s="2" t="str">
        <f>"FES1162569312"</f>
        <v>FES1162569312</v>
      </c>
      <c r="F246" s="3">
        <v>42963</v>
      </c>
      <c r="G246" s="2">
        <v>201802</v>
      </c>
      <c r="H246" s="2" t="s">
        <v>74</v>
      </c>
      <c r="I246" s="2" t="s">
        <v>75</v>
      </c>
      <c r="J246" s="2" t="s">
        <v>76</v>
      </c>
      <c r="K246" s="2" t="s">
        <v>77</v>
      </c>
      <c r="L246" s="2" t="s">
        <v>539</v>
      </c>
      <c r="M246" s="2" t="s">
        <v>540</v>
      </c>
      <c r="N246" s="2" t="s">
        <v>541</v>
      </c>
      <c r="O246" s="2" t="s">
        <v>100</v>
      </c>
      <c r="P246" s="2" t="str">
        <f>"2170584792                    "</f>
        <v xml:space="preserve">2170584792  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3.13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1</v>
      </c>
      <c r="BI246" s="2">
        <v>1</v>
      </c>
      <c r="BJ246" s="2">
        <v>0.2</v>
      </c>
      <c r="BK246" s="2">
        <v>1</v>
      </c>
      <c r="BL246" s="2">
        <v>32.380000000000003</v>
      </c>
      <c r="BM246" s="2">
        <v>4.53</v>
      </c>
      <c r="BN246" s="2">
        <v>36.909999999999997</v>
      </c>
      <c r="BO246" s="2">
        <v>36.909999999999997</v>
      </c>
      <c r="BP246" s="2"/>
      <c r="BQ246" s="2" t="s">
        <v>288</v>
      </c>
      <c r="BR246" s="2" t="s">
        <v>84</v>
      </c>
      <c r="BS246" s="3">
        <v>42964</v>
      </c>
      <c r="BT246" s="4">
        <v>0.38541666666666669</v>
      </c>
      <c r="BU246" s="2" t="s">
        <v>330</v>
      </c>
      <c r="BV246" s="2" t="s">
        <v>95</v>
      </c>
      <c r="BW246" s="2"/>
      <c r="BX246" s="2"/>
      <c r="BY246" s="2">
        <v>1200</v>
      </c>
      <c r="BZ246" s="2"/>
      <c r="CA246" s="2" t="s">
        <v>722</v>
      </c>
      <c r="CB246" s="2"/>
      <c r="CC246" s="2" t="s">
        <v>540</v>
      </c>
      <c r="CD246" s="2">
        <v>2162</v>
      </c>
      <c r="CE246" s="2" t="s">
        <v>104</v>
      </c>
      <c r="CF246" s="5">
        <v>42965</v>
      </c>
      <c r="CG246" s="2"/>
      <c r="CH246" s="2"/>
      <c r="CI246" s="2">
        <v>1</v>
      </c>
      <c r="CJ246" s="2">
        <v>1</v>
      </c>
      <c r="CK246" s="2">
        <v>22</v>
      </c>
      <c r="CL246" s="2" t="s">
        <v>86</v>
      </c>
      <c r="CM246" s="2"/>
    </row>
    <row r="247" spans="1:91">
      <c r="A247" s="2" t="s">
        <v>71</v>
      </c>
      <c r="B247" s="2" t="s">
        <v>72</v>
      </c>
      <c r="C247" s="2" t="s">
        <v>73</v>
      </c>
      <c r="D247" s="2"/>
      <c r="E247" s="2" t="str">
        <f>"FES1162569393"</f>
        <v>FES1162569393</v>
      </c>
      <c r="F247" s="3">
        <v>42963</v>
      </c>
      <c r="G247" s="2">
        <v>201802</v>
      </c>
      <c r="H247" s="2" t="s">
        <v>74</v>
      </c>
      <c r="I247" s="2" t="s">
        <v>75</v>
      </c>
      <c r="J247" s="2" t="s">
        <v>76</v>
      </c>
      <c r="K247" s="2" t="s">
        <v>77</v>
      </c>
      <c r="L247" s="2" t="s">
        <v>723</v>
      </c>
      <c r="M247" s="2" t="s">
        <v>724</v>
      </c>
      <c r="N247" s="2" t="s">
        <v>725</v>
      </c>
      <c r="O247" s="2" t="s">
        <v>100</v>
      </c>
      <c r="P247" s="2" t="str">
        <f>"2170585237                    "</f>
        <v xml:space="preserve">2170585237 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5.63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1</v>
      </c>
      <c r="BJ247" s="2">
        <v>0.2</v>
      </c>
      <c r="BK247" s="2">
        <v>1</v>
      </c>
      <c r="BL247" s="2">
        <v>58.28</v>
      </c>
      <c r="BM247" s="2">
        <v>8.16</v>
      </c>
      <c r="BN247" s="2">
        <v>66.44</v>
      </c>
      <c r="BO247" s="2">
        <v>66.44</v>
      </c>
      <c r="BP247" s="2"/>
      <c r="BQ247" s="2" t="s">
        <v>288</v>
      </c>
      <c r="BR247" s="2" t="s">
        <v>84</v>
      </c>
      <c r="BS247" s="3">
        <v>42964</v>
      </c>
      <c r="BT247" s="4">
        <v>0.33333333333333331</v>
      </c>
      <c r="BU247" s="2" t="s">
        <v>726</v>
      </c>
      <c r="BV247" s="2" t="s">
        <v>95</v>
      </c>
      <c r="BW247" s="2"/>
      <c r="BX247" s="2"/>
      <c r="BY247" s="2">
        <v>1200</v>
      </c>
      <c r="BZ247" s="2"/>
      <c r="CA247" s="2" t="s">
        <v>727</v>
      </c>
      <c r="CB247" s="2"/>
      <c r="CC247" s="2" t="s">
        <v>724</v>
      </c>
      <c r="CD247" s="2">
        <v>1739</v>
      </c>
      <c r="CE247" s="2" t="s">
        <v>104</v>
      </c>
      <c r="CF247" s="5">
        <v>42965</v>
      </c>
      <c r="CG247" s="2"/>
      <c r="CH247" s="2"/>
      <c r="CI247" s="2">
        <v>1</v>
      </c>
      <c r="CJ247" s="2">
        <v>1</v>
      </c>
      <c r="CK247" s="2">
        <v>24</v>
      </c>
      <c r="CL247" s="2" t="s">
        <v>86</v>
      </c>
      <c r="CM247" s="2"/>
    </row>
    <row r="248" spans="1:91">
      <c r="A248" s="2" t="s">
        <v>71</v>
      </c>
      <c r="B248" s="2" t="s">
        <v>72</v>
      </c>
      <c r="C248" s="2" t="s">
        <v>73</v>
      </c>
      <c r="D248" s="2"/>
      <c r="E248" s="2" t="str">
        <f>"FES1162569394"</f>
        <v>FES1162569394</v>
      </c>
      <c r="F248" s="3">
        <v>42963</v>
      </c>
      <c r="G248" s="2">
        <v>201802</v>
      </c>
      <c r="H248" s="2" t="s">
        <v>74</v>
      </c>
      <c r="I248" s="2" t="s">
        <v>75</v>
      </c>
      <c r="J248" s="2" t="s">
        <v>76</v>
      </c>
      <c r="K248" s="2" t="s">
        <v>77</v>
      </c>
      <c r="L248" s="2" t="s">
        <v>144</v>
      </c>
      <c r="M248" s="2" t="s">
        <v>145</v>
      </c>
      <c r="N248" s="2" t="s">
        <v>146</v>
      </c>
      <c r="O248" s="2" t="s">
        <v>100</v>
      </c>
      <c r="P248" s="2" t="str">
        <f>"2170585239                    "</f>
        <v xml:space="preserve">2170585239 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3.13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1</v>
      </c>
      <c r="BJ248" s="2">
        <v>0.2</v>
      </c>
      <c r="BK248" s="2">
        <v>1</v>
      </c>
      <c r="BL248" s="2">
        <v>32.380000000000003</v>
      </c>
      <c r="BM248" s="2">
        <v>4.53</v>
      </c>
      <c r="BN248" s="2">
        <v>36.909999999999997</v>
      </c>
      <c r="BO248" s="2">
        <v>36.909999999999997</v>
      </c>
      <c r="BP248" s="2"/>
      <c r="BQ248" s="2" t="s">
        <v>83</v>
      </c>
      <c r="BR248" s="2" t="s">
        <v>84</v>
      </c>
      <c r="BS248" s="3">
        <v>42964</v>
      </c>
      <c r="BT248" s="4">
        <v>0.38194444444444442</v>
      </c>
      <c r="BU248" s="2" t="s">
        <v>728</v>
      </c>
      <c r="BV248" s="2" t="s">
        <v>95</v>
      </c>
      <c r="BW248" s="2"/>
      <c r="BX248" s="2"/>
      <c r="BY248" s="2">
        <v>1200</v>
      </c>
      <c r="BZ248" s="2"/>
      <c r="CA248" s="2" t="s">
        <v>729</v>
      </c>
      <c r="CB248" s="2"/>
      <c r="CC248" s="2" t="s">
        <v>145</v>
      </c>
      <c r="CD248" s="2">
        <v>2094</v>
      </c>
      <c r="CE248" s="2" t="s">
        <v>104</v>
      </c>
      <c r="CF248" s="5">
        <v>42965</v>
      </c>
      <c r="CG248" s="2"/>
      <c r="CH248" s="2"/>
      <c r="CI248" s="2">
        <v>1</v>
      </c>
      <c r="CJ248" s="2">
        <v>1</v>
      </c>
      <c r="CK248" s="2">
        <v>22</v>
      </c>
      <c r="CL248" s="2" t="s">
        <v>86</v>
      </c>
      <c r="CM248" s="2"/>
    </row>
    <row r="249" spans="1:91">
      <c r="A249" s="2" t="s">
        <v>71</v>
      </c>
      <c r="B249" s="2" t="s">
        <v>72</v>
      </c>
      <c r="C249" s="2" t="s">
        <v>73</v>
      </c>
      <c r="D249" s="2"/>
      <c r="E249" s="2" t="str">
        <f>"FES1162569360"</f>
        <v>FES1162569360</v>
      </c>
      <c r="F249" s="3">
        <v>42963</v>
      </c>
      <c r="G249" s="2">
        <v>201802</v>
      </c>
      <c r="H249" s="2" t="s">
        <v>74</v>
      </c>
      <c r="I249" s="2" t="s">
        <v>75</v>
      </c>
      <c r="J249" s="2" t="s">
        <v>76</v>
      </c>
      <c r="K249" s="2" t="s">
        <v>77</v>
      </c>
      <c r="L249" s="2" t="s">
        <v>311</v>
      </c>
      <c r="M249" s="2" t="s">
        <v>312</v>
      </c>
      <c r="N249" s="2" t="s">
        <v>730</v>
      </c>
      <c r="O249" s="2" t="s">
        <v>100</v>
      </c>
      <c r="P249" s="2" t="str">
        <f>"2170582585                    "</f>
        <v xml:space="preserve">2170582585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3.13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1</v>
      </c>
      <c r="BJ249" s="2">
        <v>0.2</v>
      </c>
      <c r="BK249" s="2">
        <v>1</v>
      </c>
      <c r="BL249" s="2">
        <v>32.380000000000003</v>
      </c>
      <c r="BM249" s="2">
        <v>4.53</v>
      </c>
      <c r="BN249" s="2">
        <v>36.909999999999997</v>
      </c>
      <c r="BO249" s="2">
        <v>36.909999999999997</v>
      </c>
      <c r="BP249" s="2"/>
      <c r="BQ249" s="2" t="s">
        <v>108</v>
      </c>
      <c r="BR249" s="2" t="s">
        <v>84</v>
      </c>
      <c r="BS249" s="3">
        <v>42964</v>
      </c>
      <c r="BT249" s="4">
        <v>0.41666666666666669</v>
      </c>
      <c r="BU249" s="2" t="s">
        <v>731</v>
      </c>
      <c r="BV249" s="2" t="s">
        <v>95</v>
      </c>
      <c r="BW249" s="2"/>
      <c r="BX249" s="2"/>
      <c r="BY249" s="2">
        <v>1200</v>
      </c>
      <c r="BZ249" s="2"/>
      <c r="CA249" s="2"/>
      <c r="CB249" s="2"/>
      <c r="CC249" s="2" t="s">
        <v>312</v>
      </c>
      <c r="CD249" s="2">
        <v>1559</v>
      </c>
      <c r="CE249" s="2" t="s">
        <v>104</v>
      </c>
      <c r="CF249" s="5">
        <v>42965</v>
      </c>
      <c r="CG249" s="2"/>
      <c r="CH249" s="2"/>
      <c r="CI249" s="2">
        <v>1</v>
      </c>
      <c r="CJ249" s="2">
        <v>1</v>
      </c>
      <c r="CK249" s="2">
        <v>22</v>
      </c>
      <c r="CL249" s="2" t="s">
        <v>86</v>
      </c>
      <c r="CM249" s="2"/>
    </row>
    <row r="250" spans="1:91">
      <c r="A250" s="2" t="s">
        <v>71</v>
      </c>
      <c r="B250" s="2" t="s">
        <v>72</v>
      </c>
      <c r="C250" s="2" t="s">
        <v>73</v>
      </c>
      <c r="D250" s="2"/>
      <c r="E250" s="2" t="str">
        <f>"FES1162569278"</f>
        <v>FES1162569278</v>
      </c>
      <c r="F250" s="3">
        <v>42963</v>
      </c>
      <c r="G250" s="2">
        <v>201802</v>
      </c>
      <c r="H250" s="2" t="s">
        <v>74</v>
      </c>
      <c r="I250" s="2" t="s">
        <v>75</v>
      </c>
      <c r="J250" s="2" t="s">
        <v>76</v>
      </c>
      <c r="K250" s="2" t="s">
        <v>77</v>
      </c>
      <c r="L250" s="2" t="s">
        <v>74</v>
      </c>
      <c r="M250" s="2" t="s">
        <v>75</v>
      </c>
      <c r="N250" s="2" t="s">
        <v>407</v>
      </c>
      <c r="O250" s="2" t="s">
        <v>100</v>
      </c>
      <c r="P250" s="2" t="str">
        <f>"2170576516                    "</f>
        <v xml:space="preserve">2170576516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3.13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1</v>
      </c>
      <c r="BJ250" s="2">
        <v>0.2</v>
      </c>
      <c r="BK250" s="2">
        <v>1</v>
      </c>
      <c r="BL250" s="2">
        <v>32.380000000000003</v>
      </c>
      <c r="BM250" s="2">
        <v>4.53</v>
      </c>
      <c r="BN250" s="2">
        <v>36.909999999999997</v>
      </c>
      <c r="BO250" s="2">
        <v>36.909999999999997</v>
      </c>
      <c r="BP250" s="2"/>
      <c r="BQ250" s="2" t="s">
        <v>108</v>
      </c>
      <c r="BR250" s="2" t="s">
        <v>84</v>
      </c>
      <c r="BS250" s="3">
        <v>42964</v>
      </c>
      <c r="BT250" s="4">
        <v>0.33333333333333331</v>
      </c>
      <c r="BU250" s="2" t="s">
        <v>708</v>
      </c>
      <c r="BV250" s="2" t="s">
        <v>95</v>
      </c>
      <c r="BW250" s="2"/>
      <c r="BX250" s="2"/>
      <c r="BY250" s="2">
        <v>1200</v>
      </c>
      <c r="BZ250" s="2"/>
      <c r="CA250" s="2" t="s">
        <v>709</v>
      </c>
      <c r="CB250" s="2"/>
      <c r="CC250" s="2" t="s">
        <v>75</v>
      </c>
      <c r="CD250" s="2">
        <v>1645</v>
      </c>
      <c r="CE250" s="2" t="s">
        <v>104</v>
      </c>
      <c r="CF250" s="5">
        <v>42965</v>
      </c>
      <c r="CG250" s="2"/>
      <c r="CH250" s="2"/>
      <c r="CI250" s="2">
        <v>1</v>
      </c>
      <c r="CJ250" s="2">
        <v>1</v>
      </c>
      <c r="CK250" s="2">
        <v>22</v>
      </c>
      <c r="CL250" s="2" t="s">
        <v>86</v>
      </c>
      <c r="CM250" s="2"/>
    </row>
    <row r="251" spans="1:91">
      <c r="A251" s="2" t="s">
        <v>71</v>
      </c>
      <c r="B251" s="2" t="s">
        <v>72</v>
      </c>
      <c r="C251" s="2" t="s">
        <v>73</v>
      </c>
      <c r="D251" s="2"/>
      <c r="E251" s="2" t="str">
        <f>"FES1162569257"</f>
        <v>FES1162569257</v>
      </c>
      <c r="F251" s="3">
        <v>42963</v>
      </c>
      <c r="G251" s="2">
        <v>201802</v>
      </c>
      <c r="H251" s="2" t="s">
        <v>74</v>
      </c>
      <c r="I251" s="2" t="s">
        <v>75</v>
      </c>
      <c r="J251" s="2" t="s">
        <v>76</v>
      </c>
      <c r="K251" s="2" t="s">
        <v>77</v>
      </c>
      <c r="L251" s="2" t="s">
        <v>74</v>
      </c>
      <c r="M251" s="2" t="s">
        <v>75</v>
      </c>
      <c r="N251" s="2" t="s">
        <v>407</v>
      </c>
      <c r="O251" s="2" t="s">
        <v>100</v>
      </c>
      <c r="P251" s="2" t="str">
        <f>"2170585158                    "</f>
        <v xml:space="preserve">2170585158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3.13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1</v>
      </c>
      <c r="BJ251" s="2">
        <v>0.2</v>
      </c>
      <c r="BK251" s="2">
        <v>1</v>
      </c>
      <c r="BL251" s="2">
        <v>32.380000000000003</v>
      </c>
      <c r="BM251" s="2">
        <v>4.53</v>
      </c>
      <c r="BN251" s="2">
        <v>36.909999999999997</v>
      </c>
      <c r="BO251" s="2">
        <v>36.909999999999997</v>
      </c>
      <c r="BP251" s="2"/>
      <c r="BQ251" s="2" t="s">
        <v>108</v>
      </c>
      <c r="BR251" s="2" t="s">
        <v>84</v>
      </c>
      <c r="BS251" s="3">
        <v>42964</v>
      </c>
      <c r="BT251" s="4">
        <v>0.33333333333333331</v>
      </c>
      <c r="BU251" s="2" t="s">
        <v>708</v>
      </c>
      <c r="BV251" s="2" t="s">
        <v>95</v>
      </c>
      <c r="BW251" s="2"/>
      <c r="BX251" s="2"/>
      <c r="BY251" s="2">
        <v>1200</v>
      </c>
      <c r="BZ251" s="2"/>
      <c r="CA251" s="2" t="s">
        <v>709</v>
      </c>
      <c r="CB251" s="2"/>
      <c r="CC251" s="2" t="s">
        <v>75</v>
      </c>
      <c r="CD251" s="2">
        <v>1645</v>
      </c>
      <c r="CE251" s="2" t="s">
        <v>104</v>
      </c>
      <c r="CF251" s="5">
        <v>42965</v>
      </c>
      <c r="CG251" s="2"/>
      <c r="CH251" s="2"/>
      <c r="CI251" s="2">
        <v>1</v>
      </c>
      <c r="CJ251" s="2">
        <v>1</v>
      </c>
      <c r="CK251" s="2">
        <v>22</v>
      </c>
      <c r="CL251" s="2" t="s">
        <v>86</v>
      </c>
      <c r="CM251" s="2"/>
    </row>
    <row r="252" spans="1:91">
      <c r="A252" s="2" t="s">
        <v>71</v>
      </c>
      <c r="B252" s="2" t="s">
        <v>72</v>
      </c>
      <c r="C252" s="2" t="s">
        <v>73</v>
      </c>
      <c r="D252" s="2"/>
      <c r="E252" s="2" t="str">
        <f>"FES1162569359"</f>
        <v>FES1162569359</v>
      </c>
      <c r="F252" s="3">
        <v>42963</v>
      </c>
      <c r="G252" s="2">
        <v>201802</v>
      </c>
      <c r="H252" s="2" t="s">
        <v>74</v>
      </c>
      <c r="I252" s="2" t="s">
        <v>75</v>
      </c>
      <c r="J252" s="2" t="s">
        <v>76</v>
      </c>
      <c r="K252" s="2" t="s">
        <v>77</v>
      </c>
      <c r="L252" s="2" t="s">
        <v>244</v>
      </c>
      <c r="M252" s="2" t="s">
        <v>245</v>
      </c>
      <c r="N252" s="2" t="s">
        <v>551</v>
      </c>
      <c r="O252" s="2" t="s">
        <v>100</v>
      </c>
      <c r="P252" s="2" t="str">
        <f>"2170582537                    "</f>
        <v xml:space="preserve">2170582537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3.13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1</v>
      </c>
      <c r="BJ252" s="2">
        <v>0.2</v>
      </c>
      <c r="BK252" s="2">
        <v>1</v>
      </c>
      <c r="BL252" s="2">
        <v>32.380000000000003</v>
      </c>
      <c r="BM252" s="2">
        <v>4.53</v>
      </c>
      <c r="BN252" s="2">
        <v>36.909999999999997</v>
      </c>
      <c r="BO252" s="2">
        <v>36.909999999999997</v>
      </c>
      <c r="BP252" s="2"/>
      <c r="BQ252" s="2" t="s">
        <v>288</v>
      </c>
      <c r="BR252" s="2" t="s">
        <v>84</v>
      </c>
      <c r="BS252" s="3">
        <v>42964</v>
      </c>
      <c r="BT252" s="4">
        <v>0.3659722222222222</v>
      </c>
      <c r="BU252" s="2" t="s">
        <v>732</v>
      </c>
      <c r="BV252" s="2" t="s">
        <v>95</v>
      </c>
      <c r="BW252" s="2"/>
      <c r="BX252" s="2"/>
      <c r="BY252" s="2">
        <v>1200</v>
      </c>
      <c r="BZ252" s="2"/>
      <c r="CA252" s="2" t="s">
        <v>733</v>
      </c>
      <c r="CB252" s="2"/>
      <c r="CC252" s="2" t="s">
        <v>245</v>
      </c>
      <c r="CD252" s="2">
        <v>1459</v>
      </c>
      <c r="CE252" s="2" t="s">
        <v>104</v>
      </c>
      <c r="CF252" s="5">
        <v>42965</v>
      </c>
      <c r="CG252" s="2"/>
      <c r="CH252" s="2"/>
      <c r="CI252" s="2">
        <v>1</v>
      </c>
      <c r="CJ252" s="2">
        <v>1</v>
      </c>
      <c r="CK252" s="2">
        <v>22</v>
      </c>
      <c r="CL252" s="2" t="s">
        <v>86</v>
      </c>
      <c r="CM252" s="2"/>
    </row>
    <row r="253" spans="1:91">
      <c r="A253" s="2" t="s">
        <v>71</v>
      </c>
      <c r="B253" s="2" t="s">
        <v>72</v>
      </c>
      <c r="C253" s="2" t="s">
        <v>73</v>
      </c>
      <c r="D253" s="2"/>
      <c r="E253" s="2" t="str">
        <f>"FES1162569158"</f>
        <v>FES1162569158</v>
      </c>
      <c r="F253" s="3">
        <v>42963</v>
      </c>
      <c r="G253" s="2">
        <v>201802</v>
      </c>
      <c r="H253" s="2" t="s">
        <v>74</v>
      </c>
      <c r="I253" s="2" t="s">
        <v>75</v>
      </c>
      <c r="J253" s="2" t="s">
        <v>76</v>
      </c>
      <c r="K253" s="2" t="s">
        <v>77</v>
      </c>
      <c r="L253" s="2" t="s">
        <v>237</v>
      </c>
      <c r="M253" s="2" t="s">
        <v>238</v>
      </c>
      <c r="N253" s="2" t="s">
        <v>399</v>
      </c>
      <c r="O253" s="2" t="s">
        <v>100</v>
      </c>
      <c r="P253" s="2" t="str">
        <f>"2170583205                    "</f>
        <v xml:space="preserve">2170583205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4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1</v>
      </c>
      <c r="BJ253" s="2">
        <v>0.2</v>
      </c>
      <c r="BK253" s="2">
        <v>1</v>
      </c>
      <c r="BL253" s="2">
        <v>41.44</v>
      </c>
      <c r="BM253" s="2">
        <v>5.8</v>
      </c>
      <c r="BN253" s="2">
        <v>47.24</v>
      </c>
      <c r="BO253" s="2">
        <v>47.24</v>
      </c>
      <c r="BP253" s="2"/>
      <c r="BQ253" s="2" t="s">
        <v>365</v>
      </c>
      <c r="BR253" s="2" t="s">
        <v>84</v>
      </c>
      <c r="BS253" s="3">
        <v>42964</v>
      </c>
      <c r="BT253" s="4">
        <v>0.4152777777777778</v>
      </c>
      <c r="BU253" s="2" t="s">
        <v>400</v>
      </c>
      <c r="BV253" s="2" t="s">
        <v>95</v>
      </c>
      <c r="BW253" s="2"/>
      <c r="BX253" s="2"/>
      <c r="BY253" s="2">
        <v>1200</v>
      </c>
      <c r="BZ253" s="2"/>
      <c r="CA253" s="2" t="s">
        <v>401</v>
      </c>
      <c r="CB253" s="2"/>
      <c r="CC253" s="2" t="s">
        <v>238</v>
      </c>
      <c r="CD253" s="2">
        <v>3610</v>
      </c>
      <c r="CE253" s="2" t="s">
        <v>104</v>
      </c>
      <c r="CF253" s="5">
        <v>42964</v>
      </c>
      <c r="CG253" s="2"/>
      <c r="CH253" s="2"/>
      <c r="CI253" s="2">
        <v>1</v>
      </c>
      <c r="CJ253" s="2">
        <v>1</v>
      </c>
      <c r="CK253" s="2">
        <v>21</v>
      </c>
      <c r="CL253" s="2" t="s">
        <v>86</v>
      </c>
      <c r="CM253" s="2"/>
    </row>
    <row r="254" spans="1:91">
      <c r="A254" s="2" t="s">
        <v>71</v>
      </c>
      <c r="B254" s="2" t="s">
        <v>72</v>
      </c>
      <c r="C254" s="2" t="s">
        <v>73</v>
      </c>
      <c r="D254" s="2"/>
      <c r="E254" s="2" t="str">
        <f>"FES1162569358"</f>
        <v>FES1162569358</v>
      </c>
      <c r="F254" s="3">
        <v>42963</v>
      </c>
      <c r="G254" s="2">
        <v>201802</v>
      </c>
      <c r="H254" s="2" t="s">
        <v>74</v>
      </c>
      <c r="I254" s="2" t="s">
        <v>75</v>
      </c>
      <c r="J254" s="2" t="s">
        <v>76</v>
      </c>
      <c r="K254" s="2" t="s">
        <v>77</v>
      </c>
      <c r="L254" s="2" t="s">
        <v>723</v>
      </c>
      <c r="M254" s="2" t="s">
        <v>724</v>
      </c>
      <c r="N254" s="2" t="s">
        <v>734</v>
      </c>
      <c r="O254" s="2" t="s">
        <v>100</v>
      </c>
      <c r="P254" s="2" t="str">
        <f>"2170582516                    "</f>
        <v xml:space="preserve">2170582516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7.75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1.4</v>
      </c>
      <c r="BJ254" s="2">
        <v>0.7</v>
      </c>
      <c r="BK254" s="2">
        <v>1.5</v>
      </c>
      <c r="BL254" s="2">
        <v>80.290000000000006</v>
      </c>
      <c r="BM254" s="2">
        <v>11.24</v>
      </c>
      <c r="BN254" s="2">
        <v>91.53</v>
      </c>
      <c r="BO254" s="2">
        <v>91.53</v>
      </c>
      <c r="BP254" s="2"/>
      <c r="BQ254" s="2" t="s">
        <v>288</v>
      </c>
      <c r="BR254" s="2" t="s">
        <v>84</v>
      </c>
      <c r="BS254" s="3">
        <v>42965</v>
      </c>
      <c r="BT254" s="4">
        <v>0.40625</v>
      </c>
      <c r="BU254" s="2" t="s">
        <v>735</v>
      </c>
      <c r="BV254" s="2" t="s">
        <v>86</v>
      </c>
      <c r="BW254" s="2" t="s">
        <v>124</v>
      </c>
      <c r="BX254" s="2" t="s">
        <v>498</v>
      </c>
      <c r="BY254" s="2">
        <v>3378.7</v>
      </c>
      <c r="BZ254" s="2"/>
      <c r="CA254" s="2" t="s">
        <v>148</v>
      </c>
      <c r="CB254" s="2"/>
      <c r="CC254" s="2" t="s">
        <v>724</v>
      </c>
      <c r="CD254" s="2">
        <v>1739</v>
      </c>
      <c r="CE254" s="2" t="s">
        <v>89</v>
      </c>
      <c r="CF254" s="5">
        <v>42968</v>
      </c>
      <c r="CG254" s="2"/>
      <c r="CH254" s="2"/>
      <c r="CI254" s="2">
        <v>1</v>
      </c>
      <c r="CJ254" s="2">
        <v>2</v>
      </c>
      <c r="CK254" s="2">
        <v>23</v>
      </c>
      <c r="CL254" s="2" t="s">
        <v>86</v>
      </c>
      <c r="CM254" s="2"/>
    </row>
    <row r="255" spans="1:91">
      <c r="A255" s="2" t="s">
        <v>71</v>
      </c>
      <c r="B255" s="2" t="s">
        <v>72</v>
      </c>
      <c r="C255" s="2" t="s">
        <v>73</v>
      </c>
      <c r="D255" s="2"/>
      <c r="E255" s="2" t="str">
        <f>"FES1162569494"</f>
        <v>FES1162569494</v>
      </c>
      <c r="F255" s="3">
        <v>42963</v>
      </c>
      <c r="G255" s="2">
        <v>201802</v>
      </c>
      <c r="H255" s="2" t="s">
        <v>74</v>
      </c>
      <c r="I255" s="2" t="s">
        <v>75</v>
      </c>
      <c r="J255" s="2" t="s">
        <v>76</v>
      </c>
      <c r="K255" s="2" t="s">
        <v>77</v>
      </c>
      <c r="L255" s="2" t="s">
        <v>105</v>
      </c>
      <c r="M255" s="2" t="s">
        <v>106</v>
      </c>
      <c r="N255" s="2" t="s">
        <v>107</v>
      </c>
      <c r="O255" s="2" t="s">
        <v>100</v>
      </c>
      <c r="P255" s="2" t="str">
        <f>"2170577583                    "</f>
        <v xml:space="preserve">2170577583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17.010000000000002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4.3</v>
      </c>
      <c r="BJ255" s="2">
        <v>8.4</v>
      </c>
      <c r="BK255" s="2">
        <v>8.5</v>
      </c>
      <c r="BL255" s="2">
        <v>176.13</v>
      </c>
      <c r="BM255" s="2">
        <v>24.66</v>
      </c>
      <c r="BN255" s="2">
        <v>200.79</v>
      </c>
      <c r="BO255" s="2">
        <v>200.79</v>
      </c>
      <c r="BP255" s="2"/>
      <c r="BQ255" s="2" t="s">
        <v>108</v>
      </c>
      <c r="BR255" s="2" t="s">
        <v>84</v>
      </c>
      <c r="BS255" s="3">
        <v>42964</v>
      </c>
      <c r="BT255" s="4">
        <v>0.37222222222222223</v>
      </c>
      <c r="BU255" s="2" t="s">
        <v>236</v>
      </c>
      <c r="BV255" s="2" t="s">
        <v>95</v>
      </c>
      <c r="BW255" s="2"/>
      <c r="BX255" s="2"/>
      <c r="BY255" s="2">
        <v>42065.41</v>
      </c>
      <c r="BZ255" s="2"/>
      <c r="CA255" s="2" t="s">
        <v>112</v>
      </c>
      <c r="CB255" s="2"/>
      <c r="CC255" s="2" t="s">
        <v>106</v>
      </c>
      <c r="CD255" s="2">
        <v>7405</v>
      </c>
      <c r="CE255" s="2" t="s">
        <v>89</v>
      </c>
      <c r="CF255" s="5">
        <v>42965</v>
      </c>
      <c r="CG255" s="2"/>
      <c r="CH255" s="2"/>
      <c r="CI255" s="2">
        <v>1</v>
      </c>
      <c r="CJ255" s="2">
        <v>1</v>
      </c>
      <c r="CK255" s="2">
        <v>21</v>
      </c>
      <c r="CL255" s="2" t="s">
        <v>86</v>
      </c>
      <c r="CM255" s="2"/>
    </row>
    <row r="256" spans="1:91">
      <c r="A256" s="2" t="s">
        <v>71</v>
      </c>
      <c r="B256" s="2" t="s">
        <v>72</v>
      </c>
      <c r="C256" s="2" t="s">
        <v>73</v>
      </c>
      <c r="D256" s="2"/>
      <c r="E256" s="2" t="str">
        <f>"FES1162569429"</f>
        <v>FES1162569429</v>
      </c>
      <c r="F256" s="3">
        <v>42963</v>
      </c>
      <c r="G256" s="2">
        <v>201802</v>
      </c>
      <c r="H256" s="2" t="s">
        <v>74</v>
      </c>
      <c r="I256" s="2" t="s">
        <v>75</v>
      </c>
      <c r="J256" s="2" t="s">
        <v>76</v>
      </c>
      <c r="K256" s="2" t="s">
        <v>77</v>
      </c>
      <c r="L256" s="2" t="s">
        <v>332</v>
      </c>
      <c r="M256" s="2" t="s">
        <v>333</v>
      </c>
      <c r="N256" s="2" t="s">
        <v>334</v>
      </c>
      <c r="O256" s="2" t="s">
        <v>100</v>
      </c>
      <c r="P256" s="2" t="str">
        <f>"2170585268                    "</f>
        <v xml:space="preserve">2170585268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9.51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2.2999999999999998</v>
      </c>
      <c r="BJ256" s="2">
        <v>1.5</v>
      </c>
      <c r="BK256" s="2">
        <v>2.5</v>
      </c>
      <c r="BL256" s="2">
        <v>98.43</v>
      </c>
      <c r="BM256" s="2">
        <v>13.78</v>
      </c>
      <c r="BN256" s="2">
        <v>112.21</v>
      </c>
      <c r="BO256" s="2">
        <v>112.21</v>
      </c>
      <c r="BP256" s="2"/>
      <c r="BQ256" s="2" t="s">
        <v>209</v>
      </c>
      <c r="BR256" s="2" t="s">
        <v>84</v>
      </c>
      <c r="BS256" s="3">
        <v>42964</v>
      </c>
      <c r="BT256" s="4">
        <v>0.4826388888888889</v>
      </c>
      <c r="BU256" s="2" t="s">
        <v>736</v>
      </c>
      <c r="BV256" s="2" t="s">
        <v>95</v>
      </c>
      <c r="BW256" s="2"/>
      <c r="BX256" s="2"/>
      <c r="BY256" s="2">
        <v>7347.04</v>
      </c>
      <c r="BZ256" s="2"/>
      <c r="CA256" s="2" t="s">
        <v>338</v>
      </c>
      <c r="CB256" s="2"/>
      <c r="CC256" s="2" t="s">
        <v>333</v>
      </c>
      <c r="CD256" s="2">
        <v>4450</v>
      </c>
      <c r="CE256" s="2" t="s">
        <v>89</v>
      </c>
      <c r="CF256" s="5">
        <v>42965</v>
      </c>
      <c r="CG256" s="2"/>
      <c r="CH256" s="2"/>
      <c r="CI256" s="2">
        <v>1</v>
      </c>
      <c r="CJ256" s="2">
        <v>1</v>
      </c>
      <c r="CK256" s="2">
        <v>23</v>
      </c>
      <c r="CL256" s="2" t="s">
        <v>86</v>
      </c>
      <c r="CM256" s="2"/>
    </row>
    <row r="257" spans="1:91">
      <c r="A257" s="2" t="s">
        <v>71</v>
      </c>
      <c r="B257" s="2" t="s">
        <v>72</v>
      </c>
      <c r="C257" s="2" t="s">
        <v>73</v>
      </c>
      <c r="D257" s="2"/>
      <c r="E257" s="2" t="str">
        <f>"FES1162569317"</f>
        <v>FES1162569317</v>
      </c>
      <c r="F257" s="3">
        <v>42963</v>
      </c>
      <c r="G257" s="2">
        <v>201802</v>
      </c>
      <c r="H257" s="2" t="s">
        <v>74</v>
      </c>
      <c r="I257" s="2" t="s">
        <v>75</v>
      </c>
      <c r="J257" s="2" t="s">
        <v>76</v>
      </c>
      <c r="K257" s="2" t="s">
        <v>77</v>
      </c>
      <c r="L257" s="2" t="s">
        <v>539</v>
      </c>
      <c r="M257" s="2" t="s">
        <v>540</v>
      </c>
      <c r="N257" s="2" t="s">
        <v>737</v>
      </c>
      <c r="O257" s="2" t="s">
        <v>100</v>
      </c>
      <c r="P257" s="2" t="str">
        <f>"2170585184                    "</f>
        <v xml:space="preserve">2170585184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3.13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4.7</v>
      </c>
      <c r="BJ257" s="2">
        <v>5.2</v>
      </c>
      <c r="BK257" s="2">
        <v>6</v>
      </c>
      <c r="BL257" s="2">
        <v>32.380000000000003</v>
      </c>
      <c r="BM257" s="2">
        <v>4.53</v>
      </c>
      <c r="BN257" s="2">
        <v>36.909999999999997</v>
      </c>
      <c r="BO257" s="2">
        <v>36.909999999999997</v>
      </c>
      <c r="BP257" s="2"/>
      <c r="BQ257" s="2" t="s">
        <v>738</v>
      </c>
      <c r="BR257" s="2" t="s">
        <v>84</v>
      </c>
      <c r="BS257" s="3">
        <v>42964</v>
      </c>
      <c r="BT257" s="4">
        <v>0.66666666666666663</v>
      </c>
      <c r="BU257" s="2" t="s">
        <v>739</v>
      </c>
      <c r="BV257" s="2" t="s">
        <v>86</v>
      </c>
      <c r="BW257" s="2" t="s">
        <v>124</v>
      </c>
      <c r="BX257" s="2" t="s">
        <v>199</v>
      </c>
      <c r="BY257" s="2">
        <v>26069.119999999999</v>
      </c>
      <c r="BZ257" s="2"/>
      <c r="CA257" s="2"/>
      <c r="CB257" s="2"/>
      <c r="CC257" s="2" t="s">
        <v>540</v>
      </c>
      <c r="CD257" s="2">
        <v>2163</v>
      </c>
      <c r="CE257" s="2" t="s">
        <v>89</v>
      </c>
      <c r="CF257" s="5">
        <v>42965</v>
      </c>
      <c r="CG257" s="2"/>
      <c r="CH257" s="2"/>
      <c r="CI257" s="2">
        <v>1</v>
      </c>
      <c r="CJ257" s="2">
        <v>1</v>
      </c>
      <c r="CK257" s="2">
        <v>22</v>
      </c>
      <c r="CL257" s="2" t="s">
        <v>86</v>
      </c>
      <c r="CM257" s="2"/>
    </row>
    <row r="258" spans="1:91">
      <c r="A258" s="2" t="s">
        <v>71</v>
      </c>
      <c r="B258" s="2" t="s">
        <v>72</v>
      </c>
      <c r="C258" s="2" t="s">
        <v>73</v>
      </c>
      <c r="D258" s="2"/>
      <c r="E258" s="2" t="str">
        <f>"FES1162569331"</f>
        <v>FES1162569331</v>
      </c>
      <c r="F258" s="3">
        <v>42963</v>
      </c>
      <c r="G258" s="2">
        <v>201802</v>
      </c>
      <c r="H258" s="2" t="s">
        <v>74</v>
      </c>
      <c r="I258" s="2" t="s">
        <v>75</v>
      </c>
      <c r="J258" s="2" t="s">
        <v>76</v>
      </c>
      <c r="K258" s="2" t="s">
        <v>77</v>
      </c>
      <c r="L258" s="2" t="s">
        <v>74</v>
      </c>
      <c r="M258" s="2" t="s">
        <v>75</v>
      </c>
      <c r="N258" s="2" t="s">
        <v>192</v>
      </c>
      <c r="O258" s="2" t="s">
        <v>100</v>
      </c>
      <c r="P258" s="2" t="str">
        <f>"2170585200                    "</f>
        <v xml:space="preserve">2170585200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3.88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6</v>
      </c>
      <c r="BJ258" s="2">
        <v>9.1</v>
      </c>
      <c r="BK258" s="2">
        <v>10</v>
      </c>
      <c r="BL258" s="2">
        <v>40.15</v>
      </c>
      <c r="BM258" s="2">
        <v>5.62</v>
      </c>
      <c r="BN258" s="2">
        <v>45.77</v>
      </c>
      <c r="BO258" s="2">
        <v>45.77</v>
      </c>
      <c r="BP258" s="2"/>
      <c r="BQ258" s="2" t="s">
        <v>288</v>
      </c>
      <c r="BR258" s="2" t="s">
        <v>84</v>
      </c>
      <c r="BS258" s="3">
        <v>42964</v>
      </c>
      <c r="BT258" s="4">
        <v>0.34930555555555554</v>
      </c>
      <c r="BU258" s="2" t="s">
        <v>193</v>
      </c>
      <c r="BV258" s="2" t="s">
        <v>95</v>
      </c>
      <c r="BW258" s="2"/>
      <c r="BX258" s="2"/>
      <c r="BY258" s="2">
        <v>45632</v>
      </c>
      <c r="BZ258" s="2"/>
      <c r="CA258" s="2" t="s">
        <v>194</v>
      </c>
      <c r="CB258" s="2"/>
      <c r="CC258" s="2" t="s">
        <v>75</v>
      </c>
      <c r="CD258" s="2">
        <v>1665</v>
      </c>
      <c r="CE258" s="2" t="s">
        <v>89</v>
      </c>
      <c r="CF258" s="5">
        <v>42965</v>
      </c>
      <c r="CG258" s="2"/>
      <c r="CH258" s="2"/>
      <c r="CI258" s="2">
        <v>1</v>
      </c>
      <c r="CJ258" s="2">
        <v>1</v>
      </c>
      <c r="CK258" s="2">
        <v>22</v>
      </c>
      <c r="CL258" s="2" t="s">
        <v>86</v>
      </c>
      <c r="CM258" s="2"/>
    </row>
    <row r="259" spans="1:91">
      <c r="A259" s="2" t="s">
        <v>71</v>
      </c>
      <c r="B259" s="2" t="s">
        <v>72</v>
      </c>
      <c r="C259" s="2" t="s">
        <v>73</v>
      </c>
      <c r="D259" s="2"/>
      <c r="E259" s="2" t="str">
        <f>"FES1162569174"</f>
        <v>FES1162569174</v>
      </c>
      <c r="F259" s="3">
        <v>42963</v>
      </c>
      <c r="G259" s="2">
        <v>201802</v>
      </c>
      <c r="H259" s="2" t="s">
        <v>74</v>
      </c>
      <c r="I259" s="2" t="s">
        <v>75</v>
      </c>
      <c r="J259" s="2" t="s">
        <v>76</v>
      </c>
      <c r="K259" s="2" t="s">
        <v>77</v>
      </c>
      <c r="L259" s="2" t="s">
        <v>244</v>
      </c>
      <c r="M259" s="2" t="s">
        <v>245</v>
      </c>
      <c r="N259" s="2" t="s">
        <v>246</v>
      </c>
      <c r="O259" s="2" t="s">
        <v>100</v>
      </c>
      <c r="P259" s="2" t="str">
        <f>"2170584435                    "</f>
        <v xml:space="preserve">2170584435 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3.13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1.4</v>
      </c>
      <c r="BJ259" s="2">
        <v>3.3</v>
      </c>
      <c r="BK259" s="2">
        <v>4</v>
      </c>
      <c r="BL259" s="2">
        <v>32.380000000000003</v>
      </c>
      <c r="BM259" s="2">
        <v>4.53</v>
      </c>
      <c r="BN259" s="2">
        <v>36.909999999999997</v>
      </c>
      <c r="BO259" s="2">
        <v>36.909999999999997</v>
      </c>
      <c r="BP259" s="2"/>
      <c r="BQ259" s="2" t="s">
        <v>209</v>
      </c>
      <c r="BR259" s="2" t="s">
        <v>84</v>
      </c>
      <c r="BS259" s="3">
        <v>42964</v>
      </c>
      <c r="BT259" s="4">
        <v>0.50763888888888886</v>
      </c>
      <c r="BU259" s="2" t="s">
        <v>740</v>
      </c>
      <c r="BV259" s="2" t="s">
        <v>86</v>
      </c>
      <c r="BW259" s="2" t="s">
        <v>110</v>
      </c>
      <c r="BX259" s="2" t="s">
        <v>498</v>
      </c>
      <c r="BY259" s="2">
        <v>16408.91</v>
      </c>
      <c r="BZ259" s="2"/>
      <c r="CA259" s="2" t="s">
        <v>499</v>
      </c>
      <c r="CB259" s="2"/>
      <c r="CC259" s="2" t="s">
        <v>245</v>
      </c>
      <c r="CD259" s="2">
        <v>1459</v>
      </c>
      <c r="CE259" s="2" t="s">
        <v>89</v>
      </c>
      <c r="CF259" s="5">
        <v>42965</v>
      </c>
      <c r="CG259" s="2"/>
      <c r="CH259" s="2"/>
      <c r="CI259" s="2">
        <v>1</v>
      </c>
      <c r="CJ259" s="2">
        <v>1</v>
      </c>
      <c r="CK259" s="2">
        <v>22</v>
      </c>
      <c r="CL259" s="2" t="s">
        <v>86</v>
      </c>
      <c r="CM259" s="2"/>
    </row>
    <row r="260" spans="1:91">
      <c r="A260" s="2" t="s">
        <v>71</v>
      </c>
      <c r="B260" s="2" t="s">
        <v>72</v>
      </c>
      <c r="C260" s="2" t="s">
        <v>73</v>
      </c>
      <c r="D260" s="2"/>
      <c r="E260" s="2" t="str">
        <f>"FES1162569334"</f>
        <v>FES1162569334</v>
      </c>
      <c r="F260" s="3">
        <v>42963</v>
      </c>
      <c r="G260" s="2">
        <v>201802</v>
      </c>
      <c r="H260" s="2" t="s">
        <v>74</v>
      </c>
      <c r="I260" s="2" t="s">
        <v>75</v>
      </c>
      <c r="J260" s="2" t="s">
        <v>76</v>
      </c>
      <c r="K260" s="2" t="s">
        <v>77</v>
      </c>
      <c r="L260" s="2" t="s">
        <v>74</v>
      </c>
      <c r="M260" s="2" t="s">
        <v>75</v>
      </c>
      <c r="N260" s="2" t="s">
        <v>192</v>
      </c>
      <c r="O260" s="2" t="s">
        <v>100</v>
      </c>
      <c r="P260" s="2" t="str">
        <f>"2170585203                    "</f>
        <v xml:space="preserve">2170585203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3.13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2.8</v>
      </c>
      <c r="BJ260" s="2">
        <v>1.3</v>
      </c>
      <c r="BK260" s="2">
        <v>3</v>
      </c>
      <c r="BL260" s="2">
        <v>32.380000000000003</v>
      </c>
      <c r="BM260" s="2">
        <v>4.53</v>
      </c>
      <c r="BN260" s="2">
        <v>36.909999999999997</v>
      </c>
      <c r="BO260" s="2">
        <v>36.909999999999997</v>
      </c>
      <c r="BP260" s="2"/>
      <c r="BQ260" s="2" t="s">
        <v>288</v>
      </c>
      <c r="BR260" s="2" t="s">
        <v>84</v>
      </c>
      <c r="BS260" s="3">
        <v>42964</v>
      </c>
      <c r="BT260" s="4">
        <v>0.34930555555555554</v>
      </c>
      <c r="BU260" s="2" t="s">
        <v>193</v>
      </c>
      <c r="BV260" s="2" t="s">
        <v>95</v>
      </c>
      <c r="BW260" s="2"/>
      <c r="BX260" s="2"/>
      <c r="BY260" s="2">
        <v>6712.86</v>
      </c>
      <c r="BZ260" s="2"/>
      <c r="CA260" s="2" t="s">
        <v>194</v>
      </c>
      <c r="CB260" s="2"/>
      <c r="CC260" s="2" t="s">
        <v>75</v>
      </c>
      <c r="CD260" s="2">
        <v>1665</v>
      </c>
      <c r="CE260" s="2" t="s">
        <v>89</v>
      </c>
      <c r="CF260" s="5">
        <v>42965</v>
      </c>
      <c r="CG260" s="2"/>
      <c r="CH260" s="2"/>
      <c r="CI260" s="2">
        <v>1</v>
      </c>
      <c r="CJ260" s="2">
        <v>1</v>
      </c>
      <c r="CK260" s="2">
        <v>22</v>
      </c>
      <c r="CL260" s="2" t="s">
        <v>86</v>
      </c>
      <c r="CM260" s="2"/>
    </row>
    <row r="261" spans="1:91">
      <c r="A261" s="2" t="s">
        <v>71</v>
      </c>
      <c r="B261" s="2" t="s">
        <v>72</v>
      </c>
      <c r="C261" s="2" t="s">
        <v>73</v>
      </c>
      <c r="D261" s="2"/>
      <c r="E261" s="2" t="str">
        <f>"FES1162569262"</f>
        <v>FES1162569262</v>
      </c>
      <c r="F261" s="3">
        <v>42963</v>
      </c>
      <c r="G261" s="2">
        <v>201802</v>
      </c>
      <c r="H261" s="2" t="s">
        <v>74</v>
      </c>
      <c r="I261" s="2" t="s">
        <v>75</v>
      </c>
      <c r="J261" s="2" t="s">
        <v>76</v>
      </c>
      <c r="K261" s="2" t="s">
        <v>77</v>
      </c>
      <c r="L261" s="2" t="s">
        <v>144</v>
      </c>
      <c r="M261" s="2" t="s">
        <v>145</v>
      </c>
      <c r="N261" s="2" t="s">
        <v>146</v>
      </c>
      <c r="O261" s="2" t="s">
        <v>100</v>
      </c>
      <c r="P261" s="2" t="str">
        <f>"2170585166                    "</f>
        <v xml:space="preserve">2170585166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3.5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8.5</v>
      </c>
      <c r="BJ261" s="2">
        <v>3.2</v>
      </c>
      <c r="BK261" s="2">
        <v>9</v>
      </c>
      <c r="BL261" s="2">
        <v>36.26</v>
      </c>
      <c r="BM261" s="2">
        <v>5.08</v>
      </c>
      <c r="BN261" s="2">
        <v>41.34</v>
      </c>
      <c r="BO261" s="2">
        <v>41.34</v>
      </c>
      <c r="BP261" s="2"/>
      <c r="BQ261" s="2" t="s">
        <v>83</v>
      </c>
      <c r="BR261" s="2" t="s">
        <v>84</v>
      </c>
      <c r="BS261" s="3">
        <v>42964</v>
      </c>
      <c r="BT261" s="4">
        <v>0.38541666666666669</v>
      </c>
      <c r="BU261" s="2" t="s">
        <v>728</v>
      </c>
      <c r="BV261" s="2" t="s">
        <v>95</v>
      </c>
      <c r="BW261" s="2"/>
      <c r="BX261" s="2"/>
      <c r="BY261" s="2">
        <v>16195.81</v>
      </c>
      <c r="BZ261" s="2"/>
      <c r="CA261" s="2" t="s">
        <v>729</v>
      </c>
      <c r="CB261" s="2"/>
      <c r="CC261" s="2" t="s">
        <v>145</v>
      </c>
      <c r="CD261" s="2">
        <v>2094</v>
      </c>
      <c r="CE261" s="2" t="s">
        <v>89</v>
      </c>
      <c r="CF261" s="5">
        <v>42965</v>
      </c>
      <c r="CG261" s="2"/>
      <c r="CH261" s="2"/>
      <c r="CI261" s="2">
        <v>1</v>
      </c>
      <c r="CJ261" s="2">
        <v>1</v>
      </c>
      <c r="CK261" s="2">
        <v>22</v>
      </c>
      <c r="CL261" s="2" t="s">
        <v>86</v>
      </c>
      <c r="CM261" s="2"/>
    </row>
    <row r="262" spans="1:91">
      <c r="A262" s="2" t="s">
        <v>71</v>
      </c>
      <c r="B262" s="2" t="s">
        <v>72</v>
      </c>
      <c r="C262" s="2" t="s">
        <v>73</v>
      </c>
      <c r="D262" s="2"/>
      <c r="E262" s="2" t="str">
        <f>"FES1162569427"</f>
        <v>FES1162569427</v>
      </c>
      <c r="F262" s="3">
        <v>42963</v>
      </c>
      <c r="G262" s="2">
        <v>201802</v>
      </c>
      <c r="H262" s="2" t="s">
        <v>74</v>
      </c>
      <c r="I262" s="2" t="s">
        <v>75</v>
      </c>
      <c r="J262" s="2" t="s">
        <v>76</v>
      </c>
      <c r="K262" s="2" t="s">
        <v>77</v>
      </c>
      <c r="L262" s="2" t="s">
        <v>231</v>
      </c>
      <c r="M262" s="2" t="s">
        <v>232</v>
      </c>
      <c r="N262" s="2" t="s">
        <v>233</v>
      </c>
      <c r="O262" s="2" t="s">
        <v>100</v>
      </c>
      <c r="P262" s="2" t="str">
        <f>"2170585251                    "</f>
        <v xml:space="preserve">2170585251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4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1</v>
      </c>
      <c r="BJ262" s="2">
        <v>1.4</v>
      </c>
      <c r="BK262" s="2">
        <v>1.5</v>
      </c>
      <c r="BL262" s="2">
        <v>41.44</v>
      </c>
      <c r="BM262" s="2">
        <v>5.8</v>
      </c>
      <c r="BN262" s="2">
        <v>47.24</v>
      </c>
      <c r="BO262" s="2">
        <v>47.24</v>
      </c>
      <c r="BP262" s="2"/>
      <c r="BQ262" s="2" t="s">
        <v>83</v>
      </c>
      <c r="BR262" s="2" t="s">
        <v>84</v>
      </c>
      <c r="BS262" s="3">
        <v>42964</v>
      </c>
      <c r="BT262" s="4">
        <v>0.35833333333333334</v>
      </c>
      <c r="BU262" s="2" t="s">
        <v>234</v>
      </c>
      <c r="BV262" s="2" t="s">
        <v>95</v>
      </c>
      <c r="BW262" s="2"/>
      <c r="BX262" s="2"/>
      <c r="BY262" s="2">
        <v>6900</v>
      </c>
      <c r="BZ262" s="2"/>
      <c r="CA262" s="2" t="s">
        <v>235</v>
      </c>
      <c r="CB262" s="2"/>
      <c r="CC262" s="2" t="s">
        <v>232</v>
      </c>
      <c r="CD262" s="2">
        <v>4026</v>
      </c>
      <c r="CE262" s="2" t="s">
        <v>89</v>
      </c>
      <c r="CF262" s="5">
        <v>42964</v>
      </c>
      <c r="CG262" s="2"/>
      <c r="CH262" s="2"/>
      <c r="CI262" s="2">
        <v>1</v>
      </c>
      <c r="CJ262" s="2">
        <v>1</v>
      </c>
      <c r="CK262" s="2">
        <v>21</v>
      </c>
      <c r="CL262" s="2" t="s">
        <v>86</v>
      </c>
      <c r="CM262" s="2"/>
    </row>
    <row r="263" spans="1:91">
      <c r="A263" s="2" t="s">
        <v>71</v>
      </c>
      <c r="B263" s="2" t="s">
        <v>72</v>
      </c>
      <c r="C263" s="2" t="s">
        <v>73</v>
      </c>
      <c r="D263" s="2"/>
      <c r="E263" s="2" t="str">
        <f>"FES1162569223"</f>
        <v>FES1162569223</v>
      </c>
      <c r="F263" s="3">
        <v>42963</v>
      </c>
      <c r="G263" s="2">
        <v>201802</v>
      </c>
      <c r="H263" s="2" t="s">
        <v>74</v>
      </c>
      <c r="I263" s="2" t="s">
        <v>75</v>
      </c>
      <c r="J263" s="2" t="s">
        <v>76</v>
      </c>
      <c r="K263" s="2" t="s">
        <v>77</v>
      </c>
      <c r="L263" s="2" t="s">
        <v>221</v>
      </c>
      <c r="M263" s="2" t="s">
        <v>222</v>
      </c>
      <c r="N263" s="2" t="s">
        <v>415</v>
      </c>
      <c r="O263" s="2" t="s">
        <v>100</v>
      </c>
      <c r="P263" s="2" t="str">
        <f>"2170582533                    "</f>
        <v xml:space="preserve">2170582533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7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2.7</v>
      </c>
      <c r="BJ263" s="2">
        <v>3.2</v>
      </c>
      <c r="BK263" s="2">
        <v>3.5</v>
      </c>
      <c r="BL263" s="2">
        <v>72.52</v>
      </c>
      <c r="BM263" s="2">
        <v>10.15</v>
      </c>
      <c r="BN263" s="2">
        <v>82.67</v>
      </c>
      <c r="BO263" s="2">
        <v>82.67</v>
      </c>
      <c r="BP263" s="2"/>
      <c r="BQ263" s="2" t="s">
        <v>108</v>
      </c>
      <c r="BR263" s="2" t="s">
        <v>84</v>
      </c>
      <c r="BS263" s="3">
        <v>42964</v>
      </c>
      <c r="BT263" s="4">
        <v>0.35694444444444445</v>
      </c>
      <c r="BU263" s="2" t="s">
        <v>416</v>
      </c>
      <c r="BV263" s="2" t="s">
        <v>95</v>
      </c>
      <c r="BW263" s="2"/>
      <c r="BX263" s="2"/>
      <c r="BY263" s="2">
        <v>16216.22</v>
      </c>
      <c r="BZ263" s="2"/>
      <c r="CA263" s="2" t="s">
        <v>225</v>
      </c>
      <c r="CB263" s="2"/>
      <c r="CC263" s="2" t="s">
        <v>222</v>
      </c>
      <c r="CD263" s="2">
        <v>4302</v>
      </c>
      <c r="CE263" s="2" t="s">
        <v>89</v>
      </c>
      <c r="CF263" s="5">
        <v>42965</v>
      </c>
      <c r="CG263" s="2"/>
      <c r="CH263" s="2"/>
      <c r="CI263" s="2">
        <v>1</v>
      </c>
      <c r="CJ263" s="2">
        <v>1</v>
      </c>
      <c r="CK263" s="2">
        <v>21</v>
      </c>
      <c r="CL263" s="2" t="s">
        <v>86</v>
      </c>
      <c r="CM263" s="2"/>
    </row>
    <row r="264" spans="1:91">
      <c r="A264" s="2" t="s">
        <v>71</v>
      </c>
      <c r="B264" s="2" t="s">
        <v>72</v>
      </c>
      <c r="C264" s="2" t="s">
        <v>73</v>
      </c>
      <c r="D264" s="2"/>
      <c r="E264" s="2" t="str">
        <f>"FES1162569232"</f>
        <v>FES1162569232</v>
      </c>
      <c r="F264" s="3">
        <v>42963</v>
      </c>
      <c r="G264" s="2">
        <v>201802</v>
      </c>
      <c r="H264" s="2" t="s">
        <v>74</v>
      </c>
      <c r="I264" s="2" t="s">
        <v>75</v>
      </c>
      <c r="J264" s="2" t="s">
        <v>76</v>
      </c>
      <c r="K264" s="2" t="s">
        <v>77</v>
      </c>
      <c r="L264" s="2" t="s">
        <v>221</v>
      </c>
      <c r="M264" s="2" t="s">
        <v>222</v>
      </c>
      <c r="N264" s="2" t="s">
        <v>415</v>
      </c>
      <c r="O264" s="2" t="s">
        <v>100</v>
      </c>
      <c r="P264" s="2" t="str">
        <f>"2170582676                    "</f>
        <v xml:space="preserve">2170582676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4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1</v>
      </c>
      <c r="BJ264" s="2">
        <v>0.2</v>
      </c>
      <c r="BK264" s="2">
        <v>1</v>
      </c>
      <c r="BL264" s="2">
        <v>41.44</v>
      </c>
      <c r="BM264" s="2">
        <v>5.8</v>
      </c>
      <c r="BN264" s="2">
        <v>47.24</v>
      </c>
      <c r="BO264" s="2">
        <v>47.24</v>
      </c>
      <c r="BP264" s="2"/>
      <c r="BQ264" s="2" t="s">
        <v>108</v>
      </c>
      <c r="BR264" s="2" t="s">
        <v>84</v>
      </c>
      <c r="BS264" s="3">
        <v>42964</v>
      </c>
      <c r="BT264" s="4">
        <v>0.35694444444444445</v>
      </c>
      <c r="BU264" s="2" t="s">
        <v>416</v>
      </c>
      <c r="BV264" s="2" t="s">
        <v>95</v>
      </c>
      <c r="BW264" s="2"/>
      <c r="BX264" s="2"/>
      <c r="BY264" s="2">
        <v>1200</v>
      </c>
      <c r="BZ264" s="2"/>
      <c r="CA264" s="2" t="s">
        <v>225</v>
      </c>
      <c r="CB264" s="2"/>
      <c r="CC264" s="2" t="s">
        <v>222</v>
      </c>
      <c r="CD264" s="2">
        <v>4302</v>
      </c>
      <c r="CE264" s="2" t="s">
        <v>104</v>
      </c>
      <c r="CF264" s="5">
        <v>42965</v>
      </c>
      <c r="CG264" s="2"/>
      <c r="CH264" s="2"/>
      <c r="CI264" s="2">
        <v>1</v>
      </c>
      <c r="CJ264" s="2">
        <v>1</v>
      </c>
      <c r="CK264" s="2">
        <v>21</v>
      </c>
      <c r="CL264" s="2" t="s">
        <v>86</v>
      </c>
      <c r="CM264" s="2"/>
    </row>
    <row r="265" spans="1:91">
      <c r="A265" s="2" t="s">
        <v>71</v>
      </c>
      <c r="B265" s="2" t="s">
        <v>72</v>
      </c>
      <c r="C265" s="2" t="s">
        <v>73</v>
      </c>
      <c r="D265" s="2"/>
      <c r="E265" s="2" t="str">
        <f>"FES1162569323"</f>
        <v>FES1162569323</v>
      </c>
      <c r="F265" s="3">
        <v>42963</v>
      </c>
      <c r="G265" s="2">
        <v>201802</v>
      </c>
      <c r="H265" s="2" t="s">
        <v>74</v>
      </c>
      <c r="I265" s="2" t="s">
        <v>75</v>
      </c>
      <c r="J265" s="2" t="s">
        <v>76</v>
      </c>
      <c r="K265" s="2" t="s">
        <v>77</v>
      </c>
      <c r="L265" s="2" t="s">
        <v>741</v>
      </c>
      <c r="M265" s="2" t="s">
        <v>742</v>
      </c>
      <c r="N265" s="2" t="s">
        <v>743</v>
      </c>
      <c r="O265" s="2" t="s">
        <v>100</v>
      </c>
      <c r="P265" s="2" t="str">
        <f>"2170585191                    "</f>
        <v xml:space="preserve">2170585191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41.02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5.7</v>
      </c>
      <c r="BJ265" s="2">
        <v>11.4</v>
      </c>
      <c r="BK265" s="2">
        <v>11.5</v>
      </c>
      <c r="BL265" s="2">
        <v>424.78</v>
      </c>
      <c r="BM265" s="2">
        <v>59.47</v>
      </c>
      <c r="BN265" s="2">
        <v>484.25</v>
      </c>
      <c r="BO265" s="2">
        <v>484.25</v>
      </c>
      <c r="BP265" s="2"/>
      <c r="BQ265" s="2" t="s">
        <v>288</v>
      </c>
      <c r="BR265" s="2" t="s">
        <v>84</v>
      </c>
      <c r="BS265" s="3">
        <v>42964</v>
      </c>
      <c r="BT265" s="4">
        <v>0.64444444444444449</v>
      </c>
      <c r="BU265" s="2" t="s">
        <v>744</v>
      </c>
      <c r="BV265" s="2" t="s">
        <v>95</v>
      </c>
      <c r="BW265" s="2"/>
      <c r="BX265" s="2"/>
      <c r="BY265" s="2">
        <v>57134.559999999998</v>
      </c>
      <c r="BZ265" s="2"/>
      <c r="CA265" s="2" t="s">
        <v>745</v>
      </c>
      <c r="CB265" s="2"/>
      <c r="CC265" s="2" t="s">
        <v>742</v>
      </c>
      <c r="CD265" s="2">
        <v>6300</v>
      </c>
      <c r="CE265" s="2" t="s">
        <v>89</v>
      </c>
      <c r="CF265" s="5">
        <v>42965</v>
      </c>
      <c r="CG265" s="2"/>
      <c r="CH265" s="2"/>
      <c r="CI265" s="2">
        <v>3</v>
      </c>
      <c r="CJ265" s="2">
        <v>1</v>
      </c>
      <c r="CK265" s="2">
        <v>23</v>
      </c>
      <c r="CL265" s="2" t="s">
        <v>86</v>
      </c>
      <c r="CM265" s="2"/>
    </row>
    <row r="266" spans="1:91">
      <c r="A266" s="2" t="s">
        <v>71</v>
      </c>
      <c r="B266" s="2" t="s">
        <v>72</v>
      </c>
      <c r="C266" s="2" t="s">
        <v>73</v>
      </c>
      <c r="D266" s="2"/>
      <c r="E266" s="2" t="str">
        <f>"FES1162569260"</f>
        <v>FES1162569260</v>
      </c>
      <c r="F266" s="3">
        <v>42963</v>
      </c>
      <c r="G266" s="2">
        <v>201802</v>
      </c>
      <c r="H266" s="2" t="s">
        <v>74</v>
      </c>
      <c r="I266" s="2" t="s">
        <v>75</v>
      </c>
      <c r="J266" s="2" t="s">
        <v>76</v>
      </c>
      <c r="K266" s="2" t="s">
        <v>77</v>
      </c>
      <c r="L266" s="2" t="s">
        <v>221</v>
      </c>
      <c r="M266" s="2" t="s">
        <v>222</v>
      </c>
      <c r="N266" s="2" t="s">
        <v>675</v>
      </c>
      <c r="O266" s="2" t="s">
        <v>100</v>
      </c>
      <c r="P266" s="2" t="str">
        <f>"2170585164                    "</f>
        <v xml:space="preserve">2170585164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4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2</v>
      </c>
      <c r="BJ266" s="2">
        <v>0.2</v>
      </c>
      <c r="BK266" s="2">
        <v>2</v>
      </c>
      <c r="BL266" s="2">
        <v>41.44</v>
      </c>
      <c r="BM266" s="2">
        <v>5.8</v>
      </c>
      <c r="BN266" s="2">
        <v>47.24</v>
      </c>
      <c r="BO266" s="2">
        <v>47.24</v>
      </c>
      <c r="BP266" s="2"/>
      <c r="BQ266" s="2" t="s">
        <v>83</v>
      </c>
      <c r="BR266" s="2" t="s">
        <v>84</v>
      </c>
      <c r="BS266" s="3">
        <v>42964</v>
      </c>
      <c r="BT266" s="4">
        <v>0.3611111111111111</v>
      </c>
      <c r="BU266" s="2" t="s">
        <v>676</v>
      </c>
      <c r="BV266" s="2" t="s">
        <v>95</v>
      </c>
      <c r="BW266" s="2"/>
      <c r="BX266" s="2"/>
      <c r="BY266" s="2">
        <v>1200</v>
      </c>
      <c r="BZ266" s="2"/>
      <c r="CA266" s="2" t="s">
        <v>225</v>
      </c>
      <c r="CB266" s="2"/>
      <c r="CC266" s="2" t="s">
        <v>222</v>
      </c>
      <c r="CD266" s="2">
        <v>4300</v>
      </c>
      <c r="CE266" s="2" t="s">
        <v>104</v>
      </c>
      <c r="CF266" s="5">
        <v>42965</v>
      </c>
      <c r="CG266" s="2"/>
      <c r="CH266" s="2"/>
      <c r="CI266" s="2">
        <v>1</v>
      </c>
      <c r="CJ266" s="2">
        <v>1</v>
      </c>
      <c r="CK266" s="2">
        <v>21</v>
      </c>
      <c r="CL266" s="2" t="s">
        <v>86</v>
      </c>
      <c r="CM266" s="2"/>
    </row>
    <row r="267" spans="1:91">
      <c r="A267" s="2" t="s">
        <v>71</v>
      </c>
      <c r="B267" s="2" t="s">
        <v>72</v>
      </c>
      <c r="C267" s="2" t="s">
        <v>73</v>
      </c>
      <c r="D267" s="2"/>
      <c r="E267" s="2" t="str">
        <f>"FES1162569510"</f>
        <v>FES1162569510</v>
      </c>
      <c r="F267" s="3">
        <v>42963</v>
      </c>
      <c r="G267" s="2">
        <v>201802</v>
      </c>
      <c r="H267" s="2" t="s">
        <v>74</v>
      </c>
      <c r="I267" s="2" t="s">
        <v>75</v>
      </c>
      <c r="J267" s="2" t="s">
        <v>76</v>
      </c>
      <c r="K267" s="2" t="s">
        <v>77</v>
      </c>
      <c r="L267" s="2" t="s">
        <v>105</v>
      </c>
      <c r="M267" s="2" t="s">
        <v>106</v>
      </c>
      <c r="N267" s="2" t="s">
        <v>705</v>
      </c>
      <c r="O267" s="2" t="s">
        <v>100</v>
      </c>
      <c r="P267" s="2" t="str">
        <f>"2170585353                    "</f>
        <v xml:space="preserve">2170585353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4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1.4</v>
      </c>
      <c r="BJ267" s="2">
        <v>0.7</v>
      </c>
      <c r="BK267" s="2">
        <v>1.5</v>
      </c>
      <c r="BL267" s="2">
        <v>41.44</v>
      </c>
      <c r="BM267" s="2">
        <v>5.8</v>
      </c>
      <c r="BN267" s="2">
        <v>47.24</v>
      </c>
      <c r="BO267" s="2">
        <v>47.24</v>
      </c>
      <c r="BP267" s="2"/>
      <c r="BQ267" s="2" t="s">
        <v>108</v>
      </c>
      <c r="BR267" s="2" t="s">
        <v>84</v>
      </c>
      <c r="BS267" s="3">
        <v>42964</v>
      </c>
      <c r="BT267" s="4">
        <v>0.7583333333333333</v>
      </c>
      <c r="BU267" s="2" t="s">
        <v>706</v>
      </c>
      <c r="BV267" s="2" t="s">
        <v>86</v>
      </c>
      <c r="BW267" s="2" t="s">
        <v>110</v>
      </c>
      <c r="BX267" s="2" t="s">
        <v>111</v>
      </c>
      <c r="BY267" s="2">
        <v>3296</v>
      </c>
      <c r="BZ267" s="2"/>
      <c r="CA267" s="2" t="s">
        <v>488</v>
      </c>
      <c r="CB267" s="2"/>
      <c r="CC267" s="2" t="s">
        <v>106</v>
      </c>
      <c r="CD267" s="2">
        <v>7441</v>
      </c>
      <c r="CE267" s="2" t="s">
        <v>89</v>
      </c>
      <c r="CF267" s="5">
        <v>42965</v>
      </c>
      <c r="CG267" s="2"/>
      <c r="CH267" s="2"/>
      <c r="CI267" s="2">
        <v>1</v>
      </c>
      <c r="CJ267" s="2">
        <v>1</v>
      </c>
      <c r="CK267" s="2">
        <v>21</v>
      </c>
      <c r="CL267" s="2" t="s">
        <v>86</v>
      </c>
      <c r="CM267" s="2"/>
    </row>
    <row r="268" spans="1:91">
      <c r="A268" s="2" t="s">
        <v>71</v>
      </c>
      <c r="B268" s="2" t="s">
        <v>72</v>
      </c>
      <c r="C268" s="2" t="s">
        <v>73</v>
      </c>
      <c r="D268" s="2"/>
      <c r="E268" s="2" t="str">
        <f>"FES1162569509"</f>
        <v>FES1162569509</v>
      </c>
      <c r="F268" s="3">
        <v>42963</v>
      </c>
      <c r="G268" s="2">
        <v>201802</v>
      </c>
      <c r="H268" s="2" t="s">
        <v>74</v>
      </c>
      <c r="I268" s="2" t="s">
        <v>75</v>
      </c>
      <c r="J268" s="2" t="s">
        <v>76</v>
      </c>
      <c r="K268" s="2" t="s">
        <v>77</v>
      </c>
      <c r="L268" s="2" t="s">
        <v>105</v>
      </c>
      <c r="M268" s="2" t="s">
        <v>106</v>
      </c>
      <c r="N268" s="2" t="s">
        <v>746</v>
      </c>
      <c r="O268" s="2" t="s">
        <v>100</v>
      </c>
      <c r="P268" s="2" t="str">
        <f>"2170585352                    "</f>
        <v xml:space="preserve">2170585352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5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2.2000000000000002</v>
      </c>
      <c r="BJ268" s="2">
        <v>1</v>
      </c>
      <c r="BK268" s="2">
        <v>2.5</v>
      </c>
      <c r="BL268" s="2">
        <v>51.8</v>
      </c>
      <c r="BM268" s="2">
        <v>7.25</v>
      </c>
      <c r="BN268" s="2">
        <v>59.05</v>
      </c>
      <c r="BO268" s="2">
        <v>59.05</v>
      </c>
      <c r="BP268" s="2"/>
      <c r="BQ268" s="2" t="s">
        <v>108</v>
      </c>
      <c r="BR268" s="2" t="s">
        <v>84</v>
      </c>
      <c r="BS268" s="3">
        <v>42964</v>
      </c>
      <c r="BT268" s="4">
        <v>0.36180555555555555</v>
      </c>
      <c r="BU268" s="2" t="s">
        <v>747</v>
      </c>
      <c r="BV268" s="2" t="s">
        <v>95</v>
      </c>
      <c r="BW268" s="2"/>
      <c r="BX268" s="2"/>
      <c r="BY268" s="2">
        <v>5151.2</v>
      </c>
      <c r="BZ268" s="2"/>
      <c r="CA268" s="2" t="s">
        <v>748</v>
      </c>
      <c r="CB268" s="2"/>
      <c r="CC268" s="2" t="s">
        <v>106</v>
      </c>
      <c r="CD268" s="2">
        <v>7441</v>
      </c>
      <c r="CE268" s="2" t="s">
        <v>89</v>
      </c>
      <c r="CF268" s="5">
        <v>42965</v>
      </c>
      <c r="CG268" s="2"/>
      <c r="CH268" s="2"/>
      <c r="CI268" s="2">
        <v>1</v>
      </c>
      <c r="CJ268" s="2">
        <v>1</v>
      </c>
      <c r="CK268" s="2">
        <v>21</v>
      </c>
      <c r="CL268" s="2" t="s">
        <v>86</v>
      </c>
      <c r="CM268" s="2"/>
    </row>
    <row r="269" spans="1:91">
      <c r="A269" s="2" t="s">
        <v>71</v>
      </c>
      <c r="B269" s="2" t="s">
        <v>72</v>
      </c>
      <c r="C269" s="2" t="s">
        <v>73</v>
      </c>
      <c r="D269" s="2"/>
      <c r="E269" s="2" t="str">
        <f>"FES1162569401"</f>
        <v>FES1162569401</v>
      </c>
      <c r="F269" s="3">
        <v>42963</v>
      </c>
      <c r="G269" s="2">
        <v>201802</v>
      </c>
      <c r="H269" s="2" t="s">
        <v>74</v>
      </c>
      <c r="I269" s="2" t="s">
        <v>75</v>
      </c>
      <c r="J269" s="2" t="s">
        <v>76</v>
      </c>
      <c r="K269" s="2" t="s">
        <v>77</v>
      </c>
      <c r="L269" s="2" t="s">
        <v>105</v>
      </c>
      <c r="M269" s="2" t="s">
        <v>106</v>
      </c>
      <c r="N269" s="2" t="s">
        <v>107</v>
      </c>
      <c r="O269" s="2" t="s">
        <v>100</v>
      </c>
      <c r="P269" s="2" t="str">
        <f>"2170585244                    "</f>
        <v xml:space="preserve">2170585244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4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1.9</v>
      </c>
      <c r="BJ269" s="2">
        <v>1.4</v>
      </c>
      <c r="BK269" s="2">
        <v>2</v>
      </c>
      <c r="BL269" s="2">
        <v>41.44</v>
      </c>
      <c r="BM269" s="2">
        <v>5.8</v>
      </c>
      <c r="BN269" s="2">
        <v>47.24</v>
      </c>
      <c r="BO269" s="2">
        <v>47.24</v>
      </c>
      <c r="BP269" s="2"/>
      <c r="BQ269" s="2" t="s">
        <v>108</v>
      </c>
      <c r="BR269" s="2" t="s">
        <v>84</v>
      </c>
      <c r="BS269" s="3">
        <v>42964</v>
      </c>
      <c r="BT269" s="4">
        <v>0.37291666666666662</v>
      </c>
      <c r="BU269" s="2" t="s">
        <v>236</v>
      </c>
      <c r="BV269" s="2" t="s">
        <v>95</v>
      </c>
      <c r="BW269" s="2"/>
      <c r="BX269" s="2"/>
      <c r="BY269" s="2">
        <v>6838.8</v>
      </c>
      <c r="BZ269" s="2"/>
      <c r="CA269" s="2" t="s">
        <v>112</v>
      </c>
      <c r="CB269" s="2"/>
      <c r="CC269" s="2" t="s">
        <v>106</v>
      </c>
      <c r="CD269" s="2">
        <v>7405</v>
      </c>
      <c r="CE269" s="2" t="s">
        <v>89</v>
      </c>
      <c r="CF269" s="5">
        <v>42965</v>
      </c>
      <c r="CG269" s="2"/>
      <c r="CH269" s="2"/>
      <c r="CI269" s="2">
        <v>1</v>
      </c>
      <c r="CJ269" s="2">
        <v>1</v>
      </c>
      <c r="CK269" s="2">
        <v>21</v>
      </c>
      <c r="CL269" s="2" t="s">
        <v>86</v>
      </c>
      <c r="CM269" s="2"/>
    </row>
    <row r="270" spans="1:91">
      <c r="A270" s="2" t="s">
        <v>71</v>
      </c>
      <c r="B270" s="2" t="s">
        <v>72</v>
      </c>
      <c r="C270" s="2" t="s">
        <v>73</v>
      </c>
      <c r="D270" s="2"/>
      <c r="E270" s="2" t="str">
        <f>"FES1162569445"</f>
        <v>FES1162569445</v>
      </c>
      <c r="F270" s="3">
        <v>42963</v>
      </c>
      <c r="G270" s="2">
        <v>201802</v>
      </c>
      <c r="H270" s="2" t="s">
        <v>74</v>
      </c>
      <c r="I270" s="2" t="s">
        <v>75</v>
      </c>
      <c r="J270" s="2" t="s">
        <v>76</v>
      </c>
      <c r="K270" s="2" t="s">
        <v>77</v>
      </c>
      <c r="L270" s="2" t="s">
        <v>437</v>
      </c>
      <c r="M270" s="2" t="s">
        <v>438</v>
      </c>
      <c r="N270" s="2" t="s">
        <v>749</v>
      </c>
      <c r="O270" s="2" t="s">
        <v>100</v>
      </c>
      <c r="P270" s="2" t="str">
        <f>"2170585296                    "</f>
        <v xml:space="preserve">2170585296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7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3.3</v>
      </c>
      <c r="BJ270" s="2">
        <v>1</v>
      </c>
      <c r="BK270" s="2">
        <v>3.5</v>
      </c>
      <c r="BL270" s="2">
        <v>72.52</v>
      </c>
      <c r="BM270" s="2">
        <v>10.15</v>
      </c>
      <c r="BN270" s="2">
        <v>82.67</v>
      </c>
      <c r="BO270" s="2">
        <v>82.67</v>
      </c>
      <c r="BP270" s="2"/>
      <c r="BQ270" s="2" t="s">
        <v>108</v>
      </c>
      <c r="BR270" s="2" t="s">
        <v>84</v>
      </c>
      <c r="BS270" s="3">
        <v>42964</v>
      </c>
      <c r="BT270" s="4">
        <v>0.36458333333333331</v>
      </c>
      <c r="BU270" s="2" t="s">
        <v>750</v>
      </c>
      <c r="BV270" s="2" t="s">
        <v>95</v>
      </c>
      <c r="BW270" s="2"/>
      <c r="BX270" s="2"/>
      <c r="BY270" s="2">
        <v>5100.68</v>
      </c>
      <c r="BZ270" s="2"/>
      <c r="CA270" s="2" t="s">
        <v>441</v>
      </c>
      <c r="CB270" s="2"/>
      <c r="CC270" s="2" t="s">
        <v>438</v>
      </c>
      <c r="CD270" s="2">
        <v>6536</v>
      </c>
      <c r="CE270" s="2" t="s">
        <v>89</v>
      </c>
      <c r="CF270" s="5">
        <v>42965</v>
      </c>
      <c r="CG270" s="2"/>
      <c r="CH270" s="2"/>
      <c r="CI270" s="2">
        <v>1</v>
      </c>
      <c r="CJ270" s="2">
        <v>1</v>
      </c>
      <c r="CK270" s="2">
        <v>21</v>
      </c>
      <c r="CL270" s="2" t="s">
        <v>86</v>
      </c>
      <c r="CM270" s="2"/>
    </row>
    <row r="271" spans="1:91">
      <c r="A271" s="2" t="s">
        <v>71</v>
      </c>
      <c r="B271" s="2" t="s">
        <v>72</v>
      </c>
      <c r="C271" s="2" t="s">
        <v>73</v>
      </c>
      <c r="D271" s="2"/>
      <c r="E271" s="2" t="str">
        <f>"FES1162569488"</f>
        <v>FES1162569488</v>
      </c>
      <c r="F271" s="3">
        <v>42963</v>
      </c>
      <c r="G271" s="2">
        <v>201802</v>
      </c>
      <c r="H271" s="2" t="s">
        <v>74</v>
      </c>
      <c r="I271" s="2" t="s">
        <v>75</v>
      </c>
      <c r="J271" s="2" t="s">
        <v>76</v>
      </c>
      <c r="K271" s="2" t="s">
        <v>77</v>
      </c>
      <c r="L271" s="2" t="s">
        <v>105</v>
      </c>
      <c r="M271" s="2" t="s">
        <v>106</v>
      </c>
      <c r="N271" s="2" t="s">
        <v>107</v>
      </c>
      <c r="O271" s="2" t="s">
        <v>100</v>
      </c>
      <c r="P271" s="2" t="str">
        <f>"2170585342                    "</f>
        <v xml:space="preserve">2170585342 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14.01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6.6</v>
      </c>
      <c r="BJ271" s="2">
        <v>1.7</v>
      </c>
      <c r="BK271" s="2">
        <v>7</v>
      </c>
      <c r="BL271" s="2">
        <v>145.05000000000001</v>
      </c>
      <c r="BM271" s="2">
        <v>20.309999999999999</v>
      </c>
      <c r="BN271" s="2">
        <v>165.36</v>
      </c>
      <c r="BO271" s="2">
        <v>165.36</v>
      </c>
      <c r="BP271" s="2"/>
      <c r="BQ271" s="2" t="s">
        <v>108</v>
      </c>
      <c r="BR271" s="2" t="s">
        <v>84</v>
      </c>
      <c r="BS271" s="3">
        <v>42964</v>
      </c>
      <c r="BT271" s="4">
        <v>0.37222222222222223</v>
      </c>
      <c r="BU271" s="2" t="s">
        <v>236</v>
      </c>
      <c r="BV271" s="2" t="s">
        <v>95</v>
      </c>
      <c r="BW271" s="2"/>
      <c r="BX271" s="2"/>
      <c r="BY271" s="2">
        <v>8733.5400000000009</v>
      </c>
      <c r="BZ271" s="2"/>
      <c r="CA271" s="2" t="s">
        <v>112</v>
      </c>
      <c r="CB271" s="2"/>
      <c r="CC271" s="2" t="s">
        <v>106</v>
      </c>
      <c r="CD271" s="2">
        <v>7405</v>
      </c>
      <c r="CE271" s="2" t="s">
        <v>89</v>
      </c>
      <c r="CF271" s="5">
        <v>42965</v>
      </c>
      <c r="CG271" s="2"/>
      <c r="CH271" s="2"/>
      <c r="CI271" s="2">
        <v>1</v>
      </c>
      <c r="CJ271" s="2">
        <v>1</v>
      </c>
      <c r="CK271" s="2">
        <v>21</v>
      </c>
      <c r="CL271" s="2" t="s">
        <v>86</v>
      </c>
      <c r="CM271" s="2"/>
    </row>
    <row r="272" spans="1:91">
      <c r="A272" s="2" t="s">
        <v>71</v>
      </c>
      <c r="B272" s="2" t="s">
        <v>72</v>
      </c>
      <c r="C272" s="2" t="s">
        <v>73</v>
      </c>
      <c r="D272" s="2"/>
      <c r="E272" s="2" t="str">
        <f>"FES1162569138"</f>
        <v>FES1162569138</v>
      </c>
      <c r="F272" s="3">
        <v>42963</v>
      </c>
      <c r="G272" s="2">
        <v>201802</v>
      </c>
      <c r="H272" s="2" t="s">
        <v>74</v>
      </c>
      <c r="I272" s="2" t="s">
        <v>75</v>
      </c>
      <c r="J272" s="2" t="s">
        <v>76</v>
      </c>
      <c r="K272" s="2" t="s">
        <v>77</v>
      </c>
      <c r="L272" s="2" t="s">
        <v>362</v>
      </c>
      <c r="M272" s="2" t="s">
        <v>363</v>
      </c>
      <c r="N272" s="2" t="s">
        <v>751</v>
      </c>
      <c r="O272" s="2" t="s">
        <v>100</v>
      </c>
      <c r="P272" s="2" t="str">
        <f>"2170578736                    "</f>
        <v xml:space="preserve">2170578736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6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3</v>
      </c>
      <c r="BJ272" s="2">
        <v>1.6</v>
      </c>
      <c r="BK272" s="2">
        <v>3</v>
      </c>
      <c r="BL272" s="2">
        <v>62.16</v>
      </c>
      <c r="BM272" s="2">
        <v>8.6999999999999993</v>
      </c>
      <c r="BN272" s="2">
        <v>70.86</v>
      </c>
      <c r="BO272" s="2">
        <v>70.86</v>
      </c>
      <c r="BP272" s="2"/>
      <c r="BQ272" s="2" t="s">
        <v>83</v>
      </c>
      <c r="BR272" s="2" t="s">
        <v>84</v>
      </c>
      <c r="BS272" s="3">
        <v>42964</v>
      </c>
      <c r="BT272" s="4">
        <v>0.42291666666666666</v>
      </c>
      <c r="BU272" s="2" t="s">
        <v>752</v>
      </c>
      <c r="BV272" s="2" t="s">
        <v>95</v>
      </c>
      <c r="BW272" s="2"/>
      <c r="BX272" s="2"/>
      <c r="BY272" s="2">
        <v>7795.5</v>
      </c>
      <c r="BZ272" s="2"/>
      <c r="CA272" s="2" t="s">
        <v>367</v>
      </c>
      <c r="CB272" s="2"/>
      <c r="CC272" s="2" t="s">
        <v>363</v>
      </c>
      <c r="CD272" s="2">
        <v>3201</v>
      </c>
      <c r="CE272" s="2" t="s">
        <v>89</v>
      </c>
      <c r="CF272" s="5">
        <v>42965</v>
      </c>
      <c r="CG272" s="2"/>
      <c r="CH272" s="2"/>
      <c r="CI272" s="2">
        <v>1</v>
      </c>
      <c r="CJ272" s="2">
        <v>1</v>
      </c>
      <c r="CK272" s="2">
        <v>21</v>
      </c>
      <c r="CL272" s="2" t="s">
        <v>86</v>
      </c>
      <c r="CM272" s="2"/>
    </row>
    <row r="273" spans="1:91">
      <c r="A273" s="2" t="s">
        <v>71</v>
      </c>
      <c r="B273" s="2" t="s">
        <v>72</v>
      </c>
      <c r="C273" s="2" t="s">
        <v>73</v>
      </c>
      <c r="D273" s="2"/>
      <c r="E273" s="2" t="str">
        <f>"FES1162569422"</f>
        <v>FES1162569422</v>
      </c>
      <c r="F273" s="3">
        <v>42963</v>
      </c>
      <c r="G273" s="2">
        <v>201802</v>
      </c>
      <c r="H273" s="2" t="s">
        <v>74</v>
      </c>
      <c r="I273" s="2" t="s">
        <v>75</v>
      </c>
      <c r="J273" s="2" t="s">
        <v>76</v>
      </c>
      <c r="K273" s="2" t="s">
        <v>77</v>
      </c>
      <c r="L273" s="2" t="s">
        <v>74</v>
      </c>
      <c r="M273" s="2" t="s">
        <v>75</v>
      </c>
      <c r="N273" s="2" t="s">
        <v>467</v>
      </c>
      <c r="O273" s="2" t="s">
        <v>100</v>
      </c>
      <c r="P273" s="2" t="str">
        <f>"2170583211                    "</f>
        <v xml:space="preserve">2170583211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3.13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7.1</v>
      </c>
      <c r="BJ273" s="2">
        <v>2</v>
      </c>
      <c r="BK273" s="2">
        <v>8</v>
      </c>
      <c r="BL273" s="2">
        <v>32.380000000000003</v>
      </c>
      <c r="BM273" s="2">
        <v>4.53</v>
      </c>
      <c r="BN273" s="2">
        <v>36.909999999999997</v>
      </c>
      <c r="BO273" s="2">
        <v>36.909999999999997</v>
      </c>
      <c r="BP273" s="2"/>
      <c r="BQ273" s="2" t="s">
        <v>83</v>
      </c>
      <c r="BR273" s="2" t="s">
        <v>84</v>
      </c>
      <c r="BS273" s="3">
        <v>42964</v>
      </c>
      <c r="BT273" s="4">
        <v>0.4236111111111111</v>
      </c>
      <c r="BU273" s="2" t="s">
        <v>753</v>
      </c>
      <c r="BV273" s="2" t="s">
        <v>95</v>
      </c>
      <c r="BW273" s="2"/>
      <c r="BX273" s="2"/>
      <c r="BY273" s="2">
        <v>10031.18</v>
      </c>
      <c r="BZ273" s="2"/>
      <c r="CA273" s="2" t="s">
        <v>328</v>
      </c>
      <c r="CB273" s="2"/>
      <c r="CC273" s="2" t="s">
        <v>75</v>
      </c>
      <c r="CD273" s="2">
        <v>1601</v>
      </c>
      <c r="CE273" s="2" t="s">
        <v>89</v>
      </c>
      <c r="CF273" s="5">
        <v>42965</v>
      </c>
      <c r="CG273" s="2"/>
      <c r="CH273" s="2"/>
      <c r="CI273" s="2">
        <v>1</v>
      </c>
      <c r="CJ273" s="2">
        <v>1</v>
      </c>
      <c r="CK273" s="2">
        <v>22</v>
      </c>
      <c r="CL273" s="2" t="s">
        <v>86</v>
      </c>
      <c r="CM273" s="2"/>
    </row>
    <row r="274" spans="1:91">
      <c r="A274" s="2" t="s">
        <v>71</v>
      </c>
      <c r="B274" s="2" t="s">
        <v>72</v>
      </c>
      <c r="C274" s="2" t="s">
        <v>73</v>
      </c>
      <c r="D274" s="2"/>
      <c r="E274" s="2" t="str">
        <f>"FES1162569328"</f>
        <v>FES1162569328</v>
      </c>
      <c r="F274" s="3">
        <v>42963</v>
      </c>
      <c r="G274" s="2">
        <v>201802</v>
      </c>
      <c r="H274" s="2" t="s">
        <v>74</v>
      </c>
      <c r="I274" s="2" t="s">
        <v>75</v>
      </c>
      <c r="J274" s="2" t="s">
        <v>76</v>
      </c>
      <c r="K274" s="2" t="s">
        <v>77</v>
      </c>
      <c r="L274" s="2" t="s">
        <v>343</v>
      </c>
      <c r="M274" s="2" t="s">
        <v>344</v>
      </c>
      <c r="N274" s="2" t="s">
        <v>754</v>
      </c>
      <c r="O274" s="2" t="s">
        <v>100</v>
      </c>
      <c r="P274" s="2" t="str">
        <f>"2170585195                    "</f>
        <v xml:space="preserve">2170585195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9.01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3</v>
      </c>
      <c r="BJ274" s="2">
        <v>4.0999999999999996</v>
      </c>
      <c r="BK274" s="2">
        <v>4.5</v>
      </c>
      <c r="BL274" s="2">
        <v>93.25</v>
      </c>
      <c r="BM274" s="2">
        <v>13.06</v>
      </c>
      <c r="BN274" s="2">
        <v>106.31</v>
      </c>
      <c r="BO274" s="2">
        <v>106.31</v>
      </c>
      <c r="BP274" s="2"/>
      <c r="BQ274" s="2" t="s">
        <v>83</v>
      </c>
      <c r="BR274" s="2" t="s">
        <v>84</v>
      </c>
      <c r="BS274" s="3">
        <v>42964</v>
      </c>
      <c r="BT274" s="4">
        <v>0.33402777777777781</v>
      </c>
      <c r="BU274" s="2" t="s">
        <v>755</v>
      </c>
      <c r="BV274" s="2" t="s">
        <v>95</v>
      </c>
      <c r="BW274" s="2"/>
      <c r="BX274" s="2"/>
      <c r="BY274" s="2">
        <v>20358</v>
      </c>
      <c r="BZ274" s="2"/>
      <c r="CA274" s="2" t="s">
        <v>347</v>
      </c>
      <c r="CB274" s="2"/>
      <c r="CC274" s="2" t="s">
        <v>344</v>
      </c>
      <c r="CD274" s="2">
        <v>4133</v>
      </c>
      <c r="CE274" s="2" t="s">
        <v>89</v>
      </c>
      <c r="CF274" s="5">
        <v>42965</v>
      </c>
      <c r="CG274" s="2"/>
      <c r="CH274" s="2"/>
      <c r="CI274" s="2">
        <v>1</v>
      </c>
      <c r="CJ274" s="2">
        <v>1</v>
      </c>
      <c r="CK274" s="2">
        <v>21</v>
      </c>
      <c r="CL274" s="2" t="s">
        <v>86</v>
      </c>
      <c r="CM274" s="2"/>
    </row>
    <row r="275" spans="1:91">
      <c r="A275" s="2" t="s">
        <v>71</v>
      </c>
      <c r="B275" s="2" t="s">
        <v>72</v>
      </c>
      <c r="C275" s="2" t="s">
        <v>73</v>
      </c>
      <c r="D275" s="2"/>
      <c r="E275" s="2" t="str">
        <f>"FES1162569424"</f>
        <v>FES1162569424</v>
      </c>
      <c r="F275" s="3">
        <v>42963</v>
      </c>
      <c r="G275" s="2">
        <v>201802</v>
      </c>
      <c r="H275" s="2" t="s">
        <v>74</v>
      </c>
      <c r="I275" s="2" t="s">
        <v>75</v>
      </c>
      <c r="J275" s="2" t="s">
        <v>76</v>
      </c>
      <c r="K275" s="2" t="s">
        <v>77</v>
      </c>
      <c r="L275" s="2" t="s">
        <v>756</v>
      </c>
      <c r="M275" s="2" t="s">
        <v>757</v>
      </c>
      <c r="N275" s="2" t="s">
        <v>758</v>
      </c>
      <c r="O275" s="2" t="s">
        <v>100</v>
      </c>
      <c r="P275" s="2" t="str">
        <f>"2170583489                    "</f>
        <v xml:space="preserve">2170583489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25.26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7</v>
      </c>
      <c r="BJ275" s="2">
        <v>3.3</v>
      </c>
      <c r="BK275" s="2">
        <v>7</v>
      </c>
      <c r="BL275" s="2">
        <v>261.60000000000002</v>
      </c>
      <c r="BM275" s="2">
        <v>36.619999999999997</v>
      </c>
      <c r="BN275" s="2">
        <v>298.22000000000003</v>
      </c>
      <c r="BO275" s="2">
        <v>298.22000000000003</v>
      </c>
      <c r="BP275" s="2"/>
      <c r="BQ275" s="2" t="s">
        <v>288</v>
      </c>
      <c r="BR275" s="2" t="s">
        <v>84</v>
      </c>
      <c r="BS275" s="3">
        <v>42964</v>
      </c>
      <c r="BT275" s="4">
        <v>0.50208333333333333</v>
      </c>
      <c r="BU275" s="2" t="s">
        <v>759</v>
      </c>
      <c r="BV275" s="2" t="s">
        <v>95</v>
      </c>
      <c r="BW275" s="2"/>
      <c r="BX275" s="2"/>
      <c r="BY275" s="2">
        <v>16416</v>
      </c>
      <c r="BZ275" s="2"/>
      <c r="CA275" s="2" t="s">
        <v>760</v>
      </c>
      <c r="CB275" s="2"/>
      <c r="CC275" s="2" t="s">
        <v>757</v>
      </c>
      <c r="CD275" s="2">
        <v>4276</v>
      </c>
      <c r="CE275" s="2" t="s">
        <v>89</v>
      </c>
      <c r="CF275" s="5">
        <v>42965</v>
      </c>
      <c r="CG275" s="2"/>
      <c r="CH275" s="2"/>
      <c r="CI275" s="2">
        <v>1</v>
      </c>
      <c r="CJ275" s="2">
        <v>1</v>
      </c>
      <c r="CK275" s="2">
        <v>23</v>
      </c>
      <c r="CL275" s="2" t="s">
        <v>86</v>
      </c>
      <c r="CM275" s="2"/>
    </row>
    <row r="276" spans="1:91">
      <c r="A276" s="2" t="s">
        <v>71</v>
      </c>
      <c r="B276" s="2" t="s">
        <v>72</v>
      </c>
      <c r="C276" s="2" t="s">
        <v>73</v>
      </c>
      <c r="D276" s="2"/>
      <c r="E276" s="2" t="str">
        <f>"FES1162569338"</f>
        <v>FES1162569338</v>
      </c>
      <c r="F276" s="3">
        <v>42963</v>
      </c>
      <c r="G276" s="2">
        <v>201802</v>
      </c>
      <c r="H276" s="2" t="s">
        <v>74</v>
      </c>
      <c r="I276" s="2" t="s">
        <v>75</v>
      </c>
      <c r="J276" s="2" t="s">
        <v>76</v>
      </c>
      <c r="K276" s="2" t="s">
        <v>77</v>
      </c>
      <c r="L276" s="2" t="s">
        <v>97</v>
      </c>
      <c r="M276" s="2" t="s">
        <v>98</v>
      </c>
      <c r="N276" s="2" t="s">
        <v>625</v>
      </c>
      <c r="O276" s="2" t="s">
        <v>100</v>
      </c>
      <c r="P276" s="2" t="str">
        <f>"2170584162                    "</f>
        <v xml:space="preserve">2170584162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19.010000000000002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9.5</v>
      </c>
      <c r="BJ276" s="2">
        <v>8.6</v>
      </c>
      <c r="BK276" s="2">
        <v>9.5</v>
      </c>
      <c r="BL276" s="2">
        <v>196.85</v>
      </c>
      <c r="BM276" s="2">
        <v>27.56</v>
      </c>
      <c r="BN276" s="2">
        <v>224.41</v>
      </c>
      <c r="BO276" s="2">
        <v>224.41</v>
      </c>
      <c r="BP276" s="2"/>
      <c r="BQ276" s="2" t="s">
        <v>108</v>
      </c>
      <c r="BR276" s="2" t="s">
        <v>84</v>
      </c>
      <c r="BS276" s="3">
        <v>42964</v>
      </c>
      <c r="BT276" s="4">
        <v>0.4236111111111111</v>
      </c>
      <c r="BU276" s="2" t="s">
        <v>761</v>
      </c>
      <c r="BV276" s="2" t="s">
        <v>95</v>
      </c>
      <c r="BW276" s="2"/>
      <c r="BX276" s="2"/>
      <c r="BY276" s="2">
        <v>43229.62</v>
      </c>
      <c r="BZ276" s="2"/>
      <c r="CA276" s="2" t="s">
        <v>103</v>
      </c>
      <c r="CB276" s="2"/>
      <c r="CC276" s="2" t="s">
        <v>98</v>
      </c>
      <c r="CD276" s="2">
        <v>6001</v>
      </c>
      <c r="CE276" s="2" t="s">
        <v>89</v>
      </c>
      <c r="CF276" s="5">
        <v>42965</v>
      </c>
      <c r="CG276" s="2"/>
      <c r="CH276" s="2"/>
      <c r="CI276" s="2">
        <v>1</v>
      </c>
      <c r="CJ276" s="2">
        <v>1</v>
      </c>
      <c r="CK276" s="2">
        <v>21</v>
      </c>
      <c r="CL276" s="2" t="s">
        <v>86</v>
      </c>
      <c r="CM276" s="2"/>
    </row>
    <row r="277" spans="1:91">
      <c r="A277" s="2" t="s">
        <v>71</v>
      </c>
      <c r="B277" s="2" t="s">
        <v>72</v>
      </c>
      <c r="C277" s="2" t="s">
        <v>73</v>
      </c>
      <c r="D277" s="2"/>
      <c r="E277" s="2" t="str">
        <f>"FES11625685180"</f>
        <v>FES11625685180</v>
      </c>
      <c r="F277" s="3">
        <v>42963</v>
      </c>
      <c r="G277" s="2">
        <v>201802</v>
      </c>
      <c r="H277" s="2" t="s">
        <v>74</v>
      </c>
      <c r="I277" s="2" t="s">
        <v>75</v>
      </c>
      <c r="J277" s="2" t="s">
        <v>76</v>
      </c>
      <c r="K277" s="2" t="s">
        <v>77</v>
      </c>
      <c r="L277" s="2" t="s">
        <v>715</v>
      </c>
      <c r="M277" s="2" t="s">
        <v>716</v>
      </c>
      <c r="N277" s="2" t="s">
        <v>762</v>
      </c>
      <c r="O277" s="2" t="s">
        <v>100</v>
      </c>
      <c r="P277" s="2" t="str">
        <f>"2170585180                    "</f>
        <v xml:space="preserve">2170585180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13.01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6.3</v>
      </c>
      <c r="BJ277" s="2">
        <v>3.5</v>
      </c>
      <c r="BK277" s="2">
        <v>6.5</v>
      </c>
      <c r="BL277" s="2">
        <v>134.69</v>
      </c>
      <c r="BM277" s="2">
        <v>18.86</v>
      </c>
      <c r="BN277" s="2">
        <v>153.55000000000001</v>
      </c>
      <c r="BO277" s="2">
        <v>153.55000000000001</v>
      </c>
      <c r="BP277" s="2"/>
      <c r="BQ277" s="2" t="s">
        <v>83</v>
      </c>
      <c r="BR277" s="2" t="s">
        <v>84</v>
      </c>
      <c r="BS277" s="3">
        <v>42964</v>
      </c>
      <c r="BT277" s="4">
        <v>0.41666666666666669</v>
      </c>
      <c r="BU277" s="2" t="s">
        <v>763</v>
      </c>
      <c r="BV277" s="2" t="s">
        <v>95</v>
      </c>
      <c r="BW277" s="2"/>
      <c r="BX277" s="2"/>
      <c r="BY277" s="2">
        <v>17563.599999999999</v>
      </c>
      <c r="BZ277" s="2"/>
      <c r="CA277" s="2"/>
      <c r="CB277" s="2"/>
      <c r="CC277" s="2" t="s">
        <v>716</v>
      </c>
      <c r="CD277" s="2">
        <v>3290</v>
      </c>
      <c r="CE277" s="2" t="s">
        <v>89</v>
      </c>
      <c r="CF277" s="5">
        <v>42964</v>
      </c>
      <c r="CG277" s="2"/>
      <c r="CH277" s="2"/>
      <c r="CI277" s="2">
        <v>1</v>
      </c>
      <c r="CJ277" s="2">
        <v>1</v>
      </c>
      <c r="CK277" s="2">
        <v>21</v>
      </c>
      <c r="CL277" s="2" t="s">
        <v>86</v>
      </c>
      <c r="CM277" s="2"/>
    </row>
    <row r="278" spans="1:91">
      <c r="A278" s="2" t="s">
        <v>71</v>
      </c>
      <c r="B278" s="2" t="s">
        <v>72</v>
      </c>
      <c r="C278" s="2" t="s">
        <v>73</v>
      </c>
      <c r="D278" s="2"/>
      <c r="E278" s="2" t="str">
        <f>"FES1162569361"</f>
        <v>FES1162569361</v>
      </c>
      <c r="F278" s="3">
        <v>42963</v>
      </c>
      <c r="G278" s="2">
        <v>201802</v>
      </c>
      <c r="H278" s="2" t="s">
        <v>74</v>
      </c>
      <c r="I278" s="2" t="s">
        <v>75</v>
      </c>
      <c r="J278" s="2" t="s">
        <v>76</v>
      </c>
      <c r="K278" s="2" t="s">
        <v>77</v>
      </c>
      <c r="L278" s="2" t="s">
        <v>237</v>
      </c>
      <c r="M278" s="2" t="s">
        <v>238</v>
      </c>
      <c r="N278" s="2" t="s">
        <v>239</v>
      </c>
      <c r="O278" s="2" t="s">
        <v>100</v>
      </c>
      <c r="P278" s="2" t="str">
        <f>"2170582897                    "</f>
        <v xml:space="preserve">2170582897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4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2</v>
      </c>
      <c r="BJ278" s="2">
        <v>0.2</v>
      </c>
      <c r="BK278" s="2">
        <v>2</v>
      </c>
      <c r="BL278" s="2">
        <v>41.44</v>
      </c>
      <c r="BM278" s="2">
        <v>5.8</v>
      </c>
      <c r="BN278" s="2">
        <v>47.24</v>
      </c>
      <c r="BO278" s="2">
        <v>47.24</v>
      </c>
      <c r="BP278" s="2"/>
      <c r="BQ278" s="2" t="s">
        <v>83</v>
      </c>
      <c r="BR278" s="2" t="s">
        <v>84</v>
      </c>
      <c r="BS278" s="3">
        <v>42964</v>
      </c>
      <c r="BT278" s="4">
        <v>0.4375</v>
      </c>
      <c r="BU278" s="2" t="s">
        <v>764</v>
      </c>
      <c r="BV278" s="2" t="s">
        <v>95</v>
      </c>
      <c r="BW278" s="2"/>
      <c r="BX278" s="2"/>
      <c r="BY278" s="2">
        <v>1200</v>
      </c>
      <c r="BZ278" s="2"/>
      <c r="CA278" s="2" t="s">
        <v>672</v>
      </c>
      <c r="CB278" s="2"/>
      <c r="CC278" s="2" t="s">
        <v>238</v>
      </c>
      <c r="CD278" s="2">
        <v>3610</v>
      </c>
      <c r="CE278" s="2" t="s">
        <v>104</v>
      </c>
      <c r="CF278" s="5">
        <v>42969</v>
      </c>
      <c r="CG278" s="2"/>
      <c r="CH278" s="2"/>
      <c r="CI278" s="2">
        <v>1</v>
      </c>
      <c r="CJ278" s="2">
        <v>1</v>
      </c>
      <c r="CK278" s="2">
        <v>21</v>
      </c>
      <c r="CL278" s="2" t="s">
        <v>86</v>
      </c>
      <c r="CM278" s="2"/>
    </row>
    <row r="279" spans="1:91">
      <c r="A279" s="2" t="s">
        <v>71</v>
      </c>
      <c r="B279" s="2" t="s">
        <v>72</v>
      </c>
      <c r="C279" s="2" t="s">
        <v>73</v>
      </c>
      <c r="D279" s="2"/>
      <c r="E279" s="2" t="str">
        <f>"FES1162569322"</f>
        <v>FES1162569322</v>
      </c>
      <c r="F279" s="3">
        <v>42963</v>
      </c>
      <c r="G279" s="2">
        <v>201802</v>
      </c>
      <c r="H279" s="2" t="s">
        <v>74</v>
      </c>
      <c r="I279" s="2" t="s">
        <v>75</v>
      </c>
      <c r="J279" s="2" t="s">
        <v>76</v>
      </c>
      <c r="K279" s="2" t="s">
        <v>77</v>
      </c>
      <c r="L279" s="2" t="s">
        <v>237</v>
      </c>
      <c r="M279" s="2" t="s">
        <v>238</v>
      </c>
      <c r="N279" s="2" t="s">
        <v>765</v>
      </c>
      <c r="O279" s="2" t="s">
        <v>100</v>
      </c>
      <c r="P279" s="2" t="str">
        <f>"2170585190                    "</f>
        <v xml:space="preserve">2170585190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23.01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11.2</v>
      </c>
      <c r="BJ279" s="2">
        <v>3.7</v>
      </c>
      <c r="BK279" s="2">
        <v>11.5</v>
      </c>
      <c r="BL279" s="2">
        <v>238.29</v>
      </c>
      <c r="BM279" s="2">
        <v>33.36</v>
      </c>
      <c r="BN279" s="2">
        <v>271.64999999999998</v>
      </c>
      <c r="BO279" s="2">
        <v>271.64999999999998</v>
      </c>
      <c r="BP279" s="2"/>
      <c r="BQ279" s="2" t="s">
        <v>108</v>
      </c>
      <c r="BR279" s="2" t="s">
        <v>84</v>
      </c>
      <c r="BS279" s="3">
        <v>42964</v>
      </c>
      <c r="BT279" s="4">
        <v>0.3430555555555555</v>
      </c>
      <c r="BU279" s="2" t="s">
        <v>766</v>
      </c>
      <c r="BV279" s="2" t="s">
        <v>95</v>
      </c>
      <c r="BW279" s="2"/>
      <c r="BX279" s="2"/>
      <c r="BY279" s="2">
        <v>18643.97</v>
      </c>
      <c r="BZ279" s="2"/>
      <c r="CA279" s="2" t="s">
        <v>401</v>
      </c>
      <c r="CB279" s="2"/>
      <c r="CC279" s="2" t="s">
        <v>238</v>
      </c>
      <c r="CD279" s="2">
        <v>3610</v>
      </c>
      <c r="CE279" s="2" t="s">
        <v>89</v>
      </c>
      <c r="CF279" s="5">
        <v>42970</v>
      </c>
      <c r="CG279" s="2"/>
      <c r="CH279" s="2"/>
      <c r="CI279" s="2">
        <v>1</v>
      </c>
      <c r="CJ279" s="2">
        <v>1</v>
      </c>
      <c r="CK279" s="2">
        <v>21</v>
      </c>
      <c r="CL279" s="2" t="s">
        <v>86</v>
      </c>
      <c r="CM279" s="2"/>
    </row>
    <row r="280" spans="1:91">
      <c r="A280" s="2" t="s">
        <v>71</v>
      </c>
      <c r="B280" s="2" t="s">
        <v>72</v>
      </c>
      <c r="C280" s="2" t="s">
        <v>73</v>
      </c>
      <c r="D280" s="2"/>
      <c r="E280" s="2" t="str">
        <f>"FES1162569201"</f>
        <v>FES1162569201</v>
      </c>
      <c r="F280" s="3">
        <v>42963</v>
      </c>
      <c r="G280" s="2">
        <v>201802</v>
      </c>
      <c r="H280" s="2" t="s">
        <v>74</v>
      </c>
      <c r="I280" s="2" t="s">
        <v>75</v>
      </c>
      <c r="J280" s="2" t="s">
        <v>76</v>
      </c>
      <c r="K280" s="2" t="s">
        <v>77</v>
      </c>
      <c r="L280" s="2" t="s">
        <v>715</v>
      </c>
      <c r="M280" s="2" t="s">
        <v>716</v>
      </c>
      <c r="N280" s="2" t="s">
        <v>762</v>
      </c>
      <c r="O280" s="2" t="s">
        <v>100</v>
      </c>
      <c r="P280" s="2" t="str">
        <f>"2170585152                    "</f>
        <v xml:space="preserve">2170585152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4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1</v>
      </c>
      <c r="BJ280" s="2">
        <v>0.2</v>
      </c>
      <c r="BK280" s="2">
        <v>1</v>
      </c>
      <c r="BL280" s="2">
        <v>41.44</v>
      </c>
      <c r="BM280" s="2">
        <v>5.8</v>
      </c>
      <c r="BN280" s="2">
        <v>47.24</v>
      </c>
      <c r="BO280" s="2">
        <v>47.24</v>
      </c>
      <c r="BP280" s="2"/>
      <c r="BQ280" s="2" t="s">
        <v>83</v>
      </c>
      <c r="BR280" s="2" t="s">
        <v>84</v>
      </c>
      <c r="BS280" s="3">
        <v>42964</v>
      </c>
      <c r="BT280" s="4">
        <v>0.46527777777777773</v>
      </c>
      <c r="BU280" s="2" t="s">
        <v>767</v>
      </c>
      <c r="BV280" s="2" t="s">
        <v>95</v>
      </c>
      <c r="BW280" s="2"/>
      <c r="BX280" s="2"/>
      <c r="BY280" s="2">
        <v>1200</v>
      </c>
      <c r="BZ280" s="2"/>
      <c r="CA280" s="2" t="s">
        <v>566</v>
      </c>
      <c r="CB280" s="2"/>
      <c r="CC280" s="2" t="s">
        <v>716</v>
      </c>
      <c r="CD280" s="2">
        <v>3290</v>
      </c>
      <c r="CE280" s="2" t="s">
        <v>104</v>
      </c>
      <c r="CF280" s="5">
        <v>42968</v>
      </c>
      <c r="CG280" s="2"/>
      <c r="CH280" s="2"/>
      <c r="CI280" s="2">
        <v>1</v>
      </c>
      <c r="CJ280" s="2">
        <v>1</v>
      </c>
      <c r="CK280" s="2">
        <v>21</v>
      </c>
      <c r="CL280" s="2" t="s">
        <v>86</v>
      </c>
      <c r="CM280" s="2"/>
    </row>
    <row r="281" spans="1:91">
      <c r="A281" s="2" t="s">
        <v>71</v>
      </c>
      <c r="B281" s="2" t="s">
        <v>72</v>
      </c>
      <c r="C281" s="2" t="s">
        <v>73</v>
      </c>
      <c r="D281" s="2"/>
      <c r="E281" s="2" t="str">
        <f>"FES1162569511"</f>
        <v>FES1162569511</v>
      </c>
      <c r="F281" s="3">
        <v>42963</v>
      </c>
      <c r="G281" s="2">
        <v>201802</v>
      </c>
      <c r="H281" s="2" t="s">
        <v>74</v>
      </c>
      <c r="I281" s="2" t="s">
        <v>75</v>
      </c>
      <c r="J281" s="2" t="s">
        <v>76</v>
      </c>
      <c r="K281" s="2" t="s">
        <v>77</v>
      </c>
      <c r="L281" s="2" t="s">
        <v>149</v>
      </c>
      <c r="M281" s="2" t="s">
        <v>150</v>
      </c>
      <c r="N281" s="2" t="s">
        <v>463</v>
      </c>
      <c r="O281" s="2" t="s">
        <v>100</v>
      </c>
      <c r="P281" s="2" t="str">
        <f>"2170585354                    "</f>
        <v xml:space="preserve">2170585354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4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</v>
      </c>
      <c r="BJ281" s="2">
        <v>0.2</v>
      </c>
      <c r="BK281" s="2">
        <v>1</v>
      </c>
      <c r="BL281" s="2">
        <v>41.44</v>
      </c>
      <c r="BM281" s="2">
        <v>5.8</v>
      </c>
      <c r="BN281" s="2">
        <v>47.24</v>
      </c>
      <c r="BO281" s="2">
        <v>47.24</v>
      </c>
      <c r="BP281" s="2"/>
      <c r="BQ281" s="2" t="s">
        <v>288</v>
      </c>
      <c r="BR281" s="2" t="s">
        <v>84</v>
      </c>
      <c r="BS281" s="3">
        <v>42964</v>
      </c>
      <c r="BT281" s="4">
        <v>0.39374999999999999</v>
      </c>
      <c r="BU281" s="2" t="s">
        <v>768</v>
      </c>
      <c r="BV281" s="2" t="s">
        <v>95</v>
      </c>
      <c r="BW281" s="2"/>
      <c r="BX281" s="2"/>
      <c r="BY281" s="2">
        <v>1200</v>
      </c>
      <c r="BZ281" s="2"/>
      <c r="CA281" s="2" t="s">
        <v>347</v>
      </c>
      <c r="CB281" s="2"/>
      <c r="CC281" s="2" t="s">
        <v>150</v>
      </c>
      <c r="CD281" s="2">
        <v>4001</v>
      </c>
      <c r="CE281" s="2" t="s">
        <v>104</v>
      </c>
      <c r="CF281" s="5">
        <v>42964</v>
      </c>
      <c r="CG281" s="2"/>
      <c r="CH281" s="2"/>
      <c r="CI281" s="2">
        <v>1</v>
      </c>
      <c r="CJ281" s="2">
        <v>1</v>
      </c>
      <c r="CK281" s="2">
        <v>21</v>
      </c>
      <c r="CL281" s="2" t="s">
        <v>86</v>
      </c>
      <c r="CM281" s="2"/>
    </row>
    <row r="282" spans="1:91">
      <c r="A282" s="2" t="s">
        <v>71</v>
      </c>
      <c r="B282" s="2" t="s">
        <v>72</v>
      </c>
      <c r="C282" s="2" t="s">
        <v>73</v>
      </c>
      <c r="D282" s="2"/>
      <c r="E282" s="2" t="str">
        <f>"FES1162569461"</f>
        <v>FES1162569461</v>
      </c>
      <c r="F282" s="3">
        <v>42963</v>
      </c>
      <c r="G282" s="2">
        <v>201802</v>
      </c>
      <c r="H282" s="2" t="s">
        <v>74</v>
      </c>
      <c r="I282" s="2" t="s">
        <v>75</v>
      </c>
      <c r="J282" s="2" t="s">
        <v>76</v>
      </c>
      <c r="K282" s="2" t="s">
        <v>77</v>
      </c>
      <c r="L282" s="2" t="s">
        <v>237</v>
      </c>
      <c r="M282" s="2" t="s">
        <v>238</v>
      </c>
      <c r="N282" s="2" t="s">
        <v>769</v>
      </c>
      <c r="O282" s="2" t="s">
        <v>100</v>
      </c>
      <c r="P282" s="2" t="str">
        <f>"2170585318                    "</f>
        <v xml:space="preserve">2170585318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7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3.1</v>
      </c>
      <c r="BJ282" s="2">
        <v>0.9</v>
      </c>
      <c r="BK282" s="2">
        <v>3.5</v>
      </c>
      <c r="BL282" s="2">
        <v>72.52</v>
      </c>
      <c r="BM282" s="2">
        <v>10.15</v>
      </c>
      <c r="BN282" s="2">
        <v>82.67</v>
      </c>
      <c r="BO282" s="2">
        <v>82.67</v>
      </c>
      <c r="BP282" s="2"/>
      <c r="BQ282" s="2" t="s">
        <v>288</v>
      </c>
      <c r="BR282" s="2" t="s">
        <v>84</v>
      </c>
      <c r="BS282" s="3">
        <v>42964</v>
      </c>
      <c r="BT282" s="4">
        <v>0.41250000000000003</v>
      </c>
      <c r="BU282" s="2" t="s">
        <v>109</v>
      </c>
      <c r="BV282" s="2" t="s">
        <v>95</v>
      </c>
      <c r="BW282" s="2"/>
      <c r="BX282" s="2"/>
      <c r="BY282" s="2">
        <v>4329</v>
      </c>
      <c r="BZ282" s="2"/>
      <c r="CA282" s="2" t="s">
        <v>389</v>
      </c>
      <c r="CB282" s="2"/>
      <c r="CC282" s="2" t="s">
        <v>238</v>
      </c>
      <c r="CD282" s="2">
        <v>3600</v>
      </c>
      <c r="CE282" s="2" t="s">
        <v>89</v>
      </c>
      <c r="CF282" s="5">
        <v>42965</v>
      </c>
      <c r="CG282" s="2"/>
      <c r="CH282" s="2"/>
      <c r="CI282" s="2">
        <v>1</v>
      </c>
      <c r="CJ282" s="2">
        <v>1</v>
      </c>
      <c r="CK282" s="2">
        <v>21</v>
      </c>
      <c r="CL282" s="2" t="s">
        <v>86</v>
      </c>
      <c r="CM282" s="2"/>
    </row>
    <row r="283" spans="1:91">
      <c r="A283" s="2" t="s">
        <v>71</v>
      </c>
      <c r="B283" s="2" t="s">
        <v>72</v>
      </c>
      <c r="C283" s="2" t="s">
        <v>73</v>
      </c>
      <c r="D283" s="2"/>
      <c r="E283" s="2" t="str">
        <f>"FES1162569493"</f>
        <v>FES1162569493</v>
      </c>
      <c r="F283" s="3">
        <v>42963</v>
      </c>
      <c r="G283" s="2">
        <v>201802</v>
      </c>
      <c r="H283" s="2" t="s">
        <v>74</v>
      </c>
      <c r="I283" s="2" t="s">
        <v>75</v>
      </c>
      <c r="J283" s="2" t="s">
        <v>76</v>
      </c>
      <c r="K283" s="2" t="s">
        <v>77</v>
      </c>
      <c r="L283" s="2" t="s">
        <v>332</v>
      </c>
      <c r="M283" s="2" t="s">
        <v>333</v>
      </c>
      <c r="N283" s="2" t="s">
        <v>770</v>
      </c>
      <c r="O283" s="2" t="s">
        <v>100</v>
      </c>
      <c r="P283" s="2" t="str">
        <f>"2170576856                    "</f>
        <v xml:space="preserve">2170576856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7.75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1.1000000000000001</v>
      </c>
      <c r="BJ283" s="2">
        <v>1.2</v>
      </c>
      <c r="BK283" s="2">
        <v>1.5</v>
      </c>
      <c r="BL283" s="2">
        <v>80.290000000000006</v>
      </c>
      <c r="BM283" s="2">
        <v>11.24</v>
      </c>
      <c r="BN283" s="2">
        <v>91.53</v>
      </c>
      <c r="BO283" s="2">
        <v>91.53</v>
      </c>
      <c r="BP283" s="2"/>
      <c r="BQ283" s="2" t="s">
        <v>365</v>
      </c>
      <c r="BR283" s="2" t="s">
        <v>84</v>
      </c>
      <c r="BS283" s="3">
        <v>42964</v>
      </c>
      <c r="BT283" s="4">
        <v>0.48194444444444445</v>
      </c>
      <c r="BU283" s="2" t="s">
        <v>771</v>
      </c>
      <c r="BV283" s="2" t="s">
        <v>95</v>
      </c>
      <c r="BW283" s="2"/>
      <c r="BX283" s="2"/>
      <c r="BY283" s="2">
        <v>6092.9</v>
      </c>
      <c r="BZ283" s="2"/>
      <c r="CA283" s="2" t="s">
        <v>338</v>
      </c>
      <c r="CB283" s="2"/>
      <c r="CC283" s="2" t="s">
        <v>333</v>
      </c>
      <c r="CD283" s="2">
        <v>4449</v>
      </c>
      <c r="CE283" s="2" t="s">
        <v>89</v>
      </c>
      <c r="CF283" s="5">
        <v>42965</v>
      </c>
      <c r="CG283" s="2"/>
      <c r="CH283" s="2"/>
      <c r="CI283" s="2">
        <v>1</v>
      </c>
      <c r="CJ283" s="2">
        <v>1</v>
      </c>
      <c r="CK283" s="2">
        <v>23</v>
      </c>
      <c r="CL283" s="2" t="s">
        <v>86</v>
      </c>
      <c r="CM283" s="2"/>
    </row>
    <row r="284" spans="1:91">
      <c r="A284" s="2" t="s">
        <v>71</v>
      </c>
      <c r="B284" s="2" t="s">
        <v>72</v>
      </c>
      <c r="C284" s="2" t="s">
        <v>73</v>
      </c>
      <c r="D284" s="2"/>
      <c r="E284" s="2" t="str">
        <f>"FES1162569425"</f>
        <v>FES1162569425</v>
      </c>
      <c r="F284" s="3">
        <v>42963</v>
      </c>
      <c r="G284" s="2">
        <v>201802</v>
      </c>
      <c r="H284" s="2" t="s">
        <v>74</v>
      </c>
      <c r="I284" s="2" t="s">
        <v>75</v>
      </c>
      <c r="J284" s="2" t="s">
        <v>76</v>
      </c>
      <c r="K284" s="2" t="s">
        <v>77</v>
      </c>
      <c r="L284" s="2" t="s">
        <v>149</v>
      </c>
      <c r="M284" s="2" t="s">
        <v>150</v>
      </c>
      <c r="N284" s="2" t="s">
        <v>772</v>
      </c>
      <c r="O284" s="2" t="s">
        <v>100</v>
      </c>
      <c r="P284" s="2" t="str">
        <f>"2170585078                    "</f>
        <v xml:space="preserve">2170585078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5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</v>
      </c>
      <c r="BI284" s="2">
        <v>2.1</v>
      </c>
      <c r="BJ284" s="2">
        <v>1.4</v>
      </c>
      <c r="BK284" s="2">
        <v>2.5</v>
      </c>
      <c r="BL284" s="2">
        <v>51.8</v>
      </c>
      <c r="BM284" s="2">
        <v>7.25</v>
      </c>
      <c r="BN284" s="2">
        <v>59.05</v>
      </c>
      <c r="BO284" s="2">
        <v>59.05</v>
      </c>
      <c r="BP284" s="2"/>
      <c r="BQ284" s="2" t="s">
        <v>288</v>
      </c>
      <c r="BR284" s="2" t="s">
        <v>84</v>
      </c>
      <c r="BS284" s="3">
        <v>42964</v>
      </c>
      <c r="BT284" s="4">
        <v>0.3840277777777778</v>
      </c>
      <c r="BU284" s="2" t="s">
        <v>773</v>
      </c>
      <c r="BV284" s="2" t="s">
        <v>95</v>
      </c>
      <c r="BW284" s="2"/>
      <c r="BX284" s="2"/>
      <c r="BY284" s="2">
        <v>6956.88</v>
      </c>
      <c r="BZ284" s="2"/>
      <c r="CA284" s="2" t="s">
        <v>774</v>
      </c>
      <c r="CB284" s="2"/>
      <c r="CC284" s="2" t="s">
        <v>150</v>
      </c>
      <c r="CD284" s="2">
        <v>4051</v>
      </c>
      <c r="CE284" s="2" t="s">
        <v>89</v>
      </c>
      <c r="CF284" s="5">
        <v>42964</v>
      </c>
      <c r="CG284" s="2"/>
      <c r="CH284" s="2"/>
      <c r="CI284" s="2">
        <v>1</v>
      </c>
      <c r="CJ284" s="2">
        <v>1</v>
      </c>
      <c r="CK284" s="2">
        <v>21</v>
      </c>
      <c r="CL284" s="2" t="s">
        <v>86</v>
      </c>
      <c r="CM284" s="2"/>
    </row>
    <row r="285" spans="1:91">
      <c r="A285" s="2" t="s">
        <v>71</v>
      </c>
      <c r="B285" s="2" t="s">
        <v>72</v>
      </c>
      <c r="C285" s="2" t="s">
        <v>73</v>
      </c>
      <c r="D285" s="2"/>
      <c r="E285" s="2" t="str">
        <f>"FES1162569426"</f>
        <v>FES1162569426</v>
      </c>
      <c r="F285" s="3">
        <v>42963</v>
      </c>
      <c r="G285" s="2">
        <v>201802</v>
      </c>
      <c r="H285" s="2" t="s">
        <v>74</v>
      </c>
      <c r="I285" s="2" t="s">
        <v>75</v>
      </c>
      <c r="J285" s="2" t="s">
        <v>76</v>
      </c>
      <c r="K285" s="2" t="s">
        <v>77</v>
      </c>
      <c r="L285" s="2" t="s">
        <v>149</v>
      </c>
      <c r="M285" s="2" t="s">
        <v>150</v>
      </c>
      <c r="N285" s="2" t="s">
        <v>772</v>
      </c>
      <c r="O285" s="2" t="s">
        <v>100</v>
      </c>
      <c r="P285" s="2" t="str">
        <f>"2170585249                    "</f>
        <v xml:space="preserve">2170585249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7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2.1</v>
      </c>
      <c r="BJ285" s="2">
        <v>3.3</v>
      </c>
      <c r="BK285" s="2">
        <v>3.5</v>
      </c>
      <c r="BL285" s="2">
        <v>72.52</v>
      </c>
      <c r="BM285" s="2">
        <v>10.15</v>
      </c>
      <c r="BN285" s="2">
        <v>82.67</v>
      </c>
      <c r="BO285" s="2">
        <v>82.67</v>
      </c>
      <c r="BP285" s="2"/>
      <c r="BQ285" s="2" t="s">
        <v>288</v>
      </c>
      <c r="BR285" s="2" t="s">
        <v>84</v>
      </c>
      <c r="BS285" s="3">
        <v>42964</v>
      </c>
      <c r="BT285" s="4">
        <v>0.3840277777777778</v>
      </c>
      <c r="BU285" s="2" t="s">
        <v>773</v>
      </c>
      <c r="BV285" s="2" t="s">
        <v>95</v>
      </c>
      <c r="BW285" s="2"/>
      <c r="BX285" s="2"/>
      <c r="BY285" s="2">
        <v>16742.88</v>
      </c>
      <c r="BZ285" s="2"/>
      <c r="CA285" s="2" t="s">
        <v>774</v>
      </c>
      <c r="CB285" s="2"/>
      <c r="CC285" s="2" t="s">
        <v>150</v>
      </c>
      <c r="CD285" s="2">
        <v>4051</v>
      </c>
      <c r="CE285" s="2" t="s">
        <v>89</v>
      </c>
      <c r="CF285" s="5">
        <v>42964</v>
      </c>
      <c r="CG285" s="2"/>
      <c r="CH285" s="2"/>
      <c r="CI285" s="2">
        <v>1</v>
      </c>
      <c r="CJ285" s="2">
        <v>1</v>
      </c>
      <c r="CK285" s="2">
        <v>21</v>
      </c>
      <c r="CL285" s="2" t="s">
        <v>86</v>
      </c>
      <c r="CM285" s="2"/>
    </row>
    <row r="286" spans="1:91">
      <c r="A286" s="2" t="s">
        <v>71</v>
      </c>
      <c r="B286" s="2" t="s">
        <v>72</v>
      </c>
      <c r="C286" s="2" t="s">
        <v>73</v>
      </c>
      <c r="D286" s="2"/>
      <c r="E286" s="2" t="str">
        <f>"FES1162569420"</f>
        <v>FES1162569420</v>
      </c>
      <c r="F286" s="3">
        <v>42963</v>
      </c>
      <c r="G286" s="2">
        <v>201802</v>
      </c>
      <c r="H286" s="2" t="s">
        <v>74</v>
      </c>
      <c r="I286" s="2" t="s">
        <v>75</v>
      </c>
      <c r="J286" s="2" t="s">
        <v>76</v>
      </c>
      <c r="K286" s="2" t="s">
        <v>77</v>
      </c>
      <c r="L286" s="2" t="s">
        <v>144</v>
      </c>
      <c r="M286" s="2" t="s">
        <v>145</v>
      </c>
      <c r="N286" s="2" t="s">
        <v>775</v>
      </c>
      <c r="O286" s="2" t="s">
        <v>100</v>
      </c>
      <c r="P286" s="2" t="str">
        <f>"2170582858                    "</f>
        <v xml:space="preserve">2170582858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3.13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3.4</v>
      </c>
      <c r="BJ286" s="2">
        <v>2.7</v>
      </c>
      <c r="BK286" s="2">
        <v>4</v>
      </c>
      <c r="BL286" s="2">
        <v>32.380000000000003</v>
      </c>
      <c r="BM286" s="2">
        <v>4.53</v>
      </c>
      <c r="BN286" s="2">
        <v>36.909999999999997</v>
      </c>
      <c r="BO286" s="2">
        <v>36.909999999999997</v>
      </c>
      <c r="BP286" s="2"/>
      <c r="BQ286" s="2" t="s">
        <v>108</v>
      </c>
      <c r="BR286" s="2" t="s">
        <v>84</v>
      </c>
      <c r="BS286" s="3">
        <v>42964</v>
      </c>
      <c r="BT286" s="4">
        <v>0.29791666666666666</v>
      </c>
      <c r="BU286" s="2" t="s">
        <v>776</v>
      </c>
      <c r="BV286" s="2" t="s">
        <v>95</v>
      </c>
      <c r="BW286" s="2"/>
      <c r="BX286" s="2"/>
      <c r="BY286" s="2">
        <v>13372.98</v>
      </c>
      <c r="BZ286" s="2"/>
      <c r="CA286" s="2" t="s">
        <v>777</v>
      </c>
      <c r="CB286" s="2"/>
      <c r="CC286" s="2" t="s">
        <v>145</v>
      </c>
      <c r="CD286" s="2">
        <v>2113</v>
      </c>
      <c r="CE286" s="2" t="s">
        <v>104</v>
      </c>
      <c r="CF286" s="5">
        <v>42965</v>
      </c>
      <c r="CG286" s="2"/>
      <c r="CH286" s="2"/>
      <c r="CI286" s="2">
        <v>1</v>
      </c>
      <c r="CJ286" s="2">
        <v>1</v>
      </c>
      <c r="CK286" s="2">
        <v>22</v>
      </c>
      <c r="CL286" s="2" t="s">
        <v>86</v>
      </c>
      <c r="CM286" s="2"/>
    </row>
    <row r="287" spans="1:91">
      <c r="A287" s="2" t="s">
        <v>71</v>
      </c>
      <c r="B287" s="2" t="s">
        <v>72</v>
      </c>
      <c r="C287" s="2" t="s">
        <v>73</v>
      </c>
      <c r="D287" s="2"/>
      <c r="E287" s="2" t="str">
        <f>"FES1162569341"</f>
        <v>FES1162569341</v>
      </c>
      <c r="F287" s="3">
        <v>42963</v>
      </c>
      <c r="G287" s="2">
        <v>201802</v>
      </c>
      <c r="H287" s="2" t="s">
        <v>74</v>
      </c>
      <c r="I287" s="2" t="s">
        <v>75</v>
      </c>
      <c r="J287" s="2" t="s">
        <v>76</v>
      </c>
      <c r="K287" s="2" t="s">
        <v>77</v>
      </c>
      <c r="L287" s="2" t="s">
        <v>105</v>
      </c>
      <c r="M287" s="2" t="s">
        <v>106</v>
      </c>
      <c r="N287" s="2" t="s">
        <v>348</v>
      </c>
      <c r="O287" s="2" t="s">
        <v>100</v>
      </c>
      <c r="P287" s="2" t="str">
        <f>"2170584813                    "</f>
        <v xml:space="preserve">2170584813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4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1</v>
      </c>
      <c r="BJ287" s="2">
        <v>0.2</v>
      </c>
      <c r="BK287" s="2">
        <v>1</v>
      </c>
      <c r="BL287" s="2">
        <v>41.44</v>
      </c>
      <c r="BM287" s="2">
        <v>5.8</v>
      </c>
      <c r="BN287" s="2">
        <v>47.24</v>
      </c>
      <c r="BO287" s="2">
        <v>47.24</v>
      </c>
      <c r="BP287" s="2"/>
      <c r="BQ287" s="2" t="s">
        <v>108</v>
      </c>
      <c r="BR287" s="2" t="s">
        <v>84</v>
      </c>
      <c r="BS287" s="3">
        <v>42964</v>
      </c>
      <c r="BT287" s="4">
        <v>0.48333333333333334</v>
      </c>
      <c r="BU287" s="2" t="s">
        <v>778</v>
      </c>
      <c r="BV287" s="2" t="s">
        <v>95</v>
      </c>
      <c r="BW287" s="2"/>
      <c r="BX287" s="2"/>
      <c r="BY287" s="2">
        <v>1200</v>
      </c>
      <c r="BZ287" s="2"/>
      <c r="CA287" s="2" t="s">
        <v>350</v>
      </c>
      <c r="CB287" s="2"/>
      <c r="CC287" s="2" t="s">
        <v>106</v>
      </c>
      <c r="CD287" s="2">
        <v>7945</v>
      </c>
      <c r="CE287" s="2" t="s">
        <v>104</v>
      </c>
      <c r="CF287" s="5">
        <v>42965</v>
      </c>
      <c r="CG287" s="2"/>
      <c r="CH287" s="2"/>
      <c r="CI287" s="2">
        <v>1</v>
      </c>
      <c r="CJ287" s="2">
        <v>1</v>
      </c>
      <c r="CK287" s="2">
        <v>21</v>
      </c>
      <c r="CL287" s="2" t="s">
        <v>86</v>
      </c>
      <c r="CM287" s="2"/>
    </row>
    <row r="288" spans="1:91">
      <c r="A288" s="2" t="s">
        <v>71</v>
      </c>
      <c r="B288" s="2" t="s">
        <v>72</v>
      </c>
      <c r="C288" s="2" t="s">
        <v>73</v>
      </c>
      <c r="D288" s="2"/>
      <c r="E288" s="2" t="str">
        <f>"FES1162569446"</f>
        <v>FES1162569446</v>
      </c>
      <c r="F288" s="3">
        <v>42963</v>
      </c>
      <c r="G288" s="2">
        <v>201802</v>
      </c>
      <c r="H288" s="2" t="s">
        <v>74</v>
      </c>
      <c r="I288" s="2" t="s">
        <v>75</v>
      </c>
      <c r="J288" s="2" t="s">
        <v>76</v>
      </c>
      <c r="K288" s="2" t="s">
        <v>77</v>
      </c>
      <c r="L288" s="2" t="s">
        <v>105</v>
      </c>
      <c r="M288" s="2" t="s">
        <v>106</v>
      </c>
      <c r="N288" s="2" t="s">
        <v>397</v>
      </c>
      <c r="O288" s="2" t="s">
        <v>100</v>
      </c>
      <c r="P288" s="2" t="str">
        <f>"2170585298                    "</f>
        <v xml:space="preserve">2170585298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4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1</v>
      </c>
      <c r="BJ288" s="2">
        <v>0.2</v>
      </c>
      <c r="BK288" s="2">
        <v>1</v>
      </c>
      <c r="BL288" s="2">
        <v>41.44</v>
      </c>
      <c r="BM288" s="2">
        <v>5.8</v>
      </c>
      <c r="BN288" s="2">
        <v>47.24</v>
      </c>
      <c r="BO288" s="2">
        <v>47.24</v>
      </c>
      <c r="BP288" s="2"/>
      <c r="BQ288" s="2" t="s">
        <v>83</v>
      </c>
      <c r="BR288" s="2" t="s">
        <v>84</v>
      </c>
      <c r="BS288" s="3">
        <v>42964</v>
      </c>
      <c r="BT288" s="4">
        <v>0.39097222222222222</v>
      </c>
      <c r="BU288" s="2" t="s">
        <v>779</v>
      </c>
      <c r="BV288" s="2" t="s">
        <v>95</v>
      </c>
      <c r="BW288" s="2"/>
      <c r="BX288" s="2"/>
      <c r="BY288" s="2">
        <v>1200</v>
      </c>
      <c r="BZ288" s="2"/>
      <c r="CA288" s="2" t="s">
        <v>112</v>
      </c>
      <c r="CB288" s="2"/>
      <c r="CC288" s="2" t="s">
        <v>106</v>
      </c>
      <c r="CD288" s="2">
        <v>7405</v>
      </c>
      <c r="CE288" s="2" t="s">
        <v>104</v>
      </c>
      <c r="CF288" s="5">
        <v>42965</v>
      </c>
      <c r="CG288" s="2"/>
      <c r="CH288" s="2"/>
      <c r="CI288" s="2">
        <v>1</v>
      </c>
      <c r="CJ288" s="2">
        <v>1</v>
      </c>
      <c r="CK288" s="2">
        <v>21</v>
      </c>
      <c r="CL288" s="2" t="s">
        <v>86</v>
      </c>
      <c r="CM288" s="2"/>
    </row>
    <row r="289" spans="1:91">
      <c r="A289" s="2" t="s">
        <v>71</v>
      </c>
      <c r="B289" s="2" t="s">
        <v>72</v>
      </c>
      <c r="C289" s="2" t="s">
        <v>73</v>
      </c>
      <c r="D289" s="2"/>
      <c r="E289" s="2" t="str">
        <f>"FES1162569538"</f>
        <v>FES1162569538</v>
      </c>
      <c r="F289" s="3">
        <v>42963</v>
      </c>
      <c r="G289" s="2">
        <v>201802</v>
      </c>
      <c r="H289" s="2" t="s">
        <v>74</v>
      </c>
      <c r="I289" s="2" t="s">
        <v>75</v>
      </c>
      <c r="J289" s="2" t="s">
        <v>76</v>
      </c>
      <c r="K289" s="2" t="s">
        <v>77</v>
      </c>
      <c r="L289" s="2" t="s">
        <v>321</v>
      </c>
      <c r="M289" s="2" t="s">
        <v>322</v>
      </c>
      <c r="N289" s="2" t="s">
        <v>780</v>
      </c>
      <c r="O289" s="2" t="s">
        <v>100</v>
      </c>
      <c r="P289" s="2" t="str">
        <f>"2170585379                    "</f>
        <v xml:space="preserve">2170585379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9.01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4.3</v>
      </c>
      <c r="BJ289" s="2">
        <v>2.2000000000000002</v>
      </c>
      <c r="BK289" s="2">
        <v>4.5</v>
      </c>
      <c r="BL289" s="2">
        <v>93.25</v>
      </c>
      <c r="BM289" s="2">
        <v>13.06</v>
      </c>
      <c r="BN289" s="2">
        <v>106.31</v>
      </c>
      <c r="BO289" s="2">
        <v>106.31</v>
      </c>
      <c r="BP289" s="2"/>
      <c r="BQ289" s="2" t="s">
        <v>288</v>
      </c>
      <c r="BR289" s="2" t="s">
        <v>84</v>
      </c>
      <c r="BS289" s="3">
        <v>42964</v>
      </c>
      <c r="BT289" s="4">
        <v>0.38541666666666669</v>
      </c>
      <c r="BU289" s="2" t="s">
        <v>781</v>
      </c>
      <c r="BV289" s="2" t="s">
        <v>95</v>
      </c>
      <c r="BW289" s="2"/>
      <c r="BX289" s="2"/>
      <c r="BY289" s="2">
        <v>10838.11</v>
      </c>
      <c r="BZ289" s="2"/>
      <c r="CA289" s="2" t="s">
        <v>103</v>
      </c>
      <c r="CB289" s="2"/>
      <c r="CC289" s="2" t="s">
        <v>322</v>
      </c>
      <c r="CD289" s="2">
        <v>6220</v>
      </c>
      <c r="CE289" s="2" t="s">
        <v>89</v>
      </c>
      <c r="CF289" s="5">
        <v>42965</v>
      </c>
      <c r="CG289" s="2"/>
      <c r="CH289" s="2"/>
      <c r="CI289" s="2">
        <v>1</v>
      </c>
      <c r="CJ289" s="2">
        <v>1</v>
      </c>
      <c r="CK289" s="2">
        <v>21</v>
      </c>
      <c r="CL289" s="2" t="s">
        <v>86</v>
      </c>
      <c r="CM289" s="2"/>
    </row>
    <row r="290" spans="1:91">
      <c r="A290" s="2" t="s">
        <v>71</v>
      </c>
      <c r="B290" s="2" t="s">
        <v>72</v>
      </c>
      <c r="C290" s="2" t="s">
        <v>73</v>
      </c>
      <c r="D290" s="2"/>
      <c r="E290" s="2" t="str">
        <f>"FES1162569417"</f>
        <v>FES1162569417</v>
      </c>
      <c r="F290" s="3">
        <v>42963</v>
      </c>
      <c r="G290" s="2">
        <v>201802</v>
      </c>
      <c r="H290" s="2" t="s">
        <v>74</v>
      </c>
      <c r="I290" s="2" t="s">
        <v>75</v>
      </c>
      <c r="J290" s="2" t="s">
        <v>76</v>
      </c>
      <c r="K290" s="2" t="s">
        <v>77</v>
      </c>
      <c r="L290" s="2" t="s">
        <v>105</v>
      </c>
      <c r="M290" s="2" t="s">
        <v>106</v>
      </c>
      <c r="N290" s="2" t="s">
        <v>782</v>
      </c>
      <c r="O290" s="2" t="s">
        <v>100</v>
      </c>
      <c r="P290" s="2" t="str">
        <f>"2170582489                    "</f>
        <v xml:space="preserve">2170582489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4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41.44</v>
      </c>
      <c r="BM290" s="2">
        <v>5.8</v>
      </c>
      <c r="BN290" s="2">
        <v>47.24</v>
      </c>
      <c r="BO290" s="2">
        <v>47.24</v>
      </c>
      <c r="BP290" s="2"/>
      <c r="BQ290" s="2" t="s">
        <v>108</v>
      </c>
      <c r="BR290" s="2" t="s">
        <v>84</v>
      </c>
      <c r="BS290" s="3">
        <v>42964</v>
      </c>
      <c r="BT290" s="4">
        <v>0.51250000000000007</v>
      </c>
      <c r="BU290" s="2" t="s">
        <v>783</v>
      </c>
      <c r="BV290" s="2" t="s">
        <v>86</v>
      </c>
      <c r="BW290" s="2" t="s">
        <v>110</v>
      </c>
      <c r="BX290" s="2" t="s">
        <v>111</v>
      </c>
      <c r="BY290" s="2">
        <v>1200</v>
      </c>
      <c r="BZ290" s="2"/>
      <c r="CA290" s="2" t="s">
        <v>784</v>
      </c>
      <c r="CB290" s="2"/>
      <c r="CC290" s="2" t="s">
        <v>106</v>
      </c>
      <c r="CD290" s="2">
        <v>7802</v>
      </c>
      <c r="CE290" s="2" t="s">
        <v>104</v>
      </c>
      <c r="CF290" s="5">
        <v>42965</v>
      </c>
      <c r="CG290" s="2"/>
      <c r="CH290" s="2"/>
      <c r="CI290" s="2">
        <v>1</v>
      </c>
      <c r="CJ290" s="2">
        <v>1</v>
      </c>
      <c r="CK290" s="2">
        <v>21</v>
      </c>
      <c r="CL290" s="2" t="s">
        <v>86</v>
      </c>
      <c r="CM290" s="2"/>
    </row>
    <row r="291" spans="1:91">
      <c r="A291" s="2" t="s">
        <v>71</v>
      </c>
      <c r="B291" s="2" t="s">
        <v>72</v>
      </c>
      <c r="C291" s="2" t="s">
        <v>73</v>
      </c>
      <c r="D291" s="2"/>
      <c r="E291" s="2" t="str">
        <f>"FES1162569477"</f>
        <v>FES1162569477</v>
      </c>
      <c r="F291" s="3">
        <v>42963</v>
      </c>
      <c r="G291" s="2">
        <v>201802</v>
      </c>
      <c r="H291" s="2" t="s">
        <v>74</v>
      </c>
      <c r="I291" s="2" t="s">
        <v>75</v>
      </c>
      <c r="J291" s="2" t="s">
        <v>76</v>
      </c>
      <c r="K291" s="2" t="s">
        <v>77</v>
      </c>
      <c r="L291" s="2" t="s">
        <v>206</v>
      </c>
      <c r="M291" s="2" t="s">
        <v>207</v>
      </c>
      <c r="N291" s="2" t="s">
        <v>650</v>
      </c>
      <c r="O291" s="2" t="s">
        <v>100</v>
      </c>
      <c r="P291" s="2" t="str">
        <f>"2170581938                    "</f>
        <v xml:space="preserve">2170581938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5.63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0.7</v>
      </c>
      <c r="BJ291" s="2">
        <v>1.2</v>
      </c>
      <c r="BK291" s="2">
        <v>1.5</v>
      </c>
      <c r="BL291" s="2">
        <v>58.28</v>
      </c>
      <c r="BM291" s="2">
        <v>8.16</v>
      </c>
      <c r="BN291" s="2">
        <v>66.44</v>
      </c>
      <c r="BO291" s="2">
        <v>66.44</v>
      </c>
      <c r="BP291" s="2"/>
      <c r="BQ291" s="2" t="s">
        <v>209</v>
      </c>
      <c r="BR291" s="2" t="s">
        <v>84</v>
      </c>
      <c r="BS291" s="3">
        <v>42964</v>
      </c>
      <c r="BT291" s="4">
        <v>0.53333333333333333</v>
      </c>
      <c r="BU291" s="2" t="s">
        <v>651</v>
      </c>
      <c r="BV291" s="2" t="s">
        <v>95</v>
      </c>
      <c r="BW291" s="2"/>
      <c r="BX291" s="2"/>
      <c r="BY291" s="2">
        <v>6160.56</v>
      </c>
      <c r="BZ291" s="2"/>
      <c r="CA291" s="2" t="s">
        <v>640</v>
      </c>
      <c r="CB291" s="2"/>
      <c r="CC291" s="2" t="s">
        <v>207</v>
      </c>
      <c r="CD291" s="2">
        <v>250</v>
      </c>
      <c r="CE291" s="2" t="s">
        <v>89</v>
      </c>
      <c r="CF291" s="5">
        <v>42968</v>
      </c>
      <c r="CG291" s="2"/>
      <c r="CH291" s="2"/>
      <c r="CI291" s="2">
        <v>1</v>
      </c>
      <c r="CJ291" s="2">
        <v>1</v>
      </c>
      <c r="CK291" s="2">
        <v>24</v>
      </c>
      <c r="CL291" s="2" t="s">
        <v>86</v>
      </c>
      <c r="CM291" s="2"/>
    </row>
    <row r="292" spans="1:91">
      <c r="A292" s="2" t="s">
        <v>71</v>
      </c>
      <c r="B292" s="2" t="s">
        <v>72</v>
      </c>
      <c r="C292" s="2" t="s">
        <v>73</v>
      </c>
      <c r="D292" s="2"/>
      <c r="E292" s="2" t="str">
        <f>"FES11625685058"</f>
        <v>FES11625685058</v>
      </c>
      <c r="F292" s="3">
        <v>42963</v>
      </c>
      <c r="G292" s="2">
        <v>201802</v>
      </c>
      <c r="H292" s="2" t="s">
        <v>74</v>
      </c>
      <c r="I292" s="2" t="s">
        <v>75</v>
      </c>
      <c r="J292" s="2" t="s">
        <v>76</v>
      </c>
      <c r="K292" s="2" t="s">
        <v>77</v>
      </c>
      <c r="L292" s="2" t="s">
        <v>144</v>
      </c>
      <c r="M292" s="2" t="s">
        <v>145</v>
      </c>
      <c r="N292" s="2" t="s">
        <v>146</v>
      </c>
      <c r="O292" s="2" t="s">
        <v>100</v>
      </c>
      <c r="P292" s="2" t="str">
        <f>"2170585058                    "</f>
        <v xml:space="preserve">2170585058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3.13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1</v>
      </c>
      <c r="BJ292" s="2">
        <v>0.2</v>
      </c>
      <c r="BK292" s="2">
        <v>1</v>
      </c>
      <c r="BL292" s="2">
        <v>32.380000000000003</v>
      </c>
      <c r="BM292" s="2">
        <v>4.53</v>
      </c>
      <c r="BN292" s="2">
        <v>36.909999999999997</v>
      </c>
      <c r="BO292" s="2">
        <v>36.909999999999997</v>
      </c>
      <c r="BP292" s="2"/>
      <c r="BQ292" s="2" t="s">
        <v>83</v>
      </c>
      <c r="BR292" s="2" t="s">
        <v>84</v>
      </c>
      <c r="BS292" s="3">
        <v>42964</v>
      </c>
      <c r="BT292" s="4">
        <v>0.37361111111111112</v>
      </c>
      <c r="BU292" s="2" t="s">
        <v>785</v>
      </c>
      <c r="BV292" s="2" t="s">
        <v>95</v>
      </c>
      <c r="BW292" s="2"/>
      <c r="BX292" s="2"/>
      <c r="BY292" s="2">
        <v>1200</v>
      </c>
      <c r="BZ292" s="2"/>
      <c r="CA292" s="2"/>
      <c r="CB292" s="2"/>
      <c r="CC292" s="2" t="s">
        <v>145</v>
      </c>
      <c r="CD292" s="2">
        <v>2094</v>
      </c>
      <c r="CE292" s="2" t="s">
        <v>104</v>
      </c>
      <c r="CF292" s="5">
        <v>42965</v>
      </c>
      <c r="CG292" s="2"/>
      <c r="CH292" s="2"/>
      <c r="CI292" s="2">
        <v>1</v>
      </c>
      <c r="CJ292" s="2">
        <v>1</v>
      </c>
      <c r="CK292" s="2">
        <v>22</v>
      </c>
      <c r="CL292" s="2" t="s">
        <v>86</v>
      </c>
      <c r="CM292" s="2"/>
    </row>
    <row r="293" spans="1:91">
      <c r="A293" s="2" t="s">
        <v>71</v>
      </c>
      <c r="B293" s="2" t="s">
        <v>72</v>
      </c>
      <c r="C293" s="2" t="s">
        <v>73</v>
      </c>
      <c r="D293" s="2"/>
      <c r="E293" s="2" t="str">
        <f>"FES1162569430"</f>
        <v>FES1162569430</v>
      </c>
      <c r="F293" s="3">
        <v>42963</v>
      </c>
      <c r="G293" s="2">
        <v>201802</v>
      </c>
      <c r="H293" s="2" t="s">
        <v>74</v>
      </c>
      <c r="I293" s="2" t="s">
        <v>75</v>
      </c>
      <c r="J293" s="2" t="s">
        <v>76</v>
      </c>
      <c r="K293" s="2" t="s">
        <v>77</v>
      </c>
      <c r="L293" s="2" t="s">
        <v>105</v>
      </c>
      <c r="M293" s="2" t="s">
        <v>106</v>
      </c>
      <c r="N293" s="2" t="s">
        <v>107</v>
      </c>
      <c r="O293" s="2" t="s">
        <v>100</v>
      </c>
      <c r="P293" s="2" t="str">
        <f>"2170585274                    "</f>
        <v xml:space="preserve">2170585274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12.01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6</v>
      </c>
      <c r="BJ293" s="2">
        <v>2.5</v>
      </c>
      <c r="BK293" s="2">
        <v>6</v>
      </c>
      <c r="BL293" s="2">
        <v>124.33</v>
      </c>
      <c r="BM293" s="2">
        <v>17.41</v>
      </c>
      <c r="BN293" s="2">
        <v>141.74</v>
      </c>
      <c r="BO293" s="2">
        <v>141.74</v>
      </c>
      <c r="BP293" s="2"/>
      <c r="BQ293" s="2" t="s">
        <v>108</v>
      </c>
      <c r="BR293" s="2" t="s">
        <v>84</v>
      </c>
      <c r="BS293" s="3">
        <v>42964</v>
      </c>
      <c r="BT293" s="4">
        <v>0.37291666666666662</v>
      </c>
      <c r="BU293" s="2" t="s">
        <v>236</v>
      </c>
      <c r="BV293" s="2" t="s">
        <v>95</v>
      </c>
      <c r="BW293" s="2"/>
      <c r="BX293" s="2"/>
      <c r="BY293" s="2">
        <v>12592.73</v>
      </c>
      <c r="BZ293" s="2"/>
      <c r="CA293" s="2" t="s">
        <v>112</v>
      </c>
      <c r="CB293" s="2"/>
      <c r="CC293" s="2" t="s">
        <v>106</v>
      </c>
      <c r="CD293" s="2">
        <v>7405</v>
      </c>
      <c r="CE293" s="2" t="s">
        <v>89</v>
      </c>
      <c r="CF293" s="5">
        <v>42965</v>
      </c>
      <c r="CG293" s="2"/>
      <c r="CH293" s="2"/>
      <c r="CI293" s="2">
        <v>1</v>
      </c>
      <c r="CJ293" s="2">
        <v>1</v>
      </c>
      <c r="CK293" s="2">
        <v>21</v>
      </c>
      <c r="CL293" s="2" t="s">
        <v>86</v>
      </c>
      <c r="CM293" s="2"/>
    </row>
    <row r="294" spans="1:91">
      <c r="A294" s="2" t="s">
        <v>71</v>
      </c>
      <c r="B294" s="2" t="s">
        <v>72</v>
      </c>
      <c r="C294" s="2" t="s">
        <v>73</v>
      </c>
      <c r="D294" s="2"/>
      <c r="E294" s="2" t="str">
        <f>"FES1162569286"</f>
        <v>FES1162569286</v>
      </c>
      <c r="F294" s="3">
        <v>42963</v>
      </c>
      <c r="G294" s="2">
        <v>201802</v>
      </c>
      <c r="H294" s="2" t="s">
        <v>74</v>
      </c>
      <c r="I294" s="2" t="s">
        <v>75</v>
      </c>
      <c r="J294" s="2" t="s">
        <v>76</v>
      </c>
      <c r="K294" s="2" t="s">
        <v>77</v>
      </c>
      <c r="L294" s="2" t="s">
        <v>149</v>
      </c>
      <c r="M294" s="2" t="s">
        <v>150</v>
      </c>
      <c r="N294" s="2" t="s">
        <v>786</v>
      </c>
      <c r="O294" s="2" t="s">
        <v>100</v>
      </c>
      <c r="P294" s="2" t="str">
        <f>"2170582425                    "</f>
        <v xml:space="preserve">2170582425      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4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1</v>
      </c>
      <c r="BJ294" s="2">
        <v>0.2</v>
      </c>
      <c r="BK294" s="2">
        <v>1</v>
      </c>
      <c r="BL294" s="2">
        <v>41.44</v>
      </c>
      <c r="BM294" s="2">
        <v>5.8</v>
      </c>
      <c r="BN294" s="2">
        <v>47.24</v>
      </c>
      <c r="BO294" s="2">
        <v>47.24</v>
      </c>
      <c r="BP294" s="2"/>
      <c r="BQ294" s="2" t="s">
        <v>108</v>
      </c>
      <c r="BR294" s="2" t="s">
        <v>84</v>
      </c>
      <c r="BS294" s="3">
        <v>42964</v>
      </c>
      <c r="BT294" s="4">
        <v>0.37708333333333338</v>
      </c>
      <c r="BU294" s="2" t="s">
        <v>787</v>
      </c>
      <c r="BV294" s="2" t="s">
        <v>95</v>
      </c>
      <c r="BW294" s="2"/>
      <c r="BX294" s="2"/>
      <c r="BY294" s="2">
        <v>1200</v>
      </c>
      <c r="BZ294" s="2"/>
      <c r="CA294" s="2" t="s">
        <v>774</v>
      </c>
      <c r="CB294" s="2"/>
      <c r="CC294" s="2" t="s">
        <v>150</v>
      </c>
      <c r="CD294" s="2">
        <v>4051</v>
      </c>
      <c r="CE294" s="2" t="s">
        <v>104</v>
      </c>
      <c r="CF294" s="5">
        <v>42964</v>
      </c>
      <c r="CG294" s="2"/>
      <c r="CH294" s="2"/>
      <c r="CI294" s="2">
        <v>1</v>
      </c>
      <c r="CJ294" s="2">
        <v>1</v>
      </c>
      <c r="CK294" s="2">
        <v>21</v>
      </c>
      <c r="CL294" s="2" t="s">
        <v>86</v>
      </c>
      <c r="CM294" s="2"/>
    </row>
    <row r="295" spans="1:91">
      <c r="A295" s="2" t="s">
        <v>71</v>
      </c>
      <c r="B295" s="2" t="s">
        <v>72</v>
      </c>
      <c r="C295" s="2" t="s">
        <v>73</v>
      </c>
      <c r="D295" s="2"/>
      <c r="E295" s="2" t="str">
        <f>"FES1162569463"</f>
        <v>FES1162569463</v>
      </c>
      <c r="F295" s="3">
        <v>42963</v>
      </c>
      <c r="G295" s="2">
        <v>201802</v>
      </c>
      <c r="H295" s="2" t="s">
        <v>74</v>
      </c>
      <c r="I295" s="2" t="s">
        <v>75</v>
      </c>
      <c r="J295" s="2" t="s">
        <v>76</v>
      </c>
      <c r="K295" s="2" t="s">
        <v>77</v>
      </c>
      <c r="L295" s="2" t="s">
        <v>632</v>
      </c>
      <c r="M295" s="2" t="s">
        <v>269</v>
      </c>
      <c r="N295" s="2" t="s">
        <v>270</v>
      </c>
      <c r="O295" s="2" t="s">
        <v>81</v>
      </c>
      <c r="P295" s="2" t="str">
        <f>"2170585319                    "</f>
        <v xml:space="preserve">2170585319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10.5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20</v>
      </c>
      <c r="BJ295" s="2">
        <v>31.6</v>
      </c>
      <c r="BK295" s="2">
        <v>32</v>
      </c>
      <c r="BL295" s="2">
        <v>113.68</v>
      </c>
      <c r="BM295" s="2">
        <v>15.92</v>
      </c>
      <c r="BN295" s="2">
        <v>129.6</v>
      </c>
      <c r="BO295" s="2">
        <v>129.6</v>
      </c>
      <c r="BP295" s="2"/>
      <c r="BQ295" s="2" t="s">
        <v>83</v>
      </c>
      <c r="BR295" s="2" t="s">
        <v>84</v>
      </c>
      <c r="BS295" s="3">
        <v>42964</v>
      </c>
      <c r="BT295" s="4">
        <v>0.41666666666666669</v>
      </c>
      <c r="BU295" s="2" t="s">
        <v>788</v>
      </c>
      <c r="BV295" s="2"/>
      <c r="BW295" s="2"/>
      <c r="BX295" s="2"/>
      <c r="BY295" s="2">
        <v>157920</v>
      </c>
      <c r="BZ295" s="2"/>
      <c r="CA295" s="2"/>
      <c r="CB295" s="2"/>
      <c r="CC295" s="2" t="s">
        <v>269</v>
      </c>
      <c r="CD295" s="2">
        <v>200</v>
      </c>
      <c r="CE295" s="2" t="s">
        <v>89</v>
      </c>
      <c r="CF295" s="5">
        <v>42965</v>
      </c>
      <c r="CG295" s="2"/>
      <c r="CH295" s="2"/>
      <c r="CI295" s="2">
        <v>0</v>
      </c>
      <c r="CJ295" s="2">
        <v>0</v>
      </c>
      <c r="CK295" s="2" t="s">
        <v>143</v>
      </c>
      <c r="CL295" s="2" t="s">
        <v>86</v>
      </c>
      <c r="CM295" s="2"/>
    </row>
    <row r="296" spans="1:91">
      <c r="A296" s="2" t="s">
        <v>71</v>
      </c>
      <c r="B296" s="2" t="s">
        <v>72</v>
      </c>
      <c r="C296" s="2" t="s">
        <v>73</v>
      </c>
      <c r="D296" s="2"/>
      <c r="E296" s="2" t="str">
        <f>"FES1162569203"</f>
        <v>FES1162569203</v>
      </c>
      <c r="F296" s="3">
        <v>42963</v>
      </c>
      <c r="G296" s="2">
        <v>201802</v>
      </c>
      <c r="H296" s="2" t="s">
        <v>74</v>
      </c>
      <c r="I296" s="2" t="s">
        <v>75</v>
      </c>
      <c r="J296" s="2" t="s">
        <v>76</v>
      </c>
      <c r="K296" s="2" t="s">
        <v>77</v>
      </c>
      <c r="L296" s="2" t="s">
        <v>789</v>
      </c>
      <c r="M296" s="2" t="s">
        <v>790</v>
      </c>
      <c r="N296" s="2" t="s">
        <v>791</v>
      </c>
      <c r="O296" s="2" t="s">
        <v>81</v>
      </c>
      <c r="P296" s="2" t="str">
        <f>"2170579211                    "</f>
        <v xml:space="preserve">2170579211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8.83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3</v>
      </c>
      <c r="BI296" s="2">
        <v>32</v>
      </c>
      <c r="BJ296" s="2">
        <v>11.4</v>
      </c>
      <c r="BK296" s="2">
        <v>32</v>
      </c>
      <c r="BL296" s="2">
        <v>96.4</v>
      </c>
      <c r="BM296" s="2">
        <v>13.5</v>
      </c>
      <c r="BN296" s="2">
        <v>109.9</v>
      </c>
      <c r="BO296" s="2">
        <v>109.9</v>
      </c>
      <c r="BP296" s="2"/>
      <c r="BQ296" s="2" t="s">
        <v>108</v>
      </c>
      <c r="BR296" s="2" t="s">
        <v>84</v>
      </c>
      <c r="BS296" s="3">
        <v>42964</v>
      </c>
      <c r="BT296" s="4">
        <v>0.41666666666666669</v>
      </c>
      <c r="BU296" s="2" t="s">
        <v>792</v>
      </c>
      <c r="BV296" s="2" t="s">
        <v>95</v>
      </c>
      <c r="BW296" s="2"/>
      <c r="BX296" s="2"/>
      <c r="BY296" s="2">
        <v>56935.69</v>
      </c>
      <c r="BZ296" s="2"/>
      <c r="CA296" s="2"/>
      <c r="CB296" s="2"/>
      <c r="CC296" s="2" t="s">
        <v>790</v>
      </c>
      <c r="CD296" s="2">
        <v>2146</v>
      </c>
      <c r="CE296" s="2" t="s">
        <v>89</v>
      </c>
      <c r="CF296" s="5">
        <v>42965</v>
      </c>
      <c r="CG296" s="2"/>
      <c r="CH296" s="2"/>
      <c r="CI296" s="2">
        <v>1</v>
      </c>
      <c r="CJ296" s="2">
        <v>1</v>
      </c>
      <c r="CK296" s="2" t="s">
        <v>132</v>
      </c>
      <c r="CL296" s="2" t="s">
        <v>86</v>
      </c>
      <c r="CM296" s="2"/>
    </row>
    <row r="297" spans="1:91">
      <c r="A297" s="2" t="s">
        <v>71</v>
      </c>
      <c r="B297" s="2" t="s">
        <v>72</v>
      </c>
      <c r="C297" s="2" t="s">
        <v>73</v>
      </c>
      <c r="D297" s="2"/>
      <c r="E297" s="2" t="str">
        <f>"FES1162569479"</f>
        <v>FES1162569479</v>
      </c>
      <c r="F297" s="3">
        <v>42963</v>
      </c>
      <c r="G297" s="2">
        <v>201802</v>
      </c>
      <c r="H297" s="2" t="s">
        <v>74</v>
      </c>
      <c r="I297" s="2" t="s">
        <v>75</v>
      </c>
      <c r="J297" s="2" t="s">
        <v>76</v>
      </c>
      <c r="K297" s="2" t="s">
        <v>77</v>
      </c>
      <c r="L297" s="2" t="s">
        <v>244</v>
      </c>
      <c r="M297" s="2" t="s">
        <v>245</v>
      </c>
      <c r="N297" s="2" t="s">
        <v>793</v>
      </c>
      <c r="O297" s="2" t="s">
        <v>81</v>
      </c>
      <c r="P297" s="2" t="str">
        <f>"2170583221                    "</f>
        <v xml:space="preserve">2170583221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6.38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1</v>
      </c>
      <c r="BI297" s="2">
        <v>19</v>
      </c>
      <c r="BJ297" s="2">
        <v>4.0999999999999996</v>
      </c>
      <c r="BK297" s="2">
        <v>19</v>
      </c>
      <c r="BL297" s="2">
        <v>71.069999999999993</v>
      </c>
      <c r="BM297" s="2">
        <v>9.9499999999999993</v>
      </c>
      <c r="BN297" s="2">
        <v>81.02</v>
      </c>
      <c r="BO297" s="2">
        <v>81.02</v>
      </c>
      <c r="BP297" s="2"/>
      <c r="BQ297" s="2" t="s">
        <v>83</v>
      </c>
      <c r="BR297" s="2" t="s">
        <v>84</v>
      </c>
      <c r="BS297" s="3">
        <v>42964</v>
      </c>
      <c r="BT297" s="4">
        <v>0.4458333333333333</v>
      </c>
      <c r="BU297" s="2" t="s">
        <v>794</v>
      </c>
      <c r="BV297" s="2" t="s">
        <v>95</v>
      </c>
      <c r="BW297" s="2"/>
      <c r="BX297" s="2"/>
      <c r="BY297" s="2">
        <v>20358</v>
      </c>
      <c r="BZ297" s="2"/>
      <c r="CA297" s="2" t="s">
        <v>795</v>
      </c>
      <c r="CB297" s="2"/>
      <c r="CC297" s="2" t="s">
        <v>245</v>
      </c>
      <c r="CD297" s="2">
        <v>1459</v>
      </c>
      <c r="CE297" s="2" t="s">
        <v>89</v>
      </c>
      <c r="CF297" s="5">
        <v>42965</v>
      </c>
      <c r="CG297" s="2"/>
      <c r="CH297" s="2"/>
      <c r="CI297" s="2">
        <v>1</v>
      </c>
      <c r="CJ297" s="2">
        <v>1</v>
      </c>
      <c r="CK297" s="2" t="s">
        <v>132</v>
      </c>
      <c r="CL297" s="2" t="s">
        <v>86</v>
      </c>
      <c r="CM297" s="2"/>
    </row>
    <row r="298" spans="1:91">
      <c r="A298" s="2" t="s">
        <v>71</v>
      </c>
      <c r="B298" s="2" t="s">
        <v>72</v>
      </c>
      <c r="C298" s="2" t="s">
        <v>73</v>
      </c>
      <c r="D298" s="2"/>
      <c r="E298" s="2" t="str">
        <f>"FES1162569168"</f>
        <v>FES1162569168</v>
      </c>
      <c r="F298" s="3">
        <v>42963</v>
      </c>
      <c r="G298" s="2">
        <v>201802</v>
      </c>
      <c r="H298" s="2" t="s">
        <v>74</v>
      </c>
      <c r="I298" s="2" t="s">
        <v>75</v>
      </c>
      <c r="J298" s="2" t="s">
        <v>76</v>
      </c>
      <c r="K298" s="2" t="s">
        <v>77</v>
      </c>
      <c r="L298" s="2" t="s">
        <v>252</v>
      </c>
      <c r="M298" s="2" t="s">
        <v>106</v>
      </c>
      <c r="N298" s="2" t="s">
        <v>644</v>
      </c>
      <c r="O298" s="2" t="s">
        <v>81</v>
      </c>
      <c r="P298" s="2" t="str">
        <f>"2170583922                    "</f>
        <v xml:space="preserve">2170583922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10.3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20.100000000000001</v>
      </c>
      <c r="BJ298" s="2">
        <v>19</v>
      </c>
      <c r="BK298" s="2">
        <v>21</v>
      </c>
      <c r="BL298" s="2">
        <v>111.62</v>
      </c>
      <c r="BM298" s="2">
        <v>15.63</v>
      </c>
      <c r="BN298" s="2">
        <v>127.25</v>
      </c>
      <c r="BO298" s="2">
        <v>127.25</v>
      </c>
      <c r="BP298" s="2"/>
      <c r="BQ298" s="2" t="s">
        <v>108</v>
      </c>
      <c r="BR298" s="2" t="s">
        <v>84</v>
      </c>
      <c r="BS298" s="3">
        <v>42965</v>
      </c>
      <c r="BT298" s="4">
        <v>0.59722222222222221</v>
      </c>
      <c r="BU298" s="2" t="s">
        <v>796</v>
      </c>
      <c r="BV298" s="2" t="s">
        <v>95</v>
      </c>
      <c r="BW298" s="2"/>
      <c r="BX298" s="2"/>
      <c r="BY298" s="2">
        <v>95192.37</v>
      </c>
      <c r="BZ298" s="2"/>
      <c r="CA298" s="2" t="s">
        <v>797</v>
      </c>
      <c r="CB298" s="2"/>
      <c r="CC298" s="2" t="s">
        <v>106</v>
      </c>
      <c r="CD298" s="2">
        <v>7441</v>
      </c>
      <c r="CE298" s="2" t="s">
        <v>135</v>
      </c>
      <c r="CF298" s="5">
        <v>42968</v>
      </c>
      <c r="CG298" s="2"/>
      <c r="CH298" s="2"/>
      <c r="CI298" s="2">
        <v>2</v>
      </c>
      <c r="CJ298" s="2">
        <v>2</v>
      </c>
      <c r="CK298" s="2" t="s">
        <v>136</v>
      </c>
      <c r="CL298" s="2" t="s">
        <v>86</v>
      </c>
      <c r="CM298" s="2"/>
    </row>
    <row r="299" spans="1:91">
      <c r="A299" s="2" t="s">
        <v>71</v>
      </c>
      <c r="B299" s="2" t="s">
        <v>72</v>
      </c>
      <c r="C299" s="2" t="s">
        <v>73</v>
      </c>
      <c r="D299" s="2"/>
      <c r="E299" s="2" t="str">
        <f>"FES1162569406"</f>
        <v>FES1162569406</v>
      </c>
      <c r="F299" s="3">
        <v>42963</v>
      </c>
      <c r="G299" s="2">
        <v>201802</v>
      </c>
      <c r="H299" s="2" t="s">
        <v>74</v>
      </c>
      <c r="I299" s="2" t="s">
        <v>75</v>
      </c>
      <c r="J299" s="2" t="s">
        <v>76</v>
      </c>
      <c r="K299" s="2" t="s">
        <v>77</v>
      </c>
      <c r="L299" s="2" t="s">
        <v>97</v>
      </c>
      <c r="M299" s="2" t="s">
        <v>98</v>
      </c>
      <c r="N299" s="2" t="s">
        <v>119</v>
      </c>
      <c r="O299" s="2" t="s">
        <v>81</v>
      </c>
      <c r="P299" s="2" t="str">
        <f>"2170585255                    "</f>
        <v xml:space="preserve">2170585255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13.1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2</v>
      </c>
      <c r="BI299" s="2">
        <v>29</v>
      </c>
      <c r="BJ299" s="2">
        <v>10.3</v>
      </c>
      <c r="BK299" s="2">
        <v>29</v>
      </c>
      <c r="BL299" s="2">
        <v>140.66</v>
      </c>
      <c r="BM299" s="2">
        <v>19.690000000000001</v>
      </c>
      <c r="BN299" s="2">
        <v>160.35</v>
      </c>
      <c r="BO299" s="2">
        <v>160.35</v>
      </c>
      <c r="BP299" s="2"/>
      <c r="BQ299" s="2" t="s">
        <v>108</v>
      </c>
      <c r="BR299" s="2" t="s">
        <v>84</v>
      </c>
      <c r="BS299" s="3">
        <v>42965</v>
      </c>
      <c r="BT299" s="4">
        <v>0.3444444444444445</v>
      </c>
      <c r="BU299" s="2" t="s">
        <v>798</v>
      </c>
      <c r="BV299" s="2" t="s">
        <v>95</v>
      </c>
      <c r="BW299" s="2"/>
      <c r="BX299" s="2"/>
      <c r="BY299" s="2">
        <v>51722.71</v>
      </c>
      <c r="BZ299" s="2"/>
      <c r="CA299" s="2" t="s">
        <v>213</v>
      </c>
      <c r="CB299" s="2"/>
      <c r="CC299" s="2" t="s">
        <v>98</v>
      </c>
      <c r="CD299" s="2">
        <v>6001</v>
      </c>
      <c r="CE299" s="2" t="s">
        <v>89</v>
      </c>
      <c r="CF299" s="5">
        <v>42968</v>
      </c>
      <c r="CG299" s="2"/>
      <c r="CH299" s="2"/>
      <c r="CI299" s="2">
        <v>2</v>
      </c>
      <c r="CJ299" s="2">
        <v>2</v>
      </c>
      <c r="CK299" s="2" t="s">
        <v>136</v>
      </c>
      <c r="CL299" s="2" t="s">
        <v>86</v>
      </c>
      <c r="CM299" s="2"/>
    </row>
    <row r="300" spans="1:91">
      <c r="A300" s="2" t="s">
        <v>71</v>
      </c>
      <c r="B300" s="2" t="s">
        <v>72</v>
      </c>
      <c r="C300" s="2" t="s">
        <v>73</v>
      </c>
      <c r="D300" s="2"/>
      <c r="E300" s="2" t="str">
        <f>"080001710599"</f>
        <v>080001710599</v>
      </c>
      <c r="F300" s="3">
        <v>42963</v>
      </c>
      <c r="G300" s="2">
        <v>201802</v>
      </c>
      <c r="H300" s="2" t="s">
        <v>174</v>
      </c>
      <c r="I300" s="2" t="s">
        <v>175</v>
      </c>
      <c r="J300" s="2" t="s">
        <v>799</v>
      </c>
      <c r="K300" s="2" t="s">
        <v>77</v>
      </c>
      <c r="L300" s="2" t="s">
        <v>74</v>
      </c>
      <c r="M300" s="2" t="s">
        <v>75</v>
      </c>
      <c r="N300" s="2" t="s">
        <v>118</v>
      </c>
      <c r="O300" s="2" t="s">
        <v>81</v>
      </c>
      <c r="P300" s="2" t="str">
        <f>"                              "</f>
        <v xml:space="preserve">          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7.5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2</v>
      </c>
      <c r="BJ300" s="2">
        <v>3.1</v>
      </c>
      <c r="BK300" s="2">
        <v>4</v>
      </c>
      <c r="BL300" s="2">
        <v>82.7</v>
      </c>
      <c r="BM300" s="2">
        <v>11.58</v>
      </c>
      <c r="BN300" s="2">
        <v>94.28</v>
      </c>
      <c r="BO300" s="2">
        <v>94.28</v>
      </c>
      <c r="BP300" s="2" t="s">
        <v>800</v>
      </c>
      <c r="BQ300" s="2" t="s">
        <v>241</v>
      </c>
      <c r="BR300" s="2" t="s">
        <v>801</v>
      </c>
      <c r="BS300" s="3">
        <v>42965</v>
      </c>
      <c r="BT300" s="4">
        <v>0.41875000000000001</v>
      </c>
      <c r="BU300" s="2" t="s">
        <v>802</v>
      </c>
      <c r="BV300" s="2" t="s">
        <v>95</v>
      </c>
      <c r="BW300" s="2"/>
      <c r="BX300" s="2"/>
      <c r="BY300" s="2">
        <v>15600</v>
      </c>
      <c r="BZ300" s="2"/>
      <c r="CA300" s="2" t="s">
        <v>158</v>
      </c>
      <c r="CB300" s="2"/>
      <c r="CC300" s="2" t="s">
        <v>75</v>
      </c>
      <c r="CD300" s="2">
        <v>1600</v>
      </c>
      <c r="CE300" s="2" t="s">
        <v>89</v>
      </c>
      <c r="CF300" s="5">
        <v>42968</v>
      </c>
      <c r="CG300" s="2"/>
      <c r="CH300" s="2"/>
      <c r="CI300" s="2">
        <v>2</v>
      </c>
      <c r="CJ300" s="2">
        <v>2</v>
      </c>
      <c r="CK300" s="2" t="s">
        <v>180</v>
      </c>
      <c r="CL300" s="2" t="s">
        <v>86</v>
      </c>
      <c r="CM300" s="2"/>
    </row>
    <row r="301" spans="1:91">
      <c r="A301" s="2" t="s">
        <v>71</v>
      </c>
      <c r="B301" s="2" t="s">
        <v>72</v>
      </c>
      <c r="C301" s="2" t="s">
        <v>73</v>
      </c>
      <c r="D301" s="2"/>
      <c r="E301" s="2" t="str">
        <f>"FES1162569291"</f>
        <v>FES1162569291</v>
      </c>
      <c r="F301" s="3">
        <v>42963</v>
      </c>
      <c r="G301" s="2">
        <v>201802</v>
      </c>
      <c r="H301" s="2" t="s">
        <v>74</v>
      </c>
      <c r="I301" s="2" t="s">
        <v>75</v>
      </c>
      <c r="J301" s="2" t="s">
        <v>76</v>
      </c>
      <c r="K301" s="2" t="s">
        <v>77</v>
      </c>
      <c r="L301" s="2" t="s">
        <v>362</v>
      </c>
      <c r="M301" s="2" t="s">
        <v>363</v>
      </c>
      <c r="N301" s="2" t="s">
        <v>377</v>
      </c>
      <c r="O301" s="2" t="s">
        <v>81</v>
      </c>
      <c r="P301" s="2" t="str">
        <f>"2170582604                    "</f>
        <v xml:space="preserve">2170582604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13.98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2</v>
      </c>
      <c r="BI301" s="2">
        <v>32.9</v>
      </c>
      <c r="BJ301" s="2">
        <v>21.2</v>
      </c>
      <c r="BK301" s="2">
        <v>33</v>
      </c>
      <c r="BL301" s="2">
        <v>149.75</v>
      </c>
      <c r="BM301" s="2">
        <v>20.97</v>
      </c>
      <c r="BN301" s="2">
        <v>170.72</v>
      </c>
      <c r="BO301" s="2">
        <v>170.72</v>
      </c>
      <c r="BP301" s="2"/>
      <c r="BQ301" s="2" t="s">
        <v>83</v>
      </c>
      <c r="BR301" s="2" t="s">
        <v>84</v>
      </c>
      <c r="BS301" s="3">
        <v>42964</v>
      </c>
      <c r="BT301" s="4">
        <v>0.375</v>
      </c>
      <c r="BU301" s="2" t="s">
        <v>378</v>
      </c>
      <c r="BV301" s="2" t="s">
        <v>95</v>
      </c>
      <c r="BW301" s="2"/>
      <c r="BX301" s="2"/>
      <c r="BY301" s="2">
        <v>106198.65</v>
      </c>
      <c r="BZ301" s="2"/>
      <c r="CA301" s="2" t="s">
        <v>379</v>
      </c>
      <c r="CB301" s="2"/>
      <c r="CC301" s="2" t="s">
        <v>363</v>
      </c>
      <c r="CD301" s="2">
        <v>3201</v>
      </c>
      <c r="CE301" s="2" t="s">
        <v>89</v>
      </c>
      <c r="CF301" s="5">
        <v>42968</v>
      </c>
      <c r="CG301" s="2"/>
      <c r="CH301" s="2"/>
      <c r="CI301" s="2">
        <v>1</v>
      </c>
      <c r="CJ301" s="2">
        <v>1</v>
      </c>
      <c r="CK301" s="2" t="s">
        <v>624</v>
      </c>
      <c r="CL301" s="2" t="s">
        <v>86</v>
      </c>
      <c r="CM301" s="2"/>
    </row>
    <row r="302" spans="1:91">
      <c r="A302" s="2" t="s">
        <v>71</v>
      </c>
      <c r="B302" s="2" t="s">
        <v>72</v>
      </c>
      <c r="C302" s="2" t="s">
        <v>73</v>
      </c>
      <c r="D302" s="2"/>
      <c r="E302" s="2" t="str">
        <f>"FES1162569357"</f>
        <v>FES1162569357</v>
      </c>
      <c r="F302" s="3">
        <v>42963</v>
      </c>
      <c r="G302" s="2">
        <v>201802</v>
      </c>
      <c r="H302" s="2" t="s">
        <v>74</v>
      </c>
      <c r="I302" s="2" t="s">
        <v>75</v>
      </c>
      <c r="J302" s="2" t="s">
        <v>76</v>
      </c>
      <c r="K302" s="2" t="s">
        <v>77</v>
      </c>
      <c r="L302" s="2" t="s">
        <v>97</v>
      </c>
      <c r="M302" s="2" t="s">
        <v>98</v>
      </c>
      <c r="N302" s="2" t="s">
        <v>500</v>
      </c>
      <c r="O302" s="2" t="s">
        <v>81</v>
      </c>
      <c r="P302" s="2" t="str">
        <f>"2170582376                    "</f>
        <v xml:space="preserve">2170582376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13.45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29.2</v>
      </c>
      <c r="BJ302" s="2">
        <v>17.7</v>
      </c>
      <c r="BK302" s="2">
        <v>30</v>
      </c>
      <c r="BL302" s="2">
        <v>144.29</v>
      </c>
      <c r="BM302" s="2">
        <v>20.2</v>
      </c>
      <c r="BN302" s="2">
        <v>164.49</v>
      </c>
      <c r="BO302" s="2">
        <v>164.49</v>
      </c>
      <c r="BP302" s="2"/>
      <c r="BQ302" s="2" t="s">
        <v>108</v>
      </c>
      <c r="BR302" s="2" t="s">
        <v>84</v>
      </c>
      <c r="BS302" s="3">
        <v>42964</v>
      </c>
      <c r="BT302" s="4">
        <v>0.3611111111111111</v>
      </c>
      <c r="BU302" s="2" t="s">
        <v>803</v>
      </c>
      <c r="BV302" s="2" t="s">
        <v>95</v>
      </c>
      <c r="BW302" s="2"/>
      <c r="BX302" s="2"/>
      <c r="BY302" s="2">
        <v>88738.43</v>
      </c>
      <c r="BZ302" s="2"/>
      <c r="CA302" s="2" t="s">
        <v>804</v>
      </c>
      <c r="CB302" s="2"/>
      <c r="CC302" s="2" t="s">
        <v>98</v>
      </c>
      <c r="CD302" s="2">
        <v>6001</v>
      </c>
      <c r="CE302" s="2" t="s">
        <v>89</v>
      </c>
      <c r="CF302" s="5">
        <v>42965</v>
      </c>
      <c r="CG302" s="2"/>
      <c r="CH302" s="2"/>
      <c r="CI302" s="2">
        <v>2</v>
      </c>
      <c r="CJ302" s="2">
        <v>1</v>
      </c>
      <c r="CK302" s="2" t="s">
        <v>136</v>
      </c>
      <c r="CL302" s="2" t="s">
        <v>86</v>
      </c>
      <c r="CM302" s="2"/>
    </row>
    <row r="303" spans="1:91">
      <c r="A303" s="2" t="s">
        <v>71</v>
      </c>
      <c r="B303" s="2" t="s">
        <v>72</v>
      </c>
      <c r="C303" s="2" t="s">
        <v>73</v>
      </c>
      <c r="D303" s="2"/>
      <c r="E303" s="2" t="str">
        <f>"FES1162569282"</f>
        <v>FES1162569282</v>
      </c>
      <c r="F303" s="3">
        <v>42963</v>
      </c>
      <c r="G303" s="2">
        <v>201802</v>
      </c>
      <c r="H303" s="2" t="s">
        <v>74</v>
      </c>
      <c r="I303" s="2" t="s">
        <v>75</v>
      </c>
      <c r="J303" s="2" t="s">
        <v>76</v>
      </c>
      <c r="K303" s="2" t="s">
        <v>77</v>
      </c>
      <c r="L303" s="2" t="s">
        <v>362</v>
      </c>
      <c r="M303" s="2" t="s">
        <v>363</v>
      </c>
      <c r="N303" s="2" t="s">
        <v>683</v>
      </c>
      <c r="O303" s="2" t="s">
        <v>81</v>
      </c>
      <c r="P303" s="2" t="str">
        <f>"2170581346                    "</f>
        <v xml:space="preserve">2170581346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11.05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23.2</v>
      </c>
      <c r="BJ303" s="2">
        <v>9.1999999999999993</v>
      </c>
      <c r="BK303" s="2">
        <v>24</v>
      </c>
      <c r="BL303" s="2">
        <v>119.46</v>
      </c>
      <c r="BM303" s="2">
        <v>16.72</v>
      </c>
      <c r="BN303" s="2">
        <v>136.18</v>
      </c>
      <c r="BO303" s="2">
        <v>136.18</v>
      </c>
      <c r="BP303" s="2"/>
      <c r="BQ303" s="2" t="s">
        <v>108</v>
      </c>
      <c r="BR303" s="2" t="s">
        <v>84</v>
      </c>
      <c r="BS303" s="3">
        <v>42964</v>
      </c>
      <c r="BT303" s="4">
        <v>0.50347222222222221</v>
      </c>
      <c r="BU303" s="2" t="s">
        <v>684</v>
      </c>
      <c r="BV303" s="2" t="s">
        <v>95</v>
      </c>
      <c r="BW303" s="2"/>
      <c r="BX303" s="2"/>
      <c r="BY303" s="2">
        <v>45783.64</v>
      </c>
      <c r="BZ303" s="2"/>
      <c r="CA303" s="2" t="s">
        <v>685</v>
      </c>
      <c r="CB303" s="2"/>
      <c r="CC303" s="2" t="s">
        <v>363</v>
      </c>
      <c r="CD303" s="2">
        <v>3201</v>
      </c>
      <c r="CE303" s="2" t="s">
        <v>89</v>
      </c>
      <c r="CF303" s="5">
        <v>42965</v>
      </c>
      <c r="CG303" s="2"/>
      <c r="CH303" s="2"/>
      <c r="CI303" s="2">
        <v>1</v>
      </c>
      <c r="CJ303" s="2">
        <v>1</v>
      </c>
      <c r="CK303" s="2" t="s">
        <v>624</v>
      </c>
      <c r="CL303" s="2" t="s">
        <v>86</v>
      </c>
      <c r="CM303" s="2"/>
    </row>
    <row r="304" spans="1:91">
      <c r="A304" s="2" t="s">
        <v>71</v>
      </c>
      <c r="B304" s="2" t="s">
        <v>72</v>
      </c>
      <c r="C304" s="2" t="s">
        <v>73</v>
      </c>
      <c r="D304" s="2"/>
      <c r="E304" s="2" t="str">
        <f>"FES1162569141"</f>
        <v>FES1162569141</v>
      </c>
      <c r="F304" s="3">
        <v>42963</v>
      </c>
      <c r="G304" s="2">
        <v>201802</v>
      </c>
      <c r="H304" s="2" t="s">
        <v>74</v>
      </c>
      <c r="I304" s="2" t="s">
        <v>75</v>
      </c>
      <c r="J304" s="2" t="s">
        <v>76</v>
      </c>
      <c r="K304" s="2" t="s">
        <v>77</v>
      </c>
      <c r="L304" s="2" t="s">
        <v>362</v>
      </c>
      <c r="M304" s="2" t="s">
        <v>363</v>
      </c>
      <c r="N304" s="2" t="s">
        <v>683</v>
      </c>
      <c r="O304" s="2" t="s">
        <v>81</v>
      </c>
      <c r="P304" s="2" t="str">
        <f>"2170581346                    "</f>
        <v xml:space="preserve">2170581346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17.55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43.5</v>
      </c>
      <c r="BJ304" s="2">
        <v>9.1</v>
      </c>
      <c r="BK304" s="2">
        <v>44</v>
      </c>
      <c r="BL304" s="2">
        <v>186.76</v>
      </c>
      <c r="BM304" s="2">
        <v>26.15</v>
      </c>
      <c r="BN304" s="2">
        <v>212.91</v>
      </c>
      <c r="BO304" s="2">
        <v>212.91</v>
      </c>
      <c r="BP304" s="2"/>
      <c r="BQ304" s="2" t="s">
        <v>108</v>
      </c>
      <c r="BR304" s="2" t="s">
        <v>84</v>
      </c>
      <c r="BS304" s="3">
        <v>42964</v>
      </c>
      <c r="BT304" s="4">
        <v>0.5</v>
      </c>
      <c r="BU304" s="2" t="s">
        <v>805</v>
      </c>
      <c r="BV304" s="2" t="s">
        <v>95</v>
      </c>
      <c r="BW304" s="2"/>
      <c r="BX304" s="2"/>
      <c r="BY304" s="2">
        <v>45665.2</v>
      </c>
      <c r="BZ304" s="2"/>
      <c r="CA304" s="2" t="s">
        <v>367</v>
      </c>
      <c r="CB304" s="2"/>
      <c r="CC304" s="2" t="s">
        <v>363</v>
      </c>
      <c r="CD304" s="2">
        <v>3201</v>
      </c>
      <c r="CE304" s="2" t="s">
        <v>89</v>
      </c>
      <c r="CF304" s="5">
        <v>42965</v>
      </c>
      <c r="CG304" s="2"/>
      <c r="CH304" s="2"/>
      <c r="CI304" s="2">
        <v>1</v>
      </c>
      <c r="CJ304" s="2">
        <v>1</v>
      </c>
      <c r="CK304" s="2" t="s">
        <v>624</v>
      </c>
      <c r="CL304" s="2" t="s">
        <v>86</v>
      </c>
      <c r="CM304" s="2"/>
    </row>
    <row r="305" spans="1:91">
      <c r="A305" s="2" t="s">
        <v>71</v>
      </c>
      <c r="B305" s="2" t="s">
        <v>72</v>
      </c>
      <c r="C305" s="2" t="s">
        <v>73</v>
      </c>
      <c r="D305" s="2"/>
      <c r="E305" s="2" t="str">
        <f>"FES1162569336"</f>
        <v>FES1162569336</v>
      </c>
      <c r="F305" s="3">
        <v>42963</v>
      </c>
      <c r="G305" s="2">
        <v>201802</v>
      </c>
      <c r="H305" s="2" t="s">
        <v>74</v>
      </c>
      <c r="I305" s="2" t="s">
        <v>75</v>
      </c>
      <c r="J305" s="2" t="s">
        <v>76</v>
      </c>
      <c r="K305" s="2" t="s">
        <v>77</v>
      </c>
      <c r="L305" s="2" t="s">
        <v>97</v>
      </c>
      <c r="M305" s="2" t="s">
        <v>98</v>
      </c>
      <c r="N305" s="2" t="s">
        <v>625</v>
      </c>
      <c r="O305" s="2" t="s">
        <v>81</v>
      </c>
      <c r="P305" s="2" t="str">
        <f>"2170581745                    "</f>
        <v xml:space="preserve">2170581745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9.6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19</v>
      </c>
      <c r="BJ305" s="2">
        <v>9.1</v>
      </c>
      <c r="BK305" s="2">
        <v>19</v>
      </c>
      <c r="BL305" s="2">
        <v>104.36</v>
      </c>
      <c r="BM305" s="2">
        <v>14.61</v>
      </c>
      <c r="BN305" s="2">
        <v>118.97</v>
      </c>
      <c r="BO305" s="2">
        <v>118.97</v>
      </c>
      <c r="BP305" s="2"/>
      <c r="BQ305" s="2" t="s">
        <v>108</v>
      </c>
      <c r="BR305" s="2" t="s">
        <v>84</v>
      </c>
      <c r="BS305" s="3">
        <v>42965</v>
      </c>
      <c r="BT305" s="4">
        <v>0.375</v>
      </c>
      <c r="BU305" s="2" t="s">
        <v>626</v>
      </c>
      <c r="BV305" s="2" t="s">
        <v>95</v>
      </c>
      <c r="BW305" s="2"/>
      <c r="BX305" s="2"/>
      <c r="BY305" s="2">
        <v>45632</v>
      </c>
      <c r="BZ305" s="2"/>
      <c r="CA305" s="2" t="s">
        <v>627</v>
      </c>
      <c r="CB305" s="2"/>
      <c r="CC305" s="2" t="s">
        <v>98</v>
      </c>
      <c r="CD305" s="2">
        <v>6001</v>
      </c>
      <c r="CE305" s="2" t="s">
        <v>89</v>
      </c>
      <c r="CF305" s="5">
        <v>42968</v>
      </c>
      <c r="CG305" s="2"/>
      <c r="CH305" s="2"/>
      <c r="CI305" s="2">
        <v>2</v>
      </c>
      <c r="CJ305" s="2">
        <v>2</v>
      </c>
      <c r="CK305" s="2" t="s">
        <v>136</v>
      </c>
      <c r="CL305" s="2" t="s">
        <v>86</v>
      </c>
      <c r="CM305" s="2"/>
    </row>
    <row r="306" spans="1:91">
      <c r="A306" s="2" t="s">
        <v>71</v>
      </c>
      <c r="B306" s="2" t="s">
        <v>72</v>
      </c>
      <c r="C306" s="2" t="s">
        <v>73</v>
      </c>
      <c r="D306" s="2"/>
      <c r="E306" s="2" t="str">
        <f>"FES1162569487"</f>
        <v>FES1162569487</v>
      </c>
      <c r="F306" s="3">
        <v>42963</v>
      </c>
      <c r="G306" s="2">
        <v>201802</v>
      </c>
      <c r="H306" s="2" t="s">
        <v>74</v>
      </c>
      <c r="I306" s="2" t="s">
        <v>75</v>
      </c>
      <c r="J306" s="2" t="s">
        <v>76</v>
      </c>
      <c r="K306" s="2" t="s">
        <v>77</v>
      </c>
      <c r="L306" s="2" t="s">
        <v>806</v>
      </c>
      <c r="M306" s="2" t="s">
        <v>807</v>
      </c>
      <c r="N306" s="2" t="s">
        <v>808</v>
      </c>
      <c r="O306" s="2" t="s">
        <v>81</v>
      </c>
      <c r="P306" s="2" t="str">
        <f>"2170585339                    "</f>
        <v xml:space="preserve">2170585339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23.62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3</v>
      </c>
      <c r="BI306" s="2">
        <v>58.6</v>
      </c>
      <c r="BJ306" s="2">
        <v>26.7</v>
      </c>
      <c r="BK306" s="2">
        <v>59</v>
      </c>
      <c r="BL306" s="2">
        <v>249.58</v>
      </c>
      <c r="BM306" s="2">
        <v>34.94</v>
      </c>
      <c r="BN306" s="2">
        <v>284.52</v>
      </c>
      <c r="BO306" s="2">
        <v>284.52</v>
      </c>
      <c r="BP306" s="2"/>
      <c r="BQ306" s="2" t="s">
        <v>83</v>
      </c>
      <c r="BR306" s="2" t="s">
        <v>84</v>
      </c>
      <c r="BS306" s="3">
        <v>42964</v>
      </c>
      <c r="BT306" s="4">
        <v>0.33333333333333331</v>
      </c>
      <c r="BU306" s="2" t="s">
        <v>809</v>
      </c>
      <c r="BV306" s="2" t="s">
        <v>95</v>
      </c>
      <c r="BW306" s="2"/>
      <c r="BX306" s="2"/>
      <c r="BY306" s="2">
        <v>133580</v>
      </c>
      <c r="BZ306" s="2"/>
      <c r="CA306" s="2" t="s">
        <v>810</v>
      </c>
      <c r="CB306" s="2"/>
      <c r="CC306" s="2" t="s">
        <v>807</v>
      </c>
      <c r="CD306" s="2">
        <v>2410</v>
      </c>
      <c r="CE306" s="2" t="s">
        <v>89</v>
      </c>
      <c r="CF306" s="5">
        <v>42965</v>
      </c>
      <c r="CG306" s="2"/>
      <c r="CH306" s="2"/>
      <c r="CI306" s="2">
        <v>1</v>
      </c>
      <c r="CJ306" s="2">
        <v>1</v>
      </c>
      <c r="CK306" s="2" t="s">
        <v>136</v>
      </c>
      <c r="CL306" s="2" t="s">
        <v>86</v>
      </c>
      <c r="CM306" s="2"/>
    </row>
    <row r="307" spans="1:91">
      <c r="A307" s="2" t="s">
        <v>71</v>
      </c>
      <c r="B307" s="2" t="s">
        <v>72</v>
      </c>
      <c r="C307" s="2" t="s">
        <v>73</v>
      </c>
      <c r="D307" s="2"/>
      <c r="E307" s="2" t="str">
        <f>"080001710510"</f>
        <v>080001710510</v>
      </c>
      <c r="F307" s="3">
        <v>42963</v>
      </c>
      <c r="G307" s="2">
        <v>201802</v>
      </c>
      <c r="H307" s="2" t="s">
        <v>105</v>
      </c>
      <c r="I307" s="2" t="s">
        <v>106</v>
      </c>
      <c r="J307" s="2" t="s">
        <v>811</v>
      </c>
      <c r="K307" s="2" t="s">
        <v>77</v>
      </c>
      <c r="L307" s="2" t="s">
        <v>74</v>
      </c>
      <c r="M307" s="2" t="s">
        <v>75</v>
      </c>
      <c r="N307" s="2" t="s">
        <v>118</v>
      </c>
      <c r="O307" s="2" t="s">
        <v>81</v>
      </c>
      <c r="P307" s="2" t="str">
        <f>"ZA000659723                   "</f>
        <v xml:space="preserve">ZA000659723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8.19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0.1</v>
      </c>
      <c r="BJ307" s="2">
        <v>1.1000000000000001</v>
      </c>
      <c r="BK307" s="2">
        <v>1</v>
      </c>
      <c r="BL307" s="2">
        <v>89.83</v>
      </c>
      <c r="BM307" s="2">
        <v>12.58</v>
      </c>
      <c r="BN307" s="2">
        <v>102.41</v>
      </c>
      <c r="BO307" s="2">
        <v>102.41</v>
      </c>
      <c r="BP307" s="2" t="s">
        <v>812</v>
      </c>
      <c r="BQ307" s="2" t="s">
        <v>241</v>
      </c>
      <c r="BR307" s="2" t="s">
        <v>813</v>
      </c>
      <c r="BS307" s="3">
        <v>42965</v>
      </c>
      <c r="BT307" s="4">
        <v>0.375</v>
      </c>
      <c r="BU307" s="2" t="s">
        <v>814</v>
      </c>
      <c r="BV307" s="2" t="s">
        <v>95</v>
      </c>
      <c r="BW307" s="2"/>
      <c r="BX307" s="2"/>
      <c r="BY307" s="2">
        <v>5419.26</v>
      </c>
      <c r="BZ307" s="2"/>
      <c r="CA307" s="2"/>
      <c r="CB307" s="2"/>
      <c r="CC307" s="2" t="s">
        <v>75</v>
      </c>
      <c r="CD307" s="2">
        <v>1600</v>
      </c>
      <c r="CE307" s="2" t="s">
        <v>89</v>
      </c>
      <c r="CF307" s="5">
        <v>42968</v>
      </c>
      <c r="CG307" s="2"/>
      <c r="CH307" s="2"/>
      <c r="CI307" s="2">
        <v>2</v>
      </c>
      <c r="CJ307" s="2">
        <v>2</v>
      </c>
      <c r="CK307" s="2" t="s">
        <v>136</v>
      </c>
      <c r="CL307" s="2" t="s">
        <v>86</v>
      </c>
      <c r="CM307" s="2"/>
    </row>
    <row r="308" spans="1:91">
      <c r="A308" s="2" t="s">
        <v>71</v>
      </c>
      <c r="B308" s="2" t="s">
        <v>72</v>
      </c>
      <c r="C308" s="2" t="s">
        <v>73</v>
      </c>
      <c r="D308" s="2"/>
      <c r="E308" s="2" t="str">
        <f>"FES1162569459"</f>
        <v>FES1162569459</v>
      </c>
      <c r="F308" s="3">
        <v>42963</v>
      </c>
      <c r="G308" s="2">
        <v>201802</v>
      </c>
      <c r="H308" s="2" t="s">
        <v>74</v>
      </c>
      <c r="I308" s="2" t="s">
        <v>75</v>
      </c>
      <c r="J308" s="2" t="s">
        <v>76</v>
      </c>
      <c r="K308" s="2" t="s">
        <v>77</v>
      </c>
      <c r="L308" s="2" t="s">
        <v>97</v>
      </c>
      <c r="M308" s="2" t="s">
        <v>98</v>
      </c>
      <c r="N308" s="2" t="s">
        <v>214</v>
      </c>
      <c r="O308" s="2" t="s">
        <v>100</v>
      </c>
      <c r="P308" s="2" t="str">
        <f>"2170585313                    "</f>
        <v xml:space="preserve">2170585313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4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1</v>
      </c>
      <c r="BJ308" s="2">
        <v>0.2</v>
      </c>
      <c r="BK308" s="2">
        <v>1</v>
      </c>
      <c r="BL308" s="2">
        <v>41.44</v>
      </c>
      <c r="BM308" s="2">
        <v>5.8</v>
      </c>
      <c r="BN308" s="2">
        <v>47.24</v>
      </c>
      <c r="BO308" s="2">
        <v>47.24</v>
      </c>
      <c r="BP308" s="2"/>
      <c r="BQ308" s="2" t="s">
        <v>108</v>
      </c>
      <c r="BR308" s="2" t="s">
        <v>84</v>
      </c>
      <c r="BS308" s="3">
        <v>42964</v>
      </c>
      <c r="BT308" s="4">
        <v>0.33611111111111108</v>
      </c>
      <c r="BU308" s="2" t="s">
        <v>215</v>
      </c>
      <c r="BV308" s="2" t="s">
        <v>95</v>
      </c>
      <c r="BW308" s="2"/>
      <c r="BX308" s="2"/>
      <c r="BY308" s="2">
        <v>1200</v>
      </c>
      <c r="BZ308" s="2"/>
      <c r="CA308" s="2" t="s">
        <v>213</v>
      </c>
      <c r="CB308" s="2"/>
      <c r="CC308" s="2" t="s">
        <v>98</v>
      </c>
      <c r="CD308" s="2">
        <v>6001</v>
      </c>
      <c r="CE308" s="2" t="s">
        <v>104</v>
      </c>
      <c r="CF308" s="5">
        <v>42965</v>
      </c>
      <c r="CG308" s="2"/>
      <c r="CH308" s="2"/>
      <c r="CI308" s="2">
        <v>1</v>
      </c>
      <c r="CJ308" s="2">
        <v>1</v>
      </c>
      <c r="CK308" s="2">
        <v>21</v>
      </c>
      <c r="CL308" s="2" t="s">
        <v>86</v>
      </c>
      <c r="CM308" s="2"/>
    </row>
    <row r="309" spans="1:91">
      <c r="A309" s="2" t="s">
        <v>71</v>
      </c>
      <c r="B309" s="2" t="s">
        <v>72</v>
      </c>
      <c r="C309" s="2" t="s">
        <v>73</v>
      </c>
      <c r="D309" s="2"/>
      <c r="E309" s="2" t="str">
        <f>"FES1162569364"</f>
        <v>FES1162569364</v>
      </c>
      <c r="F309" s="3">
        <v>42963</v>
      </c>
      <c r="G309" s="2">
        <v>201802</v>
      </c>
      <c r="H309" s="2" t="s">
        <v>74</v>
      </c>
      <c r="I309" s="2" t="s">
        <v>75</v>
      </c>
      <c r="J309" s="2" t="s">
        <v>76</v>
      </c>
      <c r="K309" s="2" t="s">
        <v>77</v>
      </c>
      <c r="L309" s="2" t="s">
        <v>417</v>
      </c>
      <c r="M309" s="2" t="s">
        <v>417</v>
      </c>
      <c r="N309" s="2" t="s">
        <v>815</v>
      </c>
      <c r="O309" s="2" t="s">
        <v>100</v>
      </c>
      <c r="P309" s="2" t="str">
        <f>"2170584325                    "</f>
        <v xml:space="preserve">2170584325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4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1</v>
      </c>
      <c r="BJ309" s="2">
        <v>0.2</v>
      </c>
      <c r="BK309" s="2">
        <v>1</v>
      </c>
      <c r="BL309" s="2">
        <v>41.44</v>
      </c>
      <c r="BM309" s="2">
        <v>5.8</v>
      </c>
      <c r="BN309" s="2">
        <v>47.24</v>
      </c>
      <c r="BO309" s="2">
        <v>47.24</v>
      </c>
      <c r="BP309" s="2"/>
      <c r="BQ309" s="2" t="s">
        <v>209</v>
      </c>
      <c r="BR309" s="2" t="s">
        <v>84</v>
      </c>
      <c r="BS309" s="3">
        <v>42964</v>
      </c>
      <c r="BT309" s="4">
        <v>0.4145833333333333</v>
      </c>
      <c r="BU309" s="2" t="s">
        <v>816</v>
      </c>
      <c r="BV309" s="2" t="s">
        <v>95</v>
      </c>
      <c r="BW309" s="2"/>
      <c r="BX309" s="2"/>
      <c r="BY309" s="2">
        <v>1200</v>
      </c>
      <c r="BZ309" s="2"/>
      <c r="CA309" s="2" t="s">
        <v>460</v>
      </c>
      <c r="CB309" s="2"/>
      <c r="CC309" s="2" t="s">
        <v>417</v>
      </c>
      <c r="CD309" s="2">
        <v>7646</v>
      </c>
      <c r="CE309" s="2" t="s">
        <v>104</v>
      </c>
      <c r="CF309" s="5">
        <v>42964</v>
      </c>
      <c r="CG309" s="2"/>
      <c r="CH309" s="2"/>
      <c r="CI309" s="2">
        <v>1</v>
      </c>
      <c r="CJ309" s="2">
        <v>1</v>
      </c>
      <c r="CK309" s="2">
        <v>21</v>
      </c>
      <c r="CL309" s="2" t="s">
        <v>86</v>
      </c>
      <c r="CM309" s="2"/>
    </row>
    <row r="310" spans="1:91">
      <c r="A310" s="2" t="s">
        <v>71</v>
      </c>
      <c r="B310" s="2" t="s">
        <v>72</v>
      </c>
      <c r="C310" s="2" t="s">
        <v>73</v>
      </c>
      <c r="D310" s="2"/>
      <c r="E310" s="2" t="str">
        <f>"FES1162569593"</f>
        <v>FES1162569593</v>
      </c>
      <c r="F310" s="3">
        <v>42964</v>
      </c>
      <c r="G310" s="2">
        <v>201802</v>
      </c>
      <c r="H310" s="2" t="s">
        <v>74</v>
      </c>
      <c r="I310" s="2" t="s">
        <v>75</v>
      </c>
      <c r="J310" s="2" t="s">
        <v>76</v>
      </c>
      <c r="K310" s="2" t="s">
        <v>77</v>
      </c>
      <c r="L310" s="2" t="s">
        <v>252</v>
      </c>
      <c r="M310" s="2" t="s">
        <v>106</v>
      </c>
      <c r="N310" s="2" t="s">
        <v>817</v>
      </c>
      <c r="O310" s="2" t="s">
        <v>81</v>
      </c>
      <c r="P310" s="2" t="str">
        <f>"2170585390                    "</f>
        <v xml:space="preserve">2170585390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11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22.1</v>
      </c>
      <c r="BJ310" s="2">
        <v>8.8000000000000007</v>
      </c>
      <c r="BK310" s="2">
        <v>23</v>
      </c>
      <c r="BL310" s="2">
        <v>118.88</v>
      </c>
      <c r="BM310" s="2">
        <v>16.64</v>
      </c>
      <c r="BN310" s="2">
        <v>135.52000000000001</v>
      </c>
      <c r="BO310" s="2">
        <v>135.52000000000001</v>
      </c>
      <c r="BP310" s="2"/>
      <c r="BQ310" s="2" t="s">
        <v>288</v>
      </c>
      <c r="BR310" s="2" t="s">
        <v>84</v>
      </c>
      <c r="BS310" s="3">
        <v>42968</v>
      </c>
      <c r="BT310" s="4">
        <v>0.41666666666666669</v>
      </c>
      <c r="BU310" s="2" t="s">
        <v>818</v>
      </c>
      <c r="BV310" s="2" t="s">
        <v>95</v>
      </c>
      <c r="BW310" s="2"/>
      <c r="BX310" s="2"/>
      <c r="BY310" s="2">
        <v>43950.92</v>
      </c>
      <c r="BZ310" s="2"/>
      <c r="CA310" s="2" t="s">
        <v>148</v>
      </c>
      <c r="CB310" s="2"/>
      <c r="CC310" s="2" t="s">
        <v>106</v>
      </c>
      <c r="CD310" s="2">
        <v>7764</v>
      </c>
      <c r="CE310" s="2" t="s">
        <v>89</v>
      </c>
      <c r="CF310" s="5">
        <v>42969</v>
      </c>
      <c r="CG310" s="2"/>
      <c r="CH310" s="2"/>
      <c r="CI310" s="2">
        <v>2</v>
      </c>
      <c r="CJ310" s="2">
        <v>2</v>
      </c>
      <c r="CK310" s="2" t="s">
        <v>136</v>
      </c>
      <c r="CL310" s="2" t="s">
        <v>86</v>
      </c>
      <c r="CM310" s="2"/>
    </row>
    <row r="311" spans="1:91">
      <c r="A311" s="2" t="s">
        <v>71</v>
      </c>
      <c r="B311" s="2" t="s">
        <v>72</v>
      </c>
      <c r="C311" s="2" t="s">
        <v>73</v>
      </c>
      <c r="D311" s="2"/>
      <c r="E311" s="2" t="str">
        <f>"080001711590"</f>
        <v>080001711590</v>
      </c>
      <c r="F311" s="3">
        <v>42964</v>
      </c>
      <c r="G311" s="2">
        <v>201802</v>
      </c>
      <c r="H311" s="2" t="s">
        <v>149</v>
      </c>
      <c r="I311" s="2" t="s">
        <v>150</v>
      </c>
      <c r="J311" s="2" t="s">
        <v>181</v>
      </c>
      <c r="K311" s="2" t="s">
        <v>77</v>
      </c>
      <c r="L311" s="2" t="s">
        <v>74</v>
      </c>
      <c r="M311" s="2" t="s">
        <v>75</v>
      </c>
      <c r="N311" s="2" t="s">
        <v>118</v>
      </c>
      <c r="O311" s="2" t="s">
        <v>81</v>
      </c>
      <c r="P311" s="2" t="str">
        <f>"ZA1000659942                  "</f>
        <v xml:space="preserve">ZA1000659942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7.5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1</v>
      </c>
      <c r="BJ311" s="2">
        <v>0.5</v>
      </c>
      <c r="BK311" s="2">
        <v>1</v>
      </c>
      <c r="BL311" s="2">
        <v>82.7</v>
      </c>
      <c r="BM311" s="2">
        <v>11.58</v>
      </c>
      <c r="BN311" s="2">
        <v>94.28</v>
      </c>
      <c r="BO311" s="2">
        <v>94.28</v>
      </c>
      <c r="BP311" s="2" t="s">
        <v>812</v>
      </c>
      <c r="BQ311" s="2" t="s">
        <v>241</v>
      </c>
      <c r="BR311" s="2" t="s">
        <v>182</v>
      </c>
      <c r="BS311" s="3">
        <v>42965</v>
      </c>
      <c r="BT311" s="4">
        <v>0.375</v>
      </c>
      <c r="BU311" s="2" t="s">
        <v>814</v>
      </c>
      <c r="BV311" s="2" t="s">
        <v>95</v>
      </c>
      <c r="BW311" s="2"/>
      <c r="BX311" s="2"/>
      <c r="BY311" s="2">
        <v>2400</v>
      </c>
      <c r="BZ311" s="2"/>
      <c r="CA311" s="2"/>
      <c r="CB311" s="2"/>
      <c r="CC311" s="2" t="s">
        <v>75</v>
      </c>
      <c r="CD311" s="2">
        <v>1600</v>
      </c>
      <c r="CE311" s="2" t="s">
        <v>89</v>
      </c>
      <c r="CF311" s="5">
        <v>42968</v>
      </c>
      <c r="CG311" s="2"/>
      <c r="CH311" s="2"/>
      <c r="CI311" s="2">
        <v>1</v>
      </c>
      <c r="CJ311" s="2">
        <v>1</v>
      </c>
      <c r="CK311" s="2" t="s">
        <v>180</v>
      </c>
      <c r="CL311" s="2" t="s">
        <v>86</v>
      </c>
      <c r="CM311" s="2"/>
    </row>
    <row r="312" spans="1:91">
      <c r="A312" s="2" t="s">
        <v>71</v>
      </c>
      <c r="B312" s="2" t="s">
        <v>72</v>
      </c>
      <c r="C312" s="2" t="s">
        <v>73</v>
      </c>
      <c r="D312" s="2"/>
      <c r="E312" s="2" t="str">
        <f>"FES1162569809"</f>
        <v>FES1162569809</v>
      </c>
      <c r="F312" s="3">
        <v>42964</v>
      </c>
      <c r="G312" s="2">
        <v>201802</v>
      </c>
      <c r="H312" s="2" t="s">
        <v>74</v>
      </c>
      <c r="I312" s="2" t="s">
        <v>75</v>
      </c>
      <c r="J312" s="2" t="s">
        <v>76</v>
      </c>
      <c r="K312" s="2" t="s">
        <v>77</v>
      </c>
      <c r="L312" s="2" t="s">
        <v>632</v>
      </c>
      <c r="M312" s="2" t="s">
        <v>269</v>
      </c>
      <c r="N312" s="2" t="s">
        <v>442</v>
      </c>
      <c r="O312" s="2" t="s">
        <v>81</v>
      </c>
      <c r="P312" s="2" t="str">
        <f>"2170583733                    "</f>
        <v xml:space="preserve">2170583733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14.96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2</v>
      </c>
      <c r="BI312" s="2">
        <v>52.6</v>
      </c>
      <c r="BJ312" s="2">
        <v>21.6</v>
      </c>
      <c r="BK312" s="2">
        <v>53</v>
      </c>
      <c r="BL312" s="2">
        <v>159.93</v>
      </c>
      <c r="BM312" s="2">
        <v>22.39</v>
      </c>
      <c r="BN312" s="2">
        <v>182.32</v>
      </c>
      <c r="BO312" s="2">
        <v>182.32</v>
      </c>
      <c r="BP312" s="2"/>
      <c r="BQ312" s="2" t="s">
        <v>83</v>
      </c>
      <c r="BR312" s="2" t="s">
        <v>84</v>
      </c>
      <c r="BS312" s="3">
        <v>42965</v>
      </c>
      <c r="BT312" s="4">
        <v>0.43402777777777773</v>
      </c>
      <c r="BU312" s="2" t="s">
        <v>819</v>
      </c>
      <c r="BV312" s="2"/>
      <c r="BW312" s="2"/>
      <c r="BX312" s="2"/>
      <c r="BY312" s="2">
        <v>107890.09</v>
      </c>
      <c r="BZ312" s="2"/>
      <c r="CA312" s="2"/>
      <c r="CB312" s="2"/>
      <c r="CC312" s="2" t="s">
        <v>269</v>
      </c>
      <c r="CD312" s="2">
        <v>1</v>
      </c>
      <c r="CE312" s="2" t="s">
        <v>89</v>
      </c>
      <c r="CF312" s="5">
        <v>42968</v>
      </c>
      <c r="CG312" s="2"/>
      <c r="CH312" s="2"/>
      <c r="CI312" s="2">
        <v>0</v>
      </c>
      <c r="CJ312" s="2">
        <v>0</v>
      </c>
      <c r="CK312" s="2" t="s">
        <v>143</v>
      </c>
      <c r="CL312" s="2" t="s">
        <v>86</v>
      </c>
      <c r="CM312" s="2"/>
    </row>
    <row r="313" spans="1:91">
      <c r="A313" s="2" t="s">
        <v>71</v>
      </c>
      <c r="B313" s="2" t="s">
        <v>72</v>
      </c>
      <c r="C313" s="2" t="s">
        <v>73</v>
      </c>
      <c r="D313" s="2"/>
      <c r="E313" s="2" t="str">
        <f>"FES1162569690"</f>
        <v>FES1162569690</v>
      </c>
      <c r="F313" s="3">
        <v>42964</v>
      </c>
      <c r="G313" s="2">
        <v>201802</v>
      </c>
      <c r="H313" s="2" t="s">
        <v>74</v>
      </c>
      <c r="I313" s="2" t="s">
        <v>75</v>
      </c>
      <c r="J313" s="2" t="s">
        <v>76</v>
      </c>
      <c r="K313" s="2" t="s">
        <v>77</v>
      </c>
      <c r="L313" s="2" t="s">
        <v>362</v>
      </c>
      <c r="M313" s="2" t="s">
        <v>363</v>
      </c>
      <c r="N313" s="2" t="s">
        <v>683</v>
      </c>
      <c r="O313" s="2" t="s">
        <v>81</v>
      </c>
      <c r="P313" s="2" t="str">
        <f>"2170581346                    "</f>
        <v xml:space="preserve">2170581346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12.68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28.5</v>
      </c>
      <c r="BJ313" s="2">
        <v>8.6999999999999993</v>
      </c>
      <c r="BK313" s="2">
        <v>29</v>
      </c>
      <c r="BL313" s="2">
        <v>136.29</v>
      </c>
      <c r="BM313" s="2">
        <v>19.079999999999998</v>
      </c>
      <c r="BN313" s="2">
        <v>155.37</v>
      </c>
      <c r="BO313" s="2">
        <v>155.37</v>
      </c>
      <c r="BP313" s="2"/>
      <c r="BQ313" s="2" t="s">
        <v>108</v>
      </c>
      <c r="BR313" s="2" t="s">
        <v>84</v>
      </c>
      <c r="BS313" s="3">
        <v>42965</v>
      </c>
      <c r="BT313" s="4">
        <v>0.49374999999999997</v>
      </c>
      <c r="BU313" s="2" t="s">
        <v>820</v>
      </c>
      <c r="BV313" s="2" t="s">
        <v>95</v>
      </c>
      <c r="BW313" s="2"/>
      <c r="BX313" s="2"/>
      <c r="BY313" s="2">
        <v>43407.55</v>
      </c>
      <c r="BZ313" s="2"/>
      <c r="CA313" s="2" t="s">
        <v>367</v>
      </c>
      <c r="CB313" s="2"/>
      <c r="CC313" s="2" t="s">
        <v>363</v>
      </c>
      <c r="CD313" s="2">
        <v>3201</v>
      </c>
      <c r="CE313" s="2" t="s">
        <v>89</v>
      </c>
      <c r="CF313" s="5">
        <v>42968</v>
      </c>
      <c r="CG313" s="2"/>
      <c r="CH313" s="2"/>
      <c r="CI313" s="2">
        <v>1</v>
      </c>
      <c r="CJ313" s="2">
        <v>1</v>
      </c>
      <c r="CK313" s="2" t="s">
        <v>624</v>
      </c>
      <c r="CL313" s="2" t="s">
        <v>86</v>
      </c>
      <c r="CM313" s="2"/>
    </row>
    <row r="314" spans="1:91">
      <c r="A314" s="2" t="s">
        <v>71</v>
      </c>
      <c r="B314" s="2" t="s">
        <v>72</v>
      </c>
      <c r="C314" s="2" t="s">
        <v>73</v>
      </c>
      <c r="D314" s="2"/>
      <c r="E314" s="2" t="str">
        <f>"FES1162569745"</f>
        <v>FES1162569745</v>
      </c>
      <c r="F314" s="3">
        <v>42964</v>
      </c>
      <c r="G314" s="2">
        <v>201802</v>
      </c>
      <c r="H314" s="2" t="s">
        <v>74</v>
      </c>
      <c r="I314" s="2" t="s">
        <v>75</v>
      </c>
      <c r="J314" s="2" t="s">
        <v>76</v>
      </c>
      <c r="K314" s="2" t="s">
        <v>77</v>
      </c>
      <c r="L314" s="2" t="s">
        <v>170</v>
      </c>
      <c r="M314" s="2" t="s">
        <v>171</v>
      </c>
      <c r="N314" s="2" t="s">
        <v>821</v>
      </c>
      <c r="O314" s="2" t="s">
        <v>81</v>
      </c>
      <c r="P314" s="2" t="str">
        <f>"2170583513                    "</f>
        <v xml:space="preserve">2170583513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11.27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4</v>
      </c>
      <c r="BI314" s="2">
        <v>44.3</v>
      </c>
      <c r="BJ314" s="2">
        <v>13.6</v>
      </c>
      <c r="BK314" s="2">
        <v>45</v>
      </c>
      <c r="BL314" s="2">
        <v>121.72</v>
      </c>
      <c r="BM314" s="2">
        <v>17.04</v>
      </c>
      <c r="BN314" s="2">
        <v>138.76</v>
      </c>
      <c r="BO314" s="2">
        <v>138.76</v>
      </c>
      <c r="BP314" s="2"/>
      <c r="BQ314" s="2" t="s">
        <v>108</v>
      </c>
      <c r="BR314" s="2" t="s">
        <v>84</v>
      </c>
      <c r="BS314" s="3">
        <v>42965</v>
      </c>
      <c r="BT314" s="4">
        <v>0.4777777777777778</v>
      </c>
      <c r="BU314" s="2" t="s">
        <v>739</v>
      </c>
      <c r="BV314" s="2" t="s">
        <v>95</v>
      </c>
      <c r="BW314" s="2"/>
      <c r="BX314" s="2"/>
      <c r="BY314" s="2">
        <v>67876.91</v>
      </c>
      <c r="BZ314" s="2"/>
      <c r="CA314" s="2"/>
      <c r="CB314" s="2"/>
      <c r="CC314" s="2" t="s">
        <v>171</v>
      </c>
      <c r="CD314" s="2">
        <v>1422</v>
      </c>
      <c r="CE314" s="2" t="s">
        <v>89</v>
      </c>
      <c r="CF314" s="5">
        <v>42968</v>
      </c>
      <c r="CG314" s="2"/>
      <c r="CH314" s="2"/>
      <c r="CI314" s="2">
        <v>1</v>
      </c>
      <c r="CJ314" s="2">
        <v>1</v>
      </c>
      <c r="CK314" s="2" t="s">
        <v>132</v>
      </c>
      <c r="CL314" s="2" t="s">
        <v>86</v>
      </c>
      <c r="CM314" s="2"/>
    </row>
    <row r="315" spans="1:91">
      <c r="A315" s="2" t="s">
        <v>71</v>
      </c>
      <c r="B315" s="2" t="s">
        <v>72</v>
      </c>
      <c r="C315" s="2" t="s">
        <v>73</v>
      </c>
      <c r="D315" s="2"/>
      <c r="E315" s="2" t="str">
        <f>"FES1162569592"</f>
        <v>FES1162569592</v>
      </c>
      <c r="F315" s="3">
        <v>42964</v>
      </c>
      <c r="G315" s="2">
        <v>201802</v>
      </c>
      <c r="H315" s="2" t="s">
        <v>74</v>
      </c>
      <c r="I315" s="2" t="s">
        <v>75</v>
      </c>
      <c r="J315" s="2" t="s">
        <v>76</v>
      </c>
      <c r="K315" s="2" t="s">
        <v>77</v>
      </c>
      <c r="L315" s="2" t="s">
        <v>97</v>
      </c>
      <c r="M315" s="2" t="s">
        <v>98</v>
      </c>
      <c r="N315" s="2" t="s">
        <v>822</v>
      </c>
      <c r="O315" s="2" t="s">
        <v>100</v>
      </c>
      <c r="P315" s="2" t="str">
        <f>"2170585373                    "</f>
        <v xml:space="preserve">2170585373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9.01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0.9</v>
      </c>
      <c r="BJ315" s="2">
        <v>4.3</v>
      </c>
      <c r="BK315" s="2">
        <v>4.5</v>
      </c>
      <c r="BL315" s="2">
        <v>93.25</v>
      </c>
      <c r="BM315" s="2">
        <v>13.06</v>
      </c>
      <c r="BN315" s="2">
        <v>106.31</v>
      </c>
      <c r="BO315" s="2">
        <v>106.31</v>
      </c>
      <c r="BP315" s="2"/>
      <c r="BQ315" s="2" t="s">
        <v>83</v>
      </c>
      <c r="BR315" s="2" t="s">
        <v>84</v>
      </c>
      <c r="BS315" s="3">
        <v>42965</v>
      </c>
      <c r="BT315" s="4">
        <v>0.3430555555555555</v>
      </c>
      <c r="BU315" s="2" t="s">
        <v>823</v>
      </c>
      <c r="BV315" s="2" t="s">
        <v>95</v>
      </c>
      <c r="BW315" s="2"/>
      <c r="BX315" s="2"/>
      <c r="BY315" s="2">
        <v>21313.82</v>
      </c>
      <c r="BZ315" s="2"/>
      <c r="CA315" s="2" t="s">
        <v>286</v>
      </c>
      <c r="CB315" s="2"/>
      <c r="CC315" s="2" t="s">
        <v>98</v>
      </c>
      <c r="CD315" s="2">
        <v>6014</v>
      </c>
      <c r="CE315" s="2" t="s">
        <v>104</v>
      </c>
      <c r="CF315" s="5">
        <v>42968</v>
      </c>
      <c r="CG315" s="2"/>
      <c r="CH315" s="2"/>
      <c r="CI315" s="2">
        <v>1</v>
      </c>
      <c r="CJ315" s="2">
        <v>1</v>
      </c>
      <c r="CK315" s="2">
        <v>21</v>
      </c>
      <c r="CL315" s="2" t="s">
        <v>86</v>
      </c>
      <c r="CM315" s="2"/>
    </row>
    <row r="316" spans="1:91">
      <c r="A316" s="2" t="s">
        <v>71</v>
      </c>
      <c r="B316" s="2" t="s">
        <v>72</v>
      </c>
      <c r="C316" s="2" t="s">
        <v>73</v>
      </c>
      <c r="D316" s="2"/>
      <c r="E316" s="2" t="str">
        <f>"FES1162569638"</f>
        <v>FES1162569638</v>
      </c>
      <c r="F316" s="3">
        <v>42964</v>
      </c>
      <c r="G316" s="2">
        <v>201802</v>
      </c>
      <c r="H316" s="2" t="s">
        <v>74</v>
      </c>
      <c r="I316" s="2" t="s">
        <v>75</v>
      </c>
      <c r="J316" s="2" t="s">
        <v>76</v>
      </c>
      <c r="K316" s="2" t="s">
        <v>77</v>
      </c>
      <c r="L316" s="2" t="s">
        <v>137</v>
      </c>
      <c r="M316" s="2" t="s">
        <v>138</v>
      </c>
      <c r="N316" s="2" t="s">
        <v>368</v>
      </c>
      <c r="O316" s="2" t="s">
        <v>100</v>
      </c>
      <c r="P316" s="2" t="str">
        <f>"2170583529                    "</f>
        <v xml:space="preserve">2170583529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4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0.5</v>
      </c>
      <c r="BJ316" s="2">
        <v>1.7</v>
      </c>
      <c r="BK316" s="2">
        <v>2</v>
      </c>
      <c r="BL316" s="2">
        <v>41.44</v>
      </c>
      <c r="BM316" s="2">
        <v>5.8</v>
      </c>
      <c r="BN316" s="2">
        <v>47.24</v>
      </c>
      <c r="BO316" s="2">
        <v>47.24</v>
      </c>
      <c r="BP316" s="2"/>
      <c r="BQ316" s="2" t="s">
        <v>108</v>
      </c>
      <c r="BR316" s="2" t="s">
        <v>84</v>
      </c>
      <c r="BS316" s="3">
        <v>42965</v>
      </c>
      <c r="BT316" s="4">
        <v>0.3527777777777778</v>
      </c>
      <c r="BU316" s="2" t="s">
        <v>369</v>
      </c>
      <c r="BV316" s="2" t="s">
        <v>95</v>
      </c>
      <c r="BW316" s="2"/>
      <c r="BX316" s="2"/>
      <c r="BY316" s="2">
        <v>8514.76</v>
      </c>
      <c r="BZ316" s="2"/>
      <c r="CA316" s="2"/>
      <c r="CB316" s="2"/>
      <c r="CC316" s="2" t="s">
        <v>138</v>
      </c>
      <c r="CD316" s="2">
        <v>157</v>
      </c>
      <c r="CE316" s="2" t="s">
        <v>104</v>
      </c>
      <c r="CF316" s="5">
        <v>42968</v>
      </c>
      <c r="CG316" s="2"/>
      <c r="CH316" s="2"/>
      <c r="CI316" s="2">
        <v>1</v>
      </c>
      <c r="CJ316" s="2">
        <v>1</v>
      </c>
      <c r="CK316" s="2">
        <v>21</v>
      </c>
      <c r="CL316" s="2" t="s">
        <v>86</v>
      </c>
      <c r="CM316" s="2"/>
    </row>
    <row r="317" spans="1:91">
      <c r="A317" s="2" t="s">
        <v>71</v>
      </c>
      <c r="B317" s="2" t="s">
        <v>72</v>
      </c>
      <c r="C317" s="2" t="s">
        <v>73</v>
      </c>
      <c r="D317" s="2"/>
      <c r="E317" s="2" t="str">
        <f>"FES1162569629"</f>
        <v>FES1162569629</v>
      </c>
      <c r="F317" s="3">
        <v>42964</v>
      </c>
      <c r="G317" s="2">
        <v>201802</v>
      </c>
      <c r="H317" s="2" t="s">
        <v>74</v>
      </c>
      <c r="I317" s="2" t="s">
        <v>75</v>
      </c>
      <c r="J317" s="2" t="s">
        <v>76</v>
      </c>
      <c r="K317" s="2" t="s">
        <v>77</v>
      </c>
      <c r="L317" s="2" t="s">
        <v>105</v>
      </c>
      <c r="M317" s="2" t="s">
        <v>106</v>
      </c>
      <c r="N317" s="2" t="s">
        <v>824</v>
      </c>
      <c r="O317" s="2" t="s">
        <v>100</v>
      </c>
      <c r="P317" s="2" t="str">
        <f>"2170583195                    "</f>
        <v xml:space="preserve">2170583195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6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1</v>
      </c>
      <c r="BJ317" s="2">
        <v>2.9</v>
      </c>
      <c r="BK317" s="2">
        <v>3</v>
      </c>
      <c r="BL317" s="2">
        <v>62.16</v>
      </c>
      <c r="BM317" s="2">
        <v>8.6999999999999993</v>
      </c>
      <c r="BN317" s="2">
        <v>70.86</v>
      </c>
      <c r="BO317" s="2">
        <v>70.86</v>
      </c>
      <c r="BP317" s="2"/>
      <c r="BQ317" s="2" t="s">
        <v>83</v>
      </c>
      <c r="BR317" s="2" t="s">
        <v>84</v>
      </c>
      <c r="BS317" s="3">
        <v>42965</v>
      </c>
      <c r="BT317" s="4">
        <v>0.43541666666666662</v>
      </c>
      <c r="BU317" s="2" t="s">
        <v>825</v>
      </c>
      <c r="BV317" s="2" t="s">
        <v>95</v>
      </c>
      <c r="BW317" s="2"/>
      <c r="BX317" s="2"/>
      <c r="BY317" s="2">
        <v>14591.3</v>
      </c>
      <c r="BZ317" s="2"/>
      <c r="CA317" s="2"/>
      <c r="CB317" s="2"/>
      <c r="CC317" s="2" t="s">
        <v>106</v>
      </c>
      <c r="CD317" s="2">
        <v>7800</v>
      </c>
      <c r="CE317" s="2" t="s">
        <v>104</v>
      </c>
      <c r="CF317" s="5">
        <v>42968</v>
      </c>
      <c r="CG317" s="2"/>
      <c r="CH317" s="2"/>
      <c r="CI317" s="2">
        <v>1</v>
      </c>
      <c r="CJ317" s="2">
        <v>1</v>
      </c>
      <c r="CK317" s="2">
        <v>21</v>
      </c>
      <c r="CL317" s="2" t="s">
        <v>86</v>
      </c>
      <c r="CM317" s="2"/>
    </row>
    <row r="318" spans="1:91">
      <c r="A318" s="2" t="s">
        <v>71</v>
      </c>
      <c r="B318" s="2" t="s">
        <v>72</v>
      </c>
      <c r="C318" s="2" t="s">
        <v>73</v>
      </c>
      <c r="D318" s="2"/>
      <c r="E318" s="2" t="str">
        <f>"FES1162569572"</f>
        <v>FES1162569572</v>
      </c>
      <c r="F318" s="3">
        <v>42964</v>
      </c>
      <c r="G318" s="2">
        <v>201802</v>
      </c>
      <c r="H318" s="2" t="s">
        <v>74</v>
      </c>
      <c r="I318" s="2" t="s">
        <v>75</v>
      </c>
      <c r="J318" s="2" t="s">
        <v>76</v>
      </c>
      <c r="K318" s="2" t="s">
        <v>77</v>
      </c>
      <c r="L318" s="2" t="s">
        <v>105</v>
      </c>
      <c r="M318" s="2" t="s">
        <v>106</v>
      </c>
      <c r="N318" s="2" t="s">
        <v>657</v>
      </c>
      <c r="O318" s="2" t="s">
        <v>100</v>
      </c>
      <c r="P318" s="2" t="str">
        <f>"2170583390                    "</f>
        <v xml:space="preserve">2170583390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4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0.7</v>
      </c>
      <c r="BJ318" s="2">
        <v>1.6</v>
      </c>
      <c r="BK318" s="2">
        <v>2</v>
      </c>
      <c r="BL318" s="2">
        <v>41.44</v>
      </c>
      <c r="BM318" s="2">
        <v>5.8</v>
      </c>
      <c r="BN318" s="2">
        <v>47.24</v>
      </c>
      <c r="BO318" s="2">
        <v>47.24</v>
      </c>
      <c r="BP318" s="2"/>
      <c r="BQ318" s="2" t="s">
        <v>227</v>
      </c>
      <c r="BR318" s="2" t="s">
        <v>84</v>
      </c>
      <c r="BS318" s="3">
        <v>42965</v>
      </c>
      <c r="BT318" s="4">
        <v>0.37777777777777777</v>
      </c>
      <c r="BU318" s="2" t="s">
        <v>826</v>
      </c>
      <c r="BV318" s="2" t="s">
        <v>95</v>
      </c>
      <c r="BW318" s="2"/>
      <c r="BX318" s="2"/>
      <c r="BY318" s="2">
        <v>8014.68</v>
      </c>
      <c r="BZ318" s="2"/>
      <c r="CA318" s="2" t="s">
        <v>350</v>
      </c>
      <c r="CB318" s="2"/>
      <c r="CC318" s="2" t="s">
        <v>106</v>
      </c>
      <c r="CD318" s="2">
        <v>7945</v>
      </c>
      <c r="CE318" s="2" t="s">
        <v>104</v>
      </c>
      <c r="CF318" s="5">
        <v>42968</v>
      </c>
      <c r="CG318" s="2"/>
      <c r="CH318" s="2"/>
      <c r="CI318" s="2">
        <v>1</v>
      </c>
      <c r="CJ318" s="2">
        <v>1</v>
      </c>
      <c r="CK318" s="2">
        <v>21</v>
      </c>
      <c r="CL318" s="2" t="s">
        <v>86</v>
      </c>
      <c r="CM318" s="2"/>
    </row>
    <row r="319" spans="1:91">
      <c r="A319" s="2" t="s">
        <v>71</v>
      </c>
      <c r="B319" s="2" t="s">
        <v>72</v>
      </c>
      <c r="C319" s="2" t="s">
        <v>73</v>
      </c>
      <c r="D319" s="2"/>
      <c r="E319" s="2" t="str">
        <f>"FES1162569695"</f>
        <v>FES1162569695</v>
      </c>
      <c r="F319" s="3">
        <v>42964</v>
      </c>
      <c r="G319" s="2">
        <v>201802</v>
      </c>
      <c r="H319" s="2" t="s">
        <v>74</v>
      </c>
      <c r="I319" s="2" t="s">
        <v>75</v>
      </c>
      <c r="J319" s="2" t="s">
        <v>76</v>
      </c>
      <c r="K319" s="2" t="s">
        <v>77</v>
      </c>
      <c r="L319" s="2" t="s">
        <v>105</v>
      </c>
      <c r="M319" s="2" t="s">
        <v>106</v>
      </c>
      <c r="N319" s="2" t="s">
        <v>827</v>
      </c>
      <c r="O319" s="2" t="s">
        <v>100</v>
      </c>
      <c r="P319" s="2" t="str">
        <f>"2170583251                    "</f>
        <v xml:space="preserve">2170583251 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5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0.9</v>
      </c>
      <c r="BJ319" s="2">
        <v>2.4</v>
      </c>
      <c r="BK319" s="2">
        <v>2.5</v>
      </c>
      <c r="BL319" s="2">
        <v>51.8</v>
      </c>
      <c r="BM319" s="2">
        <v>7.25</v>
      </c>
      <c r="BN319" s="2">
        <v>59.05</v>
      </c>
      <c r="BO319" s="2">
        <v>59.05</v>
      </c>
      <c r="BP319" s="2"/>
      <c r="BQ319" s="2" t="s">
        <v>288</v>
      </c>
      <c r="BR319" s="2" t="s">
        <v>84</v>
      </c>
      <c r="BS319" s="3">
        <v>42965</v>
      </c>
      <c r="BT319" s="4">
        <v>0.40277777777777773</v>
      </c>
      <c r="BU319" s="2" t="s">
        <v>828</v>
      </c>
      <c r="BV319" s="2" t="s">
        <v>95</v>
      </c>
      <c r="BW319" s="2"/>
      <c r="BX319" s="2"/>
      <c r="BY319" s="2">
        <v>11819.52</v>
      </c>
      <c r="BZ319" s="2"/>
      <c r="CA319" s="2"/>
      <c r="CB319" s="2"/>
      <c r="CC319" s="2" t="s">
        <v>106</v>
      </c>
      <c r="CD319" s="2">
        <v>7560</v>
      </c>
      <c r="CE319" s="2" t="s">
        <v>104</v>
      </c>
      <c r="CF319" s="5">
        <v>42968</v>
      </c>
      <c r="CG319" s="2"/>
      <c r="CH319" s="2"/>
      <c r="CI319" s="2">
        <v>1</v>
      </c>
      <c r="CJ319" s="2">
        <v>1</v>
      </c>
      <c r="CK319" s="2">
        <v>21</v>
      </c>
      <c r="CL319" s="2" t="s">
        <v>86</v>
      </c>
      <c r="CM319" s="2"/>
    </row>
    <row r="320" spans="1:91">
      <c r="A320" s="2" t="s">
        <v>71</v>
      </c>
      <c r="B320" s="2" t="s">
        <v>72</v>
      </c>
      <c r="C320" s="2" t="s">
        <v>73</v>
      </c>
      <c r="D320" s="2"/>
      <c r="E320" s="2" t="str">
        <f>"FES1162569541"</f>
        <v>FES1162569541</v>
      </c>
      <c r="F320" s="3">
        <v>42964</v>
      </c>
      <c r="G320" s="2">
        <v>201802</v>
      </c>
      <c r="H320" s="2" t="s">
        <v>74</v>
      </c>
      <c r="I320" s="2" t="s">
        <v>75</v>
      </c>
      <c r="J320" s="2" t="s">
        <v>76</v>
      </c>
      <c r="K320" s="2" t="s">
        <v>77</v>
      </c>
      <c r="L320" s="2" t="s">
        <v>170</v>
      </c>
      <c r="M320" s="2" t="s">
        <v>171</v>
      </c>
      <c r="N320" s="2" t="s">
        <v>489</v>
      </c>
      <c r="O320" s="2" t="s">
        <v>100</v>
      </c>
      <c r="P320" s="2" t="str">
        <f>"2170585384                    "</f>
        <v xml:space="preserve">2170585384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3.13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1.6</v>
      </c>
      <c r="BJ320" s="2">
        <v>2.2999999999999998</v>
      </c>
      <c r="BK320" s="2">
        <v>3</v>
      </c>
      <c r="BL320" s="2">
        <v>32.380000000000003</v>
      </c>
      <c r="BM320" s="2">
        <v>4.53</v>
      </c>
      <c r="BN320" s="2">
        <v>36.909999999999997</v>
      </c>
      <c r="BO320" s="2">
        <v>36.909999999999997</v>
      </c>
      <c r="BP320" s="2"/>
      <c r="BQ320" s="2" t="s">
        <v>288</v>
      </c>
      <c r="BR320" s="2" t="s">
        <v>84</v>
      </c>
      <c r="BS320" s="3">
        <v>42965</v>
      </c>
      <c r="BT320" s="4">
        <v>0.41666666666666669</v>
      </c>
      <c r="BU320" s="2" t="s">
        <v>829</v>
      </c>
      <c r="BV320" s="2" t="s">
        <v>95</v>
      </c>
      <c r="BW320" s="2"/>
      <c r="BX320" s="2"/>
      <c r="BY320" s="2">
        <v>11334.96</v>
      </c>
      <c r="BZ320" s="2"/>
      <c r="CA320" s="2"/>
      <c r="CB320" s="2"/>
      <c r="CC320" s="2" t="s">
        <v>171</v>
      </c>
      <c r="CD320" s="2">
        <v>1401</v>
      </c>
      <c r="CE320" s="2" t="s">
        <v>104</v>
      </c>
      <c r="CF320" s="5">
        <v>42968</v>
      </c>
      <c r="CG320" s="2"/>
      <c r="CH320" s="2"/>
      <c r="CI320" s="2">
        <v>1</v>
      </c>
      <c r="CJ320" s="2">
        <v>1</v>
      </c>
      <c r="CK320" s="2">
        <v>22</v>
      </c>
      <c r="CL320" s="2" t="s">
        <v>86</v>
      </c>
      <c r="CM320" s="2"/>
    </row>
    <row r="321" spans="1:91">
      <c r="A321" s="2" t="s">
        <v>71</v>
      </c>
      <c r="B321" s="2" t="s">
        <v>72</v>
      </c>
      <c r="C321" s="2" t="s">
        <v>73</v>
      </c>
      <c r="D321" s="2"/>
      <c r="E321" s="2" t="str">
        <f>"FES1162569777"</f>
        <v>FES1162569777</v>
      </c>
      <c r="F321" s="3">
        <v>42964</v>
      </c>
      <c r="G321" s="2">
        <v>201802</v>
      </c>
      <c r="H321" s="2" t="s">
        <v>74</v>
      </c>
      <c r="I321" s="2" t="s">
        <v>75</v>
      </c>
      <c r="J321" s="2" t="s">
        <v>76</v>
      </c>
      <c r="K321" s="2" t="s">
        <v>77</v>
      </c>
      <c r="L321" s="2" t="s">
        <v>105</v>
      </c>
      <c r="M321" s="2" t="s">
        <v>106</v>
      </c>
      <c r="N321" s="2" t="s">
        <v>107</v>
      </c>
      <c r="O321" s="2" t="s">
        <v>100</v>
      </c>
      <c r="P321" s="2" t="str">
        <f>"2170585552                    "</f>
        <v xml:space="preserve">2170585552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4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1</v>
      </c>
      <c r="BJ321" s="2">
        <v>0.5</v>
      </c>
      <c r="BK321" s="2">
        <v>1</v>
      </c>
      <c r="BL321" s="2">
        <v>41.44</v>
      </c>
      <c r="BM321" s="2">
        <v>5.8</v>
      </c>
      <c r="BN321" s="2">
        <v>47.24</v>
      </c>
      <c r="BO321" s="2">
        <v>47.24</v>
      </c>
      <c r="BP321" s="2"/>
      <c r="BQ321" s="2" t="s">
        <v>108</v>
      </c>
      <c r="BR321" s="2" t="s">
        <v>84</v>
      </c>
      <c r="BS321" s="3">
        <v>42965</v>
      </c>
      <c r="BT321" s="4">
        <v>0.41666666666666669</v>
      </c>
      <c r="BU321" s="2" t="s">
        <v>830</v>
      </c>
      <c r="BV321" s="2" t="s">
        <v>95</v>
      </c>
      <c r="BW321" s="2"/>
      <c r="BX321" s="2"/>
      <c r="BY321" s="2">
        <v>2400</v>
      </c>
      <c r="BZ321" s="2"/>
      <c r="CA321" s="2"/>
      <c r="CB321" s="2"/>
      <c r="CC321" s="2" t="s">
        <v>106</v>
      </c>
      <c r="CD321" s="2">
        <v>7405</v>
      </c>
      <c r="CE321" s="2" t="s">
        <v>104</v>
      </c>
      <c r="CF321" s="5">
        <v>42968</v>
      </c>
      <c r="CG321" s="2"/>
      <c r="CH321" s="2"/>
      <c r="CI321" s="2">
        <v>1</v>
      </c>
      <c r="CJ321" s="2">
        <v>1</v>
      </c>
      <c r="CK321" s="2">
        <v>21</v>
      </c>
      <c r="CL321" s="2" t="s">
        <v>86</v>
      </c>
      <c r="CM321" s="2"/>
    </row>
    <row r="322" spans="1:91">
      <c r="A322" s="2" t="s">
        <v>71</v>
      </c>
      <c r="B322" s="2" t="s">
        <v>72</v>
      </c>
      <c r="C322" s="2" t="s">
        <v>73</v>
      </c>
      <c r="D322" s="2"/>
      <c r="E322" s="2" t="str">
        <f>"FES1162569794"</f>
        <v>FES1162569794</v>
      </c>
      <c r="F322" s="3">
        <v>42964</v>
      </c>
      <c r="G322" s="2">
        <v>201802</v>
      </c>
      <c r="H322" s="2" t="s">
        <v>74</v>
      </c>
      <c r="I322" s="2" t="s">
        <v>75</v>
      </c>
      <c r="J322" s="2" t="s">
        <v>76</v>
      </c>
      <c r="K322" s="2" t="s">
        <v>77</v>
      </c>
      <c r="L322" s="2" t="s">
        <v>105</v>
      </c>
      <c r="M322" s="2" t="s">
        <v>106</v>
      </c>
      <c r="N322" s="2" t="s">
        <v>107</v>
      </c>
      <c r="O322" s="2" t="s">
        <v>100</v>
      </c>
      <c r="P322" s="2" t="str">
        <f>"2170585580                    "</f>
        <v xml:space="preserve">2170585580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4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</v>
      </c>
      <c r="BJ322" s="2">
        <v>0.5</v>
      </c>
      <c r="BK322" s="2">
        <v>1</v>
      </c>
      <c r="BL322" s="2">
        <v>41.44</v>
      </c>
      <c r="BM322" s="2">
        <v>5.8</v>
      </c>
      <c r="BN322" s="2">
        <v>47.24</v>
      </c>
      <c r="BO322" s="2">
        <v>47.24</v>
      </c>
      <c r="BP322" s="2"/>
      <c r="BQ322" s="2" t="s">
        <v>108</v>
      </c>
      <c r="BR322" s="2" t="s">
        <v>84</v>
      </c>
      <c r="BS322" s="3">
        <v>42965</v>
      </c>
      <c r="BT322" s="4">
        <v>0.41666666666666669</v>
      </c>
      <c r="BU322" s="2" t="s">
        <v>830</v>
      </c>
      <c r="BV322" s="2" t="s">
        <v>95</v>
      </c>
      <c r="BW322" s="2"/>
      <c r="BX322" s="2"/>
      <c r="BY322" s="2">
        <v>2400</v>
      </c>
      <c r="BZ322" s="2"/>
      <c r="CA322" s="2"/>
      <c r="CB322" s="2"/>
      <c r="CC322" s="2" t="s">
        <v>106</v>
      </c>
      <c r="CD322" s="2">
        <v>7405</v>
      </c>
      <c r="CE322" s="2" t="s">
        <v>104</v>
      </c>
      <c r="CF322" s="5">
        <v>42968</v>
      </c>
      <c r="CG322" s="2"/>
      <c r="CH322" s="2"/>
      <c r="CI322" s="2">
        <v>1</v>
      </c>
      <c r="CJ322" s="2">
        <v>1</v>
      </c>
      <c r="CK322" s="2">
        <v>21</v>
      </c>
      <c r="CL322" s="2" t="s">
        <v>86</v>
      </c>
      <c r="CM322" s="2"/>
    </row>
    <row r="323" spans="1:91">
      <c r="A323" s="2" t="s">
        <v>71</v>
      </c>
      <c r="B323" s="2" t="s">
        <v>72</v>
      </c>
      <c r="C323" s="2" t="s">
        <v>73</v>
      </c>
      <c r="D323" s="2"/>
      <c r="E323" s="2" t="str">
        <f>"FES1162569644"</f>
        <v>FES1162569644</v>
      </c>
      <c r="F323" s="3">
        <v>42964</v>
      </c>
      <c r="G323" s="2">
        <v>201802</v>
      </c>
      <c r="H323" s="2" t="s">
        <v>74</v>
      </c>
      <c r="I323" s="2" t="s">
        <v>75</v>
      </c>
      <c r="J323" s="2" t="s">
        <v>76</v>
      </c>
      <c r="K323" s="2" t="s">
        <v>77</v>
      </c>
      <c r="L323" s="2" t="s">
        <v>417</v>
      </c>
      <c r="M323" s="2" t="s">
        <v>417</v>
      </c>
      <c r="N323" s="2" t="s">
        <v>831</v>
      </c>
      <c r="O323" s="2" t="s">
        <v>100</v>
      </c>
      <c r="P323" s="2" t="str">
        <f>"2170578615                    "</f>
        <v xml:space="preserve">2170578615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4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1</v>
      </c>
      <c r="BJ323" s="2">
        <v>0.5</v>
      </c>
      <c r="BK323" s="2">
        <v>1</v>
      </c>
      <c r="BL323" s="2">
        <v>41.44</v>
      </c>
      <c r="BM323" s="2">
        <v>5.8</v>
      </c>
      <c r="BN323" s="2">
        <v>47.24</v>
      </c>
      <c r="BO323" s="2">
        <v>47.24</v>
      </c>
      <c r="BP323" s="2"/>
      <c r="BQ323" s="2" t="s">
        <v>83</v>
      </c>
      <c r="BR323" s="2" t="s">
        <v>84</v>
      </c>
      <c r="BS323" s="3">
        <v>42965</v>
      </c>
      <c r="BT323" s="4">
        <v>0.53888888888888886</v>
      </c>
      <c r="BU323" s="2" t="s">
        <v>832</v>
      </c>
      <c r="BV323" s="2" t="s">
        <v>95</v>
      </c>
      <c r="BW323" s="2"/>
      <c r="BX323" s="2"/>
      <c r="BY323" s="2">
        <v>2400</v>
      </c>
      <c r="BZ323" s="2"/>
      <c r="CA323" s="2" t="s">
        <v>460</v>
      </c>
      <c r="CB323" s="2"/>
      <c r="CC323" s="2" t="s">
        <v>417</v>
      </c>
      <c r="CD323" s="2">
        <v>7646</v>
      </c>
      <c r="CE323" s="2" t="s">
        <v>104</v>
      </c>
      <c r="CF323" s="5">
        <v>42968</v>
      </c>
      <c r="CG323" s="2"/>
      <c r="CH323" s="2"/>
      <c r="CI323" s="2">
        <v>1</v>
      </c>
      <c r="CJ323" s="2">
        <v>1</v>
      </c>
      <c r="CK323" s="2">
        <v>21</v>
      </c>
      <c r="CL323" s="2" t="s">
        <v>86</v>
      </c>
      <c r="CM323" s="2"/>
    </row>
    <row r="324" spans="1:91">
      <c r="A324" s="2" t="s">
        <v>71</v>
      </c>
      <c r="B324" s="2" t="s">
        <v>72</v>
      </c>
      <c r="C324" s="2" t="s">
        <v>73</v>
      </c>
      <c r="D324" s="2"/>
      <c r="E324" s="2" t="str">
        <f>"FES1162569435"</f>
        <v>FES1162569435</v>
      </c>
      <c r="F324" s="3">
        <v>42964</v>
      </c>
      <c r="G324" s="2">
        <v>201802</v>
      </c>
      <c r="H324" s="2" t="s">
        <v>74</v>
      </c>
      <c r="I324" s="2" t="s">
        <v>75</v>
      </c>
      <c r="J324" s="2" t="s">
        <v>76</v>
      </c>
      <c r="K324" s="2" t="s">
        <v>77</v>
      </c>
      <c r="L324" s="2" t="s">
        <v>74</v>
      </c>
      <c r="M324" s="2" t="s">
        <v>75</v>
      </c>
      <c r="N324" s="2" t="s">
        <v>833</v>
      </c>
      <c r="O324" s="2" t="s">
        <v>100</v>
      </c>
      <c r="P324" s="2" t="str">
        <f>"2170564908                    "</f>
        <v xml:space="preserve">2170564908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3.13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1.9</v>
      </c>
      <c r="BJ324" s="2">
        <v>2.2000000000000002</v>
      </c>
      <c r="BK324" s="2">
        <v>3</v>
      </c>
      <c r="BL324" s="2">
        <v>32.380000000000003</v>
      </c>
      <c r="BM324" s="2">
        <v>4.53</v>
      </c>
      <c r="BN324" s="2">
        <v>36.909999999999997</v>
      </c>
      <c r="BO324" s="2">
        <v>36.909999999999997</v>
      </c>
      <c r="BP324" s="2"/>
      <c r="BQ324" s="2" t="s">
        <v>83</v>
      </c>
      <c r="BR324" s="2" t="s">
        <v>84</v>
      </c>
      <c r="BS324" s="3">
        <v>42965</v>
      </c>
      <c r="BT324" s="4">
        <v>0.33333333333333331</v>
      </c>
      <c r="BU324" s="2" t="s">
        <v>834</v>
      </c>
      <c r="BV324" s="2" t="s">
        <v>95</v>
      </c>
      <c r="BW324" s="2"/>
      <c r="BX324" s="2"/>
      <c r="BY324" s="2">
        <v>11057.47</v>
      </c>
      <c r="BZ324" s="2"/>
      <c r="CA324" s="2" t="s">
        <v>194</v>
      </c>
      <c r="CB324" s="2"/>
      <c r="CC324" s="2" t="s">
        <v>75</v>
      </c>
      <c r="CD324" s="2">
        <v>1666</v>
      </c>
      <c r="CE324" s="2" t="s">
        <v>104</v>
      </c>
      <c r="CF324" s="5">
        <v>42968</v>
      </c>
      <c r="CG324" s="2"/>
      <c r="CH324" s="2"/>
      <c r="CI324" s="2">
        <v>1</v>
      </c>
      <c r="CJ324" s="2">
        <v>1</v>
      </c>
      <c r="CK324" s="2">
        <v>22</v>
      </c>
      <c r="CL324" s="2" t="s">
        <v>86</v>
      </c>
      <c r="CM324" s="2"/>
    </row>
    <row r="325" spans="1:91">
      <c r="A325" s="2" t="s">
        <v>71</v>
      </c>
      <c r="B325" s="2" t="s">
        <v>72</v>
      </c>
      <c r="C325" s="2" t="s">
        <v>73</v>
      </c>
      <c r="D325" s="2"/>
      <c r="E325" s="2" t="str">
        <f>"FES1162569571"</f>
        <v>FES1162569571</v>
      </c>
      <c r="F325" s="3">
        <v>42964</v>
      </c>
      <c r="G325" s="2">
        <v>201802</v>
      </c>
      <c r="H325" s="2" t="s">
        <v>74</v>
      </c>
      <c r="I325" s="2" t="s">
        <v>75</v>
      </c>
      <c r="J325" s="2" t="s">
        <v>76</v>
      </c>
      <c r="K325" s="2" t="s">
        <v>77</v>
      </c>
      <c r="L325" s="2" t="s">
        <v>105</v>
      </c>
      <c r="M325" s="2" t="s">
        <v>106</v>
      </c>
      <c r="N325" s="2" t="s">
        <v>835</v>
      </c>
      <c r="O325" s="2" t="s">
        <v>100</v>
      </c>
      <c r="P325" s="2" t="str">
        <f>"2170583348                    "</f>
        <v xml:space="preserve">2170583348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4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</v>
      </c>
      <c r="BI325" s="2">
        <v>1</v>
      </c>
      <c r="BJ325" s="2">
        <v>0.2</v>
      </c>
      <c r="BK325" s="2">
        <v>1</v>
      </c>
      <c r="BL325" s="2">
        <v>41.44</v>
      </c>
      <c r="BM325" s="2">
        <v>5.8</v>
      </c>
      <c r="BN325" s="2">
        <v>47.24</v>
      </c>
      <c r="BO325" s="2">
        <v>47.24</v>
      </c>
      <c r="BP325" s="2"/>
      <c r="BQ325" s="2" t="s">
        <v>288</v>
      </c>
      <c r="BR325" s="2" t="s">
        <v>84</v>
      </c>
      <c r="BS325" s="3">
        <v>42965</v>
      </c>
      <c r="BT325" s="4">
        <v>0.43472222222222223</v>
      </c>
      <c r="BU325" s="2" t="s">
        <v>836</v>
      </c>
      <c r="BV325" s="2" t="s">
        <v>95</v>
      </c>
      <c r="BW325" s="2"/>
      <c r="BX325" s="2"/>
      <c r="BY325" s="2">
        <v>1200</v>
      </c>
      <c r="BZ325" s="2"/>
      <c r="CA325" s="2" t="s">
        <v>350</v>
      </c>
      <c r="CB325" s="2"/>
      <c r="CC325" s="2" t="s">
        <v>106</v>
      </c>
      <c r="CD325" s="2">
        <v>7945</v>
      </c>
      <c r="CE325" s="2" t="s">
        <v>104</v>
      </c>
      <c r="CF325" s="5">
        <v>42968</v>
      </c>
      <c r="CG325" s="2"/>
      <c r="CH325" s="2"/>
      <c r="CI325" s="2">
        <v>1</v>
      </c>
      <c r="CJ325" s="2">
        <v>1</v>
      </c>
      <c r="CK325" s="2">
        <v>21</v>
      </c>
      <c r="CL325" s="2" t="s">
        <v>86</v>
      </c>
      <c r="CM325" s="2"/>
    </row>
    <row r="326" spans="1:91">
      <c r="A326" s="2" t="s">
        <v>71</v>
      </c>
      <c r="B326" s="2" t="s">
        <v>72</v>
      </c>
      <c r="C326" s="2" t="s">
        <v>73</v>
      </c>
      <c r="D326" s="2"/>
      <c r="E326" s="2" t="str">
        <f>"FES1162569625"</f>
        <v>FES1162569625</v>
      </c>
      <c r="F326" s="3">
        <v>42964</v>
      </c>
      <c r="G326" s="2">
        <v>201802</v>
      </c>
      <c r="H326" s="2" t="s">
        <v>74</v>
      </c>
      <c r="I326" s="2" t="s">
        <v>75</v>
      </c>
      <c r="J326" s="2" t="s">
        <v>76</v>
      </c>
      <c r="K326" s="2" t="s">
        <v>77</v>
      </c>
      <c r="L326" s="2" t="s">
        <v>237</v>
      </c>
      <c r="M326" s="2" t="s">
        <v>238</v>
      </c>
      <c r="N326" s="2" t="s">
        <v>837</v>
      </c>
      <c r="O326" s="2" t="s">
        <v>100</v>
      </c>
      <c r="P326" s="2" t="str">
        <f>"2170582962                    "</f>
        <v xml:space="preserve">2170582962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7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1.3</v>
      </c>
      <c r="BJ326" s="2">
        <v>3.3</v>
      </c>
      <c r="BK326" s="2">
        <v>3.5</v>
      </c>
      <c r="BL326" s="2">
        <v>72.52</v>
      </c>
      <c r="BM326" s="2">
        <v>10.15</v>
      </c>
      <c r="BN326" s="2">
        <v>82.67</v>
      </c>
      <c r="BO326" s="2">
        <v>82.67</v>
      </c>
      <c r="BP326" s="2"/>
      <c r="BQ326" s="2" t="s">
        <v>227</v>
      </c>
      <c r="BR326" s="2" t="s">
        <v>84</v>
      </c>
      <c r="BS326" s="3">
        <v>42965</v>
      </c>
      <c r="BT326" s="4">
        <v>0.38472222222222219</v>
      </c>
      <c r="BU326" s="2" t="s">
        <v>838</v>
      </c>
      <c r="BV326" s="2" t="s">
        <v>95</v>
      </c>
      <c r="BW326" s="2"/>
      <c r="BX326" s="2"/>
      <c r="BY326" s="2">
        <v>16586.439999999999</v>
      </c>
      <c r="BZ326" s="2"/>
      <c r="CA326" s="2" t="s">
        <v>839</v>
      </c>
      <c r="CB326" s="2"/>
      <c r="CC326" s="2" t="s">
        <v>238</v>
      </c>
      <c r="CD326" s="2">
        <v>4037</v>
      </c>
      <c r="CE326" s="2" t="s">
        <v>104</v>
      </c>
      <c r="CF326" s="5">
        <v>42968</v>
      </c>
      <c r="CG326" s="2"/>
      <c r="CH326" s="2"/>
      <c r="CI326" s="2">
        <v>1</v>
      </c>
      <c r="CJ326" s="2">
        <v>1</v>
      </c>
      <c r="CK326" s="2">
        <v>21</v>
      </c>
      <c r="CL326" s="2" t="s">
        <v>86</v>
      </c>
      <c r="CM326" s="2"/>
    </row>
    <row r="327" spans="1:91">
      <c r="A327" s="2" t="s">
        <v>71</v>
      </c>
      <c r="B327" s="2" t="s">
        <v>72</v>
      </c>
      <c r="C327" s="2" t="s">
        <v>73</v>
      </c>
      <c r="D327" s="2"/>
      <c r="E327" s="2" t="str">
        <f>"FES1162569622"</f>
        <v>FES1162569622</v>
      </c>
      <c r="F327" s="3">
        <v>42964</v>
      </c>
      <c r="G327" s="2">
        <v>201802</v>
      </c>
      <c r="H327" s="2" t="s">
        <v>74</v>
      </c>
      <c r="I327" s="2" t="s">
        <v>75</v>
      </c>
      <c r="J327" s="2" t="s">
        <v>76</v>
      </c>
      <c r="K327" s="2" t="s">
        <v>77</v>
      </c>
      <c r="L327" s="2" t="s">
        <v>604</v>
      </c>
      <c r="M327" s="2" t="s">
        <v>605</v>
      </c>
      <c r="N327" s="2" t="s">
        <v>391</v>
      </c>
      <c r="O327" s="2" t="s">
        <v>100</v>
      </c>
      <c r="P327" s="2" t="str">
        <f>"2170581298                    "</f>
        <v xml:space="preserve">2170581298 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7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3.3</v>
      </c>
      <c r="BJ327" s="2">
        <v>2.1</v>
      </c>
      <c r="BK327" s="2">
        <v>3.5</v>
      </c>
      <c r="BL327" s="2">
        <v>72.52</v>
      </c>
      <c r="BM327" s="2">
        <v>10.15</v>
      </c>
      <c r="BN327" s="2">
        <v>82.67</v>
      </c>
      <c r="BO327" s="2">
        <v>82.67</v>
      </c>
      <c r="BP327" s="2"/>
      <c r="BQ327" s="2" t="s">
        <v>288</v>
      </c>
      <c r="BR327" s="2" t="s">
        <v>84</v>
      </c>
      <c r="BS327" s="3">
        <v>42965</v>
      </c>
      <c r="BT327" s="4">
        <v>0.34027777777777773</v>
      </c>
      <c r="BU327" s="2" t="s">
        <v>431</v>
      </c>
      <c r="BV327" s="2" t="s">
        <v>95</v>
      </c>
      <c r="BW327" s="2"/>
      <c r="BX327" s="2"/>
      <c r="BY327" s="2">
        <v>10544.56</v>
      </c>
      <c r="BZ327" s="2"/>
      <c r="CA327" s="2" t="s">
        <v>840</v>
      </c>
      <c r="CB327" s="2"/>
      <c r="CC327" s="2" t="s">
        <v>605</v>
      </c>
      <c r="CD327" s="2">
        <v>4126</v>
      </c>
      <c r="CE327" s="2" t="s">
        <v>104</v>
      </c>
      <c r="CF327" s="5">
        <v>42968</v>
      </c>
      <c r="CG327" s="2"/>
      <c r="CH327" s="2"/>
      <c r="CI327" s="2">
        <v>1</v>
      </c>
      <c r="CJ327" s="2">
        <v>1</v>
      </c>
      <c r="CK327" s="2">
        <v>21</v>
      </c>
      <c r="CL327" s="2" t="s">
        <v>86</v>
      </c>
      <c r="CM327" s="2"/>
    </row>
    <row r="328" spans="1:91">
      <c r="A328" s="2" t="s">
        <v>71</v>
      </c>
      <c r="B328" s="2" t="s">
        <v>72</v>
      </c>
      <c r="C328" s="2" t="s">
        <v>73</v>
      </c>
      <c r="D328" s="2"/>
      <c r="E328" s="2" t="str">
        <f>"FES1162569670"</f>
        <v>FES1162569670</v>
      </c>
      <c r="F328" s="3">
        <v>42964</v>
      </c>
      <c r="G328" s="2">
        <v>201802</v>
      </c>
      <c r="H328" s="2" t="s">
        <v>74</v>
      </c>
      <c r="I328" s="2" t="s">
        <v>75</v>
      </c>
      <c r="J328" s="2" t="s">
        <v>76</v>
      </c>
      <c r="K328" s="2" t="s">
        <v>77</v>
      </c>
      <c r="L328" s="2" t="s">
        <v>841</v>
      </c>
      <c r="M328" s="2" t="s">
        <v>842</v>
      </c>
      <c r="N328" s="2" t="s">
        <v>843</v>
      </c>
      <c r="O328" s="2" t="s">
        <v>100</v>
      </c>
      <c r="P328" s="2" t="str">
        <f>"2170585462                    "</f>
        <v xml:space="preserve">2170585462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7.75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2</v>
      </c>
      <c r="BJ328" s="2">
        <v>1.8</v>
      </c>
      <c r="BK328" s="2">
        <v>2</v>
      </c>
      <c r="BL328" s="2">
        <v>80.290000000000006</v>
      </c>
      <c r="BM328" s="2">
        <v>11.24</v>
      </c>
      <c r="BN328" s="2">
        <v>91.53</v>
      </c>
      <c r="BO328" s="2">
        <v>91.53</v>
      </c>
      <c r="BP328" s="2"/>
      <c r="BQ328" s="2" t="s">
        <v>83</v>
      </c>
      <c r="BR328" s="2" t="s">
        <v>84</v>
      </c>
      <c r="BS328" s="3">
        <v>42965</v>
      </c>
      <c r="BT328" s="4">
        <v>0.50694444444444442</v>
      </c>
      <c r="BU328" s="2" t="s">
        <v>844</v>
      </c>
      <c r="BV328" s="2" t="s">
        <v>95</v>
      </c>
      <c r="BW328" s="2"/>
      <c r="BX328" s="2"/>
      <c r="BY328" s="2">
        <v>8824.2000000000007</v>
      </c>
      <c r="BZ328" s="2"/>
      <c r="CA328" s="2" t="s">
        <v>845</v>
      </c>
      <c r="CB328" s="2"/>
      <c r="CC328" s="2" t="s">
        <v>842</v>
      </c>
      <c r="CD328" s="2">
        <v>3370</v>
      </c>
      <c r="CE328" s="2" t="s">
        <v>104</v>
      </c>
      <c r="CF328" s="5">
        <v>42969</v>
      </c>
      <c r="CG328" s="2"/>
      <c r="CH328" s="2"/>
      <c r="CI328" s="2">
        <v>3</v>
      </c>
      <c r="CJ328" s="2">
        <v>1</v>
      </c>
      <c r="CK328" s="2">
        <v>23</v>
      </c>
      <c r="CL328" s="2" t="s">
        <v>86</v>
      </c>
      <c r="CM328" s="2"/>
    </row>
    <row r="329" spans="1:91">
      <c r="A329" s="2" t="s">
        <v>71</v>
      </c>
      <c r="B329" s="2" t="s">
        <v>72</v>
      </c>
      <c r="C329" s="2" t="s">
        <v>73</v>
      </c>
      <c r="D329" s="2"/>
      <c r="E329" s="2" t="str">
        <f>"FES1162569582"</f>
        <v>FES1162569582</v>
      </c>
      <c r="F329" s="3">
        <v>42964</v>
      </c>
      <c r="G329" s="2">
        <v>201802</v>
      </c>
      <c r="H329" s="2" t="s">
        <v>74</v>
      </c>
      <c r="I329" s="2" t="s">
        <v>75</v>
      </c>
      <c r="J329" s="2" t="s">
        <v>76</v>
      </c>
      <c r="K329" s="2" t="s">
        <v>77</v>
      </c>
      <c r="L329" s="2" t="s">
        <v>846</v>
      </c>
      <c r="M329" s="2" t="s">
        <v>847</v>
      </c>
      <c r="N329" s="2" t="s">
        <v>848</v>
      </c>
      <c r="O329" s="2" t="s">
        <v>100</v>
      </c>
      <c r="P329" s="2" t="str">
        <f>"2170583784                    "</f>
        <v xml:space="preserve">2170583784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7.75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1</v>
      </c>
      <c r="BJ329" s="2">
        <v>0.2</v>
      </c>
      <c r="BK329" s="2">
        <v>1</v>
      </c>
      <c r="BL329" s="2">
        <v>80.290000000000006</v>
      </c>
      <c r="BM329" s="2">
        <v>11.24</v>
      </c>
      <c r="BN329" s="2">
        <v>91.53</v>
      </c>
      <c r="BO329" s="2">
        <v>91.53</v>
      </c>
      <c r="BP329" s="2"/>
      <c r="BQ329" s="2" t="s">
        <v>108</v>
      </c>
      <c r="BR329" s="2" t="s">
        <v>84</v>
      </c>
      <c r="BS329" s="3">
        <v>42965</v>
      </c>
      <c r="BT329" s="4">
        <v>0.49444444444444446</v>
      </c>
      <c r="BU329" s="2" t="s">
        <v>849</v>
      </c>
      <c r="BV329" s="2" t="s">
        <v>95</v>
      </c>
      <c r="BW329" s="2"/>
      <c r="BX329" s="2"/>
      <c r="BY329" s="2">
        <v>1200</v>
      </c>
      <c r="BZ329" s="2"/>
      <c r="CA329" s="2" t="s">
        <v>850</v>
      </c>
      <c r="CB329" s="2"/>
      <c r="CC329" s="2" t="s">
        <v>847</v>
      </c>
      <c r="CD329" s="2">
        <v>7349</v>
      </c>
      <c r="CE329" s="2" t="s">
        <v>104</v>
      </c>
      <c r="CF329" s="5">
        <v>42968</v>
      </c>
      <c r="CG329" s="2"/>
      <c r="CH329" s="2"/>
      <c r="CI329" s="2">
        <v>1</v>
      </c>
      <c r="CJ329" s="2">
        <v>1</v>
      </c>
      <c r="CK329" s="2">
        <v>23</v>
      </c>
      <c r="CL329" s="2" t="s">
        <v>86</v>
      </c>
      <c r="CM329" s="2"/>
    </row>
    <row r="330" spans="1:91">
      <c r="A330" s="2" t="s">
        <v>71</v>
      </c>
      <c r="B330" s="2" t="s">
        <v>72</v>
      </c>
      <c r="C330" s="2" t="s">
        <v>73</v>
      </c>
      <c r="D330" s="2"/>
      <c r="E330" s="2" t="str">
        <f>"FES1162569595"</f>
        <v>FES1162569595</v>
      </c>
      <c r="F330" s="3">
        <v>42964</v>
      </c>
      <c r="G330" s="2">
        <v>201802</v>
      </c>
      <c r="H330" s="2" t="s">
        <v>74</v>
      </c>
      <c r="I330" s="2" t="s">
        <v>75</v>
      </c>
      <c r="J330" s="2" t="s">
        <v>76</v>
      </c>
      <c r="K330" s="2" t="s">
        <v>77</v>
      </c>
      <c r="L330" s="2" t="s">
        <v>237</v>
      </c>
      <c r="M330" s="2" t="s">
        <v>238</v>
      </c>
      <c r="N330" s="2" t="s">
        <v>399</v>
      </c>
      <c r="O330" s="2" t="s">
        <v>100</v>
      </c>
      <c r="P330" s="2" t="str">
        <f>"2170585404                    "</f>
        <v xml:space="preserve">2170585404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4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0.7</v>
      </c>
      <c r="BJ330" s="2">
        <v>2</v>
      </c>
      <c r="BK330" s="2">
        <v>2</v>
      </c>
      <c r="BL330" s="2">
        <v>41.44</v>
      </c>
      <c r="BM330" s="2">
        <v>5.8</v>
      </c>
      <c r="BN330" s="2">
        <v>47.24</v>
      </c>
      <c r="BO330" s="2">
        <v>47.24</v>
      </c>
      <c r="BP330" s="2"/>
      <c r="BQ330" s="2" t="s">
        <v>365</v>
      </c>
      <c r="BR330" s="2" t="s">
        <v>84</v>
      </c>
      <c r="BS330" s="3">
        <v>42965</v>
      </c>
      <c r="BT330" s="4">
        <v>0.40277777777777773</v>
      </c>
      <c r="BU330" s="2" t="s">
        <v>400</v>
      </c>
      <c r="BV330" s="2" t="s">
        <v>95</v>
      </c>
      <c r="BW330" s="2"/>
      <c r="BX330" s="2"/>
      <c r="BY330" s="2">
        <v>9824.26</v>
      </c>
      <c r="BZ330" s="2"/>
      <c r="CA330" s="2" t="s">
        <v>401</v>
      </c>
      <c r="CB330" s="2"/>
      <c r="CC330" s="2" t="s">
        <v>238</v>
      </c>
      <c r="CD330" s="2">
        <v>3610</v>
      </c>
      <c r="CE330" s="2" t="s">
        <v>104</v>
      </c>
      <c r="CF330" s="5">
        <v>42968</v>
      </c>
      <c r="CG330" s="2"/>
      <c r="CH330" s="2"/>
      <c r="CI330" s="2">
        <v>1</v>
      </c>
      <c r="CJ330" s="2">
        <v>1</v>
      </c>
      <c r="CK330" s="2">
        <v>21</v>
      </c>
      <c r="CL330" s="2" t="s">
        <v>86</v>
      </c>
      <c r="CM330" s="2"/>
    </row>
    <row r="331" spans="1:91">
      <c r="A331" s="2" t="s">
        <v>71</v>
      </c>
      <c r="B331" s="2" t="s">
        <v>72</v>
      </c>
      <c r="C331" s="2" t="s">
        <v>73</v>
      </c>
      <c r="D331" s="2"/>
      <c r="E331" s="2" t="str">
        <f>"FES1162569841"</f>
        <v>FES1162569841</v>
      </c>
      <c r="F331" s="3">
        <v>42964</v>
      </c>
      <c r="G331" s="2">
        <v>201802</v>
      </c>
      <c r="H331" s="2" t="s">
        <v>74</v>
      </c>
      <c r="I331" s="2" t="s">
        <v>75</v>
      </c>
      <c r="J331" s="2" t="s">
        <v>76</v>
      </c>
      <c r="K331" s="2" t="s">
        <v>77</v>
      </c>
      <c r="L331" s="2" t="s">
        <v>105</v>
      </c>
      <c r="M331" s="2" t="s">
        <v>106</v>
      </c>
      <c r="N331" s="2" t="s">
        <v>851</v>
      </c>
      <c r="O331" s="2" t="s">
        <v>100</v>
      </c>
      <c r="P331" s="2" t="str">
        <f>"2170585639                    "</f>
        <v xml:space="preserve">2170585639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4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1</v>
      </c>
      <c r="BJ331" s="2">
        <v>0.2</v>
      </c>
      <c r="BK331" s="2">
        <v>1</v>
      </c>
      <c r="BL331" s="2">
        <v>41.44</v>
      </c>
      <c r="BM331" s="2">
        <v>5.8</v>
      </c>
      <c r="BN331" s="2">
        <v>47.24</v>
      </c>
      <c r="BO331" s="2">
        <v>47.24</v>
      </c>
      <c r="BP331" s="2"/>
      <c r="BQ331" s="2" t="s">
        <v>288</v>
      </c>
      <c r="BR331" s="2" t="s">
        <v>84</v>
      </c>
      <c r="BS331" s="3">
        <v>42965</v>
      </c>
      <c r="BT331" s="4">
        <v>0.5229166666666667</v>
      </c>
      <c r="BU331" s="2" t="s">
        <v>852</v>
      </c>
      <c r="BV331" s="2" t="s">
        <v>86</v>
      </c>
      <c r="BW331" s="2" t="s">
        <v>124</v>
      </c>
      <c r="BX331" s="2" t="s">
        <v>853</v>
      </c>
      <c r="BY331" s="2">
        <v>1200</v>
      </c>
      <c r="BZ331" s="2"/>
      <c r="CA331" s="2" t="s">
        <v>854</v>
      </c>
      <c r="CB331" s="2"/>
      <c r="CC331" s="2" t="s">
        <v>106</v>
      </c>
      <c r="CD331" s="2">
        <v>7800</v>
      </c>
      <c r="CE331" s="2" t="s">
        <v>104</v>
      </c>
      <c r="CF331" s="5">
        <v>42968</v>
      </c>
      <c r="CG331" s="2"/>
      <c r="CH331" s="2"/>
      <c r="CI331" s="2">
        <v>1</v>
      </c>
      <c r="CJ331" s="2">
        <v>1</v>
      </c>
      <c r="CK331" s="2">
        <v>21</v>
      </c>
      <c r="CL331" s="2" t="s">
        <v>86</v>
      </c>
      <c r="CM331" s="2"/>
    </row>
    <row r="332" spans="1:91">
      <c r="A332" s="2" t="s">
        <v>71</v>
      </c>
      <c r="B332" s="2" t="s">
        <v>72</v>
      </c>
      <c r="C332" s="2" t="s">
        <v>73</v>
      </c>
      <c r="D332" s="2"/>
      <c r="E332" s="2" t="str">
        <f>"FES1162569791"</f>
        <v>FES1162569791</v>
      </c>
      <c r="F332" s="3">
        <v>42964</v>
      </c>
      <c r="G332" s="2">
        <v>201802</v>
      </c>
      <c r="H332" s="2" t="s">
        <v>74</v>
      </c>
      <c r="I332" s="2" t="s">
        <v>75</v>
      </c>
      <c r="J332" s="2" t="s">
        <v>76</v>
      </c>
      <c r="K332" s="2" t="s">
        <v>77</v>
      </c>
      <c r="L332" s="2" t="s">
        <v>105</v>
      </c>
      <c r="M332" s="2" t="s">
        <v>106</v>
      </c>
      <c r="N332" s="2" t="s">
        <v>348</v>
      </c>
      <c r="O332" s="2" t="s">
        <v>100</v>
      </c>
      <c r="P332" s="2" t="str">
        <f>"2170585570                    "</f>
        <v xml:space="preserve">2170585570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4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1</v>
      </c>
      <c r="BI332" s="2">
        <v>1</v>
      </c>
      <c r="BJ332" s="2">
        <v>0.2</v>
      </c>
      <c r="BK332" s="2">
        <v>1</v>
      </c>
      <c r="BL332" s="2">
        <v>41.44</v>
      </c>
      <c r="BM332" s="2">
        <v>5.8</v>
      </c>
      <c r="BN332" s="2">
        <v>47.24</v>
      </c>
      <c r="BO332" s="2">
        <v>47.24</v>
      </c>
      <c r="BP332" s="2"/>
      <c r="BQ332" s="2" t="s">
        <v>108</v>
      </c>
      <c r="BR332" s="2" t="s">
        <v>84</v>
      </c>
      <c r="BS332" s="3">
        <v>42965</v>
      </c>
      <c r="BT332" s="4">
        <v>0.47222222222222227</v>
      </c>
      <c r="BU332" s="2" t="s">
        <v>778</v>
      </c>
      <c r="BV332" s="2" t="s">
        <v>95</v>
      </c>
      <c r="BW332" s="2"/>
      <c r="BX332" s="2"/>
      <c r="BY332" s="2">
        <v>1200</v>
      </c>
      <c r="BZ332" s="2"/>
      <c r="CA332" s="2"/>
      <c r="CB332" s="2"/>
      <c r="CC332" s="2" t="s">
        <v>106</v>
      </c>
      <c r="CD332" s="2">
        <v>7945</v>
      </c>
      <c r="CE332" s="2" t="s">
        <v>104</v>
      </c>
      <c r="CF332" s="5">
        <v>42968</v>
      </c>
      <c r="CG332" s="2"/>
      <c r="CH332" s="2"/>
      <c r="CI332" s="2">
        <v>1</v>
      </c>
      <c r="CJ332" s="2">
        <v>1</v>
      </c>
      <c r="CK332" s="2">
        <v>21</v>
      </c>
      <c r="CL332" s="2" t="s">
        <v>86</v>
      </c>
      <c r="CM332" s="2"/>
    </row>
    <row r="333" spans="1:91">
      <c r="A333" s="2" t="s">
        <v>71</v>
      </c>
      <c r="B333" s="2" t="s">
        <v>72</v>
      </c>
      <c r="C333" s="2" t="s">
        <v>73</v>
      </c>
      <c r="D333" s="2"/>
      <c r="E333" s="2" t="str">
        <f>"FES1162569802"</f>
        <v>FES1162569802</v>
      </c>
      <c r="F333" s="3">
        <v>42964</v>
      </c>
      <c r="G333" s="2">
        <v>201802</v>
      </c>
      <c r="H333" s="2" t="s">
        <v>74</v>
      </c>
      <c r="I333" s="2" t="s">
        <v>75</v>
      </c>
      <c r="J333" s="2" t="s">
        <v>76</v>
      </c>
      <c r="K333" s="2" t="s">
        <v>77</v>
      </c>
      <c r="L333" s="2" t="s">
        <v>105</v>
      </c>
      <c r="M333" s="2" t="s">
        <v>106</v>
      </c>
      <c r="N333" s="2" t="s">
        <v>107</v>
      </c>
      <c r="O333" s="2" t="s">
        <v>100</v>
      </c>
      <c r="P333" s="2" t="str">
        <f>"2170585587                    "</f>
        <v xml:space="preserve">2170585587  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4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1</v>
      </c>
      <c r="BJ333" s="2">
        <v>0.2</v>
      </c>
      <c r="BK333" s="2">
        <v>1</v>
      </c>
      <c r="BL333" s="2">
        <v>41.44</v>
      </c>
      <c r="BM333" s="2">
        <v>5.8</v>
      </c>
      <c r="BN333" s="2">
        <v>47.24</v>
      </c>
      <c r="BO333" s="2">
        <v>47.24</v>
      </c>
      <c r="BP333" s="2"/>
      <c r="BQ333" s="2" t="s">
        <v>108</v>
      </c>
      <c r="BR333" s="2" t="s">
        <v>84</v>
      </c>
      <c r="BS333" s="3">
        <v>42965</v>
      </c>
      <c r="BT333" s="4">
        <v>0.52847222222222223</v>
      </c>
      <c r="BU333" s="2" t="s">
        <v>855</v>
      </c>
      <c r="BV333" s="2" t="s">
        <v>86</v>
      </c>
      <c r="BW333" s="2" t="s">
        <v>110</v>
      </c>
      <c r="BX333" s="2" t="s">
        <v>537</v>
      </c>
      <c r="BY333" s="2">
        <v>1200</v>
      </c>
      <c r="BZ333" s="2"/>
      <c r="CA333" s="2" t="s">
        <v>856</v>
      </c>
      <c r="CB333" s="2"/>
      <c r="CC333" s="2" t="s">
        <v>106</v>
      </c>
      <c r="CD333" s="2">
        <v>7405</v>
      </c>
      <c r="CE333" s="2" t="s">
        <v>104</v>
      </c>
      <c r="CF333" s="5">
        <v>42968</v>
      </c>
      <c r="CG333" s="2"/>
      <c r="CH333" s="2"/>
      <c r="CI333" s="2">
        <v>1</v>
      </c>
      <c r="CJ333" s="2">
        <v>1</v>
      </c>
      <c r="CK333" s="2">
        <v>21</v>
      </c>
      <c r="CL333" s="2" t="s">
        <v>86</v>
      </c>
      <c r="CM333" s="2"/>
    </row>
    <row r="334" spans="1:91">
      <c r="A334" s="2" t="s">
        <v>71</v>
      </c>
      <c r="B334" s="2" t="s">
        <v>72</v>
      </c>
      <c r="C334" s="2" t="s">
        <v>73</v>
      </c>
      <c r="D334" s="2"/>
      <c r="E334" s="2" t="str">
        <f>"FES1162569830"</f>
        <v>FES1162569830</v>
      </c>
      <c r="F334" s="3">
        <v>42964</v>
      </c>
      <c r="G334" s="2">
        <v>201802</v>
      </c>
      <c r="H334" s="2" t="s">
        <v>74</v>
      </c>
      <c r="I334" s="2" t="s">
        <v>75</v>
      </c>
      <c r="J334" s="2" t="s">
        <v>76</v>
      </c>
      <c r="K334" s="2" t="s">
        <v>77</v>
      </c>
      <c r="L334" s="2" t="s">
        <v>128</v>
      </c>
      <c r="M334" s="2" t="s">
        <v>129</v>
      </c>
      <c r="N334" s="2" t="s">
        <v>857</v>
      </c>
      <c r="O334" s="2" t="s">
        <v>100</v>
      </c>
      <c r="P334" s="2" t="str">
        <f>"2170585619                    "</f>
        <v xml:space="preserve">2170585619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3.13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1</v>
      </c>
      <c r="BJ334" s="2">
        <v>2.4</v>
      </c>
      <c r="BK334" s="2">
        <v>3</v>
      </c>
      <c r="BL334" s="2">
        <v>32.380000000000003</v>
      </c>
      <c r="BM334" s="2">
        <v>4.53</v>
      </c>
      <c r="BN334" s="2">
        <v>36.909999999999997</v>
      </c>
      <c r="BO334" s="2">
        <v>36.909999999999997</v>
      </c>
      <c r="BP334" s="2"/>
      <c r="BQ334" s="2" t="s">
        <v>288</v>
      </c>
      <c r="BR334" s="2" t="s">
        <v>84</v>
      </c>
      <c r="BS334" s="3">
        <v>42965</v>
      </c>
      <c r="BT334" s="4">
        <v>0.38750000000000001</v>
      </c>
      <c r="BU334" s="2" t="s">
        <v>858</v>
      </c>
      <c r="BV334" s="2" t="s">
        <v>95</v>
      </c>
      <c r="BW334" s="2"/>
      <c r="BX334" s="2"/>
      <c r="BY334" s="2">
        <v>11909.58</v>
      </c>
      <c r="BZ334" s="2"/>
      <c r="CA334" s="2"/>
      <c r="CB334" s="2"/>
      <c r="CC334" s="2" t="s">
        <v>129</v>
      </c>
      <c r="CD334" s="2">
        <v>1709</v>
      </c>
      <c r="CE334" s="2" t="s">
        <v>104</v>
      </c>
      <c r="CF334" s="5">
        <v>42968</v>
      </c>
      <c r="CG334" s="2"/>
      <c r="CH334" s="2"/>
      <c r="CI334" s="2">
        <v>1</v>
      </c>
      <c r="CJ334" s="2">
        <v>1</v>
      </c>
      <c r="CK334" s="2">
        <v>22</v>
      </c>
      <c r="CL334" s="2" t="s">
        <v>86</v>
      </c>
      <c r="CM334" s="2"/>
    </row>
    <row r="335" spans="1:91">
      <c r="A335" s="2" t="s">
        <v>71</v>
      </c>
      <c r="B335" s="2" t="s">
        <v>72</v>
      </c>
      <c r="C335" s="2" t="s">
        <v>73</v>
      </c>
      <c r="D335" s="2"/>
      <c r="E335" s="2" t="str">
        <f>"FES1162569852"</f>
        <v>FES1162569852</v>
      </c>
      <c r="F335" s="3">
        <v>42964</v>
      </c>
      <c r="G335" s="2">
        <v>201802</v>
      </c>
      <c r="H335" s="2" t="s">
        <v>74</v>
      </c>
      <c r="I335" s="2" t="s">
        <v>75</v>
      </c>
      <c r="J335" s="2" t="s">
        <v>76</v>
      </c>
      <c r="K335" s="2" t="s">
        <v>77</v>
      </c>
      <c r="L335" s="2" t="s">
        <v>470</v>
      </c>
      <c r="M335" s="2" t="s">
        <v>471</v>
      </c>
      <c r="N335" s="2" t="s">
        <v>472</v>
      </c>
      <c r="O335" s="2" t="s">
        <v>100</v>
      </c>
      <c r="P335" s="2" t="str">
        <f>"2170585454                    "</f>
        <v xml:space="preserve">2170585454  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7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2</v>
      </c>
      <c r="BJ335" s="2">
        <v>3.3</v>
      </c>
      <c r="BK335" s="2">
        <v>3.5</v>
      </c>
      <c r="BL335" s="2">
        <v>72.52</v>
      </c>
      <c r="BM335" s="2">
        <v>10.15</v>
      </c>
      <c r="BN335" s="2">
        <v>82.67</v>
      </c>
      <c r="BO335" s="2">
        <v>82.67</v>
      </c>
      <c r="BP335" s="2"/>
      <c r="BQ335" s="2" t="s">
        <v>83</v>
      </c>
      <c r="BR335" s="2" t="s">
        <v>84</v>
      </c>
      <c r="BS335" s="3">
        <v>42965</v>
      </c>
      <c r="BT335" s="4">
        <v>0.34236111111111112</v>
      </c>
      <c r="BU335" s="2" t="s">
        <v>859</v>
      </c>
      <c r="BV335" s="2" t="s">
        <v>95</v>
      </c>
      <c r="BW335" s="2"/>
      <c r="BX335" s="2"/>
      <c r="BY335" s="2">
        <v>16432.2</v>
      </c>
      <c r="BZ335" s="2"/>
      <c r="CA335" s="2" t="s">
        <v>703</v>
      </c>
      <c r="CB335" s="2"/>
      <c r="CC335" s="2" t="s">
        <v>471</v>
      </c>
      <c r="CD335" s="2">
        <v>1911</v>
      </c>
      <c r="CE335" s="2" t="s">
        <v>104</v>
      </c>
      <c r="CF335" s="5">
        <v>42968</v>
      </c>
      <c r="CG335" s="2"/>
      <c r="CH335" s="2"/>
      <c r="CI335" s="2">
        <v>1</v>
      </c>
      <c r="CJ335" s="2">
        <v>1</v>
      </c>
      <c r="CK335" s="2">
        <v>21</v>
      </c>
      <c r="CL335" s="2" t="s">
        <v>86</v>
      </c>
      <c r="CM335" s="2"/>
    </row>
    <row r="336" spans="1:91">
      <c r="A336" s="2" t="s">
        <v>71</v>
      </c>
      <c r="B336" s="2" t="s">
        <v>72</v>
      </c>
      <c r="C336" s="2" t="s">
        <v>73</v>
      </c>
      <c r="D336" s="2"/>
      <c r="E336" s="2" t="str">
        <f>"FES1162569834"</f>
        <v>FES1162569834</v>
      </c>
      <c r="F336" s="3">
        <v>42964</v>
      </c>
      <c r="G336" s="2">
        <v>201802</v>
      </c>
      <c r="H336" s="2" t="s">
        <v>74</v>
      </c>
      <c r="I336" s="2" t="s">
        <v>75</v>
      </c>
      <c r="J336" s="2" t="s">
        <v>76</v>
      </c>
      <c r="K336" s="2" t="s">
        <v>77</v>
      </c>
      <c r="L336" s="2" t="s">
        <v>105</v>
      </c>
      <c r="M336" s="2" t="s">
        <v>106</v>
      </c>
      <c r="N336" s="2" t="s">
        <v>644</v>
      </c>
      <c r="O336" s="2" t="s">
        <v>100</v>
      </c>
      <c r="P336" s="2" t="str">
        <f>"2170585626                    "</f>
        <v xml:space="preserve">2170585626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4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1</v>
      </c>
      <c r="BJ336" s="2">
        <v>0.2</v>
      </c>
      <c r="BK336" s="2">
        <v>1</v>
      </c>
      <c r="BL336" s="2">
        <v>41.44</v>
      </c>
      <c r="BM336" s="2">
        <v>5.8</v>
      </c>
      <c r="BN336" s="2">
        <v>47.24</v>
      </c>
      <c r="BO336" s="2">
        <v>47.24</v>
      </c>
      <c r="BP336" s="2"/>
      <c r="BQ336" s="2" t="s">
        <v>108</v>
      </c>
      <c r="BR336" s="2" t="s">
        <v>84</v>
      </c>
      <c r="BS336" s="3">
        <v>42965</v>
      </c>
      <c r="BT336" s="4">
        <v>0.41666666666666669</v>
      </c>
      <c r="BU336" s="2" t="s">
        <v>860</v>
      </c>
      <c r="BV336" s="2" t="s">
        <v>95</v>
      </c>
      <c r="BW336" s="2"/>
      <c r="BX336" s="2"/>
      <c r="BY336" s="2">
        <v>1200</v>
      </c>
      <c r="BZ336" s="2"/>
      <c r="CA336" s="2"/>
      <c r="CB336" s="2"/>
      <c r="CC336" s="2" t="s">
        <v>106</v>
      </c>
      <c r="CD336" s="2">
        <v>7441</v>
      </c>
      <c r="CE336" s="2" t="s">
        <v>104</v>
      </c>
      <c r="CF336" s="5">
        <v>42968</v>
      </c>
      <c r="CG336" s="2"/>
      <c r="CH336" s="2"/>
      <c r="CI336" s="2">
        <v>1</v>
      </c>
      <c r="CJ336" s="2">
        <v>1</v>
      </c>
      <c r="CK336" s="2">
        <v>21</v>
      </c>
      <c r="CL336" s="2" t="s">
        <v>86</v>
      </c>
      <c r="CM336" s="2"/>
    </row>
    <row r="337" spans="1:91">
      <c r="A337" s="2" t="s">
        <v>71</v>
      </c>
      <c r="B337" s="2" t="s">
        <v>72</v>
      </c>
      <c r="C337" s="2" t="s">
        <v>73</v>
      </c>
      <c r="D337" s="2"/>
      <c r="E337" s="2" t="str">
        <f>"FES1162569765"</f>
        <v>FES1162569765</v>
      </c>
      <c r="F337" s="3">
        <v>42964</v>
      </c>
      <c r="G337" s="2">
        <v>201802</v>
      </c>
      <c r="H337" s="2" t="s">
        <v>74</v>
      </c>
      <c r="I337" s="2" t="s">
        <v>75</v>
      </c>
      <c r="J337" s="2" t="s">
        <v>76</v>
      </c>
      <c r="K337" s="2" t="s">
        <v>77</v>
      </c>
      <c r="L337" s="2" t="s">
        <v>446</v>
      </c>
      <c r="M337" s="2" t="s">
        <v>447</v>
      </c>
      <c r="N337" s="2" t="s">
        <v>861</v>
      </c>
      <c r="O337" s="2" t="s">
        <v>100</v>
      </c>
      <c r="P337" s="2" t="str">
        <f>"2170585527                    "</f>
        <v xml:space="preserve">2170585527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5.63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1</v>
      </c>
      <c r="BJ337" s="2">
        <v>0.2</v>
      </c>
      <c r="BK337" s="2">
        <v>1</v>
      </c>
      <c r="BL337" s="2">
        <v>58.28</v>
      </c>
      <c r="BM337" s="2">
        <v>8.16</v>
      </c>
      <c r="BN337" s="2">
        <v>66.44</v>
      </c>
      <c r="BO337" s="2">
        <v>66.44</v>
      </c>
      <c r="BP337" s="2"/>
      <c r="BQ337" s="2" t="s">
        <v>83</v>
      </c>
      <c r="BR337" s="2" t="s">
        <v>84</v>
      </c>
      <c r="BS337" s="3">
        <v>42968</v>
      </c>
      <c r="BT337" s="4">
        <v>0.52430555555555558</v>
      </c>
      <c r="BU337" s="2" t="s">
        <v>862</v>
      </c>
      <c r="BV337" s="2" t="s">
        <v>86</v>
      </c>
      <c r="BW337" s="2" t="s">
        <v>124</v>
      </c>
      <c r="BX337" s="2" t="s">
        <v>199</v>
      </c>
      <c r="BY337" s="2">
        <v>1200</v>
      </c>
      <c r="BZ337" s="2"/>
      <c r="CA337" s="2"/>
      <c r="CB337" s="2"/>
      <c r="CC337" s="2" t="s">
        <v>447</v>
      </c>
      <c r="CD337" s="2">
        <v>1759</v>
      </c>
      <c r="CE337" s="2" t="s">
        <v>104</v>
      </c>
      <c r="CF337" s="5">
        <v>42969</v>
      </c>
      <c r="CG337" s="2"/>
      <c r="CH337" s="2"/>
      <c r="CI337" s="2">
        <v>1</v>
      </c>
      <c r="CJ337" s="2">
        <v>2</v>
      </c>
      <c r="CK337" s="2">
        <v>24</v>
      </c>
      <c r="CL337" s="2" t="s">
        <v>86</v>
      </c>
      <c r="CM337" s="2"/>
    </row>
    <row r="338" spans="1:91">
      <c r="A338" s="2" t="s">
        <v>71</v>
      </c>
      <c r="B338" s="2" t="s">
        <v>72</v>
      </c>
      <c r="C338" s="2" t="s">
        <v>73</v>
      </c>
      <c r="D338" s="2"/>
      <c r="E338" s="2" t="str">
        <f>"FES1162569903"</f>
        <v>FES1162569903</v>
      </c>
      <c r="F338" s="3">
        <v>42965</v>
      </c>
      <c r="G338" s="2">
        <v>201802</v>
      </c>
      <c r="H338" s="2" t="s">
        <v>74</v>
      </c>
      <c r="I338" s="2" t="s">
        <v>75</v>
      </c>
      <c r="J338" s="2" t="s">
        <v>76</v>
      </c>
      <c r="K338" s="2" t="s">
        <v>77</v>
      </c>
      <c r="L338" s="2" t="s">
        <v>268</v>
      </c>
      <c r="M338" s="2" t="s">
        <v>269</v>
      </c>
      <c r="N338" s="2" t="s">
        <v>432</v>
      </c>
      <c r="O338" s="2" t="s">
        <v>100</v>
      </c>
      <c r="P338" s="2" t="str">
        <f>"2170585645                    "</f>
        <v xml:space="preserve">2170585645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7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3.4</v>
      </c>
      <c r="BJ338" s="2">
        <v>2.4</v>
      </c>
      <c r="BK338" s="2">
        <v>3.5</v>
      </c>
      <c r="BL338" s="2">
        <v>72.52</v>
      </c>
      <c r="BM338" s="2">
        <v>10.15</v>
      </c>
      <c r="BN338" s="2">
        <v>82.67</v>
      </c>
      <c r="BO338" s="2">
        <v>82.67</v>
      </c>
      <c r="BP338" s="2"/>
      <c r="BQ338" s="2" t="s">
        <v>288</v>
      </c>
      <c r="BR338" s="2" t="s">
        <v>84</v>
      </c>
      <c r="BS338" s="3">
        <v>42968</v>
      </c>
      <c r="BT338" s="4">
        <v>0.40972222222222227</v>
      </c>
      <c r="BU338" s="2" t="s">
        <v>863</v>
      </c>
      <c r="BV338" s="2" t="s">
        <v>95</v>
      </c>
      <c r="BW338" s="2"/>
      <c r="BX338" s="2"/>
      <c r="BY338" s="2">
        <v>11995.2</v>
      </c>
      <c r="BZ338" s="2"/>
      <c r="CA338" s="2" t="s">
        <v>864</v>
      </c>
      <c r="CB338" s="2"/>
      <c r="CC338" s="2" t="s">
        <v>269</v>
      </c>
      <c r="CD338" s="2">
        <v>117</v>
      </c>
      <c r="CE338" s="2" t="s">
        <v>89</v>
      </c>
      <c r="CF338" s="5">
        <v>42968</v>
      </c>
      <c r="CG338" s="2"/>
      <c r="CH338" s="2"/>
      <c r="CI338" s="2">
        <v>1</v>
      </c>
      <c r="CJ338" s="2">
        <v>1</v>
      </c>
      <c r="CK338" s="2">
        <v>21</v>
      </c>
      <c r="CL338" s="2" t="s">
        <v>86</v>
      </c>
      <c r="CM338" s="2"/>
    </row>
    <row r="339" spans="1:91">
      <c r="A339" s="2" t="s">
        <v>71</v>
      </c>
      <c r="B339" s="2" t="s">
        <v>72</v>
      </c>
      <c r="C339" s="2" t="s">
        <v>73</v>
      </c>
      <c r="D339" s="2"/>
      <c r="E339" s="2" t="str">
        <f>"FES1162569964"</f>
        <v>FES1162569964</v>
      </c>
      <c r="F339" s="3">
        <v>42965</v>
      </c>
      <c r="G339" s="2">
        <v>201802</v>
      </c>
      <c r="H339" s="2" t="s">
        <v>74</v>
      </c>
      <c r="I339" s="2" t="s">
        <v>75</v>
      </c>
      <c r="J339" s="2" t="s">
        <v>76</v>
      </c>
      <c r="K339" s="2" t="s">
        <v>77</v>
      </c>
      <c r="L339" s="2" t="s">
        <v>74</v>
      </c>
      <c r="M339" s="2" t="s">
        <v>75</v>
      </c>
      <c r="N339" s="2" t="s">
        <v>506</v>
      </c>
      <c r="O339" s="2" t="s">
        <v>100</v>
      </c>
      <c r="P339" s="2" t="str">
        <f>"2170585751                    "</f>
        <v xml:space="preserve">2170585751 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3.13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4.3</v>
      </c>
      <c r="BJ339" s="2">
        <v>1.3</v>
      </c>
      <c r="BK339" s="2">
        <v>5</v>
      </c>
      <c r="BL339" s="2">
        <v>32.380000000000003</v>
      </c>
      <c r="BM339" s="2">
        <v>4.53</v>
      </c>
      <c r="BN339" s="2">
        <v>36.909999999999997</v>
      </c>
      <c r="BO339" s="2">
        <v>36.909999999999997</v>
      </c>
      <c r="BP339" s="2"/>
      <c r="BQ339" s="2" t="s">
        <v>288</v>
      </c>
      <c r="BR339" s="2" t="s">
        <v>84</v>
      </c>
      <c r="BS339" s="3">
        <v>42968</v>
      </c>
      <c r="BT339" s="4">
        <v>0.38680555555555557</v>
      </c>
      <c r="BU339" s="2" t="s">
        <v>865</v>
      </c>
      <c r="BV339" s="2" t="s">
        <v>95</v>
      </c>
      <c r="BW339" s="2"/>
      <c r="BX339" s="2"/>
      <c r="BY339" s="2">
        <v>6665.28</v>
      </c>
      <c r="BZ339" s="2"/>
      <c r="CA339" s="2"/>
      <c r="CB339" s="2"/>
      <c r="CC339" s="2" t="s">
        <v>75</v>
      </c>
      <c r="CD339" s="2">
        <v>1609</v>
      </c>
      <c r="CE339" s="2" t="s">
        <v>89</v>
      </c>
      <c r="CF339" s="5">
        <v>42969</v>
      </c>
      <c r="CG339" s="2"/>
      <c r="CH339" s="2"/>
      <c r="CI339" s="2">
        <v>1</v>
      </c>
      <c r="CJ339" s="2">
        <v>1</v>
      </c>
      <c r="CK339" s="2">
        <v>22</v>
      </c>
      <c r="CL339" s="2" t="s">
        <v>86</v>
      </c>
      <c r="CM339" s="2"/>
    </row>
    <row r="340" spans="1:91">
      <c r="A340" s="2" t="s">
        <v>71</v>
      </c>
      <c r="B340" s="2" t="s">
        <v>72</v>
      </c>
      <c r="C340" s="2" t="s">
        <v>73</v>
      </c>
      <c r="D340" s="2"/>
      <c r="E340" s="2" t="str">
        <f>"FES1162570001"</f>
        <v>FES1162570001</v>
      </c>
      <c r="F340" s="3">
        <v>42965</v>
      </c>
      <c r="G340" s="2">
        <v>201802</v>
      </c>
      <c r="H340" s="2" t="s">
        <v>74</v>
      </c>
      <c r="I340" s="2" t="s">
        <v>75</v>
      </c>
      <c r="J340" s="2" t="s">
        <v>76</v>
      </c>
      <c r="K340" s="2" t="s">
        <v>77</v>
      </c>
      <c r="L340" s="2" t="s">
        <v>417</v>
      </c>
      <c r="M340" s="2" t="s">
        <v>417</v>
      </c>
      <c r="N340" s="2" t="s">
        <v>475</v>
      </c>
      <c r="O340" s="2" t="s">
        <v>100</v>
      </c>
      <c r="P340" s="2" t="str">
        <f>"2170585708                    "</f>
        <v xml:space="preserve">2170585708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4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1.3</v>
      </c>
      <c r="BJ340" s="2">
        <v>1.4</v>
      </c>
      <c r="BK340" s="2">
        <v>1.5</v>
      </c>
      <c r="BL340" s="2">
        <v>41.44</v>
      </c>
      <c r="BM340" s="2">
        <v>5.8</v>
      </c>
      <c r="BN340" s="2">
        <v>47.24</v>
      </c>
      <c r="BO340" s="2">
        <v>47.24</v>
      </c>
      <c r="BP340" s="2"/>
      <c r="BQ340" s="2" t="s">
        <v>108</v>
      </c>
      <c r="BR340" s="2" t="s">
        <v>84</v>
      </c>
      <c r="BS340" s="3">
        <v>42968</v>
      </c>
      <c r="BT340" s="4">
        <v>0.48958333333333331</v>
      </c>
      <c r="BU340" s="2" t="s">
        <v>866</v>
      </c>
      <c r="BV340" s="2" t="s">
        <v>95</v>
      </c>
      <c r="BW340" s="2"/>
      <c r="BX340" s="2"/>
      <c r="BY340" s="2">
        <v>7246.32</v>
      </c>
      <c r="BZ340" s="2"/>
      <c r="CA340" s="2" t="s">
        <v>420</v>
      </c>
      <c r="CB340" s="2"/>
      <c r="CC340" s="2" t="s">
        <v>417</v>
      </c>
      <c r="CD340" s="2">
        <v>7646</v>
      </c>
      <c r="CE340" s="2" t="s">
        <v>89</v>
      </c>
      <c r="CF340" s="5">
        <v>42969</v>
      </c>
      <c r="CG340" s="2"/>
      <c r="CH340" s="2"/>
      <c r="CI340" s="2">
        <v>1</v>
      </c>
      <c r="CJ340" s="2">
        <v>1</v>
      </c>
      <c r="CK340" s="2">
        <v>21</v>
      </c>
      <c r="CL340" s="2" t="s">
        <v>86</v>
      </c>
      <c r="CM340" s="2"/>
    </row>
    <row r="341" spans="1:91">
      <c r="A341" s="2" t="s">
        <v>71</v>
      </c>
      <c r="B341" s="2" t="s">
        <v>72</v>
      </c>
      <c r="C341" s="2" t="s">
        <v>73</v>
      </c>
      <c r="D341" s="2"/>
      <c r="E341" s="2" t="str">
        <f>"FES1162570009"</f>
        <v>FES1162570009</v>
      </c>
      <c r="F341" s="3">
        <v>42965</v>
      </c>
      <c r="G341" s="2">
        <v>201802</v>
      </c>
      <c r="H341" s="2" t="s">
        <v>74</v>
      </c>
      <c r="I341" s="2" t="s">
        <v>75</v>
      </c>
      <c r="J341" s="2" t="s">
        <v>76</v>
      </c>
      <c r="K341" s="2" t="s">
        <v>77</v>
      </c>
      <c r="L341" s="2" t="s">
        <v>105</v>
      </c>
      <c r="M341" s="2" t="s">
        <v>106</v>
      </c>
      <c r="N341" s="2" t="s">
        <v>867</v>
      </c>
      <c r="O341" s="2" t="s">
        <v>100</v>
      </c>
      <c r="P341" s="2" t="str">
        <f>"2170585798                    "</f>
        <v xml:space="preserve">2170585798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4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1.9</v>
      </c>
      <c r="BJ341" s="2">
        <v>1.4</v>
      </c>
      <c r="BK341" s="2">
        <v>2</v>
      </c>
      <c r="BL341" s="2">
        <v>41.44</v>
      </c>
      <c r="BM341" s="2">
        <v>5.8</v>
      </c>
      <c r="BN341" s="2">
        <v>47.24</v>
      </c>
      <c r="BO341" s="2">
        <v>47.24</v>
      </c>
      <c r="BP341" s="2"/>
      <c r="BQ341" s="2" t="s">
        <v>288</v>
      </c>
      <c r="BR341" s="2" t="s">
        <v>84</v>
      </c>
      <c r="BS341" s="3">
        <v>42968</v>
      </c>
      <c r="BT341" s="4">
        <v>0.3347222222222222</v>
      </c>
      <c r="BU341" s="2" t="s">
        <v>868</v>
      </c>
      <c r="BV341" s="2" t="s">
        <v>95</v>
      </c>
      <c r="BW341" s="2"/>
      <c r="BX341" s="2"/>
      <c r="BY341" s="2">
        <v>6866.6</v>
      </c>
      <c r="BZ341" s="2"/>
      <c r="CA341" s="2" t="s">
        <v>869</v>
      </c>
      <c r="CB341" s="2"/>
      <c r="CC341" s="2" t="s">
        <v>106</v>
      </c>
      <c r="CD341" s="2">
        <v>7460</v>
      </c>
      <c r="CE341" s="2" t="s">
        <v>89</v>
      </c>
      <c r="CF341" s="5">
        <v>42969</v>
      </c>
      <c r="CG341" s="2"/>
      <c r="CH341" s="2"/>
      <c r="CI341" s="2">
        <v>1</v>
      </c>
      <c r="CJ341" s="2">
        <v>1</v>
      </c>
      <c r="CK341" s="2">
        <v>21</v>
      </c>
      <c r="CL341" s="2" t="s">
        <v>86</v>
      </c>
      <c r="CM341" s="2"/>
    </row>
    <row r="342" spans="1:91">
      <c r="A342" s="2" t="s">
        <v>71</v>
      </c>
      <c r="B342" s="2" t="s">
        <v>72</v>
      </c>
      <c r="C342" s="2" t="s">
        <v>73</v>
      </c>
      <c r="D342" s="2"/>
      <c r="E342" s="2" t="str">
        <f>"FES1162570034"</f>
        <v>FES1162570034</v>
      </c>
      <c r="F342" s="3">
        <v>42965</v>
      </c>
      <c r="G342" s="2">
        <v>201802</v>
      </c>
      <c r="H342" s="2" t="s">
        <v>74</v>
      </c>
      <c r="I342" s="2" t="s">
        <v>75</v>
      </c>
      <c r="J342" s="2" t="s">
        <v>76</v>
      </c>
      <c r="K342" s="2" t="s">
        <v>77</v>
      </c>
      <c r="L342" s="2" t="s">
        <v>105</v>
      </c>
      <c r="M342" s="2" t="s">
        <v>106</v>
      </c>
      <c r="N342" s="2" t="s">
        <v>870</v>
      </c>
      <c r="O342" s="2" t="s">
        <v>100</v>
      </c>
      <c r="P342" s="2" t="str">
        <f>"2170585824                    "</f>
        <v xml:space="preserve">2170585824 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5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2.4</v>
      </c>
      <c r="BJ342" s="2">
        <v>1.4</v>
      </c>
      <c r="BK342" s="2">
        <v>2.5</v>
      </c>
      <c r="BL342" s="2">
        <v>51.8</v>
      </c>
      <c r="BM342" s="2">
        <v>7.25</v>
      </c>
      <c r="BN342" s="2">
        <v>59.05</v>
      </c>
      <c r="BO342" s="2">
        <v>59.05</v>
      </c>
      <c r="BP342" s="2"/>
      <c r="BQ342" s="2" t="s">
        <v>83</v>
      </c>
      <c r="BR342" s="2" t="s">
        <v>84</v>
      </c>
      <c r="BS342" s="3">
        <v>42968</v>
      </c>
      <c r="BT342" s="4">
        <v>0.41666666666666669</v>
      </c>
      <c r="BU342" s="2" t="s">
        <v>392</v>
      </c>
      <c r="BV342" s="2" t="s">
        <v>95</v>
      </c>
      <c r="BW342" s="2"/>
      <c r="BX342" s="2"/>
      <c r="BY342" s="2">
        <v>6987.75</v>
      </c>
      <c r="BZ342" s="2"/>
      <c r="CA342" s="2"/>
      <c r="CB342" s="2"/>
      <c r="CC342" s="2" t="s">
        <v>106</v>
      </c>
      <c r="CD342" s="2">
        <v>8001</v>
      </c>
      <c r="CE342" s="2" t="s">
        <v>89</v>
      </c>
      <c r="CF342" s="5">
        <v>42969</v>
      </c>
      <c r="CG342" s="2"/>
      <c r="CH342" s="2"/>
      <c r="CI342" s="2">
        <v>1</v>
      </c>
      <c r="CJ342" s="2">
        <v>1</v>
      </c>
      <c r="CK342" s="2">
        <v>21</v>
      </c>
      <c r="CL342" s="2" t="s">
        <v>86</v>
      </c>
      <c r="CM342" s="2"/>
    </row>
    <row r="343" spans="1:91">
      <c r="A343" s="2" t="s">
        <v>71</v>
      </c>
      <c r="B343" s="2" t="s">
        <v>72</v>
      </c>
      <c r="C343" s="2" t="s">
        <v>73</v>
      </c>
      <c r="D343" s="2"/>
      <c r="E343" s="2" t="str">
        <f>"FES1162569947"</f>
        <v>FES1162569947</v>
      </c>
      <c r="F343" s="3">
        <v>42965</v>
      </c>
      <c r="G343" s="2">
        <v>201802</v>
      </c>
      <c r="H343" s="2" t="s">
        <v>74</v>
      </c>
      <c r="I343" s="2" t="s">
        <v>75</v>
      </c>
      <c r="J343" s="2" t="s">
        <v>76</v>
      </c>
      <c r="K343" s="2" t="s">
        <v>77</v>
      </c>
      <c r="L343" s="2" t="s">
        <v>417</v>
      </c>
      <c r="M343" s="2" t="s">
        <v>417</v>
      </c>
      <c r="N343" s="2" t="s">
        <v>475</v>
      </c>
      <c r="O343" s="2" t="s">
        <v>100</v>
      </c>
      <c r="P343" s="2" t="str">
        <f>"2170585708                    "</f>
        <v xml:space="preserve">2170585708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8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3.7</v>
      </c>
      <c r="BJ343" s="2">
        <v>3.3</v>
      </c>
      <c r="BK343" s="2">
        <v>4</v>
      </c>
      <c r="BL343" s="2">
        <v>82.88</v>
      </c>
      <c r="BM343" s="2">
        <v>11.6</v>
      </c>
      <c r="BN343" s="2">
        <v>94.48</v>
      </c>
      <c r="BO343" s="2">
        <v>94.48</v>
      </c>
      <c r="BP343" s="2"/>
      <c r="BQ343" s="2" t="s">
        <v>108</v>
      </c>
      <c r="BR343" s="2" t="s">
        <v>84</v>
      </c>
      <c r="BS343" s="3">
        <v>42968</v>
      </c>
      <c r="BT343" s="4">
        <v>0.48958333333333331</v>
      </c>
      <c r="BU343" s="2" t="s">
        <v>866</v>
      </c>
      <c r="BV343" s="2" t="s">
        <v>95</v>
      </c>
      <c r="BW343" s="2"/>
      <c r="BX343" s="2"/>
      <c r="BY343" s="2">
        <v>16631.23</v>
      </c>
      <c r="BZ343" s="2"/>
      <c r="CA343" s="2" t="s">
        <v>420</v>
      </c>
      <c r="CB343" s="2"/>
      <c r="CC343" s="2" t="s">
        <v>417</v>
      </c>
      <c r="CD343" s="2">
        <v>7646</v>
      </c>
      <c r="CE343" s="2" t="s">
        <v>89</v>
      </c>
      <c r="CF343" s="5">
        <v>42968</v>
      </c>
      <c r="CG343" s="2"/>
      <c r="CH343" s="2"/>
      <c r="CI343" s="2">
        <v>1</v>
      </c>
      <c r="CJ343" s="2">
        <v>1</v>
      </c>
      <c r="CK343" s="2">
        <v>21</v>
      </c>
      <c r="CL343" s="2" t="s">
        <v>86</v>
      </c>
      <c r="CM343" s="2"/>
    </row>
    <row r="344" spans="1:91">
      <c r="A344" s="2" t="s">
        <v>71</v>
      </c>
      <c r="B344" s="2" t="s">
        <v>72</v>
      </c>
      <c r="C344" s="2" t="s">
        <v>73</v>
      </c>
      <c r="D344" s="2"/>
      <c r="E344" s="2" t="str">
        <f>"FES1162569913"</f>
        <v>FES1162569913</v>
      </c>
      <c r="F344" s="3">
        <v>42965</v>
      </c>
      <c r="G344" s="2">
        <v>201802</v>
      </c>
      <c r="H344" s="2" t="s">
        <v>74</v>
      </c>
      <c r="I344" s="2" t="s">
        <v>75</v>
      </c>
      <c r="J344" s="2" t="s">
        <v>76</v>
      </c>
      <c r="K344" s="2" t="s">
        <v>77</v>
      </c>
      <c r="L344" s="2" t="s">
        <v>510</v>
      </c>
      <c r="M344" s="2" t="s">
        <v>511</v>
      </c>
      <c r="N344" s="2" t="s">
        <v>512</v>
      </c>
      <c r="O344" s="2" t="s">
        <v>100</v>
      </c>
      <c r="P344" s="2" t="str">
        <f>"2170583600                    "</f>
        <v xml:space="preserve">2170583600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10.01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4.8</v>
      </c>
      <c r="BJ344" s="2">
        <v>4.4000000000000004</v>
      </c>
      <c r="BK344" s="2">
        <v>5</v>
      </c>
      <c r="BL344" s="2">
        <v>103.61</v>
      </c>
      <c r="BM344" s="2">
        <v>14.51</v>
      </c>
      <c r="BN344" s="2">
        <v>118.12</v>
      </c>
      <c r="BO344" s="2">
        <v>118.12</v>
      </c>
      <c r="BP344" s="2"/>
      <c r="BQ344" s="2" t="s">
        <v>288</v>
      </c>
      <c r="BR344" s="2" t="s">
        <v>84</v>
      </c>
      <c r="BS344" s="3">
        <v>42968</v>
      </c>
      <c r="BT344" s="4">
        <v>0.38680555555555557</v>
      </c>
      <c r="BU344" s="2" t="s">
        <v>871</v>
      </c>
      <c r="BV344" s="2" t="s">
        <v>95</v>
      </c>
      <c r="BW344" s="2"/>
      <c r="BX344" s="2"/>
      <c r="BY344" s="2">
        <v>22027.86</v>
      </c>
      <c r="BZ344" s="2"/>
      <c r="CA344" s="2" t="s">
        <v>872</v>
      </c>
      <c r="CB344" s="2"/>
      <c r="CC344" s="2" t="s">
        <v>511</v>
      </c>
      <c r="CD344" s="2">
        <v>6229</v>
      </c>
      <c r="CE344" s="2" t="s">
        <v>89</v>
      </c>
      <c r="CF344" s="5">
        <v>42969</v>
      </c>
      <c r="CG344" s="2"/>
      <c r="CH344" s="2"/>
      <c r="CI344" s="2">
        <v>1</v>
      </c>
      <c r="CJ344" s="2">
        <v>1</v>
      </c>
      <c r="CK344" s="2">
        <v>21</v>
      </c>
      <c r="CL344" s="2" t="s">
        <v>86</v>
      </c>
      <c r="CM344" s="2"/>
    </row>
    <row r="345" spans="1:91">
      <c r="A345" s="2" t="s">
        <v>71</v>
      </c>
      <c r="B345" s="2" t="s">
        <v>72</v>
      </c>
      <c r="C345" s="2" t="s">
        <v>73</v>
      </c>
      <c r="D345" s="2"/>
      <c r="E345" s="2" t="str">
        <f>"FES1162569968"</f>
        <v>FES1162569968</v>
      </c>
      <c r="F345" s="3">
        <v>42965</v>
      </c>
      <c r="G345" s="2">
        <v>201802</v>
      </c>
      <c r="H345" s="2" t="s">
        <v>74</v>
      </c>
      <c r="I345" s="2" t="s">
        <v>75</v>
      </c>
      <c r="J345" s="2" t="s">
        <v>76</v>
      </c>
      <c r="K345" s="2" t="s">
        <v>77</v>
      </c>
      <c r="L345" s="2" t="s">
        <v>105</v>
      </c>
      <c r="M345" s="2" t="s">
        <v>106</v>
      </c>
      <c r="N345" s="2" t="s">
        <v>873</v>
      </c>
      <c r="O345" s="2" t="s">
        <v>100</v>
      </c>
      <c r="P345" s="2" t="str">
        <f>"2170585754                    "</f>
        <v xml:space="preserve">2170585754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4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1.2</v>
      </c>
      <c r="BJ345" s="2">
        <v>1.4</v>
      </c>
      <c r="BK345" s="2">
        <v>1.5</v>
      </c>
      <c r="BL345" s="2">
        <v>41.44</v>
      </c>
      <c r="BM345" s="2">
        <v>5.8</v>
      </c>
      <c r="BN345" s="2">
        <v>47.24</v>
      </c>
      <c r="BO345" s="2">
        <v>47.24</v>
      </c>
      <c r="BP345" s="2"/>
      <c r="BQ345" s="2" t="s">
        <v>83</v>
      </c>
      <c r="BR345" s="2" t="s">
        <v>84</v>
      </c>
      <c r="BS345" s="3">
        <v>42968</v>
      </c>
      <c r="BT345" s="4">
        <v>0.38819444444444445</v>
      </c>
      <c r="BU345" s="2" t="s">
        <v>874</v>
      </c>
      <c r="BV345" s="2" t="s">
        <v>95</v>
      </c>
      <c r="BW345" s="2"/>
      <c r="BX345" s="2"/>
      <c r="BY345" s="2">
        <v>6948.27</v>
      </c>
      <c r="BZ345" s="2"/>
      <c r="CA345" s="2" t="s">
        <v>869</v>
      </c>
      <c r="CB345" s="2"/>
      <c r="CC345" s="2" t="s">
        <v>106</v>
      </c>
      <c r="CD345" s="2">
        <v>7460</v>
      </c>
      <c r="CE345" s="2" t="s">
        <v>89</v>
      </c>
      <c r="CF345" s="5">
        <v>42969</v>
      </c>
      <c r="CG345" s="2"/>
      <c r="CH345" s="2"/>
      <c r="CI345" s="2">
        <v>1</v>
      </c>
      <c r="CJ345" s="2">
        <v>1</v>
      </c>
      <c r="CK345" s="2">
        <v>21</v>
      </c>
      <c r="CL345" s="2" t="s">
        <v>86</v>
      </c>
      <c r="CM345" s="2"/>
    </row>
    <row r="346" spans="1:91">
      <c r="A346" s="2" t="s">
        <v>71</v>
      </c>
      <c r="B346" s="2" t="s">
        <v>72</v>
      </c>
      <c r="C346" s="2" t="s">
        <v>73</v>
      </c>
      <c r="D346" s="2"/>
      <c r="E346" s="2" t="str">
        <f>"FES1162569951"</f>
        <v>FES1162569951</v>
      </c>
      <c r="F346" s="3">
        <v>42965</v>
      </c>
      <c r="G346" s="2">
        <v>201802</v>
      </c>
      <c r="H346" s="2" t="s">
        <v>74</v>
      </c>
      <c r="I346" s="2" t="s">
        <v>75</v>
      </c>
      <c r="J346" s="2" t="s">
        <v>76</v>
      </c>
      <c r="K346" s="2" t="s">
        <v>77</v>
      </c>
      <c r="L346" s="2" t="s">
        <v>97</v>
      </c>
      <c r="M346" s="2" t="s">
        <v>98</v>
      </c>
      <c r="N346" s="2" t="s">
        <v>597</v>
      </c>
      <c r="O346" s="2" t="s">
        <v>100</v>
      </c>
      <c r="P346" s="2" t="str">
        <f>"2170585721                    "</f>
        <v xml:space="preserve">2170585721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7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2</v>
      </c>
      <c r="BJ346" s="2">
        <v>3.4</v>
      </c>
      <c r="BK346" s="2">
        <v>3.5</v>
      </c>
      <c r="BL346" s="2">
        <v>72.52</v>
      </c>
      <c r="BM346" s="2">
        <v>10.15</v>
      </c>
      <c r="BN346" s="2">
        <v>82.67</v>
      </c>
      <c r="BO346" s="2">
        <v>82.67</v>
      </c>
      <c r="BP346" s="2"/>
      <c r="BQ346" s="2" t="s">
        <v>288</v>
      </c>
      <c r="BR346" s="2" t="s">
        <v>84</v>
      </c>
      <c r="BS346" s="3">
        <v>42968</v>
      </c>
      <c r="BT346" s="4">
        <v>0.43541666666666662</v>
      </c>
      <c r="BU346" s="2" t="s">
        <v>599</v>
      </c>
      <c r="BV346" s="2" t="s">
        <v>95</v>
      </c>
      <c r="BW346" s="2"/>
      <c r="BX346" s="2"/>
      <c r="BY346" s="2">
        <v>17242.37</v>
      </c>
      <c r="BZ346" s="2"/>
      <c r="CA346" s="2" t="s">
        <v>600</v>
      </c>
      <c r="CB346" s="2"/>
      <c r="CC346" s="2" t="s">
        <v>98</v>
      </c>
      <c r="CD346" s="2">
        <v>6070</v>
      </c>
      <c r="CE346" s="2" t="s">
        <v>89</v>
      </c>
      <c r="CF346" s="5">
        <v>42969</v>
      </c>
      <c r="CG346" s="2"/>
      <c r="CH346" s="2"/>
      <c r="CI346" s="2">
        <v>1</v>
      </c>
      <c r="CJ346" s="2">
        <v>1</v>
      </c>
      <c r="CK346" s="2">
        <v>21</v>
      </c>
      <c r="CL346" s="2" t="s">
        <v>86</v>
      </c>
      <c r="CM346" s="2"/>
    </row>
    <row r="347" spans="1:91">
      <c r="A347" s="2" t="s">
        <v>71</v>
      </c>
      <c r="B347" s="2" t="s">
        <v>72</v>
      </c>
      <c r="C347" s="2" t="s">
        <v>73</v>
      </c>
      <c r="D347" s="2"/>
      <c r="E347" s="2" t="str">
        <f>"FES1162569909"</f>
        <v>FES1162569909</v>
      </c>
      <c r="F347" s="3">
        <v>42965</v>
      </c>
      <c r="G347" s="2">
        <v>201802</v>
      </c>
      <c r="H347" s="2" t="s">
        <v>74</v>
      </c>
      <c r="I347" s="2" t="s">
        <v>75</v>
      </c>
      <c r="J347" s="2" t="s">
        <v>76</v>
      </c>
      <c r="K347" s="2" t="s">
        <v>77</v>
      </c>
      <c r="L347" s="2" t="s">
        <v>417</v>
      </c>
      <c r="M347" s="2" t="s">
        <v>417</v>
      </c>
      <c r="N347" s="2" t="s">
        <v>475</v>
      </c>
      <c r="O347" s="2" t="s">
        <v>100</v>
      </c>
      <c r="P347" s="2" t="str">
        <f>"2170583403                    "</f>
        <v xml:space="preserve">2170583403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7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2.2999999999999998</v>
      </c>
      <c r="BJ347" s="2">
        <v>3.4</v>
      </c>
      <c r="BK347" s="2">
        <v>3.5</v>
      </c>
      <c r="BL347" s="2">
        <v>72.52</v>
      </c>
      <c r="BM347" s="2">
        <v>10.15</v>
      </c>
      <c r="BN347" s="2">
        <v>82.67</v>
      </c>
      <c r="BO347" s="2">
        <v>82.67</v>
      </c>
      <c r="BP347" s="2"/>
      <c r="BQ347" s="2" t="s">
        <v>108</v>
      </c>
      <c r="BR347" s="2" t="s">
        <v>84</v>
      </c>
      <c r="BS347" s="3">
        <v>42968</v>
      </c>
      <c r="BT347" s="4">
        <v>0.48958333333333331</v>
      </c>
      <c r="BU347" s="2" t="s">
        <v>866</v>
      </c>
      <c r="BV347" s="2" t="s">
        <v>95</v>
      </c>
      <c r="BW347" s="2"/>
      <c r="BX347" s="2"/>
      <c r="BY347" s="2">
        <v>16828.349999999999</v>
      </c>
      <c r="BZ347" s="2"/>
      <c r="CA347" s="2" t="s">
        <v>420</v>
      </c>
      <c r="CB347" s="2"/>
      <c r="CC347" s="2" t="s">
        <v>417</v>
      </c>
      <c r="CD347" s="2">
        <v>7646</v>
      </c>
      <c r="CE347" s="2" t="s">
        <v>89</v>
      </c>
      <c r="CF347" s="5">
        <v>42968</v>
      </c>
      <c r="CG347" s="2"/>
      <c r="CH347" s="2"/>
      <c r="CI347" s="2">
        <v>1</v>
      </c>
      <c r="CJ347" s="2">
        <v>1</v>
      </c>
      <c r="CK347" s="2">
        <v>21</v>
      </c>
      <c r="CL347" s="2" t="s">
        <v>86</v>
      </c>
      <c r="CM347" s="2"/>
    </row>
    <row r="348" spans="1:91">
      <c r="A348" s="2" t="s">
        <v>71</v>
      </c>
      <c r="B348" s="2" t="s">
        <v>72</v>
      </c>
      <c r="C348" s="2" t="s">
        <v>73</v>
      </c>
      <c r="D348" s="2"/>
      <c r="E348" s="2" t="str">
        <f>"FES1162569914"</f>
        <v>FES1162569914</v>
      </c>
      <c r="F348" s="3">
        <v>42965</v>
      </c>
      <c r="G348" s="2">
        <v>201802</v>
      </c>
      <c r="H348" s="2" t="s">
        <v>74</v>
      </c>
      <c r="I348" s="2" t="s">
        <v>75</v>
      </c>
      <c r="J348" s="2" t="s">
        <v>76</v>
      </c>
      <c r="K348" s="2" t="s">
        <v>77</v>
      </c>
      <c r="L348" s="2" t="s">
        <v>74</v>
      </c>
      <c r="M348" s="2" t="s">
        <v>75</v>
      </c>
      <c r="N348" s="2" t="s">
        <v>264</v>
      </c>
      <c r="O348" s="2" t="s">
        <v>100</v>
      </c>
      <c r="P348" s="2" t="str">
        <f>"2170583614                    "</f>
        <v xml:space="preserve">2170583614 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3.13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1</v>
      </c>
      <c r="BI348" s="2">
        <v>6.5</v>
      </c>
      <c r="BJ348" s="2">
        <v>3.4</v>
      </c>
      <c r="BK348" s="2">
        <v>7</v>
      </c>
      <c r="BL348" s="2">
        <v>32.380000000000003</v>
      </c>
      <c r="BM348" s="2">
        <v>4.53</v>
      </c>
      <c r="BN348" s="2">
        <v>36.909999999999997</v>
      </c>
      <c r="BO348" s="2">
        <v>36.909999999999997</v>
      </c>
      <c r="BP348" s="2"/>
      <c r="BQ348" s="2" t="s">
        <v>288</v>
      </c>
      <c r="BR348" s="2" t="s">
        <v>84</v>
      </c>
      <c r="BS348" s="3">
        <v>42968</v>
      </c>
      <c r="BT348" s="4">
        <v>0.3659722222222222</v>
      </c>
      <c r="BU348" s="2" t="s">
        <v>875</v>
      </c>
      <c r="BV348" s="2" t="s">
        <v>95</v>
      </c>
      <c r="BW348" s="2"/>
      <c r="BX348" s="2"/>
      <c r="BY348" s="2">
        <v>16792.349999999999</v>
      </c>
      <c r="BZ348" s="2"/>
      <c r="CA348" s="2" t="s">
        <v>267</v>
      </c>
      <c r="CB348" s="2"/>
      <c r="CC348" s="2" t="s">
        <v>75</v>
      </c>
      <c r="CD348" s="2">
        <v>1645</v>
      </c>
      <c r="CE348" s="2" t="s">
        <v>89</v>
      </c>
      <c r="CF348" s="5">
        <v>42969</v>
      </c>
      <c r="CG348" s="2"/>
      <c r="CH348" s="2"/>
      <c r="CI348" s="2">
        <v>1</v>
      </c>
      <c r="CJ348" s="2">
        <v>1</v>
      </c>
      <c r="CK348" s="2">
        <v>22</v>
      </c>
      <c r="CL348" s="2" t="s">
        <v>86</v>
      </c>
      <c r="CM348" s="2"/>
    </row>
    <row r="349" spans="1:91">
      <c r="A349" s="2" t="s">
        <v>71</v>
      </c>
      <c r="B349" s="2" t="s">
        <v>72</v>
      </c>
      <c r="C349" s="2" t="s">
        <v>73</v>
      </c>
      <c r="D349" s="2"/>
      <c r="E349" s="2" t="str">
        <f>"FES1162569596"</f>
        <v>FES1162569596</v>
      </c>
      <c r="F349" s="3">
        <v>42965</v>
      </c>
      <c r="G349" s="2">
        <v>201802</v>
      </c>
      <c r="H349" s="2" t="s">
        <v>74</v>
      </c>
      <c r="I349" s="2" t="s">
        <v>75</v>
      </c>
      <c r="J349" s="2" t="s">
        <v>76</v>
      </c>
      <c r="K349" s="2" t="s">
        <v>77</v>
      </c>
      <c r="L349" s="2" t="s">
        <v>268</v>
      </c>
      <c r="M349" s="2" t="s">
        <v>269</v>
      </c>
      <c r="N349" s="2" t="s">
        <v>876</v>
      </c>
      <c r="O349" s="2" t="s">
        <v>100</v>
      </c>
      <c r="P349" s="2" t="str">
        <f>"2170585407                    "</f>
        <v xml:space="preserve">2170585407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4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0.5</v>
      </c>
      <c r="BJ349" s="2">
        <v>1.7</v>
      </c>
      <c r="BK349" s="2">
        <v>2</v>
      </c>
      <c r="BL349" s="2">
        <v>41.44</v>
      </c>
      <c r="BM349" s="2">
        <v>5.8</v>
      </c>
      <c r="BN349" s="2">
        <v>47.24</v>
      </c>
      <c r="BO349" s="2">
        <v>47.24</v>
      </c>
      <c r="BP349" s="2"/>
      <c r="BQ349" s="2" t="s">
        <v>83</v>
      </c>
      <c r="BR349" s="2" t="s">
        <v>84</v>
      </c>
      <c r="BS349" s="3">
        <v>42969</v>
      </c>
      <c r="BT349" s="4">
        <v>0.36805555555555558</v>
      </c>
      <c r="BU349" s="2" t="s">
        <v>877</v>
      </c>
      <c r="BV349" s="2" t="s">
        <v>86</v>
      </c>
      <c r="BW349" s="2" t="s">
        <v>124</v>
      </c>
      <c r="BX349" s="2" t="s">
        <v>623</v>
      </c>
      <c r="BY349" s="2">
        <v>8707.31</v>
      </c>
      <c r="BZ349" s="2"/>
      <c r="CA349" s="2" t="s">
        <v>878</v>
      </c>
      <c r="CB349" s="2"/>
      <c r="CC349" s="2" t="s">
        <v>269</v>
      </c>
      <c r="CD349" s="2">
        <v>186</v>
      </c>
      <c r="CE349" s="2" t="s">
        <v>89</v>
      </c>
      <c r="CF349" s="5">
        <v>42970</v>
      </c>
      <c r="CG349" s="2"/>
      <c r="CH349" s="2"/>
      <c r="CI349" s="2">
        <v>1</v>
      </c>
      <c r="CJ349" s="2">
        <v>2</v>
      </c>
      <c r="CK349" s="2">
        <v>21</v>
      </c>
      <c r="CL349" s="2" t="s">
        <v>86</v>
      </c>
      <c r="CM349" s="2"/>
    </row>
    <row r="350" spans="1:91">
      <c r="A350" s="2" t="s">
        <v>71</v>
      </c>
      <c r="B350" s="2" t="s">
        <v>72</v>
      </c>
      <c r="C350" s="2" t="s">
        <v>73</v>
      </c>
      <c r="D350" s="2"/>
      <c r="E350" s="2" t="str">
        <f>"FES1162569910"</f>
        <v>FES1162569910</v>
      </c>
      <c r="F350" s="3">
        <v>42965</v>
      </c>
      <c r="G350" s="2">
        <v>201802</v>
      </c>
      <c r="H350" s="2" t="s">
        <v>74</v>
      </c>
      <c r="I350" s="2" t="s">
        <v>75</v>
      </c>
      <c r="J350" s="2" t="s">
        <v>76</v>
      </c>
      <c r="K350" s="2" t="s">
        <v>77</v>
      </c>
      <c r="L350" s="2" t="s">
        <v>105</v>
      </c>
      <c r="M350" s="2" t="s">
        <v>106</v>
      </c>
      <c r="N350" s="2" t="s">
        <v>397</v>
      </c>
      <c r="O350" s="2" t="s">
        <v>100</v>
      </c>
      <c r="P350" s="2" t="str">
        <f>"2170583571                    "</f>
        <v xml:space="preserve">2170583571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8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1</v>
      </c>
      <c r="BI350" s="2">
        <v>3.9</v>
      </c>
      <c r="BJ350" s="2">
        <v>3.5</v>
      </c>
      <c r="BK350" s="2">
        <v>4</v>
      </c>
      <c r="BL350" s="2">
        <v>82.88</v>
      </c>
      <c r="BM350" s="2">
        <v>11.6</v>
      </c>
      <c r="BN350" s="2">
        <v>94.48</v>
      </c>
      <c r="BO350" s="2">
        <v>94.48</v>
      </c>
      <c r="BP350" s="2"/>
      <c r="BQ350" s="2" t="s">
        <v>108</v>
      </c>
      <c r="BR350" s="2" t="s">
        <v>84</v>
      </c>
      <c r="BS350" s="3">
        <v>42968</v>
      </c>
      <c r="BT350" s="4">
        <v>0.4236111111111111</v>
      </c>
      <c r="BU350" s="2" t="s">
        <v>879</v>
      </c>
      <c r="BV350" s="2" t="s">
        <v>95</v>
      </c>
      <c r="BW350" s="2"/>
      <c r="BX350" s="2"/>
      <c r="BY350" s="2">
        <v>17355.259999999998</v>
      </c>
      <c r="BZ350" s="2"/>
      <c r="CA350" s="2"/>
      <c r="CB350" s="2"/>
      <c r="CC350" s="2" t="s">
        <v>106</v>
      </c>
      <c r="CD350" s="2">
        <v>7530</v>
      </c>
      <c r="CE350" s="2" t="s">
        <v>89</v>
      </c>
      <c r="CF350" s="5">
        <v>42969</v>
      </c>
      <c r="CG350" s="2"/>
      <c r="CH350" s="2"/>
      <c r="CI350" s="2">
        <v>1</v>
      </c>
      <c r="CJ350" s="2">
        <v>1</v>
      </c>
      <c r="CK350" s="2">
        <v>21</v>
      </c>
      <c r="CL350" s="2" t="s">
        <v>86</v>
      </c>
      <c r="CM350" s="2"/>
    </row>
    <row r="351" spans="1:91">
      <c r="A351" s="2" t="s">
        <v>71</v>
      </c>
      <c r="B351" s="2" t="s">
        <v>72</v>
      </c>
      <c r="C351" s="2" t="s">
        <v>73</v>
      </c>
      <c r="D351" s="2"/>
      <c r="E351" s="2" t="str">
        <f>"FES1162569972"</f>
        <v>FES1162569972</v>
      </c>
      <c r="F351" s="3">
        <v>42965</v>
      </c>
      <c r="G351" s="2">
        <v>201802</v>
      </c>
      <c r="H351" s="2" t="s">
        <v>74</v>
      </c>
      <c r="I351" s="2" t="s">
        <v>75</v>
      </c>
      <c r="J351" s="2" t="s">
        <v>76</v>
      </c>
      <c r="K351" s="2" t="s">
        <v>77</v>
      </c>
      <c r="L351" s="2" t="s">
        <v>105</v>
      </c>
      <c r="M351" s="2" t="s">
        <v>106</v>
      </c>
      <c r="N351" s="2" t="s">
        <v>880</v>
      </c>
      <c r="O351" s="2" t="s">
        <v>100</v>
      </c>
      <c r="P351" s="2" t="str">
        <f>"2170585757                    "</f>
        <v xml:space="preserve">2170585757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10.01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1</v>
      </c>
      <c r="BI351" s="2">
        <v>4.5999999999999996</v>
      </c>
      <c r="BJ351" s="2">
        <v>1.6</v>
      </c>
      <c r="BK351" s="2">
        <v>5</v>
      </c>
      <c r="BL351" s="2">
        <v>103.61</v>
      </c>
      <c r="BM351" s="2">
        <v>14.51</v>
      </c>
      <c r="BN351" s="2">
        <v>118.12</v>
      </c>
      <c r="BO351" s="2">
        <v>118.12</v>
      </c>
      <c r="BP351" s="2"/>
      <c r="BQ351" s="2" t="s">
        <v>83</v>
      </c>
      <c r="BR351" s="2" t="s">
        <v>84</v>
      </c>
      <c r="BS351" s="3">
        <v>42968</v>
      </c>
      <c r="BT351" s="4">
        <v>0.33263888888888887</v>
      </c>
      <c r="BU351" s="2" t="s">
        <v>881</v>
      </c>
      <c r="BV351" s="2" t="s">
        <v>95</v>
      </c>
      <c r="BW351" s="2"/>
      <c r="BX351" s="2"/>
      <c r="BY351" s="2">
        <v>8138.52</v>
      </c>
      <c r="BZ351" s="2"/>
      <c r="CA351" s="2" t="s">
        <v>654</v>
      </c>
      <c r="CB351" s="2"/>
      <c r="CC351" s="2" t="s">
        <v>106</v>
      </c>
      <c r="CD351" s="2">
        <v>7493</v>
      </c>
      <c r="CE351" s="2" t="s">
        <v>89</v>
      </c>
      <c r="CF351" s="5">
        <v>42969</v>
      </c>
      <c r="CG351" s="2"/>
      <c r="CH351" s="2"/>
      <c r="CI351" s="2">
        <v>1</v>
      </c>
      <c r="CJ351" s="2">
        <v>1</v>
      </c>
      <c r="CK351" s="2">
        <v>21</v>
      </c>
      <c r="CL351" s="2" t="s">
        <v>86</v>
      </c>
      <c r="CM351" s="2"/>
    </row>
    <row r="352" spans="1:91">
      <c r="A352" s="2" t="s">
        <v>71</v>
      </c>
      <c r="B352" s="2" t="s">
        <v>72</v>
      </c>
      <c r="C352" s="2" t="s">
        <v>73</v>
      </c>
      <c r="D352" s="2"/>
      <c r="E352" s="2" t="str">
        <f>"FES1162569960"</f>
        <v>FES1162569960</v>
      </c>
      <c r="F352" s="3">
        <v>42965</v>
      </c>
      <c r="G352" s="2">
        <v>201802</v>
      </c>
      <c r="H352" s="2" t="s">
        <v>74</v>
      </c>
      <c r="I352" s="2" t="s">
        <v>75</v>
      </c>
      <c r="J352" s="2" t="s">
        <v>76</v>
      </c>
      <c r="K352" s="2" t="s">
        <v>77</v>
      </c>
      <c r="L352" s="2" t="s">
        <v>244</v>
      </c>
      <c r="M352" s="2" t="s">
        <v>245</v>
      </c>
      <c r="N352" s="2" t="s">
        <v>882</v>
      </c>
      <c r="O352" s="2" t="s">
        <v>100</v>
      </c>
      <c r="P352" s="2" t="str">
        <f>"2170585747                    "</f>
        <v xml:space="preserve">2170585747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3.88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4.0999999999999996</v>
      </c>
      <c r="BJ352" s="2">
        <v>9.1</v>
      </c>
      <c r="BK352" s="2">
        <v>10</v>
      </c>
      <c r="BL352" s="2">
        <v>40.15</v>
      </c>
      <c r="BM352" s="2">
        <v>5.62</v>
      </c>
      <c r="BN352" s="2">
        <v>45.77</v>
      </c>
      <c r="BO352" s="2">
        <v>45.77</v>
      </c>
      <c r="BP352" s="2"/>
      <c r="BQ352" s="2" t="s">
        <v>108</v>
      </c>
      <c r="BR352" s="2" t="s">
        <v>84</v>
      </c>
      <c r="BS352" s="3">
        <v>42968</v>
      </c>
      <c r="BT352" s="4">
        <v>0.3659722222222222</v>
      </c>
      <c r="BU352" s="2" t="s">
        <v>883</v>
      </c>
      <c r="BV352" s="2" t="s">
        <v>95</v>
      </c>
      <c r="BW352" s="2"/>
      <c r="BX352" s="2"/>
      <c r="BY352" s="2">
        <v>45582.98</v>
      </c>
      <c r="BZ352" s="2"/>
      <c r="CA352" s="2" t="s">
        <v>733</v>
      </c>
      <c r="CB352" s="2"/>
      <c r="CC352" s="2" t="s">
        <v>245</v>
      </c>
      <c r="CD352" s="2">
        <v>1459</v>
      </c>
      <c r="CE352" s="2" t="s">
        <v>89</v>
      </c>
      <c r="CF352" s="5">
        <v>42969</v>
      </c>
      <c r="CG352" s="2"/>
      <c r="CH352" s="2"/>
      <c r="CI352" s="2">
        <v>1</v>
      </c>
      <c r="CJ352" s="2">
        <v>1</v>
      </c>
      <c r="CK352" s="2">
        <v>22</v>
      </c>
      <c r="CL352" s="2" t="s">
        <v>86</v>
      </c>
      <c r="CM352" s="2"/>
    </row>
    <row r="353" spans="1:91">
      <c r="A353" s="2" t="s">
        <v>71</v>
      </c>
      <c r="B353" s="2" t="s">
        <v>72</v>
      </c>
      <c r="C353" s="2" t="s">
        <v>73</v>
      </c>
      <c r="D353" s="2"/>
      <c r="E353" s="2" t="str">
        <f>"FES1162569959"</f>
        <v>FES1162569959</v>
      </c>
      <c r="F353" s="3">
        <v>42965</v>
      </c>
      <c r="G353" s="2">
        <v>201802</v>
      </c>
      <c r="H353" s="2" t="s">
        <v>74</v>
      </c>
      <c r="I353" s="2" t="s">
        <v>75</v>
      </c>
      <c r="J353" s="2" t="s">
        <v>76</v>
      </c>
      <c r="K353" s="2" t="s">
        <v>77</v>
      </c>
      <c r="L353" s="2" t="s">
        <v>105</v>
      </c>
      <c r="M353" s="2" t="s">
        <v>106</v>
      </c>
      <c r="N353" s="2" t="s">
        <v>884</v>
      </c>
      <c r="O353" s="2" t="s">
        <v>100</v>
      </c>
      <c r="P353" s="2" t="str">
        <f>"2170585746                    "</f>
        <v xml:space="preserve">2170585746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7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3.5</v>
      </c>
      <c r="BJ353" s="2">
        <v>3.3</v>
      </c>
      <c r="BK353" s="2">
        <v>3.5</v>
      </c>
      <c r="BL353" s="2">
        <v>72.52</v>
      </c>
      <c r="BM353" s="2">
        <v>10.15</v>
      </c>
      <c r="BN353" s="2">
        <v>82.67</v>
      </c>
      <c r="BO353" s="2">
        <v>82.67</v>
      </c>
      <c r="BP353" s="2"/>
      <c r="BQ353" s="2" t="s">
        <v>288</v>
      </c>
      <c r="BR353" s="2" t="s">
        <v>84</v>
      </c>
      <c r="BS353" s="3">
        <v>42968</v>
      </c>
      <c r="BT353" s="4">
        <v>0.41666666666666669</v>
      </c>
      <c r="BU353" s="2" t="s">
        <v>392</v>
      </c>
      <c r="BV353" s="2" t="s">
        <v>95</v>
      </c>
      <c r="BW353" s="2"/>
      <c r="BX353" s="2"/>
      <c r="BY353" s="2">
        <v>16285.5</v>
      </c>
      <c r="BZ353" s="2"/>
      <c r="CA353" s="2"/>
      <c r="CB353" s="2"/>
      <c r="CC353" s="2" t="s">
        <v>106</v>
      </c>
      <c r="CD353" s="2">
        <v>7570</v>
      </c>
      <c r="CE353" s="2" t="s">
        <v>89</v>
      </c>
      <c r="CF353" s="5">
        <v>42969</v>
      </c>
      <c r="CG353" s="2"/>
      <c r="CH353" s="2"/>
      <c r="CI353" s="2">
        <v>1</v>
      </c>
      <c r="CJ353" s="2">
        <v>1</v>
      </c>
      <c r="CK353" s="2">
        <v>21</v>
      </c>
      <c r="CL353" s="2" t="s">
        <v>86</v>
      </c>
      <c r="CM353" s="2"/>
    </row>
    <row r="354" spans="1:91">
      <c r="A354" s="2" t="s">
        <v>71</v>
      </c>
      <c r="B354" s="2" t="s">
        <v>72</v>
      </c>
      <c r="C354" s="2" t="s">
        <v>73</v>
      </c>
      <c r="D354" s="2"/>
      <c r="E354" s="2" t="str">
        <f>"FES1162570043"</f>
        <v>FES1162570043</v>
      </c>
      <c r="F354" s="3">
        <v>42965</v>
      </c>
      <c r="G354" s="2">
        <v>201802</v>
      </c>
      <c r="H354" s="2" t="s">
        <v>74</v>
      </c>
      <c r="I354" s="2" t="s">
        <v>75</v>
      </c>
      <c r="J354" s="2" t="s">
        <v>76</v>
      </c>
      <c r="K354" s="2" t="s">
        <v>77</v>
      </c>
      <c r="L354" s="2" t="s">
        <v>105</v>
      </c>
      <c r="M354" s="2" t="s">
        <v>106</v>
      </c>
      <c r="N354" s="2" t="s">
        <v>885</v>
      </c>
      <c r="O354" s="2" t="s">
        <v>100</v>
      </c>
      <c r="P354" s="2" t="str">
        <f>"2170585835                    "</f>
        <v xml:space="preserve">2170585835 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12.01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4.3</v>
      </c>
      <c r="BJ354" s="2">
        <v>5.9</v>
      </c>
      <c r="BK354" s="2">
        <v>6</v>
      </c>
      <c r="BL354" s="2">
        <v>124.33</v>
      </c>
      <c r="BM354" s="2">
        <v>17.41</v>
      </c>
      <c r="BN354" s="2">
        <v>141.74</v>
      </c>
      <c r="BO354" s="2">
        <v>141.74</v>
      </c>
      <c r="BP354" s="2"/>
      <c r="BQ354" s="2" t="s">
        <v>209</v>
      </c>
      <c r="BR354" s="2" t="s">
        <v>84</v>
      </c>
      <c r="BS354" s="3">
        <v>42968</v>
      </c>
      <c r="BT354" s="4">
        <v>0.36041666666666666</v>
      </c>
      <c r="BU354" s="2" t="s">
        <v>886</v>
      </c>
      <c r="BV354" s="2" t="s">
        <v>95</v>
      </c>
      <c r="BW354" s="2"/>
      <c r="BX354" s="2"/>
      <c r="BY354" s="2">
        <v>29349.279999999999</v>
      </c>
      <c r="BZ354" s="2"/>
      <c r="CA354" s="2" t="s">
        <v>488</v>
      </c>
      <c r="CB354" s="2"/>
      <c r="CC354" s="2" t="s">
        <v>106</v>
      </c>
      <c r="CD354" s="2">
        <v>7441</v>
      </c>
      <c r="CE354" s="2" t="s">
        <v>89</v>
      </c>
      <c r="CF354" s="5">
        <v>42969</v>
      </c>
      <c r="CG354" s="2"/>
      <c r="CH354" s="2"/>
      <c r="CI354" s="2">
        <v>1</v>
      </c>
      <c r="CJ354" s="2">
        <v>1</v>
      </c>
      <c r="CK354" s="2">
        <v>21</v>
      </c>
      <c r="CL354" s="2" t="s">
        <v>86</v>
      </c>
      <c r="CM354" s="2"/>
    </row>
    <row r="355" spans="1:91">
      <c r="A355" s="2" t="s">
        <v>71</v>
      </c>
      <c r="B355" s="2" t="s">
        <v>72</v>
      </c>
      <c r="C355" s="2" t="s">
        <v>73</v>
      </c>
      <c r="D355" s="2"/>
      <c r="E355" s="2" t="str">
        <f>"FES1162569907"</f>
        <v>FES1162569907</v>
      </c>
      <c r="F355" s="3">
        <v>42965</v>
      </c>
      <c r="G355" s="2">
        <v>201802</v>
      </c>
      <c r="H355" s="2" t="s">
        <v>74</v>
      </c>
      <c r="I355" s="2" t="s">
        <v>75</v>
      </c>
      <c r="J355" s="2" t="s">
        <v>76</v>
      </c>
      <c r="K355" s="2" t="s">
        <v>77</v>
      </c>
      <c r="L355" s="2" t="s">
        <v>311</v>
      </c>
      <c r="M355" s="2" t="s">
        <v>312</v>
      </c>
      <c r="N355" s="2" t="s">
        <v>887</v>
      </c>
      <c r="O355" s="2" t="s">
        <v>100</v>
      </c>
      <c r="P355" s="2" t="str">
        <f>"2170582843                    "</f>
        <v xml:space="preserve">2170582843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3.13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4.2</v>
      </c>
      <c r="BJ355" s="2">
        <v>1.8</v>
      </c>
      <c r="BK355" s="2">
        <v>5</v>
      </c>
      <c r="BL355" s="2">
        <v>32.380000000000003</v>
      </c>
      <c r="BM355" s="2">
        <v>4.53</v>
      </c>
      <c r="BN355" s="2">
        <v>36.909999999999997</v>
      </c>
      <c r="BO355" s="2">
        <v>36.909999999999997</v>
      </c>
      <c r="BP355" s="2"/>
      <c r="BQ355" s="2" t="s">
        <v>288</v>
      </c>
      <c r="BR355" s="2" t="s">
        <v>84</v>
      </c>
      <c r="BS355" s="3">
        <v>42968</v>
      </c>
      <c r="BT355" s="4">
        <v>0.38611111111111113</v>
      </c>
      <c r="BU355" s="2" t="s">
        <v>888</v>
      </c>
      <c r="BV355" s="2" t="s">
        <v>95</v>
      </c>
      <c r="BW355" s="2"/>
      <c r="BX355" s="2"/>
      <c r="BY355" s="2">
        <v>9227.23</v>
      </c>
      <c r="BZ355" s="2"/>
      <c r="CA355" s="2" t="s">
        <v>889</v>
      </c>
      <c r="CB355" s="2"/>
      <c r="CC355" s="2" t="s">
        <v>312</v>
      </c>
      <c r="CD355" s="2">
        <v>1559</v>
      </c>
      <c r="CE355" s="2" t="s">
        <v>89</v>
      </c>
      <c r="CF355" s="5">
        <v>42969</v>
      </c>
      <c r="CG355" s="2"/>
      <c r="CH355" s="2"/>
      <c r="CI355" s="2">
        <v>1</v>
      </c>
      <c r="CJ355" s="2">
        <v>1</v>
      </c>
      <c r="CK355" s="2">
        <v>22</v>
      </c>
      <c r="CL355" s="2" t="s">
        <v>86</v>
      </c>
      <c r="CM355" s="2"/>
    </row>
    <row r="356" spans="1:91">
      <c r="A356" s="2" t="s">
        <v>71</v>
      </c>
      <c r="B356" s="2" t="s">
        <v>72</v>
      </c>
      <c r="C356" s="2" t="s">
        <v>73</v>
      </c>
      <c r="D356" s="2"/>
      <c r="E356" s="2" t="str">
        <f>"FES1162570045"</f>
        <v>FES1162570045</v>
      </c>
      <c r="F356" s="3">
        <v>42965</v>
      </c>
      <c r="G356" s="2">
        <v>201802</v>
      </c>
      <c r="H356" s="2" t="s">
        <v>74</v>
      </c>
      <c r="I356" s="2" t="s">
        <v>75</v>
      </c>
      <c r="J356" s="2" t="s">
        <v>76</v>
      </c>
      <c r="K356" s="2" t="s">
        <v>77</v>
      </c>
      <c r="L356" s="2" t="s">
        <v>97</v>
      </c>
      <c r="M356" s="2" t="s">
        <v>98</v>
      </c>
      <c r="N356" s="2" t="s">
        <v>250</v>
      </c>
      <c r="O356" s="2" t="s">
        <v>100</v>
      </c>
      <c r="P356" s="2" t="str">
        <f>"2170580822                    "</f>
        <v xml:space="preserve">2170580822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38.020000000000003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18.7</v>
      </c>
      <c r="BJ356" s="2">
        <v>4.0999999999999996</v>
      </c>
      <c r="BK356" s="2">
        <v>19</v>
      </c>
      <c r="BL356" s="2">
        <v>393.7</v>
      </c>
      <c r="BM356" s="2">
        <v>55.12</v>
      </c>
      <c r="BN356" s="2">
        <v>448.82</v>
      </c>
      <c r="BO356" s="2">
        <v>448.82</v>
      </c>
      <c r="BP356" s="2"/>
      <c r="BQ356" s="2" t="s">
        <v>288</v>
      </c>
      <c r="BR356" s="2" t="s">
        <v>84</v>
      </c>
      <c r="BS356" s="3">
        <v>42968</v>
      </c>
      <c r="BT356" s="4">
        <v>0.4152777777777778</v>
      </c>
      <c r="BU356" s="2" t="s">
        <v>890</v>
      </c>
      <c r="BV356" s="2" t="s">
        <v>95</v>
      </c>
      <c r="BW356" s="2"/>
      <c r="BX356" s="2"/>
      <c r="BY356" s="2">
        <v>20505.41</v>
      </c>
      <c r="BZ356" s="2"/>
      <c r="CA356" s="2" t="s">
        <v>804</v>
      </c>
      <c r="CB356" s="2"/>
      <c r="CC356" s="2" t="s">
        <v>98</v>
      </c>
      <c r="CD356" s="2">
        <v>6012</v>
      </c>
      <c r="CE356" s="2" t="s">
        <v>89</v>
      </c>
      <c r="CF356" s="5">
        <v>42969</v>
      </c>
      <c r="CG356" s="2"/>
      <c r="CH356" s="2"/>
      <c r="CI356" s="2">
        <v>1</v>
      </c>
      <c r="CJ356" s="2">
        <v>1</v>
      </c>
      <c r="CK356" s="2">
        <v>21</v>
      </c>
      <c r="CL356" s="2" t="s">
        <v>86</v>
      </c>
      <c r="CM356" s="2"/>
    </row>
    <row r="357" spans="1:91">
      <c r="A357" s="2" t="s">
        <v>71</v>
      </c>
      <c r="B357" s="2" t="s">
        <v>72</v>
      </c>
      <c r="C357" s="2" t="s">
        <v>73</v>
      </c>
      <c r="D357" s="2"/>
      <c r="E357" s="2" t="str">
        <f>"FES1162569965"</f>
        <v>FES1162569965</v>
      </c>
      <c r="F357" s="3">
        <v>42965</v>
      </c>
      <c r="G357" s="2">
        <v>201802</v>
      </c>
      <c r="H357" s="2" t="s">
        <v>74</v>
      </c>
      <c r="I357" s="2" t="s">
        <v>75</v>
      </c>
      <c r="J357" s="2" t="s">
        <v>76</v>
      </c>
      <c r="K357" s="2" t="s">
        <v>77</v>
      </c>
      <c r="L357" s="2" t="s">
        <v>149</v>
      </c>
      <c r="M357" s="2" t="s">
        <v>150</v>
      </c>
      <c r="N357" s="2" t="s">
        <v>891</v>
      </c>
      <c r="O357" s="2" t="s">
        <v>100</v>
      </c>
      <c r="P357" s="2" t="str">
        <f>"2170585753                    "</f>
        <v xml:space="preserve">2170585753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22.01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2</v>
      </c>
      <c r="BI357" s="2">
        <v>11</v>
      </c>
      <c r="BJ357" s="2">
        <v>3.2</v>
      </c>
      <c r="BK357" s="2">
        <v>11</v>
      </c>
      <c r="BL357" s="2">
        <v>227.93</v>
      </c>
      <c r="BM357" s="2">
        <v>31.91</v>
      </c>
      <c r="BN357" s="2">
        <v>259.83999999999997</v>
      </c>
      <c r="BO357" s="2">
        <v>259.83999999999997</v>
      </c>
      <c r="BP357" s="2"/>
      <c r="BQ357" s="2" t="s">
        <v>365</v>
      </c>
      <c r="BR357" s="2" t="s">
        <v>84</v>
      </c>
      <c r="BS357" s="3">
        <v>42968</v>
      </c>
      <c r="BT357" s="4">
        <v>0.37222222222222223</v>
      </c>
      <c r="BU357" s="2" t="s">
        <v>892</v>
      </c>
      <c r="BV357" s="2" t="s">
        <v>95</v>
      </c>
      <c r="BW357" s="2"/>
      <c r="BX357" s="2"/>
      <c r="BY357" s="2">
        <v>15786.66</v>
      </c>
      <c r="BZ357" s="2"/>
      <c r="CA357" s="2" t="s">
        <v>235</v>
      </c>
      <c r="CB357" s="2"/>
      <c r="CC357" s="2" t="s">
        <v>150</v>
      </c>
      <c r="CD357" s="2">
        <v>4052</v>
      </c>
      <c r="CE357" s="2" t="s">
        <v>104</v>
      </c>
      <c r="CF357" s="5">
        <v>42969</v>
      </c>
      <c r="CG357" s="2"/>
      <c r="CH357" s="2"/>
      <c r="CI357" s="2">
        <v>1</v>
      </c>
      <c r="CJ357" s="2">
        <v>1</v>
      </c>
      <c r="CK357" s="2">
        <v>21</v>
      </c>
      <c r="CL357" s="2" t="s">
        <v>86</v>
      </c>
      <c r="CM357" s="2"/>
    </row>
    <row r="358" spans="1:91">
      <c r="A358" s="2" t="s">
        <v>71</v>
      </c>
      <c r="B358" s="2" t="s">
        <v>72</v>
      </c>
      <c r="C358" s="2" t="s">
        <v>73</v>
      </c>
      <c r="D358" s="2"/>
      <c r="E358" s="2" t="str">
        <f>"FES1162570099"</f>
        <v>FES1162570099</v>
      </c>
      <c r="F358" s="3">
        <v>42965</v>
      </c>
      <c r="G358" s="2">
        <v>201802</v>
      </c>
      <c r="H358" s="2" t="s">
        <v>74</v>
      </c>
      <c r="I358" s="2" t="s">
        <v>75</v>
      </c>
      <c r="J358" s="2" t="s">
        <v>76</v>
      </c>
      <c r="K358" s="2" t="s">
        <v>77</v>
      </c>
      <c r="L358" s="2" t="s">
        <v>105</v>
      </c>
      <c r="M358" s="2" t="s">
        <v>106</v>
      </c>
      <c r="N358" s="2" t="s">
        <v>893</v>
      </c>
      <c r="O358" s="2" t="s">
        <v>100</v>
      </c>
      <c r="P358" s="2" t="str">
        <f>"2170585889                    "</f>
        <v xml:space="preserve">2170585889 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26.02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13</v>
      </c>
      <c r="BJ358" s="2">
        <v>3.3</v>
      </c>
      <c r="BK358" s="2">
        <v>13</v>
      </c>
      <c r="BL358" s="2">
        <v>269.38</v>
      </c>
      <c r="BM358" s="2">
        <v>37.71</v>
      </c>
      <c r="BN358" s="2">
        <v>307.08999999999997</v>
      </c>
      <c r="BO358" s="2">
        <v>307.08999999999997</v>
      </c>
      <c r="BP358" s="2"/>
      <c r="BQ358" s="2" t="s">
        <v>227</v>
      </c>
      <c r="BR358" s="2" t="s">
        <v>84</v>
      </c>
      <c r="BS358" s="3">
        <v>42968</v>
      </c>
      <c r="BT358" s="4">
        <v>0.34166666666666662</v>
      </c>
      <c r="BU358" s="2" t="s">
        <v>894</v>
      </c>
      <c r="BV358" s="2" t="s">
        <v>95</v>
      </c>
      <c r="BW358" s="2"/>
      <c r="BX358" s="2"/>
      <c r="BY358" s="2">
        <v>16436.650000000001</v>
      </c>
      <c r="BZ358" s="2"/>
      <c r="CA358" s="2" t="s">
        <v>869</v>
      </c>
      <c r="CB358" s="2"/>
      <c r="CC358" s="2" t="s">
        <v>106</v>
      </c>
      <c r="CD358" s="2">
        <v>7460</v>
      </c>
      <c r="CE358" s="2" t="s">
        <v>89</v>
      </c>
      <c r="CF358" s="5">
        <v>42969</v>
      </c>
      <c r="CG358" s="2"/>
      <c r="CH358" s="2"/>
      <c r="CI358" s="2">
        <v>1</v>
      </c>
      <c r="CJ358" s="2">
        <v>1</v>
      </c>
      <c r="CK358" s="2">
        <v>21</v>
      </c>
      <c r="CL358" s="2" t="s">
        <v>86</v>
      </c>
      <c r="CM358" s="2"/>
    </row>
    <row r="359" spans="1:91">
      <c r="A359" s="2" t="s">
        <v>71</v>
      </c>
      <c r="B359" s="2" t="s">
        <v>72</v>
      </c>
      <c r="C359" s="2" t="s">
        <v>73</v>
      </c>
      <c r="D359" s="2"/>
      <c r="E359" s="2" t="str">
        <f>"FES11625670072"</f>
        <v>FES11625670072</v>
      </c>
      <c r="F359" s="3">
        <v>42965</v>
      </c>
      <c r="G359" s="2">
        <v>201802</v>
      </c>
      <c r="H359" s="2" t="s">
        <v>74</v>
      </c>
      <c r="I359" s="2" t="s">
        <v>75</v>
      </c>
      <c r="J359" s="2" t="s">
        <v>76</v>
      </c>
      <c r="K359" s="2" t="s">
        <v>77</v>
      </c>
      <c r="L359" s="2" t="s">
        <v>895</v>
      </c>
      <c r="M359" s="2" t="s">
        <v>896</v>
      </c>
      <c r="N359" s="2" t="s">
        <v>897</v>
      </c>
      <c r="O359" s="2" t="s">
        <v>100</v>
      </c>
      <c r="P359" s="2" t="str">
        <f>"2170585865                    "</f>
        <v xml:space="preserve">2170585865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23.51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6.1</v>
      </c>
      <c r="BJ359" s="2">
        <v>3.3</v>
      </c>
      <c r="BK359" s="2">
        <v>6.5</v>
      </c>
      <c r="BL359" s="2">
        <v>243.47</v>
      </c>
      <c r="BM359" s="2">
        <v>34.090000000000003</v>
      </c>
      <c r="BN359" s="2">
        <v>277.56</v>
      </c>
      <c r="BO359" s="2">
        <v>277.56</v>
      </c>
      <c r="BP359" s="2" t="s">
        <v>898</v>
      </c>
      <c r="BQ359" s="2" t="s">
        <v>108</v>
      </c>
      <c r="BR359" s="2" t="s">
        <v>84</v>
      </c>
      <c r="BS359" s="3">
        <v>42968</v>
      </c>
      <c r="BT359" s="4">
        <v>0.375</v>
      </c>
      <c r="BU359" s="2" t="s">
        <v>899</v>
      </c>
      <c r="BV359" s="2" t="s">
        <v>95</v>
      </c>
      <c r="BW359" s="2"/>
      <c r="BX359" s="2"/>
      <c r="BY359" s="2">
        <v>16747.04</v>
      </c>
      <c r="BZ359" s="2"/>
      <c r="CA359" s="2" t="s">
        <v>900</v>
      </c>
      <c r="CB359" s="2"/>
      <c r="CC359" s="2" t="s">
        <v>896</v>
      </c>
      <c r="CD359" s="2">
        <v>9445</v>
      </c>
      <c r="CE359" s="2" t="s">
        <v>89</v>
      </c>
      <c r="CF359" s="5">
        <v>42970</v>
      </c>
      <c r="CG359" s="2"/>
      <c r="CH359" s="2"/>
      <c r="CI359" s="2">
        <v>3</v>
      </c>
      <c r="CJ359" s="2">
        <v>1</v>
      </c>
      <c r="CK359" s="2">
        <v>23</v>
      </c>
      <c r="CL359" s="2" t="s">
        <v>86</v>
      </c>
      <c r="CM359" s="2"/>
    </row>
    <row r="360" spans="1:91">
      <c r="A360" s="2" t="s">
        <v>71</v>
      </c>
      <c r="B360" s="2" t="s">
        <v>72</v>
      </c>
      <c r="C360" s="2" t="s">
        <v>73</v>
      </c>
      <c r="D360" s="2"/>
      <c r="E360" s="2" t="str">
        <f>"FES11625670138"</f>
        <v>FES11625670138</v>
      </c>
      <c r="F360" s="3">
        <v>42965</v>
      </c>
      <c r="G360" s="2">
        <v>201802</v>
      </c>
      <c r="H360" s="2" t="s">
        <v>74</v>
      </c>
      <c r="I360" s="2" t="s">
        <v>75</v>
      </c>
      <c r="J360" s="2" t="s">
        <v>76</v>
      </c>
      <c r="K360" s="2" t="s">
        <v>77</v>
      </c>
      <c r="L360" s="2" t="s">
        <v>159</v>
      </c>
      <c r="M360" s="2" t="s">
        <v>160</v>
      </c>
      <c r="N360" s="2" t="s">
        <v>161</v>
      </c>
      <c r="O360" s="2" t="s">
        <v>100</v>
      </c>
      <c r="P360" s="2" t="str">
        <f>"2170579570                    "</f>
        <v xml:space="preserve">2170579570 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5.63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1.7</v>
      </c>
      <c r="BJ360" s="2">
        <v>1</v>
      </c>
      <c r="BK360" s="2">
        <v>2</v>
      </c>
      <c r="BL360" s="2">
        <v>58.28</v>
      </c>
      <c r="BM360" s="2">
        <v>8.16</v>
      </c>
      <c r="BN360" s="2">
        <v>66.44</v>
      </c>
      <c r="BO360" s="2">
        <v>66.44</v>
      </c>
      <c r="BP360" s="2"/>
      <c r="BQ360" s="2" t="s">
        <v>83</v>
      </c>
      <c r="BR360" s="2" t="s">
        <v>84</v>
      </c>
      <c r="BS360" s="3">
        <v>42970</v>
      </c>
      <c r="BT360" s="4">
        <v>0.56805555555555554</v>
      </c>
      <c r="BU360" s="2" t="s">
        <v>901</v>
      </c>
      <c r="BV360" s="2" t="s">
        <v>86</v>
      </c>
      <c r="BW360" s="2" t="s">
        <v>110</v>
      </c>
      <c r="BX360" s="2" t="s">
        <v>623</v>
      </c>
      <c r="BY360" s="2">
        <v>5186.6499999999996</v>
      </c>
      <c r="BZ360" s="2"/>
      <c r="CA360" s="2"/>
      <c r="CB360" s="2"/>
      <c r="CC360" s="2" t="s">
        <v>160</v>
      </c>
      <c r="CD360" s="2">
        <v>208</v>
      </c>
      <c r="CE360" s="2" t="s">
        <v>89</v>
      </c>
      <c r="CF360" s="2"/>
      <c r="CG360" s="2"/>
      <c r="CH360" s="2"/>
      <c r="CI360" s="2">
        <v>1</v>
      </c>
      <c r="CJ360" s="2">
        <v>3</v>
      </c>
      <c r="CK360" s="2">
        <v>24</v>
      </c>
      <c r="CL360" s="2" t="s">
        <v>86</v>
      </c>
      <c r="CM360" s="2"/>
    </row>
    <row r="361" spans="1:91">
      <c r="A361" s="2" t="s">
        <v>71</v>
      </c>
      <c r="B361" s="2" t="s">
        <v>72</v>
      </c>
      <c r="C361" s="2" t="s">
        <v>73</v>
      </c>
      <c r="D361" s="2"/>
      <c r="E361" s="2" t="str">
        <f>"FES1162570139"</f>
        <v>FES1162570139</v>
      </c>
      <c r="F361" s="3">
        <v>42965</v>
      </c>
      <c r="G361" s="2">
        <v>201802</v>
      </c>
      <c r="H361" s="2" t="s">
        <v>74</v>
      </c>
      <c r="I361" s="2" t="s">
        <v>75</v>
      </c>
      <c r="J361" s="2" t="s">
        <v>76</v>
      </c>
      <c r="K361" s="2" t="s">
        <v>77</v>
      </c>
      <c r="L361" s="2" t="s">
        <v>237</v>
      </c>
      <c r="M361" s="2" t="s">
        <v>238</v>
      </c>
      <c r="N361" s="2" t="s">
        <v>669</v>
      </c>
      <c r="O361" s="2" t="s">
        <v>100</v>
      </c>
      <c r="P361" s="2" t="str">
        <f>"2170583631                    "</f>
        <v xml:space="preserve">2170583631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5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2.2000000000000002</v>
      </c>
      <c r="BJ361" s="2">
        <v>1.4</v>
      </c>
      <c r="BK361" s="2">
        <v>2.5</v>
      </c>
      <c r="BL361" s="2">
        <v>51.8</v>
      </c>
      <c r="BM361" s="2">
        <v>7.25</v>
      </c>
      <c r="BN361" s="2">
        <v>59.05</v>
      </c>
      <c r="BO361" s="2">
        <v>59.05</v>
      </c>
      <c r="BP361" s="2"/>
      <c r="BQ361" s="2" t="s">
        <v>288</v>
      </c>
      <c r="BR361" s="2" t="s">
        <v>84</v>
      </c>
      <c r="BS361" s="3">
        <v>42968</v>
      </c>
      <c r="BT361" s="4">
        <v>0.38194444444444442</v>
      </c>
      <c r="BU361" s="2" t="s">
        <v>902</v>
      </c>
      <c r="BV361" s="2" t="s">
        <v>95</v>
      </c>
      <c r="BW361" s="2"/>
      <c r="BX361" s="2"/>
      <c r="BY361" s="2">
        <v>7028.39</v>
      </c>
      <c r="BZ361" s="2"/>
      <c r="CA361" s="2" t="s">
        <v>672</v>
      </c>
      <c r="CB361" s="2"/>
      <c r="CC361" s="2" t="s">
        <v>238</v>
      </c>
      <c r="CD361" s="2">
        <v>3610</v>
      </c>
      <c r="CE361" s="2" t="s">
        <v>89</v>
      </c>
      <c r="CF361" s="5">
        <v>42969</v>
      </c>
      <c r="CG361" s="2"/>
      <c r="CH361" s="2"/>
      <c r="CI361" s="2">
        <v>1</v>
      </c>
      <c r="CJ361" s="2">
        <v>1</v>
      </c>
      <c r="CK361" s="2">
        <v>21</v>
      </c>
      <c r="CL361" s="2" t="s">
        <v>86</v>
      </c>
      <c r="CM361" s="2"/>
    </row>
    <row r="362" spans="1:91">
      <c r="A362" s="2" t="s">
        <v>71</v>
      </c>
      <c r="B362" s="2" t="s">
        <v>72</v>
      </c>
      <c r="C362" s="2" t="s">
        <v>73</v>
      </c>
      <c r="D362" s="2"/>
      <c r="E362" s="2" t="str">
        <f>"FES1162570131"</f>
        <v>FES1162570131</v>
      </c>
      <c r="F362" s="3">
        <v>42965</v>
      </c>
      <c r="G362" s="2">
        <v>201802</v>
      </c>
      <c r="H362" s="2" t="s">
        <v>74</v>
      </c>
      <c r="I362" s="2" t="s">
        <v>75</v>
      </c>
      <c r="J362" s="2" t="s">
        <v>76</v>
      </c>
      <c r="K362" s="2" t="s">
        <v>77</v>
      </c>
      <c r="L362" s="2" t="s">
        <v>97</v>
      </c>
      <c r="M362" s="2" t="s">
        <v>98</v>
      </c>
      <c r="N362" s="2" t="s">
        <v>822</v>
      </c>
      <c r="O362" s="2" t="s">
        <v>100</v>
      </c>
      <c r="P362" s="2" t="str">
        <f>"2170585919                    "</f>
        <v xml:space="preserve">2170585919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8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1.5</v>
      </c>
      <c r="BJ362" s="2">
        <v>3.7</v>
      </c>
      <c r="BK362" s="2">
        <v>4</v>
      </c>
      <c r="BL362" s="2">
        <v>82.88</v>
      </c>
      <c r="BM362" s="2">
        <v>11.6</v>
      </c>
      <c r="BN362" s="2">
        <v>94.48</v>
      </c>
      <c r="BO362" s="2">
        <v>94.48</v>
      </c>
      <c r="BP362" s="2"/>
      <c r="BQ362" s="2" t="s">
        <v>83</v>
      </c>
      <c r="BR362" s="2" t="s">
        <v>84</v>
      </c>
      <c r="BS362" s="3">
        <v>42968</v>
      </c>
      <c r="BT362" s="4">
        <v>0.32291666666666669</v>
      </c>
      <c r="BU362" s="2" t="s">
        <v>903</v>
      </c>
      <c r="BV362" s="2" t="s">
        <v>95</v>
      </c>
      <c r="BW362" s="2"/>
      <c r="BX362" s="2"/>
      <c r="BY362" s="2">
        <v>18589.759999999998</v>
      </c>
      <c r="BZ362" s="2"/>
      <c r="CA362" s="2" t="s">
        <v>804</v>
      </c>
      <c r="CB362" s="2"/>
      <c r="CC362" s="2" t="s">
        <v>98</v>
      </c>
      <c r="CD362" s="2">
        <v>6014</v>
      </c>
      <c r="CE362" s="2" t="s">
        <v>89</v>
      </c>
      <c r="CF362" s="5">
        <v>42969</v>
      </c>
      <c r="CG362" s="2"/>
      <c r="CH362" s="2"/>
      <c r="CI362" s="2">
        <v>1</v>
      </c>
      <c r="CJ362" s="2">
        <v>1</v>
      </c>
      <c r="CK362" s="2">
        <v>21</v>
      </c>
      <c r="CL362" s="2" t="s">
        <v>86</v>
      </c>
      <c r="CM362" s="2"/>
    </row>
    <row r="363" spans="1:91">
      <c r="A363" s="2" t="s">
        <v>71</v>
      </c>
      <c r="B363" s="2" t="s">
        <v>72</v>
      </c>
      <c r="C363" s="2" t="s">
        <v>73</v>
      </c>
      <c r="D363" s="2"/>
      <c r="E363" s="2" t="str">
        <f>"FES1162570011"</f>
        <v>FES1162570011</v>
      </c>
      <c r="F363" s="3">
        <v>42965</v>
      </c>
      <c r="G363" s="2">
        <v>201802</v>
      </c>
      <c r="H363" s="2" t="s">
        <v>74</v>
      </c>
      <c r="I363" s="2" t="s">
        <v>75</v>
      </c>
      <c r="J363" s="2" t="s">
        <v>76</v>
      </c>
      <c r="K363" s="2" t="s">
        <v>77</v>
      </c>
      <c r="L363" s="2" t="s">
        <v>105</v>
      </c>
      <c r="M363" s="2" t="s">
        <v>106</v>
      </c>
      <c r="N363" s="2" t="s">
        <v>705</v>
      </c>
      <c r="O363" s="2" t="s">
        <v>100</v>
      </c>
      <c r="P363" s="2" t="str">
        <f>"2170585705                    "</f>
        <v xml:space="preserve">2170585705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6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3</v>
      </c>
      <c r="BJ363" s="2">
        <v>2.5</v>
      </c>
      <c r="BK363" s="2">
        <v>3</v>
      </c>
      <c r="BL363" s="2">
        <v>62.16</v>
      </c>
      <c r="BM363" s="2">
        <v>8.6999999999999993</v>
      </c>
      <c r="BN363" s="2">
        <v>70.86</v>
      </c>
      <c r="BO363" s="2">
        <v>70.86</v>
      </c>
      <c r="BP363" s="2"/>
      <c r="BQ363" s="2" t="s">
        <v>108</v>
      </c>
      <c r="BR363" s="2" t="s">
        <v>84</v>
      </c>
      <c r="BS363" s="3">
        <v>42968</v>
      </c>
      <c r="BT363" s="4">
        <v>0.38819444444444445</v>
      </c>
      <c r="BU363" s="2" t="s">
        <v>904</v>
      </c>
      <c r="BV363" s="2" t="s">
        <v>95</v>
      </c>
      <c r="BW363" s="2"/>
      <c r="BX363" s="2"/>
      <c r="BY363" s="2">
        <v>12660.65</v>
      </c>
      <c r="BZ363" s="2"/>
      <c r="CA363" s="2" t="s">
        <v>488</v>
      </c>
      <c r="CB363" s="2"/>
      <c r="CC363" s="2" t="s">
        <v>106</v>
      </c>
      <c r="CD363" s="2">
        <v>7441</v>
      </c>
      <c r="CE363" s="2" t="s">
        <v>135</v>
      </c>
      <c r="CF363" s="5">
        <v>42969</v>
      </c>
      <c r="CG363" s="2"/>
      <c r="CH363" s="2"/>
      <c r="CI363" s="2">
        <v>1</v>
      </c>
      <c r="CJ363" s="2">
        <v>1</v>
      </c>
      <c r="CK363" s="2">
        <v>21</v>
      </c>
      <c r="CL363" s="2" t="s">
        <v>86</v>
      </c>
      <c r="CM363" s="2"/>
    </row>
    <row r="364" spans="1:91">
      <c r="A364" s="2" t="s">
        <v>71</v>
      </c>
      <c r="B364" s="2" t="s">
        <v>72</v>
      </c>
      <c r="C364" s="2" t="s">
        <v>73</v>
      </c>
      <c r="D364" s="2"/>
      <c r="E364" s="2" t="str">
        <f>"FES1162570078"</f>
        <v>FES1162570078</v>
      </c>
      <c r="F364" s="3">
        <v>42965</v>
      </c>
      <c r="G364" s="2">
        <v>201802</v>
      </c>
      <c r="H364" s="2" t="s">
        <v>74</v>
      </c>
      <c r="I364" s="2" t="s">
        <v>75</v>
      </c>
      <c r="J364" s="2" t="s">
        <v>76</v>
      </c>
      <c r="K364" s="2" t="s">
        <v>77</v>
      </c>
      <c r="L364" s="2" t="s">
        <v>362</v>
      </c>
      <c r="M364" s="2" t="s">
        <v>363</v>
      </c>
      <c r="N364" s="2" t="s">
        <v>683</v>
      </c>
      <c r="O364" s="2" t="s">
        <v>100</v>
      </c>
      <c r="P364" s="2" t="str">
        <f>"2170582221                    "</f>
        <v xml:space="preserve">2170582221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14.01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6.6</v>
      </c>
      <c r="BJ364" s="2">
        <v>3.3</v>
      </c>
      <c r="BK364" s="2">
        <v>7</v>
      </c>
      <c r="BL364" s="2">
        <v>145.05000000000001</v>
      </c>
      <c r="BM364" s="2">
        <v>20.309999999999999</v>
      </c>
      <c r="BN364" s="2">
        <v>165.36</v>
      </c>
      <c r="BO364" s="2">
        <v>165.36</v>
      </c>
      <c r="BP364" s="2"/>
      <c r="BQ364" s="2" t="s">
        <v>108</v>
      </c>
      <c r="BR364" s="2" t="s">
        <v>84</v>
      </c>
      <c r="BS364" s="3">
        <v>42968</v>
      </c>
      <c r="BT364" s="4">
        <v>0.4375</v>
      </c>
      <c r="BU364" s="2" t="s">
        <v>805</v>
      </c>
      <c r="BV364" s="2" t="s">
        <v>95</v>
      </c>
      <c r="BW364" s="2"/>
      <c r="BX364" s="2"/>
      <c r="BY364" s="2">
        <v>16606.939999999999</v>
      </c>
      <c r="BZ364" s="2"/>
      <c r="CA364" s="2" t="s">
        <v>367</v>
      </c>
      <c r="CB364" s="2"/>
      <c r="CC364" s="2" t="s">
        <v>363</v>
      </c>
      <c r="CD364" s="2">
        <v>3201</v>
      </c>
      <c r="CE364" s="2" t="s">
        <v>89</v>
      </c>
      <c r="CF364" s="5">
        <v>42969</v>
      </c>
      <c r="CG364" s="2"/>
      <c r="CH364" s="2"/>
      <c r="CI364" s="2">
        <v>1</v>
      </c>
      <c r="CJ364" s="2">
        <v>1</v>
      </c>
      <c r="CK364" s="2">
        <v>21</v>
      </c>
      <c r="CL364" s="2" t="s">
        <v>86</v>
      </c>
      <c r="CM364" s="2"/>
    </row>
    <row r="365" spans="1:91">
      <c r="A365" s="2" t="s">
        <v>71</v>
      </c>
      <c r="B365" s="2" t="s">
        <v>72</v>
      </c>
      <c r="C365" s="2" t="s">
        <v>73</v>
      </c>
      <c r="D365" s="2"/>
      <c r="E365" s="2" t="str">
        <f>"FES1162567565"</f>
        <v>FES1162567565</v>
      </c>
      <c r="F365" s="3">
        <v>42965</v>
      </c>
      <c r="G365" s="2">
        <v>201802</v>
      </c>
      <c r="H365" s="2" t="s">
        <v>74</v>
      </c>
      <c r="I365" s="2" t="s">
        <v>75</v>
      </c>
      <c r="J365" s="2" t="s">
        <v>76</v>
      </c>
      <c r="K365" s="2" t="s">
        <v>77</v>
      </c>
      <c r="L365" s="2" t="s">
        <v>841</v>
      </c>
      <c r="M365" s="2" t="s">
        <v>842</v>
      </c>
      <c r="N365" s="2" t="s">
        <v>905</v>
      </c>
      <c r="O365" s="2" t="s">
        <v>100</v>
      </c>
      <c r="P365" s="2" t="str">
        <f>"2170580417                    "</f>
        <v xml:space="preserve">2170580417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14.76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3.6</v>
      </c>
      <c r="BJ365" s="2">
        <v>3.2</v>
      </c>
      <c r="BK365" s="2">
        <v>4</v>
      </c>
      <c r="BL365" s="2">
        <v>152.82</v>
      </c>
      <c r="BM365" s="2">
        <v>21.39</v>
      </c>
      <c r="BN365" s="2">
        <v>174.21</v>
      </c>
      <c r="BO365" s="2">
        <v>174.21</v>
      </c>
      <c r="BP365" s="2"/>
      <c r="BQ365" s="2" t="s">
        <v>906</v>
      </c>
      <c r="BR365" s="2" t="s">
        <v>84</v>
      </c>
      <c r="BS365" s="3">
        <v>42968</v>
      </c>
      <c r="BT365" s="4">
        <v>0.4465277777777778</v>
      </c>
      <c r="BU365" s="2" t="s">
        <v>907</v>
      </c>
      <c r="BV365" s="2" t="s">
        <v>95</v>
      </c>
      <c r="BW365" s="2"/>
      <c r="BX365" s="2"/>
      <c r="BY365" s="2">
        <v>15924.48</v>
      </c>
      <c r="BZ365" s="2"/>
      <c r="CA365" s="2" t="s">
        <v>845</v>
      </c>
      <c r="CB365" s="2"/>
      <c r="CC365" s="2" t="s">
        <v>842</v>
      </c>
      <c r="CD365" s="2">
        <v>3370</v>
      </c>
      <c r="CE365" s="2" t="s">
        <v>89</v>
      </c>
      <c r="CF365" s="5">
        <v>42970</v>
      </c>
      <c r="CG365" s="2"/>
      <c r="CH365" s="2"/>
      <c r="CI365" s="2">
        <v>3</v>
      </c>
      <c r="CJ365" s="2">
        <v>1</v>
      </c>
      <c r="CK365" s="2">
        <v>23</v>
      </c>
      <c r="CL365" s="2" t="s">
        <v>86</v>
      </c>
      <c r="CM365" s="2"/>
    </row>
    <row r="366" spans="1:91">
      <c r="A366" s="2" t="s">
        <v>71</v>
      </c>
      <c r="B366" s="2" t="s">
        <v>72</v>
      </c>
      <c r="C366" s="2" t="s">
        <v>73</v>
      </c>
      <c r="D366" s="2"/>
      <c r="E366" s="2" t="str">
        <f>"FES11625670094"</f>
        <v>FES11625670094</v>
      </c>
      <c r="F366" s="3">
        <v>42965</v>
      </c>
      <c r="G366" s="2">
        <v>201802</v>
      </c>
      <c r="H366" s="2" t="s">
        <v>74</v>
      </c>
      <c r="I366" s="2" t="s">
        <v>75</v>
      </c>
      <c r="J366" s="2" t="s">
        <v>76</v>
      </c>
      <c r="K366" s="2" t="s">
        <v>77</v>
      </c>
      <c r="L366" s="2" t="s">
        <v>105</v>
      </c>
      <c r="M366" s="2" t="s">
        <v>106</v>
      </c>
      <c r="N366" s="2" t="s">
        <v>870</v>
      </c>
      <c r="O366" s="2" t="s">
        <v>100</v>
      </c>
      <c r="P366" s="2" t="str">
        <f>"2170585880                    "</f>
        <v xml:space="preserve">2170585880 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4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1.9</v>
      </c>
      <c r="BJ366" s="2">
        <v>1.4</v>
      </c>
      <c r="BK366" s="2">
        <v>2</v>
      </c>
      <c r="BL366" s="2">
        <v>41.44</v>
      </c>
      <c r="BM366" s="2">
        <v>5.8</v>
      </c>
      <c r="BN366" s="2">
        <v>47.24</v>
      </c>
      <c r="BO366" s="2">
        <v>47.24</v>
      </c>
      <c r="BP366" s="2"/>
      <c r="BQ366" s="2" t="s">
        <v>83</v>
      </c>
      <c r="BR366" s="2" t="s">
        <v>84</v>
      </c>
      <c r="BS366" s="3">
        <v>42968</v>
      </c>
      <c r="BT366" s="4">
        <v>0.41666666666666669</v>
      </c>
      <c r="BU366" s="2" t="s">
        <v>908</v>
      </c>
      <c r="BV366" s="2" t="s">
        <v>95</v>
      </c>
      <c r="BW366" s="2"/>
      <c r="BX366" s="2"/>
      <c r="BY366" s="2">
        <v>6825.02</v>
      </c>
      <c r="BZ366" s="2"/>
      <c r="CA366" s="2"/>
      <c r="CB366" s="2"/>
      <c r="CC366" s="2" t="s">
        <v>106</v>
      </c>
      <c r="CD366" s="2">
        <v>8000</v>
      </c>
      <c r="CE366" s="2" t="s">
        <v>89</v>
      </c>
      <c r="CF366" s="5">
        <v>42969</v>
      </c>
      <c r="CG366" s="2"/>
      <c r="CH366" s="2"/>
      <c r="CI366" s="2">
        <v>1</v>
      </c>
      <c r="CJ366" s="2">
        <v>1</v>
      </c>
      <c r="CK366" s="2">
        <v>21</v>
      </c>
      <c r="CL366" s="2" t="s">
        <v>86</v>
      </c>
      <c r="CM366" s="2"/>
    </row>
    <row r="367" spans="1:91">
      <c r="A367" s="2" t="s">
        <v>71</v>
      </c>
      <c r="B367" s="2" t="s">
        <v>72</v>
      </c>
      <c r="C367" s="2" t="s">
        <v>73</v>
      </c>
      <c r="D367" s="2"/>
      <c r="E367" s="2" t="str">
        <f>"FES1162570089"</f>
        <v>FES1162570089</v>
      </c>
      <c r="F367" s="3">
        <v>42965</v>
      </c>
      <c r="G367" s="2">
        <v>201802</v>
      </c>
      <c r="H367" s="2" t="s">
        <v>74</v>
      </c>
      <c r="I367" s="2" t="s">
        <v>75</v>
      </c>
      <c r="J367" s="2" t="s">
        <v>76</v>
      </c>
      <c r="K367" s="2" t="s">
        <v>77</v>
      </c>
      <c r="L367" s="2" t="s">
        <v>244</v>
      </c>
      <c r="M367" s="2" t="s">
        <v>245</v>
      </c>
      <c r="N367" s="2" t="s">
        <v>246</v>
      </c>
      <c r="O367" s="2" t="s">
        <v>100</v>
      </c>
      <c r="P367" s="2" t="str">
        <f>"2170585722                    "</f>
        <v xml:space="preserve">2170585722 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3.13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5.0999999999999996</v>
      </c>
      <c r="BJ367" s="2">
        <v>2.2000000000000002</v>
      </c>
      <c r="BK367" s="2">
        <v>6</v>
      </c>
      <c r="BL367" s="2">
        <v>32.380000000000003</v>
      </c>
      <c r="BM367" s="2">
        <v>4.53</v>
      </c>
      <c r="BN367" s="2">
        <v>36.909999999999997</v>
      </c>
      <c r="BO367" s="2">
        <v>36.909999999999997</v>
      </c>
      <c r="BP367" s="2"/>
      <c r="BQ367" s="2" t="s">
        <v>209</v>
      </c>
      <c r="BR367" s="2" t="s">
        <v>84</v>
      </c>
      <c r="BS367" s="3">
        <v>42968</v>
      </c>
      <c r="BT367" s="4">
        <v>0.38958333333333334</v>
      </c>
      <c r="BU367" s="2" t="s">
        <v>740</v>
      </c>
      <c r="BV367" s="2" t="s">
        <v>95</v>
      </c>
      <c r="BW367" s="2"/>
      <c r="BX367" s="2"/>
      <c r="BY367" s="2">
        <v>11064.51</v>
      </c>
      <c r="BZ367" s="2"/>
      <c r="CA367" s="2" t="s">
        <v>499</v>
      </c>
      <c r="CB367" s="2"/>
      <c r="CC367" s="2" t="s">
        <v>245</v>
      </c>
      <c r="CD367" s="2">
        <v>1459</v>
      </c>
      <c r="CE367" s="2" t="s">
        <v>135</v>
      </c>
      <c r="CF367" s="5">
        <v>42969</v>
      </c>
      <c r="CG367" s="2"/>
      <c r="CH367" s="2"/>
      <c r="CI367" s="2">
        <v>1</v>
      </c>
      <c r="CJ367" s="2">
        <v>1</v>
      </c>
      <c r="CK367" s="2">
        <v>22</v>
      </c>
      <c r="CL367" s="2" t="s">
        <v>86</v>
      </c>
      <c r="CM367" s="2"/>
    </row>
    <row r="368" spans="1:91">
      <c r="A368" s="2" t="s">
        <v>71</v>
      </c>
      <c r="B368" s="2" t="s">
        <v>72</v>
      </c>
      <c r="C368" s="2" t="s">
        <v>73</v>
      </c>
      <c r="D368" s="2"/>
      <c r="E368" s="2" t="str">
        <f>"FES1162570075"</f>
        <v>FES1162570075</v>
      </c>
      <c r="F368" s="3">
        <v>42965</v>
      </c>
      <c r="G368" s="2">
        <v>201802</v>
      </c>
      <c r="H368" s="2" t="s">
        <v>74</v>
      </c>
      <c r="I368" s="2" t="s">
        <v>75</v>
      </c>
      <c r="J368" s="2" t="s">
        <v>76</v>
      </c>
      <c r="K368" s="2" t="s">
        <v>77</v>
      </c>
      <c r="L368" s="2" t="s">
        <v>362</v>
      </c>
      <c r="M368" s="2" t="s">
        <v>363</v>
      </c>
      <c r="N368" s="2" t="s">
        <v>683</v>
      </c>
      <c r="O368" s="2" t="s">
        <v>100</v>
      </c>
      <c r="P368" s="2" t="str">
        <f>"2170580299                    "</f>
        <v xml:space="preserve">2170580299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12.01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1</v>
      </c>
      <c r="BI368" s="2">
        <v>6</v>
      </c>
      <c r="BJ368" s="2">
        <v>3.3</v>
      </c>
      <c r="BK368" s="2">
        <v>6</v>
      </c>
      <c r="BL368" s="2">
        <v>124.33</v>
      </c>
      <c r="BM368" s="2">
        <v>17.41</v>
      </c>
      <c r="BN368" s="2">
        <v>141.74</v>
      </c>
      <c r="BO368" s="2">
        <v>141.74</v>
      </c>
      <c r="BP368" s="2"/>
      <c r="BQ368" s="2" t="s">
        <v>108</v>
      </c>
      <c r="BR368" s="2" t="s">
        <v>84</v>
      </c>
      <c r="BS368" s="3">
        <v>42968</v>
      </c>
      <c r="BT368" s="4">
        <v>0.4375</v>
      </c>
      <c r="BU368" s="2" t="s">
        <v>805</v>
      </c>
      <c r="BV368" s="2" t="s">
        <v>95</v>
      </c>
      <c r="BW368" s="2"/>
      <c r="BX368" s="2"/>
      <c r="BY368" s="2">
        <v>16473.599999999999</v>
      </c>
      <c r="BZ368" s="2"/>
      <c r="CA368" s="2" t="s">
        <v>367</v>
      </c>
      <c r="CB368" s="2"/>
      <c r="CC368" s="2" t="s">
        <v>363</v>
      </c>
      <c r="CD368" s="2">
        <v>3201</v>
      </c>
      <c r="CE368" s="2" t="s">
        <v>89</v>
      </c>
      <c r="CF368" s="5">
        <v>42969</v>
      </c>
      <c r="CG368" s="2"/>
      <c r="CH368" s="2"/>
      <c r="CI368" s="2">
        <v>1</v>
      </c>
      <c r="CJ368" s="2">
        <v>1</v>
      </c>
      <c r="CK368" s="2">
        <v>21</v>
      </c>
      <c r="CL368" s="2" t="s">
        <v>86</v>
      </c>
      <c r="CM368" s="2"/>
    </row>
    <row r="369" spans="1:91">
      <c r="A369" s="2" t="s">
        <v>71</v>
      </c>
      <c r="B369" s="2" t="s">
        <v>72</v>
      </c>
      <c r="C369" s="2" t="s">
        <v>73</v>
      </c>
      <c r="D369" s="2"/>
      <c r="E369" s="2" t="str">
        <f>"FES11625670076"</f>
        <v>FES11625670076</v>
      </c>
      <c r="F369" s="3">
        <v>42965</v>
      </c>
      <c r="G369" s="2">
        <v>201802</v>
      </c>
      <c r="H369" s="2" t="s">
        <v>74</v>
      </c>
      <c r="I369" s="2" t="s">
        <v>75</v>
      </c>
      <c r="J369" s="2" t="s">
        <v>76</v>
      </c>
      <c r="K369" s="2" t="s">
        <v>77</v>
      </c>
      <c r="L369" s="2" t="s">
        <v>362</v>
      </c>
      <c r="M369" s="2" t="s">
        <v>363</v>
      </c>
      <c r="N369" s="2" t="s">
        <v>683</v>
      </c>
      <c r="O369" s="2" t="s">
        <v>100</v>
      </c>
      <c r="P369" s="2" t="str">
        <f>"2170580301                    "</f>
        <v xml:space="preserve">2170580301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10.01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5</v>
      </c>
      <c r="BJ369" s="2">
        <v>1.7</v>
      </c>
      <c r="BK369" s="2">
        <v>5</v>
      </c>
      <c r="BL369" s="2">
        <v>103.61</v>
      </c>
      <c r="BM369" s="2">
        <v>14.51</v>
      </c>
      <c r="BN369" s="2">
        <v>118.12</v>
      </c>
      <c r="BO369" s="2">
        <v>118.12</v>
      </c>
      <c r="BP369" s="2"/>
      <c r="BQ369" s="2" t="s">
        <v>108</v>
      </c>
      <c r="BR369" s="2" t="s">
        <v>84</v>
      </c>
      <c r="BS369" s="3">
        <v>42968</v>
      </c>
      <c r="BT369" s="4">
        <v>0.4375</v>
      </c>
      <c r="BU369" s="2" t="s">
        <v>805</v>
      </c>
      <c r="BV369" s="2" t="s">
        <v>95</v>
      </c>
      <c r="BW369" s="2"/>
      <c r="BX369" s="2"/>
      <c r="BY369" s="2">
        <v>8470.77</v>
      </c>
      <c r="BZ369" s="2"/>
      <c r="CA369" s="2" t="s">
        <v>367</v>
      </c>
      <c r="CB369" s="2"/>
      <c r="CC369" s="2" t="s">
        <v>363</v>
      </c>
      <c r="CD369" s="2">
        <v>3201</v>
      </c>
      <c r="CE369" s="2" t="s">
        <v>89</v>
      </c>
      <c r="CF369" s="2"/>
      <c r="CG369" s="2"/>
      <c r="CH369" s="2"/>
      <c r="CI369" s="2">
        <v>1</v>
      </c>
      <c r="CJ369" s="2">
        <v>1</v>
      </c>
      <c r="CK369" s="2">
        <v>21</v>
      </c>
      <c r="CL369" s="2" t="s">
        <v>86</v>
      </c>
      <c r="CM369" s="2"/>
    </row>
    <row r="370" spans="1:91">
      <c r="A370" s="2" t="s">
        <v>71</v>
      </c>
      <c r="B370" s="2" t="s">
        <v>72</v>
      </c>
      <c r="C370" s="2" t="s">
        <v>73</v>
      </c>
      <c r="D370" s="2"/>
      <c r="E370" s="2" t="str">
        <f>"FES1162570121"</f>
        <v>FES1162570121</v>
      </c>
      <c r="F370" s="3">
        <v>42965</v>
      </c>
      <c r="G370" s="2">
        <v>201802</v>
      </c>
      <c r="H370" s="2" t="s">
        <v>74</v>
      </c>
      <c r="I370" s="2" t="s">
        <v>75</v>
      </c>
      <c r="J370" s="2" t="s">
        <v>76</v>
      </c>
      <c r="K370" s="2" t="s">
        <v>77</v>
      </c>
      <c r="L370" s="2" t="s">
        <v>174</v>
      </c>
      <c r="M370" s="2" t="s">
        <v>175</v>
      </c>
      <c r="N370" s="2" t="s">
        <v>909</v>
      </c>
      <c r="O370" s="2" t="s">
        <v>100</v>
      </c>
      <c r="P370" s="2" t="str">
        <f>"2170585912                    "</f>
        <v xml:space="preserve">2170585912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17.010000000000002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234</v>
      </c>
      <c r="BF370" s="2">
        <v>0</v>
      </c>
      <c r="BG370" s="2">
        <v>0</v>
      </c>
      <c r="BH370" s="2">
        <v>1</v>
      </c>
      <c r="BI370" s="2">
        <v>8.1</v>
      </c>
      <c r="BJ370" s="2">
        <v>3.7</v>
      </c>
      <c r="BK370" s="2">
        <v>8.5</v>
      </c>
      <c r="BL370" s="2">
        <v>410.13</v>
      </c>
      <c r="BM370" s="2">
        <v>57.42</v>
      </c>
      <c r="BN370" s="2">
        <v>467.55</v>
      </c>
      <c r="BO370" s="2">
        <v>467.55</v>
      </c>
      <c r="BP370" s="2" t="s">
        <v>910</v>
      </c>
      <c r="BQ370" s="2" t="s">
        <v>911</v>
      </c>
      <c r="BR370" s="2" t="s">
        <v>84</v>
      </c>
      <c r="BS370" s="3">
        <v>42966</v>
      </c>
      <c r="BT370" s="4">
        <v>0.39583333333333331</v>
      </c>
      <c r="BU370" s="2" t="s">
        <v>912</v>
      </c>
      <c r="BV370" s="2" t="s">
        <v>95</v>
      </c>
      <c r="BW370" s="2"/>
      <c r="BX370" s="2"/>
      <c r="BY370" s="2">
        <v>18430.78</v>
      </c>
      <c r="BZ370" s="2" t="s">
        <v>913</v>
      </c>
      <c r="CA370" s="2"/>
      <c r="CB370" s="2"/>
      <c r="CC370" s="2" t="s">
        <v>175</v>
      </c>
      <c r="CD370" s="2">
        <v>5201</v>
      </c>
      <c r="CE370" s="2" t="s">
        <v>89</v>
      </c>
      <c r="CF370" s="5">
        <v>42969</v>
      </c>
      <c r="CG370" s="2"/>
      <c r="CH370" s="2"/>
      <c r="CI370" s="2">
        <v>1</v>
      </c>
      <c r="CJ370" s="2">
        <v>1</v>
      </c>
      <c r="CK370" s="2">
        <v>21</v>
      </c>
      <c r="CL370" s="2" t="s">
        <v>86</v>
      </c>
      <c r="CM370" s="2"/>
    </row>
    <row r="371" spans="1:91">
      <c r="A371" s="2" t="s">
        <v>71</v>
      </c>
      <c r="B371" s="2" t="s">
        <v>72</v>
      </c>
      <c r="C371" s="2" t="s">
        <v>73</v>
      </c>
      <c r="D371" s="2"/>
      <c r="E371" s="2" t="str">
        <f>"FES1162569994"</f>
        <v>FES1162569994</v>
      </c>
      <c r="F371" s="3">
        <v>42965</v>
      </c>
      <c r="G371" s="2">
        <v>201802</v>
      </c>
      <c r="H371" s="2" t="s">
        <v>74</v>
      </c>
      <c r="I371" s="2" t="s">
        <v>75</v>
      </c>
      <c r="J371" s="2" t="s">
        <v>76</v>
      </c>
      <c r="K371" s="2" t="s">
        <v>77</v>
      </c>
      <c r="L371" s="2" t="s">
        <v>417</v>
      </c>
      <c r="M371" s="2" t="s">
        <v>417</v>
      </c>
      <c r="N371" s="2" t="s">
        <v>475</v>
      </c>
      <c r="O371" s="2" t="s">
        <v>100</v>
      </c>
      <c r="P371" s="2" t="str">
        <f>"2170585708                    "</f>
        <v xml:space="preserve">2170585708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4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1</v>
      </c>
      <c r="BJ371" s="2">
        <v>1.5</v>
      </c>
      <c r="BK371" s="2">
        <v>1.5</v>
      </c>
      <c r="BL371" s="2">
        <v>41.44</v>
      </c>
      <c r="BM371" s="2">
        <v>5.8</v>
      </c>
      <c r="BN371" s="2">
        <v>47.24</v>
      </c>
      <c r="BO371" s="2">
        <v>47.24</v>
      </c>
      <c r="BP371" s="2"/>
      <c r="BQ371" s="2" t="s">
        <v>108</v>
      </c>
      <c r="BR371" s="2" t="s">
        <v>84</v>
      </c>
      <c r="BS371" s="3">
        <v>42968</v>
      </c>
      <c r="BT371" s="4">
        <v>0.48958333333333331</v>
      </c>
      <c r="BU371" s="2" t="s">
        <v>866</v>
      </c>
      <c r="BV371" s="2" t="s">
        <v>95</v>
      </c>
      <c r="BW371" s="2"/>
      <c r="BX371" s="2"/>
      <c r="BY371" s="2">
        <v>7296.13</v>
      </c>
      <c r="BZ371" s="2"/>
      <c r="CA371" s="2" t="s">
        <v>420</v>
      </c>
      <c r="CB371" s="2"/>
      <c r="CC371" s="2" t="s">
        <v>417</v>
      </c>
      <c r="CD371" s="2">
        <v>7646</v>
      </c>
      <c r="CE371" s="2" t="s">
        <v>89</v>
      </c>
      <c r="CF371" s="5">
        <v>42968</v>
      </c>
      <c r="CG371" s="2"/>
      <c r="CH371" s="2"/>
      <c r="CI371" s="2">
        <v>1</v>
      </c>
      <c r="CJ371" s="2">
        <v>1</v>
      </c>
      <c r="CK371" s="2">
        <v>21</v>
      </c>
      <c r="CL371" s="2" t="s">
        <v>86</v>
      </c>
      <c r="CM371" s="2"/>
    </row>
    <row r="372" spans="1:91">
      <c r="A372" s="2" t="s">
        <v>71</v>
      </c>
      <c r="B372" s="2" t="s">
        <v>72</v>
      </c>
      <c r="C372" s="2" t="s">
        <v>73</v>
      </c>
      <c r="D372" s="2"/>
      <c r="E372" s="2" t="str">
        <f>"FES1162570016"</f>
        <v>FES1162570016</v>
      </c>
      <c r="F372" s="3">
        <v>42965</v>
      </c>
      <c r="G372" s="2">
        <v>201802</v>
      </c>
      <c r="H372" s="2" t="s">
        <v>74</v>
      </c>
      <c r="I372" s="2" t="s">
        <v>75</v>
      </c>
      <c r="J372" s="2" t="s">
        <v>76</v>
      </c>
      <c r="K372" s="2" t="s">
        <v>77</v>
      </c>
      <c r="L372" s="2" t="s">
        <v>237</v>
      </c>
      <c r="M372" s="2" t="s">
        <v>238</v>
      </c>
      <c r="N372" s="2" t="s">
        <v>239</v>
      </c>
      <c r="O372" s="2" t="s">
        <v>100</v>
      </c>
      <c r="P372" s="2" t="str">
        <f>"2170585805                    "</f>
        <v xml:space="preserve">2170585805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4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1.2</v>
      </c>
      <c r="BJ372" s="2">
        <v>1.5</v>
      </c>
      <c r="BK372" s="2">
        <v>1.5</v>
      </c>
      <c r="BL372" s="2">
        <v>41.44</v>
      </c>
      <c r="BM372" s="2">
        <v>5.8</v>
      </c>
      <c r="BN372" s="2">
        <v>47.24</v>
      </c>
      <c r="BO372" s="2">
        <v>47.24</v>
      </c>
      <c r="BP372" s="2"/>
      <c r="BQ372" s="2" t="s">
        <v>83</v>
      </c>
      <c r="BR372" s="2" t="s">
        <v>84</v>
      </c>
      <c r="BS372" s="3">
        <v>42968</v>
      </c>
      <c r="BT372" s="4">
        <v>0.43194444444444446</v>
      </c>
      <c r="BU372" s="2" t="s">
        <v>914</v>
      </c>
      <c r="BV372" s="2" t="s">
        <v>95</v>
      </c>
      <c r="BW372" s="2"/>
      <c r="BX372" s="2"/>
      <c r="BY372" s="2">
        <v>7269.39</v>
      </c>
      <c r="BZ372" s="2"/>
      <c r="CA372" s="2" t="s">
        <v>672</v>
      </c>
      <c r="CB372" s="2"/>
      <c r="CC372" s="2" t="s">
        <v>238</v>
      </c>
      <c r="CD372" s="2">
        <v>3610</v>
      </c>
      <c r="CE372" s="2" t="s">
        <v>89</v>
      </c>
      <c r="CF372" s="5">
        <v>42969</v>
      </c>
      <c r="CG372" s="2"/>
      <c r="CH372" s="2"/>
      <c r="CI372" s="2">
        <v>1</v>
      </c>
      <c r="CJ372" s="2">
        <v>1</v>
      </c>
      <c r="CK372" s="2">
        <v>21</v>
      </c>
      <c r="CL372" s="2" t="s">
        <v>86</v>
      </c>
      <c r="CM372" s="2"/>
    </row>
    <row r="373" spans="1:91">
      <c r="A373" s="2" t="s">
        <v>71</v>
      </c>
      <c r="B373" s="2" t="s">
        <v>72</v>
      </c>
      <c r="C373" s="2" t="s">
        <v>73</v>
      </c>
      <c r="D373" s="2"/>
      <c r="E373" s="2" t="str">
        <f>"FES1162570015"</f>
        <v>FES1162570015</v>
      </c>
      <c r="F373" s="3">
        <v>42965</v>
      </c>
      <c r="G373" s="2">
        <v>201802</v>
      </c>
      <c r="H373" s="2" t="s">
        <v>74</v>
      </c>
      <c r="I373" s="2" t="s">
        <v>75</v>
      </c>
      <c r="J373" s="2" t="s">
        <v>76</v>
      </c>
      <c r="K373" s="2" t="s">
        <v>77</v>
      </c>
      <c r="L373" s="2" t="s">
        <v>144</v>
      </c>
      <c r="M373" s="2" t="s">
        <v>145</v>
      </c>
      <c r="N373" s="2" t="s">
        <v>915</v>
      </c>
      <c r="O373" s="2" t="s">
        <v>100</v>
      </c>
      <c r="P373" s="2" t="str">
        <f>"2170585804                    "</f>
        <v xml:space="preserve">2170585804 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3.13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1</v>
      </c>
      <c r="BI373" s="2">
        <v>7.2</v>
      </c>
      <c r="BJ373" s="2">
        <v>3.4</v>
      </c>
      <c r="BK373" s="2">
        <v>8</v>
      </c>
      <c r="BL373" s="2">
        <v>32.380000000000003</v>
      </c>
      <c r="BM373" s="2">
        <v>4.53</v>
      </c>
      <c r="BN373" s="2">
        <v>36.909999999999997</v>
      </c>
      <c r="BO373" s="2">
        <v>36.909999999999997</v>
      </c>
      <c r="BP373" s="2"/>
      <c r="BQ373" s="2" t="s">
        <v>288</v>
      </c>
      <c r="BR373" s="2" t="s">
        <v>84</v>
      </c>
      <c r="BS373" s="3">
        <v>42968</v>
      </c>
      <c r="BT373" s="4">
        <v>0.4375</v>
      </c>
      <c r="BU373" s="2" t="s">
        <v>916</v>
      </c>
      <c r="BV373" s="2" t="s">
        <v>95</v>
      </c>
      <c r="BW373" s="2"/>
      <c r="BX373" s="2"/>
      <c r="BY373" s="2">
        <v>16816.8</v>
      </c>
      <c r="BZ373" s="2"/>
      <c r="CA373" s="2"/>
      <c r="CB373" s="2"/>
      <c r="CC373" s="2" t="s">
        <v>145</v>
      </c>
      <c r="CD373" s="2">
        <v>2091</v>
      </c>
      <c r="CE373" s="2" t="s">
        <v>89</v>
      </c>
      <c r="CF373" s="5">
        <v>42969</v>
      </c>
      <c r="CG373" s="2"/>
      <c r="CH373" s="2"/>
      <c r="CI373" s="2">
        <v>1</v>
      </c>
      <c r="CJ373" s="2">
        <v>1</v>
      </c>
      <c r="CK373" s="2">
        <v>22</v>
      </c>
      <c r="CL373" s="2" t="s">
        <v>86</v>
      </c>
      <c r="CM373" s="2"/>
    </row>
    <row r="374" spans="1:91">
      <c r="A374" s="2" t="s">
        <v>71</v>
      </c>
      <c r="B374" s="2" t="s">
        <v>72</v>
      </c>
      <c r="C374" s="2" t="s">
        <v>73</v>
      </c>
      <c r="D374" s="2"/>
      <c r="E374" s="2" t="str">
        <f>"FES1162570063"</f>
        <v>FES1162570063</v>
      </c>
      <c r="F374" s="3">
        <v>42965</v>
      </c>
      <c r="G374" s="2">
        <v>201802</v>
      </c>
      <c r="H374" s="2" t="s">
        <v>74</v>
      </c>
      <c r="I374" s="2" t="s">
        <v>75</v>
      </c>
      <c r="J374" s="2" t="s">
        <v>76</v>
      </c>
      <c r="K374" s="2" t="s">
        <v>77</v>
      </c>
      <c r="L374" s="2" t="s">
        <v>97</v>
      </c>
      <c r="M374" s="2" t="s">
        <v>98</v>
      </c>
      <c r="N374" s="2" t="s">
        <v>119</v>
      </c>
      <c r="O374" s="2" t="s">
        <v>100</v>
      </c>
      <c r="P374" s="2" t="str">
        <f>"2170585715                    "</f>
        <v xml:space="preserve">2170585715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14.01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7</v>
      </c>
      <c r="BJ374" s="2">
        <v>2.1</v>
      </c>
      <c r="BK374" s="2">
        <v>7</v>
      </c>
      <c r="BL374" s="2">
        <v>145.05000000000001</v>
      </c>
      <c r="BM374" s="2">
        <v>20.309999999999999</v>
      </c>
      <c r="BN374" s="2">
        <v>165.36</v>
      </c>
      <c r="BO374" s="2">
        <v>165.36</v>
      </c>
      <c r="BP374" s="2"/>
      <c r="BQ374" s="2" t="s">
        <v>108</v>
      </c>
      <c r="BR374" s="2" t="s">
        <v>84</v>
      </c>
      <c r="BS374" s="3">
        <v>42968</v>
      </c>
      <c r="BT374" s="4">
        <v>0.36805555555555558</v>
      </c>
      <c r="BU374" s="2" t="s">
        <v>917</v>
      </c>
      <c r="BV374" s="2" t="s">
        <v>95</v>
      </c>
      <c r="BW374" s="2"/>
      <c r="BX374" s="2"/>
      <c r="BY374" s="2">
        <v>10333.02</v>
      </c>
      <c r="BZ374" s="2"/>
      <c r="CA374" s="2" t="s">
        <v>213</v>
      </c>
      <c r="CB374" s="2"/>
      <c r="CC374" s="2" t="s">
        <v>98</v>
      </c>
      <c r="CD374" s="2">
        <v>6001</v>
      </c>
      <c r="CE374" s="2" t="s">
        <v>89</v>
      </c>
      <c r="CF374" s="5">
        <v>42969</v>
      </c>
      <c r="CG374" s="2"/>
      <c r="CH374" s="2"/>
      <c r="CI374" s="2">
        <v>1</v>
      </c>
      <c r="CJ374" s="2">
        <v>1</v>
      </c>
      <c r="CK374" s="2">
        <v>21</v>
      </c>
      <c r="CL374" s="2" t="s">
        <v>86</v>
      </c>
      <c r="CM374" s="2"/>
    </row>
    <row r="375" spans="1:91">
      <c r="A375" s="2" t="s">
        <v>71</v>
      </c>
      <c r="B375" s="2" t="s">
        <v>72</v>
      </c>
      <c r="C375" s="2" t="s">
        <v>73</v>
      </c>
      <c r="D375" s="2"/>
      <c r="E375" s="2" t="str">
        <f>"FES1162569859"</f>
        <v>FES1162569859</v>
      </c>
      <c r="F375" s="3">
        <v>42965</v>
      </c>
      <c r="G375" s="2">
        <v>201802</v>
      </c>
      <c r="H375" s="2" t="s">
        <v>74</v>
      </c>
      <c r="I375" s="2" t="s">
        <v>75</v>
      </c>
      <c r="J375" s="2" t="s">
        <v>76</v>
      </c>
      <c r="K375" s="2" t="s">
        <v>77</v>
      </c>
      <c r="L375" s="2" t="s">
        <v>244</v>
      </c>
      <c r="M375" s="2" t="s">
        <v>245</v>
      </c>
      <c r="N375" s="2" t="s">
        <v>918</v>
      </c>
      <c r="O375" s="2" t="s">
        <v>100</v>
      </c>
      <c r="P375" s="2" t="str">
        <f>"2170583518                    "</f>
        <v xml:space="preserve">2170583518 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3.13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1.4</v>
      </c>
      <c r="BJ375" s="2">
        <v>0.9</v>
      </c>
      <c r="BK375" s="2">
        <v>2</v>
      </c>
      <c r="BL375" s="2">
        <v>32.380000000000003</v>
      </c>
      <c r="BM375" s="2">
        <v>4.53</v>
      </c>
      <c r="BN375" s="2">
        <v>36.909999999999997</v>
      </c>
      <c r="BO375" s="2">
        <v>36.909999999999997</v>
      </c>
      <c r="BP375" s="2"/>
      <c r="BQ375" s="2" t="s">
        <v>288</v>
      </c>
      <c r="BR375" s="2" t="s">
        <v>84</v>
      </c>
      <c r="BS375" s="3">
        <v>42968</v>
      </c>
      <c r="BT375" s="4">
        <v>0.34861111111111115</v>
      </c>
      <c r="BU375" s="2" t="s">
        <v>919</v>
      </c>
      <c r="BV375" s="2" t="s">
        <v>95</v>
      </c>
      <c r="BW375" s="2"/>
      <c r="BX375" s="2"/>
      <c r="BY375" s="2">
        <v>4351.26</v>
      </c>
      <c r="BZ375" s="2"/>
      <c r="CA375" s="2" t="s">
        <v>499</v>
      </c>
      <c r="CB375" s="2"/>
      <c r="CC375" s="2" t="s">
        <v>245</v>
      </c>
      <c r="CD375" s="2">
        <v>1459</v>
      </c>
      <c r="CE375" s="2" t="s">
        <v>89</v>
      </c>
      <c r="CF375" s="5">
        <v>42969</v>
      </c>
      <c r="CG375" s="2"/>
      <c r="CH375" s="2"/>
      <c r="CI375" s="2">
        <v>1</v>
      </c>
      <c r="CJ375" s="2">
        <v>1</v>
      </c>
      <c r="CK375" s="2">
        <v>22</v>
      </c>
      <c r="CL375" s="2" t="s">
        <v>86</v>
      </c>
      <c r="CM375" s="2"/>
    </row>
    <row r="376" spans="1:91">
      <c r="A376" s="2" t="s">
        <v>71</v>
      </c>
      <c r="B376" s="2" t="s">
        <v>72</v>
      </c>
      <c r="C376" s="2" t="s">
        <v>73</v>
      </c>
      <c r="D376" s="2"/>
      <c r="E376" s="2" t="str">
        <f>"FES1162569941"</f>
        <v>FES1162569941</v>
      </c>
      <c r="F376" s="3">
        <v>42965</v>
      </c>
      <c r="G376" s="2">
        <v>201802</v>
      </c>
      <c r="H376" s="2" t="s">
        <v>74</v>
      </c>
      <c r="I376" s="2" t="s">
        <v>75</v>
      </c>
      <c r="J376" s="2" t="s">
        <v>76</v>
      </c>
      <c r="K376" s="2" t="s">
        <v>77</v>
      </c>
      <c r="L376" s="2" t="s">
        <v>174</v>
      </c>
      <c r="M376" s="2" t="s">
        <v>175</v>
      </c>
      <c r="N376" s="2" t="s">
        <v>920</v>
      </c>
      <c r="O376" s="2" t="s">
        <v>100</v>
      </c>
      <c r="P376" s="2" t="str">
        <f>"2170585544                    "</f>
        <v xml:space="preserve">2170585544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7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1</v>
      </c>
      <c r="BI376" s="2">
        <v>1.9</v>
      </c>
      <c r="BJ376" s="2">
        <v>3.4</v>
      </c>
      <c r="BK376" s="2">
        <v>3.5</v>
      </c>
      <c r="BL376" s="2">
        <v>72.52</v>
      </c>
      <c r="BM376" s="2">
        <v>10.15</v>
      </c>
      <c r="BN376" s="2">
        <v>82.67</v>
      </c>
      <c r="BO376" s="2">
        <v>82.67</v>
      </c>
      <c r="BP376" s="2"/>
      <c r="BQ376" s="2" t="s">
        <v>108</v>
      </c>
      <c r="BR376" s="2" t="s">
        <v>84</v>
      </c>
      <c r="BS376" s="3">
        <v>42968</v>
      </c>
      <c r="BT376" s="4">
        <v>0.33333333333333331</v>
      </c>
      <c r="BU376" s="2" t="s">
        <v>921</v>
      </c>
      <c r="BV376" s="2" t="s">
        <v>95</v>
      </c>
      <c r="BW376" s="2"/>
      <c r="BX376" s="2"/>
      <c r="BY376" s="2">
        <v>16854.52</v>
      </c>
      <c r="BZ376" s="2"/>
      <c r="CA376" s="2"/>
      <c r="CB376" s="2"/>
      <c r="CC376" s="2" t="s">
        <v>175</v>
      </c>
      <c r="CD376" s="2">
        <v>5201</v>
      </c>
      <c r="CE376" s="2" t="s">
        <v>89</v>
      </c>
      <c r="CF376" s="5">
        <v>42969</v>
      </c>
      <c r="CG376" s="2"/>
      <c r="CH376" s="2"/>
      <c r="CI376" s="2">
        <v>1</v>
      </c>
      <c r="CJ376" s="2">
        <v>1</v>
      </c>
      <c r="CK376" s="2">
        <v>21</v>
      </c>
      <c r="CL376" s="2" t="s">
        <v>86</v>
      </c>
      <c r="CM376" s="2"/>
    </row>
    <row r="377" spans="1:91">
      <c r="A377" s="2" t="s">
        <v>71</v>
      </c>
      <c r="B377" s="2" t="s">
        <v>72</v>
      </c>
      <c r="C377" s="2" t="s">
        <v>73</v>
      </c>
      <c r="D377" s="2"/>
      <c r="E377" s="2" t="str">
        <f>"FES1162569892"</f>
        <v>FES1162569892</v>
      </c>
      <c r="F377" s="3">
        <v>42965</v>
      </c>
      <c r="G377" s="2">
        <v>201802</v>
      </c>
      <c r="H377" s="2" t="s">
        <v>74</v>
      </c>
      <c r="I377" s="2" t="s">
        <v>75</v>
      </c>
      <c r="J377" s="2" t="s">
        <v>76</v>
      </c>
      <c r="K377" s="2" t="s">
        <v>77</v>
      </c>
      <c r="L377" s="2" t="s">
        <v>144</v>
      </c>
      <c r="M377" s="2" t="s">
        <v>145</v>
      </c>
      <c r="N377" s="2" t="s">
        <v>922</v>
      </c>
      <c r="O377" s="2" t="s">
        <v>100</v>
      </c>
      <c r="P377" s="2" t="str">
        <f>"2170585703                    "</f>
        <v xml:space="preserve">2170585703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3.13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3.2</v>
      </c>
      <c r="BJ377" s="2">
        <v>3.5</v>
      </c>
      <c r="BK377" s="2">
        <v>4</v>
      </c>
      <c r="BL377" s="2">
        <v>32.380000000000003</v>
      </c>
      <c r="BM377" s="2">
        <v>4.53</v>
      </c>
      <c r="BN377" s="2">
        <v>36.909999999999997</v>
      </c>
      <c r="BO377" s="2">
        <v>36.909999999999997</v>
      </c>
      <c r="BP377" s="2"/>
      <c r="BQ377" s="2" t="s">
        <v>288</v>
      </c>
      <c r="BR377" s="2" t="s">
        <v>84</v>
      </c>
      <c r="BS377" s="3">
        <v>42968</v>
      </c>
      <c r="BT377" s="4">
        <v>0.37013888888888885</v>
      </c>
      <c r="BU377" s="2" t="s">
        <v>330</v>
      </c>
      <c r="BV377" s="2" t="s">
        <v>95</v>
      </c>
      <c r="BW377" s="2"/>
      <c r="BX377" s="2"/>
      <c r="BY377" s="2">
        <v>17569.439999999999</v>
      </c>
      <c r="BZ377" s="2"/>
      <c r="CA377" s="2" t="s">
        <v>923</v>
      </c>
      <c r="CB377" s="2"/>
      <c r="CC377" s="2" t="s">
        <v>145</v>
      </c>
      <c r="CD377" s="2">
        <v>2042</v>
      </c>
      <c r="CE377" s="2" t="s">
        <v>89</v>
      </c>
      <c r="CF377" s="5">
        <v>42969</v>
      </c>
      <c r="CG377" s="2"/>
      <c r="CH377" s="2"/>
      <c r="CI377" s="2">
        <v>1</v>
      </c>
      <c r="CJ377" s="2">
        <v>1</v>
      </c>
      <c r="CK377" s="2">
        <v>22</v>
      </c>
      <c r="CL377" s="2" t="s">
        <v>86</v>
      </c>
      <c r="CM377" s="2"/>
    </row>
    <row r="378" spans="1:91">
      <c r="A378" s="2" t="s">
        <v>71</v>
      </c>
      <c r="B378" s="2" t="s">
        <v>72</v>
      </c>
      <c r="C378" s="2" t="s">
        <v>73</v>
      </c>
      <c r="D378" s="2"/>
      <c r="E378" s="2" t="str">
        <f>"FES1162569986"</f>
        <v>FES1162569986</v>
      </c>
      <c r="F378" s="3">
        <v>42965</v>
      </c>
      <c r="G378" s="2">
        <v>201802</v>
      </c>
      <c r="H378" s="2" t="s">
        <v>74</v>
      </c>
      <c r="I378" s="2" t="s">
        <v>75</v>
      </c>
      <c r="J378" s="2" t="s">
        <v>76</v>
      </c>
      <c r="K378" s="2" t="s">
        <v>77</v>
      </c>
      <c r="L378" s="2" t="s">
        <v>924</v>
      </c>
      <c r="M378" s="2" t="s">
        <v>925</v>
      </c>
      <c r="N378" s="2" t="s">
        <v>926</v>
      </c>
      <c r="O378" s="2" t="s">
        <v>100</v>
      </c>
      <c r="P378" s="2" t="str">
        <f>"2170585769                    "</f>
        <v xml:space="preserve">2170585769  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7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3.2</v>
      </c>
      <c r="BJ378" s="2">
        <v>3.2</v>
      </c>
      <c r="BK378" s="2">
        <v>3.5</v>
      </c>
      <c r="BL378" s="2">
        <v>72.52</v>
      </c>
      <c r="BM378" s="2">
        <v>10.15</v>
      </c>
      <c r="BN378" s="2">
        <v>82.67</v>
      </c>
      <c r="BO378" s="2">
        <v>82.67</v>
      </c>
      <c r="BP378" s="2"/>
      <c r="BQ378" s="2" t="s">
        <v>288</v>
      </c>
      <c r="BR378" s="2" t="s">
        <v>84</v>
      </c>
      <c r="BS378" s="3">
        <v>42968</v>
      </c>
      <c r="BT378" s="4">
        <v>0.53402777777777777</v>
      </c>
      <c r="BU378" s="2" t="s">
        <v>927</v>
      </c>
      <c r="BV378" s="2" t="s">
        <v>95</v>
      </c>
      <c r="BW378" s="2"/>
      <c r="BX378" s="2"/>
      <c r="BY378" s="2">
        <v>16094.56</v>
      </c>
      <c r="BZ378" s="2"/>
      <c r="CA378" s="2" t="s">
        <v>928</v>
      </c>
      <c r="CB378" s="2"/>
      <c r="CC378" s="2" t="s">
        <v>925</v>
      </c>
      <c r="CD378" s="2">
        <v>7600</v>
      </c>
      <c r="CE378" s="2" t="s">
        <v>89</v>
      </c>
      <c r="CF378" s="5">
        <v>42968</v>
      </c>
      <c r="CG378" s="2"/>
      <c r="CH378" s="2"/>
      <c r="CI378" s="2">
        <v>1</v>
      </c>
      <c r="CJ378" s="2">
        <v>1</v>
      </c>
      <c r="CK378" s="2">
        <v>21</v>
      </c>
      <c r="CL378" s="2" t="s">
        <v>86</v>
      </c>
      <c r="CM378" s="2"/>
    </row>
    <row r="379" spans="1:91">
      <c r="A379" s="2" t="s">
        <v>71</v>
      </c>
      <c r="B379" s="2" t="s">
        <v>72</v>
      </c>
      <c r="C379" s="2" t="s">
        <v>73</v>
      </c>
      <c r="D379" s="2"/>
      <c r="E379" s="2" t="str">
        <f>"FES1162569891"</f>
        <v>FES1162569891</v>
      </c>
      <c r="F379" s="3">
        <v>42965</v>
      </c>
      <c r="G379" s="2">
        <v>201802</v>
      </c>
      <c r="H379" s="2" t="s">
        <v>74</v>
      </c>
      <c r="I379" s="2" t="s">
        <v>75</v>
      </c>
      <c r="J379" s="2" t="s">
        <v>76</v>
      </c>
      <c r="K379" s="2" t="s">
        <v>77</v>
      </c>
      <c r="L379" s="2" t="s">
        <v>311</v>
      </c>
      <c r="M379" s="2" t="s">
        <v>312</v>
      </c>
      <c r="N379" s="2" t="s">
        <v>590</v>
      </c>
      <c r="O379" s="2" t="s">
        <v>100</v>
      </c>
      <c r="P379" s="2" t="str">
        <f>"2170585702                    "</f>
        <v xml:space="preserve">2170585702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3.13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3.6</v>
      </c>
      <c r="BJ379" s="2">
        <v>3.3</v>
      </c>
      <c r="BK379" s="2">
        <v>4</v>
      </c>
      <c r="BL379" s="2">
        <v>32.380000000000003</v>
      </c>
      <c r="BM379" s="2">
        <v>4.53</v>
      </c>
      <c r="BN379" s="2">
        <v>36.909999999999997</v>
      </c>
      <c r="BO379" s="2">
        <v>36.909999999999997</v>
      </c>
      <c r="BP379" s="2"/>
      <c r="BQ379" s="2" t="s">
        <v>288</v>
      </c>
      <c r="BR379" s="2" t="s">
        <v>84</v>
      </c>
      <c r="BS379" s="3">
        <v>42968</v>
      </c>
      <c r="BT379" s="4">
        <v>0.42777777777777781</v>
      </c>
      <c r="BU379" s="2" t="s">
        <v>929</v>
      </c>
      <c r="BV379" s="2" t="s">
        <v>95</v>
      </c>
      <c r="BW379" s="2"/>
      <c r="BX379" s="2"/>
      <c r="BY379" s="2">
        <v>16392.38</v>
      </c>
      <c r="BZ379" s="2"/>
      <c r="CA379" s="2" t="s">
        <v>889</v>
      </c>
      <c r="CB379" s="2"/>
      <c r="CC379" s="2" t="s">
        <v>312</v>
      </c>
      <c r="CD379" s="2">
        <v>1559</v>
      </c>
      <c r="CE379" s="2" t="s">
        <v>89</v>
      </c>
      <c r="CF379" s="5">
        <v>42969</v>
      </c>
      <c r="CG379" s="2"/>
      <c r="CH379" s="2"/>
      <c r="CI379" s="2">
        <v>1</v>
      </c>
      <c r="CJ379" s="2">
        <v>1</v>
      </c>
      <c r="CK379" s="2">
        <v>22</v>
      </c>
      <c r="CL379" s="2" t="s">
        <v>86</v>
      </c>
      <c r="CM379" s="2"/>
    </row>
    <row r="380" spans="1:91">
      <c r="A380" s="2" t="s">
        <v>71</v>
      </c>
      <c r="B380" s="2" t="s">
        <v>72</v>
      </c>
      <c r="C380" s="2" t="s">
        <v>73</v>
      </c>
      <c r="D380" s="2"/>
      <c r="E380" s="2" t="str">
        <f>"FES1162569981"</f>
        <v>FES1162569981</v>
      </c>
      <c r="F380" s="3">
        <v>42965</v>
      </c>
      <c r="G380" s="2">
        <v>201802</v>
      </c>
      <c r="H380" s="2" t="s">
        <v>74</v>
      </c>
      <c r="I380" s="2" t="s">
        <v>75</v>
      </c>
      <c r="J380" s="2" t="s">
        <v>76</v>
      </c>
      <c r="K380" s="2" t="s">
        <v>77</v>
      </c>
      <c r="L380" s="2" t="s">
        <v>174</v>
      </c>
      <c r="M380" s="2" t="s">
        <v>175</v>
      </c>
      <c r="N380" s="2" t="s">
        <v>930</v>
      </c>
      <c r="O380" s="2" t="s">
        <v>100</v>
      </c>
      <c r="P380" s="2" t="str">
        <f>"2170585764                    "</f>
        <v xml:space="preserve">2170585764 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7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1</v>
      </c>
      <c r="BI380" s="2">
        <v>1.7</v>
      </c>
      <c r="BJ380" s="2">
        <v>3.4</v>
      </c>
      <c r="BK380" s="2">
        <v>3.5</v>
      </c>
      <c r="BL380" s="2">
        <v>72.52</v>
      </c>
      <c r="BM380" s="2">
        <v>10.15</v>
      </c>
      <c r="BN380" s="2">
        <v>82.67</v>
      </c>
      <c r="BO380" s="2">
        <v>82.67</v>
      </c>
      <c r="BP380" s="2"/>
      <c r="BQ380" s="2" t="s">
        <v>83</v>
      </c>
      <c r="BR380" s="2" t="s">
        <v>84</v>
      </c>
      <c r="BS380" s="3">
        <v>42968</v>
      </c>
      <c r="BT380" s="4">
        <v>0.41597222222222219</v>
      </c>
      <c r="BU380" s="2" t="s">
        <v>931</v>
      </c>
      <c r="BV380" s="2" t="s">
        <v>95</v>
      </c>
      <c r="BW380" s="2"/>
      <c r="BX380" s="2"/>
      <c r="BY380" s="2">
        <v>16978.099999999999</v>
      </c>
      <c r="BZ380" s="2"/>
      <c r="CA380" s="2" t="s">
        <v>932</v>
      </c>
      <c r="CB380" s="2"/>
      <c r="CC380" s="2" t="s">
        <v>175</v>
      </c>
      <c r="CD380" s="2">
        <v>5201</v>
      </c>
      <c r="CE380" s="2" t="s">
        <v>89</v>
      </c>
      <c r="CF380" s="5">
        <v>42969</v>
      </c>
      <c r="CG380" s="2"/>
      <c r="CH380" s="2"/>
      <c r="CI380" s="2">
        <v>1</v>
      </c>
      <c r="CJ380" s="2">
        <v>1</v>
      </c>
      <c r="CK380" s="2">
        <v>21</v>
      </c>
      <c r="CL380" s="2" t="s">
        <v>86</v>
      </c>
      <c r="CM380" s="2"/>
    </row>
    <row r="381" spans="1:91">
      <c r="A381" s="2" t="s">
        <v>71</v>
      </c>
      <c r="B381" s="2" t="s">
        <v>72</v>
      </c>
      <c r="C381" s="2" t="s">
        <v>73</v>
      </c>
      <c r="D381" s="2"/>
      <c r="E381" s="2" t="str">
        <f>"FES1162570127"</f>
        <v>FES1162570127</v>
      </c>
      <c r="F381" s="3">
        <v>42965</v>
      </c>
      <c r="G381" s="2">
        <v>201802</v>
      </c>
      <c r="H381" s="2" t="s">
        <v>74</v>
      </c>
      <c r="I381" s="2" t="s">
        <v>75</v>
      </c>
      <c r="J381" s="2" t="s">
        <v>76</v>
      </c>
      <c r="K381" s="2" t="s">
        <v>77</v>
      </c>
      <c r="L381" s="2" t="s">
        <v>362</v>
      </c>
      <c r="M381" s="2" t="s">
        <v>363</v>
      </c>
      <c r="N381" s="2" t="s">
        <v>683</v>
      </c>
      <c r="O381" s="2" t="s">
        <v>100</v>
      </c>
      <c r="P381" s="2" t="str">
        <f>"2170585915                    "</f>
        <v xml:space="preserve">2170585915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6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1</v>
      </c>
      <c r="BI381" s="2">
        <v>2.9</v>
      </c>
      <c r="BJ381" s="2">
        <v>1.4</v>
      </c>
      <c r="BK381" s="2">
        <v>3</v>
      </c>
      <c r="BL381" s="2">
        <v>62.16</v>
      </c>
      <c r="BM381" s="2">
        <v>8.6999999999999993</v>
      </c>
      <c r="BN381" s="2">
        <v>70.86</v>
      </c>
      <c r="BO381" s="2">
        <v>70.86</v>
      </c>
      <c r="BP381" s="2"/>
      <c r="BQ381" s="2" t="s">
        <v>108</v>
      </c>
      <c r="BR381" s="2" t="s">
        <v>84</v>
      </c>
      <c r="BS381" s="3">
        <v>42968</v>
      </c>
      <c r="BT381" s="4">
        <v>0.4375</v>
      </c>
      <c r="BU381" s="2" t="s">
        <v>805</v>
      </c>
      <c r="BV381" s="2" t="s">
        <v>95</v>
      </c>
      <c r="BW381" s="2"/>
      <c r="BX381" s="2"/>
      <c r="BY381" s="2">
        <v>7192.28</v>
      </c>
      <c r="BZ381" s="2"/>
      <c r="CA381" s="2" t="s">
        <v>367</v>
      </c>
      <c r="CB381" s="2"/>
      <c r="CC381" s="2" t="s">
        <v>363</v>
      </c>
      <c r="CD381" s="2">
        <v>3201</v>
      </c>
      <c r="CE381" s="2" t="s">
        <v>89</v>
      </c>
      <c r="CF381" s="5">
        <v>42969</v>
      </c>
      <c r="CG381" s="2"/>
      <c r="CH381" s="2"/>
      <c r="CI381" s="2">
        <v>1</v>
      </c>
      <c r="CJ381" s="2">
        <v>1</v>
      </c>
      <c r="CK381" s="2">
        <v>21</v>
      </c>
      <c r="CL381" s="2" t="s">
        <v>86</v>
      </c>
      <c r="CM381" s="2"/>
    </row>
    <row r="382" spans="1:91">
      <c r="A382" s="2" t="s">
        <v>71</v>
      </c>
      <c r="B382" s="2" t="s">
        <v>72</v>
      </c>
      <c r="C382" s="2" t="s">
        <v>73</v>
      </c>
      <c r="D382" s="2"/>
      <c r="E382" s="2" t="str">
        <f>"FES1162570155"</f>
        <v>FES1162570155</v>
      </c>
      <c r="F382" s="3">
        <v>42965</v>
      </c>
      <c r="G382" s="2">
        <v>201802</v>
      </c>
      <c r="H382" s="2" t="s">
        <v>74</v>
      </c>
      <c r="I382" s="2" t="s">
        <v>75</v>
      </c>
      <c r="J382" s="2" t="s">
        <v>76</v>
      </c>
      <c r="K382" s="2" t="s">
        <v>77</v>
      </c>
      <c r="L382" s="2" t="s">
        <v>221</v>
      </c>
      <c r="M382" s="2" t="s">
        <v>222</v>
      </c>
      <c r="N382" s="2" t="s">
        <v>415</v>
      </c>
      <c r="O382" s="2" t="s">
        <v>100</v>
      </c>
      <c r="P382" s="2" t="str">
        <f>"2170582676                    "</f>
        <v xml:space="preserve">2170582676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7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3</v>
      </c>
      <c r="BJ382" s="2">
        <v>3.3</v>
      </c>
      <c r="BK382" s="2">
        <v>3.5</v>
      </c>
      <c r="BL382" s="2">
        <v>72.52</v>
      </c>
      <c r="BM382" s="2">
        <v>10.15</v>
      </c>
      <c r="BN382" s="2">
        <v>82.67</v>
      </c>
      <c r="BO382" s="2">
        <v>82.67</v>
      </c>
      <c r="BP382" s="2"/>
      <c r="BQ382" s="2" t="s">
        <v>108</v>
      </c>
      <c r="BR382" s="2" t="s">
        <v>84</v>
      </c>
      <c r="BS382" s="3">
        <v>42968</v>
      </c>
      <c r="BT382" s="4">
        <v>0.32430555555555557</v>
      </c>
      <c r="BU382" s="2" t="s">
        <v>933</v>
      </c>
      <c r="BV382" s="2" t="s">
        <v>95</v>
      </c>
      <c r="BW382" s="2"/>
      <c r="BX382" s="2"/>
      <c r="BY382" s="2">
        <v>16496.919999999998</v>
      </c>
      <c r="BZ382" s="2"/>
      <c r="CA382" s="2" t="s">
        <v>934</v>
      </c>
      <c r="CB382" s="2"/>
      <c r="CC382" s="2" t="s">
        <v>222</v>
      </c>
      <c r="CD382" s="2">
        <v>4302</v>
      </c>
      <c r="CE382" s="2" t="s">
        <v>89</v>
      </c>
      <c r="CF382" s="5">
        <v>42969</v>
      </c>
      <c r="CG382" s="2"/>
      <c r="CH382" s="2"/>
      <c r="CI382" s="2">
        <v>1</v>
      </c>
      <c r="CJ382" s="2">
        <v>1</v>
      </c>
      <c r="CK382" s="2">
        <v>21</v>
      </c>
      <c r="CL382" s="2" t="s">
        <v>86</v>
      </c>
      <c r="CM382" s="2"/>
    </row>
    <row r="383" spans="1:91">
      <c r="A383" s="2" t="s">
        <v>71</v>
      </c>
      <c r="B383" s="2" t="s">
        <v>72</v>
      </c>
      <c r="C383" s="2" t="s">
        <v>73</v>
      </c>
      <c r="D383" s="2"/>
      <c r="E383" s="2" t="str">
        <f>"FES1162570008"</f>
        <v>FES1162570008</v>
      </c>
      <c r="F383" s="3">
        <v>42965</v>
      </c>
      <c r="G383" s="2">
        <v>201802</v>
      </c>
      <c r="H383" s="2" t="s">
        <v>74</v>
      </c>
      <c r="I383" s="2" t="s">
        <v>75</v>
      </c>
      <c r="J383" s="2" t="s">
        <v>76</v>
      </c>
      <c r="K383" s="2" t="s">
        <v>77</v>
      </c>
      <c r="L383" s="2" t="s">
        <v>74</v>
      </c>
      <c r="M383" s="2" t="s">
        <v>75</v>
      </c>
      <c r="N383" s="2" t="s">
        <v>407</v>
      </c>
      <c r="O383" s="2" t="s">
        <v>100</v>
      </c>
      <c r="P383" s="2" t="str">
        <f>"2170585796                    "</f>
        <v xml:space="preserve">2170585796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3.13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2.8</v>
      </c>
      <c r="BJ383" s="2">
        <v>4.0999999999999996</v>
      </c>
      <c r="BK383" s="2">
        <v>5</v>
      </c>
      <c r="BL383" s="2">
        <v>32.380000000000003</v>
      </c>
      <c r="BM383" s="2">
        <v>4.53</v>
      </c>
      <c r="BN383" s="2">
        <v>36.909999999999997</v>
      </c>
      <c r="BO383" s="2">
        <v>36.909999999999997</v>
      </c>
      <c r="BP383" s="2"/>
      <c r="BQ383" s="2" t="s">
        <v>108</v>
      </c>
      <c r="BR383" s="2" t="s">
        <v>84</v>
      </c>
      <c r="BS383" s="3">
        <v>42968</v>
      </c>
      <c r="BT383" s="4">
        <v>0.33333333333333331</v>
      </c>
      <c r="BU383" s="2" t="s">
        <v>935</v>
      </c>
      <c r="BV383" s="2" t="s">
        <v>95</v>
      </c>
      <c r="BW383" s="2"/>
      <c r="BX383" s="2"/>
      <c r="BY383" s="2">
        <v>20531.28</v>
      </c>
      <c r="BZ383" s="2"/>
      <c r="CA383" s="2" t="s">
        <v>267</v>
      </c>
      <c r="CB383" s="2"/>
      <c r="CC383" s="2" t="s">
        <v>75</v>
      </c>
      <c r="CD383" s="2">
        <v>1645</v>
      </c>
      <c r="CE383" s="2" t="s">
        <v>89</v>
      </c>
      <c r="CF383" s="5">
        <v>42969</v>
      </c>
      <c r="CG383" s="2"/>
      <c r="CH383" s="2"/>
      <c r="CI383" s="2">
        <v>1</v>
      </c>
      <c r="CJ383" s="2">
        <v>1</v>
      </c>
      <c r="CK383" s="2">
        <v>22</v>
      </c>
      <c r="CL383" s="2" t="s">
        <v>86</v>
      </c>
      <c r="CM383" s="2"/>
    </row>
    <row r="384" spans="1:91">
      <c r="A384" s="2" t="s">
        <v>71</v>
      </c>
      <c r="B384" s="2" t="s">
        <v>72</v>
      </c>
      <c r="C384" s="2" t="s">
        <v>73</v>
      </c>
      <c r="D384" s="2"/>
      <c r="E384" s="2" t="str">
        <f>"FES1162570084"</f>
        <v>FES1162570084</v>
      </c>
      <c r="F384" s="3">
        <v>42965</v>
      </c>
      <c r="G384" s="2">
        <v>201802</v>
      </c>
      <c r="H384" s="2" t="s">
        <v>74</v>
      </c>
      <c r="I384" s="2" t="s">
        <v>75</v>
      </c>
      <c r="J384" s="2" t="s">
        <v>76</v>
      </c>
      <c r="K384" s="2" t="s">
        <v>77</v>
      </c>
      <c r="L384" s="2" t="s">
        <v>128</v>
      </c>
      <c r="M384" s="2" t="s">
        <v>129</v>
      </c>
      <c r="N384" s="2" t="s">
        <v>857</v>
      </c>
      <c r="O384" s="2" t="s">
        <v>100</v>
      </c>
      <c r="P384" s="2" t="str">
        <f>"2170576475                    "</f>
        <v xml:space="preserve">2170576475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3.13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1</v>
      </c>
      <c r="BI384" s="2">
        <v>1.3</v>
      </c>
      <c r="BJ384" s="2">
        <v>3.4</v>
      </c>
      <c r="BK384" s="2">
        <v>4</v>
      </c>
      <c r="BL384" s="2">
        <v>32.380000000000003</v>
      </c>
      <c r="BM384" s="2">
        <v>4.53</v>
      </c>
      <c r="BN384" s="2">
        <v>36.909999999999997</v>
      </c>
      <c r="BO384" s="2">
        <v>36.909999999999997</v>
      </c>
      <c r="BP384" s="2"/>
      <c r="BQ384" s="2" t="s">
        <v>288</v>
      </c>
      <c r="BR384" s="2" t="s">
        <v>84</v>
      </c>
      <c r="BS384" s="3">
        <v>42968</v>
      </c>
      <c r="BT384" s="4">
        <v>0.3888888888888889</v>
      </c>
      <c r="BU384" s="2" t="s">
        <v>858</v>
      </c>
      <c r="BV384" s="2" t="s">
        <v>95</v>
      </c>
      <c r="BW384" s="2"/>
      <c r="BX384" s="2"/>
      <c r="BY384" s="2">
        <v>16819.8</v>
      </c>
      <c r="BZ384" s="2"/>
      <c r="CA384" s="2" t="s">
        <v>923</v>
      </c>
      <c r="CB384" s="2"/>
      <c r="CC384" s="2" t="s">
        <v>129</v>
      </c>
      <c r="CD384" s="2">
        <v>1709</v>
      </c>
      <c r="CE384" s="2" t="s">
        <v>89</v>
      </c>
      <c r="CF384" s="5">
        <v>42969</v>
      </c>
      <c r="CG384" s="2"/>
      <c r="CH384" s="2"/>
      <c r="CI384" s="2">
        <v>1</v>
      </c>
      <c r="CJ384" s="2">
        <v>1</v>
      </c>
      <c r="CK384" s="2">
        <v>22</v>
      </c>
      <c r="CL384" s="2" t="s">
        <v>86</v>
      </c>
      <c r="CM384" s="2"/>
    </row>
    <row r="385" spans="1:91">
      <c r="A385" s="2" t="s">
        <v>71</v>
      </c>
      <c r="B385" s="2" t="s">
        <v>72</v>
      </c>
      <c r="C385" s="2" t="s">
        <v>73</v>
      </c>
      <c r="D385" s="2"/>
      <c r="E385" s="2" t="str">
        <f>"Rfes1162568931"</f>
        <v>Rfes1162568931</v>
      </c>
      <c r="F385" s="3">
        <v>42966</v>
      </c>
      <c r="G385" s="2">
        <v>201802</v>
      </c>
      <c r="H385" s="2" t="s">
        <v>362</v>
      </c>
      <c r="I385" s="2" t="s">
        <v>363</v>
      </c>
      <c r="J385" s="2" t="s">
        <v>546</v>
      </c>
      <c r="K385" s="2" t="s">
        <v>77</v>
      </c>
      <c r="L385" s="2" t="s">
        <v>74</v>
      </c>
      <c r="M385" s="2" t="s">
        <v>75</v>
      </c>
      <c r="N385" s="2" t="s">
        <v>76</v>
      </c>
      <c r="O385" s="2" t="s">
        <v>100</v>
      </c>
      <c r="P385" s="2" t="str">
        <f>"2170584936                    "</f>
        <v xml:space="preserve">2170584936 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10.01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</v>
      </c>
      <c r="BI385" s="2">
        <v>4.9000000000000004</v>
      </c>
      <c r="BJ385" s="2">
        <v>3.4</v>
      </c>
      <c r="BK385" s="2">
        <v>5</v>
      </c>
      <c r="BL385" s="2">
        <v>103.61</v>
      </c>
      <c r="BM385" s="2">
        <v>14.51</v>
      </c>
      <c r="BN385" s="2">
        <v>118.12</v>
      </c>
      <c r="BO385" s="2">
        <v>118.12</v>
      </c>
      <c r="BP385" s="2"/>
      <c r="BQ385" s="2" t="s">
        <v>84</v>
      </c>
      <c r="BR385" s="2" t="s">
        <v>209</v>
      </c>
      <c r="BS385" s="3">
        <v>42969</v>
      </c>
      <c r="BT385" s="4">
        <v>0.41666666666666669</v>
      </c>
      <c r="BU385" s="2" t="s">
        <v>631</v>
      </c>
      <c r="BV385" s="2" t="s">
        <v>95</v>
      </c>
      <c r="BW385" s="2"/>
      <c r="BX385" s="2"/>
      <c r="BY385" s="2">
        <v>17126.82</v>
      </c>
      <c r="BZ385" s="2" t="s">
        <v>27</v>
      </c>
      <c r="CA385" s="2" t="s">
        <v>328</v>
      </c>
      <c r="CB385" s="2"/>
      <c r="CC385" s="2" t="s">
        <v>75</v>
      </c>
      <c r="CD385" s="2">
        <v>1600</v>
      </c>
      <c r="CE385" s="2" t="s">
        <v>89</v>
      </c>
      <c r="CF385" s="5">
        <v>42970</v>
      </c>
      <c r="CG385" s="2"/>
      <c r="CH385" s="2"/>
      <c r="CI385" s="2">
        <v>1</v>
      </c>
      <c r="CJ385" s="2">
        <v>1</v>
      </c>
      <c r="CK385" s="2">
        <v>21</v>
      </c>
      <c r="CL385" s="2" t="s">
        <v>86</v>
      </c>
      <c r="CM385" s="2"/>
    </row>
    <row r="386" spans="1:91">
      <c r="A386" s="2" t="s">
        <v>71</v>
      </c>
      <c r="B386" s="2" t="s">
        <v>72</v>
      </c>
      <c r="C386" s="2" t="s">
        <v>73</v>
      </c>
      <c r="D386" s="2"/>
      <c r="E386" s="2" t="str">
        <f>"FES1162569979"</f>
        <v>FES1162569979</v>
      </c>
      <c r="F386" s="3">
        <v>42965</v>
      </c>
      <c r="G386" s="2">
        <v>201802</v>
      </c>
      <c r="H386" s="2" t="s">
        <v>74</v>
      </c>
      <c r="I386" s="2" t="s">
        <v>75</v>
      </c>
      <c r="J386" s="2" t="s">
        <v>76</v>
      </c>
      <c r="K386" s="2" t="s">
        <v>77</v>
      </c>
      <c r="L386" s="2" t="s">
        <v>174</v>
      </c>
      <c r="M386" s="2" t="s">
        <v>175</v>
      </c>
      <c r="N386" s="2" t="s">
        <v>920</v>
      </c>
      <c r="O386" s="2" t="s">
        <v>100</v>
      </c>
      <c r="P386" s="2" t="str">
        <f>"2170585736                    "</f>
        <v xml:space="preserve">2170585736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4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</v>
      </c>
      <c r="BI386" s="2">
        <v>1</v>
      </c>
      <c r="BJ386" s="2">
        <v>0.2</v>
      </c>
      <c r="BK386" s="2">
        <v>1</v>
      </c>
      <c r="BL386" s="2">
        <v>41.44</v>
      </c>
      <c r="BM386" s="2">
        <v>5.8</v>
      </c>
      <c r="BN386" s="2">
        <v>47.24</v>
      </c>
      <c r="BO386" s="2">
        <v>47.24</v>
      </c>
      <c r="BP386" s="2"/>
      <c r="BQ386" s="2" t="s">
        <v>108</v>
      </c>
      <c r="BR386" s="2" t="s">
        <v>84</v>
      </c>
      <c r="BS386" s="3">
        <v>42968</v>
      </c>
      <c r="BT386" s="4">
        <v>0.33333333333333331</v>
      </c>
      <c r="BU386" s="2" t="s">
        <v>921</v>
      </c>
      <c r="BV386" s="2" t="s">
        <v>95</v>
      </c>
      <c r="BW386" s="2"/>
      <c r="BX386" s="2"/>
      <c r="BY386" s="2">
        <v>1200</v>
      </c>
      <c r="BZ386" s="2"/>
      <c r="CA386" s="2"/>
      <c r="CB386" s="2"/>
      <c r="CC386" s="2" t="s">
        <v>175</v>
      </c>
      <c r="CD386" s="2">
        <v>5201</v>
      </c>
      <c r="CE386" s="2" t="s">
        <v>104</v>
      </c>
      <c r="CF386" s="5">
        <v>42969</v>
      </c>
      <c r="CG386" s="2"/>
      <c r="CH386" s="2"/>
      <c r="CI386" s="2">
        <v>1</v>
      </c>
      <c r="CJ386" s="2">
        <v>1</v>
      </c>
      <c r="CK386" s="2">
        <v>21</v>
      </c>
      <c r="CL386" s="2" t="s">
        <v>86</v>
      </c>
      <c r="CM386" s="2"/>
    </row>
    <row r="387" spans="1:91">
      <c r="A387" s="2" t="s">
        <v>71</v>
      </c>
      <c r="B387" s="2" t="s">
        <v>72</v>
      </c>
      <c r="C387" s="2" t="s">
        <v>73</v>
      </c>
      <c r="D387" s="2"/>
      <c r="E387" s="2" t="str">
        <f>"FES1162570013"</f>
        <v>FES1162570013</v>
      </c>
      <c r="F387" s="3">
        <v>42965</v>
      </c>
      <c r="G387" s="2">
        <v>201802</v>
      </c>
      <c r="H387" s="2" t="s">
        <v>74</v>
      </c>
      <c r="I387" s="2" t="s">
        <v>75</v>
      </c>
      <c r="J387" s="2" t="s">
        <v>76</v>
      </c>
      <c r="K387" s="2" t="s">
        <v>77</v>
      </c>
      <c r="L387" s="2" t="s">
        <v>174</v>
      </c>
      <c r="M387" s="2" t="s">
        <v>175</v>
      </c>
      <c r="N387" s="2" t="s">
        <v>920</v>
      </c>
      <c r="O387" s="2" t="s">
        <v>100</v>
      </c>
      <c r="P387" s="2" t="str">
        <f>"2170585801                    "</f>
        <v xml:space="preserve">2170585801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4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1</v>
      </c>
      <c r="BJ387" s="2">
        <v>0.2</v>
      </c>
      <c r="BK387" s="2">
        <v>1</v>
      </c>
      <c r="BL387" s="2">
        <v>41.44</v>
      </c>
      <c r="BM387" s="2">
        <v>5.8</v>
      </c>
      <c r="BN387" s="2">
        <v>47.24</v>
      </c>
      <c r="BO387" s="2">
        <v>47.24</v>
      </c>
      <c r="BP387" s="2"/>
      <c r="BQ387" s="2" t="s">
        <v>108</v>
      </c>
      <c r="BR387" s="2" t="s">
        <v>84</v>
      </c>
      <c r="BS387" s="3">
        <v>42968</v>
      </c>
      <c r="BT387" s="4">
        <v>0.33333333333333331</v>
      </c>
      <c r="BU387" s="2" t="s">
        <v>921</v>
      </c>
      <c r="BV387" s="2" t="s">
        <v>95</v>
      </c>
      <c r="BW387" s="2"/>
      <c r="BX387" s="2"/>
      <c r="BY387" s="2">
        <v>1200</v>
      </c>
      <c r="BZ387" s="2"/>
      <c r="CA387" s="2"/>
      <c r="CB387" s="2"/>
      <c r="CC387" s="2" t="s">
        <v>175</v>
      </c>
      <c r="CD387" s="2">
        <v>5201</v>
      </c>
      <c r="CE387" s="2" t="s">
        <v>104</v>
      </c>
      <c r="CF387" s="5">
        <v>42969</v>
      </c>
      <c r="CG387" s="2"/>
      <c r="CH387" s="2"/>
      <c r="CI387" s="2">
        <v>1</v>
      </c>
      <c r="CJ387" s="2">
        <v>1</v>
      </c>
      <c r="CK387" s="2">
        <v>21</v>
      </c>
      <c r="CL387" s="2" t="s">
        <v>86</v>
      </c>
      <c r="CM387" s="2"/>
    </row>
    <row r="388" spans="1:91">
      <c r="A388" s="2" t="s">
        <v>71</v>
      </c>
      <c r="B388" s="2" t="s">
        <v>72</v>
      </c>
      <c r="C388" s="2" t="s">
        <v>73</v>
      </c>
      <c r="D388" s="2"/>
      <c r="E388" s="2" t="str">
        <f>"FES1162570332"</f>
        <v>FES1162570332</v>
      </c>
      <c r="F388" s="3">
        <v>42968</v>
      </c>
      <c r="G388" s="2">
        <v>201802</v>
      </c>
      <c r="H388" s="2" t="s">
        <v>74</v>
      </c>
      <c r="I388" s="2" t="s">
        <v>75</v>
      </c>
      <c r="J388" s="2" t="s">
        <v>76</v>
      </c>
      <c r="K388" s="2" t="s">
        <v>77</v>
      </c>
      <c r="L388" s="2" t="s">
        <v>362</v>
      </c>
      <c r="M388" s="2" t="s">
        <v>363</v>
      </c>
      <c r="N388" s="2" t="s">
        <v>936</v>
      </c>
      <c r="O388" s="2" t="s">
        <v>100</v>
      </c>
      <c r="P388" s="2" t="str">
        <f>"2170586098                    "</f>
        <v xml:space="preserve">2170586098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4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1</v>
      </c>
      <c r="BI388" s="2">
        <v>1</v>
      </c>
      <c r="BJ388" s="2">
        <v>0.2</v>
      </c>
      <c r="BK388" s="2">
        <v>1</v>
      </c>
      <c r="BL388" s="2">
        <v>41.44</v>
      </c>
      <c r="BM388" s="2">
        <v>5.8</v>
      </c>
      <c r="BN388" s="2">
        <v>47.24</v>
      </c>
      <c r="BO388" s="2">
        <v>47.24</v>
      </c>
      <c r="BP388" s="2"/>
      <c r="BQ388" s="2" t="s">
        <v>288</v>
      </c>
      <c r="BR388" s="2" t="s">
        <v>84</v>
      </c>
      <c r="BS388" s="3">
        <v>42969</v>
      </c>
      <c r="BT388" s="4">
        <v>0.34722222222222227</v>
      </c>
      <c r="BU388" s="2" t="s">
        <v>937</v>
      </c>
      <c r="BV388" s="2" t="s">
        <v>95</v>
      </c>
      <c r="BW388" s="2"/>
      <c r="BX388" s="2"/>
      <c r="BY388" s="2">
        <v>1200</v>
      </c>
      <c r="BZ388" s="2"/>
      <c r="CA388" s="2" t="s">
        <v>938</v>
      </c>
      <c r="CB388" s="2"/>
      <c r="CC388" s="2" t="s">
        <v>363</v>
      </c>
      <c r="CD388" s="2">
        <v>3200</v>
      </c>
      <c r="CE388" s="2" t="s">
        <v>104</v>
      </c>
      <c r="CF388" s="5">
        <v>42970</v>
      </c>
      <c r="CG388" s="2"/>
      <c r="CH388" s="2"/>
      <c r="CI388" s="2">
        <v>1</v>
      </c>
      <c r="CJ388" s="2">
        <v>1</v>
      </c>
      <c r="CK388" s="2">
        <v>21</v>
      </c>
      <c r="CL388" s="2" t="s">
        <v>86</v>
      </c>
      <c r="CM388" s="2"/>
    </row>
    <row r="389" spans="1:91">
      <c r="A389" s="2" t="s">
        <v>71</v>
      </c>
      <c r="B389" s="2" t="s">
        <v>72</v>
      </c>
      <c r="C389" s="2" t="s">
        <v>73</v>
      </c>
      <c r="D389" s="2"/>
      <c r="E389" s="2" t="str">
        <f>"FES1162567014"</f>
        <v>FES1162567014</v>
      </c>
      <c r="F389" s="3">
        <v>42951</v>
      </c>
      <c r="G389" s="2">
        <v>201802</v>
      </c>
      <c r="H389" s="2" t="s">
        <v>74</v>
      </c>
      <c r="I389" s="2" t="s">
        <v>75</v>
      </c>
      <c r="J389" s="2" t="s">
        <v>118</v>
      </c>
      <c r="K389" s="2" t="s">
        <v>77</v>
      </c>
      <c r="L389" s="2" t="s">
        <v>939</v>
      </c>
      <c r="M389" s="2" t="s">
        <v>940</v>
      </c>
      <c r="N389" s="2" t="s">
        <v>941</v>
      </c>
      <c r="O389" s="2" t="s">
        <v>358</v>
      </c>
      <c r="P389" s="2" t="str">
        <f>"2170583261                    "</f>
        <v xml:space="preserve">2170583261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5.63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1</v>
      </c>
      <c r="BI389" s="2">
        <v>3.6</v>
      </c>
      <c r="BJ389" s="2">
        <v>1.7</v>
      </c>
      <c r="BK389" s="2">
        <v>4</v>
      </c>
      <c r="BL389" s="2">
        <v>58.28</v>
      </c>
      <c r="BM389" s="2">
        <v>8.16</v>
      </c>
      <c r="BN389" s="2">
        <v>66.44</v>
      </c>
      <c r="BO389" s="2">
        <v>66.44</v>
      </c>
      <c r="BP389" s="2"/>
      <c r="BQ389" s="2" t="s">
        <v>83</v>
      </c>
      <c r="BR389" s="2" t="s">
        <v>122</v>
      </c>
      <c r="BS389" s="3">
        <v>42954</v>
      </c>
      <c r="BT389" s="4">
        <v>0.625</v>
      </c>
      <c r="BU389" s="2" t="s">
        <v>942</v>
      </c>
      <c r="BV389" s="2" t="s">
        <v>95</v>
      </c>
      <c r="BW389" s="2"/>
      <c r="BX389" s="2"/>
      <c r="BY389" s="2">
        <v>8334.35</v>
      </c>
      <c r="BZ389" s="2" t="s">
        <v>27</v>
      </c>
      <c r="CA389" s="2" t="s">
        <v>943</v>
      </c>
      <c r="CB389" s="2"/>
      <c r="CC389" s="2" t="s">
        <v>940</v>
      </c>
      <c r="CD389" s="2">
        <v>1028</v>
      </c>
      <c r="CE389" s="2" t="s">
        <v>89</v>
      </c>
      <c r="CF389" s="5">
        <v>42957</v>
      </c>
      <c r="CG389" s="2"/>
      <c r="CH389" s="2"/>
      <c r="CI389" s="2">
        <v>2</v>
      </c>
      <c r="CJ389" s="2">
        <v>1</v>
      </c>
      <c r="CK389" s="2">
        <v>34</v>
      </c>
      <c r="CL389" s="2" t="s">
        <v>86</v>
      </c>
      <c r="CM389" s="2"/>
    </row>
    <row r="390" spans="1:91">
      <c r="A390" s="2" t="s">
        <v>71</v>
      </c>
      <c r="B390" s="2" t="s">
        <v>72</v>
      </c>
      <c r="C390" s="2" t="s">
        <v>73</v>
      </c>
      <c r="D390" s="2"/>
      <c r="E390" s="2" t="str">
        <f>"FES1162567074"</f>
        <v>FES1162567074</v>
      </c>
      <c r="F390" s="3">
        <v>42951</v>
      </c>
      <c r="G390" s="2">
        <v>201802</v>
      </c>
      <c r="H390" s="2" t="s">
        <v>74</v>
      </c>
      <c r="I390" s="2" t="s">
        <v>75</v>
      </c>
      <c r="J390" s="2" t="s">
        <v>118</v>
      </c>
      <c r="K390" s="2" t="s">
        <v>77</v>
      </c>
      <c r="L390" s="2" t="s">
        <v>944</v>
      </c>
      <c r="M390" s="2" t="s">
        <v>944</v>
      </c>
      <c r="N390" s="2" t="s">
        <v>945</v>
      </c>
      <c r="O390" s="2" t="s">
        <v>358</v>
      </c>
      <c r="P390" s="2" t="str">
        <f>"2170587709                    "</f>
        <v xml:space="preserve">2170587709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5.63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6.6</v>
      </c>
      <c r="BJ390" s="2">
        <v>2.6</v>
      </c>
      <c r="BK390" s="2">
        <v>7</v>
      </c>
      <c r="BL390" s="2">
        <v>58.28</v>
      </c>
      <c r="BM390" s="2">
        <v>8.16</v>
      </c>
      <c r="BN390" s="2">
        <v>66.44</v>
      </c>
      <c r="BO390" s="2">
        <v>66.44</v>
      </c>
      <c r="BP390" s="2"/>
      <c r="BQ390" s="2" t="s">
        <v>946</v>
      </c>
      <c r="BR390" s="2" t="s">
        <v>122</v>
      </c>
      <c r="BS390" s="3">
        <v>42954</v>
      </c>
      <c r="BT390" s="4">
        <v>0.41666666666666669</v>
      </c>
      <c r="BU390" s="2" t="s">
        <v>947</v>
      </c>
      <c r="BV390" s="2" t="s">
        <v>95</v>
      </c>
      <c r="BW390" s="2"/>
      <c r="BX390" s="2"/>
      <c r="BY390" s="2">
        <v>12909.17</v>
      </c>
      <c r="BZ390" s="2" t="s">
        <v>27</v>
      </c>
      <c r="CA390" s="2" t="s">
        <v>148</v>
      </c>
      <c r="CB390" s="2"/>
      <c r="CC390" s="2" t="s">
        <v>944</v>
      </c>
      <c r="CD390" s="2">
        <v>1491</v>
      </c>
      <c r="CE390" s="2" t="s">
        <v>948</v>
      </c>
      <c r="CF390" s="5">
        <v>42955</v>
      </c>
      <c r="CG390" s="2"/>
      <c r="CH390" s="2"/>
      <c r="CI390" s="2">
        <v>1</v>
      </c>
      <c r="CJ390" s="2">
        <v>1</v>
      </c>
      <c r="CK390" s="2">
        <v>34</v>
      </c>
      <c r="CL390" s="2" t="s">
        <v>86</v>
      </c>
      <c r="CM390" s="2"/>
    </row>
    <row r="391" spans="1:91">
      <c r="A391" s="2" t="s">
        <v>71</v>
      </c>
      <c r="B391" s="2" t="s">
        <v>72</v>
      </c>
      <c r="C391" s="2" t="s">
        <v>73</v>
      </c>
      <c r="D391" s="2"/>
      <c r="E391" s="2" t="str">
        <f>"FES1162565877"</f>
        <v>FES1162565877</v>
      </c>
      <c r="F391" s="3">
        <v>42948</v>
      </c>
      <c r="G391" s="2">
        <v>201802</v>
      </c>
      <c r="H391" s="2" t="s">
        <v>74</v>
      </c>
      <c r="I391" s="2" t="s">
        <v>75</v>
      </c>
      <c r="J391" s="2" t="s">
        <v>118</v>
      </c>
      <c r="K391" s="2" t="s">
        <v>77</v>
      </c>
      <c r="L391" s="2" t="s">
        <v>306</v>
      </c>
      <c r="M391" s="2" t="s">
        <v>307</v>
      </c>
      <c r="N391" s="2" t="s">
        <v>949</v>
      </c>
      <c r="O391" s="2" t="s">
        <v>358</v>
      </c>
      <c r="P391" s="2" t="str">
        <f>"2170582438                    "</f>
        <v xml:space="preserve">2170582438  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5.0999999999999996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4.2</v>
      </c>
      <c r="BJ391" s="2">
        <v>3.3</v>
      </c>
      <c r="BK391" s="2">
        <v>5</v>
      </c>
      <c r="BL391" s="2">
        <v>57.75</v>
      </c>
      <c r="BM391" s="2">
        <v>8.09</v>
      </c>
      <c r="BN391" s="2">
        <v>65.84</v>
      </c>
      <c r="BO391" s="2">
        <v>65.84</v>
      </c>
      <c r="BP391" s="2"/>
      <c r="BQ391" s="2" t="s">
        <v>83</v>
      </c>
      <c r="BR391" s="2" t="s">
        <v>122</v>
      </c>
      <c r="BS391" s="3">
        <v>42949</v>
      </c>
      <c r="BT391" s="4">
        <v>0.3840277777777778</v>
      </c>
      <c r="BU391" s="2" t="s">
        <v>950</v>
      </c>
      <c r="BV391" s="2" t="s">
        <v>95</v>
      </c>
      <c r="BW391" s="2"/>
      <c r="BX391" s="2"/>
      <c r="BY391" s="2">
        <v>16546.07</v>
      </c>
      <c r="BZ391" s="2" t="s">
        <v>27</v>
      </c>
      <c r="CA391" s="2" t="s">
        <v>951</v>
      </c>
      <c r="CB391" s="2"/>
      <c r="CC391" s="2" t="s">
        <v>307</v>
      </c>
      <c r="CD391" s="2">
        <v>1961</v>
      </c>
      <c r="CE391" s="2" t="s">
        <v>259</v>
      </c>
      <c r="CF391" s="5">
        <v>42950</v>
      </c>
      <c r="CG391" s="2"/>
      <c r="CH391" s="2"/>
      <c r="CI391" s="2">
        <v>1</v>
      </c>
      <c r="CJ391" s="2">
        <v>1</v>
      </c>
      <c r="CK391" s="2">
        <v>34</v>
      </c>
      <c r="CL391" s="2" t="s">
        <v>86</v>
      </c>
      <c r="CM391" s="2"/>
    </row>
    <row r="392" spans="1:91">
      <c r="A392" s="2" t="s">
        <v>71</v>
      </c>
      <c r="B392" s="2" t="s">
        <v>72</v>
      </c>
      <c r="C392" s="2" t="s">
        <v>73</v>
      </c>
      <c r="D392" s="2"/>
      <c r="E392" s="2" t="str">
        <f>"FES1162567385"</f>
        <v>FES1162567385</v>
      </c>
      <c r="F392" s="3">
        <v>42954</v>
      </c>
      <c r="G392" s="2">
        <v>201802</v>
      </c>
      <c r="H392" s="2" t="s">
        <v>74</v>
      </c>
      <c r="I392" s="2" t="s">
        <v>75</v>
      </c>
      <c r="J392" s="2" t="s">
        <v>118</v>
      </c>
      <c r="K392" s="2" t="s">
        <v>77</v>
      </c>
      <c r="L392" s="2" t="s">
        <v>74</v>
      </c>
      <c r="M392" s="2" t="s">
        <v>75</v>
      </c>
      <c r="N392" s="2" t="s">
        <v>467</v>
      </c>
      <c r="O392" s="2" t="s">
        <v>358</v>
      </c>
      <c r="P392" s="2" t="str">
        <f>"2170583547                    "</f>
        <v xml:space="preserve">2170583547  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4.88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9.1999999999999993</v>
      </c>
      <c r="BJ392" s="2">
        <v>12.2</v>
      </c>
      <c r="BK392" s="2">
        <v>13</v>
      </c>
      <c r="BL392" s="2">
        <v>50.53</v>
      </c>
      <c r="BM392" s="2">
        <v>7.07</v>
      </c>
      <c r="BN392" s="2">
        <v>57.6</v>
      </c>
      <c r="BO392" s="2">
        <v>57.6</v>
      </c>
      <c r="BP392" s="2"/>
      <c r="BQ392" s="2" t="s">
        <v>288</v>
      </c>
      <c r="BR392" s="2" t="s">
        <v>122</v>
      </c>
      <c r="BS392" s="3">
        <v>42955</v>
      </c>
      <c r="BT392" s="4">
        <v>0.44444444444444442</v>
      </c>
      <c r="BU392" s="2" t="s">
        <v>952</v>
      </c>
      <c r="BV392" s="2" t="s">
        <v>95</v>
      </c>
      <c r="BW392" s="2"/>
      <c r="BX392" s="2"/>
      <c r="BY392" s="2">
        <v>60861.599999999999</v>
      </c>
      <c r="BZ392" s="2" t="s">
        <v>27</v>
      </c>
      <c r="CA392" s="2" t="s">
        <v>953</v>
      </c>
      <c r="CB392" s="2"/>
      <c r="CC392" s="2" t="s">
        <v>75</v>
      </c>
      <c r="CD392" s="2">
        <v>1601</v>
      </c>
      <c r="CE392" s="2" t="s">
        <v>89</v>
      </c>
      <c r="CF392" s="5">
        <v>42957</v>
      </c>
      <c r="CG392" s="2"/>
      <c r="CH392" s="2"/>
      <c r="CI392" s="2">
        <v>1</v>
      </c>
      <c r="CJ392" s="2">
        <v>1</v>
      </c>
      <c r="CK392" s="2">
        <v>32</v>
      </c>
      <c r="CL392" s="2" t="s">
        <v>86</v>
      </c>
      <c r="CM392" s="2"/>
    </row>
    <row r="393" spans="1:91">
      <c r="A393" s="2" t="s">
        <v>71</v>
      </c>
      <c r="B393" s="2" t="s">
        <v>72</v>
      </c>
      <c r="C393" s="2" t="s">
        <v>73</v>
      </c>
      <c r="D393" s="2"/>
      <c r="E393" s="2" t="str">
        <f>"FES1162567510"</f>
        <v>FES1162567510</v>
      </c>
      <c r="F393" s="3">
        <v>42954</v>
      </c>
      <c r="G393" s="2">
        <v>201802</v>
      </c>
      <c r="H393" s="2" t="s">
        <v>74</v>
      </c>
      <c r="I393" s="2" t="s">
        <v>75</v>
      </c>
      <c r="J393" s="2" t="s">
        <v>118</v>
      </c>
      <c r="K393" s="2" t="s">
        <v>77</v>
      </c>
      <c r="L393" s="2" t="s">
        <v>159</v>
      </c>
      <c r="M393" s="2" t="s">
        <v>160</v>
      </c>
      <c r="N393" s="2" t="s">
        <v>954</v>
      </c>
      <c r="O393" s="2" t="s">
        <v>358</v>
      </c>
      <c r="P393" s="2" t="str">
        <f>"2170579333                    "</f>
        <v xml:space="preserve">2170579333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5.63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2.8</v>
      </c>
      <c r="BJ393" s="2">
        <v>5.7</v>
      </c>
      <c r="BK393" s="2">
        <v>6</v>
      </c>
      <c r="BL393" s="2">
        <v>58.28</v>
      </c>
      <c r="BM393" s="2">
        <v>8.16</v>
      </c>
      <c r="BN393" s="2">
        <v>66.44</v>
      </c>
      <c r="BO393" s="2">
        <v>66.44</v>
      </c>
      <c r="BP393" s="2"/>
      <c r="BQ393" s="2" t="s">
        <v>83</v>
      </c>
      <c r="BR393" s="2" t="s">
        <v>122</v>
      </c>
      <c r="BS393" s="3">
        <v>42961</v>
      </c>
      <c r="BT393" s="4">
        <v>0.73263888888888884</v>
      </c>
      <c r="BU393" s="2" t="s">
        <v>955</v>
      </c>
      <c r="BV393" s="2" t="s">
        <v>86</v>
      </c>
      <c r="BW393" s="2" t="s">
        <v>110</v>
      </c>
      <c r="BX393" s="2" t="s">
        <v>444</v>
      </c>
      <c r="BY393" s="2">
        <v>28382.98</v>
      </c>
      <c r="BZ393" s="2" t="s">
        <v>27</v>
      </c>
      <c r="CA393" s="2" t="s">
        <v>956</v>
      </c>
      <c r="CB393" s="2"/>
      <c r="CC393" s="2" t="s">
        <v>160</v>
      </c>
      <c r="CD393" s="2">
        <v>407</v>
      </c>
      <c r="CE393" s="2" t="s">
        <v>89</v>
      </c>
      <c r="CF393" s="5">
        <v>42962</v>
      </c>
      <c r="CG393" s="2"/>
      <c r="CH393" s="2"/>
      <c r="CI393" s="2">
        <v>1</v>
      </c>
      <c r="CJ393" s="2">
        <v>5</v>
      </c>
      <c r="CK393" s="2">
        <v>34</v>
      </c>
      <c r="CL393" s="2" t="s">
        <v>86</v>
      </c>
      <c r="CM393" s="2"/>
    </row>
    <row r="394" spans="1:91">
      <c r="A394" s="2" t="s">
        <v>71</v>
      </c>
      <c r="B394" s="2" t="s">
        <v>72</v>
      </c>
      <c r="C394" s="2" t="s">
        <v>73</v>
      </c>
      <c r="D394" s="2"/>
      <c r="E394" s="2" t="str">
        <f>"FES1162565897"</f>
        <v>FES1162565897</v>
      </c>
      <c r="F394" s="3">
        <v>42948</v>
      </c>
      <c r="G394" s="2">
        <v>201802</v>
      </c>
      <c r="H394" s="2" t="s">
        <v>74</v>
      </c>
      <c r="I394" s="2" t="s">
        <v>75</v>
      </c>
      <c r="J394" s="2" t="s">
        <v>118</v>
      </c>
      <c r="K394" s="2" t="s">
        <v>77</v>
      </c>
      <c r="L394" s="2" t="s">
        <v>446</v>
      </c>
      <c r="M394" s="2" t="s">
        <v>447</v>
      </c>
      <c r="N394" s="2" t="s">
        <v>448</v>
      </c>
      <c r="O394" s="2" t="s">
        <v>358</v>
      </c>
      <c r="P394" s="2" t="str">
        <f>"2170582464                    "</f>
        <v xml:space="preserve">2170582464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5.0999999999999996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2</v>
      </c>
      <c r="BI394" s="2">
        <v>4</v>
      </c>
      <c r="BJ394" s="2">
        <v>3</v>
      </c>
      <c r="BK394" s="2">
        <v>4</v>
      </c>
      <c r="BL394" s="2">
        <v>57.75</v>
      </c>
      <c r="BM394" s="2">
        <v>8.09</v>
      </c>
      <c r="BN394" s="2">
        <v>65.84</v>
      </c>
      <c r="BO394" s="2">
        <v>65.84</v>
      </c>
      <c r="BP394" s="2"/>
      <c r="BQ394" s="2" t="s">
        <v>83</v>
      </c>
      <c r="BR394" s="2" t="s">
        <v>122</v>
      </c>
      <c r="BS394" s="3">
        <v>42949</v>
      </c>
      <c r="BT394" s="4">
        <v>0.41666666666666669</v>
      </c>
      <c r="BU394" s="2" t="s">
        <v>957</v>
      </c>
      <c r="BV394" s="2" t="s">
        <v>95</v>
      </c>
      <c r="BW394" s="2"/>
      <c r="BX394" s="2"/>
      <c r="BY394" s="2">
        <v>14981.44</v>
      </c>
      <c r="BZ394" s="2" t="s">
        <v>27</v>
      </c>
      <c r="CA394" s="2" t="s">
        <v>148</v>
      </c>
      <c r="CB394" s="2"/>
      <c r="CC394" s="2" t="s">
        <v>447</v>
      </c>
      <c r="CD394" s="2">
        <v>1759</v>
      </c>
      <c r="CE394" s="2" t="s">
        <v>259</v>
      </c>
      <c r="CF394" s="5">
        <v>42950</v>
      </c>
      <c r="CG394" s="2"/>
      <c r="CH394" s="2"/>
      <c r="CI394" s="2">
        <v>1</v>
      </c>
      <c r="CJ394" s="2">
        <v>1</v>
      </c>
      <c r="CK394" s="2">
        <v>34</v>
      </c>
      <c r="CL394" s="2" t="s">
        <v>86</v>
      </c>
      <c r="CM394" s="2"/>
    </row>
    <row r="395" spans="1:91">
      <c r="A395" s="2" t="s">
        <v>71</v>
      </c>
      <c r="B395" s="2" t="s">
        <v>72</v>
      </c>
      <c r="C395" s="2" t="s">
        <v>73</v>
      </c>
      <c r="D395" s="2"/>
      <c r="E395" s="2" t="str">
        <f>"FES1162567524"</f>
        <v>FES1162567524</v>
      </c>
      <c r="F395" s="3">
        <v>42954</v>
      </c>
      <c r="G395" s="2">
        <v>201802</v>
      </c>
      <c r="H395" s="2" t="s">
        <v>74</v>
      </c>
      <c r="I395" s="2" t="s">
        <v>75</v>
      </c>
      <c r="J395" s="2" t="s">
        <v>118</v>
      </c>
      <c r="K395" s="2" t="s">
        <v>77</v>
      </c>
      <c r="L395" s="2" t="s">
        <v>944</v>
      </c>
      <c r="M395" s="2" t="s">
        <v>944</v>
      </c>
      <c r="N395" s="2" t="s">
        <v>958</v>
      </c>
      <c r="O395" s="2" t="s">
        <v>358</v>
      </c>
      <c r="P395" s="2" t="str">
        <f>"2170578387                    "</f>
        <v xml:space="preserve">2170578387 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5.63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3.7</v>
      </c>
      <c r="BJ395" s="2">
        <v>4.3</v>
      </c>
      <c r="BK395" s="2">
        <v>5</v>
      </c>
      <c r="BL395" s="2">
        <v>58.28</v>
      </c>
      <c r="BM395" s="2">
        <v>8.16</v>
      </c>
      <c r="BN395" s="2">
        <v>66.44</v>
      </c>
      <c r="BO395" s="2">
        <v>66.44</v>
      </c>
      <c r="BP395" s="2"/>
      <c r="BQ395" s="2" t="s">
        <v>83</v>
      </c>
      <c r="BR395" s="2" t="s">
        <v>122</v>
      </c>
      <c r="BS395" s="3">
        <v>42955</v>
      </c>
      <c r="BT395" s="4">
        <v>0.375</v>
      </c>
      <c r="BU395" s="2" t="s">
        <v>959</v>
      </c>
      <c r="BV395" s="2" t="s">
        <v>95</v>
      </c>
      <c r="BW395" s="2"/>
      <c r="BX395" s="2"/>
      <c r="BY395" s="2">
        <v>21693.67</v>
      </c>
      <c r="BZ395" s="2" t="s">
        <v>27</v>
      </c>
      <c r="CA395" s="2" t="s">
        <v>960</v>
      </c>
      <c r="CB395" s="2"/>
      <c r="CC395" s="2" t="s">
        <v>944</v>
      </c>
      <c r="CD395" s="2">
        <v>1491</v>
      </c>
      <c r="CE395" s="2" t="s">
        <v>89</v>
      </c>
      <c r="CF395" s="5">
        <v>42957</v>
      </c>
      <c r="CG395" s="2"/>
      <c r="CH395" s="2"/>
      <c r="CI395" s="2">
        <v>1</v>
      </c>
      <c r="CJ395" s="2">
        <v>1</v>
      </c>
      <c r="CK395" s="2">
        <v>34</v>
      </c>
      <c r="CL395" s="2" t="s">
        <v>86</v>
      </c>
      <c r="CM395" s="2"/>
    </row>
    <row r="396" spans="1:91">
      <c r="A396" s="2" t="s">
        <v>71</v>
      </c>
      <c r="B396" s="2" t="s">
        <v>72</v>
      </c>
      <c r="C396" s="2" t="s">
        <v>73</v>
      </c>
      <c r="D396" s="2"/>
      <c r="E396" s="2" t="str">
        <f>"FES1162567534"</f>
        <v>FES1162567534</v>
      </c>
      <c r="F396" s="3">
        <v>42954</v>
      </c>
      <c r="G396" s="2">
        <v>201802</v>
      </c>
      <c r="H396" s="2" t="s">
        <v>74</v>
      </c>
      <c r="I396" s="2" t="s">
        <v>75</v>
      </c>
      <c r="J396" s="2" t="s">
        <v>118</v>
      </c>
      <c r="K396" s="2" t="s">
        <v>77</v>
      </c>
      <c r="L396" s="2" t="s">
        <v>446</v>
      </c>
      <c r="M396" s="2" t="s">
        <v>447</v>
      </c>
      <c r="N396" s="2" t="s">
        <v>961</v>
      </c>
      <c r="O396" s="2" t="s">
        <v>358</v>
      </c>
      <c r="P396" s="2" t="str">
        <f>"2170583682                    "</f>
        <v xml:space="preserve">2170583682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5.63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3.4</v>
      </c>
      <c r="BJ396" s="2">
        <v>2.1</v>
      </c>
      <c r="BK396" s="2">
        <v>4</v>
      </c>
      <c r="BL396" s="2">
        <v>58.28</v>
      </c>
      <c r="BM396" s="2">
        <v>8.16</v>
      </c>
      <c r="BN396" s="2">
        <v>66.44</v>
      </c>
      <c r="BO396" s="2">
        <v>66.44</v>
      </c>
      <c r="BP396" s="2"/>
      <c r="BQ396" s="2" t="s">
        <v>962</v>
      </c>
      <c r="BR396" s="2" t="s">
        <v>122</v>
      </c>
      <c r="BS396" s="3">
        <v>42955</v>
      </c>
      <c r="BT396" s="4">
        <v>0.41666666666666669</v>
      </c>
      <c r="BU396" s="2" t="s">
        <v>963</v>
      </c>
      <c r="BV396" s="2" t="s">
        <v>95</v>
      </c>
      <c r="BW396" s="2"/>
      <c r="BX396" s="2"/>
      <c r="BY396" s="2">
        <v>10444.200000000001</v>
      </c>
      <c r="BZ396" s="2" t="s">
        <v>27</v>
      </c>
      <c r="CA396" s="2"/>
      <c r="CB396" s="2"/>
      <c r="CC396" s="2" t="s">
        <v>447</v>
      </c>
      <c r="CD396" s="2">
        <v>1759</v>
      </c>
      <c r="CE396" s="2" t="s">
        <v>104</v>
      </c>
      <c r="CF396" s="5">
        <v>42957</v>
      </c>
      <c r="CG396" s="2"/>
      <c r="CH396" s="2"/>
      <c r="CI396" s="2">
        <v>1</v>
      </c>
      <c r="CJ396" s="2">
        <v>1</v>
      </c>
      <c r="CK396" s="2">
        <v>34</v>
      </c>
      <c r="CL396" s="2" t="s">
        <v>86</v>
      </c>
      <c r="CM396" s="2"/>
    </row>
    <row r="397" spans="1:91">
      <c r="A397" s="2" t="s">
        <v>71</v>
      </c>
      <c r="B397" s="2" t="s">
        <v>72</v>
      </c>
      <c r="C397" s="2" t="s">
        <v>73</v>
      </c>
      <c r="D397" s="2"/>
      <c r="E397" s="2" t="str">
        <f>"Rfes1162570053"</f>
        <v>Rfes1162570053</v>
      </c>
      <c r="F397" s="3">
        <v>42969</v>
      </c>
      <c r="G397" s="2">
        <v>201802</v>
      </c>
      <c r="H397" s="2" t="s">
        <v>216</v>
      </c>
      <c r="I397" s="2" t="s">
        <v>217</v>
      </c>
      <c r="J397" s="2" t="s">
        <v>351</v>
      </c>
      <c r="K397" s="2" t="s">
        <v>77</v>
      </c>
      <c r="L397" s="2" t="s">
        <v>74</v>
      </c>
      <c r="M397" s="2" t="s">
        <v>75</v>
      </c>
      <c r="N397" s="2" t="s">
        <v>76</v>
      </c>
      <c r="O397" s="2" t="s">
        <v>100</v>
      </c>
      <c r="P397" s="2" t="str">
        <f>"2170585846                    "</f>
        <v xml:space="preserve">2170585846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3.13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1</v>
      </c>
      <c r="BJ397" s="2">
        <v>0.2</v>
      </c>
      <c r="BK397" s="2">
        <v>1</v>
      </c>
      <c r="BL397" s="2">
        <v>32.380000000000003</v>
      </c>
      <c r="BM397" s="2">
        <v>4.53</v>
      </c>
      <c r="BN397" s="2">
        <v>36.909999999999997</v>
      </c>
      <c r="BO397" s="2">
        <v>36.909999999999997</v>
      </c>
      <c r="BP397" s="2"/>
      <c r="BQ397" s="2" t="s">
        <v>84</v>
      </c>
      <c r="BR397" s="2" t="s">
        <v>288</v>
      </c>
      <c r="BS397" s="3">
        <v>42970</v>
      </c>
      <c r="BT397" s="4">
        <v>0.45833333333333331</v>
      </c>
      <c r="BU397" s="2" t="s">
        <v>631</v>
      </c>
      <c r="BV397" s="2" t="s">
        <v>86</v>
      </c>
      <c r="BW397" s="2" t="s">
        <v>110</v>
      </c>
      <c r="BX397" s="2" t="s">
        <v>498</v>
      </c>
      <c r="BY397" s="2">
        <v>1200</v>
      </c>
      <c r="BZ397" s="2"/>
      <c r="CA397" s="2"/>
      <c r="CB397" s="2"/>
      <c r="CC397" s="2" t="s">
        <v>75</v>
      </c>
      <c r="CD397" s="2">
        <v>1600</v>
      </c>
      <c r="CE397" s="2" t="s">
        <v>104</v>
      </c>
      <c r="CF397" s="5">
        <v>42971</v>
      </c>
      <c r="CG397" s="2"/>
      <c r="CH397" s="2"/>
      <c r="CI397" s="2">
        <v>1</v>
      </c>
      <c r="CJ397" s="2">
        <v>1</v>
      </c>
      <c r="CK397" s="2">
        <v>22</v>
      </c>
      <c r="CL397" s="2" t="s">
        <v>86</v>
      </c>
      <c r="CM397" s="2"/>
    </row>
    <row r="398" spans="1:91">
      <c r="A398" s="2" t="s">
        <v>71</v>
      </c>
      <c r="B398" s="2" t="s">
        <v>72</v>
      </c>
      <c r="C398" s="2" t="s">
        <v>73</v>
      </c>
      <c r="D398" s="2"/>
      <c r="E398" s="2" t="str">
        <f>"Rfes1162569437"</f>
        <v>Rfes1162569437</v>
      </c>
      <c r="F398" s="3">
        <v>42969</v>
      </c>
      <c r="G398" s="2">
        <v>201802</v>
      </c>
      <c r="H398" s="2" t="s">
        <v>137</v>
      </c>
      <c r="I398" s="2" t="s">
        <v>138</v>
      </c>
      <c r="J398" s="2" t="s">
        <v>964</v>
      </c>
      <c r="K398" s="2" t="s">
        <v>77</v>
      </c>
      <c r="L398" s="2" t="s">
        <v>74</v>
      </c>
      <c r="M398" s="2" t="s">
        <v>75</v>
      </c>
      <c r="N398" s="2" t="s">
        <v>76</v>
      </c>
      <c r="O398" s="2" t="s">
        <v>100</v>
      </c>
      <c r="P398" s="2" t="str">
        <f>"2170585277                    "</f>
        <v xml:space="preserve">2170585277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9.01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4.0999999999999996</v>
      </c>
      <c r="BJ398" s="2">
        <v>4.5</v>
      </c>
      <c r="BK398" s="2">
        <v>4.5</v>
      </c>
      <c r="BL398" s="2">
        <v>93.25</v>
      </c>
      <c r="BM398" s="2">
        <v>13.06</v>
      </c>
      <c r="BN398" s="2">
        <v>106.31</v>
      </c>
      <c r="BO398" s="2">
        <v>106.31</v>
      </c>
      <c r="BP398" s="2"/>
      <c r="BQ398" s="2" t="s">
        <v>84</v>
      </c>
      <c r="BR398" s="2" t="s">
        <v>288</v>
      </c>
      <c r="BS398" s="3">
        <v>42970</v>
      </c>
      <c r="BT398" s="4">
        <v>0.41666666666666669</v>
      </c>
      <c r="BU398" s="2" t="s">
        <v>802</v>
      </c>
      <c r="BV398" s="2" t="s">
        <v>95</v>
      </c>
      <c r="BW398" s="2"/>
      <c r="BX398" s="2"/>
      <c r="BY398" s="2">
        <v>22648.3</v>
      </c>
      <c r="BZ398" s="2" t="s">
        <v>27</v>
      </c>
      <c r="CA398" s="2"/>
      <c r="CB398" s="2"/>
      <c r="CC398" s="2" t="s">
        <v>75</v>
      </c>
      <c r="CD398" s="2">
        <v>1600</v>
      </c>
      <c r="CE398" s="2" t="s">
        <v>89</v>
      </c>
      <c r="CF398" s="2"/>
      <c r="CG398" s="2"/>
      <c r="CH398" s="2"/>
      <c r="CI398" s="2">
        <v>1</v>
      </c>
      <c r="CJ398" s="2">
        <v>1</v>
      </c>
      <c r="CK398" s="2">
        <v>21</v>
      </c>
      <c r="CL398" s="2" t="s">
        <v>86</v>
      </c>
      <c r="CM398" s="2"/>
    </row>
    <row r="399" spans="1:91">
      <c r="A399" s="2" t="s">
        <v>71</v>
      </c>
      <c r="B399" s="2" t="s">
        <v>72</v>
      </c>
      <c r="C399" s="2" t="s">
        <v>73</v>
      </c>
      <c r="D399" s="2"/>
      <c r="E399" s="2" t="str">
        <f>"FES1162568112"</f>
        <v>FES1162568112</v>
      </c>
      <c r="F399" s="3">
        <v>42957</v>
      </c>
      <c r="G399" s="2">
        <v>201802</v>
      </c>
      <c r="H399" s="2" t="s">
        <v>74</v>
      </c>
      <c r="I399" s="2" t="s">
        <v>75</v>
      </c>
      <c r="J399" s="2" t="s">
        <v>118</v>
      </c>
      <c r="K399" s="2" t="s">
        <v>77</v>
      </c>
      <c r="L399" s="2" t="s">
        <v>470</v>
      </c>
      <c r="M399" s="2" t="s">
        <v>471</v>
      </c>
      <c r="N399" s="2" t="s">
        <v>965</v>
      </c>
      <c r="O399" s="2" t="s">
        <v>81</v>
      </c>
      <c r="P399" s="2" t="str">
        <f>"2170582872                    "</f>
        <v xml:space="preserve">2170582872              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6.88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4</v>
      </c>
      <c r="BJ399" s="2">
        <v>1.7</v>
      </c>
      <c r="BK399" s="2">
        <v>4</v>
      </c>
      <c r="BL399" s="2">
        <v>76.23</v>
      </c>
      <c r="BM399" s="2">
        <v>10.67</v>
      </c>
      <c r="BN399" s="2">
        <v>86.9</v>
      </c>
      <c r="BO399" s="2">
        <v>86.9</v>
      </c>
      <c r="BP399" s="2"/>
      <c r="BQ399" s="2" t="s">
        <v>83</v>
      </c>
      <c r="BR399" s="2" t="s">
        <v>122</v>
      </c>
      <c r="BS399" s="3">
        <v>42958</v>
      </c>
      <c r="BT399" s="4">
        <v>0.37361111111111112</v>
      </c>
      <c r="BU399" s="2" t="s">
        <v>966</v>
      </c>
      <c r="BV399" s="2" t="s">
        <v>95</v>
      </c>
      <c r="BW399" s="2"/>
      <c r="BX399" s="2"/>
      <c r="BY399" s="2">
        <v>8736</v>
      </c>
      <c r="BZ399" s="2"/>
      <c r="CA399" s="2" t="s">
        <v>703</v>
      </c>
      <c r="CB399" s="2"/>
      <c r="CC399" s="2" t="s">
        <v>471</v>
      </c>
      <c r="CD399" s="2">
        <v>1900</v>
      </c>
      <c r="CE399" s="2" t="s">
        <v>89</v>
      </c>
      <c r="CF399" s="5">
        <v>42961</v>
      </c>
      <c r="CG399" s="2"/>
      <c r="CH399" s="2"/>
      <c r="CI399" s="2">
        <v>1</v>
      </c>
      <c r="CJ399" s="2">
        <v>1</v>
      </c>
      <c r="CK399" s="2" t="s">
        <v>143</v>
      </c>
      <c r="CL399" s="2" t="s">
        <v>86</v>
      </c>
      <c r="CM399" s="2"/>
    </row>
    <row r="400" spans="1:91">
      <c r="A400" s="2" t="s">
        <v>71</v>
      </c>
      <c r="B400" s="2" t="s">
        <v>72</v>
      </c>
      <c r="C400" s="2" t="s">
        <v>73</v>
      </c>
      <c r="D400" s="2"/>
      <c r="E400" s="2" t="str">
        <f>"FES1162567438"</f>
        <v>FES1162567438</v>
      </c>
      <c r="F400" s="3">
        <v>42954</v>
      </c>
      <c r="G400" s="2">
        <v>201802</v>
      </c>
      <c r="H400" s="2" t="s">
        <v>74</v>
      </c>
      <c r="I400" s="2" t="s">
        <v>75</v>
      </c>
      <c r="J400" s="2" t="s">
        <v>118</v>
      </c>
      <c r="K400" s="2" t="s">
        <v>77</v>
      </c>
      <c r="L400" s="2" t="s">
        <v>137</v>
      </c>
      <c r="M400" s="2" t="s">
        <v>138</v>
      </c>
      <c r="N400" s="2" t="s">
        <v>967</v>
      </c>
      <c r="O400" s="2" t="s">
        <v>81</v>
      </c>
      <c r="P400" s="2" t="str">
        <f>"2170583590                    "</f>
        <v xml:space="preserve">2170583590 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6.88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2.5</v>
      </c>
      <c r="BJ400" s="2">
        <v>4.0999999999999996</v>
      </c>
      <c r="BK400" s="2">
        <v>4</v>
      </c>
      <c r="BL400" s="2">
        <v>76.23</v>
      </c>
      <c r="BM400" s="2">
        <v>10.67</v>
      </c>
      <c r="BN400" s="2">
        <v>86.9</v>
      </c>
      <c r="BO400" s="2">
        <v>86.9</v>
      </c>
      <c r="BP400" s="2"/>
      <c r="BQ400" s="2" t="s">
        <v>968</v>
      </c>
      <c r="BR400" s="2" t="s">
        <v>122</v>
      </c>
      <c r="BS400" s="3">
        <v>42955</v>
      </c>
      <c r="BT400" s="4">
        <v>0.39444444444444443</v>
      </c>
      <c r="BU400" s="2" t="s">
        <v>969</v>
      </c>
      <c r="BV400" s="2" t="s">
        <v>95</v>
      </c>
      <c r="BW400" s="2"/>
      <c r="BX400" s="2"/>
      <c r="BY400" s="2">
        <v>20420.05</v>
      </c>
      <c r="BZ400" s="2"/>
      <c r="CA400" s="2" t="s">
        <v>970</v>
      </c>
      <c r="CB400" s="2"/>
      <c r="CC400" s="2" t="s">
        <v>138</v>
      </c>
      <c r="CD400" s="2">
        <v>157</v>
      </c>
      <c r="CE400" s="2" t="s">
        <v>135</v>
      </c>
      <c r="CF400" s="5">
        <v>42958</v>
      </c>
      <c r="CG400" s="2"/>
      <c r="CH400" s="2"/>
      <c r="CI400" s="2">
        <v>0</v>
      </c>
      <c r="CJ400" s="2">
        <v>0</v>
      </c>
      <c r="CK400" s="2" t="s">
        <v>143</v>
      </c>
      <c r="CL400" s="2" t="s">
        <v>86</v>
      </c>
      <c r="CM400" s="2"/>
    </row>
    <row r="401" spans="1:91">
      <c r="A401" s="2" t="s">
        <v>71</v>
      </c>
      <c r="B401" s="2" t="s">
        <v>72</v>
      </c>
      <c r="C401" s="2" t="s">
        <v>73</v>
      </c>
      <c r="D401" s="2"/>
      <c r="E401" s="2" t="str">
        <f>"FES1162568058"</f>
        <v>FES1162568058</v>
      </c>
      <c r="F401" s="3">
        <v>42957</v>
      </c>
      <c r="G401" s="2">
        <v>201802</v>
      </c>
      <c r="H401" s="2" t="s">
        <v>74</v>
      </c>
      <c r="I401" s="2" t="s">
        <v>75</v>
      </c>
      <c r="J401" s="2" t="s">
        <v>118</v>
      </c>
      <c r="K401" s="2" t="s">
        <v>77</v>
      </c>
      <c r="L401" s="2" t="s">
        <v>971</v>
      </c>
      <c r="M401" s="2" t="s">
        <v>972</v>
      </c>
      <c r="N401" s="2" t="s">
        <v>973</v>
      </c>
      <c r="O401" s="2" t="s">
        <v>81</v>
      </c>
      <c r="P401" s="2" t="str">
        <f>"2170581281                    "</f>
        <v xml:space="preserve">2170581281 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7.5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1</v>
      </c>
      <c r="BI401" s="2">
        <v>14.2</v>
      </c>
      <c r="BJ401" s="2">
        <v>3.4</v>
      </c>
      <c r="BK401" s="2">
        <v>15</v>
      </c>
      <c r="BL401" s="2">
        <v>82.7</v>
      </c>
      <c r="BM401" s="2">
        <v>11.58</v>
      </c>
      <c r="BN401" s="2">
        <v>94.28</v>
      </c>
      <c r="BO401" s="2">
        <v>94.28</v>
      </c>
      <c r="BP401" s="2"/>
      <c r="BQ401" s="2" t="s">
        <v>83</v>
      </c>
      <c r="BR401" s="2" t="s">
        <v>122</v>
      </c>
      <c r="BS401" s="3">
        <v>42958</v>
      </c>
      <c r="BT401" s="4">
        <v>0.41666666666666669</v>
      </c>
      <c r="BU401" s="2" t="s">
        <v>974</v>
      </c>
      <c r="BV401" s="2" t="s">
        <v>95</v>
      </c>
      <c r="BW401" s="2"/>
      <c r="BX401" s="2"/>
      <c r="BY401" s="2">
        <v>17222.09</v>
      </c>
      <c r="BZ401" s="2"/>
      <c r="CA401" s="2" t="s">
        <v>960</v>
      </c>
      <c r="CB401" s="2"/>
      <c r="CC401" s="2" t="s">
        <v>972</v>
      </c>
      <c r="CD401" s="2">
        <v>1441</v>
      </c>
      <c r="CE401" s="2" t="s">
        <v>89</v>
      </c>
      <c r="CF401" s="5">
        <v>42961</v>
      </c>
      <c r="CG401" s="2"/>
      <c r="CH401" s="2"/>
      <c r="CI401" s="2">
        <v>1</v>
      </c>
      <c r="CJ401" s="2">
        <v>1</v>
      </c>
      <c r="CK401" s="2" t="s">
        <v>163</v>
      </c>
      <c r="CL401" s="2" t="s">
        <v>86</v>
      </c>
      <c r="CM401" s="2"/>
    </row>
    <row r="402" spans="1:91">
      <c r="A402" s="2" t="s">
        <v>71</v>
      </c>
      <c r="B402" s="2" t="s">
        <v>72</v>
      </c>
      <c r="C402" s="2" t="s">
        <v>73</v>
      </c>
      <c r="D402" s="2"/>
      <c r="E402" s="2" t="str">
        <f>"FES1162567442"</f>
        <v>FES1162567442</v>
      </c>
      <c r="F402" s="3">
        <v>42954</v>
      </c>
      <c r="G402" s="2">
        <v>201802</v>
      </c>
      <c r="H402" s="2" t="s">
        <v>74</v>
      </c>
      <c r="I402" s="2" t="s">
        <v>75</v>
      </c>
      <c r="J402" s="2" t="s">
        <v>118</v>
      </c>
      <c r="K402" s="2" t="s">
        <v>77</v>
      </c>
      <c r="L402" s="2" t="s">
        <v>206</v>
      </c>
      <c r="M402" s="2" t="s">
        <v>207</v>
      </c>
      <c r="N402" s="2" t="s">
        <v>262</v>
      </c>
      <c r="O402" s="2" t="s">
        <v>81</v>
      </c>
      <c r="P402" s="2" t="str">
        <f>"2170583597                    "</f>
        <v xml:space="preserve">2170583597 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7.5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11.9</v>
      </c>
      <c r="BJ402" s="2">
        <v>14.4</v>
      </c>
      <c r="BK402" s="2">
        <v>15</v>
      </c>
      <c r="BL402" s="2">
        <v>82.7</v>
      </c>
      <c r="BM402" s="2">
        <v>11.58</v>
      </c>
      <c r="BN402" s="2">
        <v>94.28</v>
      </c>
      <c r="BO402" s="2">
        <v>94.28</v>
      </c>
      <c r="BP402" s="2"/>
      <c r="BQ402" s="2" t="s">
        <v>83</v>
      </c>
      <c r="BR402" s="2" t="s">
        <v>122</v>
      </c>
      <c r="BS402" s="3">
        <v>42955</v>
      </c>
      <c r="BT402" s="4">
        <v>0.62708333333333333</v>
      </c>
      <c r="BU402" s="2" t="s">
        <v>975</v>
      </c>
      <c r="BV402" s="2" t="s">
        <v>86</v>
      </c>
      <c r="BW402" s="2"/>
      <c r="BX402" s="2"/>
      <c r="BY402" s="2">
        <v>71834.34</v>
      </c>
      <c r="BZ402" s="2"/>
      <c r="CA402" s="2" t="s">
        <v>640</v>
      </c>
      <c r="CB402" s="2"/>
      <c r="CC402" s="2" t="s">
        <v>207</v>
      </c>
      <c r="CD402" s="2">
        <v>250</v>
      </c>
      <c r="CE402" s="2" t="s">
        <v>135</v>
      </c>
      <c r="CF402" s="5">
        <v>42958</v>
      </c>
      <c r="CG402" s="2"/>
      <c r="CH402" s="2"/>
      <c r="CI402" s="2">
        <v>0</v>
      </c>
      <c r="CJ402" s="2">
        <v>0</v>
      </c>
      <c r="CK402" s="2" t="s">
        <v>163</v>
      </c>
      <c r="CL402" s="2" t="s">
        <v>86</v>
      </c>
      <c r="CM402" s="2"/>
    </row>
    <row r="403" spans="1:91">
      <c r="A403" s="2" t="s">
        <v>71</v>
      </c>
      <c r="B403" s="2" t="s">
        <v>72</v>
      </c>
      <c r="C403" s="2" t="s">
        <v>73</v>
      </c>
      <c r="D403" s="2"/>
      <c r="E403" s="2" t="str">
        <f>"FES1162567855"</f>
        <v>FES1162567855</v>
      </c>
      <c r="F403" s="3">
        <v>42955</v>
      </c>
      <c r="G403" s="2">
        <v>201802</v>
      </c>
      <c r="H403" s="2" t="s">
        <v>74</v>
      </c>
      <c r="I403" s="2" t="s">
        <v>75</v>
      </c>
      <c r="J403" s="2" t="s">
        <v>118</v>
      </c>
      <c r="K403" s="2" t="s">
        <v>77</v>
      </c>
      <c r="L403" s="2" t="s">
        <v>632</v>
      </c>
      <c r="M403" s="2" t="s">
        <v>269</v>
      </c>
      <c r="N403" s="2" t="s">
        <v>976</v>
      </c>
      <c r="O403" s="2" t="s">
        <v>81</v>
      </c>
      <c r="P403" s="2" t="str">
        <f>"2170584018                    "</f>
        <v xml:space="preserve">2170584018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6.88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4</v>
      </c>
      <c r="BJ403" s="2">
        <v>7.4</v>
      </c>
      <c r="BK403" s="2">
        <v>8</v>
      </c>
      <c r="BL403" s="2">
        <v>76.23</v>
      </c>
      <c r="BM403" s="2">
        <v>10.67</v>
      </c>
      <c r="BN403" s="2">
        <v>86.9</v>
      </c>
      <c r="BO403" s="2">
        <v>86.9</v>
      </c>
      <c r="BP403" s="2"/>
      <c r="BQ403" s="2" t="s">
        <v>83</v>
      </c>
      <c r="BR403" s="2" t="s">
        <v>122</v>
      </c>
      <c r="BS403" s="3">
        <v>42958</v>
      </c>
      <c r="BT403" s="4">
        <v>0.5</v>
      </c>
      <c r="BU403" s="2" t="s">
        <v>977</v>
      </c>
      <c r="BV403" s="2" t="s">
        <v>86</v>
      </c>
      <c r="BW403" s="2" t="s">
        <v>124</v>
      </c>
      <c r="BX403" s="2" t="s">
        <v>978</v>
      </c>
      <c r="BY403" s="2">
        <v>36828</v>
      </c>
      <c r="BZ403" s="2"/>
      <c r="CA403" s="2"/>
      <c r="CB403" s="2"/>
      <c r="CC403" s="2" t="s">
        <v>269</v>
      </c>
      <c r="CD403" s="2">
        <v>1</v>
      </c>
      <c r="CE403" s="2" t="s">
        <v>89</v>
      </c>
      <c r="CF403" s="5">
        <v>42964</v>
      </c>
      <c r="CG403" s="2"/>
      <c r="CH403" s="2"/>
      <c r="CI403" s="2">
        <v>0</v>
      </c>
      <c r="CJ403" s="2">
        <v>0</v>
      </c>
      <c r="CK403" s="2" t="s">
        <v>143</v>
      </c>
      <c r="CL403" s="2" t="s">
        <v>86</v>
      </c>
      <c r="CM403" s="2"/>
    </row>
    <row r="404" spans="1:91">
      <c r="A404" s="2" t="s">
        <v>71</v>
      </c>
      <c r="B404" s="2" t="s">
        <v>72</v>
      </c>
      <c r="C404" s="2" t="s">
        <v>73</v>
      </c>
      <c r="D404" s="2"/>
      <c r="E404" s="2" t="str">
        <f>"FES1162567471"</f>
        <v>FES1162567471</v>
      </c>
      <c r="F404" s="3">
        <v>42954</v>
      </c>
      <c r="G404" s="2">
        <v>201802</v>
      </c>
      <c r="H404" s="2" t="s">
        <v>74</v>
      </c>
      <c r="I404" s="2" t="s">
        <v>75</v>
      </c>
      <c r="J404" s="2" t="s">
        <v>118</v>
      </c>
      <c r="K404" s="2" t="s">
        <v>77</v>
      </c>
      <c r="L404" s="2" t="s">
        <v>632</v>
      </c>
      <c r="M404" s="2" t="s">
        <v>269</v>
      </c>
      <c r="N404" s="2" t="s">
        <v>979</v>
      </c>
      <c r="O404" s="2" t="s">
        <v>81</v>
      </c>
      <c r="P404" s="2" t="str">
        <f>"2170583634                    "</f>
        <v xml:space="preserve">2170583634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6.88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1</v>
      </c>
      <c r="BI404" s="2">
        <v>4.5</v>
      </c>
      <c r="BJ404" s="2">
        <v>2.9</v>
      </c>
      <c r="BK404" s="2">
        <v>5</v>
      </c>
      <c r="BL404" s="2">
        <v>76.23</v>
      </c>
      <c r="BM404" s="2">
        <v>10.67</v>
      </c>
      <c r="BN404" s="2">
        <v>86.9</v>
      </c>
      <c r="BO404" s="2">
        <v>86.9</v>
      </c>
      <c r="BP404" s="2"/>
      <c r="BQ404" s="2" t="s">
        <v>288</v>
      </c>
      <c r="BR404" s="2" t="s">
        <v>122</v>
      </c>
      <c r="BS404" s="3">
        <v>42955</v>
      </c>
      <c r="BT404" s="4">
        <v>0.51388888888888895</v>
      </c>
      <c r="BU404" s="2" t="s">
        <v>980</v>
      </c>
      <c r="BV404" s="2" t="s">
        <v>86</v>
      </c>
      <c r="BW404" s="2" t="s">
        <v>110</v>
      </c>
      <c r="BX404" s="2" t="s">
        <v>444</v>
      </c>
      <c r="BY404" s="2">
        <v>14264.97</v>
      </c>
      <c r="BZ404" s="2"/>
      <c r="CA404" s="2" t="s">
        <v>981</v>
      </c>
      <c r="CB404" s="2"/>
      <c r="CC404" s="2" t="s">
        <v>269</v>
      </c>
      <c r="CD404" s="2">
        <v>2</v>
      </c>
      <c r="CE404" s="2" t="s">
        <v>104</v>
      </c>
      <c r="CF404" s="5">
        <v>42957</v>
      </c>
      <c r="CG404" s="2"/>
      <c r="CH404" s="2"/>
      <c r="CI404" s="2">
        <v>0</v>
      </c>
      <c r="CJ404" s="2">
        <v>0</v>
      </c>
      <c r="CK404" s="2" t="s">
        <v>143</v>
      </c>
      <c r="CL404" s="2" t="s">
        <v>86</v>
      </c>
      <c r="CM404" s="2"/>
    </row>
    <row r="405" spans="1:91">
      <c r="A405" s="2" t="s">
        <v>71</v>
      </c>
      <c r="B405" s="2" t="s">
        <v>72</v>
      </c>
      <c r="C405" s="2" t="s">
        <v>73</v>
      </c>
      <c r="D405" s="2"/>
      <c r="E405" s="2" t="str">
        <f>"FES1162567847"</f>
        <v>FES1162567847</v>
      </c>
      <c r="F405" s="3">
        <v>42955</v>
      </c>
      <c r="G405" s="2">
        <v>201802</v>
      </c>
      <c r="H405" s="2" t="s">
        <v>74</v>
      </c>
      <c r="I405" s="2" t="s">
        <v>75</v>
      </c>
      <c r="J405" s="2" t="s">
        <v>118</v>
      </c>
      <c r="K405" s="2" t="s">
        <v>77</v>
      </c>
      <c r="L405" s="2" t="s">
        <v>632</v>
      </c>
      <c r="M405" s="2" t="s">
        <v>269</v>
      </c>
      <c r="N405" s="2" t="s">
        <v>982</v>
      </c>
      <c r="O405" s="2" t="s">
        <v>81</v>
      </c>
      <c r="P405" s="2" t="str">
        <f>"2170584009                    "</f>
        <v xml:space="preserve">2170584009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6.88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2</v>
      </c>
      <c r="BI405" s="2">
        <v>8.9</v>
      </c>
      <c r="BJ405" s="2">
        <v>2.7</v>
      </c>
      <c r="BK405" s="2">
        <v>9</v>
      </c>
      <c r="BL405" s="2">
        <v>76.23</v>
      </c>
      <c r="BM405" s="2">
        <v>10.67</v>
      </c>
      <c r="BN405" s="2">
        <v>86.9</v>
      </c>
      <c r="BO405" s="2">
        <v>86.9</v>
      </c>
      <c r="BP405" s="2" t="s">
        <v>983</v>
      </c>
      <c r="BQ405" s="2" t="s">
        <v>209</v>
      </c>
      <c r="BR405" s="2" t="s">
        <v>122</v>
      </c>
      <c r="BS405" s="3">
        <v>42957</v>
      </c>
      <c r="BT405" s="4">
        <v>0.47986111111111113</v>
      </c>
      <c r="BU405" s="2" t="s">
        <v>984</v>
      </c>
      <c r="BV405" s="2" t="s">
        <v>86</v>
      </c>
      <c r="BW405" s="2"/>
      <c r="BX405" s="2"/>
      <c r="BY405" s="2">
        <v>13498.02</v>
      </c>
      <c r="BZ405" s="2"/>
      <c r="CA405" s="2" t="s">
        <v>272</v>
      </c>
      <c r="CB405" s="2"/>
      <c r="CC405" s="2" t="s">
        <v>269</v>
      </c>
      <c r="CD405" s="2">
        <v>200</v>
      </c>
      <c r="CE405" s="2" t="s">
        <v>104</v>
      </c>
      <c r="CF405" s="5">
        <v>42958</v>
      </c>
      <c r="CG405" s="2"/>
      <c r="CH405" s="2"/>
      <c r="CI405" s="2">
        <v>0</v>
      </c>
      <c r="CJ405" s="2">
        <v>0</v>
      </c>
      <c r="CK405" s="2" t="s">
        <v>143</v>
      </c>
      <c r="CL405" s="2" t="s">
        <v>86</v>
      </c>
      <c r="CM405" s="2"/>
    </row>
    <row r="406" spans="1:91">
      <c r="A406" s="2" t="s">
        <v>71</v>
      </c>
      <c r="B406" s="2" t="s">
        <v>72</v>
      </c>
      <c r="C406" s="2" t="s">
        <v>73</v>
      </c>
      <c r="D406" s="2"/>
      <c r="E406" s="2" t="str">
        <f>"FES1162566045"</f>
        <v>FES1162566045</v>
      </c>
      <c r="F406" s="3">
        <v>42948</v>
      </c>
      <c r="G406" s="2">
        <v>201802</v>
      </c>
      <c r="H406" s="2" t="s">
        <v>74</v>
      </c>
      <c r="I406" s="2" t="s">
        <v>75</v>
      </c>
      <c r="J406" s="2" t="s">
        <v>118</v>
      </c>
      <c r="K406" s="2" t="s">
        <v>77</v>
      </c>
      <c r="L406" s="2" t="s">
        <v>74</v>
      </c>
      <c r="M406" s="2" t="s">
        <v>75</v>
      </c>
      <c r="N406" s="2" t="s">
        <v>985</v>
      </c>
      <c r="O406" s="2" t="s">
        <v>81</v>
      </c>
      <c r="P406" s="2" t="str">
        <f>"2170582608                    "</f>
        <v xml:space="preserve">2170582608         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8.17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16.8</v>
      </c>
      <c r="BJ406" s="2">
        <v>32.700000000000003</v>
      </c>
      <c r="BK406" s="2">
        <v>33</v>
      </c>
      <c r="BL406" s="2">
        <v>97.5</v>
      </c>
      <c r="BM406" s="2">
        <v>13.65</v>
      </c>
      <c r="BN406" s="2">
        <v>111.15</v>
      </c>
      <c r="BO406" s="2">
        <v>111.15</v>
      </c>
      <c r="BP406" s="2"/>
      <c r="BQ406" s="2" t="s">
        <v>986</v>
      </c>
      <c r="BR406" s="2" t="s">
        <v>122</v>
      </c>
      <c r="BS406" s="3">
        <v>42949</v>
      </c>
      <c r="BT406" s="4">
        <v>0.3840277777777778</v>
      </c>
      <c r="BU406" s="2" t="s">
        <v>987</v>
      </c>
      <c r="BV406" s="2" t="s">
        <v>95</v>
      </c>
      <c r="BW406" s="2"/>
      <c r="BX406" s="2"/>
      <c r="BY406" s="2">
        <v>163420.92000000001</v>
      </c>
      <c r="BZ406" s="2"/>
      <c r="CA406" s="2" t="s">
        <v>988</v>
      </c>
      <c r="CB406" s="2"/>
      <c r="CC406" s="2" t="s">
        <v>75</v>
      </c>
      <c r="CD406" s="2">
        <v>1600</v>
      </c>
      <c r="CE406" s="2" t="s">
        <v>89</v>
      </c>
      <c r="CF406" s="5">
        <v>42950</v>
      </c>
      <c r="CG406" s="2"/>
      <c r="CH406" s="2"/>
      <c r="CI406" s="2">
        <v>0</v>
      </c>
      <c r="CJ406" s="2">
        <v>0</v>
      </c>
      <c r="CK406" s="2" t="s">
        <v>132</v>
      </c>
      <c r="CL406" s="2" t="s">
        <v>86</v>
      </c>
      <c r="CM406" s="2"/>
    </row>
    <row r="407" spans="1:91">
      <c r="A407" s="2" t="s">
        <v>71</v>
      </c>
      <c r="B407" s="2" t="s">
        <v>72</v>
      </c>
      <c r="C407" s="2" t="s">
        <v>73</v>
      </c>
      <c r="D407" s="2"/>
      <c r="E407" s="2" t="str">
        <f>"FES1162567781"</f>
        <v>FES1162567781</v>
      </c>
      <c r="F407" s="3">
        <v>42957</v>
      </c>
      <c r="G407" s="2">
        <v>201802</v>
      </c>
      <c r="H407" s="2" t="s">
        <v>74</v>
      </c>
      <c r="I407" s="2" t="s">
        <v>75</v>
      </c>
      <c r="J407" s="2" t="s">
        <v>118</v>
      </c>
      <c r="K407" s="2" t="s">
        <v>77</v>
      </c>
      <c r="L407" s="2" t="s">
        <v>632</v>
      </c>
      <c r="M407" s="2" t="s">
        <v>269</v>
      </c>
      <c r="N407" s="2" t="s">
        <v>432</v>
      </c>
      <c r="O407" s="2" t="s">
        <v>81</v>
      </c>
      <c r="P407" s="2" t="str">
        <f>"2170583921                    "</f>
        <v xml:space="preserve">2170583921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6.88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7</v>
      </c>
      <c r="BJ407" s="2">
        <v>10</v>
      </c>
      <c r="BK407" s="2">
        <v>10</v>
      </c>
      <c r="BL407" s="2">
        <v>76.23</v>
      </c>
      <c r="BM407" s="2">
        <v>10.67</v>
      </c>
      <c r="BN407" s="2">
        <v>86.9</v>
      </c>
      <c r="BO407" s="2">
        <v>86.9</v>
      </c>
      <c r="BP407" s="2"/>
      <c r="BQ407" s="2" t="s">
        <v>83</v>
      </c>
      <c r="BR407" s="2" t="s">
        <v>122</v>
      </c>
      <c r="BS407" s="3">
        <v>42958</v>
      </c>
      <c r="BT407" s="4">
        <v>0.41319444444444442</v>
      </c>
      <c r="BU407" s="2" t="s">
        <v>989</v>
      </c>
      <c r="BV407" s="2"/>
      <c r="BW407" s="2"/>
      <c r="BX407" s="2"/>
      <c r="BY407" s="2">
        <v>49857.98</v>
      </c>
      <c r="BZ407" s="2"/>
      <c r="CA407" s="2"/>
      <c r="CB407" s="2"/>
      <c r="CC407" s="2" t="s">
        <v>269</v>
      </c>
      <c r="CD407" s="2">
        <v>117</v>
      </c>
      <c r="CE407" s="2" t="s">
        <v>89</v>
      </c>
      <c r="CF407" s="5">
        <v>42961</v>
      </c>
      <c r="CG407" s="2"/>
      <c r="CH407" s="2"/>
      <c r="CI407" s="2">
        <v>0</v>
      </c>
      <c r="CJ407" s="2">
        <v>0</v>
      </c>
      <c r="CK407" s="2" t="s">
        <v>143</v>
      </c>
      <c r="CL407" s="2" t="s">
        <v>86</v>
      </c>
      <c r="CM407" s="2"/>
    </row>
    <row r="408" spans="1:91">
      <c r="A408" s="2" t="s">
        <v>71</v>
      </c>
      <c r="B408" s="2" t="s">
        <v>72</v>
      </c>
      <c r="C408" s="2" t="s">
        <v>73</v>
      </c>
      <c r="D408" s="2"/>
      <c r="E408" s="2" t="str">
        <f>"FES1162566283"</f>
        <v>FES1162566283</v>
      </c>
      <c r="F408" s="3">
        <v>42949</v>
      </c>
      <c r="G408" s="2">
        <v>201802</v>
      </c>
      <c r="H408" s="2" t="s">
        <v>74</v>
      </c>
      <c r="I408" s="2" t="s">
        <v>75</v>
      </c>
      <c r="J408" s="2" t="s">
        <v>118</v>
      </c>
      <c r="K408" s="2" t="s">
        <v>77</v>
      </c>
      <c r="L408" s="2" t="s">
        <v>137</v>
      </c>
      <c r="M408" s="2" t="s">
        <v>138</v>
      </c>
      <c r="N408" s="2" t="s">
        <v>368</v>
      </c>
      <c r="O408" s="2" t="s">
        <v>81</v>
      </c>
      <c r="P408" s="2" t="str">
        <f>"2170587944                    "</f>
        <v xml:space="preserve">2170587944 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7.09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</v>
      </c>
      <c r="BI408" s="2">
        <v>15.6</v>
      </c>
      <c r="BJ408" s="2">
        <v>8.8000000000000007</v>
      </c>
      <c r="BK408" s="2">
        <v>16</v>
      </c>
      <c r="BL408" s="2">
        <v>78.430000000000007</v>
      </c>
      <c r="BM408" s="2">
        <v>10.98</v>
      </c>
      <c r="BN408" s="2">
        <v>89.41</v>
      </c>
      <c r="BO408" s="2">
        <v>89.41</v>
      </c>
      <c r="BP408" s="2"/>
      <c r="BQ408" s="2" t="s">
        <v>83</v>
      </c>
      <c r="BR408" s="2" t="s">
        <v>122</v>
      </c>
      <c r="BS408" s="3">
        <v>42950</v>
      </c>
      <c r="BT408" s="4">
        <v>0.35416666666666669</v>
      </c>
      <c r="BU408" s="2" t="s">
        <v>369</v>
      </c>
      <c r="BV408" s="2" t="s">
        <v>95</v>
      </c>
      <c r="BW408" s="2"/>
      <c r="BX408" s="2"/>
      <c r="BY408" s="2">
        <v>43762.05</v>
      </c>
      <c r="BZ408" s="2"/>
      <c r="CA408" s="2"/>
      <c r="CB408" s="2"/>
      <c r="CC408" s="2" t="s">
        <v>138</v>
      </c>
      <c r="CD408" s="2">
        <v>157</v>
      </c>
      <c r="CE408" s="2" t="s">
        <v>89</v>
      </c>
      <c r="CF408" s="5">
        <v>42951</v>
      </c>
      <c r="CG408" s="2"/>
      <c r="CH408" s="2"/>
      <c r="CI408" s="2">
        <v>0</v>
      </c>
      <c r="CJ408" s="2">
        <v>0</v>
      </c>
      <c r="CK408" s="2" t="s">
        <v>143</v>
      </c>
      <c r="CL408" s="2" t="s">
        <v>86</v>
      </c>
      <c r="CM408" s="2"/>
    </row>
    <row r="409" spans="1:91">
      <c r="A409" s="2" t="s">
        <v>71</v>
      </c>
      <c r="B409" s="2" t="s">
        <v>72</v>
      </c>
      <c r="C409" s="2" t="s">
        <v>73</v>
      </c>
      <c r="D409" s="2"/>
      <c r="E409" s="2" t="str">
        <f>"FES1162567963"</f>
        <v>FES1162567963</v>
      </c>
      <c r="F409" s="3">
        <v>42957</v>
      </c>
      <c r="G409" s="2">
        <v>201802</v>
      </c>
      <c r="H409" s="2" t="s">
        <v>74</v>
      </c>
      <c r="I409" s="2" t="s">
        <v>75</v>
      </c>
      <c r="J409" s="2" t="s">
        <v>118</v>
      </c>
      <c r="K409" s="2" t="s">
        <v>77</v>
      </c>
      <c r="L409" s="2" t="s">
        <v>632</v>
      </c>
      <c r="M409" s="2" t="s">
        <v>269</v>
      </c>
      <c r="N409" s="2" t="s">
        <v>493</v>
      </c>
      <c r="O409" s="2" t="s">
        <v>81</v>
      </c>
      <c r="P409" s="2" t="str">
        <f>"2170584103                    "</f>
        <v xml:space="preserve">2170584103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6.88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5.8</v>
      </c>
      <c r="BJ409" s="2">
        <v>3.4</v>
      </c>
      <c r="BK409" s="2">
        <v>6</v>
      </c>
      <c r="BL409" s="2">
        <v>76.23</v>
      </c>
      <c r="BM409" s="2">
        <v>10.67</v>
      </c>
      <c r="BN409" s="2">
        <v>86.9</v>
      </c>
      <c r="BO409" s="2">
        <v>86.9</v>
      </c>
      <c r="BP409" s="2"/>
      <c r="BQ409" s="2" t="s">
        <v>83</v>
      </c>
      <c r="BR409" s="2" t="s">
        <v>122</v>
      </c>
      <c r="BS409" s="3">
        <v>42958</v>
      </c>
      <c r="BT409" s="4">
        <v>0.4513888888888889</v>
      </c>
      <c r="BU409" s="2" t="s">
        <v>85</v>
      </c>
      <c r="BV409" s="2"/>
      <c r="BW409" s="2" t="s">
        <v>110</v>
      </c>
      <c r="BX409" s="2" t="s">
        <v>444</v>
      </c>
      <c r="BY409" s="2">
        <v>16751.04</v>
      </c>
      <c r="BZ409" s="2"/>
      <c r="CA409" s="2"/>
      <c r="CB409" s="2"/>
      <c r="CC409" s="2" t="s">
        <v>269</v>
      </c>
      <c r="CD409" s="2">
        <v>200</v>
      </c>
      <c r="CE409" s="2" t="s">
        <v>89</v>
      </c>
      <c r="CF409" s="5">
        <v>42961</v>
      </c>
      <c r="CG409" s="2"/>
      <c r="CH409" s="2"/>
      <c r="CI409" s="2">
        <v>0</v>
      </c>
      <c r="CJ409" s="2">
        <v>0</v>
      </c>
      <c r="CK409" s="2" t="s">
        <v>143</v>
      </c>
      <c r="CL409" s="2" t="s">
        <v>86</v>
      </c>
      <c r="CM409" s="2"/>
    </row>
    <row r="410" spans="1:91">
      <c r="A410" s="2" t="s">
        <v>71</v>
      </c>
      <c r="B410" s="2" t="s">
        <v>72</v>
      </c>
      <c r="C410" s="2" t="s">
        <v>73</v>
      </c>
      <c r="D410" s="2"/>
      <c r="E410" s="2" t="str">
        <f>"FES1162567574"</f>
        <v>FES1162567574</v>
      </c>
      <c r="F410" s="3">
        <v>42954</v>
      </c>
      <c r="G410" s="2">
        <v>201802</v>
      </c>
      <c r="H410" s="2" t="s">
        <v>74</v>
      </c>
      <c r="I410" s="2" t="s">
        <v>75</v>
      </c>
      <c r="J410" s="2" t="s">
        <v>118</v>
      </c>
      <c r="K410" s="2" t="s">
        <v>77</v>
      </c>
      <c r="L410" s="2" t="s">
        <v>137</v>
      </c>
      <c r="M410" s="2" t="s">
        <v>138</v>
      </c>
      <c r="N410" s="2" t="s">
        <v>368</v>
      </c>
      <c r="O410" s="2" t="s">
        <v>81</v>
      </c>
      <c r="P410" s="2" t="str">
        <f>"2170580742                    "</f>
        <v xml:space="preserve">2170580742 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6.88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2</v>
      </c>
      <c r="BI410" s="2">
        <v>5.9</v>
      </c>
      <c r="BJ410" s="2">
        <v>7.2</v>
      </c>
      <c r="BK410" s="2">
        <v>8</v>
      </c>
      <c r="BL410" s="2">
        <v>76.23</v>
      </c>
      <c r="BM410" s="2">
        <v>10.67</v>
      </c>
      <c r="BN410" s="2">
        <v>86.9</v>
      </c>
      <c r="BO410" s="2">
        <v>86.9</v>
      </c>
      <c r="BP410" s="2"/>
      <c r="BQ410" s="2" t="s">
        <v>83</v>
      </c>
      <c r="BR410" s="2" t="s">
        <v>122</v>
      </c>
      <c r="BS410" s="3">
        <v>42955</v>
      </c>
      <c r="BT410" s="4">
        <v>0.34652777777777777</v>
      </c>
      <c r="BU410" s="2" t="s">
        <v>369</v>
      </c>
      <c r="BV410" s="2" t="s">
        <v>95</v>
      </c>
      <c r="BW410" s="2"/>
      <c r="BX410" s="2"/>
      <c r="BY410" s="2">
        <v>36175.94</v>
      </c>
      <c r="BZ410" s="2"/>
      <c r="CA410" s="2"/>
      <c r="CB410" s="2"/>
      <c r="CC410" s="2" t="s">
        <v>138</v>
      </c>
      <c r="CD410" s="2">
        <v>157</v>
      </c>
      <c r="CE410" s="2" t="s">
        <v>89</v>
      </c>
      <c r="CF410" s="5">
        <v>42957</v>
      </c>
      <c r="CG410" s="2"/>
      <c r="CH410" s="2"/>
      <c r="CI410" s="2">
        <v>0</v>
      </c>
      <c r="CJ410" s="2">
        <v>0</v>
      </c>
      <c r="CK410" s="2" t="s">
        <v>143</v>
      </c>
      <c r="CL410" s="2" t="s">
        <v>86</v>
      </c>
      <c r="CM410" s="2"/>
    </row>
    <row r="411" spans="1:91">
      <c r="A411" s="2" t="s">
        <v>71</v>
      </c>
      <c r="B411" s="2" t="s">
        <v>72</v>
      </c>
      <c r="C411" s="2" t="s">
        <v>73</v>
      </c>
      <c r="D411" s="2"/>
      <c r="E411" s="2" t="str">
        <f>"FES1162567996"</f>
        <v>FES1162567996</v>
      </c>
      <c r="F411" s="3">
        <v>42957</v>
      </c>
      <c r="G411" s="2">
        <v>201802</v>
      </c>
      <c r="H411" s="2" t="s">
        <v>74</v>
      </c>
      <c r="I411" s="2" t="s">
        <v>75</v>
      </c>
      <c r="J411" s="2" t="s">
        <v>118</v>
      </c>
      <c r="K411" s="2" t="s">
        <v>77</v>
      </c>
      <c r="L411" s="2" t="s">
        <v>470</v>
      </c>
      <c r="M411" s="2" t="s">
        <v>471</v>
      </c>
      <c r="N411" s="2" t="s">
        <v>472</v>
      </c>
      <c r="O411" s="2" t="s">
        <v>81</v>
      </c>
      <c r="P411" s="2" t="str">
        <f>"2170584101                    "</f>
        <v xml:space="preserve">2170584101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6.88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3</v>
      </c>
      <c r="BJ411" s="2">
        <v>5</v>
      </c>
      <c r="BK411" s="2">
        <v>5</v>
      </c>
      <c r="BL411" s="2">
        <v>76.23</v>
      </c>
      <c r="BM411" s="2">
        <v>10.67</v>
      </c>
      <c r="BN411" s="2">
        <v>86.9</v>
      </c>
      <c r="BO411" s="2">
        <v>86.9</v>
      </c>
      <c r="BP411" s="2"/>
      <c r="BQ411" s="2" t="s">
        <v>83</v>
      </c>
      <c r="BR411" s="2" t="s">
        <v>122</v>
      </c>
      <c r="BS411" s="3">
        <v>42961</v>
      </c>
      <c r="BT411" s="4">
        <v>0.35069444444444442</v>
      </c>
      <c r="BU411" s="2" t="s">
        <v>990</v>
      </c>
      <c r="BV411" s="2" t="s">
        <v>86</v>
      </c>
      <c r="BW411" s="2"/>
      <c r="BX411" s="2"/>
      <c r="BY411" s="2">
        <v>25211.34</v>
      </c>
      <c r="BZ411" s="2"/>
      <c r="CA411" s="2" t="s">
        <v>703</v>
      </c>
      <c r="CB411" s="2"/>
      <c r="CC411" s="2" t="s">
        <v>471</v>
      </c>
      <c r="CD411" s="2">
        <v>1911</v>
      </c>
      <c r="CE411" s="2" t="s">
        <v>135</v>
      </c>
      <c r="CF411" s="5">
        <v>42962</v>
      </c>
      <c r="CG411" s="2"/>
      <c r="CH411" s="2"/>
      <c r="CI411" s="2">
        <v>1</v>
      </c>
      <c r="CJ411" s="2">
        <v>2</v>
      </c>
      <c r="CK411" s="2" t="s">
        <v>143</v>
      </c>
      <c r="CL411" s="2" t="s">
        <v>86</v>
      </c>
      <c r="CM411" s="2"/>
    </row>
    <row r="412" spans="1:91">
      <c r="A412" s="2" t="s">
        <v>71</v>
      </c>
      <c r="B412" s="2" t="s">
        <v>72</v>
      </c>
      <c r="C412" s="2" t="s">
        <v>73</v>
      </c>
      <c r="D412" s="2"/>
      <c r="E412" s="2" t="str">
        <f>"FES1162566526"</f>
        <v>FES1162566526</v>
      </c>
      <c r="F412" s="3">
        <v>42950</v>
      </c>
      <c r="G412" s="2">
        <v>201802</v>
      </c>
      <c r="H412" s="2" t="s">
        <v>74</v>
      </c>
      <c r="I412" s="2" t="s">
        <v>75</v>
      </c>
      <c r="J412" s="2" t="s">
        <v>118</v>
      </c>
      <c r="K412" s="2" t="s">
        <v>77</v>
      </c>
      <c r="L412" s="2" t="s">
        <v>632</v>
      </c>
      <c r="M412" s="2" t="s">
        <v>269</v>
      </c>
      <c r="N412" s="2" t="s">
        <v>991</v>
      </c>
      <c r="O412" s="2" t="s">
        <v>81</v>
      </c>
      <c r="P412" s="2" t="str">
        <f>"2170582578                    "</f>
        <v xml:space="preserve">2170582578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6.88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4</v>
      </c>
      <c r="BJ412" s="2">
        <v>5.2</v>
      </c>
      <c r="BK412" s="2">
        <v>6</v>
      </c>
      <c r="BL412" s="2">
        <v>76.23</v>
      </c>
      <c r="BM412" s="2">
        <v>10.67</v>
      </c>
      <c r="BN412" s="2">
        <v>86.9</v>
      </c>
      <c r="BO412" s="2">
        <v>86.9</v>
      </c>
      <c r="BP412" s="2"/>
      <c r="BQ412" s="2" t="s">
        <v>83</v>
      </c>
      <c r="BR412" s="2" t="s">
        <v>122</v>
      </c>
      <c r="BS412" s="3">
        <v>42951</v>
      </c>
      <c r="BT412" s="4">
        <v>0.38541666666666669</v>
      </c>
      <c r="BU412" s="2" t="s">
        <v>992</v>
      </c>
      <c r="BV412" s="2" t="s">
        <v>95</v>
      </c>
      <c r="BW412" s="2"/>
      <c r="BX412" s="2"/>
      <c r="BY412" s="2">
        <v>26071</v>
      </c>
      <c r="BZ412" s="2"/>
      <c r="CA412" s="2"/>
      <c r="CB412" s="2"/>
      <c r="CC412" s="2" t="s">
        <v>269</v>
      </c>
      <c r="CD412" s="2">
        <v>182</v>
      </c>
      <c r="CE412" s="2" t="s">
        <v>135</v>
      </c>
      <c r="CF412" s="5">
        <v>42954</v>
      </c>
      <c r="CG412" s="2"/>
      <c r="CH412" s="2"/>
      <c r="CI412" s="2">
        <v>0</v>
      </c>
      <c r="CJ412" s="2">
        <v>0</v>
      </c>
      <c r="CK412" s="2" t="s">
        <v>143</v>
      </c>
      <c r="CL412" s="2" t="s">
        <v>86</v>
      </c>
      <c r="CM412" s="2"/>
    </row>
    <row r="413" spans="1:91">
      <c r="A413" s="2" t="s">
        <v>71</v>
      </c>
      <c r="B413" s="2" t="s">
        <v>72</v>
      </c>
      <c r="C413" s="2" t="s">
        <v>73</v>
      </c>
      <c r="D413" s="2"/>
      <c r="E413" s="2" t="str">
        <f>"FES1162567774"</f>
        <v>FES1162567774</v>
      </c>
      <c r="F413" s="3">
        <v>42955</v>
      </c>
      <c r="G413" s="2">
        <v>201802</v>
      </c>
      <c r="H413" s="2" t="s">
        <v>74</v>
      </c>
      <c r="I413" s="2" t="s">
        <v>75</v>
      </c>
      <c r="J413" s="2" t="s">
        <v>118</v>
      </c>
      <c r="K413" s="2" t="s">
        <v>77</v>
      </c>
      <c r="L413" s="2" t="s">
        <v>939</v>
      </c>
      <c r="M413" s="2" t="s">
        <v>940</v>
      </c>
      <c r="N413" s="2" t="s">
        <v>993</v>
      </c>
      <c r="O413" s="2" t="s">
        <v>81</v>
      </c>
      <c r="P413" s="2" t="str">
        <f>"2170575518                    "</f>
        <v xml:space="preserve">2170575518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7.5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10.5</v>
      </c>
      <c r="BJ413" s="2">
        <v>1.3</v>
      </c>
      <c r="BK413" s="2">
        <v>11</v>
      </c>
      <c r="BL413" s="2">
        <v>82.7</v>
      </c>
      <c r="BM413" s="2">
        <v>11.58</v>
      </c>
      <c r="BN413" s="2">
        <v>94.28</v>
      </c>
      <c r="BO413" s="2">
        <v>94.28</v>
      </c>
      <c r="BP413" s="2" t="s">
        <v>101</v>
      </c>
      <c r="BQ413" s="2" t="s">
        <v>994</v>
      </c>
      <c r="BR413" s="2" t="s">
        <v>122</v>
      </c>
      <c r="BS413" s="3">
        <v>42957</v>
      </c>
      <c r="BT413" s="4">
        <v>0.62152777777777779</v>
      </c>
      <c r="BU413" s="2" t="s">
        <v>995</v>
      </c>
      <c r="BV413" s="2" t="s">
        <v>95</v>
      </c>
      <c r="BW413" s="2"/>
      <c r="BX413" s="2"/>
      <c r="BY413" s="2">
        <v>6478.85</v>
      </c>
      <c r="BZ413" s="2"/>
      <c r="CA413" s="2" t="s">
        <v>943</v>
      </c>
      <c r="CB413" s="2"/>
      <c r="CC413" s="2" t="s">
        <v>940</v>
      </c>
      <c r="CD413" s="2">
        <v>1020</v>
      </c>
      <c r="CE413" s="2" t="s">
        <v>996</v>
      </c>
      <c r="CF413" s="5">
        <v>42958</v>
      </c>
      <c r="CG413" s="2"/>
      <c r="CH413" s="2"/>
      <c r="CI413" s="2">
        <v>0</v>
      </c>
      <c r="CJ413" s="2">
        <v>0</v>
      </c>
      <c r="CK413" s="2" t="s">
        <v>163</v>
      </c>
      <c r="CL413" s="2" t="s">
        <v>86</v>
      </c>
      <c r="CM413" s="2"/>
    </row>
    <row r="414" spans="1:91">
      <c r="A414" s="2" t="s">
        <v>71</v>
      </c>
      <c r="B414" s="2" t="s">
        <v>72</v>
      </c>
      <c r="C414" s="2" t="s">
        <v>73</v>
      </c>
      <c r="D414" s="2"/>
      <c r="E414" s="2" t="str">
        <f>"FES1162566497"</f>
        <v>FES1162566497</v>
      </c>
      <c r="F414" s="3">
        <v>42950</v>
      </c>
      <c r="G414" s="2">
        <v>201802</v>
      </c>
      <c r="H414" s="2" t="s">
        <v>74</v>
      </c>
      <c r="I414" s="2" t="s">
        <v>75</v>
      </c>
      <c r="J414" s="2" t="s">
        <v>118</v>
      </c>
      <c r="K414" s="2" t="s">
        <v>77</v>
      </c>
      <c r="L414" s="2" t="s">
        <v>997</v>
      </c>
      <c r="M414" s="2" t="s">
        <v>998</v>
      </c>
      <c r="N414" s="2" t="s">
        <v>999</v>
      </c>
      <c r="O414" s="2" t="s">
        <v>81</v>
      </c>
      <c r="P414" s="2" t="str">
        <f>"2170582863                    "</f>
        <v xml:space="preserve">2170582863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7.5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9.5</v>
      </c>
      <c r="BJ414" s="2">
        <v>8.4</v>
      </c>
      <c r="BK414" s="2">
        <v>10</v>
      </c>
      <c r="BL414" s="2">
        <v>82.7</v>
      </c>
      <c r="BM414" s="2">
        <v>11.58</v>
      </c>
      <c r="BN414" s="2">
        <v>94.28</v>
      </c>
      <c r="BO414" s="2">
        <v>94.28</v>
      </c>
      <c r="BP414" s="2"/>
      <c r="BQ414" s="2" t="s">
        <v>83</v>
      </c>
      <c r="BR414" s="2" t="s">
        <v>122</v>
      </c>
      <c r="BS414" s="3">
        <v>42957</v>
      </c>
      <c r="BT414" s="4">
        <v>0.47222222222222227</v>
      </c>
      <c r="BU414" s="2" t="s">
        <v>1000</v>
      </c>
      <c r="BV414" s="2" t="s">
        <v>86</v>
      </c>
      <c r="BW414" s="2" t="s">
        <v>124</v>
      </c>
      <c r="BX414" s="2" t="s">
        <v>1001</v>
      </c>
      <c r="BY414" s="2">
        <v>42222.22</v>
      </c>
      <c r="BZ414" s="2"/>
      <c r="CA414" s="2"/>
      <c r="CB414" s="2"/>
      <c r="CC414" s="2" t="s">
        <v>998</v>
      </c>
      <c r="CD414" s="2">
        <v>324</v>
      </c>
      <c r="CE414" s="2" t="s">
        <v>135</v>
      </c>
      <c r="CF414" s="5">
        <v>42961</v>
      </c>
      <c r="CG414" s="2"/>
      <c r="CH414" s="2"/>
      <c r="CI414" s="2">
        <v>0</v>
      </c>
      <c r="CJ414" s="2">
        <v>0</v>
      </c>
      <c r="CK414" s="2" t="s">
        <v>163</v>
      </c>
      <c r="CL414" s="2" t="s">
        <v>86</v>
      </c>
      <c r="CM414" s="2"/>
    </row>
    <row r="415" spans="1:91">
      <c r="A415" s="2" t="s">
        <v>71</v>
      </c>
      <c r="B415" s="2" t="s">
        <v>72</v>
      </c>
      <c r="C415" s="2" t="s">
        <v>73</v>
      </c>
      <c r="D415" s="2"/>
      <c r="E415" s="2" t="str">
        <f>"FES1162567935"</f>
        <v>FES1162567935</v>
      </c>
      <c r="F415" s="3">
        <v>42957</v>
      </c>
      <c r="G415" s="2">
        <v>201802</v>
      </c>
      <c r="H415" s="2" t="s">
        <v>74</v>
      </c>
      <c r="I415" s="2" t="s">
        <v>75</v>
      </c>
      <c r="J415" s="2" t="s">
        <v>118</v>
      </c>
      <c r="K415" s="2" t="s">
        <v>77</v>
      </c>
      <c r="L415" s="2" t="s">
        <v>632</v>
      </c>
      <c r="M415" s="2" t="s">
        <v>269</v>
      </c>
      <c r="N415" s="2" t="s">
        <v>1002</v>
      </c>
      <c r="O415" s="2" t="s">
        <v>81</v>
      </c>
      <c r="P415" s="2" t="str">
        <f>"2170581784                    "</f>
        <v xml:space="preserve">2170581784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6.88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9</v>
      </c>
      <c r="BJ415" s="2">
        <v>5.0999999999999996</v>
      </c>
      <c r="BK415" s="2">
        <v>9</v>
      </c>
      <c r="BL415" s="2">
        <v>76.23</v>
      </c>
      <c r="BM415" s="2">
        <v>10.67</v>
      </c>
      <c r="BN415" s="2">
        <v>86.9</v>
      </c>
      <c r="BO415" s="2">
        <v>86.9</v>
      </c>
      <c r="BP415" s="2"/>
      <c r="BQ415" s="2" t="s">
        <v>83</v>
      </c>
      <c r="BR415" s="2" t="s">
        <v>122</v>
      </c>
      <c r="BS415" s="3">
        <v>42958</v>
      </c>
      <c r="BT415" s="4">
        <v>0.48055555555555557</v>
      </c>
      <c r="BU415" s="2" t="s">
        <v>85</v>
      </c>
      <c r="BV415" s="2"/>
      <c r="BW415" s="2" t="s">
        <v>110</v>
      </c>
      <c r="BX415" s="2" t="s">
        <v>444</v>
      </c>
      <c r="BY415" s="2">
        <v>25733.98</v>
      </c>
      <c r="BZ415" s="2"/>
      <c r="CA415" s="2"/>
      <c r="CB415" s="2"/>
      <c r="CC415" s="2" t="s">
        <v>269</v>
      </c>
      <c r="CD415" s="2">
        <v>200</v>
      </c>
      <c r="CE415" s="2" t="s">
        <v>89</v>
      </c>
      <c r="CF415" s="5">
        <v>42961</v>
      </c>
      <c r="CG415" s="2"/>
      <c r="CH415" s="2"/>
      <c r="CI415" s="2">
        <v>0</v>
      </c>
      <c r="CJ415" s="2">
        <v>0</v>
      </c>
      <c r="CK415" s="2" t="s">
        <v>143</v>
      </c>
      <c r="CL415" s="2" t="s">
        <v>86</v>
      </c>
      <c r="CM415" s="2"/>
    </row>
    <row r="416" spans="1:91">
      <c r="A416" s="2" t="s">
        <v>71</v>
      </c>
      <c r="B416" s="2" t="s">
        <v>72</v>
      </c>
      <c r="C416" s="2" t="s">
        <v>73</v>
      </c>
      <c r="D416" s="2"/>
      <c r="E416" s="2" t="str">
        <f>"FES1162566436"</f>
        <v>FES1162566436</v>
      </c>
      <c r="F416" s="3">
        <v>42949</v>
      </c>
      <c r="G416" s="2">
        <v>201802</v>
      </c>
      <c r="H416" s="2" t="s">
        <v>74</v>
      </c>
      <c r="I416" s="2" t="s">
        <v>75</v>
      </c>
      <c r="J416" s="2" t="s">
        <v>118</v>
      </c>
      <c r="K416" s="2" t="s">
        <v>77</v>
      </c>
      <c r="L416" s="2" t="s">
        <v>632</v>
      </c>
      <c r="M416" s="2" t="s">
        <v>269</v>
      </c>
      <c r="N416" s="2" t="s">
        <v>1003</v>
      </c>
      <c r="O416" s="2" t="s">
        <v>81</v>
      </c>
      <c r="P416" s="2" t="str">
        <f>"2170582795                    "</f>
        <v xml:space="preserve">2170582795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6.88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2</v>
      </c>
      <c r="BI416" s="2">
        <v>9.6999999999999993</v>
      </c>
      <c r="BJ416" s="2">
        <v>6.9</v>
      </c>
      <c r="BK416" s="2">
        <v>10</v>
      </c>
      <c r="BL416" s="2">
        <v>76.23</v>
      </c>
      <c r="BM416" s="2">
        <v>10.67</v>
      </c>
      <c r="BN416" s="2">
        <v>86.9</v>
      </c>
      <c r="BO416" s="2">
        <v>86.9</v>
      </c>
      <c r="BP416" s="2"/>
      <c r="BQ416" s="2" t="s">
        <v>209</v>
      </c>
      <c r="BR416" s="2" t="s">
        <v>122</v>
      </c>
      <c r="BS416" s="3">
        <v>42950</v>
      </c>
      <c r="BT416" s="4">
        <v>0.64513888888888882</v>
      </c>
      <c r="BU416" s="2" t="s">
        <v>1004</v>
      </c>
      <c r="BV416" s="2" t="s">
        <v>95</v>
      </c>
      <c r="BW416" s="2"/>
      <c r="BX416" s="2"/>
      <c r="BY416" s="2">
        <v>34545.300000000003</v>
      </c>
      <c r="BZ416" s="2"/>
      <c r="CA416" s="2" t="s">
        <v>981</v>
      </c>
      <c r="CB416" s="2"/>
      <c r="CC416" s="2" t="s">
        <v>269</v>
      </c>
      <c r="CD416" s="2">
        <v>183</v>
      </c>
      <c r="CE416" s="2" t="s">
        <v>1005</v>
      </c>
      <c r="CF416" s="5">
        <v>42950</v>
      </c>
      <c r="CG416" s="2"/>
      <c r="CH416" s="2"/>
      <c r="CI416" s="2">
        <v>0</v>
      </c>
      <c r="CJ416" s="2">
        <v>0</v>
      </c>
      <c r="CK416" s="2" t="s">
        <v>143</v>
      </c>
      <c r="CL416" s="2" t="s">
        <v>86</v>
      </c>
      <c r="CM416" s="2"/>
    </row>
    <row r="417" spans="1:91">
      <c r="A417" s="2" t="s">
        <v>71</v>
      </c>
      <c r="B417" s="2" t="s">
        <v>72</v>
      </c>
      <c r="C417" s="2" t="s">
        <v>73</v>
      </c>
      <c r="D417" s="2"/>
      <c r="E417" s="2" t="str">
        <f>"FES1162566189"</f>
        <v>FES1162566189</v>
      </c>
      <c r="F417" s="3">
        <v>42949</v>
      </c>
      <c r="G417" s="2">
        <v>201802</v>
      </c>
      <c r="H417" s="2" t="s">
        <v>74</v>
      </c>
      <c r="I417" s="2" t="s">
        <v>75</v>
      </c>
      <c r="J417" s="2" t="s">
        <v>118</v>
      </c>
      <c r="K417" s="2" t="s">
        <v>77</v>
      </c>
      <c r="L417" s="2" t="s">
        <v>632</v>
      </c>
      <c r="M417" s="2" t="s">
        <v>269</v>
      </c>
      <c r="N417" s="2" t="s">
        <v>351</v>
      </c>
      <c r="O417" s="2" t="s">
        <v>81</v>
      </c>
      <c r="P417" s="2" t="str">
        <f>"2170581632                    "</f>
        <v xml:space="preserve">2170581632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6.88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2</v>
      </c>
      <c r="BJ417" s="2">
        <v>8.6999999999999993</v>
      </c>
      <c r="BK417" s="2">
        <v>9</v>
      </c>
      <c r="BL417" s="2">
        <v>76.23</v>
      </c>
      <c r="BM417" s="2">
        <v>10.67</v>
      </c>
      <c r="BN417" s="2">
        <v>86.9</v>
      </c>
      <c r="BO417" s="2">
        <v>86.9</v>
      </c>
      <c r="BP417" s="2"/>
      <c r="BQ417" s="2" t="s">
        <v>83</v>
      </c>
      <c r="BR417" s="2" t="s">
        <v>122</v>
      </c>
      <c r="BS417" s="3">
        <v>42950</v>
      </c>
      <c r="BT417" s="4">
        <v>0.4375</v>
      </c>
      <c r="BU417" s="2" t="s">
        <v>1006</v>
      </c>
      <c r="BV417" s="2" t="s">
        <v>95</v>
      </c>
      <c r="BW417" s="2"/>
      <c r="BX417" s="2"/>
      <c r="BY417" s="2">
        <v>43560</v>
      </c>
      <c r="BZ417" s="2"/>
      <c r="CA417" s="2" t="s">
        <v>272</v>
      </c>
      <c r="CB417" s="2"/>
      <c r="CC417" s="2" t="s">
        <v>269</v>
      </c>
      <c r="CD417" s="2">
        <v>200</v>
      </c>
      <c r="CE417" s="2" t="s">
        <v>948</v>
      </c>
      <c r="CF417" s="5">
        <v>42951</v>
      </c>
      <c r="CG417" s="2"/>
      <c r="CH417" s="2"/>
      <c r="CI417" s="2">
        <v>0</v>
      </c>
      <c r="CJ417" s="2">
        <v>0</v>
      </c>
      <c r="CK417" s="2" t="s">
        <v>143</v>
      </c>
      <c r="CL417" s="2" t="s">
        <v>86</v>
      </c>
      <c r="CM417" s="2"/>
    </row>
    <row r="418" spans="1:91">
      <c r="A418" s="2" t="s">
        <v>71</v>
      </c>
      <c r="B418" s="2" t="s">
        <v>72</v>
      </c>
      <c r="C418" s="2" t="s">
        <v>73</v>
      </c>
      <c r="D418" s="2"/>
      <c r="E418" s="2" t="str">
        <f>"FES1162566341"</f>
        <v>FES1162566341</v>
      </c>
      <c r="F418" s="3">
        <v>42949</v>
      </c>
      <c r="G418" s="2">
        <v>201802</v>
      </c>
      <c r="H418" s="2" t="s">
        <v>74</v>
      </c>
      <c r="I418" s="2" t="s">
        <v>75</v>
      </c>
      <c r="J418" s="2" t="s">
        <v>118</v>
      </c>
      <c r="K418" s="2" t="s">
        <v>77</v>
      </c>
      <c r="L418" s="2" t="s">
        <v>632</v>
      </c>
      <c r="M418" s="2" t="s">
        <v>269</v>
      </c>
      <c r="N418" s="2" t="s">
        <v>635</v>
      </c>
      <c r="O418" s="2" t="s">
        <v>81</v>
      </c>
      <c r="P418" s="2" t="str">
        <f>"2170582058                    "</f>
        <v xml:space="preserve">2170582058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6.88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4</v>
      </c>
      <c r="BJ418" s="2">
        <v>3.7</v>
      </c>
      <c r="BK418" s="2">
        <v>4</v>
      </c>
      <c r="BL418" s="2">
        <v>76.23</v>
      </c>
      <c r="BM418" s="2">
        <v>10.67</v>
      </c>
      <c r="BN418" s="2">
        <v>86.9</v>
      </c>
      <c r="BO418" s="2">
        <v>86.9</v>
      </c>
      <c r="BP418" s="2"/>
      <c r="BQ418" s="2" t="s">
        <v>636</v>
      </c>
      <c r="BR418" s="2" t="s">
        <v>122</v>
      </c>
      <c r="BS418" s="3">
        <v>42950</v>
      </c>
      <c r="BT418" s="4">
        <v>0.45833333333333331</v>
      </c>
      <c r="BU418" s="2" t="s">
        <v>664</v>
      </c>
      <c r="BV418" s="2" t="s">
        <v>86</v>
      </c>
      <c r="BW418" s="2" t="s">
        <v>1007</v>
      </c>
      <c r="BX418" s="2" t="s">
        <v>1008</v>
      </c>
      <c r="BY418" s="2">
        <v>18280.96</v>
      </c>
      <c r="BZ418" s="2"/>
      <c r="CA418" s="2" t="s">
        <v>638</v>
      </c>
      <c r="CB418" s="2"/>
      <c r="CC418" s="2" t="s">
        <v>269</v>
      </c>
      <c r="CD418" s="2">
        <v>184</v>
      </c>
      <c r="CE418" s="2" t="s">
        <v>89</v>
      </c>
      <c r="CF418" s="5">
        <v>42950</v>
      </c>
      <c r="CG418" s="2"/>
      <c r="CH418" s="2"/>
      <c r="CI418" s="2">
        <v>0</v>
      </c>
      <c r="CJ418" s="2">
        <v>0</v>
      </c>
      <c r="CK418" s="2" t="s">
        <v>143</v>
      </c>
      <c r="CL418" s="2" t="s">
        <v>86</v>
      </c>
      <c r="CM418" s="2"/>
    </row>
    <row r="419" spans="1:91">
      <c r="A419" s="2" t="s">
        <v>71</v>
      </c>
      <c r="B419" s="2" t="s">
        <v>72</v>
      </c>
      <c r="C419" s="2" t="s">
        <v>73</v>
      </c>
      <c r="D419" s="2"/>
      <c r="E419" s="2" t="str">
        <f>"FES1162566284"</f>
        <v>FES1162566284</v>
      </c>
      <c r="F419" s="3">
        <v>42949</v>
      </c>
      <c r="G419" s="2">
        <v>201802</v>
      </c>
      <c r="H419" s="2" t="s">
        <v>74</v>
      </c>
      <c r="I419" s="2" t="s">
        <v>75</v>
      </c>
      <c r="J419" s="2" t="s">
        <v>118</v>
      </c>
      <c r="K419" s="2" t="s">
        <v>77</v>
      </c>
      <c r="L419" s="2" t="s">
        <v>632</v>
      </c>
      <c r="M419" s="2" t="s">
        <v>269</v>
      </c>
      <c r="N419" s="2" t="s">
        <v>1009</v>
      </c>
      <c r="O419" s="2" t="s">
        <v>81</v>
      </c>
      <c r="P419" s="2" t="str">
        <f>"2170582715                    "</f>
        <v xml:space="preserve">2170582715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6.88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4.8</v>
      </c>
      <c r="BJ419" s="2">
        <v>1.6</v>
      </c>
      <c r="BK419" s="2">
        <v>5</v>
      </c>
      <c r="BL419" s="2">
        <v>76.23</v>
      </c>
      <c r="BM419" s="2">
        <v>10.67</v>
      </c>
      <c r="BN419" s="2">
        <v>86.9</v>
      </c>
      <c r="BO419" s="2">
        <v>86.9</v>
      </c>
      <c r="BP419" s="2"/>
      <c r="BQ419" s="2"/>
      <c r="BR419" s="2" t="s">
        <v>122</v>
      </c>
      <c r="BS419" s="3">
        <v>42950</v>
      </c>
      <c r="BT419" s="4">
        <v>0.40347222222222223</v>
      </c>
      <c r="BU419" s="2" t="s">
        <v>1010</v>
      </c>
      <c r="BV419" s="2" t="s">
        <v>95</v>
      </c>
      <c r="BW419" s="2"/>
      <c r="BX419" s="2"/>
      <c r="BY419" s="2">
        <v>8031.87</v>
      </c>
      <c r="BZ419" s="2"/>
      <c r="CA419" s="2" t="s">
        <v>1011</v>
      </c>
      <c r="CB419" s="2"/>
      <c r="CC419" s="2" t="s">
        <v>269</v>
      </c>
      <c r="CD419" s="2">
        <v>62</v>
      </c>
      <c r="CE419" s="2" t="s">
        <v>89</v>
      </c>
      <c r="CF419" s="5">
        <v>42950</v>
      </c>
      <c r="CG419" s="2"/>
      <c r="CH419" s="2"/>
      <c r="CI419" s="2">
        <v>0</v>
      </c>
      <c r="CJ419" s="2">
        <v>0</v>
      </c>
      <c r="CK419" s="2" t="s">
        <v>143</v>
      </c>
      <c r="CL419" s="2" t="s">
        <v>86</v>
      </c>
      <c r="CM419" s="2"/>
    </row>
    <row r="420" spans="1:91">
      <c r="A420" s="2" t="s">
        <v>71</v>
      </c>
      <c r="B420" s="2" t="s">
        <v>72</v>
      </c>
      <c r="C420" s="2" t="s">
        <v>73</v>
      </c>
      <c r="D420" s="2"/>
      <c r="E420" s="2" t="str">
        <f>"FES1162566371"</f>
        <v>FES1162566371</v>
      </c>
      <c r="F420" s="3">
        <v>42949</v>
      </c>
      <c r="G420" s="2">
        <v>201802</v>
      </c>
      <c r="H420" s="2" t="s">
        <v>74</v>
      </c>
      <c r="I420" s="2" t="s">
        <v>75</v>
      </c>
      <c r="J420" s="2" t="s">
        <v>118</v>
      </c>
      <c r="K420" s="2" t="s">
        <v>77</v>
      </c>
      <c r="L420" s="2" t="s">
        <v>632</v>
      </c>
      <c r="M420" s="2" t="s">
        <v>269</v>
      </c>
      <c r="N420" s="2" t="s">
        <v>493</v>
      </c>
      <c r="O420" s="2" t="s">
        <v>81</v>
      </c>
      <c r="P420" s="2" t="str">
        <f>"217058037                     "</f>
        <v xml:space="preserve">217058037 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6.88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3.6</v>
      </c>
      <c r="BJ420" s="2">
        <v>1.9</v>
      </c>
      <c r="BK420" s="2">
        <v>4</v>
      </c>
      <c r="BL420" s="2">
        <v>76.23</v>
      </c>
      <c r="BM420" s="2">
        <v>10.67</v>
      </c>
      <c r="BN420" s="2">
        <v>86.9</v>
      </c>
      <c r="BO420" s="2">
        <v>86.9</v>
      </c>
      <c r="BP420" s="2"/>
      <c r="BQ420" s="2" t="s">
        <v>494</v>
      </c>
      <c r="BR420" s="2" t="s">
        <v>122</v>
      </c>
      <c r="BS420" s="3">
        <v>42950</v>
      </c>
      <c r="BT420" s="4">
        <v>0.43055555555555558</v>
      </c>
      <c r="BU420" s="2" t="s">
        <v>1012</v>
      </c>
      <c r="BV420" s="2" t="s">
        <v>95</v>
      </c>
      <c r="BW420" s="2"/>
      <c r="BX420" s="2"/>
      <c r="BY420" s="2">
        <v>9515.89</v>
      </c>
      <c r="BZ420" s="2"/>
      <c r="CA420" s="2" t="s">
        <v>272</v>
      </c>
      <c r="CB420" s="2"/>
      <c r="CC420" s="2" t="s">
        <v>269</v>
      </c>
      <c r="CD420" s="2">
        <v>200</v>
      </c>
      <c r="CE420" s="2" t="s">
        <v>89</v>
      </c>
      <c r="CF420" s="5">
        <v>42951</v>
      </c>
      <c r="CG420" s="2"/>
      <c r="CH420" s="2"/>
      <c r="CI420" s="2">
        <v>0</v>
      </c>
      <c r="CJ420" s="2">
        <v>0</v>
      </c>
      <c r="CK420" s="2" t="s">
        <v>143</v>
      </c>
      <c r="CL420" s="2" t="s">
        <v>86</v>
      </c>
      <c r="CM420" s="2"/>
    </row>
    <row r="421" spans="1:91">
      <c r="A421" s="2" t="s">
        <v>71</v>
      </c>
      <c r="B421" s="2" t="s">
        <v>72</v>
      </c>
      <c r="C421" s="2" t="s">
        <v>73</v>
      </c>
      <c r="D421" s="2"/>
      <c r="E421" s="2" t="str">
        <f>"FES1162566197"</f>
        <v>FES1162566197</v>
      </c>
      <c r="F421" s="3">
        <v>42949</v>
      </c>
      <c r="G421" s="2">
        <v>201802</v>
      </c>
      <c r="H421" s="2" t="s">
        <v>74</v>
      </c>
      <c r="I421" s="2" t="s">
        <v>75</v>
      </c>
      <c r="J421" s="2" t="s">
        <v>118</v>
      </c>
      <c r="K421" s="2" t="s">
        <v>77</v>
      </c>
      <c r="L421" s="2" t="s">
        <v>632</v>
      </c>
      <c r="M421" s="2" t="s">
        <v>269</v>
      </c>
      <c r="N421" s="2" t="s">
        <v>1013</v>
      </c>
      <c r="O421" s="2" t="s">
        <v>81</v>
      </c>
      <c r="P421" s="2" t="str">
        <f>"2170581814                    "</f>
        <v xml:space="preserve">2170581814        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6.88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9.6999999999999993</v>
      </c>
      <c r="BJ421" s="2">
        <v>5.0999999999999996</v>
      </c>
      <c r="BK421" s="2">
        <v>10</v>
      </c>
      <c r="BL421" s="2">
        <v>76.23</v>
      </c>
      <c r="BM421" s="2">
        <v>10.67</v>
      </c>
      <c r="BN421" s="2">
        <v>86.9</v>
      </c>
      <c r="BO421" s="2">
        <v>86.9</v>
      </c>
      <c r="BP421" s="2" t="s">
        <v>82</v>
      </c>
      <c r="BQ421" s="2" t="s">
        <v>83</v>
      </c>
      <c r="BR421" s="2" t="s">
        <v>122</v>
      </c>
      <c r="BS421" s="3">
        <v>42950</v>
      </c>
      <c r="BT421" s="4">
        <v>0.4152777777777778</v>
      </c>
      <c r="BU421" s="2" t="s">
        <v>1014</v>
      </c>
      <c r="BV421" s="2" t="s">
        <v>95</v>
      </c>
      <c r="BW421" s="2"/>
      <c r="BX421" s="2"/>
      <c r="BY421" s="2">
        <v>25404</v>
      </c>
      <c r="BZ421" s="2"/>
      <c r="CA421" s="2" t="s">
        <v>272</v>
      </c>
      <c r="CB421" s="2"/>
      <c r="CC421" s="2" t="s">
        <v>269</v>
      </c>
      <c r="CD421" s="2">
        <v>200</v>
      </c>
      <c r="CE421" s="2" t="s">
        <v>89</v>
      </c>
      <c r="CF421" s="5">
        <v>42951</v>
      </c>
      <c r="CG421" s="2"/>
      <c r="CH421" s="2"/>
      <c r="CI421" s="2">
        <v>0</v>
      </c>
      <c r="CJ421" s="2">
        <v>0</v>
      </c>
      <c r="CK421" s="2" t="s">
        <v>143</v>
      </c>
      <c r="CL421" s="2" t="s">
        <v>86</v>
      </c>
      <c r="CM421" s="2"/>
    </row>
    <row r="422" spans="1:91">
      <c r="A422" s="2" t="s">
        <v>71</v>
      </c>
      <c r="B422" s="2" t="s">
        <v>72</v>
      </c>
      <c r="C422" s="2" t="s">
        <v>73</v>
      </c>
      <c r="D422" s="2"/>
      <c r="E422" s="2" t="str">
        <f>"FES1162570992"</f>
        <v>FES1162570992</v>
      </c>
      <c r="F422" s="3">
        <v>42970</v>
      </c>
      <c r="G422" s="2">
        <v>201802</v>
      </c>
      <c r="H422" s="2" t="s">
        <v>74</v>
      </c>
      <c r="I422" s="2" t="s">
        <v>75</v>
      </c>
      <c r="J422" s="2" t="s">
        <v>76</v>
      </c>
      <c r="K422" s="2" t="s">
        <v>77</v>
      </c>
      <c r="L422" s="2" t="s">
        <v>74</v>
      </c>
      <c r="M422" s="2" t="s">
        <v>75</v>
      </c>
      <c r="N422" s="2" t="s">
        <v>1015</v>
      </c>
      <c r="O422" s="2" t="s">
        <v>100</v>
      </c>
      <c r="P422" s="2" t="str">
        <f>"2170586280                    "</f>
        <v xml:space="preserve">2170586280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3.13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1.1000000000000001</v>
      </c>
      <c r="BJ422" s="2">
        <v>0.9</v>
      </c>
      <c r="BK422" s="2">
        <v>2</v>
      </c>
      <c r="BL422" s="2">
        <v>32.380000000000003</v>
      </c>
      <c r="BM422" s="2">
        <v>4.53</v>
      </c>
      <c r="BN422" s="2">
        <v>36.909999999999997</v>
      </c>
      <c r="BO422" s="2">
        <v>36.909999999999997</v>
      </c>
      <c r="BP422" s="2"/>
      <c r="BQ422" s="2" t="s">
        <v>288</v>
      </c>
      <c r="BR422" s="2" t="s">
        <v>84</v>
      </c>
      <c r="BS422" s="3">
        <v>42971</v>
      </c>
      <c r="BT422" s="4">
        <v>0.32291666666666669</v>
      </c>
      <c r="BU422" s="2" t="s">
        <v>1016</v>
      </c>
      <c r="BV422" s="2" t="s">
        <v>95</v>
      </c>
      <c r="BW422" s="2"/>
      <c r="BX422" s="2"/>
      <c r="BY422" s="2">
        <v>4304.5</v>
      </c>
      <c r="BZ422" s="2"/>
      <c r="CA422" s="2" t="s">
        <v>331</v>
      </c>
      <c r="CB422" s="2"/>
      <c r="CC422" s="2" t="s">
        <v>75</v>
      </c>
      <c r="CD422" s="2">
        <v>1624</v>
      </c>
      <c r="CE422" s="2" t="s">
        <v>89</v>
      </c>
      <c r="CF422" s="5">
        <v>42972</v>
      </c>
      <c r="CG422" s="2"/>
      <c r="CH422" s="2"/>
      <c r="CI422" s="2">
        <v>1</v>
      </c>
      <c r="CJ422" s="2">
        <v>1</v>
      </c>
      <c r="CK422" s="2">
        <v>22</v>
      </c>
      <c r="CL422" s="2" t="s">
        <v>86</v>
      </c>
      <c r="CM422" s="2"/>
    </row>
    <row r="423" spans="1:91">
      <c r="A423" s="2" t="s">
        <v>71</v>
      </c>
      <c r="B423" s="2" t="s">
        <v>72</v>
      </c>
      <c r="C423" s="2" t="s">
        <v>73</v>
      </c>
      <c r="D423" s="2"/>
      <c r="E423" s="2" t="str">
        <f>"FES1162570764"</f>
        <v>FES1162570764</v>
      </c>
      <c r="F423" s="3">
        <v>42970</v>
      </c>
      <c r="G423" s="2">
        <v>201802</v>
      </c>
      <c r="H423" s="2" t="s">
        <v>74</v>
      </c>
      <c r="I423" s="2" t="s">
        <v>75</v>
      </c>
      <c r="J423" s="2" t="s">
        <v>76</v>
      </c>
      <c r="K423" s="2" t="s">
        <v>77</v>
      </c>
      <c r="L423" s="2" t="s">
        <v>846</v>
      </c>
      <c r="M423" s="2" t="s">
        <v>847</v>
      </c>
      <c r="N423" s="2" t="s">
        <v>1017</v>
      </c>
      <c r="O423" s="2" t="s">
        <v>100</v>
      </c>
      <c r="P423" s="2" t="str">
        <f>"2170586512                    "</f>
        <v xml:space="preserve">2170586512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7.75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0.5</v>
      </c>
      <c r="BJ423" s="2">
        <v>0.2</v>
      </c>
      <c r="BK423" s="2">
        <v>0.5</v>
      </c>
      <c r="BL423" s="2">
        <v>80.290000000000006</v>
      </c>
      <c r="BM423" s="2">
        <v>11.24</v>
      </c>
      <c r="BN423" s="2">
        <v>91.53</v>
      </c>
      <c r="BO423" s="2">
        <v>91.53</v>
      </c>
      <c r="BP423" s="2"/>
      <c r="BQ423" s="2" t="s">
        <v>83</v>
      </c>
      <c r="BR423" s="2" t="s">
        <v>84</v>
      </c>
      <c r="BS423" s="3">
        <v>42971</v>
      </c>
      <c r="BT423" s="4">
        <v>0.54166666666666663</v>
      </c>
      <c r="BU423" s="2" t="s">
        <v>1018</v>
      </c>
      <c r="BV423" s="2" t="s">
        <v>95</v>
      </c>
      <c r="BW423" s="2"/>
      <c r="BX423" s="2"/>
      <c r="BY423" s="2">
        <v>1200</v>
      </c>
      <c r="BZ423" s="2"/>
      <c r="CA423" s="2"/>
      <c r="CB423" s="2"/>
      <c r="CC423" s="2" t="s">
        <v>847</v>
      </c>
      <c r="CD423" s="2">
        <v>7349</v>
      </c>
      <c r="CE423" s="2" t="s">
        <v>104</v>
      </c>
      <c r="CF423" s="5">
        <v>42972</v>
      </c>
      <c r="CG423" s="2"/>
      <c r="CH423" s="2"/>
      <c r="CI423" s="2">
        <v>1</v>
      </c>
      <c r="CJ423" s="2">
        <v>1</v>
      </c>
      <c r="CK423" s="2">
        <v>23</v>
      </c>
      <c r="CL423" s="2" t="s">
        <v>86</v>
      </c>
      <c r="CM423" s="2"/>
    </row>
    <row r="424" spans="1:91">
      <c r="A424" s="2" t="s">
        <v>71</v>
      </c>
      <c r="B424" s="2" t="s">
        <v>72</v>
      </c>
      <c r="C424" s="2" t="s">
        <v>73</v>
      </c>
      <c r="D424" s="2"/>
      <c r="E424" s="2" t="str">
        <f>"FES1162570804"</f>
        <v>FES1162570804</v>
      </c>
      <c r="F424" s="3">
        <v>42971</v>
      </c>
      <c r="G424" s="2">
        <v>201802</v>
      </c>
      <c r="H424" s="2" t="s">
        <v>74</v>
      </c>
      <c r="I424" s="2" t="s">
        <v>75</v>
      </c>
      <c r="J424" s="2" t="s">
        <v>76</v>
      </c>
      <c r="K424" s="2" t="s">
        <v>77</v>
      </c>
      <c r="L424" s="2" t="s">
        <v>105</v>
      </c>
      <c r="M424" s="2" t="s">
        <v>106</v>
      </c>
      <c r="N424" s="2" t="s">
        <v>534</v>
      </c>
      <c r="O424" s="2" t="s">
        <v>81</v>
      </c>
      <c r="P424" s="2" t="str">
        <f>"2170583428                    "</f>
        <v xml:space="preserve">2170583428  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11.7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22</v>
      </c>
      <c r="BJ424" s="2">
        <v>24.1</v>
      </c>
      <c r="BK424" s="2">
        <v>25</v>
      </c>
      <c r="BL424" s="2">
        <v>126.14</v>
      </c>
      <c r="BM424" s="2">
        <v>17.66</v>
      </c>
      <c r="BN424" s="2">
        <v>143.80000000000001</v>
      </c>
      <c r="BO424" s="2">
        <v>143.80000000000001</v>
      </c>
      <c r="BP424" s="2"/>
      <c r="BQ424" s="2" t="s">
        <v>288</v>
      </c>
      <c r="BR424" s="2" t="s">
        <v>84</v>
      </c>
      <c r="BS424" s="3">
        <v>42975</v>
      </c>
      <c r="BT424" s="4">
        <v>0.44861111111111113</v>
      </c>
      <c r="BU424" s="2" t="s">
        <v>1019</v>
      </c>
      <c r="BV424" s="2" t="s">
        <v>95</v>
      </c>
      <c r="BW424" s="2"/>
      <c r="BX424" s="2"/>
      <c r="BY424" s="2">
        <v>120640</v>
      </c>
      <c r="BZ424" s="2"/>
      <c r="CA424" s="2" t="s">
        <v>797</v>
      </c>
      <c r="CB424" s="2"/>
      <c r="CC424" s="2" t="s">
        <v>106</v>
      </c>
      <c r="CD424" s="2">
        <v>7405</v>
      </c>
      <c r="CE424" s="2" t="s">
        <v>89</v>
      </c>
      <c r="CF424" s="5">
        <v>42976</v>
      </c>
      <c r="CG424" s="2"/>
      <c r="CH424" s="2"/>
      <c r="CI424" s="2">
        <v>2</v>
      </c>
      <c r="CJ424" s="2">
        <v>2</v>
      </c>
      <c r="CK424" s="2" t="s">
        <v>136</v>
      </c>
      <c r="CL424" s="2" t="s">
        <v>86</v>
      </c>
      <c r="CM424" s="2"/>
    </row>
    <row r="425" spans="1:91">
      <c r="A425" s="2" t="s">
        <v>71</v>
      </c>
      <c r="B425" s="2" t="s">
        <v>72</v>
      </c>
      <c r="C425" s="2" t="s">
        <v>73</v>
      </c>
      <c r="D425" s="2"/>
      <c r="E425" s="2" t="str">
        <f>"FES1162571320"</f>
        <v>FES1162571320</v>
      </c>
      <c r="F425" s="3">
        <v>42971</v>
      </c>
      <c r="G425" s="2">
        <v>201802</v>
      </c>
      <c r="H425" s="2" t="s">
        <v>74</v>
      </c>
      <c r="I425" s="2" t="s">
        <v>75</v>
      </c>
      <c r="J425" s="2" t="s">
        <v>76</v>
      </c>
      <c r="K425" s="2" t="s">
        <v>77</v>
      </c>
      <c r="L425" s="2" t="s">
        <v>362</v>
      </c>
      <c r="M425" s="2" t="s">
        <v>363</v>
      </c>
      <c r="N425" s="2" t="s">
        <v>1020</v>
      </c>
      <c r="O425" s="2" t="s">
        <v>81</v>
      </c>
      <c r="P425" s="2" t="str">
        <f>"2170586966                    "</f>
        <v xml:space="preserve">2170586966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10.08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21</v>
      </c>
      <c r="BJ425" s="2">
        <v>18.3</v>
      </c>
      <c r="BK425" s="2">
        <v>21</v>
      </c>
      <c r="BL425" s="2">
        <v>109.37</v>
      </c>
      <c r="BM425" s="2">
        <v>15.31</v>
      </c>
      <c r="BN425" s="2">
        <v>124.68</v>
      </c>
      <c r="BO425" s="2">
        <v>124.68</v>
      </c>
      <c r="BP425" s="2"/>
      <c r="BQ425" s="2" t="s">
        <v>209</v>
      </c>
      <c r="BR425" s="2" t="s">
        <v>84</v>
      </c>
      <c r="BS425" s="3">
        <v>42972</v>
      </c>
      <c r="BT425" s="4">
        <v>0.43472222222222223</v>
      </c>
      <c r="BU425" s="2" t="s">
        <v>1021</v>
      </c>
      <c r="BV425" s="2" t="s">
        <v>95</v>
      </c>
      <c r="BW425" s="2"/>
      <c r="BX425" s="2"/>
      <c r="BY425" s="2">
        <v>91264</v>
      </c>
      <c r="BZ425" s="2"/>
      <c r="CA425" s="2" t="s">
        <v>367</v>
      </c>
      <c r="CB425" s="2"/>
      <c r="CC425" s="2" t="s">
        <v>363</v>
      </c>
      <c r="CD425" s="2">
        <v>3200</v>
      </c>
      <c r="CE425" s="2" t="s">
        <v>89</v>
      </c>
      <c r="CF425" s="5">
        <v>42975</v>
      </c>
      <c r="CG425" s="2"/>
      <c r="CH425" s="2"/>
      <c r="CI425" s="2">
        <v>1</v>
      </c>
      <c r="CJ425" s="2">
        <v>1</v>
      </c>
      <c r="CK425" s="2" t="s">
        <v>624</v>
      </c>
      <c r="CL425" s="2" t="s">
        <v>86</v>
      </c>
      <c r="CM425" s="2"/>
    </row>
    <row r="426" spans="1:91">
      <c r="A426" s="2" t="s">
        <v>71</v>
      </c>
      <c r="B426" s="2" t="s">
        <v>72</v>
      </c>
      <c r="C426" s="2" t="s">
        <v>73</v>
      </c>
      <c r="D426" s="2"/>
      <c r="E426" s="2" t="str">
        <f>"FES1162571404"</f>
        <v>FES1162571404</v>
      </c>
      <c r="F426" s="3">
        <v>42971</v>
      </c>
      <c r="G426" s="2">
        <v>201802</v>
      </c>
      <c r="H426" s="2" t="s">
        <v>74</v>
      </c>
      <c r="I426" s="2" t="s">
        <v>75</v>
      </c>
      <c r="J426" s="2" t="s">
        <v>76</v>
      </c>
      <c r="K426" s="2" t="s">
        <v>77</v>
      </c>
      <c r="L426" s="2" t="s">
        <v>170</v>
      </c>
      <c r="M426" s="2" t="s">
        <v>171</v>
      </c>
      <c r="N426" s="2" t="s">
        <v>1022</v>
      </c>
      <c r="O426" s="2" t="s">
        <v>100</v>
      </c>
      <c r="P426" s="2" t="str">
        <f>"2170587050                    "</f>
        <v xml:space="preserve">2170587050       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3.13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1</v>
      </c>
      <c r="BJ426" s="2">
        <v>1.9</v>
      </c>
      <c r="BK426" s="2">
        <v>2</v>
      </c>
      <c r="BL426" s="2">
        <v>32.380000000000003</v>
      </c>
      <c r="BM426" s="2">
        <v>4.53</v>
      </c>
      <c r="BN426" s="2">
        <v>36.909999999999997</v>
      </c>
      <c r="BO426" s="2">
        <v>36.909999999999997</v>
      </c>
      <c r="BP426" s="2"/>
      <c r="BQ426" s="2" t="s">
        <v>83</v>
      </c>
      <c r="BR426" s="2" t="s">
        <v>84</v>
      </c>
      <c r="BS426" s="3">
        <v>42972</v>
      </c>
      <c r="BT426" s="4">
        <v>0.68680555555555556</v>
      </c>
      <c r="BU426" s="2" t="s">
        <v>1023</v>
      </c>
      <c r="BV426" s="2" t="s">
        <v>86</v>
      </c>
      <c r="BW426" s="2" t="s">
        <v>124</v>
      </c>
      <c r="BX426" s="2" t="s">
        <v>1024</v>
      </c>
      <c r="BY426" s="2">
        <v>9386.7199999999993</v>
      </c>
      <c r="BZ426" s="2"/>
      <c r="CA426" s="2" t="s">
        <v>492</v>
      </c>
      <c r="CB426" s="2"/>
      <c r="CC426" s="2" t="s">
        <v>171</v>
      </c>
      <c r="CD426" s="2">
        <v>1428</v>
      </c>
      <c r="CE426" s="2" t="s">
        <v>104</v>
      </c>
      <c r="CF426" s="5">
        <v>42975</v>
      </c>
      <c r="CG426" s="2"/>
      <c r="CH426" s="2"/>
      <c r="CI426" s="2">
        <v>1</v>
      </c>
      <c r="CJ426" s="2">
        <v>1</v>
      </c>
      <c r="CK426" s="2">
        <v>22</v>
      </c>
      <c r="CL426" s="2" t="s">
        <v>86</v>
      </c>
      <c r="CM426" s="2"/>
    </row>
    <row r="427" spans="1:91">
      <c r="A427" s="2" t="s">
        <v>71</v>
      </c>
      <c r="B427" s="2" t="s">
        <v>72</v>
      </c>
      <c r="C427" s="2" t="s">
        <v>73</v>
      </c>
      <c r="D427" s="2"/>
      <c r="E427" s="2" t="str">
        <f>"FES1162571383"</f>
        <v>FES1162571383</v>
      </c>
      <c r="F427" s="3">
        <v>42971</v>
      </c>
      <c r="G427" s="2">
        <v>201802</v>
      </c>
      <c r="H427" s="2" t="s">
        <v>74</v>
      </c>
      <c r="I427" s="2" t="s">
        <v>75</v>
      </c>
      <c r="J427" s="2" t="s">
        <v>76</v>
      </c>
      <c r="K427" s="2" t="s">
        <v>77</v>
      </c>
      <c r="L427" s="2" t="s">
        <v>144</v>
      </c>
      <c r="M427" s="2" t="s">
        <v>145</v>
      </c>
      <c r="N427" s="2" t="s">
        <v>1025</v>
      </c>
      <c r="O427" s="2" t="s">
        <v>100</v>
      </c>
      <c r="P427" s="2" t="str">
        <f>"2170587027                    "</f>
        <v xml:space="preserve">2170587027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3.13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0.9</v>
      </c>
      <c r="BJ427" s="2">
        <v>2.1</v>
      </c>
      <c r="BK427" s="2">
        <v>3</v>
      </c>
      <c r="BL427" s="2">
        <v>32.380000000000003</v>
      </c>
      <c r="BM427" s="2">
        <v>4.53</v>
      </c>
      <c r="BN427" s="2">
        <v>36.909999999999997</v>
      </c>
      <c r="BO427" s="2">
        <v>36.909999999999997</v>
      </c>
      <c r="BP427" s="2"/>
      <c r="BQ427" s="2" t="s">
        <v>288</v>
      </c>
      <c r="BR427" s="2" t="s">
        <v>84</v>
      </c>
      <c r="BS427" s="3">
        <v>42972</v>
      </c>
      <c r="BT427" s="4">
        <v>0.31597222222222221</v>
      </c>
      <c r="BU427" s="2" t="s">
        <v>1026</v>
      </c>
      <c r="BV427" s="2" t="s">
        <v>95</v>
      </c>
      <c r="BW427" s="2"/>
      <c r="BX427" s="2"/>
      <c r="BY427" s="2">
        <v>10676.25</v>
      </c>
      <c r="BZ427" s="2"/>
      <c r="CA427" s="2" t="s">
        <v>729</v>
      </c>
      <c r="CB427" s="2"/>
      <c r="CC427" s="2" t="s">
        <v>145</v>
      </c>
      <c r="CD427" s="2">
        <v>2094</v>
      </c>
      <c r="CE427" s="2" t="s">
        <v>104</v>
      </c>
      <c r="CF427" s="5">
        <v>42975</v>
      </c>
      <c r="CG427" s="2"/>
      <c r="CH427" s="2"/>
      <c r="CI427" s="2">
        <v>1</v>
      </c>
      <c r="CJ427" s="2">
        <v>1</v>
      </c>
      <c r="CK427" s="2">
        <v>22</v>
      </c>
      <c r="CL427" s="2" t="s">
        <v>86</v>
      </c>
      <c r="CM427" s="2"/>
    </row>
    <row r="428" spans="1:91">
      <c r="A428" s="2" t="s">
        <v>71</v>
      </c>
      <c r="B428" s="2" t="s">
        <v>72</v>
      </c>
      <c r="C428" s="2" t="s">
        <v>73</v>
      </c>
      <c r="D428" s="2"/>
      <c r="E428" s="2" t="str">
        <f>"FES1162571332"</f>
        <v>FES1162571332</v>
      </c>
      <c r="F428" s="3">
        <v>42971</v>
      </c>
      <c r="G428" s="2">
        <v>201802</v>
      </c>
      <c r="H428" s="2" t="s">
        <v>74</v>
      </c>
      <c r="I428" s="2" t="s">
        <v>75</v>
      </c>
      <c r="J428" s="2" t="s">
        <v>76</v>
      </c>
      <c r="K428" s="2" t="s">
        <v>77</v>
      </c>
      <c r="L428" s="2" t="s">
        <v>268</v>
      </c>
      <c r="M428" s="2" t="s">
        <v>269</v>
      </c>
      <c r="N428" s="2" t="s">
        <v>442</v>
      </c>
      <c r="O428" s="2" t="s">
        <v>100</v>
      </c>
      <c r="P428" s="2" t="str">
        <f>"2170578792                    "</f>
        <v xml:space="preserve">2170578792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7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2.2999999999999998</v>
      </c>
      <c r="BJ428" s="2">
        <v>3.5</v>
      </c>
      <c r="BK428" s="2">
        <v>3.5</v>
      </c>
      <c r="BL428" s="2">
        <v>72.52</v>
      </c>
      <c r="BM428" s="2">
        <v>10.15</v>
      </c>
      <c r="BN428" s="2">
        <v>82.67</v>
      </c>
      <c r="BO428" s="2">
        <v>82.67</v>
      </c>
      <c r="BP428" s="2"/>
      <c r="BQ428" s="2" t="s">
        <v>83</v>
      </c>
      <c r="BR428" s="2" t="s">
        <v>84</v>
      </c>
      <c r="BS428" s="3">
        <v>42972</v>
      </c>
      <c r="BT428" s="4">
        <v>0.42708333333333331</v>
      </c>
      <c r="BU428" s="2" t="s">
        <v>443</v>
      </c>
      <c r="BV428" s="2" t="s">
        <v>95</v>
      </c>
      <c r="BW428" s="2"/>
      <c r="BX428" s="2"/>
      <c r="BY428" s="2">
        <v>17741.060000000001</v>
      </c>
      <c r="BZ428" s="2"/>
      <c r="CA428" s="2" t="s">
        <v>445</v>
      </c>
      <c r="CB428" s="2"/>
      <c r="CC428" s="2" t="s">
        <v>269</v>
      </c>
      <c r="CD428" s="2">
        <v>1</v>
      </c>
      <c r="CE428" s="2" t="s">
        <v>104</v>
      </c>
      <c r="CF428" s="5">
        <v>42975</v>
      </c>
      <c r="CG428" s="2"/>
      <c r="CH428" s="2"/>
      <c r="CI428" s="2">
        <v>1</v>
      </c>
      <c r="CJ428" s="2">
        <v>1</v>
      </c>
      <c r="CK428" s="2">
        <v>21</v>
      </c>
      <c r="CL428" s="2" t="s">
        <v>86</v>
      </c>
      <c r="CM428" s="2"/>
    </row>
    <row r="429" spans="1:91">
      <c r="A429" s="2" t="s">
        <v>71</v>
      </c>
      <c r="B429" s="2" t="s">
        <v>72</v>
      </c>
      <c r="C429" s="2" t="s">
        <v>73</v>
      </c>
      <c r="D429" s="2"/>
      <c r="E429" s="2" t="str">
        <f>"FES1162571343"</f>
        <v>FES1162571343</v>
      </c>
      <c r="F429" s="3">
        <v>42971</v>
      </c>
      <c r="G429" s="2">
        <v>201802</v>
      </c>
      <c r="H429" s="2" t="s">
        <v>74</v>
      </c>
      <c r="I429" s="2" t="s">
        <v>75</v>
      </c>
      <c r="J429" s="2" t="s">
        <v>76</v>
      </c>
      <c r="K429" s="2" t="s">
        <v>77</v>
      </c>
      <c r="L429" s="2" t="s">
        <v>105</v>
      </c>
      <c r="M429" s="2" t="s">
        <v>106</v>
      </c>
      <c r="N429" s="2" t="s">
        <v>397</v>
      </c>
      <c r="O429" s="2" t="s">
        <v>100</v>
      </c>
      <c r="P429" s="2" t="str">
        <f>"2170586993                    "</f>
        <v xml:space="preserve">2170586993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4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0.9</v>
      </c>
      <c r="BJ429" s="2">
        <v>1.8</v>
      </c>
      <c r="BK429" s="2">
        <v>2</v>
      </c>
      <c r="BL429" s="2">
        <v>41.44</v>
      </c>
      <c r="BM429" s="2">
        <v>5.8</v>
      </c>
      <c r="BN429" s="2">
        <v>47.24</v>
      </c>
      <c r="BO429" s="2">
        <v>47.24</v>
      </c>
      <c r="BP429" s="2"/>
      <c r="BQ429" s="2" t="s">
        <v>83</v>
      </c>
      <c r="BR429" s="2" t="s">
        <v>84</v>
      </c>
      <c r="BS429" s="3">
        <v>42972</v>
      </c>
      <c r="BT429" s="4">
        <v>0.38750000000000001</v>
      </c>
      <c r="BU429" s="2" t="s">
        <v>408</v>
      </c>
      <c r="BV429" s="2" t="s">
        <v>95</v>
      </c>
      <c r="BW429" s="2"/>
      <c r="BX429" s="2"/>
      <c r="BY429" s="2">
        <v>8775</v>
      </c>
      <c r="BZ429" s="2"/>
      <c r="CA429" s="2" t="s">
        <v>112</v>
      </c>
      <c r="CB429" s="2"/>
      <c r="CC429" s="2" t="s">
        <v>106</v>
      </c>
      <c r="CD429" s="2">
        <v>7405</v>
      </c>
      <c r="CE429" s="2" t="s">
        <v>104</v>
      </c>
      <c r="CF429" s="5">
        <v>42975</v>
      </c>
      <c r="CG429" s="2"/>
      <c r="CH429" s="2"/>
      <c r="CI429" s="2">
        <v>1</v>
      </c>
      <c r="CJ429" s="2">
        <v>1</v>
      </c>
      <c r="CK429" s="2">
        <v>21</v>
      </c>
      <c r="CL429" s="2" t="s">
        <v>86</v>
      </c>
      <c r="CM429" s="2"/>
    </row>
    <row r="430" spans="1:91">
      <c r="A430" s="2" t="s">
        <v>71</v>
      </c>
      <c r="B430" s="2" t="s">
        <v>72</v>
      </c>
      <c r="C430" s="2" t="s">
        <v>73</v>
      </c>
      <c r="D430" s="2"/>
      <c r="E430" s="2" t="str">
        <f>"FES1162571374"</f>
        <v>FES1162571374</v>
      </c>
      <c r="F430" s="3">
        <v>42971</v>
      </c>
      <c r="G430" s="2">
        <v>201802</v>
      </c>
      <c r="H430" s="2" t="s">
        <v>74</v>
      </c>
      <c r="I430" s="2" t="s">
        <v>75</v>
      </c>
      <c r="J430" s="2" t="s">
        <v>76</v>
      </c>
      <c r="K430" s="2" t="s">
        <v>77</v>
      </c>
      <c r="L430" s="2" t="s">
        <v>841</v>
      </c>
      <c r="M430" s="2" t="s">
        <v>842</v>
      </c>
      <c r="N430" s="2" t="s">
        <v>843</v>
      </c>
      <c r="O430" s="2" t="s">
        <v>100</v>
      </c>
      <c r="P430" s="2" t="str">
        <f>"2170587014                    "</f>
        <v xml:space="preserve">2170587014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7.75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1</v>
      </c>
      <c r="BJ430" s="2">
        <v>1.8</v>
      </c>
      <c r="BK430" s="2">
        <v>2</v>
      </c>
      <c r="BL430" s="2">
        <v>80.290000000000006</v>
      </c>
      <c r="BM430" s="2">
        <v>11.24</v>
      </c>
      <c r="BN430" s="2">
        <v>91.53</v>
      </c>
      <c r="BO430" s="2">
        <v>91.53</v>
      </c>
      <c r="BP430" s="2"/>
      <c r="BQ430" s="2" t="s">
        <v>83</v>
      </c>
      <c r="BR430" s="2" t="s">
        <v>84</v>
      </c>
      <c r="BS430" s="3">
        <v>42972</v>
      </c>
      <c r="BT430" s="4">
        <v>0.58333333333333337</v>
      </c>
      <c r="BU430" s="2" t="s">
        <v>844</v>
      </c>
      <c r="BV430" s="2" t="s">
        <v>95</v>
      </c>
      <c r="BW430" s="2"/>
      <c r="BX430" s="2"/>
      <c r="BY430" s="2">
        <v>8788.32</v>
      </c>
      <c r="BZ430" s="2"/>
      <c r="CA430" s="2"/>
      <c r="CB430" s="2"/>
      <c r="CC430" s="2" t="s">
        <v>842</v>
      </c>
      <c r="CD430" s="2">
        <v>3370</v>
      </c>
      <c r="CE430" s="2" t="s">
        <v>104</v>
      </c>
      <c r="CF430" s="5">
        <v>42976</v>
      </c>
      <c r="CG430" s="2"/>
      <c r="CH430" s="2"/>
      <c r="CI430" s="2">
        <v>3</v>
      </c>
      <c r="CJ430" s="2">
        <v>1</v>
      </c>
      <c r="CK430" s="2">
        <v>23</v>
      </c>
      <c r="CL430" s="2" t="s">
        <v>86</v>
      </c>
      <c r="CM430" s="2"/>
    </row>
    <row r="431" spans="1:91">
      <c r="A431" s="2" t="s">
        <v>71</v>
      </c>
      <c r="B431" s="2" t="s">
        <v>72</v>
      </c>
      <c r="C431" s="2" t="s">
        <v>73</v>
      </c>
      <c r="D431" s="2"/>
      <c r="E431" s="2" t="str">
        <f>"FES1162571259"</f>
        <v>FES1162571259</v>
      </c>
      <c r="F431" s="3">
        <v>42971</v>
      </c>
      <c r="G431" s="2">
        <v>201802</v>
      </c>
      <c r="H431" s="2" t="s">
        <v>74</v>
      </c>
      <c r="I431" s="2" t="s">
        <v>75</v>
      </c>
      <c r="J431" s="2" t="s">
        <v>76</v>
      </c>
      <c r="K431" s="2" t="s">
        <v>77</v>
      </c>
      <c r="L431" s="2" t="s">
        <v>97</v>
      </c>
      <c r="M431" s="2" t="s">
        <v>98</v>
      </c>
      <c r="N431" s="2" t="s">
        <v>119</v>
      </c>
      <c r="O431" s="2" t="s">
        <v>100</v>
      </c>
      <c r="P431" s="2" t="str">
        <f>"2170585255                    "</f>
        <v xml:space="preserve">2170585255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5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1</v>
      </c>
      <c r="BI431" s="2">
        <v>0.4</v>
      </c>
      <c r="BJ431" s="2">
        <v>2.4</v>
      </c>
      <c r="BK431" s="2">
        <v>2.5</v>
      </c>
      <c r="BL431" s="2">
        <v>51.8</v>
      </c>
      <c r="BM431" s="2">
        <v>7.25</v>
      </c>
      <c r="BN431" s="2">
        <v>59.05</v>
      </c>
      <c r="BO431" s="2">
        <v>59.05</v>
      </c>
      <c r="BP431" s="2"/>
      <c r="BQ431" s="2" t="s">
        <v>108</v>
      </c>
      <c r="BR431" s="2" t="s">
        <v>84</v>
      </c>
      <c r="BS431" s="3">
        <v>42972</v>
      </c>
      <c r="BT431" s="4">
        <v>0.57638888888888895</v>
      </c>
      <c r="BU431" s="2" t="s">
        <v>1027</v>
      </c>
      <c r="BV431" s="2" t="s">
        <v>86</v>
      </c>
      <c r="BW431" s="2" t="s">
        <v>115</v>
      </c>
      <c r="BX431" s="2" t="s">
        <v>1028</v>
      </c>
      <c r="BY431" s="2">
        <v>12066.6</v>
      </c>
      <c r="BZ431" s="2"/>
      <c r="CA431" s="2"/>
      <c r="CB431" s="2"/>
      <c r="CC431" s="2" t="s">
        <v>98</v>
      </c>
      <c r="CD431" s="2">
        <v>6001</v>
      </c>
      <c r="CE431" s="2" t="s">
        <v>104</v>
      </c>
      <c r="CF431" s="5">
        <v>42975</v>
      </c>
      <c r="CG431" s="2"/>
      <c r="CH431" s="2"/>
      <c r="CI431" s="2">
        <v>1</v>
      </c>
      <c r="CJ431" s="2">
        <v>1</v>
      </c>
      <c r="CK431" s="2">
        <v>21</v>
      </c>
      <c r="CL431" s="2" t="s">
        <v>86</v>
      </c>
      <c r="CM431" s="2"/>
    </row>
    <row r="432" spans="1:91">
      <c r="A432" s="2" t="s">
        <v>71</v>
      </c>
      <c r="B432" s="2" t="s">
        <v>72</v>
      </c>
      <c r="C432" s="2" t="s">
        <v>73</v>
      </c>
      <c r="D432" s="2"/>
      <c r="E432" s="2" t="str">
        <f>"FES1162571120"</f>
        <v>FES1162571120</v>
      </c>
      <c r="F432" s="3">
        <v>42971</v>
      </c>
      <c r="G432" s="2">
        <v>201802</v>
      </c>
      <c r="H432" s="2" t="s">
        <v>74</v>
      </c>
      <c r="I432" s="2" t="s">
        <v>75</v>
      </c>
      <c r="J432" s="2" t="s">
        <v>76</v>
      </c>
      <c r="K432" s="2" t="s">
        <v>77</v>
      </c>
      <c r="L432" s="2" t="s">
        <v>97</v>
      </c>
      <c r="M432" s="2" t="s">
        <v>98</v>
      </c>
      <c r="N432" s="2" t="s">
        <v>250</v>
      </c>
      <c r="O432" s="2" t="s">
        <v>100</v>
      </c>
      <c r="P432" s="2" t="str">
        <f>"2170586438                    "</f>
        <v xml:space="preserve">2170586438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6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3</v>
      </c>
      <c r="BJ432" s="2">
        <v>0.5</v>
      </c>
      <c r="BK432" s="2">
        <v>3</v>
      </c>
      <c r="BL432" s="2">
        <v>62.16</v>
      </c>
      <c r="BM432" s="2">
        <v>8.6999999999999993</v>
      </c>
      <c r="BN432" s="2">
        <v>70.86</v>
      </c>
      <c r="BO432" s="2">
        <v>70.86</v>
      </c>
      <c r="BP432" s="2"/>
      <c r="BQ432" s="2" t="s">
        <v>108</v>
      </c>
      <c r="BR432" s="2" t="s">
        <v>84</v>
      </c>
      <c r="BS432" s="3">
        <v>42972</v>
      </c>
      <c r="BT432" s="4">
        <v>0.47361111111111115</v>
      </c>
      <c r="BU432" s="2" t="s">
        <v>251</v>
      </c>
      <c r="BV432" s="2" t="s">
        <v>86</v>
      </c>
      <c r="BW432" s="2" t="s">
        <v>115</v>
      </c>
      <c r="BX432" s="2" t="s">
        <v>1028</v>
      </c>
      <c r="BY432" s="2">
        <v>2280</v>
      </c>
      <c r="BZ432" s="2"/>
      <c r="CA432" s="2" t="s">
        <v>294</v>
      </c>
      <c r="CB432" s="2"/>
      <c r="CC432" s="2" t="s">
        <v>98</v>
      </c>
      <c r="CD432" s="2">
        <v>6012</v>
      </c>
      <c r="CE432" s="2" t="s">
        <v>135</v>
      </c>
      <c r="CF432" s="5">
        <v>42975</v>
      </c>
      <c r="CG432" s="2"/>
      <c r="CH432" s="2"/>
      <c r="CI432" s="2">
        <v>1</v>
      </c>
      <c r="CJ432" s="2">
        <v>1</v>
      </c>
      <c r="CK432" s="2">
        <v>21</v>
      </c>
      <c r="CL432" s="2" t="s">
        <v>86</v>
      </c>
      <c r="CM432" s="2"/>
    </row>
    <row r="433" spans="1:91">
      <c r="A433" s="2" t="s">
        <v>71</v>
      </c>
      <c r="B433" s="2" t="s">
        <v>72</v>
      </c>
      <c r="C433" s="2" t="s">
        <v>73</v>
      </c>
      <c r="D433" s="2"/>
      <c r="E433" s="2" t="str">
        <f>"FES1162571264"</f>
        <v>FES1162571264</v>
      </c>
      <c r="F433" s="3">
        <v>42971</v>
      </c>
      <c r="G433" s="2">
        <v>201802</v>
      </c>
      <c r="H433" s="2" t="s">
        <v>74</v>
      </c>
      <c r="I433" s="2" t="s">
        <v>75</v>
      </c>
      <c r="J433" s="2" t="s">
        <v>76</v>
      </c>
      <c r="K433" s="2" t="s">
        <v>77</v>
      </c>
      <c r="L433" s="2" t="s">
        <v>97</v>
      </c>
      <c r="M433" s="2" t="s">
        <v>98</v>
      </c>
      <c r="N433" s="2" t="s">
        <v>1029</v>
      </c>
      <c r="O433" s="2" t="s">
        <v>100</v>
      </c>
      <c r="P433" s="2" t="str">
        <f>"2170585885                    "</f>
        <v xml:space="preserve">2170585885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4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1.7</v>
      </c>
      <c r="BJ433" s="2">
        <v>1.7</v>
      </c>
      <c r="BK433" s="2">
        <v>2</v>
      </c>
      <c r="BL433" s="2">
        <v>41.44</v>
      </c>
      <c r="BM433" s="2">
        <v>5.8</v>
      </c>
      <c r="BN433" s="2">
        <v>47.24</v>
      </c>
      <c r="BO433" s="2">
        <v>47.24</v>
      </c>
      <c r="BP433" s="2"/>
      <c r="BQ433" s="2" t="s">
        <v>288</v>
      </c>
      <c r="BR433" s="2" t="s">
        <v>84</v>
      </c>
      <c r="BS433" s="3">
        <v>42972</v>
      </c>
      <c r="BT433" s="4">
        <v>0.51388888888888895</v>
      </c>
      <c r="BU433" s="2" t="s">
        <v>1030</v>
      </c>
      <c r="BV433" s="2" t="s">
        <v>86</v>
      </c>
      <c r="BW433" s="2" t="s">
        <v>115</v>
      </c>
      <c r="BX433" s="2" t="s">
        <v>1028</v>
      </c>
      <c r="BY433" s="2">
        <v>8287.1299999999992</v>
      </c>
      <c r="BZ433" s="2"/>
      <c r="CA433" s="2" t="s">
        <v>286</v>
      </c>
      <c r="CB433" s="2"/>
      <c r="CC433" s="2" t="s">
        <v>98</v>
      </c>
      <c r="CD433" s="2">
        <v>6001</v>
      </c>
      <c r="CE433" s="2" t="s">
        <v>89</v>
      </c>
      <c r="CF433" s="5">
        <v>42975</v>
      </c>
      <c r="CG433" s="2"/>
      <c r="CH433" s="2"/>
      <c r="CI433" s="2">
        <v>1</v>
      </c>
      <c r="CJ433" s="2">
        <v>1</v>
      </c>
      <c r="CK433" s="2">
        <v>21</v>
      </c>
      <c r="CL433" s="2" t="s">
        <v>86</v>
      </c>
      <c r="CM433" s="2"/>
    </row>
    <row r="434" spans="1:91">
      <c r="A434" s="2" t="s">
        <v>71</v>
      </c>
      <c r="B434" s="2" t="s">
        <v>72</v>
      </c>
      <c r="C434" s="2" t="s">
        <v>73</v>
      </c>
      <c r="D434" s="2"/>
      <c r="E434" s="2" t="str">
        <f>"FES1162571100"</f>
        <v>FES1162571100</v>
      </c>
      <c r="F434" s="3">
        <v>42971</v>
      </c>
      <c r="G434" s="2">
        <v>201802</v>
      </c>
      <c r="H434" s="2" t="s">
        <v>74</v>
      </c>
      <c r="I434" s="2" t="s">
        <v>75</v>
      </c>
      <c r="J434" s="2" t="s">
        <v>76</v>
      </c>
      <c r="K434" s="2" t="s">
        <v>77</v>
      </c>
      <c r="L434" s="2" t="s">
        <v>97</v>
      </c>
      <c r="M434" s="2" t="s">
        <v>98</v>
      </c>
      <c r="N434" s="2" t="s">
        <v>214</v>
      </c>
      <c r="O434" s="2" t="s">
        <v>100</v>
      </c>
      <c r="P434" s="2" t="str">
        <f>"2170584691                    "</f>
        <v xml:space="preserve">2170584691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4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1</v>
      </c>
      <c r="BJ434" s="2">
        <v>1.2</v>
      </c>
      <c r="BK434" s="2">
        <v>1.5</v>
      </c>
      <c r="BL434" s="2">
        <v>41.44</v>
      </c>
      <c r="BM434" s="2">
        <v>5.8</v>
      </c>
      <c r="BN434" s="2">
        <v>47.24</v>
      </c>
      <c r="BO434" s="2">
        <v>47.24</v>
      </c>
      <c r="BP434" s="2"/>
      <c r="BQ434" s="2" t="s">
        <v>108</v>
      </c>
      <c r="BR434" s="2" t="s">
        <v>84</v>
      </c>
      <c r="BS434" s="3">
        <v>42972</v>
      </c>
      <c r="BT434" s="4">
        <v>0.51041666666666663</v>
      </c>
      <c r="BU434" s="2" t="s">
        <v>1031</v>
      </c>
      <c r="BV434" s="2" t="s">
        <v>86</v>
      </c>
      <c r="BW434" s="2" t="s">
        <v>115</v>
      </c>
      <c r="BX434" s="2" t="s">
        <v>1028</v>
      </c>
      <c r="BY434" s="2">
        <v>6160</v>
      </c>
      <c r="BZ434" s="2"/>
      <c r="CA434" s="2"/>
      <c r="CB434" s="2"/>
      <c r="CC434" s="2" t="s">
        <v>98</v>
      </c>
      <c r="CD434" s="2">
        <v>6001</v>
      </c>
      <c r="CE434" s="2" t="s">
        <v>135</v>
      </c>
      <c r="CF434" s="5">
        <v>42975</v>
      </c>
      <c r="CG434" s="2"/>
      <c r="CH434" s="2"/>
      <c r="CI434" s="2">
        <v>1</v>
      </c>
      <c r="CJ434" s="2">
        <v>1</v>
      </c>
      <c r="CK434" s="2">
        <v>21</v>
      </c>
      <c r="CL434" s="2" t="s">
        <v>86</v>
      </c>
      <c r="CM434" s="2"/>
    </row>
    <row r="435" spans="1:91">
      <c r="A435" s="2" t="s">
        <v>71</v>
      </c>
      <c r="B435" s="2" t="s">
        <v>72</v>
      </c>
      <c r="C435" s="2" t="s">
        <v>73</v>
      </c>
      <c r="D435" s="2"/>
      <c r="E435" s="2" t="str">
        <f>"FES1162571242"</f>
        <v>FES1162571242</v>
      </c>
      <c r="F435" s="3">
        <v>42971</v>
      </c>
      <c r="G435" s="2">
        <v>201802</v>
      </c>
      <c r="H435" s="2" t="s">
        <v>74</v>
      </c>
      <c r="I435" s="2" t="s">
        <v>75</v>
      </c>
      <c r="J435" s="2" t="s">
        <v>76</v>
      </c>
      <c r="K435" s="2" t="s">
        <v>77</v>
      </c>
      <c r="L435" s="2" t="s">
        <v>321</v>
      </c>
      <c r="M435" s="2" t="s">
        <v>322</v>
      </c>
      <c r="N435" s="2" t="s">
        <v>323</v>
      </c>
      <c r="O435" s="2" t="s">
        <v>100</v>
      </c>
      <c r="P435" s="2" t="str">
        <f>"2170586675                    "</f>
        <v xml:space="preserve">2170586675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9.01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3</v>
      </c>
      <c r="BJ435" s="2">
        <v>4.0999999999999996</v>
      </c>
      <c r="BK435" s="2">
        <v>4.5</v>
      </c>
      <c r="BL435" s="2">
        <v>93.25</v>
      </c>
      <c r="BM435" s="2">
        <v>13.06</v>
      </c>
      <c r="BN435" s="2">
        <v>106.31</v>
      </c>
      <c r="BO435" s="2">
        <v>106.31</v>
      </c>
      <c r="BP435" s="2"/>
      <c r="BQ435" s="2" t="s">
        <v>83</v>
      </c>
      <c r="BR435" s="2" t="s">
        <v>84</v>
      </c>
      <c r="BS435" s="3">
        <v>42972</v>
      </c>
      <c r="BT435" s="4">
        <v>0.5</v>
      </c>
      <c r="BU435" s="2" t="s">
        <v>324</v>
      </c>
      <c r="BV435" s="2" t="s">
        <v>86</v>
      </c>
      <c r="BW435" s="2" t="s">
        <v>115</v>
      </c>
      <c r="BX435" s="2" t="s">
        <v>1028</v>
      </c>
      <c r="BY435" s="2">
        <v>20358</v>
      </c>
      <c r="BZ435" s="2"/>
      <c r="CA435" s="2" t="s">
        <v>103</v>
      </c>
      <c r="CB435" s="2"/>
      <c r="CC435" s="2" t="s">
        <v>322</v>
      </c>
      <c r="CD435" s="2">
        <v>6220</v>
      </c>
      <c r="CE435" s="2" t="s">
        <v>89</v>
      </c>
      <c r="CF435" s="5">
        <v>42975</v>
      </c>
      <c r="CG435" s="2"/>
      <c r="CH435" s="2"/>
      <c r="CI435" s="2">
        <v>1</v>
      </c>
      <c r="CJ435" s="2">
        <v>1</v>
      </c>
      <c r="CK435" s="2">
        <v>21</v>
      </c>
      <c r="CL435" s="2" t="s">
        <v>86</v>
      </c>
      <c r="CM435" s="2"/>
    </row>
    <row r="436" spans="1:91">
      <c r="A436" s="2" t="s">
        <v>71</v>
      </c>
      <c r="B436" s="2" t="s">
        <v>72</v>
      </c>
      <c r="C436" s="2" t="s">
        <v>73</v>
      </c>
      <c r="D436" s="2"/>
      <c r="E436" s="2" t="str">
        <f>"FES1162571140"</f>
        <v>FES1162571140</v>
      </c>
      <c r="F436" s="3">
        <v>42971</v>
      </c>
      <c r="G436" s="2">
        <v>201802</v>
      </c>
      <c r="H436" s="2" t="s">
        <v>74</v>
      </c>
      <c r="I436" s="2" t="s">
        <v>75</v>
      </c>
      <c r="J436" s="2" t="s">
        <v>76</v>
      </c>
      <c r="K436" s="2" t="s">
        <v>77</v>
      </c>
      <c r="L436" s="2" t="s">
        <v>97</v>
      </c>
      <c r="M436" s="2" t="s">
        <v>98</v>
      </c>
      <c r="N436" s="2" t="s">
        <v>292</v>
      </c>
      <c r="O436" s="2" t="s">
        <v>100</v>
      </c>
      <c r="P436" s="2" t="str">
        <f>"2170586790                    "</f>
        <v xml:space="preserve">2170586790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6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1.3</v>
      </c>
      <c r="BJ436" s="2">
        <v>2.6</v>
      </c>
      <c r="BK436" s="2">
        <v>3</v>
      </c>
      <c r="BL436" s="2">
        <v>62.16</v>
      </c>
      <c r="BM436" s="2">
        <v>8.6999999999999993</v>
      </c>
      <c r="BN436" s="2">
        <v>70.86</v>
      </c>
      <c r="BO436" s="2">
        <v>70.86</v>
      </c>
      <c r="BP436" s="2"/>
      <c r="BQ436" s="2" t="s">
        <v>83</v>
      </c>
      <c r="BR436" s="2" t="s">
        <v>84</v>
      </c>
      <c r="BS436" s="3">
        <v>42972</v>
      </c>
      <c r="BT436" s="4">
        <v>0.52083333333333337</v>
      </c>
      <c r="BU436" s="2" t="s">
        <v>293</v>
      </c>
      <c r="BV436" s="2" t="s">
        <v>86</v>
      </c>
      <c r="BW436" s="2" t="s">
        <v>115</v>
      </c>
      <c r="BX436" s="2" t="s">
        <v>1028</v>
      </c>
      <c r="BY436" s="2">
        <v>12798.24</v>
      </c>
      <c r="BZ436" s="2"/>
      <c r="CA436" s="2" t="s">
        <v>294</v>
      </c>
      <c r="CB436" s="2"/>
      <c r="CC436" s="2" t="s">
        <v>98</v>
      </c>
      <c r="CD436" s="2">
        <v>6001</v>
      </c>
      <c r="CE436" s="2" t="s">
        <v>135</v>
      </c>
      <c r="CF436" s="5">
        <v>42975</v>
      </c>
      <c r="CG436" s="2"/>
      <c r="CH436" s="2"/>
      <c r="CI436" s="2">
        <v>1</v>
      </c>
      <c r="CJ436" s="2">
        <v>1</v>
      </c>
      <c r="CK436" s="2">
        <v>21</v>
      </c>
      <c r="CL436" s="2" t="s">
        <v>86</v>
      </c>
      <c r="CM436" s="2"/>
    </row>
    <row r="437" spans="1:91">
      <c r="A437" s="2" t="s">
        <v>71</v>
      </c>
      <c r="B437" s="2" t="s">
        <v>72</v>
      </c>
      <c r="C437" s="2" t="s">
        <v>73</v>
      </c>
      <c r="D437" s="2"/>
      <c r="E437" s="2" t="str">
        <f>"FES1162571229"</f>
        <v>FES1162571229</v>
      </c>
      <c r="F437" s="3">
        <v>42971</v>
      </c>
      <c r="G437" s="2">
        <v>201802</v>
      </c>
      <c r="H437" s="2" t="s">
        <v>74</v>
      </c>
      <c r="I437" s="2" t="s">
        <v>75</v>
      </c>
      <c r="J437" s="2" t="s">
        <v>76</v>
      </c>
      <c r="K437" s="2" t="s">
        <v>77</v>
      </c>
      <c r="L437" s="2" t="s">
        <v>321</v>
      </c>
      <c r="M437" s="2" t="s">
        <v>322</v>
      </c>
      <c r="N437" s="2" t="s">
        <v>323</v>
      </c>
      <c r="O437" s="2" t="s">
        <v>100</v>
      </c>
      <c r="P437" s="2" t="str">
        <f>"2170586865                    "</f>
        <v xml:space="preserve">2170586865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4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1.8</v>
      </c>
      <c r="BJ437" s="2">
        <v>1</v>
      </c>
      <c r="BK437" s="2">
        <v>2</v>
      </c>
      <c r="BL437" s="2">
        <v>41.44</v>
      </c>
      <c r="BM437" s="2">
        <v>5.8</v>
      </c>
      <c r="BN437" s="2">
        <v>47.24</v>
      </c>
      <c r="BO437" s="2">
        <v>47.24</v>
      </c>
      <c r="BP437" s="2"/>
      <c r="BQ437" s="2" t="s">
        <v>83</v>
      </c>
      <c r="BR437" s="2" t="s">
        <v>84</v>
      </c>
      <c r="BS437" s="3">
        <v>42972</v>
      </c>
      <c r="BT437" s="4">
        <v>0.5</v>
      </c>
      <c r="BU437" s="2" t="s">
        <v>324</v>
      </c>
      <c r="BV437" s="2" t="s">
        <v>86</v>
      </c>
      <c r="BW437" s="2" t="s">
        <v>115</v>
      </c>
      <c r="BX437" s="2" t="s">
        <v>1028</v>
      </c>
      <c r="BY437" s="2">
        <v>5082.05</v>
      </c>
      <c r="BZ437" s="2"/>
      <c r="CA437" s="2" t="s">
        <v>103</v>
      </c>
      <c r="CB437" s="2"/>
      <c r="CC437" s="2" t="s">
        <v>322</v>
      </c>
      <c r="CD437" s="2">
        <v>6220</v>
      </c>
      <c r="CE437" s="2" t="s">
        <v>89</v>
      </c>
      <c r="CF437" s="5">
        <v>42975</v>
      </c>
      <c r="CG437" s="2"/>
      <c r="CH437" s="2"/>
      <c r="CI437" s="2">
        <v>1</v>
      </c>
      <c r="CJ437" s="2">
        <v>1</v>
      </c>
      <c r="CK437" s="2">
        <v>21</v>
      </c>
      <c r="CL437" s="2" t="s">
        <v>86</v>
      </c>
      <c r="CM437" s="2"/>
    </row>
    <row r="438" spans="1:91">
      <c r="A438" s="2" t="s">
        <v>71</v>
      </c>
      <c r="B438" s="2" t="s">
        <v>72</v>
      </c>
      <c r="C438" s="2" t="s">
        <v>73</v>
      </c>
      <c r="D438" s="2"/>
      <c r="E438" s="2" t="str">
        <f>"FES1162571162"</f>
        <v>FES1162571162</v>
      </c>
      <c r="F438" s="3">
        <v>42971</v>
      </c>
      <c r="G438" s="2">
        <v>201802</v>
      </c>
      <c r="H438" s="2" t="s">
        <v>74</v>
      </c>
      <c r="I438" s="2" t="s">
        <v>75</v>
      </c>
      <c r="J438" s="2" t="s">
        <v>76</v>
      </c>
      <c r="K438" s="2" t="s">
        <v>77</v>
      </c>
      <c r="L438" s="2" t="s">
        <v>97</v>
      </c>
      <c r="M438" s="2" t="s">
        <v>98</v>
      </c>
      <c r="N438" s="2" t="s">
        <v>214</v>
      </c>
      <c r="O438" s="2" t="s">
        <v>100</v>
      </c>
      <c r="P438" s="2" t="str">
        <f>"2170584623                    "</f>
        <v xml:space="preserve">2170584623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8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1.3</v>
      </c>
      <c r="BJ438" s="2">
        <v>3.7</v>
      </c>
      <c r="BK438" s="2">
        <v>4</v>
      </c>
      <c r="BL438" s="2">
        <v>82.88</v>
      </c>
      <c r="BM438" s="2">
        <v>11.6</v>
      </c>
      <c r="BN438" s="2">
        <v>94.48</v>
      </c>
      <c r="BO438" s="2">
        <v>94.48</v>
      </c>
      <c r="BP438" s="2"/>
      <c r="BQ438" s="2" t="s">
        <v>108</v>
      </c>
      <c r="BR438" s="2" t="s">
        <v>84</v>
      </c>
      <c r="BS438" s="3">
        <v>42972</v>
      </c>
      <c r="BT438" s="4">
        <v>0.51041666666666663</v>
      </c>
      <c r="BU438" s="2" t="s">
        <v>1032</v>
      </c>
      <c r="BV438" s="2" t="s">
        <v>86</v>
      </c>
      <c r="BW438" s="2" t="s">
        <v>115</v>
      </c>
      <c r="BX438" s="2" t="s">
        <v>1028</v>
      </c>
      <c r="BY438" s="2">
        <v>18594.88</v>
      </c>
      <c r="BZ438" s="2"/>
      <c r="CA438" s="2" t="s">
        <v>286</v>
      </c>
      <c r="CB438" s="2"/>
      <c r="CC438" s="2" t="s">
        <v>98</v>
      </c>
      <c r="CD438" s="2">
        <v>6001</v>
      </c>
      <c r="CE438" s="2" t="s">
        <v>89</v>
      </c>
      <c r="CF438" s="5">
        <v>42975</v>
      </c>
      <c r="CG438" s="2"/>
      <c r="CH438" s="2"/>
      <c r="CI438" s="2">
        <v>1</v>
      </c>
      <c r="CJ438" s="2">
        <v>1</v>
      </c>
      <c r="CK438" s="2">
        <v>21</v>
      </c>
      <c r="CL438" s="2" t="s">
        <v>86</v>
      </c>
      <c r="CM438" s="2"/>
    </row>
    <row r="439" spans="1:91">
      <c r="A439" s="2" t="s">
        <v>71</v>
      </c>
      <c r="B439" s="2" t="s">
        <v>72</v>
      </c>
      <c r="C439" s="2" t="s">
        <v>73</v>
      </c>
      <c r="D439" s="2"/>
      <c r="E439" s="2" t="str">
        <f>"FES1162571201"</f>
        <v>FES1162571201</v>
      </c>
      <c r="F439" s="3">
        <v>42971</v>
      </c>
      <c r="G439" s="2">
        <v>201802</v>
      </c>
      <c r="H439" s="2" t="s">
        <v>74</v>
      </c>
      <c r="I439" s="2" t="s">
        <v>75</v>
      </c>
      <c r="J439" s="2" t="s">
        <v>76</v>
      </c>
      <c r="K439" s="2" t="s">
        <v>77</v>
      </c>
      <c r="L439" s="2" t="s">
        <v>97</v>
      </c>
      <c r="M439" s="2" t="s">
        <v>98</v>
      </c>
      <c r="N439" s="2" t="s">
        <v>214</v>
      </c>
      <c r="O439" s="2" t="s">
        <v>100</v>
      </c>
      <c r="P439" s="2" t="str">
        <f>"2170586833                    "</f>
        <v xml:space="preserve">2170586833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5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2.2000000000000002</v>
      </c>
      <c r="BJ439" s="2">
        <v>1.9</v>
      </c>
      <c r="BK439" s="2">
        <v>2.5</v>
      </c>
      <c r="BL439" s="2">
        <v>51.8</v>
      </c>
      <c r="BM439" s="2">
        <v>7.25</v>
      </c>
      <c r="BN439" s="2">
        <v>59.05</v>
      </c>
      <c r="BO439" s="2">
        <v>59.05</v>
      </c>
      <c r="BP439" s="2"/>
      <c r="BQ439" s="2" t="s">
        <v>108</v>
      </c>
      <c r="BR439" s="2" t="s">
        <v>84</v>
      </c>
      <c r="BS439" s="3">
        <v>42972</v>
      </c>
      <c r="BT439" s="4">
        <v>0.51041666666666663</v>
      </c>
      <c r="BU439" s="2" t="s">
        <v>1032</v>
      </c>
      <c r="BV439" s="2" t="s">
        <v>86</v>
      </c>
      <c r="BW439" s="2" t="s">
        <v>115</v>
      </c>
      <c r="BX439" s="2" t="s">
        <v>1028</v>
      </c>
      <c r="BY439" s="2">
        <v>9282.24</v>
      </c>
      <c r="BZ439" s="2"/>
      <c r="CA439" s="2" t="s">
        <v>286</v>
      </c>
      <c r="CB439" s="2"/>
      <c r="CC439" s="2" t="s">
        <v>98</v>
      </c>
      <c r="CD439" s="2">
        <v>6001</v>
      </c>
      <c r="CE439" s="2" t="s">
        <v>89</v>
      </c>
      <c r="CF439" s="5">
        <v>42975</v>
      </c>
      <c r="CG439" s="2"/>
      <c r="CH439" s="2"/>
      <c r="CI439" s="2">
        <v>1</v>
      </c>
      <c r="CJ439" s="2">
        <v>1</v>
      </c>
      <c r="CK439" s="2">
        <v>21</v>
      </c>
      <c r="CL439" s="2" t="s">
        <v>86</v>
      </c>
      <c r="CM439" s="2"/>
    </row>
    <row r="440" spans="1:91">
      <c r="A440" s="2" t="s">
        <v>71</v>
      </c>
      <c r="B440" s="2" t="s">
        <v>72</v>
      </c>
      <c r="C440" s="2" t="s">
        <v>73</v>
      </c>
      <c r="D440" s="2"/>
      <c r="E440" s="2" t="str">
        <f>"FES1162571169"</f>
        <v>FES1162571169</v>
      </c>
      <c r="F440" s="3">
        <v>42971</v>
      </c>
      <c r="G440" s="2">
        <v>201802</v>
      </c>
      <c r="H440" s="2" t="s">
        <v>74</v>
      </c>
      <c r="I440" s="2" t="s">
        <v>75</v>
      </c>
      <c r="J440" s="2" t="s">
        <v>76</v>
      </c>
      <c r="K440" s="2" t="s">
        <v>77</v>
      </c>
      <c r="L440" s="2" t="s">
        <v>97</v>
      </c>
      <c r="M440" s="2" t="s">
        <v>98</v>
      </c>
      <c r="N440" s="2" t="s">
        <v>229</v>
      </c>
      <c r="O440" s="2" t="s">
        <v>100</v>
      </c>
      <c r="P440" s="2" t="str">
        <f>"2170584834                    "</f>
        <v xml:space="preserve">2170584834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7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3.1</v>
      </c>
      <c r="BJ440" s="2">
        <v>0.9</v>
      </c>
      <c r="BK440" s="2">
        <v>3.5</v>
      </c>
      <c r="BL440" s="2">
        <v>72.52</v>
      </c>
      <c r="BM440" s="2">
        <v>10.15</v>
      </c>
      <c r="BN440" s="2">
        <v>82.67</v>
      </c>
      <c r="BO440" s="2">
        <v>82.67</v>
      </c>
      <c r="BP440" s="2"/>
      <c r="BQ440" s="2" t="s">
        <v>108</v>
      </c>
      <c r="BR440" s="2" t="s">
        <v>84</v>
      </c>
      <c r="BS440" s="3">
        <v>42972</v>
      </c>
      <c r="BT440" s="4">
        <v>0.4770833333333333</v>
      </c>
      <c r="BU440" s="2" t="s">
        <v>230</v>
      </c>
      <c r="BV440" s="2" t="s">
        <v>86</v>
      </c>
      <c r="BW440" s="2" t="s">
        <v>115</v>
      </c>
      <c r="BX440" s="2" t="s">
        <v>1028</v>
      </c>
      <c r="BY440" s="2">
        <v>4543.2700000000004</v>
      </c>
      <c r="BZ440" s="2"/>
      <c r="CA440" s="2" t="s">
        <v>103</v>
      </c>
      <c r="CB440" s="2"/>
      <c r="CC440" s="2" t="s">
        <v>98</v>
      </c>
      <c r="CD440" s="2">
        <v>6001</v>
      </c>
      <c r="CE440" s="2" t="s">
        <v>89</v>
      </c>
      <c r="CF440" s="5">
        <v>42975</v>
      </c>
      <c r="CG440" s="2"/>
      <c r="CH440" s="2"/>
      <c r="CI440" s="2">
        <v>1</v>
      </c>
      <c r="CJ440" s="2">
        <v>1</v>
      </c>
      <c r="CK440" s="2">
        <v>21</v>
      </c>
      <c r="CL440" s="2" t="s">
        <v>86</v>
      </c>
      <c r="CM440" s="2"/>
    </row>
    <row r="441" spans="1:91">
      <c r="A441" s="2" t="s">
        <v>71</v>
      </c>
      <c r="B441" s="2" t="s">
        <v>72</v>
      </c>
      <c r="C441" s="2" t="s">
        <v>73</v>
      </c>
      <c r="D441" s="2"/>
      <c r="E441" s="2" t="str">
        <f>"FES1162571246"</f>
        <v>FES1162571246</v>
      </c>
      <c r="F441" s="3">
        <v>42971</v>
      </c>
      <c r="G441" s="2">
        <v>201802</v>
      </c>
      <c r="H441" s="2" t="s">
        <v>74</v>
      </c>
      <c r="I441" s="2" t="s">
        <v>75</v>
      </c>
      <c r="J441" s="2" t="s">
        <v>76</v>
      </c>
      <c r="K441" s="2" t="s">
        <v>77</v>
      </c>
      <c r="L441" s="2" t="s">
        <v>97</v>
      </c>
      <c r="M441" s="2" t="s">
        <v>98</v>
      </c>
      <c r="N441" s="2" t="s">
        <v>1033</v>
      </c>
      <c r="O441" s="2" t="s">
        <v>100</v>
      </c>
      <c r="P441" s="2" t="str">
        <f>"2170586889                    "</f>
        <v xml:space="preserve">2170586889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7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0.6</v>
      </c>
      <c r="BJ441" s="2">
        <v>3.5</v>
      </c>
      <c r="BK441" s="2">
        <v>3.5</v>
      </c>
      <c r="BL441" s="2">
        <v>72.52</v>
      </c>
      <c r="BM441" s="2">
        <v>10.15</v>
      </c>
      <c r="BN441" s="2">
        <v>82.67</v>
      </c>
      <c r="BO441" s="2">
        <v>82.67</v>
      </c>
      <c r="BP441" s="2"/>
      <c r="BQ441" s="2" t="s">
        <v>288</v>
      </c>
      <c r="BR441" s="2" t="s">
        <v>84</v>
      </c>
      <c r="BS441" s="3">
        <v>42972</v>
      </c>
      <c r="BT441" s="4">
        <v>0.43055555555555558</v>
      </c>
      <c r="BU441" s="2" t="s">
        <v>1034</v>
      </c>
      <c r="BV441" s="2" t="s">
        <v>95</v>
      </c>
      <c r="BW441" s="2"/>
      <c r="BX441" s="2"/>
      <c r="BY441" s="2">
        <v>17573.189999999999</v>
      </c>
      <c r="BZ441" s="2"/>
      <c r="CA441" s="2" t="s">
        <v>294</v>
      </c>
      <c r="CB441" s="2"/>
      <c r="CC441" s="2" t="s">
        <v>98</v>
      </c>
      <c r="CD441" s="2">
        <v>6012</v>
      </c>
      <c r="CE441" s="2" t="s">
        <v>104</v>
      </c>
      <c r="CF441" s="5">
        <v>42975</v>
      </c>
      <c r="CG441" s="2"/>
      <c r="CH441" s="2"/>
      <c r="CI441" s="2">
        <v>1</v>
      </c>
      <c r="CJ441" s="2">
        <v>1</v>
      </c>
      <c r="CK441" s="2">
        <v>21</v>
      </c>
      <c r="CL441" s="2" t="s">
        <v>86</v>
      </c>
      <c r="CM441" s="2"/>
    </row>
    <row r="442" spans="1:91">
      <c r="A442" s="2" t="s">
        <v>71</v>
      </c>
      <c r="B442" s="2" t="s">
        <v>72</v>
      </c>
      <c r="C442" s="2" t="s">
        <v>73</v>
      </c>
      <c r="D442" s="2"/>
      <c r="E442" s="2" t="str">
        <f>"FES1162571346"</f>
        <v>FES1162571346</v>
      </c>
      <c r="F442" s="3">
        <v>42971</v>
      </c>
      <c r="G442" s="2">
        <v>201802</v>
      </c>
      <c r="H442" s="2" t="s">
        <v>74</v>
      </c>
      <c r="I442" s="2" t="s">
        <v>75</v>
      </c>
      <c r="J442" s="2" t="s">
        <v>76</v>
      </c>
      <c r="K442" s="2" t="s">
        <v>77</v>
      </c>
      <c r="L442" s="2" t="s">
        <v>97</v>
      </c>
      <c r="M442" s="2" t="s">
        <v>98</v>
      </c>
      <c r="N442" s="2" t="s">
        <v>119</v>
      </c>
      <c r="O442" s="2" t="s">
        <v>100</v>
      </c>
      <c r="P442" s="2" t="str">
        <f>"2170586997                    "</f>
        <v xml:space="preserve">2170586997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4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1</v>
      </c>
      <c r="BJ442" s="2">
        <v>0.2</v>
      </c>
      <c r="BK442" s="2">
        <v>1</v>
      </c>
      <c r="BL442" s="2">
        <v>41.44</v>
      </c>
      <c r="BM442" s="2">
        <v>5.8</v>
      </c>
      <c r="BN442" s="2">
        <v>47.24</v>
      </c>
      <c r="BO442" s="2">
        <v>47.24</v>
      </c>
      <c r="BP442" s="2"/>
      <c r="BQ442" s="2" t="s">
        <v>108</v>
      </c>
      <c r="BR442" s="2" t="s">
        <v>84</v>
      </c>
      <c r="BS442" s="3">
        <v>42972</v>
      </c>
      <c r="BT442" s="4">
        <v>0.49652777777777773</v>
      </c>
      <c r="BU442" s="2" t="s">
        <v>1035</v>
      </c>
      <c r="BV442" s="2" t="s">
        <v>86</v>
      </c>
      <c r="BW442" s="2" t="s">
        <v>1036</v>
      </c>
      <c r="BX442" s="2" t="s">
        <v>1028</v>
      </c>
      <c r="BY442" s="2">
        <v>1200</v>
      </c>
      <c r="BZ442" s="2"/>
      <c r="CA442" s="2" t="s">
        <v>1037</v>
      </c>
      <c r="CB442" s="2"/>
      <c r="CC442" s="2" t="s">
        <v>98</v>
      </c>
      <c r="CD442" s="2">
        <v>6001</v>
      </c>
      <c r="CE442" s="2" t="s">
        <v>104</v>
      </c>
      <c r="CF442" s="5">
        <v>42975</v>
      </c>
      <c r="CG442" s="2"/>
      <c r="CH442" s="2"/>
      <c r="CI442" s="2">
        <v>1</v>
      </c>
      <c r="CJ442" s="2">
        <v>1</v>
      </c>
      <c r="CK442" s="2">
        <v>21</v>
      </c>
      <c r="CL442" s="2" t="s">
        <v>86</v>
      </c>
      <c r="CM442" s="2"/>
    </row>
    <row r="443" spans="1:91">
      <c r="A443" s="2" t="s">
        <v>71</v>
      </c>
      <c r="B443" s="2" t="s">
        <v>72</v>
      </c>
      <c r="C443" s="2" t="s">
        <v>73</v>
      </c>
      <c r="D443" s="2"/>
      <c r="E443" s="2" t="str">
        <f>"FES1162571310"</f>
        <v>FES1162571310</v>
      </c>
      <c r="F443" s="3">
        <v>42971</v>
      </c>
      <c r="G443" s="2">
        <v>201802</v>
      </c>
      <c r="H443" s="2" t="s">
        <v>74</v>
      </c>
      <c r="I443" s="2" t="s">
        <v>75</v>
      </c>
      <c r="J443" s="2" t="s">
        <v>76</v>
      </c>
      <c r="K443" s="2" t="s">
        <v>77</v>
      </c>
      <c r="L443" s="2" t="s">
        <v>97</v>
      </c>
      <c r="M443" s="2" t="s">
        <v>98</v>
      </c>
      <c r="N443" s="2" t="s">
        <v>292</v>
      </c>
      <c r="O443" s="2" t="s">
        <v>100</v>
      </c>
      <c r="P443" s="2" t="str">
        <f>"2170586947                    "</f>
        <v xml:space="preserve">2170586947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4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1</v>
      </c>
      <c r="BJ443" s="2">
        <v>2</v>
      </c>
      <c r="BK443" s="2">
        <v>2</v>
      </c>
      <c r="BL443" s="2">
        <v>41.44</v>
      </c>
      <c r="BM443" s="2">
        <v>5.8</v>
      </c>
      <c r="BN443" s="2">
        <v>47.24</v>
      </c>
      <c r="BO443" s="2">
        <v>47.24</v>
      </c>
      <c r="BP443" s="2"/>
      <c r="BQ443" s="2" t="s">
        <v>83</v>
      </c>
      <c r="BR443" s="2" t="s">
        <v>84</v>
      </c>
      <c r="BS443" s="3">
        <v>42972</v>
      </c>
      <c r="BT443" s="4">
        <v>0.52083333333333337</v>
      </c>
      <c r="BU443" s="2" t="s">
        <v>293</v>
      </c>
      <c r="BV443" s="2" t="s">
        <v>86</v>
      </c>
      <c r="BW443" s="2" t="s">
        <v>115</v>
      </c>
      <c r="BX443" s="2" t="s">
        <v>1028</v>
      </c>
      <c r="BY443" s="2">
        <v>9918</v>
      </c>
      <c r="BZ443" s="2"/>
      <c r="CA443" s="2" t="s">
        <v>294</v>
      </c>
      <c r="CB443" s="2"/>
      <c r="CC443" s="2" t="s">
        <v>98</v>
      </c>
      <c r="CD443" s="2">
        <v>6001</v>
      </c>
      <c r="CE443" s="2" t="s">
        <v>89</v>
      </c>
      <c r="CF443" s="5">
        <v>42975</v>
      </c>
      <c r="CG443" s="2"/>
      <c r="CH443" s="2"/>
      <c r="CI443" s="2">
        <v>1</v>
      </c>
      <c r="CJ443" s="2">
        <v>1</v>
      </c>
      <c r="CK443" s="2">
        <v>21</v>
      </c>
      <c r="CL443" s="2" t="s">
        <v>86</v>
      </c>
      <c r="CM443" s="2"/>
    </row>
    <row r="444" spans="1:91">
      <c r="A444" s="2" t="s">
        <v>71</v>
      </c>
      <c r="B444" s="2" t="s">
        <v>72</v>
      </c>
      <c r="C444" s="2" t="s">
        <v>73</v>
      </c>
      <c r="D444" s="2"/>
      <c r="E444" s="2" t="str">
        <f>"FES1162571298"</f>
        <v>FES1162571298</v>
      </c>
      <c r="F444" s="3">
        <v>42971</v>
      </c>
      <c r="G444" s="2">
        <v>201802</v>
      </c>
      <c r="H444" s="2" t="s">
        <v>74</v>
      </c>
      <c r="I444" s="2" t="s">
        <v>75</v>
      </c>
      <c r="J444" s="2" t="s">
        <v>76</v>
      </c>
      <c r="K444" s="2" t="s">
        <v>77</v>
      </c>
      <c r="L444" s="2" t="s">
        <v>97</v>
      </c>
      <c r="M444" s="2" t="s">
        <v>98</v>
      </c>
      <c r="N444" s="2" t="s">
        <v>214</v>
      </c>
      <c r="O444" s="2" t="s">
        <v>100</v>
      </c>
      <c r="P444" s="2" t="str">
        <f>"2170586936                    "</f>
        <v xml:space="preserve">2170586936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8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1.3</v>
      </c>
      <c r="BJ444" s="2">
        <v>3.8</v>
      </c>
      <c r="BK444" s="2">
        <v>4</v>
      </c>
      <c r="BL444" s="2">
        <v>82.88</v>
      </c>
      <c r="BM444" s="2">
        <v>11.6</v>
      </c>
      <c r="BN444" s="2">
        <v>94.48</v>
      </c>
      <c r="BO444" s="2">
        <v>94.48</v>
      </c>
      <c r="BP444" s="2"/>
      <c r="BQ444" s="2" t="s">
        <v>108</v>
      </c>
      <c r="BR444" s="2" t="s">
        <v>84</v>
      </c>
      <c r="BS444" s="3">
        <v>42972</v>
      </c>
      <c r="BT444" s="4">
        <v>0.51041666666666663</v>
      </c>
      <c r="BU444" s="2" t="s">
        <v>1032</v>
      </c>
      <c r="BV444" s="2" t="s">
        <v>86</v>
      </c>
      <c r="BW444" s="2" t="s">
        <v>115</v>
      </c>
      <c r="BX444" s="2" t="s">
        <v>1028</v>
      </c>
      <c r="BY444" s="2">
        <v>18939.38</v>
      </c>
      <c r="BZ444" s="2"/>
      <c r="CA444" s="2" t="s">
        <v>286</v>
      </c>
      <c r="CB444" s="2"/>
      <c r="CC444" s="2" t="s">
        <v>98</v>
      </c>
      <c r="CD444" s="2">
        <v>6001</v>
      </c>
      <c r="CE444" s="2" t="s">
        <v>104</v>
      </c>
      <c r="CF444" s="5">
        <v>42975</v>
      </c>
      <c r="CG444" s="2"/>
      <c r="CH444" s="2"/>
      <c r="CI444" s="2">
        <v>1</v>
      </c>
      <c r="CJ444" s="2">
        <v>1</v>
      </c>
      <c r="CK444" s="2">
        <v>21</v>
      </c>
      <c r="CL444" s="2" t="s">
        <v>86</v>
      </c>
      <c r="CM444" s="2"/>
    </row>
    <row r="445" spans="1:91">
      <c r="A445" s="2" t="s">
        <v>71</v>
      </c>
      <c r="B445" s="2" t="s">
        <v>72</v>
      </c>
      <c r="C445" s="2" t="s">
        <v>73</v>
      </c>
      <c r="D445" s="2"/>
      <c r="E445" s="2" t="str">
        <f>"FES1162571322"</f>
        <v>FES1162571322</v>
      </c>
      <c r="F445" s="3">
        <v>42971</v>
      </c>
      <c r="G445" s="2">
        <v>201802</v>
      </c>
      <c r="H445" s="2" t="s">
        <v>74</v>
      </c>
      <c r="I445" s="2" t="s">
        <v>75</v>
      </c>
      <c r="J445" s="2" t="s">
        <v>76</v>
      </c>
      <c r="K445" s="2" t="s">
        <v>77</v>
      </c>
      <c r="L445" s="2" t="s">
        <v>97</v>
      </c>
      <c r="M445" s="2" t="s">
        <v>98</v>
      </c>
      <c r="N445" s="2" t="s">
        <v>214</v>
      </c>
      <c r="O445" s="2" t="s">
        <v>100</v>
      </c>
      <c r="P445" s="2" t="str">
        <f>"2170586969                    "</f>
        <v xml:space="preserve">2170586969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11.01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5.0999999999999996</v>
      </c>
      <c r="BJ445" s="2">
        <v>1.6</v>
      </c>
      <c r="BK445" s="2">
        <v>5.5</v>
      </c>
      <c r="BL445" s="2">
        <v>113.97</v>
      </c>
      <c r="BM445" s="2">
        <v>15.96</v>
      </c>
      <c r="BN445" s="2">
        <v>129.93</v>
      </c>
      <c r="BO445" s="2">
        <v>129.93</v>
      </c>
      <c r="BP445" s="2"/>
      <c r="BQ445" s="2" t="s">
        <v>108</v>
      </c>
      <c r="BR445" s="2" t="s">
        <v>84</v>
      </c>
      <c r="BS445" s="3">
        <v>42972</v>
      </c>
      <c r="BT445" s="4">
        <v>0.51041666666666663</v>
      </c>
      <c r="BU445" s="2" t="s">
        <v>1031</v>
      </c>
      <c r="BV445" s="2" t="s">
        <v>86</v>
      </c>
      <c r="BW445" s="2" t="s">
        <v>115</v>
      </c>
      <c r="BX445" s="2" t="s">
        <v>1028</v>
      </c>
      <c r="BY445" s="2">
        <v>8136.18</v>
      </c>
      <c r="BZ445" s="2"/>
      <c r="CA445" s="2"/>
      <c r="CB445" s="2"/>
      <c r="CC445" s="2" t="s">
        <v>98</v>
      </c>
      <c r="CD445" s="2">
        <v>6001</v>
      </c>
      <c r="CE445" s="2" t="s">
        <v>89</v>
      </c>
      <c r="CF445" s="5">
        <v>42975</v>
      </c>
      <c r="CG445" s="2"/>
      <c r="CH445" s="2"/>
      <c r="CI445" s="2">
        <v>1</v>
      </c>
      <c r="CJ445" s="2">
        <v>1</v>
      </c>
      <c r="CK445" s="2">
        <v>21</v>
      </c>
      <c r="CL445" s="2" t="s">
        <v>86</v>
      </c>
      <c r="CM445" s="2"/>
    </row>
    <row r="446" spans="1:91">
      <c r="A446" s="2" t="s">
        <v>71</v>
      </c>
      <c r="B446" s="2" t="s">
        <v>72</v>
      </c>
      <c r="C446" s="2" t="s">
        <v>73</v>
      </c>
      <c r="D446" s="2"/>
      <c r="E446" s="2" t="str">
        <f>"FES1162571357"</f>
        <v>FES1162571357</v>
      </c>
      <c r="F446" s="3">
        <v>42971</v>
      </c>
      <c r="G446" s="2">
        <v>201802</v>
      </c>
      <c r="H446" s="2" t="s">
        <v>74</v>
      </c>
      <c r="I446" s="2" t="s">
        <v>75</v>
      </c>
      <c r="J446" s="2" t="s">
        <v>76</v>
      </c>
      <c r="K446" s="2" t="s">
        <v>77</v>
      </c>
      <c r="L446" s="2" t="s">
        <v>362</v>
      </c>
      <c r="M446" s="2" t="s">
        <v>363</v>
      </c>
      <c r="N446" s="2" t="s">
        <v>1038</v>
      </c>
      <c r="O446" s="2" t="s">
        <v>100</v>
      </c>
      <c r="P446" s="2" t="str">
        <f>"2170587000                    "</f>
        <v xml:space="preserve">2170587000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4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1.5</v>
      </c>
      <c r="BJ446" s="2">
        <v>1.7</v>
      </c>
      <c r="BK446" s="2">
        <v>2</v>
      </c>
      <c r="BL446" s="2">
        <v>41.44</v>
      </c>
      <c r="BM446" s="2">
        <v>5.8</v>
      </c>
      <c r="BN446" s="2">
        <v>47.24</v>
      </c>
      <c r="BO446" s="2">
        <v>47.24</v>
      </c>
      <c r="BP446" s="2"/>
      <c r="BQ446" s="2" t="s">
        <v>288</v>
      </c>
      <c r="BR446" s="2" t="s">
        <v>84</v>
      </c>
      <c r="BS446" s="3">
        <v>42972</v>
      </c>
      <c r="BT446" s="4">
        <v>0.3888888888888889</v>
      </c>
      <c r="BU446" s="2" t="s">
        <v>1039</v>
      </c>
      <c r="BV446" s="2" t="s">
        <v>95</v>
      </c>
      <c r="BW446" s="2"/>
      <c r="BX446" s="2"/>
      <c r="BY446" s="2">
        <v>8525.09</v>
      </c>
      <c r="BZ446" s="2"/>
      <c r="CA446" s="2" t="s">
        <v>379</v>
      </c>
      <c r="CB446" s="2"/>
      <c r="CC446" s="2" t="s">
        <v>363</v>
      </c>
      <c r="CD446" s="2">
        <v>3201</v>
      </c>
      <c r="CE446" s="2" t="s">
        <v>104</v>
      </c>
      <c r="CF446" s="5">
        <v>42976</v>
      </c>
      <c r="CG446" s="2"/>
      <c r="CH446" s="2"/>
      <c r="CI446" s="2">
        <v>1</v>
      </c>
      <c r="CJ446" s="2">
        <v>1</v>
      </c>
      <c r="CK446" s="2">
        <v>21</v>
      </c>
      <c r="CL446" s="2" t="s">
        <v>86</v>
      </c>
      <c r="CM446" s="2"/>
    </row>
    <row r="447" spans="1:91">
      <c r="A447" s="2" t="s">
        <v>71</v>
      </c>
      <c r="B447" s="2" t="s">
        <v>72</v>
      </c>
      <c r="C447" s="2" t="s">
        <v>73</v>
      </c>
      <c r="D447" s="2"/>
      <c r="E447" s="2" t="str">
        <f>"FES1162571307"</f>
        <v>FES1162571307</v>
      </c>
      <c r="F447" s="3">
        <v>42971</v>
      </c>
      <c r="G447" s="2">
        <v>201802</v>
      </c>
      <c r="H447" s="2" t="s">
        <v>74</v>
      </c>
      <c r="I447" s="2" t="s">
        <v>75</v>
      </c>
      <c r="J447" s="2" t="s">
        <v>76</v>
      </c>
      <c r="K447" s="2" t="s">
        <v>77</v>
      </c>
      <c r="L447" s="2" t="s">
        <v>97</v>
      </c>
      <c r="M447" s="2" t="s">
        <v>98</v>
      </c>
      <c r="N447" s="2" t="s">
        <v>1029</v>
      </c>
      <c r="O447" s="2" t="s">
        <v>100</v>
      </c>
      <c r="P447" s="2" t="str">
        <f>"2170586940                    "</f>
        <v xml:space="preserve">2170586940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10.01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1.5</v>
      </c>
      <c r="BJ447" s="2">
        <v>4.8</v>
      </c>
      <c r="BK447" s="2">
        <v>5</v>
      </c>
      <c r="BL447" s="2">
        <v>103.61</v>
      </c>
      <c r="BM447" s="2">
        <v>14.51</v>
      </c>
      <c r="BN447" s="2">
        <v>118.12</v>
      </c>
      <c r="BO447" s="2">
        <v>118.12</v>
      </c>
      <c r="BP447" s="2"/>
      <c r="BQ447" s="2" t="s">
        <v>108</v>
      </c>
      <c r="BR447" s="2" t="s">
        <v>84</v>
      </c>
      <c r="BS447" s="3">
        <v>42972</v>
      </c>
      <c r="BT447" s="4">
        <v>0.51388888888888895</v>
      </c>
      <c r="BU447" s="2" t="s">
        <v>1030</v>
      </c>
      <c r="BV447" s="2" t="s">
        <v>86</v>
      </c>
      <c r="BW447" s="2" t="s">
        <v>115</v>
      </c>
      <c r="BX447" s="2" t="s">
        <v>1028</v>
      </c>
      <c r="BY447" s="2">
        <v>23971.64</v>
      </c>
      <c r="BZ447" s="2"/>
      <c r="CA447" s="2" t="s">
        <v>286</v>
      </c>
      <c r="CB447" s="2"/>
      <c r="CC447" s="2" t="s">
        <v>98</v>
      </c>
      <c r="CD447" s="2">
        <v>6001</v>
      </c>
      <c r="CE447" s="2" t="s">
        <v>104</v>
      </c>
      <c r="CF447" s="5">
        <v>42975</v>
      </c>
      <c r="CG447" s="2"/>
      <c r="CH447" s="2"/>
      <c r="CI447" s="2">
        <v>1</v>
      </c>
      <c r="CJ447" s="2">
        <v>1</v>
      </c>
      <c r="CK447" s="2">
        <v>21</v>
      </c>
      <c r="CL447" s="2" t="s">
        <v>86</v>
      </c>
      <c r="CM447" s="2"/>
    </row>
    <row r="448" spans="1:91">
      <c r="A448" s="2" t="s">
        <v>71</v>
      </c>
      <c r="B448" s="2" t="s">
        <v>72</v>
      </c>
      <c r="C448" s="2" t="s">
        <v>73</v>
      </c>
      <c r="D448" s="2"/>
      <c r="E448" s="2" t="str">
        <f>"FES1162571308"</f>
        <v>FES1162571308</v>
      </c>
      <c r="F448" s="3">
        <v>42971</v>
      </c>
      <c r="G448" s="2">
        <v>201802</v>
      </c>
      <c r="H448" s="2" t="s">
        <v>74</v>
      </c>
      <c r="I448" s="2" t="s">
        <v>75</v>
      </c>
      <c r="J448" s="2" t="s">
        <v>76</v>
      </c>
      <c r="K448" s="2" t="s">
        <v>77</v>
      </c>
      <c r="L448" s="2" t="s">
        <v>97</v>
      </c>
      <c r="M448" s="2" t="s">
        <v>98</v>
      </c>
      <c r="N448" s="2" t="s">
        <v>1029</v>
      </c>
      <c r="O448" s="2" t="s">
        <v>100</v>
      </c>
      <c r="P448" s="2" t="str">
        <f>"2170586955                    "</f>
        <v xml:space="preserve">2170586955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7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1.4</v>
      </c>
      <c r="BJ448" s="2">
        <v>3.2</v>
      </c>
      <c r="BK448" s="2">
        <v>3.5</v>
      </c>
      <c r="BL448" s="2">
        <v>72.52</v>
      </c>
      <c r="BM448" s="2">
        <v>10.15</v>
      </c>
      <c r="BN448" s="2">
        <v>82.67</v>
      </c>
      <c r="BO448" s="2">
        <v>82.67</v>
      </c>
      <c r="BP448" s="2"/>
      <c r="BQ448" s="2" t="s">
        <v>288</v>
      </c>
      <c r="BR448" s="2" t="s">
        <v>84</v>
      </c>
      <c r="BS448" s="3">
        <v>42972</v>
      </c>
      <c r="BT448" s="4">
        <v>0.51388888888888895</v>
      </c>
      <c r="BU448" s="2" t="s">
        <v>1030</v>
      </c>
      <c r="BV448" s="2" t="s">
        <v>86</v>
      </c>
      <c r="BW448" s="2" t="s">
        <v>115</v>
      </c>
      <c r="BX448" s="2" t="s">
        <v>1028</v>
      </c>
      <c r="BY448" s="2">
        <v>16025.3</v>
      </c>
      <c r="BZ448" s="2"/>
      <c r="CA448" s="2" t="s">
        <v>286</v>
      </c>
      <c r="CB448" s="2"/>
      <c r="CC448" s="2" t="s">
        <v>98</v>
      </c>
      <c r="CD448" s="2">
        <v>6001</v>
      </c>
      <c r="CE448" s="2" t="s">
        <v>104</v>
      </c>
      <c r="CF448" s="5">
        <v>42975</v>
      </c>
      <c r="CG448" s="2"/>
      <c r="CH448" s="2"/>
      <c r="CI448" s="2">
        <v>1</v>
      </c>
      <c r="CJ448" s="2">
        <v>1</v>
      </c>
      <c r="CK448" s="2">
        <v>21</v>
      </c>
      <c r="CL448" s="2" t="s">
        <v>86</v>
      </c>
      <c r="CM448" s="2"/>
    </row>
    <row r="449" spans="1:91">
      <c r="A449" s="2" t="s">
        <v>71</v>
      </c>
      <c r="B449" s="2" t="s">
        <v>72</v>
      </c>
      <c r="C449" s="2" t="s">
        <v>73</v>
      </c>
      <c r="D449" s="2"/>
      <c r="E449" s="2" t="str">
        <f>"FES1162571371"</f>
        <v>FES1162571371</v>
      </c>
      <c r="F449" s="3">
        <v>42971</v>
      </c>
      <c r="G449" s="2">
        <v>201802</v>
      </c>
      <c r="H449" s="2" t="s">
        <v>74</v>
      </c>
      <c r="I449" s="2" t="s">
        <v>75</v>
      </c>
      <c r="J449" s="2" t="s">
        <v>76</v>
      </c>
      <c r="K449" s="2" t="s">
        <v>77</v>
      </c>
      <c r="L449" s="2" t="s">
        <v>362</v>
      </c>
      <c r="M449" s="2" t="s">
        <v>363</v>
      </c>
      <c r="N449" s="2" t="s">
        <v>683</v>
      </c>
      <c r="O449" s="2" t="s">
        <v>100</v>
      </c>
      <c r="P449" s="2" t="str">
        <f>"2170587011                    "</f>
        <v xml:space="preserve">2170587011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5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1.5</v>
      </c>
      <c r="BJ449" s="2">
        <v>2.2999999999999998</v>
      </c>
      <c r="BK449" s="2">
        <v>2.5</v>
      </c>
      <c r="BL449" s="2">
        <v>51.8</v>
      </c>
      <c r="BM449" s="2">
        <v>7.25</v>
      </c>
      <c r="BN449" s="2">
        <v>59.05</v>
      </c>
      <c r="BO449" s="2">
        <v>59.05</v>
      </c>
      <c r="BP449" s="2"/>
      <c r="BQ449" s="2" t="s">
        <v>108</v>
      </c>
      <c r="BR449" s="2" t="s">
        <v>84</v>
      </c>
      <c r="BS449" s="3">
        <v>42972</v>
      </c>
      <c r="BT449" s="4">
        <v>0.4375</v>
      </c>
      <c r="BU449" s="2" t="s">
        <v>805</v>
      </c>
      <c r="BV449" s="2" t="s">
        <v>95</v>
      </c>
      <c r="BW449" s="2"/>
      <c r="BX449" s="2"/>
      <c r="BY449" s="2">
        <v>11490.61</v>
      </c>
      <c r="BZ449" s="2"/>
      <c r="CA449" s="2" t="s">
        <v>367</v>
      </c>
      <c r="CB449" s="2"/>
      <c r="CC449" s="2" t="s">
        <v>363</v>
      </c>
      <c r="CD449" s="2">
        <v>3201</v>
      </c>
      <c r="CE449" s="2" t="s">
        <v>104</v>
      </c>
      <c r="CF449" s="5">
        <v>42975</v>
      </c>
      <c r="CG449" s="2"/>
      <c r="CH449" s="2"/>
      <c r="CI449" s="2">
        <v>1</v>
      </c>
      <c r="CJ449" s="2">
        <v>1</v>
      </c>
      <c r="CK449" s="2">
        <v>21</v>
      </c>
      <c r="CL449" s="2" t="s">
        <v>86</v>
      </c>
      <c r="CM449" s="2"/>
    </row>
    <row r="450" spans="1:91">
      <c r="A450" s="2" t="s">
        <v>71</v>
      </c>
      <c r="B450" s="2" t="s">
        <v>72</v>
      </c>
      <c r="C450" s="2" t="s">
        <v>73</v>
      </c>
      <c r="D450" s="2"/>
      <c r="E450" s="2" t="str">
        <f>"FES1162571403"</f>
        <v>FES1162571403</v>
      </c>
      <c r="F450" s="3">
        <v>42971</v>
      </c>
      <c r="G450" s="2">
        <v>201802</v>
      </c>
      <c r="H450" s="2" t="s">
        <v>74</v>
      </c>
      <c r="I450" s="2" t="s">
        <v>75</v>
      </c>
      <c r="J450" s="2" t="s">
        <v>76</v>
      </c>
      <c r="K450" s="2" t="s">
        <v>77</v>
      </c>
      <c r="L450" s="2" t="s">
        <v>362</v>
      </c>
      <c r="M450" s="2" t="s">
        <v>363</v>
      </c>
      <c r="N450" s="2" t="s">
        <v>683</v>
      </c>
      <c r="O450" s="2" t="s">
        <v>100</v>
      </c>
      <c r="P450" s="2" t="str">
        <f>"                              "</f>
        <v xml:space="preserve">          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4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1</v>
      </c>
      <c r="BI450" s="2">
        <v>2</v>
      </c>
      <c r="BJ450" s="2">
        <v>2</v>
      </c>
      <c r="BK450" s="2">
        <v>2</v>
      </c>
      <c r="BL450" s="2">
        <v>41.44</v>
      </c>
      <c r="BM450" s="2">
        <v>5.8</v>
      </c>
      <c r="BN450" s="2">
        <v>47.24</v>
      </c>
      <c r="BO450" s="2">
        <v>47.24</v>
      </c>
      <c r="BP450" s="2">
        <v>2170584431</v>
      </c>
      <c r="BQ450" s="2" t="s">
        <v>108</v>
      </c>
      <c r="BR450" s="2" t="s">
        <v>84</v>
      </c>
      <c r="BS450" s="3">
        <v>42972</v>
      </c>
      <c r="BT450" s="4">
        <v>0.4375</v>
      </c>
      <c r="BU450" s="2" t="s">
        <v>805</v>
      </c>
      <c r="BV450" s="2" t="s">
        <v>95</v>
      </c>
      <c r="BW450" s="2"/>
      <c r="BX450" s="2"/>
      <c r="BY450" s="2">
        <v>10233.31</v>
      </c>
      <c r="BZ450" s="2"/>
      <c r="CA450" s="2" t="s">
        <v>367</v>
      </c>
      <c r="CB450" s="2"/>
      <c r="CC450" s="2" t="s">
        <v>363</v>
      </c>
      <c r="CD450" s="2">
        <v>3201</v>
      </c>
      <c r="CE450" s="2" t="s">
        <v>104</v>
      </c>
      <c r="CF450" s="5">
        <v>42975</v>
      </c>
      <c r="CG450" s="2"/>
      <c r="CH450" s="2"/>
      <c r="CI450" s="2">
        <v>1</v>
      </c>
      <c r="CJ450" s="2">
        <v>1</v>
      </c>
      <c r="CK450" s="2">
        <v>21</v>
      </c>
      <c r="CL450" s="2" t="s">
        <v>86</v>
      </c>
      <c r="CM450" s="2"/>
    </row>
    <row r="451" spans="1:91">
      <c r="A451" s="2" t="s">
        <v>71</v>
      </c>
      <c r="B451" s="2" t="s">
        <v>72</v>
      </c>
      <c r="C451" s="2" t="s">
        <v>73</v>
      </c>
      <c r="D451" s="2"/>
      <c r="E451" s="2" t="str">
        <f>"FES1162571334"</f>
        <v>FES1162571334</v>
      </c>
      <c r="F451" s="3">
        <v>42971</v>
      </c>
      <c r="G451" s="2">
        <v>201802</v>
      </c>
      <c r="H451" s="2" t="s">
        <v>74</v>
      </c>
      <c r="I451" s="2" t="s">
        <v>75</v>
      </c>
      <c r="J451" s="2" t="s">
        <v>76</v>
      </c>
      <c r="K451" s="2" t="s">
        <v>77</v>
      </c>
      <c r="L451" s="2" t="s">
        <v>97</v>
      </c>
      <c r="M451" s="2" t="s">
        <v>98</v>
      </c>
      <c r="N451" s="2" t="s">
        <v>292</v>
      </c>
      <c r="O451" s="2" t="s">
        <v>100</v>
      </c>
      <c r="P451" s="2" t="str">
        <f>"2170586985                    "</f>
        <v xml:space="preserve">2170586985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4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1</v>
      </c>
      <c r="BJ451" s="2">
        <v>0.2</v>
      </c>
      <c r="BK451" s="2">
        <v>1</v>
      </c>
      <c r="BL451" s="2">
        <v>41.44</v>
      </c>
      <c r="BM451" s="2">
        <v>5.8</v>
      </c>
      <c r="BN451" s="2">
        <v>47.24</v>
      </c>
      <c r="BO451" s="2">
        <v>47.24</v>
      </c>
      <c r="BP451" s="2"/>
      <c r="BQ451" s="2" t="s">
        <v>83</v>
      </c>
      <c r="BR451" s="2" t="s">
        <v>84</v>
      </c>
      <c r="BS451" s="3">
        <v>42972</v>
      </c>
      <c r="BT451" s="4">
        <v>0.52083333333333337</v>
      </c>
      <c r="BU451" s="2" t="s">
        <v>293</v>
      </c>
      <c r="BV451" s="2" t="s">
        <v>86</v>
      </c>
      <c r="BW451" s="2" t="s">
        <v>115</v>
      </c>
      <c r="BX451" s="2" t="s">
        <v>1028</v>
      </c>
      <c r="BY451" s="2">
        <v>1200</v>
      </c>
      <c r="BZ451" s="2"/>
      <c r="CA451" s="2" t="s">
        <v>294</v>
      </c>
      <c r="CB451" s="2"/>
      <c r="CC451" s="2" t="s">
        <v>98</v>
      </c>
      <c r="CD451" s="2">
        <v>6001</v>
      </c>
      <c r="CE451" s="2" t="s">
        <v>104</v>
      </c>
      <c r="CF451" s="5">
        <v>42975</v>
      </c>
      <c r="CG451" s="2"/>
      <c r="CH451" s="2"/>
      <c r="CI451" s="2">
        <v>1</v>
      </c>
      <c r="CJ451" s="2">
        <v>1</v>
      </c>
      <c r="CK451" s="2">
        <v>21</v>
      </c>
      <c r="CL451" s="2" t="s">
        <v>86</v>
      </c>
      <c r="CM451" s="2"/>
    </row>
    <row r="452" spans="1:91">
      <c r="A452" s="2" t="s">
        <v>71</v>
      </c>
      <c r="B452" s="2" t="s">
        <v>72</v>
      </c>
      <c r="C452" s="2" t="s">
        <v>73</v>
      </c>
      <c r="D452" s="2"/>
      <c r="E452" s="2" t="str">
        <f>"FES1162571323"</f>
        <v>FES1162571323</v>
      </c>
      <c r="F452" s="3">
        <v>42971</v>
      </c>
      <c r="G452" s="2">
        <v>201802</v>
      </c>
      <c r="H452" s="2" t="s">
        <v>74</v>
      </c>
      <c r="I452" s="2" t="s">
        <v>75</v>
      </c>
      <c r="J452" s="2" t="s">
        <v>76</v>
      </c>
      <c r="K452" s="2" t="s">
        <v>77</v>
      </c>
      <c r="L452" s="2" t="s">
        <v>97</v>
      </c>
      <c r="M452" s="2" t="s">
        <v>98</v>
      </c>
      <c r="N452" s="2" t="s">
        <v>214</v>
      </c>
      <c r="O452" s="2" t="s">
        <v>100</v>
      </c>
      <c r="P452" s="2" t="str">
        <f>"2170586971                    "</f>
        <v xml:space="preserve">2170586971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5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0.3</v>
      </c>
      <c r="BJ452" s="2">
        <v>2.2999999999999998</v>
      </c>
      <c r="BK452" s="2">
        <v>2.5</v>
      </c>
      <c r="BL452" s="2">
        <v>51.8</v>
      </c>
      <c r="BM452" s="2">
        <v>7.25</v>
      </c>
      <c r="BN452" s="2">
        <v>59.05</v>
      </c>
      <c r="BO452" s="2">
        <v>59.05</v>
      </c>
      <c r="BP452" s="2"/>
      <c r="BQ452" s="2" t="s">
        <v>108</v>
      </c>
      <c r="BR452" s="2" t="s">
        <v>84</v>
      </c>
      <c r="BS452" s="3">
        <v>42972</v>
      </c>
      <c r="BT452" s="4">
        <v>0.51041666666666663</v>
      </c>
      <c r="BU452" s="2" t="s">
        <v>1032</v>
      </c>
      <c r="BV452" s="2" t="s">
        <v>86</v>
      </c>
      <c r="BW452" s="2" t="s">
        <v>115</v>
      </c>
      <c r="BX452" s="2" t="s">
        <v>1028</v>
      </c>
      <c r="BY452" s="2">
        <v>11622.07</v>
      </c>
      <c r="BZ452" s="2"/>
      <c r="CA452" s="2" t="s">
        <v>286</v>
      </c>
      <c r="CB452" s="2"/>
      <c r="CC452" s="2" t="s">
        <v>98</v>
      </c>
      <c r="CD452" s="2">
        <v>6001</v>
      </c>
      <c r="CE452" s="2" t="s">
        <v>104</v>
      </c>
      <c r="CF452" s="5">
        <v>42975</v>
      </c>
      <c r="CG452" s="2"/>
      <c r="CH452" s="2"/>
      <c r="CI452" s="2">
        <v>1</v>
      </c>
      <c r="CJ452" s="2">
        <v>1</v>
      </c>
      <c r="CK452" s="2">
        <v>21</v>
      </c>
      <c r="CL452" s="2" t="s">
        <v>86</v>
      </c>
      <c r="CM452" s="2"/>
    </row>
    <row r="453" spans="1:91">
      <c r="A453" s="2" t="s">
        <v>71</v>
      </c>
      <c r="B453" s="2" t="s">
        <v>72</v>
      </c>
      <c r="C453" s="2" t="s">
        <v>73</v>
      </c>
      <c r="D453" s="2"/>
      <c r="E453" s="2" t="str">
        <f>"FES1162571348"</f>
        <v>FES1162571348</v>
      </c>
      <c r="F453" s="3">
        <v>42971</v>
      </c>
      <c r="G453" s="2">
        <v>201802</v>
      </c>
      <c r="H453" s="2" t="s">
        <v>74</v>
      </c>
      <c r="I453" s="2" t="s">
        <v>75</v>
      </c>
      <c r="J453" s="2" t="s">
        <v>76</v>
      </c>
      <c r="K453" s="2" t="s">
        <v>77</v>
      </c>
      <c r="L453" s="2" t="s">
        <v>362</v>
      </c>
      <c r="M453" s="2" t="s">
        <v>363</v>
      </c>
      <c r="N453" s="2" t="s">
        <v>1020</v>
      </c>
      <c r="O453" s="2" t="s">
        <v>100</v>
      </c>
      <c r="P453" s="2" t="str">
        <f>"2170586999                    "</f>
        <v xml:space="preserve">2170586999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5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1</v>
      </c>
      <c r="BI453" s="2">
        <v>1.4</v>
      </c>
      <c r="BJ453" s="2">
        <v>2.5</v>
      </c>
      <c r="BK453" s="2">
        <v>2.5</v>
      </c>
      <c r="BL453" s="2">
        <v>51.8</v>
      </c>
      <c r="BM453" s="2">
        <v>7.25</v>
      </c>
      <c r="BN453" s="2">
        <v>59.05</v>
      </c>
      <c r="BO453" s="2">
        <v>59.05</v>
      </c>
      <c r="BP453" s="2"/>
      <c r="BQ453" s="2" t="s">
        <v>108</v>
      </c>
      <c r="BR453" s="2" t="s">
        <v>84</v>
      </c>
      <c r="BS453" s="3">
        <v>42972</v>
      </c>
      <c r="BT453" s="4">
        <v>0.43611111111111112</v>
      </c>
      <c r="BU453" s="2" t="s">
        <v>1040</v>
      </c>
      <c r="BV453" s="2" t="s">
        <v>95</v>
      </c>
      <c r="BW453" s="2"/>
      <c r="BX453" s="2"/>
      <c r="BY453" s="2">
        <v>12525.95</v>
      </c>
      <c r="BZ453" s="2"/>
      <c r="CA453" s="2" t="s">
        <v>367</v>
      </c>
      <c r="CB453" s="2"/>
      <c r="CC453" s="2" t="s">
        <v>363</v>
      </c>
      <c r="CD453" s="2">
        <v>3200</v>
      </c>
      <c r="CE453" s="2" t="s">
        <v>104</v>
      </c>
      <c r="CF453" s="5">
        <v>42975</v>
      </c>
      <c r="CG453" s="2"/>
      <c r="CH453" s="2"/>
      <c r="CI453" s="2">
        <v>1</v>
      </c>
      <c r="CJ453" s="2">
        <v>1</v>
      </c>
      <c r="CK453" s="2">
        <v>21</v>
      </c>
      <c r="CL453" s="2" t="s">
        <v>86</v>
      </c>
      <c r="CM453" s="2"/>
    </row>
    <row r="454" spans="1:91">
      <c r="A454" s="2" t="s">
        <v>71</v>
      </c>
      <c r="B454" s="2" t="s">
        <v>72</v>
      </c>
      <c r="C454" s="2" t="s">
        <v>73</v>
      </c>
      <c r="D454" s="2"/>
      <c r="E454" s="2" t="str">
        <f>"FES1162571372"</f>
        <v>FES1162571372</v>
      </c>
      <c r="F454" s="3">
        <v>42971</v>
      </c>
      <c r="G454" s="2">
        <v>201802</v>
      </c>
      <c r="H454" s="2" t="s">
        <v>74</v>
      </c>
      <c r="I454" s="2" t="s">
        <v>75</v>
      </c>
      <c r="J454" s="2" t="s">
        <v>76</v>
      </c>
      <c r="K454" s="2" t="s">
        <v>77</v>
      </c>
      <c r="L454" s="2" t="s">
        <v>321</v>
      </c>
      <c r="M454" s="2" t="s">
        <v>322</v>
      </c>
      <c r="N454" s="2" t="s">
        <v>780</v>
      </c>
      <c r="O454" s="2" t="s">
        <v>100</v>
      </c>
      <c r="P454" s="2" t="str">
        <f>"2170587012                    "</f>
        <v xml:space="preserve">2170587012 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4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1</v>
      </c>
      <c r="BJ454" s="2">
        <v>0.2</v>
      </c>
      <c r="BK454" s="2">
        <v>1</v>
      </c>
      <c r="BL454" s="2">
        <v>41.44</v>
      </c>
      <c r="BM454" s="2">
        <v>5.8</v>
      </c>
      <c r="BN454" s="2">
        <v>47.24</v>
      </c>
      <c r="BO454" s="2">
        <v>47.24</v>
      </c>
      <c r="BP454" s="2"/>
      <c r="BQ454" s="2" t="s">
        <v>288</v>
      </c>
      <c r="BR454" s="2" t="s">
        <v>84</v>
      </c>
      <c r="BS454" s="3">
        <v>42972</v>
      </c>
      <c r="BT454" s="4">
        <v>0.50902777777777775</v>
      </c>
      <c r="BU454" s="2" t="s">
        <v>781</v>
      </c>
      <c r="BV454" s="2" t="s">
        <v>86</v>
      </c>
      <c r="BW454" s="2" t="s">
        <v>115</v>
      </c>
      <c r="BX454" s="2" t="s">
        <v>1028</v>
      </c>
      <c r="BY454" s="2">
        <v>1200</v>
      </c>
      <c r="BZ454" s="2"/>
      <c r="CA454" s="2" t="s">
        <v>103</v>
      </c>
      <c r="CB454" s="2"/>
      <c r="CC454" s="2" t="s">
        <v>322</v>
      </c>
      <c r="CD454" s="2">
        <v>6220</v>
      </c>
      <c r="CE454" s="2" t="s">
        <v>104</v>
      </c>
      <c r="CF454" s="5">
        <v>42975</v>
      </c>
      <c r="CG454" s="2"/>
      <c r="CH454" s="2"/>
      <c r="CI454" s="2">
        <v>1</v>
      </c>
      <c r="CJ454" s="2">
        <v>1</v>
      </c>
      <c r="CK454" s="2">
        <v>21</v>
      </c>
      <c r="CL454" s="2" t="s">
        <v>86</v>
      </c>
      <c r="CM454" s="2"/>
    </row>
    <row r="455" spans="1:91">
      <c r="A455" s="2" t="s">
        <v>71</v>
      </c>
      <c r="B455" s="2" t="s">
        <v>72</v>
      </c>
      <c r="C455" s="2" t="s">
        <v>73</v>
      </c>
      <c r="D455" s="2"/>
      <c r="E455" s="2" t="str">
        <f>"FES1162571375"</f>
        <v>FES1162571375</v>
      </c>
      <c r="F455" s="3">
        <v>42971</v>
      </c>
      <c r="G455" s="2">
        <v>201802</v>
      </c>
      <c r="H455" s="2" t="s">
        <v>74</v>
      </c>
      <c r="I455" s="2" t="s">
        <v>75</v>
      </c>
      <c r="J455" s="2" t="s">
        <v>76</v>
      </c>
      <c r="K455" s="2" t="s">
        <v>77</v>
      </c>
      <c r="L455" s="2" t="s">
        <v>97</v>
      </c>
      <c r="M455" s="2" t="s">
        <v>98</v>
      </c>
      <c r="N455" s="2" t="s">
        <v>119</v>
      </c>
      <c r="O455" s="2" t="s">
        <v>100</v>
      </c>
      <c r="P455" s="2" t="str">
        <f>"2170587015                    "</f>
        <v xml:space="preserve">2170587015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4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1</v>
      </c>
      <c r="BJ455" s="2">
        <v>0.2</v>
      </c>
      <c r="BK455" s="2">
        <v>1</v>
      </c>
      <c r="BL455" s="2">
        <v>41.44</v>
      </c>
      <c r="BM455" s="2">
        <v>5.8</v>
      </c>
      <c r="BN455" s="2">
        <v>47.24</v>
      </c>
      <c r="BO455" s="2">
        <v>47.24</v>
      </c>
      <c r="BP455" s="2"/>
      <c r="BQ455" s="2" t="s">
        <v>108</v>
      </c>
      <c r="BR455" s="2" t="s">
        <v>84</v>
      </c>
      <c r="BS455" s="3">
        <v>42972</v>
      </c>
      <c r="BT455" s="4">
        <v>0.57638888888888895</v>
      </c>
      <c r="BU455" s="2" t="s">
        <v>1027</v>
      </c>
      <c r="BV455" s="2" t="s">
        <v>86</v>
      </c>
      <c r="BW455" s="2" t="s">
        <v>115</v>
      </c>
      <c r="BX455" s="2" t="s">
        <v>1028</v>
      </c>
      <c r="BY455" s="2">
        <v>1200</v>
      </c>
      <c r="BZ455" s="2"/>
      <c r="CA455" s="2"/>
      <c r="CB455" s="2"/>
      <c r="CC455" s="2" t="s">
        <v>98</v>
      </c>
      <c r="CD455" s="2">
        <v>6001</v>
      </c>
      <c r="CE455" s="2" t="s">
        <v>104</v>
      </c>
      <c r="CF455" s="5">
        <v>42975</v>
      </c>
      <c r="CG455" s="2"/>
      <c r="CH455" s="2"/>
      <c r="CI455" s="2">
        <v>1</v>
      </c>
      <c r="CJ455" s="2">
        <v>1</v>
      </c>
      <c r="CK455" s="2">
        <v>21</v>
      </c>
      <c r="CL455" s="2" t="s">
        <v>86</v>
      </c>
      <c r="CM455" s="2"/>
    </row>
    <row r="456" spans="1:91">
      <c r="A456" s="2" t="s">
        <v>71</v>
      </c>
      <c r="B456" s="2" t="s">
        <v>72</v>
      </c>
      <c r="C456" s="2" t="s">
        <v>73</v>
      </c>
      <c r="D456" s="2"/>
      <c r="E456" s="2" t="str">
        <f>"FES1162571395"</f>
        <v>FES1162571395</v>
      </c>
      <c r="F456" s="3">
        <v>42971</v>
      </c>
      <c r="G456" s="2">
        <v>201802</v>
      </c>
      <c r="H456" s="2" t="s">
        <v>74</v>
      </c>
      <c r="I456" s="2" t="s">
        <v>75</v>
      </c>
      <c r="J456" s="2" t="s">
        <v>76</v>
      </c>
      <c r="K456" s="2" t="s">
        <v>77</v>
      </c>
      <c r="L456" s="2" t="s">
        <v>97</v>
      </c>
      <c r="M456" s="2" t="s">
        <v>98</v>
      </c>
      <c r="N456" s="2" t="s">
        <v>1041</v>
      </c>
      <c r="O456" s="2" t="s">
        <v>100</v>
      </c>
      <c r="P456" s="2" t="str">
        <f>"2170587036                    "</f>
        <v xml:space="preserve">2170587036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5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0.7</v>
      </c>
      <c r="BJ456" s="2">
        <v>2.4</v>
      </c>
      <c r="BK456" s="2">
        <v>2.5</v>
      </c>
      <c r="BL456" s="2">
        <v>51.8</v>
      </c>
      <c r="BM456" s="2">
        <v>7.25</v>
      </c>
      <c r="BN456" s="2">
        <v>59.05</v>
      </c>
      <c r="BO456" s="2">
        <v>59.05</v>
      </c>
      <c r="BP456" s="2"/>
      <c r="BQ456" s="2" t="s">
        <v>108</v>
      </c>
      <c r="BR456" s="2" t="s">
        <v>84</v>
      </c>
      <c r="BS456" s="3">
        <v>42972</v>
      </c>
      <c r="BT456" s="4">
        <v>0.44444444444444442</v>
      </c>
      <c r="BU456" s="2" t="s">
        <v>763</v>
      </c>
      <c r="BV456" s="2" t="s">
        <v>95</v>
      </c>
      <c r="BW456" s="2"/>
      <c r="BX456" s="2"/>
      <c r="BY456" s="2">
        <v>12106.91</v>
      </c>
      <c r="BZ456" s="2"/>
      <c r="CA456" s="2" t="s">
        <v>294</v>
      </c>
      <c r="CB456" s="2"/>
      <c r="CC456" s="2" t="s">
        <v>98</v>
      </c>
      <c r="CD456" s="2">
        <v>6012</v>
      </c>
      <c r="CE456" s="2" t="s">
        <v>104</v>
      </c>
      <c r="CF456" s="5">
        <v>42975</v>
      </c>
      <c r="CG456" s="2"/>
      <c r="CH456" s="2"/>
      <c r="CI456" s="2">
        <v>1</v>
      </c>
      <c r="CJ456" s="2">
        <v>1</v>
      </c>
      <c r="CK456" s="2">
        <v>21</v>
      </c>
      <c r="CL456" s="2" t="s">
        <v>86</v>
      </c>
      <c r="CM456" s="2"/>
    </row>
    <row r="457" spans="1:91">
      <c r="A457" s="2" t="s">
        <v>71</v>
      </c>
      <c r="B457" s="2" t="s">
        <v>72</v>
      </c>
      <c r="C457" s="2" t="s">
        <v>73</v>
      </c>
      <c r="D457" s="2"/>
      <c r="E457" s="2" t="str">
        <f>"FES1162571364"</f>
        <v>FES1162571364</v>
      </c>
      <c r="F457" s="3">
        <v>42971</v>
      </c>
      <c r="G457" s="2">
        <v>201802</v>
      </c>
      <c r="H457" s="2" t="s">
        <v>74</v>
      </c>
      <c r="I457" s="2" t="s">
        <v>75</v>
      </c>
      <c r="J457" s="2" t="s">
        <v>76</v>
      </c>
      <c r="K457" s="2" t="s">
        <v>77</v>
      </c>
      <c r="L457" s="2" t="s">
        <v>97</v>
      </c>
      <c r="M457" s="2" t="s">
        <v>98</v>
      </c>
      <c r="N457" s="2" t="s">
        <v>119</v>
      </c>
      <c r="O457" s="2" t="s">
        <v>100</v>
      </c>
      <c r="P457" s="2" t="str">
        <f>"2170585890                    "</f>
        <v xml:space="preserve">2170585890 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7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1.1000000000000001</v>
      </c>
      <c r="BJ457" s="2">
        <v>3.3</v>
      </c>
      <c r="BK457" s="2">
        <v>3.5</v>
      </c>
      <c r="BL457" s="2">
        <v>72.52</v>
      </c>
      <c r="BM457" s="2">
        <v>10.15</v>
      </c>
      <c r="BN457" s="2">
        <v>82.67</v>
      </c>
      <c r="BO457" s="2">
        <v>82.67</v>
      </c>
      <c r="BP457" s="2"/>
      <c r="BQ457" s="2" t="s">
        <v>108</v>
      </c>
      <c r="BR457" s="2" t="s">
        <v>84</v>
      </c>
      <c r="BS457" s="3">
        <v>42972</v>
      </c>
      <c r="BT457" s="4">
        <v>0.57638888888888895</v>
      </c>
      <c r="BU457" s="2" t="s">
        <v>1027</v>
      </c>
      <c r="BV457" s="2" t="s">
        <v>86</v>
      </c>
      <c r="BW457" s="2" t="s">
        <v>115</v>
      </c>
      <c r="BX457" s="2" t="s">
        <v>1028</v>
      </c>
      <c r="BY457" s="2">
        <v>16603.7</v>
      </c>
      <c r="BZ457" s="2"/>
      <c r="CA457" s="2"/>
      <c r="CB457" s="2"/>
      <c r="CC457" s="2" t="s">
        <v>98</v>
      </c>
      <c r="CD457" s="2">
        <v>6001</v>
      </c>
      <c r="CE457" s="2" t="s">
        <v>104</v>
      </c>
      <c r="CF457" s="5">
        <v>42975</v>
      </c>
      <c r="CG457" s="2"/>
      <c r="CH457" s="2"/>
      <c r="CI457" s="2">
        <v>1</v>
      </c>
      <c r="CJ457" s="2">
        <v>1</v>
      </c>
      <c r="CK457" s="2">
        <v>21</v>
      </c>
      <c r="CL457" s="2" t="s">
        <v>86</v>
      </c>
      <c r="CM457" s="2"/>
    </row>
    <row r="458" spans="1:91">
      <c r="A458" s="2" t="s">
        <v>71</v>
      </c>
      <c r="B458" s="2" t="s">
        <v>72</v>
      </c>
      <c r="C458" s="2" t="s">
        <v>73</v>
      </c>
      <c r="D458" s="2"/>
      <c r="E458" s="2" t="str">
        <f>"FES1162571335"</f>
        <v>FES1162571335</v>
      </c>
      <c r="F458" s="3">
        <v>42971</v>
      </c>
      <c r="G458" s="2">
        <v>201802</v>
      </c>
      <c r="H458" s="2" t="s">
        <v>74</v>
      </c>
      <c r="I458" s="2" t="s">
        <v>75</v>
      </c>
      <c r="J458" s="2" t="s">
        <v>76</v>
      </c>
      <c r="K458" s="2" t="s">
        <v>77</v>
      </c>
      <c r="L458" s="2" t="s">
        <v>97</v>
      </c>
      <c r="M458" s="2" t="s">
        <v>98</v>
      </c>
      <c r="N458" s="2" t="s">
        <v>248</v>
      </c>
      <c r="O458" s="2" t="s">
        <v>100</v>
      </c>
      <c r="P458" s="2" t="str">
        <f>"2170582419                    "</f>
        <v xml:space="preserve">2170582419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6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1.2</v>
      </c>
      <c r="BJ458" s="2">
        <v>2.7</v>
      </c>
      <c r="BK458" s="2">
        <v>3</v>
      </c>
      <c r="BL458" s="2">
        <v>62.16</v>
      </c>
      <c r="BM458" s="2">
        <v>8.6999999999999993</v>
      </c>
      <c r="BN458" s="2">
        <v>70.86</v>
      </c>
      <c r="BO458" s="2">
        <v>70.86</v>
      </c>
      <c r="BP458" s="2"/>
      <c r="BQ458" s="2" t="s">
        <v>83</v>
      </c>
      <c r="BR458" s="2" t="s">
        <v>84</v>
      </c>
      <c r="BS458" s="3">
        <v>42975</v>
      </c>
      <c r="BT458" s="4">
        <v>0.34722222222222227</v>
      </c>
      <c r="BU458" s="2" t="s">
        <v>390</v>
      </c>
      <c r="BV458" s="2" t="s">
        <v>86</v>
      </c>
      <c r="BW458" s="2" t="s">
        <v>1042</v>
      </c>
      <c r="BX458" s="2" t="s">
        <v>1043</v>
      </c>
      <c r="BY458" s="2">
        <v>13486.7</v>
      </c>
      <c r="BZ458" s="2"/>
      <c r="CA458" s="2" t="s">
        <v>294</v>
      </c>
      <c r="CB458" s="2"/>
      <c r="CC458" s="2" t="s">
        <v>98</v>
      </c>
      <c r="CD458" s="2">
        <v>6001</v>
      </c>
      <c r="CE458" s="2" t="s">
        <v>104</v>
      </c>
      <c r="CF458" s="5">
        <v>42977</v>
      </c>
      <c r="CG458" s="2"/>
      <c r="CH458" s="2"/>
      <c r="CI458" s="2">
        <v>1</v>
      </c>
      <c r="CJ458" s="2">
        <v>2</v>
      </c>
      <c r="CK458" s="2">
        <v>21</v>
      </c>
      <c r="CL458" s="2" t="s">
        <v>86</v>
      </c>
      <c r="CM458" s="2"/>
    </row>
    <row r="459" spans="1:91">
      <c r="A459" s="2" t="s">
        <v>71</v>
      </c>
      <c r="B459" s="2" t="s">
        <v>72</v>
      </c>
      <c r="C459" s="2" t="s">
        <v>73</v>
      </c>
      <c r="D459" s="2"/>
      <c r="E459" s="2" t="str">
        <f>"FES1162571285"</f>
        <v>FES1162571285</v>
      </c>
      <c r="F459" s="3">
        <v>42971</v>
      </c>
      <c r="G459" s="2">
        <v>201802</v>
      </c>
      <c r="H459" s="2" t="s">
        <v>74</v>
      </c>
      <c r="I459" s="2" t="s">
        <v>75</v>
      </c>
      <c r="J459" s="2" t="s">
        <v>76</v>
      </c>
      <c r="K459" s="2" t="s">
        <v>77</v>
      </c>
      <c r="L459" s="2" t="s">
        <v>97</v>
      </c>
      <c r="M459" s="2" t="s">
        <v>98</v>
      </c>
      <c r="N459" s="2" t="s">
        <v>1044</v>
      </c>
      <c r="O459" s="2" t="s">
        <v>100</v>
      </c>
      <c r="P459" s="2" t="str">
        <f>"2170586928                    "</f>
        <v xml:space="preserve">2170586928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9.01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2</v>
      </c>
      <c r="BJ459" s="2">
        <v>4.0999999999999996</v>
      </c>
      <c r="BK459" s="2">
        <v>4.5</v>
      </c>
      <c r="BL459" s="2">
        <v>93.25</v>
      </c>
      <c r="BM459" s="2">
        <v>13.06</v>
      </c>
      <c r="BN459" s="2">
        <v>106.31</v>
      </c>
      <c r="BO459" s="2">
        <v>106.31</v>
      </c>
      <c r="BP459" s="2"/>
      <c r="BQ459" s="2" t="s">
        <v>1045</v>
      </c>
      <c r="BR459" s="2" t="s">
        <v>84</v>
      </c>
      <c r="BS459" s="3">
        <v>42972</v>
      </c>
      <c r="BT459" s="4">
        <v>0.56597222222222221</v>
      </c>
      <c r="BU459" s="2" t="s">
        <v>1046</v>
      </c>
      <c r="BV459" s="2" t="s">
        <v>86</v>
      </c>
      <c r="BW459" s="2" t="s">
        <v>115</v>
      </c>
      <c r="BX459" s="2" t="s">
        <v>1028</v>
      </c>
      <c r="BY459" s="2">
        <v>20358</v>
      </c>
      <c r="BZ459" s="2"/>
      <c r="CA459" s="2" t="s">
        <v>1047</v>
      </c>
      <c r="CB459" s="2"/>
      <c r="CC459" s="2" t="s">
        <v>98</v>
      </c>
      <c r="CD459" s="2">
        <v>6045</v>
      </c>
      <c r="CE459" s="2" t="s">
        <v>89</v>
      </c>
      <c r="CF459" s="5">
        <v>42975</v>
      </c>
      <c r="CG459" s="2"/>
      <c r="CH459" s="2"/>
      <c r="CI459" s="2">
        <v>1</v>
      </c>
      <c r="CJ459" s="2">
        <v>1</v>
      </c>
      <c r="CK459" s="2">
        <v>21</v>
      </c>
      <c r="CL459" s="2" t="s">
        <v>86</v>
      </c>
      <c r="CM459" s="2"/>
    </row>
    <row r="460" spans="1:91">
      <c r="A460" s="2" t="s">
        <v>71</v>
      </c>
      <c r="B460" s="2" t="s">
        <v>72</v>
      </c>
      <c r="C460" s="2" t="s">
        <v>73</v>
      </c>
      <c r="D460" s="2"/>
      <c r="E460" s="2" t="str">
        <f>"FES1162571294"</f>
        <v>FES1162571294</v>
      </c>
      <c r="F460" s="3">
        <v>42971</v>
      </c>
      <c r="G460" s="2">
        <v>201802</v>
      </c>
      <c r="H460" s="2" t="s">
        <v>74</v>
      </c>
      <c r="I460" s="2" t="s">
        <v>75</v>
      </c>
      <c r="J460" s="2" t="s">
        <v>76</v>
      </c>
      <c r="K460" s="2" t="s">
        <v>77</v>
      </c>
      <c r="L460" s="2" t="s">
        <v>321</v>
      </c>
      <c r="M460" s="2" t="s">
        <v>322</v>
      </c>
      <c r="N460" s="2" t="s">
        <v>323</v>
      </c>
      <c r="O460" s="2" t="s">
        <v>100</v>
      </c>
      <c r="P460" s="2" t="str">
        <f>"2170586647                    "</f>
        <v xml:space="preserve">2170586647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4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1</v>
      </c>
      <c r="BJ460" s="2">
        <v>0.2</v>
      </c>
      <c r="BK460" s="2">
        <v>1</v>
      </c>
      <c r="BL460" s="2">
        <v>41.44</v>
      </c>
      <c r="BM460" s="2">
        <v>5.8</v>
      </c>
      <c r="BN460" s="2">
        <v>47.24</v>
      </c>
      <c r="BO460" s="2">
        <v>47.24</v>
      </c>
      <c r="BP460" s="2"/>
      <c r="BQ460" s="2" t="s">
        <v>83</v>
      </c>
      <c r="BR460" s="2" t="s">
        <v>84</v>
      </c>
      <c r="BS460" s="3">
        <v>42972</v>
      </c>
      <c r="BT460" s="4">
        <v>0.5</v>
      </c>
      <c r="BU460" s="2" t="s">
        <v>324</v>
      </c>
      <c r="BV460" s="2" t="s">
        <v>86</v>
      </c>
      <c r="BW460" s="2" t="s">
        <v>115</v>
      </c>
      <c r="BX460" s="2" t="s">
        <v>1028</v>
      </c>
      <c r="BY460" s="2">
        <v>1200</v>
      </c>
      <c r="BZ460" s="2"/>
      <c r="CA460" s="2" t="s">
        <v>103</v>
      </c>
      <c r="CB460" s="2"/>
      <c r="CC460" s="2" t="s">
        <v>322</v>
      </c>
      <c r="CD460" s="2">
        <v>6220</v>
      </c>
      <c r="CE460" s="2" t="s">
        <v>104</v>
      </c>
      <c r="CF460" s="5">
        <v>42975</v>
      </c>
      <c r="CG460" s="2"/>
      <c r="CH460" s="2"/>
      <c r="CI460" s="2">
        <v>1</v>
      </c>
      <c r="CJ460" s="2">
        <v>1</v>
      </c>
      <c r="CK460" s="2">
        <v>21</v>
      </c>
      <c r="CL460" s="2" t="s">
        <v>86</v>
      </c>
      <c r="CM460" s="2"/>
    </row>
    <row r="461" spans="1:91">
      <c r="A461" s="2" t="s">
        <v>71</v>
      </c>
      <c r="B461" s="2" t="s">
        <v>72</v>
      </c>
      <c r="C461" s="2" t="s">
        <v>73</v>
      </c>
      <c r="D461" s="2"/>
      <c r="E461" s="2" t="str">
        <f>"FES1162571241"</f>
        <v>FES1162571241</v>
      </c>
      <c r="F461" s="3">
        <v>42971</v>
      </c>
      <c r="G461" s="2">
        <v>201802</v>
      </c>
      <c r="H461" s="2" t="s">
        <v>74</v>
      </c>
      <c r="I461" s="2" t="s">
        <v>75</v>
      </c>
      <c r="J461" s="2" t="s">
        <v>118</v>
      </c>
      <c r="K461" s="2" t="s">
        <v>77</v>
      </c>
      <c r="L461" s="2" t="s">
        <v>268</v>
      </c>
      <c r="M461" s="2" t="s">
        <v>269</v>
      </c>
      <c r="N461" s="2" t="s">
        <v>621</v>
      </c>
      <c r="O461" s="2" t="s">
        <v>100</v>
      </c>
      <c r="P461" s="2" t="str">
        <f>"2170586884                    "</f>
        <v xml:space="preserve">2170586884           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4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0.5</v>
      </c>
      <c r="BJ461" s="2">
        <v>1.6</v>
      </c>
      <c r="BK461" s="2">
        <v>2</v>
      </c>
      <c r="BL461" s="2">
        <v>41.44</v>
      </c>
      <c r="BM461" s="2">
        <v>5.8</v>
      </c>
      <c r="BN461" s="2">
        <v>47.24</v>
      </c>
      <c r="BO461" s="2">
        <v>47.24</v>
      </c>
      <c r="BP461" s="2"/>
      <c r="BQ461" s="2" t="s">
        <v>288</v>
      </c>
      <c r="BR461" s="2" t="s">
        <v>122</v>
      </c>
      <c r="BS461" s="3">
        <v>42975</v>
      </c>
      <c r="BT461" s="4">
        <v>0.56944444444444442</v>
      </c>
      <c r="BU461" s="2" t="s">
        <v>392</v>
      </c>
      <c r="BV461" s="2" t="s">
        <v>86</v>
      </c>
      <c r="BW461" s="2"/>
      <c r="BX461" s="2"/>
      <c r="BY461" s="2">
        <v>7811.78</v>
      </c>
      <c r="BZ461" s="2" t="s">
        <v>27</v>
      </c>
      <c r="CA461" s="2" t="s">
        <v>956</v>
      </c>
      <c r="CB461" s="2"/>
      <c r="CC461" s="2" t="s">
        <v>269</v>
      </c>
      <c r="CD461" s="2">
        <v>186</v>
      </c>
      <c r="CE461" s="2" t="s">
        <v>104</v>
      </c>
      <c r="CF461" s="5">
        <v>42975</v>
      </c>
      <c r="CG461" s="2"/>
      <c r="CH461" s="2"/>
      <c r="CI461" s="2">
        <v>1</v>
      </c>
      <c r="CJ461" s="2">
        <v>2</v>
      </c>
      <c r="CK461" s="2">
        <v>21</v>
      </c>
      <c r="CL461" s="2" t="s">
        <v>86</v>
      </c>
      <c r="CM461" s="2"/>
    </row>
    <row r="462" spans="1:91">
      <c r="A462" s="2" t="s">
        <v>71</v>
      </c>
      <c r="B462" s="2" t="s">
        <v>72</v>
      </c>
      <c r="C462" s="2" t="s">
        <v>73</v>
      </c>
      <c r="D462" s="2"/>
      <c r="E462" s="2" t="str">
        <f>"FES1162571093"</f>
        <v>FES1162571093</v>
      </c>
      <c r="F462" s="3">
        <v>42971</v>
      </c>
      <c r="G462" s="2">
        <v>201802</v>
      </c>
      <c r="H462" s="2" t="s">
        <v>74</v>
      </c>
      <c r="I462" s="2" t="s">
        <v>75</v>
      </c>
      <c r="J462" s="2" t="s">
        <v>76</v>
      </c>
      <c r="K462" s="2" t="s">
        <v>77</v>
      </c>
      <c r="L462" s="2" t="s">
        <v>74</v>
      </c>
      <c r="M462" s="2" t="s">
        <v>75</v>
      </c>
      <c r="N462" s="2" t="s">
        <v>1048</v>
      </c>
      <c r="O462" s="2" t="s">
        <v>100</v>
      </c>
      <c r="P462" s="2" t="str">
        <f>"2170584515                    "</f>
        <v xml:space="preserve">2170584515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3.13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1</v>
      </c>
      <c r="BI462" s="2">
        <v>1</v>
      </c>
      <c r="BJ462" s="2">
        <v>0.2</v>
      </c>
      <c r="BK462" s="2">
        <v>1</v>
      </c>
      <c r="BL462" s="2">
        <v>32.380000000000003</v>
      </c>
      <c r="BM462" s="2">
        <v>4.53</v>
      </c>
      <c r="BN462" s="2">
        <v>36.909999999999997</v>
      </c>
      <c r="BO462" s="2">
        <v>36.909999999999997</v>
      </c>
      <c r="BP462" s="2"/>
      <c r="BQ462" s="2" t="s">
        <v>288</v>
      </c>
      <c r="BR462" s="2" t="s">
        <v>84</v>
      </c>
      <c r="BS462" s="3">
        <v>42977</v>
      </c>
      <c r="BT462" s="4">
        <v>0.37291666666666662</v>
      </c>
      <c r="BU462" s="2" t="s">
        <v>1049</v>
      </c>
      <c r="BV462" s="2" t="s">
        <v>86</v>
      </c>
      <c r="BW462" s="2" t="s">
        <v>1050</v>
      </c>
      <c r="BX462" s="2" t="s">
        <v>327</v>
      </c>
      <c r="BY462" s="2">
        <v>1200</v>
      </c>
      <c r="BZ462" s="2" t="s">
        <v>27</v>
      </c>
      <c r="CA462" s="2" t="s">
        <v>328</v>
      </c>
      <c r="CB462" s="2"/>
      <c r="CC462" s="2" t="s">
        <v>75</v>
      </c>
      <c r="CD462" s="2">
        <v>1609</v>
      </c>
      <c r="CE462" s="2" t="s">
        <v>104</v>
      </c>
      <c r="CF462" s="5">
        <v>42978</v>
      </c>
      <c r="CG462" s="2"/>
      <c r="CH462" s="2"/>
      <c r="CI462" s="2">
        <v>1</v>
      </c>
      <c r="CJ462" s="2">
        <v>4</v>
      </c>
      <c r="CK462" s="2">
        <v>22</v>
      </c>
      <c r="CL462" s="2" t="s">
        <v>86</v>
      </c>
      <c r="CM462" s="2"/>
    </row>
    <row r="463" spans="1:91">
      <c r="A463" s="2" t="s">
        <v>71</v>
      </c>
      <c r="B463" s="2" t="s">
        <v>72</v>
      </c>
      <c r="C463" s="2" t="s">
        <v>73</v>
      </c>
      <c r="D463" s="2"/>
      <c r="E463" s="2" t="str">
        <f>"080001720308"</f>
        <v>080001720308</v>
      </c>
      <c r="F463" s="3">
        <v>42975</v>
      </c>
      <c r="G463" s="2">
        <v>201802</v>
      </c>
      <c r="H463" s="2" t="s">
        <v>144</v>
      </c>
      <c r="I463" s="2" t="s">
        <v>145</v>
      </c>
      <c r="J463" s="2" t="s">
        <v>1051</v>
      </c>
      <c r="K463" s="2" t="s">
        <v>77</v>
      </c>
      <c r="L463" s="2" t="s">
        <v>74</v>
      </c>
      <c r="M463" s="2" t="s">
        <v>75</v>
      </c>
      <c r="N463" s="2" t="s">
        <v>118</v>
      </c>
      <c r="O463" s="2" t="s">
        <v>81</v>
      </c>
      <c r="P463" s="2" t="str">
        <f>"ZA1000661486                  "</f>
        <v xml:space="preserve">ZA1000661486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5.63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0.5</v>
      </c>
      <c r="BJ463" s="2">
        <v>0.2</v>
      </c>
      <c r="BK463" s="2">
        <v>1</v>
      </c>
      <c r="BL463" s="2">
        <v>63.28</v>
      </c>
      <c r="BM463" s="2">
        <v>8.86</v>
      </c>
      <c r="BN463" s="2">
        <v>72.14</v>
      </c>
      <c r="BO463" s="2">
        <v>72.14</v>
      </c>
      <c r="BP463" s="2" t="s">
        <v>1052</v>
      </c>
      <c r="BQ463" s="2" t="s">
        <v>1053</v>
      </c>
      <c r="BR463" s="2" t="s">
        <v>1054</v>
      </c>
      <c r="BS463" s="3">
        <v>42976</v>
      </c>
      <c r="BT463" s="4">
        <v>0.41666666666666669</v>
      </c>
      <c r="BU463" s="2" t="s">
        <v>1055</v>
      </c>
      <c r="BV463" s="2" t="s">
        <v>95</v>
      </c>
      <c r="BW463" s="2"/>
      <c r="BX463" s="2"/>
      <c r="BY463" s="2">
        <v>1200</v>
      </c>
      <c r="BZ463" s="2"/>
      <c r="CA463" s="2" t="s">
        <v>148</v>
      </c>
      <c r="CB463" s="2"/>
      <c r="CC463" s="2" t="s">
        <v>75</v>
      </c>
      <c r="CD463" s="2">
        <v>1600</v>
      </c>
      <c r="CE463" s="2" t="s">
        <v>89</v>
      </c>
      <c r="CF463" s="5">
        <v>42977</v>
      </c>
      <c r="CG463" s="2"/>
      <c r="CH463" s="2"/>
      <c r="CI463" s="2">
        <v>1</v>
      </c>
      <c r="CJ463" s="2">
        <v>1</v>
      </c>
      <c r="CK463" s="2" t="s">
        <v>132</v>
      </c>
      <c r="CL463" s="2" t="s">
        <v>86</v>
      </c>
      <c r="CM463" s="2"/>
    </row>
    <row r="464" spans="1:91">
      <c r="A464" s="2" t="s">
        <v>71</v>
      </c>
      <c r="B464" s="2" t="s">
        <v>72</v>
      </c>
      <c r="C464" s="2" t="s">
        <v>73</v>
      </c>
      <c r="D464" s="2"/>
      <c r="E464" s="2" t="str">
        <f>"FES1162571739"</f>
        <v>FES1162571739</v>
      </c>
      <c r="F464" s="3">
        <v>42975</v>
      </c>
      <c r="G464" s="2">
        <v>201802</v>
      </c>
      <c r="H464" s="2" t="s">
        <v>74</v>
      </c>
      <c r="I464" s="2" t="s">
        <v>75</v>
      </c>
      <c r="J464" s="2" t="s">
        <v>76</v>
      </c>
      <c r="K464" s="2" t="s">
        <v>77</v>
      </c>
      <c r="L464" s="2" t="s">
        <v>252</v>
      </c>
      <c r="M464" s="2" t="s">
        <v>106</v>
      </c>
      <c r="N464" s="2" t="s">
        <v>260</v>
      </c>
      <c r="O464" s="2" t="s">
        <v>81</v>
      </c>
      <c r="P464" s="2" t="str">
        <f>"2170587364                    "</f>
        <v xml:space="preserve">2170587364 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25.37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2</v>
      </c>
      <c r="BI464" s="2">
        <v>32.700000000000003</v>
      </c>
      <c r="BJ464" s="2">
        <v>63.2</v>
      </c>
      <c r="BK464" s="2">
        <v>64</v>
      </c>
      <c r="BL464" s="2">
        <v>267.73</v>
      </c>
      <c r="BM464" s="2">
        <v>37.479999999999997</v>
      </c>
      <c r="BN464" s="2">
        <v>305.20999999999998</v>
      </c>
      <c r="BO464" s="2">
        <v>305.20999999999998</v>
      </c>
      <c r="BP464" s="2"/>
      <c r="BQ464" s="2" t="s">
        <v>365</v>
      </c>
      <c r="BR464" s="2" t="s">
        <v>84</v>
      </c>
      <c r="BS464" s="3">
        <v>42977</v>
      </c>
      <c r="BT464" s="4">
        <v>0.44930555555555557</v>
      </c>
      <c r="BU464" s="2" t="s">
        <v>392</v>
      </c>
      <c r="BV464" s="2" t="s">
        <v>95</v>
      </c>
      <c r="BW464" s="2"/>
      <c r="BX464" s="2"/>
      <c r="BY464" s="2">
        <v>315805.32</v>
      </c>
      <c r="BZ464" s="2"/>
      <c r="CA464" s="2" t="s">
        <v>1056</v>
      </c>
      <c r="CB464" s="2"/>
      <c r="CC464" s="2" t="s">
        <v>106</v>
      </c>
      <c r="CD464" s="2">
        <v>7490</v>
      </c>
      <c r="CE464" s="2" t="s">
        <v>89</v>
      </c>
      <c r="CF464" s="5">
        <v>42978</v>
      </c>
      <c r="CG464" s="2"/>
      <c r="CH464" s="2"/>
      <c r="CI464" s="2">
        <v>2</v>
      </c>
      <c r="CJ464" s="2">
        <v>2</v>
      </c>
      <c r="CK464" s="2" t="s">
        <v>136</v>
      </c>
      <c r="CL464" s="2" t="s">
        <v>86</v>
      </c>
      <c r="CM464" s="2"/>
    </row>
    <row r="465" spans="1:91">
      <c r="A465" s="2" t="s">
        <v>71</v>
      </c>
      <c r="B465" s="2" t="s">
        <v>72</v>
      </c>
      <c r="C465" s="2" t="s">
        <v>73</v>
      </c>
      <c r="D465" s="2"/>
      <c r="E465" s="2" t="str">
        <f>"FES1162571656"</f>
        <v>FES1162571656</v>
      </c>
      <c r="F465" s="3">
        <v>42975</v>
      </c>
      <c r="G465" s="2">
        <v>201802</v>
      </c>
      <c r="H465" s="2" t="s">
        <v>74</v>
      </c>
      <c r="I465" s="2" t="s">
        <v>75</v>
      </c>
      <c r="J465" s="2" t="s">
        <v>76</v>
      </c>
      <c r="K465" s="2" t="s">
        <v>77</v>
      </c>
      <c r="L465" s="2" t="s">
        <v>997</v>
      </c>
      <c r="M465" s="2" t="s">
        <v>998</v>
      </c>
      <c r="N465" s="2" t="s">
        <v>999</v>
      </c>
      <c r="O465" s="2" t="s">
        <v>81</v>
      </c>
      <c r="P465" s="2" t="str">
        <f>"2170584487                    "</f>
        <v xml:space="preserve">2170584487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7.5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2</v>
      </c>
      <c r="BI465" s="2">
        <v>11.8</v>
      </c>
      <c r="BJ465" s="2">
        <v>12.2</v>
      </c>
      <c r="BK465" s="2">
        <v>13</v>
      </c>
      <c r="BL465" s="2">
        <v>82.7</v>
      </c>
      <c r="BM465" s="2">
        <v>11.58</v>
      </c>
      <c r="BN465" s="2">
        <v>94.28</v>
      </c>
      <c r="BO465" s="2">
        <v>94.28</v>
      </c>
      <c r="BP465" s="2"/>
      <c r="BQ465" s="2" t="s">
        <v>108</v>
      </c>
      <c r="BR465" s="2" t="s">
        <v>84</v>
      </c>
      <c r="BS465" s="3">
        <v>42976</v>
      </c>
      <c r="BT465" s="4">
        <v>0.63611111111111118</v>
      </c>
      <c r="BU465" s="2" t="s">
        <v>987</v>
      </c>
      <c r="BV465" s="2" t="s">
        <v>95</v>
      </c>
      <c r="BW465" s="2"/>
      <c r="BX465" s="2"/>
      <c r="BY465" s="2">
        <v>61165.02</v>
      </c>
      <c r="BZ465" s="2"/>
      <c r="CA465" s="2" t="s">
        <v>1057</v>
      </c>
      <c r="CB465" s="2"/>
      <c r="CC465" s="2" t="s">
        <v>998</v>
      </c>
      <c r="CD465" s="2">
        <v>324</v>
      </c>
      <c r="CE465" s="2" t="s">
        <v>89</v>
      </c>
      <c r="CF465" s="5">
        <v>42978</v>
      </c>
      <c r="CG465" s="2"/>
      <c r="CH465" s="2"/>
      <c r="CI465" s="2">
        <v>1</v>
      </c>
      <c r="CJ465" s="2">
        <v>1</v>
      </c>
      <c r="CK465" s="2" t="s">
        <v>163</v>
      </c>
      <c r="CL465" s="2" t="s">
        <v>86</v>
      </c>
      <c r="CM465" s="2"/>
    </row>
    <row r="466" spans="1:91">
      <c r="A466" s="2" t="s">
        <v>71</v>
      </c>
      <c r="B466" s="2" t="s">
        <v>72</v>
      </c>
      <c r="C466" s="2" t="s">
        <v>73</v>
      </c>
      <c r="D466" s="2"/>
      <c r="E466" s="2" t="str">
        <f>"FES1162571693"</f>
        <v>FES1162571693</v>
      </c>
      <c r="F466" s="3">
        <v>42975</v>
      </c>
      <c r="G466" s="2">
        <v>201802</v>
      </c>
      <c r="H466" s="2" t="s">
        <v>74</v>
      </c>
      <c r="I466" s="2" t="s">
        <v>75</v>
      </c>
      <c r="J466" s="2" t="s">
        <v>76</v>
      </c>
      <c r="K466" s="2" t="s">
        <v>77</v>
      </c>
      <c r="L466" s="2" t="s">
        <v>97</v>
      </c>
      <c r="M466" s="2" t="s">
        <v>98</v>
      </c>
      <c r="N466" s="2" t="s">
        <v>1058</v>
      </c>
      <c r="O466" s="2" t="s">
        <v>81</v>
      </c>
      <c r="P466" s="2" t="str">
        <f>"2170587292                    "</f>
        <v xml:space="preserve">2170587292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8.19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4.0999999999999996</v>
      </c>
      <c r="BJ466" s="2">
        <v>2.4</v>
      </c>
      <c r="BK466" s="2">
        <v>5</v>
      </c>
      <c r="BL466" s="2">
        <v>89.83</v>
      </c>
      <c r="BM466" s="2">
        <v>12.58</v>
      </c>
      <c r="BN466" s="2">
        <v>102.41</v>
      </c>
      <c r="BO466" s="2">
        <v>102.41</v>
      </c>
      <c r="BP466" s="2" t="s">
        <v>1059</v>
      </c>
      <c r="BQ466" s="2" t="s">
        <v>108</v>
      </c>
      <c r="BR466" s="2" t="s">
        <v>84</v>
      </c>
      <c r="BS466" s="3">
        <v>42976</v>
      </c>
      <c r="BT466" s="4">
        <v>0.4291666666666667</v>
      </c>
      <c r="BU466" s="2" t="s">
        <v>1060</v>
      </c>
      <c r="BV466" s="2" t="s">
        <v>95</v>
      </c>
      <c r="BW466" s="2"/>
      <c r="BX466" s="2"/>
      <c r="BY466" s="2">
        <v>12115.52</v>
      </c>
      <c r="BZ466" s="2"/>
      <c r="CA466" s="2" t="s">
        <v>103</v>
      </c>
      <c r="CB466" s="2"/>
      <c r="CC466" s="2" t="s">
        <v>98</v>
      </c>
      <c r="CD466" s="2">
        <v>6001</v>
      </c>
      <c r="CE466" s="2" t="s">
        <v>89</v>
      </c>
      <c r="CF466" s="5">
        <v>42977</v>
      </c>
      <c r="CG466" s="2"/>
      <c r="CH466" s="2"/>
      <c r="CI466" s="2">
        <v>2</v>
      </c>
      <c r="CJ466" s="2">
        <v>1</v>
      </c>
      <c r="CK466" s="2" t="s">
        <v>136</v>
      </c>
      <c r="CL466" s="2" t="s">
        <v>86</v>
      </c>
      <c r="CM466" s="2"/>
    </row>
    <row r="467" spans="1:91">
      <c r="A467" s="2" t="s">
        <v>71</v>
      </c>
      <c r="B467" s="2" t="s">
        <v>72</v>
      </c>
      <c r="C467" s="2" t="s">
        <v>73</v>
      </c>
      <c r="D467" s="2"/>
      <c r="E467" s="2" t="str">
        <f>"FES1162571867"</f>
        <v>FES1162571867</v>
      </c>
      <c r="F467" s="3">
        <v>42975</v>
      </c>
      <c r="G467" s="2">
        <v>201802</v>
      </c>
      <c r="H467" s="2" t="s">
        <v>74</v>
      </c>
      <c r="I467" s="2" t="s">
        <v>75</v>
      </c>
      <c r="J467" s="2" t="s">
        <v>76</v>
      </c>
      <c r="K467" s="2" t="s">
        <v>77</v>
      </c>
      <c r="L467" s="2" t="s">
        <v>149</v>
      </c>
      <c r="M467" s="2" t="s">
        <v>150</v>
      </c>
      <c r="N467" s="2" t="s">
        <v>415</v>
      </c>
      <c r="O467" s="2" t="s">
        <v>81</v>
      </c>
      <c r="P467" s="2" t="str">
        <f>"2170587501                    "</f>
        <v xml:space="preserve">2170587501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10.37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23.2</v>
      </c>
      <c r="BJ467" s="2">
        <v>34.200000000000003</v>
      </c>
      <c r="BK467" s="2">
        <v>35</v>
      </c>
      <c r="BL467" s="2">
        <v>112.42</v>
      </c>
      <c r="BM467" s="2">
        <v>15.74</v>
      </c>
      <c r="BN467" s="2">
        <v>128.16</v>
      </c>
      <c r="BO467" s="2">
        <v>128.16</v>
      </c>
      <c r="BP467" s="2"/>
      <c r="BQ467" s="2" t="s">
        <v>108</v>
      </c>
      <c r="BR467" s="2" t="s">
        <v>84</v>
      </c>
      <c r="BS467" s="3">
        <v>42976</v>
      </c>
      <c r="BT467" s="4">
        <v>0.64236111111111105</v>
      </c>
      <c r="BU467" s="2" t="s">
        <v>933</v>
      </c>
      <c r="BV467" s="2" t="s">
        <v>95</v>
      </c>
      <c r="BW467" s="2"/>
      <c r="BX467" s="2"/>
      <c r="BY467" s="2">
        <v>170927.06</v>
      </c>
      <c r="BZ467" s="2"/>
      <c r="CA467" s="2" t="s">
        <v>1061</v>
      </c>
      <c r="CB467" s="2"/>
      <c r="CC467" s="2" t="s">
        <v>150</v>
      </c>
      <c r="CD467" s="2">
        <v>4302</v>
      </c>
      <c r="CE467" s="2" t="s">
        <v>89</v>
      </c>
      <c r="CF467" s="5">
        <v>42977</v>
      </c>
      <c r="CG467" s="2"/>
      <c r="CH467" s="2"/>
      <c r="CI467" s="2">
        <v>1</v>
      </c>
      <c r="CJ467" s="2">
        <v>1</v>
      </c>
      <c r="CK467" s="2" t="s">
        <v>153</v>
      </c>
      <c r="CL467" s="2" t="s">
        <v>86</v>
      </c>
      <c r="CM467" s="2"/>
    </row>
    <row r="468" spans="1:91">
      <c r="A468" s="2" t="s">
        <v>71</v>
      </c>
      <c r="B468" s="2" t="s">
        <v>72</v>
      </c>
      <c r="C468" s="2" t="s">
        <v>73</v>
      </c>
      <c r="D468" s="2"/>
      <c r="E468" s="2" t="str">
        <f>"FES1162571641"</f>
        <v>FES1162571641</v>
      </c>
      <c r="F468" s="3">
        <v>42975</v>
      </c>
      <c r="G468" s="2">
        <v>201802</v>
      </c>
      <c r="H468" s="2" t="s">
        <v>74</v>
      </c>
      <c r="I468" s="2" t="s">
        <v>75</v>
      </c>
      <c r="J468" s="2" t="s">
        <v>76</v>
      </c>
      <c r="K468" s="2" t="s">
        <v>77</v>
      </c>
      <c r="L468" s="2" t="s">
        <v>149</v>
      </c>
      <c r="M468" s="2" t="s">
        <v>150</v>
      </c>
      <c r="N468" s="2" t="s">
        <v>427</v>
      </c>
      <c r="O468" s="2" t="s">
        <v>81</v>
      </c>
      <c r="P468" s="2" t="str">
        <f>"2170567891                    "</f>
        <v xml:space="preserve">2170567891 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9.66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31.8</v>
      </c>
      <c r="BJ468" s="2">
        <v>18.2</v>
      </c>
      <c r="BK468" s="2">
        <v>32</v>
      </c>
      <c r="BL468" s="2">
        <v>105.05</v>
      </c>
      <c r="BM468" s="2">
        <v>14.71</v>
      </c>
      <c r="BN468" s="2">
        <v>119.76</v>
      </c>
      <c r="BO468" s="2">
        <v>119.76</v>
      </c>
      <c r="BP468" s="2"/>
      <c r="BQ468" s="2" t="s">
        <v>227</v>
      </c>
      <c r="BR468" s="2" t="s">
        <v>84</v>
      </c>
      <c r="BS468" s="3">
        <v>42976</v>
      </c>
      <c r="BT468" s="4">
        <v>0.60833333333333328</v>
      </c>
      <c r="BU468" s="2" t="s">
        <v>428</v>
      </c>
      <c r="BV468" s="2" t="s">
        <v>95</v>
      </c>
      <c r="BW468" s="2"/>
      <c r="BX468" s="2"/>
      <c r="BY468" s="2">
        <v>91029.52</v>
      </c>
      <c r="BZ468" s="2"/>
      <c r="CA468" s="2" t="s">
        <v>1062</v>
      </c>
      <c r="CB468" s="2"/>
      <c r="CC468" s="2" t="s">
        <v>150</v>
      </c>
      <c r="CD468" s="2">
        <v>4001</v>
      </c>
      <c r="CE468" s="2" t="s">
        <v>89</v>
      </c>
      <c r="CF468" s="5">
        <v>42977</v>
      </c>
      <c r="CG468" s="2"/>
      <c r="CH468" s="2"/>
      <c r="CI468" s="2">
        <v>1</v>
      </c>
      <c r="CJ468" s="2">
        <v>1</v>
      </c>
      <c r="CK468" s="2" t="s">
        <v>153</v>
      </c>
      <c r="CL468" s="2" t="s">
        <v>86</v>
      </c>
      <c r="CM468" s="2"/>
    </row>
    <row r="469" spans="1:91">
      <c r="A469" s="2" t="s">
        <v>71</v>
      </c>
      <c r="B469" s="2" t="s">
        <v>72</v>
      </c>
      <c r="C469" s="2" t="s">
        <v>73</v>
      </c>
      <c r="D469" s="2"/>
      <c r="E469" s="2" t="str">
        <f>"FES1162571640"</f>
        <v>FES1162571640</v>
      </c>
      <c r="F469" s="3">
        <v>42975</v>
      </c>
      <c r="G469" s="2">
        <v>201802</v>
      </c>
      <c r="H469" s="2" t="s">
        <v>74</v>
      </c>
      <c r="I469" s="2" t="s">
        <v>75</v>
      </c>
      <c r="J469" s="2" t="s">
        <v>76</v>
      </c>
      <c r="K469" s="2" t="s">
        <v>77</v>
      </c>
      <c r="L469" s="2" t="s">
        <v>149</v>
      </c>
      <c r="M469" s="2" t="s">
        <v>150</v>
      </c>
      <c r="N469" s="2" t="s">
        <v>427</v>
      </c>
      <c r="O469" s="2" t="s">
        <v>81</v>
      </c>
      <c r="P469" s="2" t="str">
        <f>"2170567874                    "</f>
        <v xml:space="preserve">2170567874  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12.27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2</v>
      </c>
      <c r="BI469" s="2">
        <v>42.1</v>
      </c>
      <c r="BJ469" s="2">
        <v>20.2</v>
      </c>
      <c r="BK469" s="2">
        <v>43</v>
      </c>
      <c r="BL469" s="2">
        <v>132.08000000000001</v>
      </c>
      <c r="BM469" s="2">
        <v>18.489999999999998</v>
      </c>
      <c r="BN469" s="2">
        <v>150.57</v>
      </c>
      <c r="BO469" s="2">
        <v>150.57</v>
      </c>
      <c r="BP469" s="2"/>
      <c r="BQ469" s="2" t="s">
        <v>288</v>
      </c>
      <c r="BR469" s="2" t="s">
        <v>84</v>
      </c>
      <c r="BS469" s="3">
        <v>42976</v>
      </c>
      <c r="BT469" s="4">
        <v>0.60763888888888895</v>
      </c>
      <c r="BU469" s="2" t="s">
        <v>428</v>
      </c>
      <c r="BV469" s="2" t="s">
        <v>95</v>
      </c>
      <c r="BW469" s="2"/>
      <c r="BX469" s="2"/>
      <c r="BY469" s="2">
        <v>101044.94</v>
      </c>
      <c r="BZ469" s="2"/>
      <c r="CA469" s="2" t="s">
        <v>1062</v>
      </c>
      <c r="CB469" s="2"/>
      <c r="CC469" s="2" t="s">
        <v>150</v>
      </c>
      <c r="CD469" s="2">
        <v>4001</v>
      </c>
      <c r="CE469" s="2" t="s">
        <v>89</v>
      </c>
      <c r="CF469" s="5">
        <v>42977</v>
      </c>
      <c r="CG469" s="2"/>
      <c r="CH469" s="2"/>
      <c r="CI469" s="2">
        <v>1</v>
      </c>
      <c r="CJ469" s="2">
        <v>1</v>
      </c>
      <c r="CK469" s="2" t="s">
        <v>153</v>
      </c>
      <c r="CL469" s="2" t="s">
        <v>86</v>
      </c>
      <c r="CM469" s="2"/>
    </row>
    <row r="470" spans="1:91">
      <c r="A470" s="2" t="s">
        <v>71</v>
      </c>
      <c r="B470" s="2" t="s">
        <v>72</v>
      </c>
      <c r="C470" s="2" t="s">
        <v>73</v>
      </c>
      <c r="D470" s="2"/>
      <c r="E470" s="2" t="str">
        <f>"FES1162571872"</f>
        <v>FES1162571872</v>
      </c>
      <c r="F470" s="3">
        <v>42975</v>
      </c>
      <c r="G470" s="2">
        <v>201802</v>
      </c>
      <c r="H470" s="2" t="s">
        <v>74</v>
      </c>
      <c r="I470" s="2" t="s">
        <v>75</v>
      </c>
      <c r="J470" s="2" t="s">
        <v>76</v>
      </c>
      <c r="K470" s="2" t="s">
        <v>77</v>
      </c>
      <c r="L470" s="2" t="s">
        <v>539</v>
      </c>
      <c r="M470" s="2" t="s">
        <v>540</v>
      </c>
      <c r="N470" s="2" t="s">
        <v>1063</v>
      </c>
      <c r="O470" s="2" t="s">
        <v>81</v>
      </c>
      <c r="P470" s="2" t="str">
        <f>"2170584051                    "</f>
        <v xml:space="preserve">2170584051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9.9600000000000009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2</v>
      </c>
      <c r="BI470" s="2">
        <v>20.7</v>
      </c>
      <c r="BJ470" s="2">
        <v>38</v>
      </c>
      <c r="BK470" s="2">
        <v>38</v>
      </c>
      <c r="BL470" s="2">
        <v>108.09</v>
      </c>
      <c r="BM470" s="2">
        <v>15.13</v>
      </c>
      <c r="BN470" s="2">
        <v>123.22</v>
      </c>
      <c r="BO470" s="2">
        <v>123.22</v>
      </c>
      <c r="BP470" s="2"/>
      <c r="BQ470" s="2" t="s">
        <v>288</v>
      </c>
      <c r="BR470" s="2" t="s">
        <v>84</v>
      </c>
      <c r="BS470" s="3">
        <v>42976</v>
      </c>
      <c r="BT470" s="4">
        <v>0.44791666666666669</v>
      </c>
      <c r="BU470" s="2" t="s">
        <v>1064</v>
      </c>
      <c r="BV470" s="2" t="s">
        <v>95</v>
      </c>
      <c r="BW470" s="2"/>
      <c r="BX470" s="2"/>
      <c r="BY470" s="2">
        <v>189942.21</v>
      </c>
      <c r="BZ470" s="2"/>
      <c r="CA470" s="2"/>
      <c r="CB470" s="2"/>
      <c r="CC470" s="2" t="s">
        <v>540</v>
      </c>
      <c r="CD470" s="2">
        <v>2194</v>
      </c>
      <c r="CE470" s="2" t="s">
        <v>89</v>
      </c>
      <c r="CF470" s="2"/>
      <c r="CG470" s="2"/>
      <c r="CH470" s="2"/>
      <c r="CI470" s="2">
        <v>1</v>
      </c>
      <c r="CJ470" s="2">
        <v>1</v>
      </c>
      <c r="CK470" s="2" t="s">
        <v>132</v>
      </c>
      <c r="CL470" s="2" t="s">
        <v>86</v>
      </c>
      <c r="CM470" s="2"/>
    </row>
    <row r="471" spans="1:91">
      <c r="A471" s="2" t="s">
        <v>71</v>
      </c>
      <c r="B471" s="2" t="s">
        <v>72</v>
      </c>
      <c r="C471" s="2" t="s">
        <v>73</v>
      </c>
      <c r="D471" s="2"/>
      <c r="E471" s="2" t="str">
        <f>"080001718010"</f>
        <v>080001718010</v>
      </c>
      <c r="F471" s="3">
        <v>42971</v>
      </c>
      <c r="G471" s="2">
        <v>201802</v>
      </c>
      <c r="H471" s="2" t="s">
        <v>170</v>
      </c>
      <c r="I471" s="2" t="s">
        <v>171</v>
      </c>
      <c r="J471" s="2" t="s">
        <v>1065</v>
      </c>
      <c r="K471" s="2" t="s">
        <v>77</v>
      </c>
      <c r="L471" s="2" t="s">
        <v>74</v>
      </c>
      <c r="M471" s="2" t="s">
        <v>75</v>
      </c>
      <c r="N471" s="2" t="s">
        <v>118</v>
      </c>
      <c r="O471" s="2" t="s">
        <v>81</v>
      </c>
      <c r="P471" s="2" t="str">
        <f>"1162564224                    "</f>
        <v xml:space="preserve">1162564224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5.63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1.5</v>
      </c>
      <c r="BJ471" s="2">
        <v>1.9</v>
      </c>
      <c r="BK471" s="2">
        <v>2</v>
      </c>
      <c r="BL471" s="2">
        <v>63.28</v>
      </c>
      <c r="BM471" s="2">
        <v>8.86</v>
      </c>
      <c r="BN471" s="2">
        <v>72.14</v>
      </c>
      <c r="BO471" s="2">
        <v>72.14</v>
      </c>
      <c r="BP471" s="2" t="s">
        <v>1066</v>
      </c>
      <c r="BQ471" s="2" t="s">
        <v>241</v>
      </c>
      <c r="BR471" s="2" t="s">
        <v>1067</v>
      </c>
      <c r="BS471" s="3">
        <v>42976</v>
      </c>
      <c r="BT471" s="4">
        <v>0.41805555555555557</v>
      </c>
      <c r="BU471" s="2" t="s">
        <v>1055</v>
      </c>
      <c r="BV471" s="2" t="s">
        <v>95</v>
      </c>
      <c r="BW471" s="2"/>
      <c r="BX471" s="2"/>
      <c r="BY471" s="2">
        <v>9343.6</v>
      </c>
      <c r="BZ471" s="2"/>
      <c r="CA471" s="2" t="s">
        <v>148</v>
      </c>
      <c r="CB471" s="2"/>
      <c r="CC471" s="2" t="s">
        <v>75</v>
      </c>
      <c r="CD471" s="2">
        <v>1600</v>
      </c>
      <c r="CE471" s="2" t="s">
        <v>89</v>
      </c>
      <c r="CF471" s="5">
        <v>42977</v>
      </c>
      <c r="CG471" s="2"/>
      <c r="CH471" s="2"/>
      <c r="CI471" s="2">
        <v>1</v>
      </c>
      <c r="CJ471" s="2">
        <v>1</v>
      </c>
      <c r="CK471" s="2" t="s">
        <v>132</v>
      </c>
      <c r="CL471" s="2" t="s">
        <v>86</v>
      </c>
      <c r="CM471" s="2"/>
    </row>
    <row r="472" spans="1:91">
      <c r="A472" s="2" t="s">
        <v>71</v>
      </c>
      <c r="B472" s="2" t="s">
        <v>72</v>
      </c>
      <c r="C472" s="2" t="s">
        <v>73</v>
      </c>
      <c r="D472" s="2"/>
      <c r="E472" s="2" t="str">
        <f>"FES1162571758"</f>
        <v>FES1162571758</v>
      </c>
      <c r="F472" s="3">
        <v>42975</v>
      </c>
      <c r="G472" s="2">
        <v>201802</v>
      </c>
      <c r="H472" s="2" t="s">
        <v>74</v>
      </c>
      <c r="I472" s="2" t="s">
        <v>75</v>
      </c>
      <c r="J472" s="2" t="s">
        <v>76</v>
      </c>
      <c r="K472" s="2" t="s">
        <v>77</v>
      </c>
      <c r="L472" s="2" t="s">
        <v>321</v>
      </c>
      <c r="M472" s="2" t="s">
        <v>322</v>
      </c>
      <c r="N472" s="2" t="s">
        <v>351</v>
      </c>
      <c r="O472" s="2" t="s">
        <v>100</v>
      </c>
      <c r="P472" s="2" t="str">
        <f>"2170587387                    "</f>
        <v xml:space="preserve">2170587387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4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1</v>
      </c>
      <c r="BJ472" s="2">
        <v>0.2</v>
      </c>
      <c r="BK472" s="2">
        <v>1</v>
      </c>
      <c r="BL472" s="2">
        <v>41.44</v>
      </c>
      <c r="BM472" s="2">
        <v>5.8</v>
      </c>
      <c r="BN472" s="2">
        <v>47.24</v>
      </c>
      <c r="BO472" s="2">
        <v>47.24</v>
      </c>
      <c r="BP472" s="2"/>
      <c r="BQ472" s="2" t="s">
        <v>288</v>
      </c>
      <c r="BR472" s="2" t="s">
        <v>84</v>
      </c>
      <c r="BS472" s="3">
        <v>42976</v>
      </c>
      <c r="BT472" s="4">
        <v>0.39583333333333331</v>
      </c>
      <c r="BU472" s="2" t="s">
        <v>1068</v>
      </c>
      <c r="BV472" s="2" t="s">
        <v>95</v>
      </c>
      <c r="BW472" s="2"/>
      <c r="BX472" s="2"/>
      <c r="BY472" s="2">
        <v>1200</v>
      </c>
      <c r="BZ472" s="2"/>
      <c r="CA472" s="2" t="s">
        <v>103</v>
      </c>
      <c r="CB472" s="2"/>
      <c r="CC472" s="2" t="s">
        <v>322</v>
      </c>
      <c r="CD472" s="2">
        <v>6220</v>
      </c>
      <c r="CE472" s="2" t="s">
        <v>104</v>
      </c>
      <c r="CF472" s="5">
        <v>42977</v>
      </c>
      <c r="CG472" s="2"/>
      <c r="CH472" s="2"/>
      <c r="CI472" s="2">
        <v>1</v>
      </c>
      <c r="CJ472" s="2">
        <v>1</v>
      </c>
      <c r="CK472" s="2">
        <v>21</v>
      </c>
      <c r="CL472" s="2" t="s">
        <v>86</v>
      </c>
      <c r="CM472" s="2"/>
    </row>
    <row r="473" spans="1:91">
      <c r="A473" s="2" t="s">
        <v>71</v>
      </c>
      <c r="B473" s="2" t="s">
        <v>72</v>
      </c>
      <c r="C473" s="2" t="s">
        <v>73</v>
      </c>
      <c r="D473" s="2"/>
      <c r="E473" s="2" t="str">
        <f>"FES1162571643"</f>
        <v>FES1162571643</v>
      </c>
      <c r="F473" s="3">
        <v>42975</v>
      </c>
      <c r="G473" s="2">
        <v>201802</v>
      </c>
      <c r="H473" s="2" t="s">
        <v>74</v>
      </c>
      <c r="I473" s="2" t="s">
        <v>75</v>
      </c>
      <c r="J473" s="2" t="s">
        <v>76</v>
      </c>
      <c r="K473" s="2" t="s">
        <v>77</v>
      </c>
      <c r="L473" s="2" t="s">
        <v>924</v>
      </c>
      <c r="M473" s="2" t="s">
        <v>925</v>
      </c>
      <c r="N473" s="2" t="s">
        <v>1069</v>
      </c>
      <c r="O473" s="2" t="s">
        <v>100</v>
      </c>
      <c r="P473" s="2" t="str">
        <f>"2170577291                    "</f>
        <v xml:space="preserve">2170577291 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4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1</v>
      </c>
      <c r="BJ473" s="2">
        <v>0.2</v>
      </c>
      <c r="BK473" s="2">
        <v>1</v>
      </c>
      <c r="BL473" s="2">
        <v>41.44</v>
      </c>
      <c r="BM473" s="2">
        <v>5.8</v>
      </c>
      <c r="BN473" s="2">
        <v>47.24</v>
      </c>
      <c r="BO473" s="2">
        <v>47.24</v>
      </c>
      <c r="BP473" s="2"/>
      <c r="BQ473" s="2" t="s">
        <v>83</v>
      </c>
      <c r="BR473" s="2" t="s">
        <v>84</v>
      </c>
      <c r="BS473" s="3">
        <v>42976</v>
      </c>
      <c r="BT473" s="4">
        <v>0.39861111111111108</v>
      </c>
      <c r="BU473" s="2" t="s">
        <v>1070</v>
      </c>
      <c r="BV473" s="2" t="s">
        <v>95</v>
      </c>
      <c r="BW473" s="2"/>
      <c r="BX473" s="2"/>
      <c r="BY473" s="2">
        <v>1200</v>
      </c>
      <c r="BZ473" s="2"/>
      <c r="CA473" s="2" t="s">
        <v>1071</v>
      </c>
      <c r="CB473" s="2"/>
      <c r="CC473" s="2" t="s">
        <v>925</v>
      </c>
      <c r="CD473" s="2">
        <v>7600</v>
      </c>
      <c r="CE473" s="2" t="s">
        <v>104</v>
      </c>
      <c r="CF473" s="5">
        <v>42977</v>
      </c>
      <c r="CG473" s="2"/>
      <c r="CH473" s="2"/>
      <c r="CI473" s="2">
        <v>1</v>
      </c>
      <c r="CJ473" s="2">
        <v>1</v>
      </c>
      <c r="CK473" s="2">
        <v>21</v>
      </c>
      <c r="CL473" s="2" t="s">
        <v>86</v>
      </c>
      <c r="CM473" s="2"/>
    </row>
    <row r="474" spans="1:91">
      <c r="A474" s="2" t="s">
        <v>71</v>
      </c>
      <c r="B474" s="2" t="s">
        <v>72</v>
      </c>
      <c r="C474" s="2" t="s">
        <v>73</v>
      </c>
      <c r="D474" s="2"/>
      <c r="E474" s="2" t="str">
        <f>"FES1162571789"</f>
        <v>FES1162571789</v>
      </c>
      <c r="F474" s="3">
        <v>42975</v>
      </c>
      <c r="G474" s="2">
        <v>201802</v>
      </c>
      <c r="H474" s="2" t="s">
        <v>74</v>
      </c>
      <c r="I474" s="2" t="s">
        <v>75</v>
      </c>
      <c r="J474" s="2" t="s">
        <v>76</v>
      </c>
      <c r="K474" s="2" t="s">
        <v>77</v>
      </c>
      <c r="L474" s="2" t="s">
        <v>97</v>
      </c>
      <c r="M474" s="2" t="s">
        <v>98</v>
      </c>
      <c r="N474" s="2" t="s">
        <v>1041</v>
      </c>
      <c r="O474" s="2" t="s">
        <v>100</v>
      </c>
      <c r="P474" s="2" t="str">
        <f>"2170587423                    "</f>
        <v xml:space="preserve">2170587423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4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1</v>
      </c>
      <c r="BJ474" s="2">
        <v>0.2</v>
      </c>
      <c r="BK474" s="2">
        <v>1</v>
      </c>
      <c r="BL474" s="2">
        <v>41.44</v>
      </c>
      <c r="BM474" s="2">
        <v>5.8</v>
      </c>
      <c r="BN474" s="2">
        <v>47.24</v>
      </c>
      <c r="BO474" s="2">
        <v>47.24</v>
      </c>
      <c r="BP474" s="2"/>
      <c r="BQ474" s="2" t="s">
        <v>108</v>
      </c>
      <c r="BR474" s="2" t="s">
        <v>84</v>
      </c>
      <c r="BS474" s="3">
        <v>42976</v>
      </c>
      <c r="BT474" s="4">
        <v>0.29166666666666669</v>
      </c>
      <c r="BU474" s="2" t="s">
        <v>1072</v>
      </c>
      <c r="BV474" s="2" t="s">
        <v>95</v>
      </c>
      <c r="BW474" s="2"/>
      <c r="BX474" s="2"/>
      <c r="BY474" s="2">
        <v>1200</v>
      </c>
      <c r="BZ474" s="2"/>
      <c r="CA474" s="2" t="s">
        <v>294</v>
      </c>
      <c r="CB474" s="2"/>
      <c r="CC474" s="2" t="s">
        <v>98</v>
      </c>
      <c r="CD474" s="2">
        <v>6012</v>
      </c>
      <c r="CE474" s="2" t="s">
        <v>104</v>
      </c>
      <c r="CF474" s="5">
        <v>42977</v>
      </c>
      <c r="CG474" s="2"/>
      <c r="CH474" s="2"/>
      <c r="CI474" s="2">
        <v>1</v>
      </c>
      <c r="CJ474" s="2">
        <v>1</v>
      </c>
      <c r="CK474" s="2">
        <v>21</v>
      </c>
      <c r="CL474" s="2" t="s">
        <v>86</v>
      </c>
      <c r="CM474" s="2"/>
    </row>
    <row r="475" spans="1:91">
      <c r="A475" s="2" t="s">
        <v>71</v>
      </c>
      <c r="B475" s="2" t="s">
        <v>72</v>
      </c>
      <c r="C475" s="2" t="s">
        <v>73</v>
      </c>
      <c r="D475" s="2"/>
      <c r="E475" s="2" t="str">
        <f>"FES1162571793"</f>
        <v>FES1162571793</v>
      </c>
      <c r="F475" s="3">
        <v>42975</v>
      </c>
      <c r="G475" s="2">
        <v>201802</v>
      </c>
      <c r="H475" s="2" t="s">
        <v>74</v>
      </c>
      <c r="I475" s="2" t="s">
        <v>75</v>
      </c>
      <c r="J475" s="2" t="s">
        <v>76</v>
      </c>
      <c r="K475" s="2" t="s">
        <v>77</v>
      </c>
      <c r="L475" s="2" t="s">
        <v>105</v>
      </c>
      <c r="M475" s="2" t="s">
        <v>106</v>
      </c>
      <c r="N475" s="2" t="s">
        <v>107</v>
      </c>
      <c r="O475" s="2" t="s">
        <v>100</v>
      </c>
      <c r="P475" s="2" t="str">
        <f>"2170587429                    "</f>
        <v xml:space="preserve">2170587429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4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1</v>
      </c>
      <c r="BJ475" s="2">
        <v>0.2</v>
      </c>
      <c r="BK475" s="2">
        <v>1</v>
      </c>
      <c r="BL475" s="2">
        <v>41.44</v>
      </c>
      <c r="BM475" s="2">
        <v>5.8</v>
      </c>
      <c r="BN475" s="2">
        <v>47.24</v>
      </c>
      <c r="BO475" s="2">
        <v>47.24</v>
      </c>
      <c r="BP475" s="2"/>
      <c r="BQ475" s="2" t="s">
        <v>108</v>
      </c>
      <c r="BR475" s="2" t="s">
        <v>84</v>
      </c>
      <c r="BS475" s="3">
        <v>42976</v>
      </c>
      <c r="BT475" s="4">
        <v>0.39513888888888887</v>
      </c>
      <c r="BU475" s="2" t="s">
        <v>1073</v>
      </c>
      <c r="BV475" s="2" t="s">
        <v>95</v>
      </c>
      <c r="BW475" s="2"/>
      <c r="BX475" s="2"/>
      <c r="BY475" s="2">
        <v>1200</v>
      </c>
      <c r="BZ475" s="2"/>
      <c r="CA475" s="2" t="s">
        <v>856</v>
      </c>
      <c r="CB475" s="2"/>
      <c r="CC475" s="2" t="s">
        <v>106</v>
      </c>
      <c r="CD475" s="2">
        <v>7405</v>
      </c>
      <c r="CE475" s="2" t="s">
        <v>104</v>
      </c>
      <c r="CF475" s="5">
        <v>42977</v>
      </c>
      <c r="CG475" s="2"/>
      <c r="CH475" s="2"/>
      <c r="CI475" s="2">
        <v>1</v>
      </c>
      <c r="CJ475" s="2">
        <v>1</v>
      </c>
      <c r="CK475" s="2">
        <v>21</v>
      </c>
      <c r="CL475" s="2" t="s">
        <v>86</v>
      </c>
      <c r="CM475" s="2"/>
    </row>
    <row r="476" spans="1:91">
      <c r="A476" s="2" t="s">
        <v>71</v>
      </c>
      <c r="B476" s="2" t="s">
        <v>72</v>
      </c>
      <c r="C476" s="2" t="s">
        <v>73</v>
      </c>
      <c r="D476" s="2"/>
      <c r="E476" s="2" t="str">
        <f>"FES1162571794"</f>
        <v>FES1162571794</v>
      </c>
      <c r="F476" s="3">
        <v>42975</v>
      </c>
      <c r="G476" s="2">
        <v>201802</v>
      </c>
      <c r="H476" s="2" t="s">
        <v>74</v>
      </c>
      <c r="I476" s="2" t="s">
        <v>75</v>
      </c>
      <c r="J476" s="2" t="s">
        <v>76</v>
      </c>
      <c r="K476" s="2" t="s">
        <v>77</v>
      </c>
      <c r="L476" s="2" t="s">
        <v>105</v>
      </c>
      <c r="M476" s="2" t="s">
        <v>106</v>
      </c>
      <c r="N476" s="2" t="s">
        <v>253</v>
      </c>
      <c r="O476" s="2" t="s">
        <v>100</v>
      </c>
      <c r="P476" s="2" t="str">
        <f>"2170587432                    "</f>
        <v xml:space="preserve">2170587432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4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1</v>
      </c>
      <c r="BJ476" s="2">
        <v>0.2</v>
      </c>
      <c r="BK476" s="2">
        <v>1</v>
      </c>
      <c r="BL476" s="2">
        <v>41.44</v>
      </c>
      <c r="BM476" s="2">
        <v>5.8</v>
      </c>
      <c r="BN476" s="2">
        <v>47.24</v>
      </c>
      <c r="BO476" s="2">
        <v>47.24</v>
      </c>
      <c r="BP476" s="2"/>
      <c r="BQ476" s="2" t="s">
        <v>108</v>
      </c>
      <c r="BR476" s="2" t="s">
        <v>84</v>
      </c>
      <c r="BS476" s="3">
        <v>42976</v>
      </c>
      <c r="BT476" s="4">
        <v>0.42499999999999999</v>
      </c>
      <c r="BU476" s="2" t="s">
        <v>1074</v>
      </c>
      <c r="BV476" s="2" t="s">
        <v>95</v>
      </c>
      <c r="BW476" s="2"/>
      <c r="BX476" s="2"/>
      <c r="BY476" s="2">
        <v>1200</v>
      </c>
      <c r="BZ476" s="2"/>
      <c r="CA476" s="2" t="s">
        <v>654</v>
      </c>
      <c r="CB476" s="2"/>
      <c r="CC476" s="2" t="s">
        <v>106</v>
      </c>
      <c r="CD476" s="2">
        <v>7490</v>
      </c>
      <c r="CE476" s="2" t="s">
        <v>104</v>
      </c>
      <c r="CF476" s="5">
        <v>42977</v>
      </c>
      <c r="CG476" s="2"/>
      <c r="CH476" s="2"/>
      <c r="CI476" s="2">
        <v>1</v>
      </c>
      <c r="CJ476" s="2">
        <v>1</v>
      </c>
      <c r="CK476" s="2">
        <v>21</v>
      </c>
      <c r="CL476" s="2" t="s">
        <v>86</v>
      </c>
      <c r="CM476" s="2"/>
    </row>
    <row r="477" spans="1:91">
      <c r="A477" s="2" t="s">
        <v>71</v>
      </c>
      <c r="B477" s="2" t="s">
        <v>72</v>
      </c>
      <c r="C477" s="2" t="s">
        <v>73</v>
      </c>
      <c r="D477" s="2"/>
      <c r="E477" s="2" t="str">
        <f>"FES1162571759"</f>
        <v>FES1162571759</v>
      </c>
      <c r="F477" s="3">
        <v>42975</v>
      </c>
      <c r="G477" s="2">
        <v>201802</v>
      </c>
      <c r="H477" s="2" t="s">
        <v>74</v>
      </c>
      <c r="I477" s="2" t="s">
        <v>75</v>
      </c>
      <c r="J477" s="2" t="s">
        <v>76</v>
      </c>
      <c r="K477" s="2" t="s">
        <v>77</v>
      </c>
      <c r="L477" s="2" t="s">
        <v>105</v>
      </c>
      <c r="M477" s="2" t="s">
        <v>106</v>
      </c>
      <c r="N477" s="2" t="s">
        <v>107</v>
      </c>
      <c r="O477" s="2" t="s">
        <v>100</v>
      </c>
      <c r="P477" s="2" t="str">
        <f>"2170587388                    "</f>
        <v xml:space="preserve">2170587388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4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1</v>
      </c>
      <c r="BJ477" s="2">
        <v>0.2</v>
      </c>
      <c r="BK477" s="2">
        <v>1</v>
      </c>
      <c r="BL477" s="2">
        <v>41.44</v>
      </c>
      <c r="BM477" s="2">
        <v>5.8</v>
      </c>
      <c r="BN477" s="2">
        <v>47.24</v>
      </c>
      <c r="BO477" s="2">
        <v>47.24</v>
      </c>
      <c r="BP477" s="2"/>
      <c r="BQ477" s="2" t="s">
        <v>108</v>
      </c>
      <c r="BR477" s="2" t="s">
        <v>84</v>
      </c>
      <c r="BS477" s="3">
        <v>42976</v>
      </c>
      <c r="BT477" s="4">
        <v>0.39513888888888887</v>
      </c>
      <c r="BU477" s="2" t="s">
        <v>1073</v>
      </c>
      <c r="BV477" s="2" t="s">
        <v>95</v>
      </c>
      <c r="BW477" s="2"/>
      <c r="BX477" s="2"/>
      <c r="BY477" s="2">
        <v>1200</v>
      </c>
      <c r="BZ477" s="2"/>
      <c r="CA477" s="2" t="s">
        <v>856</v>
      </c>
      <c r="CB477" s="2"/>
      <c r="CC477" s="2" t="s">
        <v>106</v>
      </c>
      <c r="CD477" s="2">
        <v>7405</v>
      </c>
      <c r="CE477" s="2" t="s">
        <v>104</v>
      </c>
      <c r="CF477" s="5">
        <v>42977</v>
      </c>
      <c r="CG477" s="2"/>
      <c r="CH477" s="2"/>
      <c r="CI477" s="2">
        <v>1</v>
      </c>
      <c r="CJ477" s="2">
        <v>1</v>
      </c>
      <c r="CK477" s="2">
        <v>21</v>
      </c>
      <c r="CL477" s="2" t="s">
        <v>86</v>
      </c>
      <c r="CM477" s="2"/>
    </row>
    <row r="478" spans="1:91">
      <c r="A478" s="2" t="s">
        <v>71</v>
      </c>
      <c r="B478" s="2" t="s">
        <v>72</v>
      </c>
      <c r="C478" s="2" t="s">
        <v>73</v>
      </c>
      <c r="D478" s="2"/>
      <c r="E478" s="2" t="str">
        <f>"FES1162571746"</f>
        <v>FES1162571746</v>
      </c>
      <c r="F478" s="3">
        <v>42975</v>
      </c>
      <c r="G478" s="2">
        <v>201802</v>
      </c>
      <c r="H478" s="2" t="s">
        <v>74</v>
      </c>
      <c r="I478" s="2" t="s">
        <v>75</v>
      </c>
      <c r="J478" s="2" t="s">
        <v>76</v>
      </c>
      <c r="K478" s="2" t="s">
        <v>77</v>
      </c>
      <c r="L478" s="2" t="s">
        <v>97</v>
      </c>
      <c r="M478" s="2" t="s">
        <v>98</v>
      </c>
      <c r="N478" s="2" t="s">
        <v>1075</v>
      </c>
      <c r="O478" s="2" t="s">
        <v>100</v>
      </c>
      <c r="P478" s="2" t="str">
        <f>"                              "</f>
        <v xml:space="preserve">           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4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1</v>
      </c>
      <c r="BJ478" s="2">
        <v>0.2</v>
      </c>
      <c r="BK478" s="2">
        <v>1</v>
      </c>
      <c r="BL478" s="2">
        <v>41.44</v>
      </c>
      <c r="BM478" s="2">
        <v>5.8</v>
      </c>
      <c r="BN478" s="2">
        <v>47.24</v>
      </c>
      <c r="BO478" s="2">
        <v>47.24</v>
      </c>
      <c r="BP478" s="2">
        <v>2170587370</v>
      </c>
      <c r="BQ478" s="2" t="s">
        <v>1076</v>
      </c>
      <c r="BR478" s="2" t="s">
        <v>84</v>
      </c>
      <c r="BS478" s="3">
        <v>42976</v>
      </c>
      <c r="BT478" s="4">
        <v>0.41736111111111113</v>
      </c>
      <c r="BU478" s="2" t="s">
        <v>1077</v>
      </c>
      <c r="BV478" s="2" t="s">
        <v>95</v>
      </c>
      <c r="BW478" s="2"/>
      <c r="BX478" s="2"/>
      <c r="BY478" s="2">
        <v>1200</v>
      </c>
      <c r="BZ478" s="2"/>
      <c r="CA478" s="2" t="s">
        <v>103</v>
      </c>
      <c r="CB478" s="2"/>
      <c r="CC478" s="2" t="s">
        <v>98</v>
      </c>
      <c r="CD478" s="2">
        <v>6001</v>
      </c>
      <c r="CE478" s="2" t="s">
        <v>104</v>
      </c>
      <c r="CF478" s="5">
        <v>42977</v>
      </c>
      <c r="CG478" s="2"/>
      <c r="CH478" s="2"/>
      <c r="CI478" s="2">
        <v>1</v>
      </c>
      <c r="CJ478" s="2">
        <v>1</v>
      </c>
      <c r="CK478" s="2">
        <v>21</v>
      </c>
      <c r="CL478" s="2" t="s">
        <v>86</v>
      </c>
      <c r="CM478" s="2"/>
    </row>
    <row r="479" spans="1:91">
      <c r="A479" s="2" t="s">
        <v>71</v>
      </c>
      <c r="B479" s="2" t="s">
        <v>72</v>
      </c>
      <c r="C479" s="2" t="s">
        <v>73</v>
      </c>
      <c r="D479" s="2"/>
      <c r="E479" s="2" t="str">
        <f>"FES1162571820"</f>
        <v>FES1162571820</v>
      </c>
      <c r="F479" s="3">
        <v>42975</v>
      </c>
      <c r="G479" s="2">
        <v>201802</v>
      </c>
      <c r="H479" s="2" t="s">
        <v>74</v>
      </c>
      <c r="I479" s="2" t="s">
        <v>75</v>
      </c>
      <c r="J479" s="2" t="s">
        <v>76</v>
      </c>
      <c r="K479" s="2" t="s">
        <v>77</v>
      </c>
      <c r="L479" s="2" t="s">
        <v>417</v>
      </c>
      <c r="M479" s="2" t="s">
        <v>417</v>
      </c>
      <c r="N479" s="2" t="s">
        <v>475</v>
      </c>
      <c r="O479" s="2" t="s">
        <v>100</v>
      </c>
      <c r="P479" s="2" t="str">
        <f>"2170587447                    "</f>
        <v xml:space="preserve">2170587447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5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2.1</v>
      </c>
      <c r="BJ479" s="2">
        <v>1</v>
      </c>
      <c r="BK479" s="2">
        <v>2.5</v>
      </c>
      <c r="BL479" s="2">
        <v>51.8</v>
      </c>
      <c r="BM479" s="2">
        <v>7.25</v>
      </c>
      <c r="BN479" s="2">
        <v>59.05</v>
      </c>
      <c r="BO479" s="2">
        <v>59.05</v>
      </c>
      <c r="BP479" s="2"/>
      <c r="BQ479" s="2" t="s">
        <v>108</v>
      </c>
      <c r="BR479" s="2" t="s">
        <v>84</v>
      </c>
      <c r="BS479" s="3">
        <v>42976</v>
      </c>
      <c r="BT479" s="4">
        <v>0.5083333333333333</v>
      </c>
      <c r="BU479" s="2" t="s">
        <v>1078</v>
      </c>
      <c r="BV479" s="2" t="s">
        <v>95</v>
      </c>
      <c r="BW479" s="2"/>
      <c r="BX479" s="2"/>
      <c r="BY479" s="2">
        <v>4984.67</v>
      </c>
      <c r="BZ479" s="2"/>
      <c r="CA479" s="2" t="s">
        <v>420</v>
      </c>
      <c r="CB479" s="2"/>
      <c r="CC479" s="2" t="s">
        <v>417</v>
      </c>
      <c r="CD479" s="2">
        <v>7646</v>
      </c>
      <c r="CE479" s="2" t="s">
        <v>89</v>
      </c>
      <c r="CF479" s="5">
        <v>42977</v>
      </c>
      <c r="CG479" s="2"/>
      <c r="CH479" s="2"/>
      <c r="CI479" s="2">
        <v>1</v>
      </c>
      <c r="CJ479" s="2">
        <v>1</v>
      </c>
      <c r="CK479" s="2">
        <v>21</v>
      </c>
      <c r="CL479" s="2" t="s">
        <v>86</v>
      </c>
      <c r="CM479" s="2"/>
    </row>
    <row r="480" spans="1:91">
      <c r="A480" s="2" t="s">
        <v>71</v>
      </c>
      <c r="B480" s="2" t="s">
        <v>72</v>
      </c>
      <c r="C480" s="2" t="s">
        <v>73</v>
      </c>
      <c r="D480" s="2"/>
      <c r="E480" s="2" t="str">
        <f>"FES1162571808"</f>
        <v>FES1162571808</v>
      </c>
      <c r="F480" s="3">
        <v>42975</v>
      </c>
      <c r="G480" s="2">
        <v>201802</v>
      </c>
      <c r="H480" s="2" t="s">
        <v>74</v>
      </c>
      <c r="I480" s="2" t="s">
        <v>75</v>
      </c>
      <c r="J480" s="2" t="s">
        <v>76</v>
      </c>
      <c r="K480" s="2" t="s">
        <v>77</v>
      </c>
      <c r="L480" s="2" t="s">
        <v>97</v>
      </c>
      <c r="M480" s="2" t="s">
        <v>98</v>
      </c>
      <c r="N480" s="2" t="s">
        <v>292</v>
      </c>
      <c r="O480" s="2" t="s">
        <v>100</v>
      </c>
      <c r="P480" s="2" t="str">
        <f>"2170587443                    "</f>
        <v xml:space="preserve">2170587443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4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1</v>
      </c>
      <c r="BJ480" s="2">
        <v>0.2</v>
      </c>
      <c r="BK480" s="2">
        <v>1</v>
      </c>
      <c r="BL480" s="2">
        <v>41.44</v>
      </c>
      <c r="BM480" s="2">
        <v>5.8</v>
      </c>
      <c r="BN480" s="2">
        <v>47.24</v>
      </c>
      <c r="BO480" s="2">
        <v>47.24</v>
      </c>
      <c r="BP480" s="2"/>
      <c r="BQ480" s="2" t="s">
        <v>83</v>
      </c>
      <c r="BR480" s="2" t="s">
        <v>84</v>
      </c>
      <c r="BS480" s="3">
        <v>42976</v>
      </c>
      <c r="BT480" s="4">
        <v>0.3263888888888889</v>
      </c>
      <c r="BU480" s="2" t="s">
        <v>293</v>
      </c>
      <c r="BV480" s="2" t="s">
        <v>95</v>
      </c>
      <c r="BW480" s="2"/>
      <c r="BX480" s="2"/>
      <c r="BY480" s="2">
        <v>1200</v>
      </c>
      <c r="BZ480" s="2"/>
      <c r="CA480" s="2" t="s">
        <v>294</v>
      </c>
      <c r="CB480" s="2"/>
      <c r="CC480" s="2" t="s">
        <v>98</v>
      </c>
      <c r="CD480" s="2">
        <v>6001</v>
      </c>
      <c r="CE480" s="2" t="s">
        <v>104</v>
      </c>
      <c r="CF480" s="5">
        <v>42976</v>
      </c>
      <c r="CG480" s="2"/>
      <c r="CH480" s="2"/>
      <c r="CI480" s="2">
        <v>1</v>
      </c>
      <c r="CJ480" s="2">
        <v>1</v>
      </c>
      <c r="CK480" s="2">
        <v>21</v>
      </c>
      <c r="CL480" s="2" t="s">
        <v>86</v>
      </c>
      <c r="CM480" s="2"/>
    </row>
    <row r="481" spans="1:91">
      <c r="A481" s="2" t="s">
        <v>71</v>
      </c>
      <c r="B481" s="2" t="s">
        <v>72</v>
      </c>
      <c r="C481" s="2" t="s">
        <v>73</v>
      </c>
      <c r="D481" s="2"/>
      <c r="E481" s="2" t="str">
        <f>"FES1162571722"</f>
        <v>FES1162571722</v>
      </c>
      <c r="F481" s="3">
        <v>42975</v>
      </c>
      <c r="G481" s="2">
        <v>201802</v>
      </c>
      <c r="H481" s="2" t="s">
        <v>74</v>
      </c>
      <c r="I481" s="2" t="s">
        <v>75</v>
      </c>
      <c r="J481" s="2" t="s">
        <v>76</v>
      </c>
      <c r="K481" s="2" t="s">
        <v>77</v>
      </c>
      <c r="L481" s="2" t="s">
        <v>105</v>
      </c>
      <c r="M481" s="2" t="s">
        <v>106</v>
      </c>
      <c r="N481" s="2" t="s">
        <v>454</v>
      </c>
      <c r="O481" s="2" t="s">
        <v>100</v>
      </c>
      <c r="P481" s="2" t="str">
        <f>"2170587343                    "</f>
        <v xml:space="preserve">2170587343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8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2.1</v>
      </c>
      <c r="BJ481" s="2">
        <v>3.6</v>
      </c>
      <c r="BK481" s="2">
        <v>4</v>
      </c>
      <c r="BL481" s="2">
        <v>82.88</v>
      </c>
      <c r="BM481" s="2">
        <v>11.6</v>
      </c>
      <c r="BN481" s="2">
        <v>94.48</v>
      </c>
      <c r="BO481" s="2">
        <v>94.48</v>
      </c>
      <c r="BP481" s="2"/>
      <c r="BQ481" s="2" t="s">
        <v>288</v>
      </c>
      <c r="BR481" s="2" t="s">
        <v>84</v>
      </c>
      <c r="BS481" s="3">
        <v>42976</v>
      </c>
      <c r="BT481" s="4">
        <v>0.3298611111111111</v>
      </c>
      <c r="BU481" s="2" t="s">
        <v>1079</v>
      </c>
      <c r="BV481" s="2" t="s">
        <v>95</v>
      </c>
      <c r="BW481" s="2"/>
      <c r="BX481" s="2"/>
      <c r="BY481" s="2">
        <v>17794.22</v>
      </c>
      <c r="BZ481" s="2"/>
      <c r="CA481" s="2" t="s">
        <v>869</v>
      </c>
      <c r="CB481" s="2"/>
      <c r="CC481" s="2" t="s">
        <v>106</v>
      </c>
      <c r="CD481" s="2">
        <v>7460</v>
      </c>
      <c r="CE481" s="2" t="s">
        <v>89</v>
      </c>
      <c r="CF481" s="5">
        <v>42977</v>
      </c>
      <c r="CG481" s="2"/>
      <c r="CH481" s="2"/>
      <c r="CI481" s="2">
        <v>1</v>
      </c>
      <c r="CJ481" s="2">
        <v>1</v>
      </c>
      <c r="CK481" s="2">
        <v>21</v>
      </c>
      <c r="CL481" s="2" t="s">
        <v>86</v>
      </c>
      <c r="CM481" s="2"/>
    </row>
    <row r="482" spans="1:91">
      <c r="A482" s="2" t="s">
        <v>71</v>
      </c>
      <c r="B482" s="2" t="s">
        <v>72</v>
      </c>
      <c r="C482" s="2" t="s">
        <v>73</v>
      </c>
      <c r="D482" s="2"/>
      <c r="E482" s="2" t="str">
        <f>"FES1162571705"</f>
        <v>FES1162571705</v>
      </c>
      <c r="F482" s="3">
        <v>42975</v>
      </c>
      <c r="G482" s="2">
        <v>201802</v>
      </c>
      <c r="H482" s="2" t="s">
        <v>74</v>
      </c>
      <c r="I482" s="2" t="s">
        <v>75</v>
      </c>
      <c r="J482" s="2" t="s">
        <v>76</v>
      </c>
      <c r="K482" s="2" t="s">
        <v>77</v>
      </c>
      <c r="L482" s="2" t="s">
        <v>105</v>
      </c>
      <c r="M482" s="2" t="s">
        <v>106</v>
      </c>
      <c r="N482" s="2" t="s">
        <v>1080</v>
      </c>
      <c r="O482" s="2" t="s">
        <v>100</v>
      </c>
      <c r="P482" s="2" t="str">
        <f>"2170587309                    "</f>
        <v xml:space="preserve">2170587309 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4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1</v>
      </c>
      <c r="BJ482" s="2">
        <v>0.2</v>
      </c>
      <c r="BK482" s="2">
        <v>1</v>
      </c>
      <c r="BL482" s="2">
        <v>41.44</v>
      </c>
      <c r="BM482" s="2">
        <v>5.8</v>
      </c>
      <c r="BN482" s="2">
        <v>47.24</v>
      </c>
      <c r="BO482" s="2">
        <v>47.24</v>
      </c>
      <c r="BP482" s="2"/>
      <c r="BQ482" s="2" t="s">
        <v>288</v>
      </c>
      <c r="BR482" s="2" t="s">
        <v>84</v>
      </c>
      <c r="BS482" s="3">
        <v>42976</v>
      </c>
      <c r="BT482" s="4">
        <v>0.39027777777777778</v>
      </c>
      <c r="BU482" s="2" t="s">
        <v>1081</v>
      </c>
      <c r="BV482" s="2" t="s">
        <v>95</v>
      </c>
      <c r="BW482" s="2"/>
      <c r="BX482" s="2"/>
      <c r="BY482" s="2">
        <v>1200</v>
      </c>
      <c r="BZ482" s="2"/>
      <c r="CA482" s="2" t="s">
        <v>748</v>
      </c>
      <c r="CB482" s="2"/>
      <c r="CC482" s="2" t="s">
        <v>106</v>
      </c>
      <c r="CD482" s="2">
        <v>7441</v>
      </c>
      <c r="CE482" s="2" t="s">
        <v>104</v>
      </c>
      <c r="CF482" s="5">
        <v>42977</v>
      </c>
      <c r="CG482" s="2"/>
      <c r="CH482" s="2"/>
      <c r="CI482" s="2">
        <v>1</v>
      </c>
      <c r="CJ482" s="2">
        <v>1</v>
      </c>
      <c r="CK482" s="2">
        <v>21</v>
      </c>
      <c r="CL482" s="2" t="s">
        <v>86</v>
      </c>
      <c r="CM482" s="2"/>
    </row>
    <row r="483" spans="1:91">
      <c r="A483" s="2" t="s">
        <v>71</v>
      </c>
      <c r="B483" s="2" t="s">
        <v>72</v>
      </c>
      <c r="C483" s="2" t="s">
        <v>73</v>
      </c>
      <c r="D483" s="2"/>
      <c r="E483" s="2" t="str">
        <f>"FES1162571710"</f>
        <v>FES1162571710</v>
      </c>
      <c r="F483" s="3">
        <v>42975</v>
      </c>
      <c r="G483" s="2">
        <v>201802</v>
      </c>
      <c r="H483" s="2" t="s">
        <v>74</v>
      </c>
      <c r="I483" s="2" t="s">
        <v>75</v>
      </c>
      <c r="J483" s="2" t="s">
        <v>76</v>
      </c>
      <c r="K483" s="2" t="s">
        <v>77</v>
      </c>
      <c r="L483" s="2" t="s">
        <v>417</v>
      </c>
      <c r="M483" s="2" t="s">
        <v>417</v>
      </c>
      <c r="N483" s="2" t="s">
        <v>458</v>
      </c>
      <c r="O483" s="2" t="s">
        <v>100</v>
      </c>
      <c r="P483" s="2" t="str">
        <f>"2170587322                    "</f>
        <v xml:space="preserve">2170587322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4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1</v>
      </c>
      <c r="BJ483" s="2">
        <v>0.2</v>
      </c>
      <c r="BK483" s="2">
        <v>1</v>
      </c>
      <c r="BL483" s="2">
        <v>41.44</v>
      </c>
      <c r="BM483" s="2">
        <v>5.8</v>
      </c>
      <c r="BN483" s="2">
        <v>47.24</v>
      </c>
      <c r="BO483" s="2">
        <v>47.24</v>
      </c>
      <c r="BP483" s="2"/>
      <c r="BQ483" s="2" t="s">
        <v>83</v>
      </c>
      <c r="BR483" s="2" t="s">
        <v>84</v>
      </c>
      <c r="BS483" s="3">
        <v>42976</v>
      </c>
      <c r="BT483" s="4">
        <v>0.51250000000000007</v>
      </c>
      <c r="BU483" s="2" t="s">
        <v>1082</v>
      </c>
      <c r="BV483" s="2" t="s">
        <v>95</v>
      </c>
      <c r="BW483" s="2"/>
      <c r="BX483" s="2"/>
      <c r="BY483" s="2">
        <v>1200</v>
      </c>
      <c r="BZ483" s="2"/>
      <c r="CA483" s="2" t="s">
        <v>420</v>
      </c>
      <c r="CB483" s="2"/>
      <c r="CC483" s="2" t="s">
        <v>417</v>
      </c>
      <c r="CD483" s="2">
        <v>7646</v>
      </c>
      <c r="CE483" s="2" t="s">
        <v>104</v>
      </c>
      <c r="CF483" s="5">
        <v>42977</v>
      </c>
      <c r="CG483" s="2"/>
      <c r="CH483" s="2"/>
      <c r="CI483" s="2">
        <v>1</v>
      </c>
      <c r="CJ483" s="2">
        <v>1</v>
      </c>
      <c r="CK483" s="2">
        <v>21</v>
      </c>
      <c r="CL483" s="2" t="s">
        <v>86</v>
      </c>
      <c r="CM483" s="2"/>
    </row>
    <row r="484" spans="1:91">
      <c r="A484" s="2" t="s">
        <v>71</v>
      </c>
      <c r="B484" s="2" t="s">
        <v>72</v>
      </c>
      <c r="C484" s="2" t="s">
        <v>73</v>
      </c>
      <c r="D484" s="2"/>
      <c r="E484" s="2" t="str">
        <f>"FES1162571797"</f>
        <v>FES1162571797</v>
      </c>
      <c r="F484" s="3">
        <v>42975</v>
      </c>
      <c r="G484" s="2">
        <v>201802</v>
      </c>
      <c r="H484" s="2" t="s">
        <v>74</v>
      </c>
      <c r="I484" s="2" t="s">
        <v>75</v>
      </c>
      <c r="J484" s="2" t="s">
        <v>76</v>
      </c>
      <c r="K484" s="2" t="s">
        <v>77</v>
      </c>
      <c r="L484" s="2" t="s">
        <v>105</v>
      </c>
      <c r="M484" s="2" t="s">
        <v>106</v>
      </c>
      <c r="N484" s="2" t="s">
        <v>1083</v>
      </c>
      <c r="O484" s="2" t="s">
        <v>100</v>
      </c>
      <c r="P484" s="2" t="str">
        <f>"2170574488                    "</f>
        <v xml:space="preserve">2170574488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35.020000000000003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2</v>
      </c>
      <c r="BI484" s="2">
        <v>17.399999999999999</v>
      </c>
      <c r="BJ484" s="2">
        <v>16.100000000000001</v>
      </c>
      <c r="BK484" s="2">
        <v>17.5</v>
      </c>
      <c r="BL484" s="2">
        <v>362.62</v>
      </c>
      <c r="BM484" s="2">
        <v>50.77</v>
      </c>
      <c r="BN484" s="2">
        <v>413.39</v>
      </c>
      <c r="BO484" s="2">
        <v>413.39</v>
      </c>
      <c r="BP484" s="2"/>
      <c r="BQ484" s="2" t="s">
        <v>83</v>
      </c>
      <c r="BR484" s="2" t="s">
        <v>84</v>
      </c>
      <c r="BS484" s="3">
        <v>42976</v>
      </c>
      <c r="BT484" s="4">
        <v>0.35416666666666669</v>
      </c>
      <c r="BU484" s="2" t="s">
        <v>1084</v>
      </c>
      <c r="BV484" s="2" t="s">
        <v>95</v>
      </c>
      <c r="BW484" s="2"/>
      <c r="BX484" s="2"/>
      <c r="BY484" s="2">
        <v>80410.87</v>
      </c>
      <c r="BZ484" s="2"/>
      <c r="CA484" s="2" t="s">
        <v>869</v>
      </c>
      <c r="CB484" s="2"/>
      <c r="CC484" s="2" t="s">
        <v>106</v>
      </c>
      <c r="CD484" s="2">
        <v>7460</v>
      </c>
      <c r="CE484" s="2" t="s">
        <v>89</v>
      </c>
      <c r="CF484" s="5">
        <v>42977</v>
      </c>
      <c r="CG484" s="2"/>
      <c r="CH484" s="2"/>
      <c r="CI484" s="2">
        <v>1</v>
      </c>
      <c r="CJ484" s="2">
        <v>1</v>
      </c>
      <c r="CK484" s="2">
        <v>21</v>
      </c>
      <c r="CL484" s="2" t="s">
        <v>86</v>
      </c>
      <c r="CM484" s="2"/>
    </row>
    <row r="485" spans="1:91">
      <c r="A485" s="2" t="s">
        <v>71</v>
      </c>
      <c r="B485" s="2" t="s">
        <v>72</v>
      </c>
      <c r="C485" s="2" t="s">
        <v>73</v>
      </c>
      <c r="D485" s="2"/>
      <c r="E485" s="2" t="str">
        <f>"FES1162570644"</f>
        <v>FES1162570644</v>
      </c>
      <c r="F485" s="3">
        <v>42969</v>
      </c>
      <c r="G485" s="2">
        <v>201802</v>
      </c>
      <c r="H485" s="2" t="s">
        <v>74</v>
      </c>
      <c r="I485" s="2" t="s">
        <v>75</v>
      </c>
      <c r="J485" s="2" t="s">
        <v>118</v>
      </c>
      <c r="K485" s="2" t="s">
        <v>77</v>
      </c>
      <c r="L485" s="2" t="s">
        <v>383</v>
      </c>
      <c r="M485" s="2" t="s">
        <v>384</v>
      </c>
      <c r="N485" s="2" t="s">
        <v>1085</v>
      </c>
      <c r="O485" s="2" t="s">
        <v>81</v>
      </c>
      <c r="P485" s="2" t="str">
        <f>"2170586400                    "</f>
        <v xml:space="preserve">2170586400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7.5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12.4</v>
      </c>
      <c r="BJ485" s="2">
        <v>5</v>
      </c>
      <c r="BK485" s="2">
        <v>13</v>
      </c>
      <c r="BL485" s="2">
        <v>82.7</v>
      </c>
      <c r="BM485" s="2">
        <v>11.58</v>
      </c>
      <c r="BN485" s="2">
        <v>94.28</v>
      </c>
      <c r="BO485" s="2">
        <v>94.28</v>
      </c>
      <c r="BP485" s="2"/>
      <c r="BQ485" s="2" t="s">
        <v>288</v>
      </c>
      <c r="BR485" s="2" t="s">
        <v>122</v>
      </c>
      <c r="BS485" s="3">
        <v>42970</v>
      </c>
      <c r="BT485" s="4">
        <v>0.41666666666666669</v>
      </c>
      <c r="BU485" s="2" t="s">
        <v>1086</v>
      </c>
      <c r="BV485" s="2" t="s">
        <v>95</v>
      </c>
      <c r="BW485" s="2"/>
      <c r="BX485" s="2"/>
      <c r="BY485" s="2">
        <v>25110.400000000001</v>
      </c>
      <c r="BZ485" s="2"/>
      <c r="CA485" s="2" t="s">
        <v>148</v>
      </c>
      <c r="CB485" s="2"/>
      <c r="CC485" s="2" t="s">
        <v>384</v>
      </c>
      <c r="CD485" s="2">
        <v>2200</v>
      </c>
      <c r="CE485" s="2" t="s">
        <v>89</v>
      </c>
      <c r="CF485" s="5">
        <v>42971</v>
      </c>
      <c r="CG485" s="2"/>
      <c r="CH485" s="2"/>
      <c r="CI485" s="2">
        <v>1</v>
      </c>
      <c r="CJ485" s="2">
        <v>1</v>
      </c>
      <c r="CK485" s="2" t="s">
        <v>163</v>
      </c>
      <c r="CL485" s="2" t="s">
        <v>86</v>
      </c>
      <c r="CM485" s="2"/>
    </row>
    <row r="486" spans="1:91">
      <c r="A486" s="2" t="s">
        <v>71</v>
      </c>
      <c r="B486" s="2" t="s">
        <v>72</v>
      </c>
      <c r="C486" s="2" t="s">
        <v>73</v>
      </c>
      <c r="D486" s="2"/>
      <c r="E486" s="2" t="str">
        <f>"FES1162571085"</f>
        <v>FES1162571085</v>
      </c>
      <c r="F486" s="3">
        <v>42970</v>
      </c>
      <c r="G486" s="2">
        <v>201802</v>
      </c>
      <c r="H486" s="2" t="s">
        <v>74</v>
      </c>
      <c r="I486" s="2" t="s">
        <v>75</v>
      </c>
      <c r="J486" s="2" t="s">
        <v>118</v>
      </c>
      <c r="K486" s="2" t="s">
        <v>77</v>
      </c>
      <c r="L486" s="2" t="s">
        <v>97</v>
      </c>
      <c r="M486" s="2" t="s">
        <v>98</v>
      </c>
      <c r="N486" s="2" t="s">
        <v>625</v>
      </c>
      <c r="O486" s="2" t="s">
        <v>81</v>
      </c>
      <c r="P486" s="2" t="str">
        <f>"2170581745                    "</f>
        <v xml:space="preserve">2170581745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9.9499999999999993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2</v>
      </c>
      <c r="BI486" s="2">
        <v>19.5</v>
      </c>
      <c r="BJ486" s="2">
        <v>9.1</v>
      </c>
      <c r="BK486" s="2">
        <v>20</v>
      </c>
      <c r="BL486" s="2">
        <v>107.99</v>
      </c>
      <c r="BM486" s="2">
        <v>15.12</v>
      </c>
      <c r="BN486" s="2">
        <v>123.11</v>
      </c>
      <c r="BO486" s="2">
        <v>123.11</v>
      </c>
      <c r="BP486" s="2"/>
      <c r="BQ486" s="2" t="s">
        <v>83</v>
      </c>
      <c r="BR486" s="2" t="s">
        <v>122</v>
      </c>
      <c r="BS486" s="3">
        <v>42971</v>
      </c>
      <c r="BT486" s="4">
        <v>0.36319444444444443</v>
      </c>
      <c r="BU486" s="2" t="s">
        <v>1087</v>
      </c>
      <c r="BV486" s="2" t="s">
        <v>95</v>
      </c>
      <c r="BW486" s="2"/>
      <c r="BX486" s="2"/>
      <c r="BY486" s="2">
        <v>45477.71</v>
      </c>
      <c r="BZ486" s="2"/>
      <c r="CA486" s="2" t="s">
        <v>103</v>
      </c>
      <c r="CB486" s="2"/>
      <c r="CC486" s="2" t="s">
        <v>98</v>
      </c>
      <c r="CD486" s="2">
        <v>6001</v>
      </c>
      <c r="CE486" s="2" t="s">
        <v>89</v>
      </c>
      <c r="CF486" s="5">
        <v>42972</v>
      </c>
      <c r="CG486" s="2"/>
      <c r="CH486" s="2"/>
      <c r="CI486" s="2">
        <v>2</v>
      </c>
      <c r="CJ486" s="2">
        <v>1</v>
      </c>
      <c r="CK486" s="2" t="s">
        <v>136</v>
      </c>
      <c r="CL486" s="2" t="s">
        <v>86</v>
      </c>
      <c r="CM486" s="2"/>
    </row>
    <row r="487" spans="1:91">
      <c r="A487" s="2" t="s">
        <v>71</v>
      </c>
      <c r="B487" s="2" t="s">
        <v>72</v>
      </c>
      <c r="C487" s="2" t="s">
        <v>73</v>
      </c>
      <c r="D487" s="2"/>
      <c r="E487" s="2" t="str">
        <f>"FES1162568600"</f>
        <v>FES1162568600</v>
      </c>
      <c r="F487" s="3">
        <v>42961</v>
      </c>
      <c r="G487" s="2">
        <v>201802</v>
      </c>
      <c r="H487" s="2" t="s">
        <v>74</v>
      </c>
      <c r="I487" s="2" t="s">
        <v>75</v>
      </c>
      <c r="J487" s="2" t="s">
        <v>118</v>
      </c>
      <c r="K487" s="2" t="s">
        <v>77</v>
      </c>
      <c r="L487" s="2" t="s">
        <v>1088</v>
      </c>
      <c r="M487" s="2" t="s">
        <v>1089</v>
      </c>
      <c r="N487" s="2" t="s">
        <v>1090</v>
      </c>
      <c r="O487" s="2" t="s">
        <v>81</v>
      </c>
      <c r="P487" s="2" t="str">
        <f>"2170583451                    "</f>
        <v xml:space="preserve">2170583451                    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10.91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3</v>
      </c>
      <c r="BI487" s="2">
        <v>13.6</v>
      </c>
      <c r="BJ487" s="2">
        <v>16.3</v>
      </c>
      <c r="BK487" s="2">
        <v>17</v>
      </c>
      <c r="BL487" s="2">
        <v>117.93</v>
      </c>
      <c r="BM487" s="2">
        <v>16.510000000000002</v>
      </c>
      <c r="BN487" s="2">
        <v>134.44</v>
      </c>
      <c r="BO487" s="2">
        <v>134.44</v>
      </c>
      <c r="BP487" s="2"/>
      <c r="BQ487" s="2" t="s">
        <v>288</v>
      </c>
      <c r="BR487" s="2" t="s">
        <v>122</v>
      </c>
      <c r="BS487" s="3">
        <v>42962</v>
      </c>
      <c r="BT487" s="4">
        <v>0.58194444444444449</v>
      </c>
      <c r="BU487" s="2" t="s">
        <v>1091</v>
      </c>
      <c r="BV487" s="2" t="s">
        <v>95</v>
      </c>
      <c r="BW487" s="2"/>
      <c r="BX487" s="2"/>
      <c r="BY487" s="2">
        <v>81674.559999999998</v>
      </c>
      <c r="BZ487" s="2"/>
      <c r="CA487" s="2" t="s">
        <v>1092</v>
      </c>
      <c r="CB487" s="2"/>
      <c r="CC487" s="2" t="s">
        <v>1089</v>
      </c>
      <c r="CD487" s="2">
        <v>1390</v>
      </c>
      <c r="CE487" s="2" t="s">
        <v>89</v>
      </c>
      <c r="CF487" s="5">
        <v>42964</v>
      </c>
      <c r="CG487" s="2"/>
      <c r="CH487" s="2"/>
      <c r="CI487" s="2">
        <v>2</v>
      </c>
      <c r="CJ487" s="2">
        <v>1</v>
      </c>
      <c r="CK487" s="2" t="s">
        <v>169</v>
      </c>
      <c r="CL487" s="2" t="s">
        <v>86</v>
      </c>
      <c r="CM487" s="2"/>
    </row>
    <row r="488" spans="1:91">
      <c r="A488" s="2" t="s">
        <v>71</v>
      </c>
      <c r="B488" s="2" t="s">
        <v>72</v>
      </c>
      <c r="C488" s="2" t="s">
        <v>73</v>
      </c>
      <c r="D488" s="2"/>
      <c r="E488" s="2" t="str">
        <f>"FES1162569948"</f>
        <v>FES1162569948</v>
      </c>
      <c r="F488" s="3">
        <v>42965</v>
      </c>
      <c r="G488" s="2">
        <v>201802</v>
      </c>
      <c r="H488" s="2" t="s">
        <v>74</v>
      </c>
      <c r="I488" s="2" t="s">
        <v>75</v>
      </c>
      <c r="J488" s="2" t="s">
        <v>118</v>
      </c>
      <c r="K488" s="2" t="s">
        <v>77</v>
      </c>
      <c r="L488" s="2" t="s">
        <v>252</v>
      </c>
      <c r="M488" s="2" t="s">
        <v>106</v>
      </c>
      <c r="N488" s="2" t="s">
        <v>1093</v>
      </c>
      <c r="O488" s="2" t="s">
        <v>81</v>
      </c>
      <c r="P488" s="2" t="str">
        <f>"2170585717                    "</f>
        <v xml:space="preserve">2170585717  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13.8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14.9</v>
      </c>
      <c r="BJ488" s="2">
        <v>31</v>
      </c>
      <c r="BK488" s="2">
        <v>31</v>
      </c>
      <c r="BL488" s="2">
        <v>147.91999999999999</v>
      </c>
      <c r="BM488" s="2">
        <v>20.71</v>
      </c>
      <c r="BN488" s="2">
        <v>168.63</v>
      </c>
      <c r="BO488" s="2">
        <v>168.63</v>
      </c>
      <c r="BP488" s="2"/>
      <c r="BQ488" s="2" t="s">
        <v>83</v>
      </c>
      <c r="BR488" s="2" t="s">
        <v>122</v>
      </c>
      <c r="BS488" s="3">
        <v>42968</v>
      </c>
      <c r="BT488" s="4">
        <v>0.36944444444444446</v>
      </c>
      <c r="BU488" s="2" t="s">
        <v>1094</v>
      </c>
      <c r="BV488" s="2" t="s">
        <v>95</v>
      </c>
      <c r="BW488" s="2"/>
      <c r="BX488" s="2"/>
      <c r="BY488" s="2">
        <v>154960.20000000001</v>
      </c>
      <c r="BZ488" s="2"/>
      <c r="CA488" s="2" t="s">
        <v>1095</v>
      </c>
      <c r="CB488" s="2"/>
      <c r="CC488" s="2" t="s">
        <v>106</v>
      </c>
      <c r="CD488" s="2">
        <v>7975</v>
      </c>
      <c r="CE488" s="2" t="s">
        <v>89</v>
      </c>
      <c r="CF488" s="5">
        <v>42969</v>
      </c>
      <c r="CG488" s="2"/>
      <c r="CH488" s="2"/>
      <c r="CI488" s="2">
        <v>2</v>
      </c>
      <c r="CJ488" s="2">
        <v>1</v>
      </c>
      <c r="CK488" s="2" t="s">
        <v>136</v>
      </c>
      <c r="CL488" s="2" t="s">
        <v>86</v>
      </c>
      <c r="CM488" s="2"/>
    </row>
    <row r="489" spans="1:91">
      <c r="A489" s="2" t="s">
        <v>71</v>
      </c>
      <c r="B489" s="2" t="s">
        <v>72</v>
      </c>
      <c r="C489" s="2" t="s">
        <v>73</v>
      </c>
      <c r="D489" s="2"/>
      <c r="E489" s="2" t="str">
        <f>"FES1162571230"</f>
        <v>FES1162571230</v>
      </c>
      <c r="F489" s="3">
        <v>42971</v>
      </c>
      <c r="G489" s="2">
        <v>201802</v>
      </c>
      <c r="H489" s="2" t="s">
        <v>74</v>
      </c>
      <c r="I489" s="2" t="s">
        <v>75</v>
      </c>
      <c r="J489" s="2" t="s">
        <v>118</v>
      </c>
      <c r="K489" s="2" t="s">
        <v>77</v>
      </c>
      <c r="L489" s="2" t="s">
        <v>944</v>
      </c>
      <c r="M489" s="2" t="s">
        <v>944</v>
      </c>
      <c r="N489" s="2" t="s">
        <v>1096</v>
      </c>
      <c r="O489" s="2" t="s">
        <v>81</v>
      </c>
      <c r="P489" s="2" t="str">
        <f>"2170586868                    "</f>
        <v xml:space="preserve">2170586868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8.6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10.1</v>
      </c>
      <c r="BJ489" s="2">
        <v>18.399999999999999</v>
      </c>
      <c r="BK489" s="2">
        <v>19</v>
      </c>
      <c r="BL489" s="2">
        <v>94.08</v>
      </c>
      <c r="BM489" s="2">
        <v>13.17</v>
      </c>
      <c r="BN489" s="2">
        <v>107.25</v>
      </c>
      <c r="BO489" s="2">
        <v>107.25</v>
      </c>
      <c r="BP489" s="2"/>
      <c r="BQ489" s="2" t="s">
        <v>288</v>
      </c>
      <c r="BR489" s="2" t="s">
        <v>122</v>
      </c>
      <c r="BS489" s="3">
        <v>42972</v>
      </c>
      <c r="BT489" s="4">
        <v>0.4375</v>
      </c>
      <c r="BU489" s="2" t="s">
        <v>1097</v>
      </c>
      <c r="BV489" s="2" t="s">
        <v>95</v>
      </c>
      <c r="BW489" s="2"/>
      <c r="BX489" s="2"/>
      <c r="BY489" s="2">
        <v>91771.839999999997</v>
      </c>
      <c r="BZ489" s="2"/>
      <c r="CA489" s="2" t="s">
        <v>1098</v>
      </c>
      <c r="CB489" s="2"/>
      <c r="CC489" s="2" t="s">
        <v>944</v>
      </c>
      <c r="CD489" s="2">
        <v>1490</v>
      </c>
      <c r="CE489" s="2" t="s">
        <v>89</v>
      </c>
      <c r="CF489" s="5">
        <v>42975</v>
      </c>
      <c r="CG489" s="2"/>
      <c r="CH489" s="2"/>
      <c r="CI489" s="2">
        <v>1</v>
      </c>
      <c r="CJ489" s="2">
        <v>1</v>
      </c>
      <c r="CK489" s="2" t="s">
        <v>163</v>
      </c>
      <c r="CL489" s="2" t="s">
        <v>86</v>
      </c>
      <c r="CM489" s="2"/>
    </row>
    <row r="490" spans="1:91">
      <c r="A490" s="2" t="s">
        <v>71</v>
      </c>
      <c r="B490" s="2" t="s">
        <v>72</v>
      </c>
      <c r="C490" s="2" t="s">
        <v>73</v>
      </c>
      <c r="D490" s="2"/>
      <c r="E490" s="2" t="str">
        <f>"FES1162568391"</f>
        <v>FES1162568391</v>
      </c>
      <c r="F490" s="3">
        <v>42958</v>
      </c>
      <c r="G490" s="2">
        <v>201802</v>
      </c>
      <c r="H490" s="2" t="s">
        <v>74</v>
      </c>
      <c r="I490" s="2" t="s">
        <v>75</v>
      </c>
      <c r="J490" s="2" t="s">
        <v>118</v>
      </c>
      <c r="K490" s="2" t="s">
        <v>77</v>
      </c>
      <c r="L490" s="2" t="s">
        <v>632</v>
      </c>
      <c r="M490" s="2" t="s">
        <v>269</v>
      </c>
      <c r="N490" s="2" t="s">
        <v>1099</v>
      </c>
      <c r="O490" s="2" t="s">
        <v>81</v>
      </c>
      <c r="P490" s="2" t="str">
        <f>"2170584478                    "</f>
        <v xml:space="preserve">2170584478 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6.88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1</v>
      </c>
      <c r="BI490" s="2">
        <v>6</v>
      </c>
      <c r="BJ490" s="2">
        <v>9.3000000000000007</v>
      </c>
      <c r="BK490" s="2">
        <v>10</v>
      </c>
      <c r="BL490" s="2">
        <v>76.23</v>
      </c>
      <c r="BM490" s="2">
        <v>10.67</v>
      </c>
      <c r="BN490" s="2">
        <v>86.9</v>
      </c>
      <c r="BO490" s="2">
        <v>86.9</v>
      </c>
      <c r="BP490" s="2"/>
      <c r="BQ490" s="2" t="s">
        <v>83</v>
      </c>
      <c r="BR490" s="2" t="s">
        <v>122</v>
      </c>
      <c r="BS490" s="3">
        <v>42961</v>
      </c>
      <c r="BT490" s="4">
        <v>0.35416666666666669</v>
      </c>
      <c r="BU490" s="2" t="s">
        <v>1100</v>
      </c>
      <c r="BV490" s="2" t="s">
        <v>95</v>
      </c>
      <c r="BW490" s="2"/>
      <c r="BX490" s="2"/>
      <c r="BY490" s="2">
        <v>46498.45</v>
      </c>
      <c r="BZ490" s="2"/>
      <c r="CA490" s="2"/>
      <c r="CB490" s="2"/>
      <c r="CC490" s="2" t="s">
        <v>269</v>
      </c>
      <c r="CD490" s="2">
        <v>45</v>
      </c>
      <c r="CE490" s="2" t="s">
        <v>89</v>
      </c>
      <c r="CF490" s="5">
        <v>42962</v>
      </c>
      <c r="CG490" s="2"/>
      <c r="CH490" s="2"/>
      <c r="CI490" s="2">
        <v>0</v>
      </c>
      <c r="CJ490" s="2">
        <v>0</v>
      </c>
      <c r="CK490" s="2" t="s">
        <v>143</v>
      </c>
      <c r="CL490" s="2" t="s">
        <v>86</v>
      </c>
      <c r="CM490" s="2"/>
    </row>
    <row r="491" spans="1:91">
      <c r="A491" s="2" t="s">
        <v>71</v>
      </c>
      <c r="B491" s="2" t="s">
        <v>72</v>
      </c>
      <c r="C491" s="2" t="s">
        <v>73</v>
      </c>
      <c r="D491" s="2"/>
      <c r="E491" s="2" t="str">
        <f>"FES1162569823"</f>
        <v>FES1162569823</v>
      </c>
      <c r="F491" s="3">
        <v>42964</v>
      </c>
      <c r="G491" s="2">
        <v>201802</v>
      </c>
      <c r="H491" s="2" t="s">
        <v>74</v>
      </c>
      <c r="I491" s="2" t="s">
        <v>75</v>
      </c>
      <c r="J491" s="2" t="s">
        <v>118</v>
      </c>
      <c r="K491" s="2" t="s">
        <v>77</v>
      </c>
      <c r="L491" s="2" t="s">
        <v>97</v>
      </c>
      <c r="M491" s="2" t="s">
        <v>98</v>
      </c>
      <c r="N491" s="2" t="s">
        <v>214</v>
      </c>
      <c r="O491" s="2" t="s">
        <v>81</v>
      </c>
      <c r="P491" s="2" t="str">
        <f>"2170585614                    "</f>
        <v xml:space="preserve">2170585614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14.5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17.8</v>
      </c>
      <c r="BJ491" s="2">
        <v>32.200000000000003</v>
      </c>
      <c r="BK491" s="2">
        <v>33</v>
      </c>
      <c r="BL491" s="2">
        <v>155.18</v>
      </c>
      <c r="BM491" s="2">
        <v>21.73</v>
      </c>
      <c r="BN491" s="2">
        <v>176.91</v>
      </c>
      <c r="BO491" s="2">
        <v>176.91</v>
      </c>
      <c r="BP491" s="2"/>
      <c r="BQ491" s="2" t="s">
        <v>83</v>
      </c>
      <c r="BR491" s="2" t="s">
        <v>122</v>
      </c>
      <c r="BS491" s="3">
        <v>42965</v>
      </c>
      <c r="BT491" s="4">
        <v>0.43194444444444446</v>
      </c>
      <c r="BU491" s="2" t="s">
        <v>589</v>
      </c>
      <c r="BV491" s="2" t="s">
        <v>95</v>
      </c>
      <c r="BW491" s="2"/>
      <c r="BX491" s="2"/>
      <c r="BY491" s="2">
        <v>161101.66</v>
      </c>
      <c r="BZ491" s="2"/>
      <c r="CA491" s="2" t="s">
        <v>286</v>
      </c>
      <c r="CB491" s="2"/>
      <c r="CC491" s="2" t="s">
        <v>98</v>
      </c>
      <c r="CD491" s="2">
        <v>6001</v>
      </c>
      <c r="CE491" s="2" t="s">
        <v>89</v>
      </c>
      <c r="CF491" s="5">
        <v>42968</v>
      </c>
      <c r="CG491" s="2"/>
      <c r="CH491" s="2"/>
      <c r="CI491" s="2">
        <v>2</v>
      </c>
      <c r="CJ491" s="2">
        <v>1</v>
      </c>
      <c r="CK491" s="2" t="s">
        <v>136</v>
      </c>
      <c r="CL491" s="2" t="s">
        <v>86</v>
      </c>
      <c r="CM491" s="2"/>
    </row>
    <row r="492" spans="1:91">
      <c r="A492" s="2" t="s">
        <v>71</v>
      </c>
      <c r="B492" s="2" t="s">
        <v>72</v>
      </c>
      <c r="C492" s="2" t="s">
        <v>73</v>
      </c>
      <c r="D492" s="2"/>
      <c r="E492" s="2" t="str">
        <f>"FES1162571048"</f>
        <v>FES1162571048</v>
      </c>
      <c r="F492" s="3">
        <v>42970</v>
      </c>
      <c r="G492" s="2">
        <v>201802</v>
      </c>
      <c r="H492" s="2" t="s">
        <v>74</v>
      </c>
      <c r="I492" s="2" t="s">
        <v>75</v>
      </c>
      <c r="J492" s="2" t="s">
        <v>118</v>
      </c>
      <c r="K492" s="2" t="s">
        <v>77</v>
      </c>
      <c r="L492" s="2" t="s">
        <v>1101</v>
      </c>
      <c r="M492" s="2" t="s">
        <v>1102</v>
      </c>
      <c r="N492" s="2" t="s">
        <v>1103</v>
      </c>
      <c r="O492" s="2" t="s">
        <v>81</v>
      </c>
      <c r="P492" s="2" t="str">
        <f>"2170586726                    "</f>
        <v xml:space="preserve">2170586726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5.63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4.9000000000000004</v>
      </c>
      <c r="BJ492" s="2">
        <v>2.5</v>
      </c>
      <c r="BK492" s="2">
        <v>5</v>
      </c>
      <c r="BL492" s="2">
        <v>63.28</v>
      </c>
      <c r="BM492" s="2">
        <v>8.86</v>
      </c>
      <c r="BN492" s="2">
        <v>72.14</v>
      </c>
      <c r="BO492" s="2">
        <v>72.14</v>
      </c>
      <c r="BP492" s="2" t="s">
        <v>1104</v>
      </c>
      <c r="BQ492" s="2" t="s">
        <v>83</v>
      </c>
      <c r="BR492" s="2" t="s">
        <v>122</v>
      </c>
      <c r="BS492" s="3">
        <v>42972</v>
      </c>
      <c r="BT492" s="4">
        <v>0.52500000000000002</v>
      </c>
      <c r="BU492" s="2" t="s">
        <v>1105</v>
      </c>
      <c r="BV492" s="2" t="s">
        <v>86</v>
      </c>
      <c r="BW492" s="2"/>
      <c r="BX492" s="2"/>
      <c r="BY492" s="2">
        <v>12719.72</v>
      </c>
      <c r="BZ492" s="2"/>
      <c r="CA492" s="2"/>
      <c r="CB492" s="2"/>
      <c r="CC492" s="2" t="s">
        <v>1102</v>
      </c>
      <c r="CD492" s="2">
        <v>2531</v>
      </c>
      <c r="CE492" s="2" t="s">
        <v>135</v>
      </c>
      <c r="CF492" s="5">
        <v>42975</v>
      </c>
      <c r="CG492" s="2"/>
      <c r="CH492" s="2"/>
      <c r="CI492" s="2">
        <v>1</v>
      </c>
      <c r="CJ492" s="2">
        <v>2</v>
      </c>
      <c r="CK492" s="2" t="s">
        <v>90</v>
      </c>
      <c r="CL492" s="2" t="s">
        <v>86</v>
      </c>
      <c r="CM492" s="2"/>
    </row>
    <row r="493" spans="1:91">
      <c r="A493" s="2" t="s">
        <v>71</v>
      </c>
      <c r="B493" s="2" t="s">
        <v>72</v>
      </c>
      <c r="C493" s="2" t="s">
        <v>73</v>
      </c>
      <c r="D493" s="2"/>
      <c r="E493" s="2" t="str">
        <f>"FES1162571000"</f>
        <v>FES1162571000</v>
      </c>
      <c r="F493" s="3">
        <v>42970</v>
      </c>
      <c r="G493" s="2">
        <v>201802</v>
      </c>
      <c r="H493" s="2" t="s">
        <v>74</v>
      </c>
      <c r="I493" s="2" t="s">
        <v>75</v>
      </c>
      <c r="J493" s="2" t="s">
        <v>118</v>
      </c>
      <c r="K493" s="2" t="s">
        <v>77</v>
      </c>
      <c r="L493" s="2" t="s">
        <v>137</v>
      </c>
      <c r="M493" s="2" t="s">
        <v>138</v>
      </c>
      <c r="N493" s="2" t="s">
        <v>701</v>
      </c>
      <c r="O493" s="2" t="s">
        <v>81</v>
      </c>
      <c r="P493" s="2" t="str">
        <f>"2170586579                    "</f>
        <v xml:space="preserve">2170586579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6.88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5.6</v>
      </c>
      <c r="BJ493" s="2">
        <v>2.5</v>
      </c>
      <c r="BK493" s="2">
        <v>6</v>
      </c>
      <c r="BL493" s="2">
        <v>76.23</v>
      </c>
      <c r="BM493" s="2">
        <v>10.67</v>
      </c>
      <c r="BN493" s="2">
        <v>86.9</v>
      </c>
      <c r="BO493" s="2">
        <v>86.9</v>
      </c>
      <c r="BP493" s="2"/>
      <c r="BQ493" s="2" t="s">
        <v>83</v>
      </c>
      <c r="BR493" s="2" t="s">
        <v>122</v>
      </c>
      <c r="BS493" s="3">
        <v>42971</v>
      </c>
      <c r="BT493" s="4">
        <v>0.3347222222222222</v>
      </c>
      <c r="BU493" s="2" t="s">
        <v>1106</v>
      </c>
      <c r="BV493" s="2"/>
      <c r="BW493" s="2"/>
      <c r="BX493" s="2"/>
      <c r="BY493" s="2">
        <v>12455.21</v>
      </c>
      <c r="BZ493" s="2"/>
      <c r="CA493" s="2"/>
      <c r="CB493" s="2"/>
      <c r="CC493" s="2" t="s">
        <v>138</v>
      </c>
      <c r="CD493" s="2">
        <v>157</v>
      </c>
      <c r="CE493" s="2" t="s">
        <v>89</v>
      </c>
      <c r="CF493" s="5">
        <v>42972</v>
      </c>
      <c r="CG493" s="2"/>
      <c r="CH493" s="2"/>
      <c r="CI493" s="2">
        <v>0</v>
      </c>
      <c r="CJ493" s="2">
        <v>0</v>
      </c>
      <c r="CK493" s="2" t="s">
        <v>143</v>
      </c>
      <c r="CL493" s="2" t="s">
        <v>86</v>
      </c>
      <c r="CM493" s="2"/>
    </row>
    <row r="494" spans="1:91">
      <c r="A494" s="2" t="s">
        <v>71</v>
      </c>
      <c r="B494" s="2" t="s">
        <v>72</v>
      </c>
      <c r="C494" s="2" t="s">
        <v>73</v>
      </c>
      <c r="D494" s="2"/>
      <c r="E494" s="2" t="str">
        <f>"FES1162568696"</f>
        <v>FES1162568696</v>
      </c>
      <c r="F494" s="3">
        <v>42961</v>
      </c>
      <c r="G494" s="2">
        <v>201802</v>
      </c>
      <c r="H494" s="2" t="s">
        <v>74</v>
      </c>
      <c r="I494" s="2" t="s">
        <v>75</v>
      </c>
      <c r="J494" s="2" t="s">
        <v>118</v>
      </c>
      <c r="K494" s="2" t="s">
        <v>77</v>
      </c>
      <c r="L494" s="2" t="s">
        <v>306</v>
      </c>
      <c r="M494" s="2" t="s">
        <v>307</v>
      </c>
      <c r="N494" s="2" t="s">
        <v>1107</v>
      </c>
      <c r="O494" s="2" t="s">
        <v>81</v>
      </c>
      <c r="P494" s="2" t="str">
        <f>"2170581916                    "</f>
        <v xml:space="preserve">2170581916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6.88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1</v>
      </c>
      <c r="BI494" s="2">
        <v>12</v>
      </c>
      <c r="BJ494" s="2">
        <v>9.8000000000000007</v>
      </c>
      <c r="BK494" s="2">
        <v>12</v>
      </c>
      <c r="BL494" s="2">
        <v>76.23</v>
      </c>
      <c r="BM494" s="2">
        <v>10.67</v>
      </c>
      <c r="BN494" s="2">
        <v>86.9</v>
      </c>
      <c r="BO494" s="2">
        <v>86.9</v>
      </c>
      <c r="BP494" s="2"/>
      <c r="BQ494" s="2" t="s">
        <v>83</v>
      </c>
      <c r="BR494" s="2" t="s">
        <v>122</v>
      </c>
      <c r="BS494" s="3">
        <v>42962</v>
      </c>
      <c r="BT494" s="4">
        <v>0.50694444444444442</v>
      </c>
      <c r="BU494" s="2" t="s">
        <v>1108</v>
      </c>
      <c r="BV494" s="2" t="s">
        <v>86</v>
      </c>
      <c r="BW494" s="2"/>
      <c r="BX494" s="2"/>
      <c r="BY494" s="2">
        <v>49140</v>
      </c>
      <c r="BZ494" s="2"/>
      <c r="CA494" s="2"/>
      <c r="CB494" s="2"/>
      <c r="CC494" s="2" t="s">
        <v>307</v>
      </c>
      <c r="CD494" s="2">
        <v>1961</v>
      </c>
      <c r="CE494" s="2" t="s">
        <v>89</v>
      </c>
      <c r="CF494" s="5">
        <v>42963</v>
      </c>
      <c r="CG494" s="2"/>
      <c r="CH494" s="2"/>
      <c r="CI494" s="2">
        <v>1</v>
      </c>
      <c r="CJ494" s="2">
        <v>1</v>
      </c>
      <c r="CK494" s="2" t="s">
        <v>143</v>
      </c>
      <c r="CL494" s="2" t="s">
        <v>86</v>
      </c>
      <c r="CM494" s="2"/>
    </row>
    <row r="495" spans="1:91">
      <c r="A495" s="2" t="s">
        <v>71</v>
      </c>
      <c r="B495" s="2" t="s">
        <v>72</v>
      </c>
      <c r="C495" s="2" t="s">
        <v>73</v>
      </c>
      <c r="D495" s="2"/>
      <c r="E495" s="2" t="str">
        <f>"FES1162569202"</f>
        <v>FES1162569202</v>
      </c>
      <c r="F495" s="3">
        <v>42963</v>
      </c>
      <c r="G495" s="2">
        <v>201802</v>
      </c>
      <c r="H495" s="2" t="s">
        <v>74</v>
      </c>
      <c r="I495" s="2" t="s">
        <v>75</v>
      </c>
      <c r="J495" s="2" t="s">
        <v>118</v>
      </c>
      <c r="K495" s="2" t="s">
        <v>77</v>
      </c>
      <c r="L495" s="2" t="s">
        <v>632</v>
      </c>
      <c r="M495" s="2" t="s">
        <v>269</v>
      </c>
      <c r="N495" s="2" t="s">
        <v>442</v>
      </c>
      <c r="O495" s="2" t="s">
        <v>81</v>
      </c>
      <c r="P495" s="2" t="str">
        <f>"2170578792                    "</f>
        <v xml:space="preserve">2170578792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6.88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4.3</v>
      </c>
      <c r="BJ495" s="2">
        <v>1.8</v>
      </c>
      <c r="BK495" s="2">
        <v>5</v>
      </c>
      <c r="BL495" s="2">
        <v>76.23</v>
      </c>
      <c r="BM495" s="2">
        <v>10.67</v>
      </c>
      <c r="BN495" s="2">
        <v>86.9</v>
      </c>
      <c r="BO495" s="2">
        <v>86.9</v>
      </c>
      <c r="BP495" s="2"/>
      <c r="BQ495" s="2" t="s">
        <v>83</v>
      </c>
      <c r="BR495" s="2" t="s">
        <v>122</v>
      </c>
      <c r="BS495" s="3">
        <v>42964</v>
      </c>
      <c r="BT495" s="4">
        <v>0.4236111111111111</v>
      </c>
      <c r="BU495" s="2" t="s">
        <v>443</v>
      </c>
      <c r="BV495" s="2"/>
      <c r="BW495" s="2"/>
      <c r="BX495" s="2"/>
      <c r="BY495" s="2">
        <v>9201.6</v>
      </c>
      <c r="BZ495" s="2"/>
      <c r="CA495" s="2" t="s">
        <v>445</v>
      </c>
      <c r="CB495" s="2"/>
      <c r="CC495" s="2" t="s">
        <v>269</v>
      </c>
      <c r="CD495" s="2">
        <v>1</v>
      </c>
      <c r="CE495" s="2" t="s">
        <v>104</v>
      </c>
      <c r="CF495" s="5">
        <v>42965</v>
      </c>
      <c r="CG495" s="2"/>
      <c r="CH495" s="2"/>
      <c r="CI495" s="2">
        <v>0</v>
      </c>
      <c r="CJ495" s="2">
        <v>0</v>
      </c>
      <c r="CK495" s="2" t="s">
        <v>143</v>
      </c>
      <c r="CL495" s="2" t="s">
        <v>86</v>
      </c>
      <c r="CM495" s="2"/>
    </row>
    <row r="496" spans="1:91">
      <c r="A496" s="2" t="s">
        <v>71</v>
      </c>
      <c r="B496" s="2" t="s">
        <v>72</v>
      </c>
      <c r="C496" s="2" t="s">
        <v>73</v>
      </c>
      <c r="D496" s="2"/>
      <c r="E496" s="2" t="str">
        <f>"FES1162571275"</f>
        <v>FES1162571275</v>
      </c>
      <c r="F496" s="3">
        <v>42971</v>
      </c>
      <c r="G496" s="2">
        <v>201802</v>
      </c>
      <c r="H496" s="2" t="s">
        <v>74</v>
      </c>
      <c r="I496" s="2" t="s">
        <v>75</v>
      </c>
      <c r="J496" s="2" t="s">
        <v>118</v>
      </c>
      <c r="K496" s="2" t="s">
        <v>77</v>
      </c>
      <c r="L496" s="2" t="s">
        <v>137</v>
      </c>
      <c r="M496" s="2" t="s">
        <v>138</v>
      </c>
      <c r="N496" s="2" t="s">
        <v>368</v>
      </c>
      <c r="O496" s="2" t="s">
        <v>81</v>
      </c>
      <c r="P496" s="2" t="str">
        <f>"2170586918                    "</f>
        <v xml:space="preserve">2170586918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7.3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1</v>
      </c>
      <c r="BI496" s="2">
        <v>16.7</v>
      </c>
      <c r="BJ496" s="2">
        <v>4.4000000000000004</v>
      </c>
      <c r="BK496" s="2">
        <v>17</v>
      </c>
      <c r="BL496" s="2">
        <v>80.63</v>
      </c>
      <c r="BM496" s="2">
        <v>11.29</v>
      </c>
      <c r="BN496" s="2">
        <v>91.92</v>
      </c>
      <c r="BO496" s="2">
        <v>91.92</v>
      </c>
      <c r="BP496" s="2"/>
      <c r="BQ496" s="2" t="s">
        <v>83</v>
      </c>
      <c r="BR496" s="2" t="s">
        <v>122</v>
      </c>
      <c r="BS496" s="3">
        <v>42972</v>
      </c>
      <c r="BT496" s="4">
        <v>0.34166666666666662</v>
      </c>
      <c r="BU496" s="2" t="s">
        <v>1109</v>
      </c>
      <c r="BV496" s="2"/>
      <c r="BW496" s="2"/>
      <c r="BX496" s="2"/>
      <c r="BY496" s="2">
        <v>21753.83</v>
      </c>
      <c r="BZ496" s="2"/>
      <c r="CA496" s="2"/>
      <c r="CB496" s="2"/>
      <c r="CC496" s="2" t="s">
        <v>138</v>
      </c>
      <c r="CD496" s="2">
        <v>157</v>
      </c>
      <c r="CE496" s="2" t="s">
        <v>89</v>
      </c>
      <c r="CF496" s="5">
        <v>42975</v>
      </c>
      <c r="CG496" s="2"/>
      <c r="CH496" s="2"/>
      <c r="CI496" s="2">
        <v>0</v>
      </c>
      <c r="CJ496" s="2">
        <v>0</v>
      </c>
      <c r="CK496" s="2" t="s">
        <v>143</v>
      </c>
      <c r="CL496" s="2" t="s">
        <v>86</v>
      </c>
      <c r="CM496" s="2"/>
    </row>
    <row r="497" spans="1:91">
      <c r="A497" s="2" t="s">
        <v>71</v>
      </c>
      <c r="B497" s="2" t="s">
        <v>72</v>
      </c>
      <c r="C497" s="2" t="s">
        <v>73</v>
      </c>
      <c r="D497" s="2"/>
      <c r="E497" s="2" t="str">
        <f>"FES1162570994"</f>
        <v>FES1162570994</v>
      </c>
      <c r="F497" s="3">
        <v>42970</v>
      </c>
      <c r="G497" s="2">
        <v>201802</v>
      </c>
      <c r="H497" s="2" t="s">
        <v>74</v>
      </c>
      <c r="I497" s="2" t="s">
        <v>75</v>
      </c>
      <c r="J497" s="2" t="s">
        <v>118</v>
      </c>
      <c r="K497" s="2" t="s">
        <v>77</v>
      </c>
      <c r="L497" s="2" t="s">
        <v>632</v>
      </c>
      <c r="M497" s="2" t="s">
        <v>269</v>
      </c>
      <c r="N497" s="2" t="s">
        <v>1003</v>
      </c>
      <c r="O497" s="2" t="s">
        <v>81</v>
      </c>
      <c r="P497" s="2" t="str">
        <f>"2170586349                    "</f>
        <v xml:space="preserve">2170586349 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6.88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1</v>
      </c>
      <c r="BI497" s="2">
        <v>3.8</v>
      </c>
      <c r="BJ497" s="2">
        <v>2.1</v>
      </c>
      <c r="BK497" s="2">
        <v>4</v>
      </c>
      <c r="BL497" s="2">
        <v>76.23</v>
      </c>
      <c r="BM497" s="2">
        <v>10.67</v>
      </c>
      <c r="BN497" s="2">
        <v>86.9</v>
      </c>
      <c r="BO497" s="2">
        <v>86.9</v>
      </c>
      <c r="BP497" s="2"/>
      <c r="BQ497" s="2" t="s">
        <v>83</v>
      </c>
      <c r="BR497" s="2" t="s">
        <v>122</v>
      </c>
      <c r="BS497" s="3">
        <v>42971</v>
      </c>
      <c r="BT497" s="4">
        <v>0.4201388888888889</v>
      </c>
      <c r="BU497" s="2" t="s">
        <v>85</v>
      </c>
      <c r="BV497" s="2"/>
      <c r="BW497" s="2"/>
      <c r="BX497" s="2"/>
      <c r="BY497" s="2">
        <v>10719.04</v>
      </c>
      <c r="BZ497" s="2"/>
      <c r="CA497" s="2"/>
      <c r="CB497" s="2"/>
      <c r="CC497" s="2" t="s">
        <v>269</v>
      </c>
      <c r="CD497" s="2">
        <v>117</v>
      </c>
      <c r="CE497" s="2" t="s">
        <v>89</v>
      </c>
      <c r="CF497" s="5">
        <v>42972</v>
      </c>
      <c r="CG497" s="2"/>
      <c r="CH497" s="2"/>
      <c r="CI497" s="2">
        <v>0</v>
      </c>
      <c r="CJ497" s="2">
        <v>0</v>
      </c>
      <c r="CK497" s="2" t="s">
        <v>143</v>
      </c>
      <c r="CL497" s="2" t="s">
        <v>86</v>
      </c>
      <c r="CM497" s="2"/>
    </row>
    <row r="498" spans="1:91">
      <c r="A498" s="2" t="s">
        <v>71</v>
      </c>
      <c r="B498" s="2" t="s">
        <v>72</v>
      </c>
      <c r="C498" s="2" t="s">
        <v>73</v>
      </c>
      <c r="D498" s="2"/>
      <c r="E498" s="2" t="str">
        <f>"FES1162567779"</f>
        <v>FES1162567779</v>
      </c>
      <c r="F498" s="3">
        <v>42958</v>
      </c>
      <c r="G498" s="2">
        <v>201802</v>
      </c>
      <c r="H498" s="2" t="s">
        <v>74</v>
      </c>
      <c r="I498" s="2" t="s">
        <v>75</v>
      </c>
      <c r="J498" s="2" t="s">
        <v>118</v>
      </c>
      <c r="K498" s="2" t="s">
        <v>77</v>
      </c>
      <c r="L498" s="2" t="s">
        <v>137</v>
      </c>
      <c r="M498" s="2" t="s">
        <v>138</v>
      </c>
      <c r="N498" s="2" t="s">
        <v>1110</v>
      </c>
      <c r="O498" s="2" t="s">
        <v>81</v>
      </c>
      <c r="P498" s="2" t="str">
        <f>"2170583919                    "</f>
        <v xml:space="preserve">2170583919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6.88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7.2</v>
      </c>
      <c r="BJ498" s="2">
        <v>4.0999999999999996</v>
      </c>
      <c r="BK498" s="2">
        <v>8</v>
      </c>
      <c r="BL498" s="2">
        <v>76.23</v>
      </c>
      <c r="BM498" s="2">
        <v>10.67</v>
      </c>
      <c r="BN498" s="2">
        <v>86.9</v>
      </c>
      <c r="BO498" s="2">
        <v>86.9</v>
      </c>
      <c r="BP498" s="2"/>
      <c r="BQ498" s="2" t="s">
        <v>83</v>
      </c>
      <c r="BR498" s="2" t="s">
        <v>122</v>
      </c>
      <c r="BS498" s="3">
        <v>42961</v>
      </c>
      <c r="BT498" s="4">
        <v>0.38125000000000003</v>
      </c>
      <c r="BU498" s="2" t="s">
        <v>85</v>
      </c>
      <c r="BV498" s="2" t="s">
        <v>95</v>
      </c>
      <c r="BW498" s="2"/>
      <c r="BX498" s="2"/>
      <c r="BY498" s="2">
        <v>20482.3</v>
      </c>
      <c r="BZ498" s="2"/>
      <c r="CA498" s="2"/>
      <c r="CB498" s="2"/>
      <c r="CC498" s="2" t="s">
        <v>138</v>
      </c>
      <c r="CD498" s="2">
        <v>157</v>
      </c>
      <c r="CE498" s="2" t="s">
        <v>89</v>
      </c>
      <c r="CF498" s="5">
        <v>42962</v>
      </c>
      <c r="CG498" s="2"/>
      <c r="CH498" s="2"/>
      <c r="CI498" s="2">
        <v>0</v>
      </c>
      <c r="CJ498" s="2">
        <v>0</v>
      </c>
      <c r="CK498" s="2" t="s">
        <v>143</v>
      </c>
      <c r="CL498" s="2" t="s">
        <v>86</v>
      </c>
      <c r="CM498" s="2"/>
    </row>
    <row r="499" spans="1:91">
      <c r="A499" s="2" t="s">
        <v>71</v>
      </c>
      <c r="B499" s="2" t="s">
        <v>72</v>
      </c>
      <c r="C499" s="2" t="s">
        <v>73</v>
      </c>
      <c r="D499" s="2"/>
      <c r="E499" s="2" t="str">
        <f>"FES1162569179"</f>
        <v>FES1162569179</v>
      </c>
      <c r="F499" s="3">
        <v>42963</v>
      </c>
      <c r="G499" s="2">
        <v>201802</v>
      </c>
      <c r="H499" s="2" t="s">
        <v>74</v>
      </c>
      <c r="I499" s="2" t="s">
        <v>75</v>
      </c>
      <c r="J499" s="2" t="s">
        <v>118</v>
      </c>
      <c r="K499" s="2" t="s">
        <v>77</v>
      </c>
      <c r="L499" s="2" t="s">
        <v>216</v>
      </c>
      <c r="M499" s="2" t="s">
        <v>217</v>
      </c>
      <c r="N499" s="2" t="s">
        <v>1111</v>
      </c>
      <c r="O499" s="2" t="s">
        <v>81</v>
      </c>
      <c r="P499" s="2" t="str">
        <f>"2170584731                    "</f>
        <v xml:space="preserve">2170584731  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8.83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12.8</v>
      </c>
      <c r="BJ499" s="2">
        <v>31.2</v>
      </c>
      <c r="BK499" s="2">
        <v>32</v>
      </c>
      <c r="BL499" s="2">
        <v>96.4</v>
      </c>
      <c r="BM499" s="2">
        <v>13.5</v>
      </c>
      <c r="BN499" s="2">
        <v>109.9</v>
      </c>
      <c r="BO499" s="2">
        <v>109.9</v>
      </c>
      <c r="BP499" s="2"/>
      <c r="BQ499" s="2" t="s">
        <v>83</v>
      </c>
      <c r="BR499" s="2" t="s">
        <v>122</v>
      </c>
      <c r="BS499" s="3">
        <v>42968</v>
      </c>
      <c r="BT499" s="4">
        <v>0.43402777777777773</v>
      </c>
      <c r="BU499" s="2" t="s">
        <v>1112</v>
      </c>
      <c r="BV499" s="2" t="s">
        <v>86</v>
      </c>
      <c r="BW499" s="2" t="s">
        <v>1007</v>
      </c>
      <c r="BX499" s="2" t="s">
        <v>1113</v>
      </c>
      <c r="BY499" s="2">
        <v>156002.4</v>
      </c>
      <c r="BZ499" s="2"/>
      <c r="CA499" s="2"/>
      <c r="CB499" s="2"/>
      <c r="CC499" s="2" t="s">
        <v>217</v>
      </c>
      <c r="CD499" s="2">
        <v>1541</v>
      </c>
      <c r="CE499" s="2" t="s">
        <v>89</v>
      </c>
      <c r="CF499" s="5">
        <v>42969</v>
      </c>
      <c r="CG499" s="2"/>
      <c r="CH499" s="2"/>
      <c r="CI499" s="2">
        <v>1</v>
      </c>
      <c r="CJ499" s="2">
        <v>3</v>
      </c>
      <c r="CK499" s="2" t="s">
        <v>132</v>
      </c>
      <c r="CL499" s="2" t="s">
        <v>86</v>
      </c>
      <c r="CM499" s="2"/>
    </row>
    <row r="500" spans="1:91">
      <c r="A500" s="2" t="s">
        <v>71</v>
      </c>
      <c r="B500" s="2" t="s">
        <v>72</v>
      </c>
      <c r="C500" s="2" t="s">
        <v>73</v>
      </c>
      <c r="D500" s="2"/>
      <c r="E500" s="2" t="str">
        <f>"FES1162571198"</f>
        <v>FES1162571198</v>
      </c>
      <c r="F500" s="3">
        <v>42971</v>
      </c>
      <c r="G500" s="2">
        <v>201802</v>
      </c>
      <c r="H500" s="2" t="s">
        <v>74</v>
      </c>
      <c r="I500" s="2" t="s">
        <v>75</v>
      </c>
      <c r="J500" s="2" t="s">
        <v>118</v>
      </c>
      <c r="K500" s="2" t="s">
        <v>77</v>
      </c>
      <c r="L500" s="2" t="s">
        <v>137</v>
      </c>
      <c r="M500" s="2" t="s">
        <v>138</v>
      </c>
      <c r="N500" s="2" t="s">
        <v>1114</v>
      </c>
      <c r="O500" s="2" t="s">
        <v>81</v>
      </c>
      <c r="P500" s="2" t="str">
        <f>"2170586829                    "</f>
        <v xml:space="preserve">2170586829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6.88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2.9</v>
      </c>
      <c r="BJ500" s="2">
        <v>4</v>
      </c>
      <c r="BK500" s="2">
        <v>4</v>
      </c>
      <c r="BL500" s="2">
        <v>76.23</v>
      </c>
      <c r="BM500" s="2">
        <v>10.67</v>
      </c>
      <c r="BN500" s="2">
        <v>86.9</v>
      </c>
      <c r="BO500" s="2">
        <v>86.9</v>
      </c>
      <c r="BP500" s="2"/>
      <c r="BQ500" s="2" t="s">
        <v>288</v>
      </c>
      <c r="BR500" s="2" t="s">
        <v>122</v>
      </c>
      <c r="BS500" s="3">
        <v>42972</v>
      </c>
      <c r="BT500" s="4">
        <v>0.35625000000000001</v>
      </c>
      <c r="BU500" s="2" t="s">
        <v>1115</v>
      </c>
      <c r="BV500" s="2"/>
      <c r="BW500" s="2"/>
      <c r="BX500" s="2"/>
      <c r="BY500" s="2">
        <v>19946.52</v>
      </c>
      <c r="BZ500" s="2"/>
      <c r="CA500" s="2" t="s">
        <v>1116</v>
      </c>
      <c r="CB500" s="2"/>
      <c r="CC500" s="2" t="s">
        <v>138</v>
      </c>
      <c r="CD500" s="2">
        <v>157</v>
      </c>
      <c r="CE500" s="2" t="s">
        <v>89</v>
      </c>
      <c r="CF500" s="5">
        <v>42975</v>
      </c>
      <c r="CG500" s="2"/>
      <c r="CH500" s="2"/>
      <c r="CI500" s="2">
        <v>0</v>
      </c>
      <c r="CJ500" s="2">
        <v>0</v>
      </c>
      <c r="CK500" s="2" t="s">
        <v>143</v>
      </c>
      <c r="CL500" s="2" t="s">
        <v>86</v>
      </c>
      <c r="CM500" s="2"/>
    </row>
    <row r="501" spans="1:91">
      <c r="A501" s="2" t="s">
        <v>71</v>
      </c>
      <c r="B501" s="2" t="s">
        <v>72</v>
      </c>
      <c r="C501" s="2" t="s">
        <v>73</v>
      </c>
      <c r="D501" s="2"/>
      <c r="E501" s="2" t="str">
        <f>"FES1162570788"</f>
        <v>FES1162570788</v>
      </c>
      <c r="F501" s="3">
        <v>42970</v>
      </c>
      <c r="G501" s="2">
        <v>201802</v>
      </c>
      <c r="H501" s="2" t="s">
        <v>74</v>
      </c>
      <c r="I501" s="2" t="s">
        <v>75</v>
      </c>
      <c r="J501" s="2" t="s">
        <v>118</v>
      </c>
      <c r="K501" s="2" t="s">
        <v>77</v>
      </c>
      <c r="L501" s="2" t="s">
        <v>362</v>
      </c>
      <c r="M501" s="2" t="s">
        <v>363</v>
      </c>
      <c r="N501" s="2" t="s">
        <v>364</v>
      </c>
      <c r="O501" s="2" t="s">
        <v>81</v>
      </c>
      <c r="P501" s="2" t="str">
        <f>"2170586306                    "</f>
        <v xml:space="preserve">2170586306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13.65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16.5</v>
      </c>
      <c r="BJ501" s="2">
        <v>31.8</v>
      </c>
      <c r="BK501" s="2">
        <v>32</v>
      </c>
      <c r="BL501" s="2">
        <v>146.38</v>
      </c>
      <c r="BM501" s="2">
        <v>20.49</v>
      </c>
      <c r="BN501" s="2">
        <v>166.87</v>
      </c>
      <c r="BO501" s="2">
        <v>166.87</v>
      </c>
      <c r="BP501" s="2"/>
      <c r="BQ501" s="2" t="s">
        <v>83</v>
      </c>
      <c r="BR501" s="2" t="s">
        <v>122</v>
      </c>
      <c r="BS501" s="3">
        <v>42971</v>
      </c>
      <c r="BT501" s="4">
        <v>0.51666666666666672</v>
      </c>
      <c r="BU501" s="2" t="s">
        <v>1117</v>
      </c>
      <c r="BV501" s="2" t="s">
        <v>95</v>
      </c>
      <c r="BW501" s="2"/>
      <c r="BX501" s="2"/>
      <c r="BY501" s="2">
        <v>159223.01999999999</v>
      </c>
      <c r="BZ501" s="2"/>
      <c r="CA501" s="2" t="s">
        <v>685</v>
      </c>
      <c r="CB501" s="2"/>
      <c r="CC501" s="2" t="s">
        <v>363</v>
      </c>
      <c r="CD501" s="2">
        <v>3201</v>
      </c>
      <c r="CE501" s="2" t="s">
        <v>89</v>
      </c>
      <c r="CF501" s="5">
        <v>42975</v>
      </c>
      <c r="CG501" s="2"/>
      <c r="CH501" s="2"/>
      <c r="CI501" s="2">
        <v>1</v>
      </c>
      <c r="CJ501" s="2">
        <v>1</v>
      </c>
      <c r="CK501" s="2" t="s">
        <v>624</v>
      </c>
      <c r="CL501" s="2" t="s">
        <v>86</v>
      </c>
      <c r="CM501" s="2"/>
    </row>
    <row r="502" spans="1:91">
      <c r="A502" s="2" t="s">
        <v>71</v>
      </c>
      <c r="B502" s="2" t="s">
        <v>72</v>
      </c>
      <c r="C502" s="2" t="s">
        <v>73</v>
      </c>
      <c r="D502" s="2"/>
      <c r="E502" s="2" t="str">
        <f>"FES1162568294"</f>
        <v>FES1162568294</v>
      </c>
      <c r="F502" s="3">
        <v>42958</v>
      </c>
      <c r="G502" s="2">
        <v>201802</v>
      </c>
      <c r="H502" s="2" t="s">
        <v>74</v>
      </c>
      <c r="I502" s="2" t="s">
        <v>75</v>
      </c>
      <c r="J502" s="2" t="s">
        <v>118</v>
      </c>
      <c r="K502" s="2" t="s">
        <v>77</v>
      </c>
      <c r="L502" s="2" t="s">
        <v>446</v>
      </c>
      <c r="M502" s="2" t="s">
        <v>447</v>
      </c>
      <c r="N502" s="2" t="s">
        <v>1118</v>
      </c>
      <c r="O502" s="2" t="s">
        <v>81</v>
      </c>
      <c r="P502" s="2" t="str">
        <f>"2170584413                    "</f>
        <v xml:space="preserve">2170584413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8.64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19.7</v>
      </c>
      <c r="BJ502" s="2">
        <v>31</v>
      </c>
      <c r="BK502" s="2">
        <v>31</v>
      </c>
      <c r="BL502" s="2">
        <v>94.45</v>
      </c>
      <c r="BM502" s="2">
        <v>13.22</v>
      </c>
      <c r="BN502" s="2">
        <v>107.67</v>
      </c>
      <c r="BO502" s="2">
        <v>107.67</v>
      </c>
      <c r="BP502" s="2"/>
      <c r="BQ502" s="2" t="s">
        <v>83</v>
      </c>
      <c r="BR502" s="2" t="s">
        <v>122</v>
      </c>
      <c r="BS502" s="3">
        <v>42961</v>
      </c>
      <c r="BT502" s="4">
        <v>0.52430555555555558</v>
      </c>
      <c r="BU502" s="2" t="s">
        <v>1119</v>
      </c>
      <c r="BV502" s="2" t="s">
        <v>95</v>
      </c>
      <c r="BW502" s="2"/>
      <c r="BX502" s="2"/>
      <c r="BY502" s="2">
        <v>154976.69</v>
      </c>
      <c r="BZ502" s="2"/>
      <c r="CA502" s="2"/>
      <c r="CB502" s="2"/>
      <c r="CC502" s="2" t="s">
        <v>447</v>
      </c>
      <c r="CD502" s="2">
        <v>1759</v>
      </c>
      <c r="CE502" s="2" t="s">
        <v>89</v>
      </c>
      <c r="CF502" s="5">
        <v>42962</v>
      </c>
      <c r="CG502" s="2"/>
      <c r="CH502" s="2"/>
      <c r="CI502" s="2">
        <v>1</v>
      </c>
      <c r="CJ502" s="2">
        <v>1</v>
      </c>
      <c r="CK502" s="2" t="s">
        <v>132</v>
      </c>
      <c r="CL502" s="2" t="s">
        <v>86</v>
      </c>
      <c r="CM502" s="2"/>
    </row>
    <row r="503" spans="1:91">
      <c r="A503" s="2" t="s">
        <v>71</v>
      </c>
      <c r="B503" s="2" t="s">
        <v>72</v>
      </c>
      <c r="C503" s="2" t="s">
        <v>73</v>
      </c>
      <c r="D503" s="2"/>
      <c r="E503" s="2" t="str">
        <f>"FES1162570321"</f>
        <v>FES1162570321</v>
      </c>
      <c r="F503" s="3">
        <v>42968</v>
      </c>
      <c r="G503" s="2">
        <v>201802</v>
      </c>
      <c r="H503" s="2" t="s">
        <v>74</v>
      </c>
      <c r="I503" s="2" t="s">
        <v>75</v>
      </c>
      <c r="J503" s="2" t="s">
        <v>118</v>
      </c>
      <c r="K503" s="2" t="s">
        <v>77</v>
      </c>
      <c r="L503" s="2" t="s">
        <v>97</v>
      </c>
      <c r="M503" s="2" t="s">
        <v>98</v>
      </c>
      <c r="N503" s="2" t="s">
        <v>248</v>
      </c>
      <c r="O503" s="2" t="s">
        <v>81</v>
      </c>
      <c r="P503" s="2" t="str">
        <f>"2170573418                    "</f>
        <v xml:space="preserve">2170573418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11.7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13.3</v>
      </c>
      <c r="BJ503" s="2">
        <v>24.9</v>
      </c>
      <c r="BK503" s="2">
        <v>25</v>
      </c>
      <c r="BL503" s="2">
        <v>126.14</v>
      </c>
      <c r="BM503" s="2">
        <v>17.66</v>
      </c>
      <c r="BN503" s="2">
        <v>143.80000000000001</v>
      </c>
      <c r="BO503" s="2">
        <v>143.80000000000001</v>
      </c>
      <c r="BP503" s="2"/>
      <c r="BQ503" s="2" t="s">
        <v>83</v>
      </c>
      <c r="BR503" s="2" t="s">
        <v>122</v>
      </c>
      <c r="BS503" s="3">
        <v>42969</v>
      </c>
      <c r="BT503" s="4">
        <v>0.33333333333333331</v>
      </c>
      <c r="BU503" s="2" t="s">
        <v>1120</v>
      </c>
      <c r="BV503" s="2" t="s">
        <v>95</v>
      </c>
      <c r="BW503" s="2"/>
      <c r="BX503" s="2"/>
      <c r="BY503" s="2">
        <v>124382.16</v>
      </c>
      <c r="BZ503" s="2"/>
      <c r="CA503" s="2"/>
      <c r="CB503" s="2"/>
      <c r="CC503" s="2" t="s">
        <v>98</v>
      </c>
      <c r="CD503" s="2">
        <v>6001</v>
      </c>
      <c r="CE503" s="2" t="s">
        <v>89</v>
      </c>
      <c r="CF503" s="5">
        <v>42970</v>
      </c>
      <c r="CG503" s="2"/>
      <c r="CH503" s="2"/>
      <c r="CI503" s="2">
        <v>2</v>
      </c>
      <c r="CJ503" s="2">
        <v>1</v>
      </c>
      <c r="CK503" s="2" t="s">
        <v>136</v>
      </c>
      <c r="CL503" s="2" t="s">
        <v>86</v>
      </c>
      <c r="CM503" s="2"/>
    </row>
    <row r="504" spans="1:91">
      <c r="A504" s="2" t="s">
        <v>71</v>
      </c>
      <c r="B504" s="2" t="s">
        <v>72</v>
      </c>
      <c r="C504" s="2" t="s">
        <v>73</v>
      </c>
      <c r="D504" s="2"/>
      <c r="E504" s="2" t="str">
        <f>"FES1162570803"</f>
        <v>FES1162570803</v>
      </c>
      <c r="F504" s="3">
        <v>42970</v>
      </c>
      <c r="G504" s="2">
        <v>201802</v>
      </c>
      <c r="H504" s="2" t="s">
        <v>74</v>
      </c>
      <c r="I504" s="2" t="s">
        <v>75</v>
      </c>
      <c r="J504" s="2" t="s">
        <v>118</v>
      </c>
      <c r="K504" s="2" t="s">
        <v>77</v>
      </c>
      <c r="L504" s="2" t="s">
        <v>1121</v>
      </c>
      <c r="M504" s="2" t="s">
        <v>1122</v>
      </c>
      <c r="N504" s="2" t="s">
        <v>1123</v>
      </c>
      <c r="O504" s="2" t="s">
        <v>81</v>
      </c>
      <c r="P504" s="2" t="str">
        <f>"2170581519                    "</f>
        <v xml:space="preserve">2170581519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7.5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14.4</v>
      </c>
      <c r="BJ504" s="2">
        <v>7.2</v>
      </c>
      <c r="BK504" s="2">
        <v>15</v>
      </c>
      <c r="BL504" s="2">
        <v>82.7</v>
      </c>
      <c r="BM504" s="2">
        <v>11.58</v>
      </c>
      <c r="BN504" s="2">
        <v>94.28</v>
      </c>
      <c r="BO504" s="2">
        <v>94.28</v>
      </c>
      <c r="BP504" s="2"/>
      <c r="BQ504" s="2" t="s">
        <v>83</v>
      </c>
      <c r="BR504" s="2" t="s">
        <v>122</v>
      </c>
      <c r="BS504" s="3">
        <v>42971</v>
      </c>
      <c r="BT504" s="4">
        <v>0.52083333333333337</v>
      </c>
      <c r="BU504" s="2" t="s">
        <v>785</v>
      </c>
      <c r="BV504" s="2" t="s">
        <v>95</v>
      </c>
      <c r="BW504" s="2"/>
      <c r="BX504" s="2"/>
      <c r="BY504" s="2">
        <v>36218.339999999997</v>
      </c>
      <c r="BZ504" s="2"/>
      <c r="CA504" s="2"/>
      <c r="CB504" s="2"/>
      <c r="CC504" s="2" t="s">
        <v>1122</v>
      </c>
      <c r="CD504" s="2">
        <v>2499</v>
      </c>
      <c r="CE504" s="2" t="s">
        <v>89</v>
      </c>
      <c r="CF504" s="5">
        <v>42972</v>
      </c>
      <c r="CG504" s="2"/>
      <c r="CH504" s="2"/>
      <c r="CI504" s="2">
        <v>1</v>
      </c>
      <c r="CJ504" s="2">
        <v>1</v>
      </c>
      <c r="CK504" s="2" t="s">
        <v>163</v>
      </c>
      <c r="CL504" s="2" t="s">
        <v>86</v>
      </c>
      <c r="CM504" s="2"/>
    </row>
    <row r="505" spans="1:91">
      <c r="A505" s="2" t="s">
        <v>71</v>
      </c>
      <c r="B505" s="2" t="s">
        <v>72</v>
      </c>
      <c r="C505" s="2" t="s">
        <v>73</v>
      </c>
      <c r="D505" s="2"/>
      <c r="E505" s="2" t="str">
        <f>"FES1162568109"</f>
        <v>FES1162568109</v>
      </c>
      <c r="F505" s="3">
        <v>42958</v>
      </c>
      <c r="G505" s="2">
        <v>201802</v>
      </c>
      <c r="H505" s="2" t="s">
        <v>74</v>
      </c>
      <c r="I505" s="2" t="s">
        <v>75</v>
      </c>
      <c r="J505" s="2" t="s">
        <v>118</v>
      </c>
      <c r="K505" s="2" t="s">
        <v>77</v>
      </c>
      <c r="L505" s="2" t="s">
        <v>470</v>
      </c>
      <c r="M505" s="2" t="s">
        <v>471</v>
      </c>
      <c r="N505" s="2" t="s">
        <v>574</v>
      </c>
      <c r="O505" s="2" t="s">
        <v>81</v>
      </c>
      <c r="P505" s="2" t="str">
        <f>"2170582687                    "</f>
        <v xml:space="preserve">2170582687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6.88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</v>
      </c>
      <c r="BI505" s="2">
        <v>8.5</v>
      </c>
      <c r="BJ505" s="2">
        <v>3.9</v>
      </c>
      <c r="BK505" s="2">
        <v>9</v>
      </c>
      <c r="BL505" s="2">
        <v>76.23</v>
      </c>
      <c r="BM505" s="2">
        <v>10.67</v>
      </c>
      <c r="BN505" s="2">
        <v>86.9</v>
      </c>
      <c r="BO505" s="2">
        <v>86.9</v>
      </c>
      <c r="BP505" s="2"/>
      <c r="BQ505" s="2" t="s">
        <v>83</v>
      </c>
      <c r="BR505" s="2" t="s">
        <v>122</v>
      </c>
      <c r="BS505" s="3">
        <v>42961</v>
      </c>
      <c r="BT505" s="4">
        <v>0.38750000000000001</v>
      </c>
      <c r="BU505" s="2" t="s">
        <v>966</v>
      </c>
      <c r="BV505" s="2" t="s">
        <v>95</v>
      </c>
      <c r="BW505" s="2"/>
      <c r="BX505" s="2"/>
      <c r="BY505" s="2">
        <v>19327.28</v>
      </c>
      <c r="BZ505" s="2"/>
      <c r="CA505" s="2" t="s">
        <v>703</v>
      </c>
      <c r="CB505" s="2"/>
      <c r="CC505" s="2" t="s">
        <v>471</v>
      </c>
      <c r="CD505" s="2">
        <v>1900</v>
      </c>
      <c r="CE505" s="2" t="s">
        <v>89</v>
      </c>
      <c r="CF505" s="5">
        <v>42962</v>
      </c>
      <c r="CG505" s="2"/>
      <c r="CH505" s="2"/>
      <c r="CI505" s="2">
        <v>1</v>
      </c>
      <c r="CJ505" s="2">
        <v>1</v>
      </c>
      <c r="CK505" s="2" t="s">
        <v>143</v>
      </c>
      <c r="CL505" s="2" t="s">
        <v>86</v>
      </c>
      <c r="CM505" s="2"/>
    </row>
    <row r="506" spans="1:91">
      <c r="A506" s="2" t="s">
        <v>71</v>
      </c>
      <c r="B506" s="2" t="s">
        <v>72</v>
      </c>
      <c r="C506" s="2" t="s">
        <v>73</v>
      </c>
      <c r="D506" s="2"/>
      <c r="E506" s="2" t="str">
        <f>"FES1162569188"</f>
        <v>FES1162569188</v>
      </c>
      <c r="F506" s="3">
        <v>42963</v>
      </c>
      <c r="G506" s="2">
        <v>201802</v>
      </c>
      <c r="H506" s="2" t="s">
        <v>74</v>
      </c>
      <c r="I506" s="2" t="s">
        <v>75</v>
      </c>
      <c r="J506" s="2" t="s">
        <v>118</v>
      </c>
      <c r="K506" s="2" t="s">
        <v>77</v>
      </c>
      <c r="L506" s="2" t="s">
        <v>632</v>
      </c>
      <c r="M506" s="2" t="s">
        <v>269</v>
      </c>
      <c r="N506" s="2" t="s">
        <v>1124</v>
      </c>
      <c r="O506" s="2" t="s">
        <v>81</v>
      </c>
      <c r="P506" s="2" t="str">
        <f>"2170585128                    "</f>
        <v xml:space="preserve">2170585128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6.88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5.9</v>
      </c>
      <c r="BJ506" s="2">
        <v>3.4</v>
      </c>
      <c r="BK506" s="2">
        <v>6</v>
      </c>
      <c r="BL506" s="2">
        <v>76.23</v>
      </c>
      <c r="BM506" s="2">
        <v>10.67</v>
      </c>
      <c r="BN506" s="2">
        <v>86.9</v>
      </c>
      <c r="BO506" s="2">
        <v>86.9</v>
      </c>
      <c r="BP506" s="2"/>
      <c r="BQ506" s="2"/>
      <c r="BR506" s="2" t="s">
        <v>122</v>
      </c>
      <c r="BS506" s="3">
        <v>42964</v>
      </c>
      <c r="BT506" s="4">
        <v>0.45833333333333331</v>
      </c>
      <c r="BU506" s="2" t="s">
        <v>1125</v>
      </c>
      <c r="BV506" s="2"/>
      <c r="BW506" s="2" t="s">
        <v>110</v>
      </c>
      <c r="BX506" s="2" t="s">
        <v>623</v>
      </c>
      <c r="BY506" s="2">
        <v>17136.86</v>
      </c>
      <c r="BZ506" s="2"/>
      <c r="CA506" s="2"/>
      <c r="CB506" s="2"/>
      <c r="CC506" s="2" t="s">
        <v>269</v>
      </c>
      <c r="CD506" s="2">
        <v>200</v>
      </c>
      <c r="CE506" s="2" t="s">
        <v>89</v>
      </c>
      <c r="CF506" s="5">
        <v>42965</v>
      </c>
      <c r="CG506" s="2"/>
      <c r="CH506" s="2"/>
      <c r="CI506" s="2">
        <v>0</v>
      </c>
      <c r="CJ506" s="2">
        <v>0</v>
      </c>
      <c r="CK506" s="2" t="s">
        <v>143</v>
      </c>
      <c r="CL506" s="2" t="s">
        <v>86</v>
      </c>
      <c r="CM506" s="2"/>
    </row>
    <row r="507" spans="1:91">
      <c r="A507" s="2" t="s">
        <v>71</v>
      </c>
      <c r="B507" s="2" t="s">
        <v>72</v>
      </c>
      <c r="C507" s="2" t="s">
        <v>73</v>
      </c>
      <c r="D507" s="2"/>
      <c r="E507" s="2" t="str">
        <f>"FES1162570247"</f>
        <v>FES1162570247</v>
      </c>
      <c r="F507" s="3">
        <v>42968</v>
      </c>
      <c r="G507" s="2">
        <v>201802</v>
      </c>
      <c r="H507" s="2" t="s">
        <v>74</v>
      </c>
      <c r="I507" s="2" t="s">
        <v>75</v>
      </c>
      <c r="J507" s="2" t="s">
        <v>118</v>
      </c>
      <c r="K507" s="2" t="s">
        <v>77</v>
      </c>
      <c r="L507" s="2" t="s">
        <v>170</v>
      </c>
      <c r="M507" s="2" t="s">
        <v>171</v>
      </c>
      <c r="N507" s="2" t="s">
        <v>1126</v>
      </c>
      <c r="O507" s="2" t="s">
        <v>81</v>
      </c>
      <c r="P507" s="2" t="str">
        <f>"2170586027                    "</f>
        <v xml:space="preserve">2170586027 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8.83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</v>
      </c>
      <c r="BI507" s="2">
        <v>17.7</v>
      </c>
      <c r="BJ507" s="2">
        <v>32</v>
      </c>
      <c r="BK507" s="2">
        <v>32</v>
      </c>
      <c r="BL507" s="2">
        <v>96.4</v>
      </c>
      <c r="BM507" s="2">
        <v>13.5</v>
      </c>
      <c r="BN507" s="2">
        <v>109.9</v>
      </c>
      <c r="BO507" s="2">
        <v>109.9</v>
      </c>
      <c r="BP507" s="2"/>
      <c r="BQ507" s="2" t="s">
        <v>288</v>
      </c>
      <c r="BR507" s="2" t="s">
        <v>122</v>
      </c>
      <c r="BS507" s="3">
        <v>42969</v>
      </c>
      <c r="BT507" s="4">
        <v>0.40416666666666662</v>
      </c>
      <c r="BU507" s="2" t="s">
        <v>1127</v>
      </c>
      <c r="BV507" s="2" t="s">
        <v>95</v>
      </c>
      <c r="BW507" s="2"/>
      <c r="BX507" s="2"/>
      <c r="BY507" s="2">
        <v>160197.35</v>
      </c>
      <c r="BZ507" s="2"/>
      <c r="CA507" s="2" t="s">
        <v>1128</v>
      </c>
      <c r="CB507" s="2"/>
      <c r="CC507" s="2" t="s">
        <v>171</v>
      </c>
      <c r="CD507" s="2">
        <v>1422</v>
      </c>
      <c r="CE507" s="2" t="s">
        <v>89</v>
      </c>
      <c r="CF507" s="5">
        <v>42970</v>
      </c>
      <c r="CG507" s="2"/>
      <c r="CH507" s="2"/>
      <c r="CI507" s="2">
        <v>1</v>
      </c>
      <c r="CJ507" s="2">
        <v>1</v>
      </c>
      <c r="CK507" s="2" t="s">
        <v>132</v>
      </c>
      <c r="CL507" s="2" t="s">
        <v>86</v>
      </c>
      <c r="CM507" s="2"/>
    </row>
    <row r="508" spans="1:91">
      <c r="A508" s="2" t="s">
        <v>71</v>
      </c>
      <c r="B508" s="2" t="s">
        <v>72</v>
      </c>
      <c r="C508" s="2" t="s">
        <v>73</v>
      </c>
      <c r="D508" s="2"/>
      <c r="E508" s="2" t="str">
        <f>"FES1162570770"</f>
        <v>FES1162570770</v>
      </c>
      <c r="F508" s="3">
        <v>42970</v>
      </c>
      <c r="G508" s="2">
        <v>201802</v>
      </c>
      <c r="H508" s="2" t="s">
        <v>74</v>
      </c>
      <c r="I508" s="2" t="s">
        <v>75</v>
      </c>
      <c r="J508" s="2" t="s">
        <v>118</v>
      </c>
      <c r="K508" s="2" t="s">
        <v>77</v>
      </c>
      <c r="L508" s="2" t="s">
        <v>244</v>
      </c>
      <c r="M508" s="2" t="s">
        <v>245</v>
      </c>
      <c r="N508" s="2" t="s">
        <v>581</v>
      </c>
      <c r="O508" s="2" t="s">
        <v>81</v>
      </c>
      <c r="P508" s="2" t="str">
        <f>"2170580559                    "</f>
        <v xml:space="preserve">2170580559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6.95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1</v>
      </c>
      <c r="BI508" s="2">
        <v>9.1</v>
      </c>
      <c r="BJ508" s="2">
        <v>21.7</v>
      </c>
      <c r="BK508" s="2">
        <v>22</v>
      </c>
      <c r="BL508" s="2">
        <v>76.92</v>
      </c>
      <c r="BM508" s="2">
        <v>10.77</v>
      </c>
      <c r="BN508" s="2">
        <v>87.69</v>
      </c>
      <c r="BO508" s="2">
        <v>87.69</v>
      </c>
      <c r="BP508" s="2"/>
      <c r="BQ508" s="2" t="s">
        <v>209</v>
      </c>
      <c r="BR508" s="2" t="s">
        <v>122</v>
      </c>
      <c r="BS508" s="3">
        <v>42971</v>
      </c>
      <c r="BT508" s="4">
        <v>0.33333333333333331</v>
      </c>
      <c r="BU508" s="2" t="s">
        <v>1129</v>
      </c>
      <c r="BV508" s="2" t="s">
        <v>95</v>
      </c>
      <c r="BW508" s="2"/>
      <c r="BX508" s="2"/>
      <c r="BY508" s="2">
        <v>108376.94</v>
      </c>
      <c r="BZ508" s="2"/>
      <c r="CA508" s="2" t="s">
        <v>499</v>
      </c>
      <c r="CB508" s="2"/>
      <c r="CC508" s="2" t="s">
        <v>245</v>
      </c>
      <c r="CD508" s="2">
        <v>1459</v>
      </c>
      <c r="CE508" s="2" t="s">
        <v>89</v>
      </c>
      <c r="CF508" s="5">
        <v>42972</v>
      </c>
      <c r="CG508" s="2"/>
      <c r="CH508" s="2"/>
      <c r="CI508" s="2">
        <v>1</v>
      </c>
      <c r="CJ508" s="2">
        <v>1</v>
      </c>
      <c r="CK508" s="2" t="s">
        <v>132</v>
      </c>
      <c r="CL508" s="2" t="s">
        <v>86</v>
      </c>
      <c r="CM508" s="2"/>
    </row>
    <row r="509" spans="1:91">
      <c r="A509" s="2" t="s">
        <v>71</v>
      </c>
      <c r="B509" s="2" t="s">
        <v>72</v>
      </c>
      <c r="C509" s="2" t="s">
        <v>73</v>
      </c>
      <c r="D509" s="2"/>
      <c r="E509" s="2" t="str">
        <f>"FES1162570486"</f>
        <v>FES1162570486</v>
      </c>
      <c r="F509" s="3">
        <v>42969</v>
      </c>
      <c r="G509" s="2">
        <v>201802</v>
      </c>
      <c r="H509" s="2" t="s">
        <v>74</v>
      </c>
      <c r="I509" s="2" t="s">
        <v>75</v>
      </c>
      <c r="J509" s="2" t="s">
        <v>118</v>
      </c>
      <c r="K509" s="2" t="s">
        <v>77</v>
      </c>
      <c r="L509" s="2" t="s">
        <v>632</v>
      </c>
      <c r="M509" s="2" t="s">
        <v>269</v>
      </c>
      <c r="N509" s="2" t="s">
        <v>635</v>
      </c>
      <c r="O509" s="2" t="s">
        <v>81</v>
      </c>
      <c r="P509" s="2" t="str">
        <f>"2170582033                    "</f>
        <v xml:space="preserve">2170582033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6.88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3</v>
      </c>
      <c r="BJ509" s="2">
        <v>4.0999999999999996</v>
      </c>
      <c r="BK509" s="2">
        <v>4</v>
      </c>
      <c r="BL509" s="2">
        <v>76.23</v>
      </c>
      <c r="BM509" s="2">
        <v>10.67</v>
      </c>
      <c r="BN509" s="2">
        <v>86.9</v>
      </c>
      <c r="BO509" s="2">
        <v>86.9</v>
      </c>
      <c r="BP509" s="2"/>
      <c r="BQ509" s="2" t="s">
        <v>83</v>
      </c>
      <c r="BR509" s="2" t="s">
        <v>122</v>
      </c>
      <c r="BS509" s="3">
        <v>42970</v>
      </c>
      <c r="BT509" s="4">
        <v>0.3611111111111111</v>
      </c>
      <c r="BU509" s="2" t="s">
        <v>637</v>
      </c>
      <c r="BV509" s="2"/>
      <c r="BW509" s="2"/>
      <c r="BX509" s="2"/>
      <c r="BY509" s="2">
        <v>20358</v>
      </c>
      <c r="BZ509" s="2"/>
      <c r="CA509" s="2" t="s">
        <v>638</v>
      </c>
      <c r="CB509" s="2"/>
      <c r="CC509" s="2" t="s">
        <v>269</v>
      </c>
      <c r="CD509" s="2">
        <v>184</v>
      </c>
      <c r="CE509" s="2" t="s">
        <v>89</v>
      </c>
      <c r="CF509" s="5">
        <v>42971</v>
      </c>
      <c r="CG509" s="2"/>
      <c r="CH509" s="2"/>
      <c r="CI509" s="2">
        <v>0</v>
      </c>
      <c r="CJ509" s="2">
        <v>0</v>
      </c>
      <c r="CK509" s="2" t="s">
        <v>143</v>
      </c>
      <c r="CL509" s="2" t="s">
        <v>86</v>
      </c>
      <c r="CM509" s="2"/>
    </row>
    <row r="510" spans="1:91">
      <c r="A510" s="2" t="s">
        <v>71</v>
      </c>
      <c r="B510" s="2" t="s">
        <v>72</v>
      </c>
      <c r="C510" s="2" t="s">
        <v>73</v>
      </c>
      <c r="D510" s="2"/>
      <c r="E510" s="2" t="str">
        <f>"FES1162569475"</f>
        <v>FES1162569475</v>
      </c>
      <c r="F510" s="3">
        <v>42963</v>
      </c>
      <c r="G510" s="2">
        <v>201802</v>
      </c>
      <c r="H510" s="2" t="s">
        <v>74</v>
      </c>
      <c r="I510" s="2" t="s">
        <v>75</v>
      </c>
      <c r="J510" s="2" t="s">
        <v>118</v>
      </c>
      <c r="K510" s="2" t="s">
        <v>77</v>
      </c>
      <c r="L510" s="2" t="s">
        <v>97</v>
      </c>
      <c r="M510" s="2" t="s">
        <v>98</v>
      </c>
      <c r="N510" s="2" t="s">
        <v>248</v>
      </c>
      <c r="O510" s="2" t="s">
        <v>81</v>
      </c>
      <c r="P510" s="2" t="str">
        <f>"2170573103                    "</f>
        <v xml:space="preserve">2170573103 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10.65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1</v>
      </c>
      <c r="BI510" s="2">
        <v>9.8000000000000007</v>
      </c>
      <c r="BJ510" s="2">
        <v>22.1</v>
      </c>
      <c r="BK510" s="2">
        <v>22</v>
      </c>
      <c r="BL510" s="2">
        <v>115.25</v>
      </c>
      <c r="BM510" s="2">
        <v>16.14</v>
      </c>
      <c r="BN510" s="2">
        <v>131.38999999999999</v>
      </c>
      <c r="BO510" s="2">
        <v>131.38999999999999</v>
      </c>
      <c r="BP510" s="2"/>
      <c r="BQ510" s="2" t="s">
        <v>83</v>
      </c>
      <c r="BR510" s="2" t="s">
        <v>122</v>
      </c>
      <c r="BS510" s="3">
        <v>42964</v>
      </c>
      <c r="BT510" s="4">
        <v>0.34722222222222227</v>
      </c>
      <c r="BU510" s="2" t="s">
        <v>1130</v>
      </c>
      <c r="BV510" s="2" t="s">
        <v>95</v>
      </c>
      <c r="BW510" s="2"/>
      <c r="BX510" s="2"/>
      <c r="BY510" s="2">
        <v>110421.12</v>
      </c>
      <c r="BZ510" s="2"/>
      <c r="CA510" s="2" t="s">
        <v>804</v>
      </c>
      <c r="CB510" s="2"/>
      <c r="CC510" s="2" t="s">
        <v>98</v>
      </c>
      <c r="CD510" s="2">
        <v>6001</v>
      </c>
      <c r="CE510" s="2" t="s">
        <v>89</v>
      </c>
      <c r="CF510" s="5">
        <v>42965</v>
      </c>
      <c r="CG510" s="2"/>
      <c r="CH510" s="2"/>
      <c r="CI510" s="2">
        <v>2</v>
      </c>
      <c r="CJ510" s="2">
        <v>1</v>
      </c>
      <c r="CK510" s="2" t="s">
        <v>136</v>
      </c>
      <c r="CL510" s="2" t="s">
        <v>86</v>
      </c>
      <c r="CM510" s="2"/>
    </row>
    <row r="511" spans="1:91">
      <c r="A511" s="2" t="s">
        <v>71</v>
      </c>
      <c r="B511" s="2" t="s">
        <v>72</v>
      </c>
      <c r="C511" s="2" t="s">
        <v>73</v>
      </c>
      <c r="D511" s="2"/>
      <c r="E511" s="2" t="str">
        <f>"FES1162570187"</f>
        <v>FES1162570187</v>
      </c>
      <c r="F511" s="3">
        <v>42968</v>
      </c>
      <c r="G511" s="2">
        <v>201802</v>
      </c>
      <c r="H511" s="2" t="s">
        <v>74</v>
      </c>
      <c r="I511" s="2" t="s">
        <v>75</v>
      </c>
      <c r="J511" s="2" t="s">
        <v>118</v>
      </c>
      <c r="K511" s="2" t="s">
        <v>77</v>
      </c>
      <c r="L511" s="2" t="s">
        <v>97</v>
      </c>
      <c r="M511" s="2" t="s">
        <v>98</v>
      </c>
      <c r="N511" s="2" t="s">
        <v>214</v>
      </c>
      <c r="O511" s="2" t="s">
        <v>81</v>
      </c>
      <c r="P511" s="2" t="str">
        <f>"2170585942                    "</f>
        <v xml:space="preserve">2170585942 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14.15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13</v>
      </c>
      <c r="BJ511" s="2">
        <v>31.6</v>
      </c>
      <c r="BK511" s="2">
        <v>32</v>
      </c>
      <c r="BL511" s="2">
        <v>151.55000000000001</v>
      </c>
      <c r="BM511" s="2">
        <v>21.22</v>
      </c>
      <c r="BN511" s="2">
        <v>172.77</v>
      </c>
      <c r="BO511" s="2">
        <v>172.77</v>
      </c>
      <c r="BP511" s="2"/>
      <c r="BQ511" s="2" t="s">
        <v>83</v>
      </c>
      <c r="BR511" s="2" t="s">
        <v>122</v>
      </c>
      <c r="BS511" s="3">
        <v>42969</v>
      </c>
      <c r="BT511" s="4">
        <v>0.3215277777777778</v>
      </c>
      <c r="BU511" s="2" t="s">
        <v>1131</v>
      </c>
      <c r="BV511" s="2" t="s">
        <v>95</v>
      </c>
      <c r="BW511" s="2"/>
      <c r="BX511" s="2"/>
      <c r="BY511" s="2">
        <v>157920</v>
      </c>
      <c r="BZ511" s="2"/>
      <c r="CA511" s="2" t="s">
        <v>213</v>
      </c>
      <c r="CB511" s="2"/>
      <c r="CC511" s="2" t="s">
        <v>98</v>
      </c>
      <c r="CD511" s="2">
        <v>6001</v>
      </c>
      <c r="CE511" s="2" t="s">
        <v>89</v>
      </c>
      <c r="CF511" s="5">
        <v>42970</v>
      </c>
      <c r="CG511" s="2"/>
      <c r="CH511" s="2"/>
      <c r="CI511" s="2">
        <v>2</v>
      </c>
      <c r="CJ511" s="2">
        <v>1</v>
      </c>
      <c r="CK511" s="2" t="s">
        <v>136</v>
      </c>
      <c r="CL511" s="2" t="s">
        <v>86</v>
      </c>
      <c r="CM511" s="2"/>
    </row>
    <row r="512" spans="1:91">
      <c r="A512" s="2" t="s">
        <v>71</v>
      </c>
      <c r="B512" s="2" t="s">
        <v>72</v>
      </c>
      <c r="C512" s="2" t="s">
        <v>73</v>
      </c>
      <c r="D512" s="2"/>
      <c r="E512" s="2" t="str">
        <f>"FES1162571295"</f>
        <v>FES1162571295</v>
      </c>
      <c r="F512" s="3">
        <v>42971</v>
      </c>
      <c r="G512" s="2">
        <v>201802</v>
      </c>
      <c r="H512" s="2" t="s">
        <v>74</v>
      </c>
      <c r="I512" s="2" t="s">
        <v>75</v>
      </c>
      <c r="J512" s="2" t="s">
        <v>118</v>
      </c>
      <c r="K512" s="2" t="s">
        <v>77</v>
      </c>
      <c r="L512" s="2" t="s">
        <v>170</v>
      </c>
      <c r="M512" s="2" t="s">
        <v>171</v>
      </c>
      <c r="N512" s="2" t="s">
        <v>1132</v>
      </c>
      <c r="O512" s="2" t="s">
        <v>81</v>
      </c>
      <c r="P512" s="2" t="str">
        <f>"2170586691                    "</f>
        <v xml:space="preserve">2170586691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6.57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19.5</v>
      </c>
      <c r="BJ512" s="2">
        <v>8.9</v>
      </c>
      <c r="BK512" s="2">
        <v>20</v>
      </c>
      <c r="BL512" s="2">
        <v>73.02</v>
      </c>
      <c r="BM512" s="2">
        <v>10.220000000000001</v>
      </c>
      <c r="BN512" s="2">
        <v>83.24</v>
      </c>
      <c r="BO512" s="2">
        <v>83.24</v>
      </c>
      <c r="BP512" s="2"/>
      <c r="BQ512" s="2" t="s">
        <v>83</v>
      </c>
      <c r="BR512" s="2" t="s">
        <v>122</v>
      </c>
      <c r="BS512" s="3">
        <v>42975</v>
      </c>
      <c r="BT512" s="4">
        <v>0.3444444444444445</v>
      </c>
      <c r="BU512" s="2" t="s">
        <v>1133</v>
      </c>
      <c r="BV512" s="2" t="s">
        <v>86</v>
      </c>
      <c r="BW512" s="2" t="s">
        <v>124</v>
      </c>
      <c r="BX512" s="2" t="s">
        <v>498</v>
      </c>
      <c r="BY512" s="2">
        <v>44273.37</v>
      </c>
      <c r="BZ512" s="2"/>
      <c r="CA512" s="2" t="s">
        <v>148</v>
      </c>
      <c r="CB512" s="2"/>
      <c r="CC512" s="2" t="s">
        <v>171</v>
      </c>
      <c r="CD512" s="2">
        <v>1401</v>
      </c>
      <c r="CE512" s="2" t="s">
        <v>89</v>
      </c>
      <c r="CF512" s="5">
        <v>42976</v>
      </c>
      <c r="CG512" s="2"/>
      <c r="CH512" s="2"/>
      <c r="CI512" s="2">
        <v>1</v>
      </c>
      <c r="CJ512" s="2">
        <v>2</v>
      </c>
      <c r="CK512" s="2" t="s">
        <v>132</v>
      </c>
      <c r="CL512" s="2" t="s">
        <v>86</v>
      </c>
      <c r="CM512" s="2"/>
    </row>
    <row r="513" spans="1:91">
      <c r="A513" s="2" t="s">
        <v>71</v>
      </c>
      <c r="B513" s="2" t="s">
        <v>72</v>
      </c>
      <c r="C513" s="2" t="s">
        <v>73</v>
      </c>
      <c r="D513" s="2"/>
      <c r="E513" s="2" t="str">
        <f>"FES1162570225"</f>
        <v>FES1162570225</v>
      </c>
      <c r="F513" s="3">
        <v>42968</v>
      </c>
      <c r="G513" s="2">
        <v>201802</v>
      </c>
      <c r="H513" s="2" t="s">
        <v>74</v>
      </c>
      <c r="I513" s="2" t="s">
        <v>75</v>
      </c>
      <c r="J513" s="2" t="s">
        <v>118</v>
      </c>
      <c r="K513" s="2" t="s">
        <v>77</v>
      </c>
      <c r="L513" s="2" t="s">
        <v>206</v>
      </c>
      <c r="M513" s="2" t="s">
        <v>207</v>
      </c>
      <c r="N513" s="2" t="s">
        <v>1134</v>
      </c>
      <c r="O513" s="2" t="s">
        <v>81</v>
      </c>
      <c r="P513" s="2" t="str">
        <f>"2170581768                    "</f>
        <v xml:space="preserve">2170581768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8.6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2</v>
      </c>
      <c r="BI513" s="2">
        <v>10.4</v>
      </c>
      <c r="BJ513" s="2">
        <v>18.7</v>
      </c>
      <c r="BK513" s="2">
        <v>19</v>
      </c>
      <c r="BL513" s="2">
        <v>94.08</v>
      </c>
      <c r="BM513" s="2">
        <v>13.17</v>
      </c>
      <c r="BN513" s="2">
        <v>107.25</v>
      </c>
      <c r="BO513" s="2">
        <v>107.25</v>
      </c>
      <c r="BP513" s="2"/>
      <c r="BQ513" s="2" t="s">
        <v>288</v>
      </c>
      <c r="BR513" s="2" t="s">
        <v>122</v>
      </c>
      <c r="BS513" s="3">
        <v>42969</v>
      </c>
      <c r="BT513" s="4">
        <v>0.49583333333333335</v>
      </c>
      <c r="BU513" s="2" t="s">
        <v>1135</v>
      </c>
      <c r="BV513" s="2"/>
      <c r="BW513" s="2"/>
      <c r="BX513" s="2"/>
      <c r="BY513" s="2">
        <v>93480.78</v>
      </c>
      <c r="BZ513" s="2"/>
      <c r="CA513" s="2" t="s">
        <v>700</v>
      </c>
      <c r="CB513" s="2"/>
      <c r="CC513" s="2" t="s">
        <v>207</v>
      </c>
      <c r="CD513" s="2">
        <v>216</v>
      </c>
      <c r="CE513" s="2" t="s">
        <v>89</v>
      </c>
      <c r="CF513" s="5">
        <v>42971</v>
      </c>
      <c r="CG513" s="2"/>
      <c r="CH513" s="2"/>
      <c r="CI513" s="2">
        <v>0</v>
      </c>
      <c r="CJ513" s="2">
        <v>0</v>
      </c>
      <c r="CK513" s="2" t="s">
        <v>163</v>
      </c>
      <c r="CL513" s="2" t="s">
        <v>86</v>
      </c>
      <c r="CM513" s="2"/>
    </row>
    <row r="514" spans="1:91">
      <c r="A514" s="2" t="s">
        <v>71</v>
      </c>
      <c r="B514" s="2" t="s">
        <v>72</v>
      </c>
      <c r="C514" s="2" t="s">
        <v>73</v>
      </c>
      <c r="D514" s="2"/>
      <c r="E514" s="2" t="str">
        <f>"FES1162569674"</f>
        <v>FES1162569674</v>
      </c>
      <c r="F514" s="3">
        <v>42964</v>
      </c>
      <c r="G514" s="2">
        <v>201802</v>
      </c>
      <c r="H514" s="2" t="s">
        <v>74</v>
      </c>
      <c r="I514" s="2" t="s">
        <v>75</v>
      </c>
      <c r="J514" s="2" t="s">
        <v>118</v>
      </c>
      <c r="K514" s="2" t="s">
        <v>77</v>
      </c>
      <c r="L514" s="2" t="s">
        <v>632</v>
      </c>
      <c r="M514" s="2" t="s">
        <v>269</v>
      </c>
      <c r="N514" s="2" t="s">
        <v>635</v>
      </c>
      <c r="O514" s="2" t="s">
        <v>81</v>
      </c>
      <c r="P514" s="2" t="str">
        <f>"2170578945                    "</f>
        <v xml:space="preserve">2170578945  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6.88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4.5999999999999996</v>
      </c>
      <c r="BJ514" s="2">
        <v>8</v>
      </c>
      <c r="BK514" s="2">
        <v>8</v>
      </c>
      <c r="BL514" s="2">
        <v>76.23</v>
      </c>
      <c r="BM514" s="2">
        <v>10.67</v>
      </c>
      <c r="BN514" s="2">
        <v>86.9</v>
      </c>
      <c r="BO514" s="2">
        <v>86.9</v>
      </c>
      <c r="BP514" s="2"/>
      <c r="BQ514" s="2" t="s">
        <v>83</v>
      </c>
      <c r="BR514" s="2" t="s">
        <v>122</v>
      </c>
      <c r="BS514" s="3">
        <v>42965</v>
      </c>
      <c r="BT514" s="4">
        <v>0.4236111111111111</v>
      </c>
      <c r="BU514" s="2" t="s">
        <v>664</v>
      </c>
      <c r="BV514" s="2"/>
      <c r="BW514" s="2"/>
      <c r="BX514" s="2"/>
      <c r="BY514" s="2">
        <v>40239.699999999997</v>
      </c>
      <c r="BZ514" s="2"/>
      <c r="CA514" s="2" t="s">
        <v>638</v>
      </c>
      <c r="CB514" s="2"/>
      <c r="CC514" s="2" t="s">
        <v>269</v>
      </c>
      <c r="CD514" s="2">
        <v>184</v>
      </c>
      <c r="CE514" s="2" t="s">
        <v>89</v>
      </c>
      <c r="CF514" s="5">
        <v>42968</v>
      </c>
      <c r="CG514" s="2"/>
      <c r="CH514" s="2"/>
      <c r="CI514" s="2">
        <v>0</v>
      </c>
      <c r="CJ514" s="2">
        <v>0</v>
      </c>
      <c r="CK514" s="2" t="s">
        <v>143</v>
      </c>
      <c r="CL514" s="2" t="s">
        <v>86</v>
      </c>
      <c r="CM514" s="2"/>
    </row>
    <row r="515" spans="1:91">
      <c r="A515" s="2" t="s">
        <v>71</v>
      </c>
      <c r="B515" s="2" t="s">
        <v>72</v>
      </c>
      <c r="C515" s="2" t="s">
        <v>73</v>
      </c>
      <c r="D515" s="2"/>
      <c r="E515" s="2" t="str">
        <f>"FES1162569026"</f>
        <v>FES1162569026</v>
      </c>
      <c r="F515" s="3">
        <v>42962</v>
      </c>
      <c r="G515" s="2">
        <v>201802</v>
      </c>
      <c r="H515" s="2" t="s">
        <v>74</v>
      </c>
      <c r="I515" s="2" t="s">
        <v>75</v>
      </c>
      <c r="J515" s="2" t="s">
        <v>118</v>
      </c>
      <c r="K515" s="2" t="s">
        <v>77</v>
      </c>
      <c r="L515" s="2" t="s">
        <v>137</v>
      </c>
      <c r="M515" s="2" t="s">
        <v>138</v>
      </c>
      <c r="N515" s="2" t="s">
        <v>1114</v>
      </c>
      <c r="O515" s="2" t="s">
        <v>81</v>
      </c>
      <c r="P515" s="2" t="str">
        <f>"2170582125                    "</f>
        <v xml:space="preserve">2170582125  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7.52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1</v>
      </c>
      <c r="BI515" s="2">
        <v>9</v>
      </c>
      <c r="BJ515" s="2">
        <v>17.899999999999999</v>
      </c>
      <c r="BK515" s="2">
        <v>18</v>
      </c>
      <c r="BL515" s="2">
        <v>82.84</v>
      </c>
      <c r="BM515" s="2">
        <v>11.6</v>
      </c>
      <c r="BN515" s="2">
        <v>94.44</v>
      </c>
      <c r="BO515" s="2">
        <v>94.44</v>
      </c>
      <c r="BP515" s="2"/>
      <c r="BQ515" s="2" t="s">
        <v>83</v>
      </c>
      <c r="BR515" s="2" t="s">
        <v>122</v>
      </c>
      <c r="BS515" s="3">
        <v>42963</v>
      </c>
      <c r="BT515" s="4">
        <v>0.4375</v>
      </c>
      <c r="BU515" s="2" t="s">
        <v>85</v>
      </c>
      <c r="BV515" s="2" t="s">
        <v>95</v>
      </c>
      <c r="BW515" s="2"/>
      <c r="BX515" s="2"/>
      <c r="BY515" s="2">
        <v>89463.53</v>
      </c>
      <c r="BZ515" s="2"/>
      <c r="CA515" s="2"/>
      <c r="CB515" s="2"/>
      <c r="CC515" s="2" t="s">
        <v>138</v>
      </c>
      <c r="CD515" s="2">
        <v>157</v>
      </c>
      <c r="CE515" s="2" t="s">
        <v>89</v>
      </c>
      <c r="CF515" s="5">
        <v>42964</v>
      </c>
      <c r="CG515" s="2"/>
      <c r="CH515" s="2"/>
      <c r="CI515" s="2">
        <v>0</v>
      </c>
      <c r="CJ515" s="2">
        <v>0</v>
      </c>
      <c r="CK515" s="2" t="s">
        <v>143</v>
      </c>
      <c r="CL515" s="2" t="s">
        <v>86</v>
      </c>
      <c r="CM515" s="2"/>
    </row>
    <row r="516" spans="1:91">
      <c r="A516" s="2" t="s">
        <v>71</v>
      </c>
      <c r="B516" s="2" t="s">
        <v>72</v>
      </c>
      <c r="C516" s="2" t="s">
        <v>73</v>
      </c>
      <c r="D516" s="2"/>
      <c r="E516" s="2" t="str">
        <f>"FES1162571365"</f>
        <v>FES1162571365</v>
      </c>
      <c r="F516" s="3">
        <v>42971</v>
      </c>
      <c r="G516" s="2">
        <v>201802</v>
      </c>
      <c r="H516" s="2" t="s">
        <v>74</v>
      </c>
      <c r="I516" s="2" t="s">
        <v>75</v>
      </c>
      <c r="J516" s="2" t="s">
        <v>118</v>
      </c>
      <c r="K516" s="2" t="s">
        <v>77</v>
      </c>
      <c r="L516" s="2" t="s">
        <v>632</v>
      </c>
      <c r="M516" s="2" t="s">
        <v>269</v>
      </c>
      <c r="N516" s="2" t="s">
        <v>351</v>
      </c>
      <c r="O516" s="2" t="s">
        <v>81</v>
      </c>
      <c r="P516" s="2" t="str">
        <f>"2170586795                    "</f>
        <v xml:space="preserve">2170586795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6.88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1</v>
      </c>
      <c r="BI516" s="2">
        <v>5.6</v>
      </c>
      <c r="BJ516" s="2">
        <v>2.4</v>
      </c>
      <c r="BK516" s="2">
        <v>6</v>
      </c>
      <c r="BL516" s="2">
        <v>76.23</v>
      </c>
      <c r="BM516" s="2">
        <v>10.67</v>
      </c>
      <c r="BN516" s="2">
        <v>86.9</v>
      </c>
      <c r="BO516" s="2">
        <v>86.9</v>
      </c>
      <c r="BP516" s="2"/>
      <c r="BQ516" s="2" t="s">
        <v>83</v>
      </c>
      <c r="BR516" s="2" t="s">
        <v>122</v>
      </c>
      <c r="BS516" s="3">
        <v>42972</v>
      </c>
      <c r="BT516" s="4">
        <v>0.4375</v>
      </c>
      <c r="BU516" s="2" t="s">
        <v>1136</v>
      </c>
      <c r="BV516" s="2"/>
      <c r="BW516" s="2"/>
      <c r="BX516" s="2"/>
      <c r="BY516" s="2">
        <v>11916.49</v>
      </c>
      <c r="BZ516" s="2"/>
      <c r="CA516" s="2"/>
      <c r="CB516" s="2"/>
      <c r="CC516" s="2" t="s">
        <v>269</v>
      </c>
      <c r="CD516" s="2">
        <v>200</v>
      </c>
      <c r="CE516" s="2" t="s">
        <v>89</v>
      </c>
      <c r="CF516" s="5">
        <v>42975</v>
      </c>
      <c r="CG516" s="2"/>
      <c r="CH516" s="2"/>
      <c r="CI516" s="2">
        <v>0</v>
      </c>
      <c r="CJ516" s="2">
        <v>0</v>
      </c>
      <c r="CK516" s="2" t="s">
        <v>143</v>
      </c>
      <c r="CL516" s="2" t="s">
        <v>86</v>
      </c>
      <c r="CM516" s="2"/>
    </row>
    <row r="517" spans="1:91">
      <c r="A517" s="2" t="s">
        <v>71</v>
      </c>
      <c r="B517" s="2" t="s">
        <v>72</v>
      </c>
      <c r="C517" s="2" t="s">
        <v>73</v>
      </c>
      <c r="D517" s="2"/>
      <c r="E517" s="2" t="str">
        <f>"FES1162569120"</f>
        <v>FES1162569120</v>
      </c>
      <c r="F517" s="3">
        <v>42962</v>
      </c>
      <c r="G517" s="2">
        <v>201802</v>
      </c>
      <c r="H517" s="2" t="s">
        <v>74</v>
      </c>
      <c r="I517" s="2" t="s">
        <v>75</v>
      </c>
      <c r="J517" s="2" t="s">
        <v>118</v>
      </c>
      <c r="K517" s="2" t="s">
        <v>77</v>
      </c>
      <c r="L517" s="2" t="s">
        <v>944</v>
      </c>
      <c r="M517" s="2" t="s">
        <v>944</v>
      </c>
      <c r="N517" s="2" t="s">
        <v>1137</v>
      </c>
      <c r="O517" s="2" t="s">
        <v>81</v>
      </c>
      <c r="P517" s="2" t="str">
        <f>"2170585105                    "</f>
        <v xml:space="preserve">2170585105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7.5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13.7</v>
      </c>
      <c r="BJ517" s="2">
        <v>14.2</v>
      </c>
      <c r="BK517" s="2">
        <v>15</v>
      </c>
      <c r="BL517" s="2">
        <v>82.7</v>
      </c>
      <c r="BM517" s="2">
        <v>11.58</v>
      </c>
      <c r="BN517" s="2">
        <v>94.28</v>
      </c>
      <c r="BO517" s="2">
        <v>94.28</v>
      </c>
      <c r="BP517" s="2"/>
      <c r="BQ517" s="2" t="s">
        <v>288</v>
      </c>
      <c r="BR517" s="2" t="s">
        <v>122</v>
      </c>
      <c r="BS517" s="3">
        <v>42963</v>
      </c>
      <c r="BT517" s="4">
        <v>0.40277777777777773</v>
      </c>
      <c r="BU517" s="2" t="s">
        <v>1138</v>
      </c>
      <c r="BV517" s="2" t="s">
        <v>95</v>
      </c>
      <c r="BW517" s="2"/>
      <c r="BX517" s="2"/>
      <c r="BY517" s="2">
        <v>71109.789999999994</v>
      </c>
      <c r="BZ517" s="2"/>
      <c r="CA517" s="2" t="s">
        <v>960</v>
      </c>
      <c r="CB517" s="2"/>
      <c r="CC517" s="2" t="s">
        <v>944</v>
      </c>
      <c r="CD517" s="2">
        <v>1490</v>
      </c>
      <c r="CE517" s="2" t="s">
        <v>1139</v>
      </c>
      <c r="CF517" s="5">
        <v>42964</v>
      </c>
      <c r="CG517" s="2"/>
      <c r="CH517" s="2"/>
      <c r="CI517" s="2">
        <v>1</v>
      </c>
      <c r="CJ517" s="2">
        <v>1</v>
      </c>
      <c r="CK517" s="2" t="s">
        <v>163</v>
      </c>
      <c r="CL517" s="2" t="s">
        <v>86</v>
      </c>
      <c r="CM517" s="2"/>
    </row>
    <row r="518" spans="1:91">
      <c r="A518" s="2" t="s">
        <v>71</v>
      </c>
      <c r="B518" s="2" t="s">
        <v>72</v>
      </c>
      <c r="C518" s="2" t="s">
        <v>73</v>
      </c>
      <c r="D518" s="2"/>
      <c r="E518" s="2" t="str">
        <f>"FES1162569836"</f>
        <v>FES1162569836</v>
      </c>
      <c r="F518" s="3">
        <v>42964</v>
      </c>
      <c r="G518" s="2">
        <v>201802</v>
      </c>
      <c r="H518" s="2" t="s">
        <v>74</v>
      </c>
      <c r="I518" s="2" t="s">
        <v>75</v>
      </c>
      <c r="J518" s="2" t="s">
        <v>118</v>
      </c>
      <c r="K518" s="2" t="s">
        <v>77</v>
      </c>
      <c r="L518" s="2" t="s">
        <v>306</v>
      </c>
      <c r="M518" s="2" t="s">
        <v>307</v>
      </c>
      <c r="N518" s="2" t="s">
        <v>1140</v>
      </c>
      <c r="O518" s="2" t="s">
        <v>81</v>
      </c>
      <c r="P518" s="2" t="str">
        <f>"2170585634                    "</f>
        <v xml:space="preserve">2170585634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6.88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11.8</v>
      </c>
      <c r="BJ518" s="2">
        <v>4.8</v>
      </c>
      <c r="BK518" s="2">
        <v>12</v>
      </c>
      <c r="BL518" s="2">
        <v>76.23</v>
      </c>
      <c r="BM518" s="2">
        <v>10.67</v>
      </c>
      <c r="BN518" s="2">
        <v>86.9</v>
      </c>
      <c r="BO518" s="2">
        <v>86.9</v>
      </c>
      <c r="BP518" s="2"/>
      <c r="BQ518" s="2" t="s">
        <v>83</v>
      </c>
      <c r="BR518" s="2" t="s">
        <v>122</v>
      </c>
      <c r="BS518" s="3">
        <v>42965</v>
      </c>
      <c r="BT518" s="4">
        <v>0.4381944444444445</v>
      </c>
      <c r="BU518" s="2" t="s">
        <v>1141</v>
      </c>
      <c r="BV518" s="2" t="s">
        <v>95</v>
      </c>
      <c r="BW518" s="2"/>
      <c r="BX518" s="2"/>
      <c r="BY518" s="2">
        <v>24123.41</v>
      </c>
      <c r="BZ518" s="2"/>
      <c r="CA518" s="2" t="s">
        <v>951</v>
      </c>
      <c r="CB518" s="2"/>
      <c r="CC518" s="2" t="s">
        <v>307</v>
      </c>
      <c r="CD518" s="2">
        <v>1873</v>
      </c>
      <c r="CE518" s="2" t="s">
        <v>135</v>
      </c>
      <c r="CF518" s="5">
        <v>42968</v>
      </c>
      <c r="CG518" s="2"/>
      <c r="CH518" s="2"/>
      <c r="CI518" s="2">
        <v>1</v>
      </c>
      <c r="CJ518" s="2">
        <v>1</v>
      </c>
      <c r="CK518" s="2" t="s">
        <v>143</v>
      </c>
      <c r="CL518" s="2" t="s">
        <v>86</v>
      </c>
      <c r="CM518" s="2"/>
    </row>
    <row r="519" spans="1:91">
      <c r="A519" s="2" t="s">
        <v>71</v>
      </c>
      <c r="B519" s="2" t="s">
        <v>72</v>
      </c>
      <c r="C519" s="2" t="s">
        <v>73</v>
      </c>
      <c r="D519" s="2"/>
      <c r="E519" s="2" t="str">
        <f>"FES1162569009"</f>
        <v>FES1162569009</v>
      </c>
      <c r="F519" s="3">
        <v>42962</v>
      </c>
      <c r="G519" s="2">
        <v>201802</v>
      </c>
      <c r="H519" s="2" t="s">
        <v>74</v>
      </c>
      <c r="I519" s="2" t="s">
        <v>75</v>
      </c>
      <c r="J519" s="2" t="s">
        <v>118</v>
      </c>
      <c r="K519" s="2" t="s">
        <v>77</v>
      </c>
      <c r="L519" s="2" t="s">
        <v>944</v>
      </c>
      <c r="M519" s="2" t="s">
        <v>944</v>
      </c>
      <c r="N519" s="2" t="s">
        <v>1096</v>
      </c>
      <c r="O519" s="2" t="s">
        <v>81</v>
      </c>
      <c r="P519" s="2" t="str">
        <f>"2170585003                    "</f>
        <v xml:space="preserve">2170585003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8.6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9</v>
      </c>
      <c r="BJ519" s="2">
        <v>18.3</v>
      </c>
      <c r="BK519" s="2">
        <v>19</v>
      </c>
      <c r="BL519" s="2">
        <v>94.08</v>
      </c>
      <c r="BM519" s="2">
        <v>13.17</v>
      </c>
      <c r="BN519" s="2">
        <v>107.25</v>
      </c>
      <c r="BO519" s="2">
        <v>107.25</v>
      </c>
      <c r="BP519" s="2"/>
      <c r="BQ519" s="2" t="s">
        <v>288</v>
      </c>
      <c r="BR519" s="2" t="s">
        <v>122</v>
      </c>
      <c r="BS519" s="3">
        <v>42963</v>
      </c>
      <c r="BT519" s="4">
        <v>0.41666666666666669</v>
      </c>
      <c r="BU519" s="2" t="s">
        <v>1142</v>
      </c>
      <c r="BV519" s="2" t="s">
        <v>95</v>
      </c>
      <c r="BW519" s="2"/>
      <c r="BX519" s="2"/>
      <c r="BY519" s="2">
        <v>91264</v>
      </c>
      <c r="BZ519" s="2"/>
      <c r="CA519" s="2" t="s">
        <v>960</v>
      </c>
      <c r="CB519" s="2"/>
      <c r="CC519" s="2" t="s">
        <v>944</v>
      </c>
      <c r="CD519" s="2">
        <v>1490</v>
      </c>
      <c r="CE519" s="2" t="s">
        <v>89</v>
      </c>
      <c r="CF519" s="5">
        <v>42964</v>
      </c>
      <c r="CG519" s="2"/>
      <c r="CH519" s="2"/>
      <c r="CI519" s="2">
        <v>1</v>
      </c>
      <c r="CJ519" s="2">
        <v>1</v>
      </c>
      <c r="CK519" s="2" t="s">
        <v>163</v>
      </c>
      <c r="CL519" s="2" t="s">
        <v>86</v>
      </c>
      <c r="CM519" s="2"/>
    </row>
    <row r="520" spans="1:91">
      <c r="A520" s="2" t="s">
        <v>71</v>
      </c>
      <c r="B520" s="2" t="s">
        <v>72</v>
      </c>
      <c r="C520" s="2" t="s">
        <v>73</v>
      </c>
      <c r="D520" s="2"/>
      <c r="E520" s="2" t="str">
        <f>"FES1162571222"</f>
        <v>FES1162571222</v>
      </c>
      <c r="F520" s="3">
        <v>42971</v>
      </c>
      <c r="G520" s="2">
        <v>201802</v>
      </c>
      <c r="H520" s="2" t="s">
        <v>74</v>
      </c>
      <c r="I520" s="2" t="s">
        <v>75</v>
      </c>
      <c r="J520" s="2" t="s">
        <v>118</v>
      </c>
      <c r="K520" s="2" t="s">
        <v>77</v>
      </c>
      <c r="L520" s="2" t="s">
        <v>252</v>
      </c>
      <c r="M520" s="2" t="s">
        <v>106</v>
      </c>
      <c r="N520" s="2" t="s">
        <v>1143</v>
      </c>
      <c r="O520" s="2" t="s">
        <v>81</v>
      </c>
      <c r="P520" s="2" t="str">
        <f>"2170586857                    "</f>
        <v xml:space="preserve">2170586857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13.8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15.2</v>
      </c>
      <c r="BJ520" s="2">
        <v>30.4</v>
      </c>
      <c r="BK520" s="2">
        <v>31</v>
      </c>
      <c r="BL520" s="2">
        <v>147.91999999999999</v>
      </c>
      <c r="BM520" s="2">
        <v>20.71</v>
      </c>
      <c r="BN520" s="2">
        <v>168.63</v>
      </c>
      <c r="BO520" s="2">
        <v>168.63</v>
      </c>
      <c r="BP520" s="2"/>
      <c r="BQ520" s="2" t="s">
        <v>83</v>
      </c>
      <c r="BR520" s="2" t="s">
        <v>122</v>
      </c>
      <c r="BS520" s="3">
        <v>42972</v>
      </c>
      <c r="BT520" s="4">
        <v>0.35625000000000001</v>
      </c>
      <c r="BU520" s="2" t="s">
        <v>1144</v>
      </c>
      <c r="BV520" s="2" t="s">
        <v>95</v>
      </c>
      <c r="BW520" s="2"/>
      <c r="BX520" s="2"/>
      <c r="BY520" s="2">
        <v>152107.29999999999</v>
      </c>
      <c r="BZ520" s="2"/>
      <c r="CA520" s="2" t="s">
        <v>643</v>
      </c>
      <c r="CB520" s="2"/>
      <c r="CC520" s="2" t="s">
        <v>106</v>
      </c>
      <c r="CD520" s="2">
        <v>7925</v>
      </c>
      <c r="CE520" s="2" t="s">
        <v>89</v>
      </c>
      <c r="CF520" s="5">
        <v>42975</v>
      </c>
      <c r="CG520" s="2"/>
      <c r="CH520" s="2"/>
      <c r="CI520" s="2">
        <v>2</v>
      </c>
      <c r="CJ520" s="2">
        <v>1</v>
      </c>
      <c r="CK520" s="2" t="s">
        <v>136</v>
      </c>
      <c r="CL520" s="2" t="s">
        <v>86</v>
      </c>
      <c r="CM520" s="2"/>
    </row>
    <row r="521" spans="1:91">
      <c r="A521" s="2" t="s">
        <v>71</v>
      </c>
      <c r="B521" s="2" t="s">
        <v>72</v>
      </c>
      <c r="C521" s="2" t="s">
        <v>73</v>
      </c>
      <c r="D521" s="2"/>
      <c r="E521" s="2" t="str">
        <f>"FES1162568651"</f>
        <v>FES1162568651</v>
      </c>
      <c r="F521" s="3">
        <v>42961</v>
      </c>
      <c r="G521" s="2">
        <v>201802</v>
      </c>
      <c r="H521" s="2" t="s">
        <v>74</v>
      </c>
      <c r="I521" s="2" t="s">
        <v>75</v>
      </c>
      <c r="J521" s="2" t="s">
        <v>118</v>
      </c>
      <c r="K521" s="2" t="s">
        <v>77</v>
      </c>
      <c r="L521" s="2" t="s">
        <v>97</v>
      </c>
      <c r="M521" s="2" t="s">
        <v>98</v>
      </c>
      <c r="N521" s="2" t="s">
        <v>1041</v>
      </c>
      <c r="O521" s="2" t="s">
        <v>81</v>
      </c>
      <c r="P521" s="2" t="str">
        <f>"2170580225                    "</f>
        <v xml:space="preserve">2170580225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11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1</v>
      </c>
      <c r="BI521" s="2">
        <v>10.8</v>
      </c>
      <c r="BJ521" s="2">
        <v>22.5</v>
      </c>
      <c r="BK521" s="2">
        <v>23</v>
      </c>
      <c r="BL521" s="2">
        <v>118.88</v>
      </c>
      <c r="BM521" s="2">
        <v>16.64</v>
      </c>
      <c r="BN521" s="2">
        <v>135.52000000000001</v>
      </c>
      <c r="BO521" s="2">
        <v>135.52000000000001</v>
      </c>
      <c r="BP521" s="2"/>
      <c r="BQ521" s="2" t="s">
        <v>83</v>
      </c>
      <c r="BR521" s="2" t="s">
        <v>122</v>
      </c>
      <c r="BS521" s="3">
        <v>42962</v>
      </c>
      <c r="BT521" s="4">
        <v>0.29930555555555555</v>
      </c>
      <c r="BU521" s="2" t="s">
        <v>1072</v>
      </c>
      <c r="BV521" s="2" t="s">
        <v>95</v>
      </c>
      <c r="BW521" s="2"/>
      <c r="BX521" s="2"/>
      <c r="BY521" s="2">
        <v>112396.03</v>
      </c>
      <c r="BZ521" s="2"/>
      <c r="CA521" s="2" t="s">
        <v>294</v>
      </c>
      <c r="CB521" s="2"/>
      <c r="CC521" s="2" t="s">
        <v>98</v>
      </c>
      <c r="CD521" s="2">
        <v>6012</v>
      </c>
      <c r="CE521" s="2" t="s">
        <v>89</v>
      </c>
      <c r="CF521" s="5">
        <v>42963</v>
      </c>
      <c r="CG521" s="2"/>
      <c r="CH521" s="2"/>
      <c r="CI521" s="2">
        <v>2</v>
      </c>
      <c r="CJ521" s="2">
        <v>1</v>
      </c>
      <c r="CK521" s="2" t="s">
        <v>136</v>
      </c>
      <c r="CL521" s="2" t="s">
        <v>86</v>
      </c>
      <c r="CM521" s="2"/>
    </row>
    <row r="522" spans="1:91">
      <c r="A522" s="2" t="s">
        <v>71</v>
      </c>
      <c r="B522" s="2" t="s">
        <v>72</v>
      </c>
      <c r="C522" s="2" t="s">
        <v>73</v>
      </c>
      <c r="D522" s="2"/>
      <c r="E522" s="2" t="str">
        <f>"FES1162569775"</f>
        <v>FES1162569775</v>
      </c>
      <c r="F522" s="3">
        <v>42964</v>
      </c>
      <c r="G522" s="2">
        <v>201802</v>
      </c>
      <c r="H522" s="2" t="s">
        <v>74</v>
      </c>
      <c r="I522" s="2" t="s">
        <v>75</v>
      </c>
      <c r="J522" s="2" t="s">
        <v>118</v>
      </c>
      <c r="K522" s="2" t="s">
        <v>77</v>
      </c>
      <c r="L522" s="2" t="s">
        <v>137</v>
      </c>
      <c r="M522" s="2" t="s">
        <v>138</v>
      </c>
      <c r="N522" s="2" t="s">
        <v>1145</v>
      </c>
      <c r="O522" s="2" t="s">
        <v>81</v>
      </c>
      <c r="P522" s="2" t="str">
        <f>"2170585549                    "</f>
        <v xml:space="preserve">2170585549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6.88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1</v>
      </c>
      <c r="BI522" s="2">
        <v>7</v>
      </c>
      <c r="BJ522" s="2">
        <v>6.5</v>
      </c>
      <c r="BK522" s="2">
        <v>7</v>
      </c>
      <c r="BL522" s="2">
        <v>76.23</v>
      </c>
      <c r="BM522" s="2">
        <v>10.67</v>
      </c>
      <c r="BN522" s="2">
        <v>86.9</v>
      </c>
      <c r="BO522" s="2">
        <v>86.9</v>
      </c>
      <c r="BP522" s="2"/>
      <c r="BQ522" s="2" t="s">
        <v>288</v>
      </c>
      <c r="BR522" s="2" t="s">
        <v>122</v>
      </c>
      <c r="BS522" s="3">
        <v>42965</v>
      </c>
      <c r="BT522" s="4">
        <v>0.43472222222222223</v>
      </c>
      <c r="BU522" s="2" t="s">
        <v>1146</v>
      </c>
      <c r="BV522" s="2"/>
      <c r="BW522" s="2"/>
      <c r="BX522" s="2"/>
      <c r="BY522" s="2">
        <v>32500</v>
      </c>
      <c r="BZ522" s="2"/>
      <c r="CA522" s="2"/>
      <c r="CB522" s="2"/>
      <c r="CC522" s="2" t="s">
        <v>138</v>
      </c>
      <c r="CD522" s="2">
        <v>157</v>
      </c>
      <c r="CE522" s="2" t="s">
        <v>135</v>
      </c>
      <c r="CF522" s="5">
        <v>42968</v>
      </c>
      <c r="CG522" s="2"/>
      <c r="CH522" s="2"/>
      <c r="CI522" s="2">
        <v>0</v>
      </c>
      <c r="CJ522" s="2">
        <v>0</v>
      </c>
      <c r="CK522" s="2" t="s">
        <v>143</v>
      </c>
      <c r="CL522" s="2" t="s">
        <v>86</v>
      </c>
      <c r="CM522" s="2"/>
    </row>
    <row r="523" spans="1:91">
      <c r="A523" s="2" t="s">
        <v>71</v>
      </c>
      <c r="B523" s="2" t="s">
        <v>72</v>
      </c>
      <c r="C523" s="2" t="s">
        <v>73</v>
      </c>
      <c r="D523" s="2"/>
      <c r="E523" s="2" t="str">
        <f>"FES1162568632"</f>
        <v>FES1162568632</v>
      </c>
      <c r="F523" s="3">
        <v>42961</v>
      </c>
      <c r="G523" s="2">
        <v>201802</v>
      </c>
      <c r="H523" s="2" t="s">
        <v>74</v>
      </c>
      <c r="I523" s="2" t="s">
        <v>75</v>
      </c>
      <c r="J523" s="2" t="s">
        <v>118</v>
      </c>
      <c r="K523" s="2" t="s">
        <v>77</v>
      </c>
      <c r="L523" s="2" t="s">
        <v>97</v>
      </c>
      <c r="M523" s="2" t="s">
        <v>98</v>
      </c>
      <c r="N523" s="2" t="s">
        <v>248</v>
      </c>
      <c r="O523" s="2" t="s">
        <v>81</v>
      </c>
      <c r="P523" s="2" t="str">
        <f>"2170573593                    "</f>
        <v xml:space="preserve">2170573593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14.15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1</v>
      </c>
      <c r="BI523" s="2">
        <v>18</v>
      </c>
      <c r="BJ523" s="2">
        <v>31.6</v>
      </c>
      <c r="BK523" s="2">
        <v>32</v>
      </c>
      <c r="BL523" s="2">
        <v>151.55000000000001</v>
      </c>
      <c r="BM523" s="2">
        <v>21.22</v>
      </c>
      <c r="BN523" s="2">
        <v>172.77</v>
      </c>
      <c r="BO523" s="2">
        <v>172.77</v>
      </c>
      <c r="BP523" s="2"/>
      <c r="BQ523" s="2" t="s">
        <v>83</v>
      </c>
      <c r="BR523" s="2" t="s">
        <v>122</v>
      </c>
      <c r="BS523" s="3">
        <v>42962</v>
      </c>
      <c r="BT523" s="4">
        <v>0.33333333333333331</v>
      </c>
      <c r="BU523" s="2" t="s">
        <v>390</v>
      </c>
      <c r="BV523" s="2" t="s">
        <v>95</v>
      </c>
      <c r="BW523" s="2"/>
      <c r="BX523" s="2"/>
      <c r="BY523" s="2">
        <v>157794</v>
      </c>
      <c r="BZ523" s="2"/>
      <c r="CA523" s="2" t="s">
        <v>294</v>
      </c>
      <c r="CB523" s="2"/>
      <c r="CC523" s="2" t="s">
        <v>98</v>
      </c>
      <c r="CD523" s="2">
        <v>6001</v>
      </c>
      <c r="CE523" s="2" t="s">
        <v>89</v>
      </c>
      <c r="CF523" s="5">
        <v>42963</v>
      </c>
      <c r="CG523" s="2"/>
      <c r="CH523" s="2"/>
      <c r="CI523" s="2">
        <v>2</v>
      </c>
      <c r="CJ523" s="2">
        <v>1</v>
      </c>
      <c r="CK523" s="2" t="s">
        <v>136</v>
      </c>
      <c r="CL523" s="2" t="s">
        <v>86</v>
      </c>
      <c r="CM523" s="2"/>
    </row>
    <row r="524" spans="1:91">
      <c r="A524" s="2" t="s">
        <v>71</v>
      </c>
      <c r="B524" s="2" t="s">
        <v>72</v>
      </c>
      <c r="C524" s="2" t="s">
        <v>73</v>
      </c>
      <c r="D524" s="2"/>
      <c r="E524" s="2" t="str">
        <f>"FES1162569893"</f>
        <v>FES1162569893</v>
      </c>
      <c r="F524" s="3">
        <v>42965</v>
      </c>
      <c r="G524" s="2">
        <v>201802</v>
      </c>
      <c r="H524" s="2" t="s">
        <v>74</v>
      </c>
      <c r="I524" s="2" t="s">
        <v>75</v>
      </c>
      <c r="J524" s="2" t="s">
        <v>118</v>
      </c>
      <c r="K524" s="2" t="s">
        <v>77</v>
      </c>
      <c r="L524" s="2" t="s">
        <v>632</v>
      </c>
      <c r="M524" s="2" t="s">
        <v>269</v>
      </c>
      <c r="N524" s="2" t="s">
        <v>1002</v>
      </c>
      <c r="O524" s="2" t="s">
        <v>81</v>
      </c>
      <c r="P524" s="2" t="str">
        <f>"2170583601                    "</f>
        <v xml:space="preserve">2170583601  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7.73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1</v>
      </c>
      <c r="BI524" s="2">
        <v>18.399999999999999</v>
      </c>
      <c r="BJ524" s="2">
        <v>13.7</v>
      </c>
      <c r="BK524" s="2">
        <v>19</v>
      </c>
      <c r="BL524" s="2">
        <v>85.04</v>
      </c>
      <c r="BM524" s="2">
        <v>11.91</v>
      </c>
      <c r="BN524" s="2">
        <v>96.95</v>
      </c>
      <c r="BO524" s="2">
        <v>96.95</v>
      </c>
      <c r="BP524" s="2"/>
      <c r="BQ524" s="2" t="s">
        <v>288</v>
      </c>
      <c r="BR524" s="2" t="s">
        <v>122</v>
      </c>
      <c r="BS524" s="3">
        <v>42968</v>
      </c>
      <c r="BT524" s="4">
        <v>0.46111111111111108</v>
      </c>
      <c r="BU524" s="2" t="s">
        <v>85</v>
      </c>
      <c r="BV524" s="2"/>
      <c r="BW524" s="2" t="s">
        <v>110</v>
      </c>
      <c r="BX524" s="2" t="s">
        <v>444</v>
      </c>
      <c r="BY524" s="2">
        <v>68481.48</v>
      </c>
      <c r="BZ524" s="2"/>
      <c r="CA524" s="2"/>
      <c r="CB524" s="2"/>
      <c r="CC524" s="2" t="s">
        <v>269</v>
      </c>
      <c r="CD524" s="2">
        <v>200</v>
      </c>
      <c r="CE524" s="2" t="s">
        <v>89</v>
      </c>
      <c r="CF524" s="5">
        <v>42969</v>
      </c>
      <c r="CG524" s="2"/>
      <c r="CH524" s="2"/>
      <c r="CI524" s="2">
        <v>0</v>
      </c>
      <c r="CJ524" s="2">
        <v>0</v>
      </c>
      <c r="CK524" s="2" t="s">
        <v>143</v>
      </c>
      <c r="CL524" s="2" t="s">
        <v>86</v>
      </c>
      <c r="CM524" s="2"/>
    </row>
    <row r="525" spans="1:91">
      <c r="A525" s="2" t="s">
        <v>71</v>
      </c>
      <c r="B525" s="2" t="s">
        <v>72</v>
      </c>
      <c r="C525" s="2" t="s">
        <v>73</v>
      </c>
      <c r="D525" s="2"/>
      <c r="E525" s="2" t="str">
        <f>"FES1162568669"</f>
        <v>FES1162568669</v>
      </c>
      <c r="F525" s="3">
        <v>42961</v>
      </c>
      <c r="G525" s="2">
        <v>201802</v>
      </c>
      <c r="H525" s="2" t="s">
        <v>74</v>
      </c>
      <c r="I525" s="2" t="s">
        <v>75</v>
      </c>
      <c r="J525" s="2" t="s">
        <v>118</v>
      </c>
      <c r="K525" s="2" t="s">
        <v>77</v>
      </c>
      <c r="L525" s="2" t="s">
        <v>446</v>
      </c>
      <c r="M525" s="2" t="s">
        <v>447</v>
      </c>
      <c r="N525" s="2" t="s">
        <v>861</v>
      </c>
      <c r="O525" s="2" t="s">
        <v>81</v>
      </c>
      <c r="P525" s="2" t="str">
        <f>"2170582434                    "</f>
        <v xml:space="preserve">2170582434          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5.63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1</v>
      </c>
      <c r="BI525" s="2">
        <v>13</v>
      </c>
      <c r="BJ525" s="2">
        <v>13</v>
      </c>
      <c r="BK525" s="2">
        <v>13</v>
      </c>
      <c r="BL525" s="2">
        <v>63.28</v>
      </c>
      <c r="BM525" s="2">
        <v>8.86</v>
      </c>
      <c r="BN525" s="2">
        <v>72.14</v>
      </c>
      <c r="BO525" s="2">
        <v>72.14</v>
      </c>
      <c r="BP525" s="2"/>
      <c r="BQ525" s="2" t="s">
        <v>83</v>
      </c>
      <c r="BR525" s="2" t="s">
        <v>122</v>
      </c>
      <c r="BS525" s="3">
        <v>42962</v>
      </c>
      <c r="BT525" s="4">
        <v>0.41666666666666669</v>
      </c>
      <c r="BU525" s="2" t="s">
        <v>862</v>
      </c>
      <c r="BV525" s="2" t="s">
        <v>95</v>
      </c>
      <c r="BW525" s="2"/>
      <c r="BX525" s="2"/>
      <c r="BY525" s="2">
        <v>65246</v>
      </c>
      <c r="BZ525" s="2"/>
      <c r="CA525" s="2"/>
      <c r="CB525" s="2"/>
      <c r="CC525" s="2" t="s">
        <v>447</v>
      </c>
      <c r="CD525" s="2">
        <v>1759</v>
      </c>
      <c r="CE525" s="2" t="s">
        <v>89</v>
      </c>
      <c r="CF525" s="5">
        <v>42964</v>
      </c>
      <c r="CG525" s="2"/>
      <c r="CH525" s="2"/>
      <c r="CI525" s="2">
        <v>1</v>
      </c>
      <c r="CJ525" s="2">
        <v>1</v>
      </c>
      <c r="CK525" s="2" t="s">
        <v>132</v>
      </c>
      <c r="CL525" s="2" t="s">
        <v>86</v>
      </c>
      <c r="CM525" s="2"/>
    </row>
    <row r="526" spans="1:91">
      <c r="A526" s="2" t="s">
        <v>71</v>
      </c>
      <c r="B526" s="2" t="s">
        <v>72</v>
      </c>
      <c r="C526" s="2" t="s">
        <v>73</v>
      </c>
      <c r="D526" s="2"/>
      <c r="E526" s="2" t="str">
        <f>"FES1162569760"</f>
        <v>FES1162569760</v>
      </c>
      <c r="F526" s="3">
        <v>42964</v>
      </c>
      <c r="G526" s="2">
        <v>201802</v>
      </c>
      <c r="H526" s="2" t="s">
        <v>74</v>
      </c>
      <c r="I526" s="2" t="s">
        <v>75</v>
      </c>
      <c r="J526" s="2" t="s">
        <v>118</v>
      </c>
      <c r="K526" s="2" t="s">
        <v>77</v>
      </c>
      <c r="L526" s="2" t="s">
        <v>632</v>
      </c>
      <c r="M526" s="2" t="s">
        <v>269</v>
      </c>
      <c r="N526" s="2" t="s">
        <v>493</v>
      </c>
      <c r="O526" s="2" t="s">
        <v>81</v>
      </c>
      <c r="P526" s="2" t="str">
        <f>"2170581601                    "</f>
        <v xml:space="preserve">2170581601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6.88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0.6</v>
      </c>
      <c r="BJ526" s="2">
        <v>3.7</v>
      </c>
      <c r="BK526" s="2">
        <v>4</v>
      </c>
      <c r="BL526" s="2">
        <v>76.23</v>
      </c>
      <c r="BM526" s="2">
        <v>10.67</v>
      </c>
      <c r="BN526" s="2">
        <v>86.9</v>
      </c>
      <c r="BO526" s="2">
        <v>86.9</v>
      </c>
      <c r="BP526" s="2"/>
      <c r="BQ526" s="2" t="s">
        <v>288</v>
      </c>
      <c r="BR526" s="2" t="s">
        <v>122</v>
      </c>
      <c r="BS526" s="3">
        <v>42965</v>
      </c>
      <c r="BT526" s="4">
        <v>0.41666666666666669</v>
      </c>
      <c r="BU526" s="2" t="s">
        <v>1147</v>
      </c>
      <c r="BV526" s="2"/>
      <c r="BW526" s="2"/>
      <c r="BX526" s="2"/>
      <c r="BY526" s="2">
        <v>18336.78</v>
      </c>
      <c r="BZ526" s="2"/>
      <c r="CA526" s="2"/>
      <c r="CB526" s="2"/>
      <c r="CC526" s="2" t="s">
        <v>269</v>
      </c>
      <c r="CD526" s="2">
        <v>200</v>
      </c>
      <c r="CE526" s="2" t="s">
        <v>104</v>
      </c>
      <c r="CF526" s="5">
        <v>42968</v>
      </c>
      <c r="CG526" s="2"/>
      <c r="CH526" s="2"/>
      <c r="CI526" s="2">
        <v>0</v>
      </c>
      <c r="CJ526" s="2">
        <v>0</v>
      </c>
      <c r="CK526" s="2" t="s">
        <v>143</v>
      </c>
      <c r="CL526" s="2" t="s">
        <v>86</v>
      </c>
      <c r="CM526" s="2"/>
    </row>
    <row r="527" spans="1:91">
      <c r="A527" s="2" t="s">
        <v>71</v>
      </c>
      <c r="B527" s="2" t="s">
        <v>72</v>
      </c>
      <c r="C527" s="2" t="s">
        <v>73</v>
      </c>
      <c r="D527" s="2"/>
      <c r="E527" s="2" t="str">
        <f>"FES1162568517"</f>
        <v>FES1162568517</v>
      </c>
      <c r="F527" s="3">
        <v>42961</v>
      </c>
      <c r="G527" s="2">
        <v>201802</v>
      </c>
      <c r="H527" s="2" t="s">
        <v>74</v>
      </c>
      <c r="I527" s="2" t="s">
        <v>75</v>
      </c>
      <c r="J527" s="2" t="s">
        <v>118</v>
      </c>
      <c r="K527" s="2" t="s">
        <v>77</v>
      </c>
      <c r="L527" s="2" t="s">
        <v>593</v>
      </c>
      <c r="M527" s="2" t="s">
        <v>594</v>
      </c>
      <c r="N527" s="2" t="s">
        <v>1148</v>
      </c>
      <c r="O527" s="2" t="s">
        <v>81</v>
      </c>
      <c r="P527" s="2" t="str">
        <f>"2170583378                    "</f>
        <v xml:space="preserve">2170583378  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8.64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1</v>
      </c>
      <c r="BI527" s="2">
        <v>11.5</v>
      </c>
      <c r="BJ527" s="2">
        <v>31</v>
      </c>
      <c r="BK527" s="2">
        <v>31</v>
      </c>
      <c r="BL527" s="2">
        <v>94.45</v>
      </c>
      <c r="BM527" s="2">
        <v>13.22</v>
      </c>
      <c r="BN527" s="2">
        <v>107.67</v>
      </c>
      <c r="BO527" s="2">
        <v>107.67</v>
      </c>
      <c r="BP527" s="2"/>
      <c r="BQ527" s="2" t="s">
        <v>83</v>
      </c>
      <c r="BR527" s="2" t="s">
        <v>122</v>
      </c>
      <c r="BS527" s="3">
        <v>42963</v>
      </c>
      <c r="BT527" s="4">
        <v>0.28472222222222221</v>
      </c>
      <c r="BU527" s="2" t="s">
        <v>1149</v>
      </c>
      <c r="BV527" s="2" t="s">
        <v>86</v>
      </c>
      <c r="BW527" s="2" t="s">
        <v>124</v>
      </c>
      <c r="BX527" s="2" t="s">
        <v>1150</v>
      </c>
      <c r="BY527" s="2">
        <v>155050.20000000001</v>
      </c>
      <c r="BZ527" s="2"/>
      <c r="CA527" s="2" t="s">
        <v>1151</v>
      </c>
      <c r="CB527" s="2"/>
      <c r="CC527" s="2" t="s">
        <v>594</v>
      </c>
      <c r="CD527" s="2">
        <v>1682</v>
      </c>
      <c r="CE527" s="2" t="s">
        <v>89</v>
      </c>
      <c r="CF527" s="5">
        <v>42964</v>
      </c>
      <c r="CG527" s="2"/>
      <c r="CH527" s="2"/>
      <c r="CI527" s="2">
        <v>1</v>
      </c>
      <c r="CJ527" s="2">
        <v>2</v>
      </c>
      <c r="CK527" s="2" t="s">
        <v>132</v>
      </c>
      <c r="CL527" s="2" t="s">
        <v>86</v>
      </c>
      <c r="CM527" s="2"/>
    </row>
    <row r="528" spans="1:91">
      <c r="A528" s="2" t="s">
        <v>71</v>
      </c>
      <c r="B528" s="2" t="s">
        <v>72</v>
      </c>
      <c r="C528" s="2" t="s">
        <v>73</v>
      </c>
      <c r="D528" s="2"/>
      <c r="E528" s="2" t="str">
        <f>"FES1162569953"</f>
        <v>FES1162569953</v>
      </c>
      <c r="F528" s="3">
        <v>42965</v>
      </c>
      <c r="G528" s="2">
        <v>201802</v>
      </c>
      <c r="H528" s="2" t="s">
        <v>74</v>
      </c>
      <c r="I528" s="2" t="s">
        <v>75</v>
      </c>
      <c r="J528" s="2" t="s">
        <v>118</v>
      </c>
      <c r="K528" s="2" t="s">
        <v>77</v>
      </c>
      <c r="L528" s="2" t="s">
        <v>128</v>
      </c>
      <c r="M528" s="2" t="s">
        <v>129</v>
      </c>
      <c r="N528" s="2" t="s">
        <v>1152</v>
      </c>
      <c r="O528" s="2" t="s">
        <v>81</v>
      </c>
      <c r="P528" s="2" t="str">
        <f>"2170585727                    "</f>
        <v xml:space="preserve">2170585727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6.76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1</v>
      </c>
      <c r="BI528" s="2">
        <v>10</v>
      </c>
      <c r="BJ528" s="2">
        <v>20.6</v>
      </c>
      <c r="BK528" s="2">
        <v>21</v>
      </c>
      <c r="BL528" s="2">
        <v>74.97</v>
      </c>
      <c r="BM528" s="2">
        <v>10.5</v>
      </c>
      <c r="BN528" s="2">
        <v>85.47</v>
      </c>
      <c r="BO528" s="2">
        <v>85.47</v>
      </c>
      <c r="BP528" s="2"/>
      <c r="BQ528" s="2" t="s">
        <v>288</v>
      </c>
      <c r="BR528" s="2" t="s">
        <v>122</v>
      </c>
      <c r="BS528" s="3">
        <v>42968</v>
      </c>
      <c r="BT528" s="4">
        <v>0.43402777777777773</v>
      </c>
      <c r="BU528" s="2" t="s">
        <v>1153</v>
      </c>
      <c r="BV528" s="2" t="s">
        <v>95</v>
      </c>
      <c r="BW528" s="2"/>
      <c r="BX528" s="2"/>
      <c r="BY528" s="2">
        <v>103040</v>
      </c>
      <c r="BZ528" s="2"/>
      <c r="CA528" s="2" t="s">
        <v>1154</v>
      </c>
      <c r="CB528" s="2"/>
      <c r="CC528" s="2" t="s">
        <v>129</v>
      </c>
      <c r="CD528" s="2">
        <v>1700</v>
      </c>
      <c r="CE528" s="2" t="s">
        <v>89</v>
      </c>
      <c r="CF528" s="5">
        <v>42969</v>
      </c>
      <c r="CG528" s="2"/>
      <c r="CH528" s="2"/>
      <c r="CI528" s="2">
        <v>1</v>
      </c>
      <c r="CJ528" s="2">
        <v>1</v>
      </c>
      <c r="CK528" s="2" t="s">
        <v>132</v>
      </c>
      <c r="CL528" s="2" t="s">
        <v>86</v>
      </c>
      <c r="CM528" s="2"/>
    </row>
    <row r="529" spans="1:91">
      <c r="A529" s="2" t="s">
        <v>71</v>
      </c>
      <c r="B529" s="2" t="s">
        <v>72</v>
      </c>
      <c r="C529" s="2" t="s">
        <v>73</v>
      </c>
      <c r="D529" s="2"/>
      <c r="E529" s="2" t="str">
        <f>"FES1162568754"</f>
        <v>FES1162568754</v>
      </c>
      <c r="F529" s="3">
        <v>42961</v>
      </c>
      <c r="G529" s="2">
        <v>201802</v>
      </c>
      <c r="H529" s="2" t="s">
        <v>74</v>
      </c>
      <c r="I529" s="2" t="s">
        <v>75</v>
      </c>
      <c r="J529" s="2" t="s">
        <v>118</v>
      </c>
      <c r="K529" s="2" t="s">
        <v>77</v>
      </c>
      <c r="L529" s="2" t="s">
        <v>137</v>
      </c>
      <c r="M529" s="2" t="s">
        <v>138</v>
      </c>
      <c r="N529" s="2" t="s">
        <v>226</v>
      </c>
      <c r="O529" s="2" t="s">
        <v>81</v>
      </c>
      <c r="P529" s="2" t="str">
        <f>"2170584725                    "</f>
        <v xml:space="preserve">2170584725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7.52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1</v>
      </c>
      <c r="BI529" s="2">
        <v>8.1</v>
      </c>
      <c r="BJ529" s="2">
        <v>17.8</v>
      </c>
      <c r="BK529" s="2">
        <v>18</v>
      </c>
      <c r="BL529" s="2">
        <v>82.84</v>
      </c>
      <c r="BM529" s="2">
        <v>11.6</v>
      </c>
      <c r="BN529" s="2">
        <v>94.44</v>
      </c>
      <c r="BO529" s="2">
        <v>94.44</v>
      </c>
      <c r="BP529" s="2"/>
      <c r="BQ529" s="2" t="s">
        <v>1155</v>
      </c>
      <c r="BR529" s="2" t="s">
        <v>122</v>
      </c>
      <c r="BS529" s="3">
        <v>42962</v>
      </c>
      <c r="BT529" s="4">
        <v>0.37777777777777777</v>
      </c>
      <c r="BU529" s="2" t="s">
        <v>228</v>
      </c>
      <c r="BV529" s="2" t="s">
        <v>95</v>
      </c>
      <c r="BW529" s="2"/>
      <c r="BX529" s="2"/>
      <c r="BY529" s="2">
        <v>89131.199999999997</v>
      </c>
      <c r="BZ529" s="2"/>
      <c r="CA529" s="2"/>
      <c r="CB529" s="2"/>
      <c r="CC529" s="2" t="s">
        <v>138</v>
      </c>
      <c r="CD529" s="2">
        <v>157</v>
      </c>
      <c r="CE529" s="2" t="s">
        <v>89</v>
      </c>
      <c r="CF529" s="5">
        <v>42963</v>
      </c>
      <c r="CG529" s="2"/>
      <c r="CH529" s="2"/>
      <c r="CI529" s="2">
        <v>0</v>
      </c>
      <c r="CJ529" s="2">
        <v>0</v>
      </c>
      <c r="CK529" s="2" t="s">
        <v>143</v>
      </c>
      <c r="CL529" s="2" t="s">
        <v>86</v>
      </c>
      <c r="CM529" s="2"/>
    </row>
    <row r="530" spans="1:91">
      <c r="A530" s="2" t="s">
        <v>71</v>
      </c>
      <c r="B530" s="2" t="s">
        <v>72</v>
      </c>
      <c r="C530" s="2" t="s">
        <v>73</v>
      </c>
      <c r="D530" s="2"/>
      <c r="E530" s="2" t="str">
        <f>"FES1162569492"</f>
        <v>FES1162569492</v>
      </c>
      <c r="F530" s="3">
        <v>42963</v>
      </c>
      <c r="G530" s="2">
        <v>201802</v>
      </c>
      <c r="H530" s="2" t="s">
        <v>74</v>
      </c>
      <c r="I530" s="2" t="s">
        <v>75</v>
      </c>
      <c r="J530" s="2" t="s">
        <v>118</v>
      </c>
      <c r="K530" s="2" t="s">
        <v>77</v>
      </c>
      <c r="L530" s="2" t="s">
        <v>632</v>
      </c>
      <c r="M530" s="2" t="s">
        <v>269</v>
      </c>
      <c r="N530" s="2" t="s">
        <v>493</v>
      </c>
      <c r="O530" s="2" t="s">
        <v>81</v>
      </c>
      <c r="P530" s="2" t="str">
        <f>"2170576962                    "</f>
        <v xml:space="preserve">2170576962 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6.88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1</v>
      </c>
      <c r="BI530" s="2">
        <v>3.6</v>
      </c>
      <c r="BJ530" s="2">
        <v>2.9</v>
      </c>
      <c r="BK530" s="2">
        <v>4</v>
      </c>
      <c r="BL530" s="2">
        <v>76.23</v>
      </c>
      <c r="BM530" s="2">
        <v>10.67</v>
      </c>
      <c r="BN530" s="2">
        <v>86.9</v>
      </c>
      <c r="BO530" s="2">
        <v>86.9</v>
      </c>
      <c r="BP530" s="2"/>
      <c r="BQ530" s="2" t="s">
        <v>288</v>
      </c>
      <c r="BR530" s="2" t="s">
        <v>122</v>
      </c>
      <c r="BS530" s="3">
        <v>42964</v>
      </c>
      <c r="BT530" s="4">
        <v>0.41666666666666669</v>
      </c>
      <c r="BU530" s="2" t="s">
        <v>1156</v>
      </c>
      <c r="BV530" s="2"/>
      <c r="BW530" s="2"/>
      <c r="BX530" s="2"/>
      <c r="BY530" s="2">
        <v>14457.04</v>
      </c>
      <c r="BZ530" s="2"/>
      <c r="CA530" s="2"/>
      <c r="CB530" s="2"/>
      <c r="CC530" s="2" t="s">
        <v>269</v>
      </c>
      <c r="CD530" s="2">
        <v>200</v>
      </c>
      <c r="CE530" s="2" t="s">
        <v>1139</v>
      </c>
      <c r="CF530" s="5">
        <v>42965</v>
      </c>
      <c r="CG530" s="2"/>
      <c r="CH530" s="2"/>
      <c r="CI530" s="2">
        <v>0</v>
      </c>
      <c r="CJ530" s="2">
        <v>0</v>
      </c>
      <c r="CK530" s="2" t="s">
        <v>143</v>
      </c>
      <c r="CL530" s="2" t="s">
        <v>86</v>
      </c>
      <c r="CM530" s="2"/>
    </row>
    <row r="531" spans="1:91">
      <c r="A531" s="2" t="s">
        <v>71</v>
      </c>
      <c r="B531" s="2" t="s">
        <v>72</v>
      </c>
      <c r="C531" s="2" t="s">
        <v>73</v>
      </c>
      <c r="D531" s="2"/>
      <c r="E531" s="2" t="str">
        <f>"FES1162568381"</f>
        <v>FES1162568381</v>
      </c>
      <c r="F531" s="3">
        <v>42961</v>
      </c>
      <c r="G531" s="2">
        <v>201802</v>
      </c>
      <c r="H531" s="2" t="s">
        <v>74</v>
      </c>
      <c r="I531" s="2" t="s">
        <v>75</v>
      </c>
      <c r="J531" s="2" t="s">
        <v>118</v>
      </c>
      <c r="K531" s="2" t="s">
        <v>77</v>
      </c>
      <c r="L531" s="2" t="s">
        <v>632</v>
      </c>
      <c r="M531" s="2" t="s">
        <v>269</v>
      </c>
      <c r="N531" s="2" t="s">
        <v>442</v>
      </c>
      <c r="O531" s="2" t="s">
        <v>81</v>
      </c>
      <c r="P531" s="2" t="str">
        <f>"2170584472                    "</f>
        <v xml:space="preserve">2170584472 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6.88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2.8</v>
      </c>
      <c r="BJ531" s="2">
        <v>5.6</v>
      </c>
      <c r="BK531" s="2">
        <v>6</v>
      </c>
      <c r="BL531" s="2">
        <v>76.23</v>
      </c>
      <c r="BM531" s="2">
        <v>10.67</v>
      </c>
      <c r="BN531" s="2">
        <v>86.9</v>
      </c>
      <c r="BO531" s="2">
        <v>86.9</v>
      </c>
      <c r="BP531" s="2"/>
      <c r="BQ531" s="2" t="s">
        <v>83</v>
      </c>
      <c r="BR531" s="2" t="s">
        <v>122</v>
      </c>
      <c r="BS531" s="3">
        <v>42962</v>
      </c>
      <c r="BT531" s="4">
        <v>0.42291666666666666</v>
      </c>
      <c r="BU531" s="2" t="s">
        <v>1157</v>
      </c>
      <c r="BV531" s="2" t="s">
        <v>95</v>
      </c>
      <c r="BW531" s="2"/>
      <c r="BX531" s="2"/>
      <c r="BY531" s="2">
        <v>27871.13</v>
      </c>
      <c r="BZ531" s="2"/>
      <c r="CA531" s="2" t="s">
        <v>1158</v>
      </c>
      <c r="CB531" s="2"/>
      <c r="CC531" s="2" t="s">
        <v>269</v>
      </c>
      <c r="CD531" s="2">
        <v>1</v>
      </c>
      <c r="CE531" s="2" t="s">
        <v>89</v>
      </c>
      <c r="CF531" s="5">
        <v>42963</v>
      </c>
      <c r="CG531" s="2"/>
      <c r="CH531" s="2"/>
      <c r="CI531" s="2">
        <v>0</v>
      </c>
      <c r="CJ531" s="2">
        <v>0</v>
      </c>
      <c r="CK531" s="2" t="s">
        <v>143</v>
      </c>
      <c r="CL531" s="2" t="s">
        <v>86</v>
      </c>
      <c r="CM531" s="2"/>
    </row>
    <row r="532" spans="1:91">
      <c r="A532" s="2" t="s">
        <v>71</v>
      </c>
      <c r="B532" s="2" t="s">
        <v>72</v>
      </c>
      <c r="C532" s="2" t="s">
        <v>73</v>
      </c>
      <c r="D532" s="2"/>
      <c r="E532" s="2" t="str">
        <f>"FES1162569925"</f>
        <v>FES1162569925</v>
      </c>
      <c r="F532" s="3">
        <v>42965</v>
      </c>
      <c r="G532" s="2">
        <v>201802</v>
      </c>
      <c r="H532" s="2" t="s">
        <v>74</v>
      </c>
      <c r="I532" s="2" t="s">
        <v>75</v>
      </c>
      <c r="J532" s="2" t="s">
        <v>118</v>
      </c>
      <c r="K532" s="2" t="s">
        <v>77</v>
      </c>
      <c r="L532" s="2" t="s">
        <v>632</v>
      </c>
      <c r="M532" s="2" t="s">
        <v>269</v>
      </c>
      <c r="N532" s="2" t="s">
        <v>1159</v>
      </c>
      <c r="O532" s="2" t="s">
        <v>81</v>
      </c>
      <c r="P532" s="2" t="str">
        <f>"2170583728                    "</f>
        <v xml:space="preserve">2170583728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6.88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1</v>
      </c>
      <c r="BI532" s="2">
        <v>6.5</v>
      </c>
      <c r="BJ532" s="2">
        <v>4.5</v>
      </c>
      <c r="BK532" s="2">
        <v>7</v>
      </c>
      <c r="BL532" s="2">
        <v>76.23</v>
      </c>
      <c r="BM532" s="2">
        <v>10.67</v>
      </c>
      <c r="BN532" s="2">
        <v>86.9</v>
      </c>
      <c r="BO532" s="2">
        <v>86.9</v>
      </c>
      <c r="BP532" s="2"/>
      <c r="BQ532" s="2" t="s">
        <v>288</v>
      </c>
      <c r="BR532" s="2" t="s">
        <v>122</v>
      </c>
      <c r="BS532" s="3">
        <v>42968</v>
      </c>
      <c r="BT532" s="4">
        <v>0.62986111111111109</v>
      </c>
      <c r="BU532" s="2" t="s">
        <v>1160</v>
      </c>
      <c r="BV532" s="2"/>
      <c r="BW532" s="2"/>
      <c r="BX532" s="2"/>
      <c r="BY532" s="2">
        <v>22431.49</v>
      </c>
      <c r="BZ532" s="2"/>
      <c r="CA532" s="2" t="s">
        <v>864</v>
      </c>
      <c r="CB532" s="2"/>
      <c r="CC532" s="2" t="s">
        <v>269</v>
      </c>
      <c r="CD532" s="2">
        <v>183</v>
      </c>
      <c r="CE532" s="2" t="s">
        <v>89</v>
      </c>
      <c r="CF532" s="5">
        <v>42968</v>
      </c>
      <c r="CG532" s="2"/>
      <c r="CH532" s="2"/>
      <c r="CI532" s="2">
        <v>0</v>
      </c>
      <c r="CJ532" s="2">
        <v>0</v>
      </c>
      <c r="CK532" s="2" t="s">
        <v>143</v>
      </c>
      <c r="CL532" s="2" t="s">
        <v>86</v>
      </c>
      <c r="CM532" s="2"/>
    </row>
    <row r="533" spans="1:91">
      <c r="A533" s="2" t="s">
        <v>71</v>
      </c>
      <c r="B533" s="2" t="s">
        <v>72</v>
      </c>
      <c r="C533" s="2" t="s">
        <v>73</v>
      </c>
      <c r="D533" s="2"/>
      <c r="E533" s="2" t="str">
        <f>"FES1162569084"</f>
        <v>FES1162569084</v>
      </c>
      <c r="F533" s="3">
        <v>42962</v>
      </c>
      <c r="G533" s="2">
        <v>201802</v>
      </c>
      <c r="H533" s="2" t="s">
        <v>74</v>
      </c>
      <c r="I533" s="2" t="s">
        <v>75</v>
      </c>
      <c r="J533" s="2" t="s">
        <v>118</v>
      </c>
      <c r="K533" s="2" t="s">
        <v>77</v>
      </c>
      <c r="L533" s="2" t="s">
        <v>149</v>
      </c>
      <c r="M533" s="2" t="s">
        <v>150</v>
      </c>
      <c r="N533" s="2" t="s">
        <v>1161</v>
      </c>
      <c r="O533" s="2" t="s">
        <v>81</v>
      </c>
      <c r="P533" s="2" t="str">
        <f>"2170585084                    "</f>
        <v xml:space="preserve">2170585084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9.66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9.6999999999999993</v>
      </c>
      <c r="BJ533" s="2">
        <v>31.4</v>
      </c>
      <c r="BK533" s="2">
        <v>32</v>
      </c>
      <c r="BL533" s="2">
        <v>105.05</v>
      </c>
      <c r="BM533" s="2">
        <v>14.71</v>
      </c>
      <c r="BN533" s="2">
        <v>119.76</v>
      </c>
      <c r="BO533" s="2">
        <v>119.76</v>
      </c>
      <c r="BP533" s="2"/>
      <c r="BQ533" s="2" t="s">
        <v>83</v>
      </c>
      <c r="BR533" s="2" t="s">
        <v>122</v>
      </c>
      <c r="BS533" s="3">
        <v>42963</v>
      </c>
      <c r="BT533" s="4">
        <v>0.3979166666666667</v>
      </c>
      <c r="BU533" s="2" t="s">
        <v>1162</v>
      </c>
      <c r="BV533" s="2" t="s">
        <v>95</v>
      </c>
      <c r="BW533" s="2"/>
      <c r="BX533" s="2"/>
      <c r="BY533" s="2">
        <v>156957.03</v>
      </c>
      <c r="BZ533" s="2"/>
      <c r="CA533" s="2" t="s">
        <v>1163</v>
      </c>
      <c r="CB533" s="2"/>
      <c r="CC533" s="2" t="s">
        <v>150</v>
      </c>
      <c r="CD533" s="2">
        <v>4052</v>
      </c>
      <c r="CE533" s="2" t="s">
        <v>89</v>
      </c>
      <c r="CF533" s="5">
        <v>42964</v>
      </c>
      <c r="CG533" s="2"/>
      <c r="CH533" s="2"/>
      <c r="CI533" s="2">
        <v>1</v>
      </c>
      <c r="CJ533" s="2">
        <v>1</v>
      </c>
      <c r="CK533" s="2" t="s">
        <v>153</v>
      </c>
      <c r="CL533" s="2" t="s">
        <v>86</v>
      </c>
      <c r="CM533" s="2"/>
    </row>
    <row r="534" spans="1:91">
      <c r="A534" s="2" t="s">
        <v>71</v>
      </c>
      <c r="B534" s="2" t="s">
        <v>72</v>
      </c>
      <c r="C534" s="2" t="s">
        <v>73</v>
      </c>
      <c r="D534" s="2"/>
      <c r="E534" s="2" t="str">
        <f>"FES1162569497"</f>
        <v>FES1162569497</v>
      </c>
      <c r="F534" s="3">
        <v>42963</v>
      </c>
      <c r="G534" s="2">
        <v>201802</v>
      </c>
      <c r="H534" s="2" t="s">
        <v>74</v>
      </c>
      <c r="I534" s="2" t="s">
        <v>75</v>
      </c>
      <c r="J534" s="2" t="s">
        <v>118</v>
      </c>
      <c r="K534" s="2" t="s">
        <v>77</v>
      </c>
      <c r="L534" s="2" t="s">
        <v>170</v>
      </c>
      <c r="M534" s="2" t="s">
        <v>171</v>
      </c>
      <c r="N534" s="2" t="s">
        <v>821</v>
      </c>
      <c r="O534" s="2" t="s">
        <v>81</v>
      </c>
      <c r="P534" s="2" t="str">
        <f>"2170580853                    "</f>
        <v xml:space="preserve">2170580853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7.32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11.3</v>
      </c>
      <c r="BJ534" s="2">
        <v>23.9</v>
      </c>
      <c r="BK534" s="2">
        <v>24</v>
      </c>
      <c r="BL534" s="2">
        <v>80.81</v>
      </c>
      <c r="BM534" s="2">
        <v>11.31</v>
      </c>
      <c r="BN534" s="2">
        <v>92.12</v>
      </c>
      <c r="BO534" s="2">
        <v>92.12</v>
      </c>
      <c r="BP534" s="2"/>
      <c r="BQ534" s="2" t="s">
        <v>83</v>
      </c>
      <c r="BR534" s="2" t="s">
        <v>122</v>
      </c>
      <c r="BS534" s="3">
        <v>42964</v>
      </c>
      <c r="BT534" s="4">
        <v>0.4375</v>
      </c>
      <c r="BU534" s="2" t="s">
        <v>1164</v>
      </c>
      <c r="BV534" s="2" t="s">
        <v>95</v>
      </c>
      <c r="BW534" s="2"/>
      <c r="BX534" s="2"/>
      <c r="BY534" s="2">
        <v>119659.39</v>
      </c>
      <c r="BZ534" s="2"/>
      <c r="CA534" s="2"/>
      <c r="CB534" s="2"/>
      <c r="CC534" s="2" t="s">
        <v>171</v>
      </c>
      <c r="CD534" s="2">
        <v>1422</v>
      </c>
      <c r="CE534" s="2" t="s">
        <v>89</v>
      </c>
      <c r="CF534" s="5">
        <v>42965</v>
      </c>
      <c r="CG534" s="2"/>
      <c r="CH534" s="2"/>
      <c r="CI534" s="2">
        <v>1</v>
      </c>
      <c r="CJ534" s="2">
        <v>1</v>
      </c>
      <c r="CK534" s="2" t="s">
        <v>132</v>
      </c>
      <c r="CL534" s="2" t="s">
        <v>86</v>
      </c>
      <c r="CM534" s="2"/>
    </row>
    <row r="535" spans="1:91">
      <c r="A535" s="2" t="s">
        <v>71</v>
      </c>
      <c r="B535" s="2" t="s">
        <v>72</v>
      </c>
      <c r="C535" s="2" t="s">
        <v>73</v>
      </c>
      <c r="D535" s="2"/>
      <c r="E535" s="2" t="str">
        <f>"FES1162568699"</f>
        <v>FES1162568699</v>
      </c>
      <c r="F535" s="3">
        <v>42961</v>
      </c>
      <c r="G535" s="2">
        <v>201802</v>
      </c>
      <c r="H535" s="2" t="s">
        <v>74</v>
      </c>
      <c r="I535" s="2" t="s">
        <v>75</v>
      </c>
      <c r="J535" s="2" t="s">
        <v>118</v>
      </c>
      <c r="K535" s="2" t="s">
        <v>77</v>
      </c>
      <c r="L535" s="2" t="s">
        <v>206</v>
      </c>
      <c r="M535" s="2" t="s">
        <v>207</v>
      </c>
      <c r="N535" s="2" t="s">
        <v>262</v>
      </c>
      <c r="O535" s="2" t="s">
        <v>81</v>
      </c>
      <c r="P535" s="2" t="str">
        <f>"2170583807                    "</f>
        <v xml:space="preserve">2170583807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16.3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38</v>
      </c>
      <c r="BJ535" s="2">
        <v>46.2</v>
      </c>
      <c r="BK535" s="2">
        <v>47</v>
      </c>
      <c r="BL535" s="2">
        <v>173.74</v>
      </c>
      <c r="BM535" s="2">
        <v>24.32</v>
      </c>
      <c r="BN535" s="2">
        <v>198.06</v>
      </c>
      <c r="BO535" s="2">
        <v>198.06</v>
      </c>
      <c r="BP535" s="2"/>
      <c r="BQ535" s="2" t="s">
        <v>83</v>
      </c>
      <c r="BR535" s="2" t="s">
        <v>122</v>
      </c>
      <c r="BS535" s="3">
        <v>42962</v>
      </c>
      <c r="BT535" s="4">
        <v>0.44444444444444442</v>
      </c>
      <c r="BU535" s="2" t="s">
        <v>1165</v>
      </c>
      <c r="BV535" s="2"/>
      <c r="BW535" s="2"/>
      <c r="BX535" s="2"/>
      <c r="BY535" s="2">
        <v>231012</v>
      </c>
      <c r="BZ535" s="2"/>
      <c r="CA535" s="2" t="s">
        <v>211</v>
      </c>
      <c r="CB535" s="2"/>
      <c r="CC535" s="2" t="s">
        <v>207</v>
      </c>
      <c r="CD535" s="2">
        <v>250</v>
      </c>
      <c r="CE535" s="2" t="s">
        <v>89</v>
      </c>
      <c r="CF535" s="5">
        <v>42964</v>
      </c>
      <c r="CG535" s="2"/>
      <c r="CH535" s="2"/>
      <c r="CI535" s="2">
        <v>0</v>
      </c>
      <c r="CJ535" s="2">
        <v>0</v>
      </c>
      <c r="CK535" s="2" t="s">
        <v>163</v>
      </c>
      <c r="CL535" s="2" t="s">
        <v>86</v>
      </c>
      <c r="CM535" s="2"/>
    </row>
    <row r="536" spans="1:91">
      <c r="A536" s="2" t="s">
        <v>71</v>
      </c>
      <c r="B536" s="2" t="s">
        <v>72</v>
      </c>
      <c r="C536" s="2" t="s">
        <v>73</v>
      </c>
      <c r="D536" s="2"/>
      <c r="E536" s="2" t="str">
        <f>"FES1162570111"</f>
        <v>FES1162570111</v>
      </c>
      <c r="F536" s="3">
        <v>42965</v>
      </c>
      <c r="G536" s="2">
        <v>201802</v>
      </c>
      <c r="H536" s="2" t="s">
        <v>74</v>
      </c>
      <c r="I536" s="2" t="s">
        <v>75</v>
      </c>
      <c r="J536" s="2" t="s">
        <v>118</v>
      </c>
      <c r="K536" s="2" t="s">
        <v>77</v>
      </c>
      <c r="L536" s="2" t="s">
        <v>632</v>
      </c>
      <c r="M536" s="2" t="s">
        <v>269</v>
      </c>
      <c r="N536" s="2" t="s">
        <v>1166</v>
      </c>
      <c r="O536" s="2" t="s">
        <v>81</v>
      </c>
      <c r="P536" s="2" t="str">
        <f>"2170585895                    "</f>
        <v xml:space="preserve">2170585895  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6.88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3.9</v>
      </c>
      <c r="BJ536" s="2">
        <v>1.6</v>
      </c>
      <c r="BK536" s="2">
        <v>4</v>
      </c>
      <c r="BL536" s="2">
        <v>76.23</v>
      </c>
      <c r="BM536" s="2">
        <v>10.67</v>
      </c>
      <c r="BN536" s="2">
        <v>86.9</v>
      </c>
      <c r="BO536" s="2">
        <v>86.9</v>
      </c>
      <c r="BP536" s="2"/>
      <c r="BQ536" s="2" t="s">
        <v>83</v>
      </c>
      <c r="BR536" s="2" t="s">
        <v>122</v>
      </c>
      <c r="BS536" s="3">
        <v>42968</v>
      </c>
      <c r="BT536" s="4">
        <v>0.4548611111111111</v>
      </c>
      <c r="BU536" s="2" t="s">
        <v>1167</v>
      </c>
      <c r="BV536" s="2"/>
      <c r="BW536" s="2" t="s">
        <v>110</v>
      </c>
      <c r="BX536" s="2" t="s">
        <v>623</v>
      </c>
      <c r="BY536" s="2">
        <v>8105.08</v>
      </c>
      <c r="BZ536" s="2"/>
      <c r="CA536" s="2"/>
      <c r="CB536" s="2"/>
      <c r="CC536" s="2" t="s">
        <v>269</v>
      </c>
      <c r="CD536" s="2">
        <v>200</v>
      </c>
      <c r="CE536" s="2" t="s">
        <v>89</v>
      </c>
      <c r="CF536" s="5">
        <v>42969</v>
      </c>
      <c r="CG536" s="2"/>
      <c r="CH536" s="2"/>
      <c r="CI536" s="2">
        <v>0</v>
      </c>
      <c r="CJ536" s="2">
        <v>0</v>
      </c>
      <c r="CK536" s="2" t="s">
        <v>143</v>
      </c>
      <c r="CL536" s="2" t="s">
        <v>86</v>
      </c>
      <c r="CM536" s="2"/>
    </row>
    <row r="537" spans="1:91">
      <c r="A537" s="2" t="s">
        <v>71</v>
      </c>
      <c r="B537" s="2" t="s">
        <v>72</v>
      </c>
      <c r="C537" s="2" t="s">
        <v>73</v>
      </c>
      <c r="D537" s="2"/>
      <c r="E537" s="2" t="str">
        <f>"FES1162568791"</f>
        <v>FES1162568791</v>
      </c>
      <c r="F537" s="3">
        <v>42961</v>
      </c>
      <c r="G537" s="2">
        <v>201802</v>
      </c>
      <c r="H537" s="2" t="s">
        <v>74</v>
      </c>
      <c r="I537" s="2" t="s">
        <v>75</v>
      </c>
      <c r="J537" s="2" t="s">
        <v>118</v>
      </c>
      <c r="K537" s="2" t="s">
        <v>77</v>
      </c>
      <c r="L537" s="2" t="s">
        <v>632</v>
      </c>
      <c r="M537" s="2" t="s">
        <v>269</v>
      </c>
      <c r="N537" s="2" t="s">
        <v>442</v>
      </c>
      <c r="O537" s="2" t="s">
        <v>81</v>
      </c>
      <c r="P537" s="2" t="str">
        <f>"2170584836                    "</f>
        <v xml:space="preserve">2170584836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6.88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4</v>
      </c>
      <c r="BJ537" s="2">
        <v>0.2</v>
      </c>
      <c r="BK537" s="2">
        <v>4</v>
      </c>
      <c r="BL537" s="2">
        <v>76.23</v>
      </c>
      <c r="BM537" s="2">
        <v>10.67</v>
      </c>
      <c r="BN537" s="2">
        <v>86.9</v>
      </c>
      <c r="BO537" s="2">
        <v>86.9</v>
      </c>
      <c r="BP537" s="2"/>
      <c r="BQ537" s="2" t="s">
        <v>83</v>
      </c>
      <c r="BR537" s="2" t="s">
        <v>122</v>
      </c>
      <c r="BS537" s="3">
        <v>42962</v>
      </c>
      <c r="BT537" s="4">
        <v>0.42291666666666666</v>
      </c>
      <c r="BU537" s="2" t="s">
        <v>1157</v>
      </c>
      <c r="BV537" s="2" t="s">
        <v>95</v>
      </c>
      <c r="BW537" s="2"/>
      <c r="BX537" s="2"/>
      <c r="BY537" s="2">
        <v>1200</v>
      </c>
      <c r="BZ537" s="2"/>
      <c r="CA537" s="2" t="s">
        <v>1158</v>
      </c>
      <c r="CB537" s="2"/>
      <c r="CC537" s="2" t="s">
        <v>269</v>
      </c>
      <c r="CD537" s="2">
        <v>1</v>
      </c>
      <c r="CE537" s="2" t="s">
        <v>104</v>
      </c>
      <c r="CF537" s="5">
        <v>42963</v>
      </c>
      <c r="CG537" s="2"/>
      <c r="CH537" s="2"/>
      <c r="CI537" s="2">
        <v>0</v>
      </c>
      <c r="CJ537" s="2">
        <v>0</v>
      </c>
      <c r="CK537" s="2" t="s">
        <v>143</v>
      </c>
      <c r="CL537" s="2" t="s">
        <v>86</v>
      </c>
      <c r="CM537" s="2"/>
    </row>
    <row r="538" spans="1:91">
      <c r="A538" s="2" t="s">
        <v>71</v>
      </c>
      <c r="B538" s="2" t="s">
        <v>72</v>
      </c>
      <c r="C538" s="2" t="s">
        <v>73</v>
      </c>
      <c r="D538" s="2"/>
      <c r="E538" s="2" t="str">
        <f>"FES1162569458"</f>
        <v>FES1162569458</v>
      </c>
      <c r="F538" s="3">
        <v>42963</v>
      </c>
      <c r="G538" s="2">
        <v>201802</v>
      </c>
      <c r="H538" s="2" t="s">
        <v>74</v>
      </c>
      <c r="I538" s="2" t="s">
        <v>75</v>
      </c>
      <c r="J538" s="2" t="s">
        <v>118</v>
      </c>
      <c r="K538" s="2" t="s">
        <v>77</v>
      </c>
      <c r="L538" s="2" t="s">
        <v>362</v>
      </c>
      <c r="M538" s="2" t="s">
        <v>363</v>
      </c>
      <c r="N538" s="2" t="s">
        <v>1168</v>
      </c>
      <c r="O538" s="2" t="s">
        <v>81</v>
      </c>
      <c r="P538" s="2" t="str">
        <f>"2170585312                    "</f>
        <v xml:space="preserve">2170585312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14.63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19.100000000000001</v>
      </c>
      <c r="BJ538" s="2">
        <v>34.4</v>
      </c>
      <c r="BK538" s="2">
        <v>35</v>
      </c>
      <c r="BL538" s="2">
        <v>156.47999999999999</v>
      </c>
      <c r="BM538" s="2">
        <v>21.91</v>
      </c>
      <c r="BN538" s="2">
        <v>178.39</v>
      </c>
      <c r="BO538" s="2">
        <v>178.39</v>
      </c>
      <c r="BP538" s="2"/>
      <c r="BQ538" s="2" t="s">
        <v>83</v>
      </c>
      <c r="BR538" s="2" t="s">
        <v>122</v>
      </c>
      <c r="BS538" s="3">
        <v>42964</v>
      </c>
      <c r="BT538" s="4">
        <v>0.37847222222222227</v>
      </c>
      <c r="BU538" s="2" t="s">
        <v>1169</v>
      </c>
      <c r="BV538" s="2" t="s">
        <v>95</v>
      </c>
      <c r="BW538" s="2"/>
      <c r="BX538" s="2"/>
      <c r="BY538" s="2">
        <v>172025.83</v>
      </c>
      <c r="BZ538" s="2"/>
      <c r="CA538" s="2" t="s">
        <v>1170</v>
      </c>
      <c r="CB538" s="2"/>
      <c r="CC538" s="2" t="s">
        <v>363</v>
      </c>
      <c r="CD538" s="2">
        <v>3201</v>
      </c>
      <c r="CE538" s="2" t="s">
        <v>104</v>
      </c>
      <c r="CF538" s="5">
        <v>42965</v>
      </c>
      <c r="CG538" s="2"/>
      <c r="CH538" s="2"/>
      <c r="CI538" s="2">
        <v>1</v>
      </c>
      <c r="CJ538" s="2">
        <v>1</v>
      </c>
      <c r="CK538" s="2" t="s">
        <v>624</v>
      </c>
      <c r="CL538" s="2" t="s">
        <v>86</v>
      </c>
      <c r="CM538" s="2"/>
    </row>
    <row r="539" spans="1:91">
      <c r="A539" s="2" t="s">
        <v>71</v>
      </c>
      <c r="B539" s="2" t="s">
        <v>72</v>
      </c>
      <c r="C539" s="2" t="s">
        <v>73</v>
      </c>
      <c r="D539" s="2"/>
      <c r="E539" s="2" t="str">
        <f>"FES1162568830"</f>
        <v>FES1162568830</v>
      </c>
      <c r="F539" s="3">
        <v>42962</v>
      </c>
      <c r="G539" s="2">
        <v>201802</v>
      </c>
      <c r="H539" s="2" t="s">
        <v>74</v>
      </c>
      <c r="I539" s="2" t="s">
        <v>75</v>
      </c>
      <c r="J539" s="2" t="s">
        <v>118</v>
      </c>
      <c r="K539" s="2" t="s">
        <v>77</v>
      </c>
      <c r="L539" s="2" t="s">
        <v>137</v>
      </c>
      <c r="M539" s="2" t="s">
        <v>138</v>
      </c>
      <c r="N539" s="2" t="s">
        <v>1114</v>
      </c>
      <c r="O539" s="2" t="s">
        <v>81</v>
      </c>
      <c r="P539" s="2" t="str">
        <f>"2170582125                    "</f>
        <v xml:space="preserve">2170582125 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6.88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6.1</v>
      </c>
      <c r="BJ539" s="2">
        <v>3.3</v>
      </c>
      <c r="BK539" s="2">
        <v>7</v>
      </c>
      <c r="BL539" s="2">
        <v>76.23</v>
      </c>
      <c r="BM539" s="2">
        <v>10.67</v>
      </c>
      <c r="BN539" s="2">
        <v>86.9</v>
      </c>
      <c r="BO539" s="2">
        <v>86.9</v>
      </c>
      <c r="BP539" s="2"/>
      <c r="BQ539" s="2" t="s">
        <v>1171</v>
      </c>
      <c r="BR539" s="2" t="s">
        <v>122</v>
      </c>
      <c r="BS539" s="3">
        <v>42963</v>
      </c>
      <c r="BT539" s="4">
        <v>0.44375000000000003</v>
      </c>
      <c r="BU539" s="2" t="s">
        <v>1172</v>
      </c>
      <c r="BV539" s="2" t="s">
        <v>95</v>
      </c>
      <c r="BW539" s="2"/>
      <c r="BX539" s="2"/>
      <c r="BY539" s="2">
        <v>16282.37</v>
      </c>
      <c r="BZ539" s="2"/>
      <c r="CA539" s="2" t="s">
        <v>1116</v>
      </c>
      <c r="CB539" s="2"/>
      <c r="CC539" s="2" t="s">
        <v>138</v>
      </c>
      <c r="CD539" s="2">
        <v>157</v>
      </c>
      <c r="CE539" s="2" t="s">
        <v>89</v>
      </c>
      <c r="CF539" s="5">
        <v>42964</v>
      </c>
      <c r="CG539" s="2"/>
      <c r="CH539" s="2"/>
      <c r="CI539" s="2">
        <v>0</v>
      </c>
      <c r="CJ539" s="2">
        <v>0</v>
      </c>
      <c r="CK539" s="2" t="s">
        <v>143</v>
      </c>
      <c r="CL539" s="2" t="s">
        <v>86</v>
      </c>
      <c r="CM539" s="2"/>
    </row>
    <row r="540" spans="1:91">
      <c r="A540" s="2" t="s">
        <v>71</v>
      </c>
      <c r="B540" s="2" t="s">
        <v>72</v>
      </c>
      <c r="C540" s="2" t="s">
        <v>73</v>
      </c>
      <c r="D540" s="2"/>
      <c r="E540" s="2" t="str">
        <f>"FES1162570012"</f>
        <v>FES1162570012</v>
      </c>
      <c r="F540" s="3">
        <v>42965</v>
      </c>
      <c r="G540" s="2">
        <v>201802</v>
      </c>
      <c r="H540" s="2" t="s">
        <v>74</v>
      </c>
      <c r="I540" s="2" t="s">
        <v>75</v>
      </c>
      <c r="J540" s="2" t="s">
        <v>118</v>
      </c>
      <c r="K540" s="2" t="s">
        <v>77</v>
      </c>
      <c r="L540" s="2" t="s">
        <v>632</v>
      </c>
      <c r="M540" s="2" t="s">
        <v>269</v>
      </c>
      <c r="N540" s="2" t="s">
        <v>621</v>
      </c>
      <c r="O540" s="2" t="s">
        <v>81</v>
      </c>
      <c r="P540" s="2" t="str">
        <f>"2170585706                    "</f>
        <v xml:space="preserve">2170585706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6.88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4.8</v>
      </c>
      <c r="BJ540" s="2">
        <v>1.4</v>
      </c>
      <c r="BK540" s="2">
        <v>5</v>
      </c>
      <c r="BL540" s="2">
        <v>76.23</v>
      </c>
      <c r="BM540" s="2">
        <v>10.67</v>
      </c>
      <c r="BN540" s="2">
        <v>86.9</v>
      </c>
      <c r="BO540" s="2">
        <v>86.9</v>
      </c>
      <c r="BP540" s="2"/>
      <c r="BQ540" s="2" t="s">
        <v>288</v>
      </c>
      <c r="BR540" s="2" t="s">
        <v>122</v>
      </c>
      <c r="BS540" s="3">
        <v>42969</v>
      </c>
      <c r="BT540" s="4">
        <v>0.55694444444444446</v>
      </c>
      <c r="BU540" s="2" t="s">
        <v>1173</v>
      </c>
      <c r="BV540" s="2"/>
      <c r="BW540" s="2"/>
      <c r="BX540" s="2"/>
      <c r="BY540" s="2">
        <v>7140.96</v>
      </c>
      <c r="BZ540" s="2"/>
      <c r="CA540" s="2" t="s">
        <v>956</v>
      </c>
      <c r="CB540" s="2"/>
      <c r="CC540" s="2" t="s">
        <v>269</v>
      </c>
      <c r="CD540" s="2">
        <v>186</v>
      </c>
      <c r="CE540" s="2" t="s">
        <v>89</v>
      </c>
      <c r="CF540" s="5">
        <v>42970</v>
      </c>
      <c r="CG540" s="2"/>
      <c r="CH540" s="2"/>
      <c r="CI540" s="2">
        <v>0</v>
      </c>
      <c r="CJ540" s="2">
        <v>0</v>
      </c>
      <c r="CK540" s="2" t="s">
        <v>143</v>
      </c>
      <c r="CL540" s="2" t="s">
        <v>86</v>
      </c>
      <c r="CM540" s="2"/>
    </row>
    <row r="541" spans="1:91">
      <c r="A541" s="2" t="s">
        <v>71</v>
      </c>
      <c r="B541" s="2" t="s">
        <v>72</v>
      </c>
      <c r="C541" s="2" t="s">
        <v>73</v>
      </c>
      <c r="D541" s="2"/>
      <c r="E541" s="2" t="str">
        <f>"FES1162569437"</f>
        <v>FES1162569437</v>
      </c>
      <c r="F541" s="3">
        <v>42963</v>
      </c>
      <c r="G541" s="2">
        <v>201802</v>
      </c>
      <c r="H541" s="2" t="s">
        <v>74</v>
      </c>
      <c r="I541" s="2" t="s">
        <v>75</v>
      </c>
      <c r="J541" s="2" t="s">
        <v>118</v>
      </c>
      <c r="K541" s="2" t="s">
        <v>77</v>
      </c>
      <c r="L541" s="2" t="s">
        <v>137</v>
      </c>
      <c r="M541" s="2" t="s">
        <v>138</v>
      </c>
      <c r="N541" s="2" t="s">
        <v>964</v>
      </c>
      <c r="O541" s="2" t="s">
        <v>81</v>
      </c>
      <c r="P541" s="2" t="str">
        <f>"2170585277                    "</f>
        <v xml:space="preserve">2170585277 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6.88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4.0999999999999996</v>
      </c>
      <c r="BJ541" s="2">
        <v>4.5</v>
      </c>
      <c r="BK541" s="2">
        <v>5</v>
      </c>
      <c r="BL541" s="2">
        <v>76.23</v>
      </c>
      <c r="BM541" s="2">
        <v>10.67</v>
      </c>
      <c r="BN541" s="2">
        <v>86.9</v>
      </c>
      <c r="BO541" s="2">
        <v>86.9</v>
      </c>
      <c r="BP541" s="2"/>
      <c r="BQ541" s="2" t="s">
        <v>288</v>
      </c>
      <c r="BR541" s="2" t="s">
        <v>122</v>
      </c>
      <c r="BS541" s="3">
        <v>42970</v>
      </c>
      <c r="BT541" s="4">
        <v>0.58333333333333337</v>
      </c>
      <c r="BU541" s="2" t="s">
        <v>1174</v>
      </c>
      <c r="BV541" s="2"/>
      <c r="BW541" s="2" t="s">
        <v>124</v>
      </c>
      <c r="BX541" s="2" t="s">
        <v>1008</v>
      </c>
      <c r="BY541" s="2">
        <v>22648.3</v>
      </c>
      <c r="BZ541" s="2"/>
      <c r="CA541" s="2" t="s">
        <v>550</v>
      </c>
      <c r="CB541" s="2"/>
      <c r="CC541" s="2" t="s">
        <v>138</v>
      </c>
      <c r="CD541" s="2">
        <v>157</v>
      </c>
      <c r="CE541" s="2" t="s">
        <v>89</v>
      </c>
      <c r="CF541" s="5">
        <v>42976</v>
      </c>
      <c r="CG541" s="2"/>
      <c r="CH541" s="2"/>
      <c r="CI541" s="2">
        <v>0</v>
      </c>
      <c r="CJ541" s="2">
        <v>0</v>
      </c>
      <c r="CK541" s="2" t="s">
        <v>143</v>
      </c>
      <c r="CL541" s="2" t="s">
        <v>86</v>
      </c>
      <c r="CM541" s="2"/>
    </row>
    <row r="542" spans="1:91">
      <c r="A542" s="2" t="s">
        <v>71</v>
      </c>
      <c r="B542" s="2" t="s">
        <v>72</v>
      </c>
      <c r="C542" s="2" t="s">
        <v>73</v>
      </c>
      <c r="D542" s="2"/>
      <c r="E542" s="2" t="str">
        <f>"FES1162570128"</f>
        <v>FES1162570128</v>
      </c>
      <c r="F542" s="3">
        <v>42965</v>
      </c>
      <c r="G542" s="2">
        <v>201802</v>
      </c>
      <c r="H542" s="2" t="s">
        <v>74</v>
      </c>
      <c r="I542" s="2" t="s">
        <v>75</v>
      </c>
      <c r="J542" s="2" t="s">
        <v>118</v>
      </c>
      <c r="K542" s="2" t="s">
        <v>77</v>
      </c>
      <c r="L542" s="2" t="s">
        <v>244</v>
      </c>
      <c r="M542" s="2" t="s">
        <v>245</v>
      </c>
      <c r="N542" s="2" t="s">
        <v>1175</v>
      </c>
      <c r="O542" s="2" t="s">
        <v>81</v>
      </c>
      <c r="P542" s="2" t="str">
        <f>"2170580521                    "</f>
        <v xml:space="preserve">2170580521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6.38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14</v>
      </c>
      <c r="BJ542" s="2">
        <v>18.100000000000001</v>
      </c>
      <c r="BK542" s="2">
        <v>19</v>
      </c>
      <c r="BL542" s="2">
        <v>71.069999999999993</v>
      </c>
      <c r="BM542" s="2">
        <v>9.9499999999999993</v>
      </c>
      <c r="BN542" s="2">
        <v>81.02</v>
      </c>
      <c r="BO542" s="2">
        <v>81.02</v>
      </c>
      <c r="BP542" s="2"/>
      <c r="BQ542" s="2" t="s">
        <v>288</v>
      </c>
      <c r="BR542" s="2" t="s">
        <v>122</v>
      </c>
      <c r="BS542" s="3">
        <v>42968</v>
      </c>
      <c r="BT542" s="4">
        <v>0.32500000000000001</v>
      </c>
      <c r="BU542" s="2" t="s">
        <v>1176</v>
      </c>
      <c r="BV542" s="2" t="s">
        <v>95</v>
      </c>
      <c r="BW542" s="2"/>
      <c r="BX542" s="2"/>
      <c r="BY542" s="2">
        <v>90514.33</v>
      </c>
      <c r="BZ542" s="2"/>
      <c r="CA542" s="2" t="s">
        <v>499</v>
      </c>
      <c r="CB542" s="2"/>
      <c r="CC542" s="2" t="s">
        <v>245</v>
      </c>
      <c r="CD542" s="2">
        <v>1459</v>
      </c>
      <c r="CE542" s="2" t="s">
        <v>89</v>
      </c>
      <c r="CF542" s="5">
        <v>42969</v>
      </c>
      <c r="CG542" s="2"/>
      <c r="CH542" s="2"/>
      <c r="CI542" s="2">
        <v>1</v>
      </c>
      <c r="CJ542" s="2">
        <v>1</v>
      </c>
      <c r="CK542" s="2" t="s">
        <v>132</v>
      </c>
      <c r="CL542" s="2" t="s">
        <v>86</v>
      </c>
      <c r="CM542" s="2"/>
    </row>
    <row r="543" spans="1:91">
      <c r="A543" s="2" t="s">
        <v>71</v>
      </c>
      <c r="B543" s="2" t="s">
        <v>72</v>
      </c>
      <c r="C543" s="2" t="s">
        <v>73</v>
      </c>
      <c r="D543" s="2"/>
      <c r="E543" s="2" t="str">
        <f>"FES1162568789"</f>
        <v>FES1162568789</v>
      </c>
      <c r="F543" s="3">
        <v>42961</v>
      </c>
      <c r="G543" s="2">
        <v>201802</v>
      </c>
      <c r="H543" s="2" t="s">
        <v>74</v>
      </c>
      <c r="I543" s="2" t="s">
        <v>75</v>
      </c>
      <c r="J543" s="2" t="s">
        <v>118</v>
      </c>
      <c r="K543" s="2" t="s">
        <v>77</v>
      </c>
      <c r="L543" s="2" t="s">
        <v>74</v>
      </c>
      <c r="M543" s="2" t="s">
        <v>75</v>
      </c>
      <c r="N543" s="2" t="s">
        <v>1177</v>
      </c>
      <c r="O543" s="2" t="s">
        <v>81</v>
      </c>
      <c r="P543" s="2" t="str">
        <f>"2170584373                    "</f>
        <v xml:space="preserve">2170584373 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6.19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16.600000000000001</v>
      </c>
      <c r="BJ543" s="2">
        <v>18.100000000000001</v>
      </c>
      <c r="BK543" s="2">
        <v>18</v>
      </c>
      <c r="BL543" s="2">
        <v>69.12</v>
      </c>
      <c r="BM543" s="2">
        <v>9.68</v>
      </c>
      <c r="BN543" s="2">
        <v>78.8</v>
      </c>
      <c r="BO543" s="2">
        <v>78.8</v>
      </c>
      <c r="BP543" s="2"/>
      <c r="BQ543" s="2" t="s">
        <v>83</v>
      </c>
      <c r="BR543" s="2" t="s">
        <v>122</v>
      </c>
      <c r="BS543" s="3">
        <v>42962</v>
      </c>
      <c r="BT543" s="4">
        <v>0.34861111111111115</v>
      </c>
      <c r="BU543" s="2" t="s">
        <v>1178</v>
      </c>
      <c r="BV543" s="2" t="s">
        <v>95</v>
      </c>
      <c r="BW543" s="2"/>
      <c r="BX543" s="2"/>
      <c r="BY543" s="2">
        <v>90359.08</v>
      </c>
      <c r="BZ543" s="2"/>
      <c r="CA543" s="2" t="s">
        <v>1179</v>
      </c>
      <c r="CB543" s="2"/>
      <c r="CC543" s="2" t="s">
        <v>75</v>
      </c>
      <c r="CD543" s="2">
        <v>1600</v>
      </c>
      <c r="CE543" s="2" t="s">
        <v>89</v>
      </c>
      <c r="CF543" s="5">
        <v>42963</v>
      </c>
      <c r="CG543" s="2"/>
      <c r="CH543" s="2"/>
      <c r="CI543" s="2">
        <v>1</v>
      </c>
      <c r="CJ543" s="2">
        <v>1</v>
      </c>
      <c r="CK543" s="2" t="s">
        <v>132</v>
      </c>
      <c r="CL543" s="2" t="s">
        <v>86</v>
      </c>
      <c r="CM543" s="2"/>
    </row>
    <row r="544" spans="1:91">
      <c r="A544" s="2" t="s">
        <v>71</v>
      </c>
      <c r="B544" s="2" t="s">
        <v>72</v>
      </c>
      <c r="C544" s="2" t="s">
        <v>73</v>
      </c>
      <c r="D544" s="2"/>
      <c r="E544" s="2" t="str">
        <f>"FES1162569472"</f>
        <v>FES1162569472</v>
      </c>
      <c r="F544" s="3">
        <v>42963</v>
      </c>
      <c r="G544" s="2">
        <v>201802</v>
      </c>
      <c r="H544" s="2" t="s">
        <v>74</v>
      </c>
      <c r="I544" s="2" t="s">
        <v>75</v>
      </c>
      <c r="J544" s="2" t="s">
        <v>118</v>
      </c>
      <c r="K544" s="2" t="s">
        <v>77</v>
      </c>
      <c r="L544" s="2" t="s">
        <v>632</v>
      </c>
      <c r="M544" s="2" t="s">
        <v>269</v>
      </c>
      <c r="N544" s="2" t="s">
        <v>270</v>
      </c>
      <c r="O544" s="2" t="s">
        <v>81</v>
      </c>
      <c r="P544" s="2" t="str">
        <f>"2170583550                    "</f>
        <v xml:space="preserve">2170583550 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6.88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5.4</v>
      </c>
      <c r="BJ544" s="2">
        <v>3.4</v>
      </c>
      <c r="BK544" s="2">
        <v>6</v>
      </c>
      <c r="BL544" s="2">
        <v>76.23</v>
      </c>
      <c r="BM544" s="2">
        <v>10.67</v>
      </c>
      <c r="BN544" s="2">
        <v>86.9</v>
      </c>
      <c r="BO544" s="2">
        <v>86.9</v>
      </c>
      <c r="BP544" s="2"/>
      <c r="BQ544" s="2" t="s">
        <v>288</v>
      </c>
      <c r="BR544" s="2" t="s">
        <v>122</v>
      </c>
      <c r="BS544" s="3">
        <v>42964</v>
      </c>
      <c r="BT544" s="4">
        <v>0.44444444444444442</v>
      </c>
      <c r="BU544" s="2" t="s">
        <v>1180</v>
      </c>
      <c r="BV544" s="2"/>
      <c r="BW544" s="2" t="s">
        <v>110</v>
      </c>
      <c r="BX544" s="2" t="s">
        <v>623</v>
      </c>
      <c r="BY544" s="2">
        <v>16788.900000000001</v>
      </c>
      <c r="BZ544" s="2"/>
      <c r="CA544" s="2"/>
      <c r="CB544" s="2"/>
      <c r="CC544" s="2" t="s">
        <v>269</v>
      </c>
      <c r="CD544" s="2">
        <v>200</v>
      </c>
      <c r="CE544" s="2" t="s">
        <v>89</v>
      </c>
      <c r="CF544" s="5">
        <v>42965</v>
      </c>
      <c r="CG544" s="2"/>
      <c r="CH544" s="2"/>
      <c r="CI544" s="2">
        <v>0</v>
      </c>
      <c r="CJ544" s="2">
        <v>0</v>
      </c>
      <c r="CK544" s="2" t="s">
        <v>143</v>
      </c>
      <c r="CL544" s="2" t="s">
        <v>86</v>
      </c>
      <c r="CM544" s="2"/>
    </row>
    <row r="545" spans="1:91">
      <c r="A545" s="2" t="s">
        <v>71</v>
      </c>
      <c r="B545" s="2" t="s">
        <v>72</v>
      </c>
      <c r="C545" s="2" t="s">
        <v>73</v>
      </c>
      <c r="D545" s="2"/>
      <c r="E545" s="2" t="str">
        <f>"FES1162568767"</f>
        <v>FES1162568767</v>
      </c>
      <c r="F545" s="3">
        <v>42961</v>
      </c>
      <c r="G545" s="2">
        <v>201802</v>
      </c>
      <c r="H545" s="2" t="s">
        <v>74</v>
      </c>
      <c r="I545" s="2" t="s">
        <v>75</v>
      </c>
      <c r="J545" s="2" t="s">
        <v>118</v>
      </c>
      <c r="K545" s="2" t="s">
        <v>77</v>
      </c>
      <c r="L545" s="2" t="s">
        <v>632</v>
      </c>
      <c r="M545" s="2" t="s">
        <v>269</v>
      </c>
      <c r="N545" s="2" t="s">
        <v>270</v>
      </c>
      <c r="O545" s="2" t="s">
        <v>81</v>
      </c>
      <c r="P545" s="2" t="str">
        <f>"2170583595                    "</f>
        <v xml:space="preserve">2170583595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6.88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1.6</v>
      </c>
      <c r="BJ545" s="2">
        <v>5</v>
      </c>
      <c r="BK545" s="2">
        <v>5</v>
      </c>
      <c r="BL545" s="2">
        <v>76.23</v>
      </c>
      <c r="BM545" s="2">
        <v>10.67</v>
      </c>
      <c r="BN545" s="2">
        <v>86.9</v>
      </c>
      <c r="BO545" s="2">
        <v>86.9</v>
      </c>
      <c r="BP545" s="2"/>
      <c r="BQ545" s="2" t="s">
        <v>288</v>
      </c>
      <c r="BR545" s="2" t="s">
        <v>122</v>
      </c>
      <c r="BS545" s="3">
        <v>42962</v>
      </c>
      <c r="BT545" s="4">
        <v>0.4375</v>
      </c>
      <c r="BU545" s="2" t="s">
        <v>1181</v>
      </c>
      <c r="BV545" s="2" t="s">
        <v>95</v>
      </c>
      <c r="BW545" s="2"/>
      <c r="BX545" s="2"/>
      <c r="BY545" s="2">
        <v>24798.53</v>
      </c>
      <c r="BZ545" s="2"/>
      <c r="CA545" s="2" t="s">
        <v>272</v>
      </c>
      <c r="CB545" s="2"/>
      <c r="CC545" s="2" t="s">
        <v>269</v>
      </c>
      <c r="CD545" s="2">
        <v>200</v>
      </c>
      <c r="CE545" s="2" t="s">
        <v>104</v>
      </c>
      <c r="CF545" s="5">
        <v>42963</v>
      </c>
      <c r="CG545" s="2"/>
      <c r="CH545" s="2"/>
      <c r="CI545" s="2">
        <v>0</v>
      </c>
      <c r="CJ545" s="2">
        <v>0</v>
      </c>
      <c r="CK545" s="2" t="s">
        <v>143</v>
      </c>
      <c r="CL545" s="2" t="s">
        <v>86</v>
      </c>
      <c r="CM545" s="2"/>
    </row>
    <row r="546" spans="1:91">
      <c r="A546" s="2" t="s">
        <v>71</v>
      </c>
      <c r="B546" s="2" t="s">
        <v>72</v>
      </c>
      <c r="C546" s="2" t="s">
        <v>73</v>
      </c>
      <c r="D546" s="2"/>
      <c r="E546" s="2" t="str">
        <f>"FES1162569496"</f>
        <v>FES1162569496</v>
      </c>
      <c r="F546" s="3">
        <v>42963</v>
      </c>
      <c r="G546" s="2">
        <v>201802</v>
      </c>
      <c r="H546" s="2" t="s">
        <v>74</v>
      </c>
      <c r="I546" s="2" t="s">
        <v>75</v>
      </c>
      <c r="J546" s="2" t="s">
        <v>118</v>
      </c>
      <c r="K546" s="2" t="s">
        <v>77</v>
      </c>
      <c r="L546" s="2" t="s">
        <v>632</v>
      </c>
      <c r="M546" s="2" t="s">
        <v>269</v>
      </c>
      <c r="N546" s="2" t="s">
        <v>442</v>
      </c>
      <c r="O546" s="2" t="s">
        <v>81</v>
      </c>
      <c r="P546" s="2" t="str">
        <f>"2170580118                    "</f>
        <v xml:space="preserve">2170580118 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6.88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4.5</v>
      </c>
      <c r="BJ546" s="2">
        <v>6.6</v>
      </c>
      <c r="BK546" s="2">
        <v>7</v>
      </c>
      <c r="BL546" s="2">
        <v>76.23</v>
      </c>
      <c r="BM546" s="2">
        <v>10.67</v>
      </c>
      <c r="BN546" s="2">
        <v>86.9</v>
      </c>
      <c r="BO546" s="2">
        <v>86.9</v>
      </c>
      <c r="BP546" s="2"/>
      <c r="BQ546" s="2" t="s">
        <v>83</v>
      </c>
      <c r="BR546" s="2" t="s">
        <v>122</v>
      </c>
      <c r="BS546" s="3">
        <v>42964</v>
      </c>
      <c r="BT546" s="4">
        <v>0.4236111111111111</v>
      </c>
      <c r="BU546" s="2" t="s">
        <v>443</v>
      </c>
      <c r="BV546" s="2"/>
      <c r="BW546" s="2"/>
      <c r="BX546" s="2"/>
      <c r="BY546" s="2">
        <v>33140.800000000003</v>
      </c>
      <c r="BZ546" s="2"/>
      <c r="CA546" s="2" t="s">
        <v>445</v>
      </c>
      <c r="CB546" s="2"/>
      <c r="CC546" s="2" t="s">
        <v>269</v>
      </c>
      <c r="CD546" s="2">
        <v>1</v>
      </c>
      <c r="CE546" s="2" t="s">
        <v>89</v>
      </c>
      <c r="CF546" s="5">
        <v>42965</v>
      </c>
      <c r="CG546" s="2"/>
      <c r="CH546" s="2"/>
      <c r="CI546" s="2">
        <v>0</v>
      </c>
      <c r="CJ546" s="2">
        <v>0</v>
      </c>
      <c r="CK546" s="2" t="s">
        <v>143</v>
      </c>
      <c r="CL546" s="2" t="s">
        <v>86</v>
      </c>
      <c r="CM546" s="2"/>
    </row>
    <row r="547" spans="1:91">
      <c r="A547" s="2" t="s">
        <v>71</v>
      </c>
      <c r="B547" s="2" t="s">
        <v>72</v>
      </c>
      <c r="C547" s="2" t="s">
        <v>73</v>
      </c>
      <c r="D547" s="2"/>
      <c r="E547" s="2" t="str">
        <f>"FES1162569118"</f>
        <v>FES1162569118</v>
      </c>
      <c r="F547" s="3">
        <v>42962</v>
      </c>
      <c r="G547" s="2">
        <v>201802</v>
      </c>
      <c r="H547" s="2" t="s">
        <v>74</v>
      </c>
      <c r="I547" s="2" t="s">
        <v>75</v>
      </c>
      <c r="J547" s="2" t="s">
        <v>118</v>
      </c>
      <c r="K547" s="2" t="s">
        <v>77</v>
      </c>
      <c r="L547" s="2" t="s">
        <v>244</v>
      </c>
      <c r="M547" s="2" t="s">
        <v>245</v>
      </c>
      <c r="N547" s="2" t="s">
        <v>1182</v>
      </c>
      <c r="O547" s="2" t="s">
        <v>81</v>
      </c>
      <c r="P547" s="2" t="str">
        <f>"2170585118                    "</f>
        <v xml:space="preserve">2170585118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6.38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7.2</v>
      </c>
      <c r="BJ547" s="2">
        <v>18.8</v>
      </c>
      <c r="BK547" s="2">
        <v>19</v>
      </c>
      <c r="BL547" s="2">
        <v>71.069999999999993</v>
      </c>
      <c r="BM547" s="2">
        <v>9.9499999999999993</v>
      </c>
      <c r="BN547" s="2">
        <v>81.02</v>
      </c>
      <c r="BO547" s="2">
        <v>81.02</v>
      </c>
      <c r="BP547" s="2"/>
      <c r="BQ547" s="2" t="s">
        <v>288</v>
      </c>
      <c r="BR547" s="2" t="s">
        <v>122</v>
      </c>
      <c r="BS547" s="3">
        <v>42963</v>
      </c>
      <c r="BT547" s="4">
        <v>0.38750000000000001</v>
      </c>
      <c r="BU547" s="2" t="s">
        <v>1183</v>
      </c>
      <c r="BV547" s="2" t="s">
        <v>95</v>
      </c>
      <c r="BW547" s="2"/>
      <c r="BX547" s="2"/>
      <c r="BY547" s="2">
        <v>93872.84</v>
      </c>
      <c r="BZ547" s="2"/>
      <c r="CA547" s="2" t="s">
        <v>148</v>
      </c>
      <c r="CB547" s="2"/>
      <c r="CC547" s="2" t="s">
        <v>245</v>
      </c>
      <c r="CD547" s="2">
        <v>1459</v>
      </c>
      <c r="CE547" s="2" t="s">
        <v>89</v>
      </c>
      <c r="CF547" s="5">
        <v>42964</v>
      </c>
      <c r="CG547" s="2"/>
      <c r="CH547" s="2"/>
      <c r="CI547" s="2">
        <v>1</v>
      </c>
      <c r="CJ547" s="2">
        <v>1</v>
      </c>
      <c r="CK547" s="2" t="s">
        <v>132</v>
      </c>
      <c r="CL547" s="2" t="s">
        <v>86</v>
      </c>
      <c r="CM547" s="2"/>
    </row>
    <row r="548" spans="1:91">
      <c r="A548" s="2" t="s">
        <v>71</v>
      </c>
      <c r="B548" s="2" t="s">
        <v>72</v>
      </c>
      <c r="C548" s="2" t="s">
        <v>73</v>
      </c>
      <c r="D548" s="2"/>
      <c r="E548" s="2" t="str">
        <f>"FES1162569495"</f>
        <v>FES1162569495</v>
      </c>
      <c r="F548" s="3">
        <v>42963</v>
      </c>
      <c r="G548" s="2">
        <v>201802</v>
      </c>
      <c r="H548" s="2" t="s">
        <v>74</v>
      </c>
      <c r="I548" s="2" t="s">
        <v>75</v>
      </c>
      <c r="J548" s="2" t="s">
        <v>118</v>
      </c>
      <c r="K548" s="2" t="s">
        <v>77</v>
      </c>
      <c r="L548" s="2" t="s">
        <v>632</v>
      </c>
      <c r="M548" s="2" t="s">
        <v>269</v>
      </c>
      <c r="N548" s="2" t="s">
        <v>635</v>
      </c>
      <c r="O548" s="2" t="s">
        <v>81</v>
      </c>
      <c r="P548" s="2" t="str">
        <f>"2170580654                    "</f>
        <v xml:space="preserve">2170580654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8.58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11.5</v>
      </c>
      <c r="BJ548" s="2">
        <v>23.1</v>
      </c>
      <c r="BK548" s="2">
        <v>23</v>
      </c>
      <c r="BL548" s="2">
        <v>93.85</v>
      </c>
      <c r="BM548" s="2">
        <v>13.14</v>
      </c>
      <c r="BN548" s="2">
        <v>106.99</v>
      </c>
      <c r="BO548" s="2">
        <v>106.99</v>
      </c>
      <c r="BP548" s="2"/>
      <c r="BQ548" s="2" t="s">
        <v>83</v>
      </c>
      <c r="BR548" s="2" t="s">
        <v>122</v>
      </c>
      <c r="BS548" s="3">
        <v>42964</v>
      </c>
      <c r="BT548" s="4">
        <v>0.47916666666666669</v>
      </c>
      <c r="BU548" s="2" t="s">
        <v>637</v>
      </c>
      <c r="BV548" s="2"/>
      <c r="BW548" s="2"/>
      <c r="BX548" s="2"/>
      <c r="BY548" s="2">
        <v>115293.44</v>
      </c>
      <c r="BZ548" s="2"/>
      <c r="CA548" s="2" t="s">
        <v>638</v>
      </c>
      <c r="CB548" s="2"/>
      <c r="CC548" s="2" t="s">
        <v>269</v>
      </c>
      <c r="CD548" s="2">
        <v>184</v>
      </c>
      <c r="CE548" s="2" t="s">
        <v>89</v>
      </c>
      <c r="CF548" s="5">
        <v>42965</v>
      </c>
      <c r="CG548" s="2"/>
      <c r="CH548" s="2"/>
      <c r="CI548" s="2">
        <v>0</v>
      </c>
      <c r="CJ548" s="2">
        <v>0</v>
      </c>
      <c r="CK548" s="2" t="s">
        <v>143</v>
      </c>
      <c r="CL548" s="2" t="s">
        <v>86</v>
      </c>
      <c r="CM548" s="2"/>
    </row>
    <row r="549" spans="1:91">
      <c r="A549" s="2" t="s">
        <v>71</v>
      </c>
      <c r="B549" s="2" t="s">
        <v>72</v>
      </c>
      <c r="C549" s="2" t="s">
        <v>73</v>
      </c>
      <c r="D549" s="2"/>
      <c r="E549" s="2" t="str">
        <f>"FES1162569143"</f>
        <v>FES1162569143</v>
      </c>
      <c r="F549" s="3">
        <v>42963</v>
      </c>
      <c r="G549" s="2">
        <v>201802</v>
      </c>
      <c r="H549" s="2" t="s">
        <v>74</v>
      </c>
      <c r="I549" s="2" t="s">
        <v>75</v>
      </c>
      <c r="J549" s="2" t="s">
        <v>118</v>
      </c>
      <c r="K549" s="2" t="s">
        <v>77</v>
      </c>
      <c r="L549" s="2" t="s">
        <v>137</v>
      </c>
      <c r="M549" s="2" t="s">
        <v>138</v>
      </c>
      <c r="N549" s="2" t="s">
        <v>1114</v>
      </c>
      <c r="O549" s="2" t="s">
        <v>81</v>
      </c>
      <c r="P549" s="2" t="str">
        <f>"2170582305                    "</f>
        <v xml:space="preserve">2170582305 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7.94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10.7</v>
      </c>
      <c r="BJ549" s="2">
        <v>19.2</v>
      </c>
      <c r="BK549" s="2">
        <v>20</v>
      </c>
      <c r="BL549" s="2">
        <v>87.24</v>
      </c>
      <c r="BM549" s="2">
        <v>12.21</v>
      </c>
      <c r="BN549" s="2">
        <v>99.45</v>
      </c>
      <c r="BO549" s="2">
        <v>99.45</v>
      </c>
      <c r="BP549" s="2"/>
      <c r="BQ549" s="2" t="s">
        <v>288</v>
      </c>
      <c r="BR549" s="2" t="s">
        <v>122</v>
      </c>
      <c r="BS549" s="3">
        <v>42964</v>
      </c>
      <c r="BT549" s="4">
        <v>0.40486111111111112</v>
      </c>
      <c r="BU549" s="2" t="s">
        <v>85</v>
      </c>
      <c r="BV549" s="2"/>
      <c r="BW549" s="2"/>
      <c r="BX549" s="2"/>
      <c r="BY549" s="2">
        <v>95847.55</v>
      </c>
      <c r="BZ549" s="2"/>
      <c r="CA549" s="2"/>
      <c r="CB549" s="2"/>
      <c r="CC549" s="2" t="s">
        <v>138</v>
      </c>
      <c r="CD549" s="2">
        <v>157</v>
      </c>
      <c r="CE549" s="2" t="s">
        <v>89</v>
      </c>
      <c r="CF549" s="5">
        <v>42965</v>
      </c>
      <c r="CG549" s="2"/>
      <c r="CH549" s="2"/>
      <c r="CI549" s="2">
        <v>0</v>
      </c>
      <c r="CJ549" s="2">
        <v>0</v>
      </c>
      <c r="CK549" s="2" t="s">
        <v>143</v>
      </c>
      <c r="CL549" s="2" t="s">
        <v>86</v>
      </c>
      <c r="CM549" s="2"/>
    </row>
    <row r="550" spans="1:91">
      <c r="A550" s="2" t="s">
        <v>71</v>
      </c>
      <c r="B550" s="2" t="s">
        <v>72</v>
      </c>
      <c r="C550" s="2" t="s">
        <v>73</v>
      </c>
      <c r="D550" s="2"/>
      <c r="E550" s="2" t="str">
        <f>"FES1162570394"</f>
        <v>FES1162570394</v>
      </c>
      <c r="F550" s="3">
        <v>42969</v>
      </c>
      <c r="G550" s="2">
        <v>201802</v>
      </c>
      <c r="H550" s="2" t="s">
        <v>74</v>
      </c>
      <c r="I550" s="2" t="s">
        <v>75</v>
      </c>
      <c r="J550" s="2" t="s">
        <v>118</v>
      </c>
      <c r="K550" s="2" t="s">
        <v>77</v>
      </c>
      <c r="L550" s="2" t="s">
        <v>632</v>
      </c>
      <c r="M550" s="2" t="s">
        <v>269</v>
      </c>
      <c r="N550" s="2" t="s">
        <v>1002</v>
      </c>
      <c r="O550" s="2" t="s">
        <v>81</v>
      </c>
      <c r="P550" s="2" t="str">
        <f>"2170580629                    "</f>
        <v xml:space="preserve">2170580629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6.88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5.5</v>
      </c>
      <c r="BJ550" s="2">
        <v>3.2</v>
      </c>
      <c r="BK550" s="2">
        <v>6</v>
      </c>
      <c r="BL550" s="2">
        <v>76.23</v>
      </c>
      <c r="BM550" s="2">
        <v>10.67</v>
      </c>
      <c r="BN550" s="2">
        <v>86.9</v>
      </c>
      <c r="BO550" s="2">
        <v>86.9</v>
      </c>
      <c r="BP550" s="2"/>
      <c r="BQ550" s="2" t="s">
        <v>288</v>
      </c>
      <c r="BR550" s="2" t="s">
        <v>122</v>
      </c>
      <c r="BS550" s="3">
        <v>42970</v>
      </c>
      <c r="BT550" s="4">
        <v>0.45833333333333331</v>
      </c>
      <c r="BU550" s="2" t="s">
        <v>1184</v>
      </c>
      <c r="BV550" s="2"/>
      <c r="BW550" s="2" t="s">
        <v>110</v>
      </c>
      <c r="BX550" s="2" t="s">
        <v>444</v>
      </c>
      <c r="BY550" s="2">
        <v>15830.08</v>
      </c>
      <c r="BZ550" s="2"/>
      <c r="CA550" s="2"/>
      <c r="CB550" s="2"/>
      <c r="CC550" s="2" t="s">
        <v>269</v>
      </c>
      <c r="CD550" s="2">
        <v>200</v>
      </c>
      <c r="CE550" s="2" t="s">
        <v>89</v>
      </c>
      <c r="CF550" s="5">
        <v>42971</v>
      </c>
      <c r="CG550" s="2"/>
      <c r="CH550" s="2"/>
      <c r="CI550" s="2">
        <v>0</v>
      </c>
      <c r="CJ550" s="2">
        <v>0</v>
      </c>
      <c r="CK550" s="2" t="s">
        <v>143</v>
      </c>
      <c r="CL550" s="2" t="s">
        <v>86</v>
      </c>
      <c r="CM550" s="2"/>
    </row>
    <row r="551" spans="1:91">
      <c r="A551" s="2" t="s">
        <v>71</v>
      </c>
      <c r="B551" s="2" t="s">
        <v>72</v>
      </c>
      <c r="C551" s="2" t="s">
        <v>73</v>
      </c>
      <c r="D551" s="2"/>
      <c r="E551" s="2" t="str">
        <f>"FES1162570704"</f>
        <v>FES1162570704</v>
      </c>
      <c r="F551" s="3">
        <v>42969</v>
      </c>
      <c r="G551" s="2">
        <v>201802</v>
      </c>
      <c r="H551" s="2" t="s">
        <v>74</v>
      </c>
      <c r="I551" s="2" t="s">
        <v>75</v>
      </c>
      <c r="J551" s="2" t="s">
        <v>118</v>
      </c>
      <c r="K551" s="2" t="s">
        <v>77</v>
      </c>
      <c r="L551" s="2" t="s">
        <v>632</v>
      </c>
      <c r="M551" s="2" t="s">
        <v>269</v>
      </c>
      <c r="N551" s="2" t="s">
        <v>351</v>
      </c>
      <c r="O551" s="2" t="s">
        <v>81</v>
      </c>
      <c r="P551" s="2" t="str">
        <f>"2170585323                    "</f>
        <v xml:space="preserve">2170585323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6.88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2</v>
      </c>
      <c r="BI551" s="2">
        <v>7</v>
      </c>
      <c r="BJ551" s="2">
        <v>3.6</v>
      </c>
      <c r="BK551" s="2">
        <v>7</v>
      </c>
      <c r="BL551" s="2">
        <v>76.23</v>
      </c>
      <c r="BM551" s="2">
        <v>10.67</v>
      </c>
      <c r="BN551" s="2">
        <v>86.9</v>
      </c>
      <c r="BO551" s="2">
        <v>86.9</v>
      </c>
      <c r="BP551" s="2"/>
      <c r="BQ551" s="2" t="s">
        <v>83</v>
      </c>
      <c r="BR551" s="2" t="s">
        <v>122</v>
      </c>
      <c r="BS551" s="3">
        <v>42970</v>
      </c>
      <c r="BT551" s="4">
        <v>0.41666666666666669</v>
      </c>
      <c r="BU551" s="2" t="s">
        <v>85</v>
      </c>
      <c r="BV551" s="2"/>
      <c r="BW551" s="2"/>
      <c r="BX551" s="2"/>
      <c r="BY551" s="2">
        <v>17751.73</v>
      </c>
      <c r="BZ551" s="2"/>
      <c r="CA551" s="2"/>
      <c r="CB551" s="2"/>
      <c r="CC551" s="2" t="s">
        <v>269</v>
      </c>
      <c r="CD551" s="2">
        <v>200</v>
      </c>
      <c r="CE551" s="2" t="s">
        <v>89</v>
      </c>
      <c r="CF551" s="5">
        <v>42971</v>
      </c>
      <c r="CG551" s="2"/>
      <c r="CH551" s="2"/>
      <c r="CI551" s="2">
        <v>0</v>
      </c>
      <c r="CJ551" s="2">
        <v>0</v>
      </c>
      <c r="CK551" s="2" t="s">
        <v>143</v>
      </c>
      <c r="CL551" s="2" t="s">
        <v>86</v>
      </c>
      <c r="CM551" s="2"/>
    </row>
    <row r="552" spans="1:91">
      <c r="A552" s="2" t="s">
        <v>71</v>
      </c>
      <c r="B552" s="2" t="s">
        <v>72</v>
      </c>
      <c r="C552" s="2" t="s">
        <v>73</v>
      </c>
      <c r="D552" s="2"/>
      <c r="E552" s="2" t="str">
        <f>"FES1162567547"</f>
        <v>FES1162567547</v>
      </c>
      <c r="F552" s="3">
        <v>42954</v>
      </c>
      <c r="G552" s="2">
        <v>201802</v>
      </c>
      <c r="H552" s="2" t="s">
        <v>74</v>
      </c>
      <c r="I552" s="2" t="s">
        <v>75</v>
      </c>
      <c r="J552" s="2" t="s">
        <v>118</v>
      </c>
      <c r="K552" s="2" t="s">
        <v>77</v>
      </c>
      <c r="L552" s="2" t="s">
        <v>510</v>
      </c>
      <c r="M552" s="2" t="s">
        <v>511</v>
      </c>
      <c r="N552" s="2" t="s">
        <v>512</v>
      </c>
      <c r="O552" s="2" t="s">
        <v>81</v>
      </c>
      <c r="P552" s="2" t="str">
        <f>"2170574791                    "</f>
        <v xml:space="preserve">2170574791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100.06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2</v>
      </c>
      <c r="BI552" s="2">
        <v>127</v>
      </c>
      <c r="BJ552" s="2">
        <v>276.8</v>
      </c>
      <c r="BK552" s="2">
        <v>277</v>
      </c>
      <c r="BL552" s="2">
        <v>1041.06</v>
      </c>
      <c r="BM552" s="2">
        <v>145.75</v>
      </c>
      <c r="BN552" s="2">
        <v>1186.81</v>
      </c>
      <c r="BO552" s="2">
        <v>1186.81</v>
      </c>
      <c r="BP552" s="2"/>
      <c r="BQ552" s="2" t="s">
        <v>1185</v>
      </c>
      <c r="BR552" s="2" t="s">
        <v>122</v>
      </c>
      <c r="BS552" s="3">
        <v>42955</v>
      </c>
      <c r="BT552" s="4">
        <v>0.43402777777777773</v>
      </c>
      <c r="BU552" s="2" t="s">
        <v>1186</v>
      </c>
      <c r="BV552" s="2" t="s">
        <v>95</v>
      </c>
      <c r="BW552" s="2"/>
      <c r="BX552" s="2"/>
      <c r="BY552" s="2">
        <v>1383800</v>
      </c>
      <c r="BZ552" s="2"/>
      <c r="CA552" s="2" t="s">
        <v>1187</v>
      </c>
      <c r="CB552" s="2"/>
      <c r="CC552" s="2" t="s">
        <v>511</v>
      </c>
      <c r="CD552" s="2">
        <v>6229</v>
      </c>
      <c r="CE552" s="2" t="s">
        <v>1188</v>
      </c>
      <c r="CF552" s="5">
        <v>42957</v>
      </c>
      <c r="CG552" s="2"/>
      <c r="CH552" s="2"/>
      <c r="CI552" s="2">
        <v>0</v>
      </c>
      <c r="CJ552" s="2">
        <v>0</v>
      </c>
      <c r="CK552" s="2" t="s">
        <v>136</v>
      </c>
      <c r="CL552" s="2" t="s">
        <v>86</v>
      </c>
      <c r="CM552" s="2"/>
    </row>
    <row r="553" spans="1:91">
      <c r="A553" s="2" t="s">
        <v>71</v>
      </c>
      <c r="B553" s="2" t="s">
        <v>72</v>
      </c>
      <c r="C553" s="2" t="s">
        <v>73</v>
      </c>
      <c r="D553" s="2"/>
      <c r="E553" s="2" t="str">
        <f>"FES1162567078"</f>
        <v>FES1162567078</v>
      </c>
      <c r="F553" s="3">
        <v>42954</v>
      </c>
      <c r="G553" s="2">
        <v>201802</v>
      </c>
      <c r="H553" s="2" t="s">
        <v>74</v>
      </c>
      <c r="I553" s="2" t="s">
        <v>75</v>
      </c>
      <c r="J553" s="2" t="s">
        <v>118</v>
      </c>
      <c r="K553" s="2" t="s">
        <v>77</v>
      </c>
      <c r="L553" s="2" t="s">
        <v>144</v>
      </c>
      <c r="M553" s="2" t="s">
        <v>145</v>
      </c>
      <c r="N553" s="2" t="s">
        <v>402</v>
      </c>
      <c r="O553" s="2" t="s">
        <v>81</v>
      </c>
      <c r="P553" s="2" t="str">
        <f>"2170578860                    "</f>
        <v xml:space="preserve">2170578860  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10.52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2</v>
      </c>
      <c r="BI553" s="2">
        <v>40.6</v>
      </c>
      <c r="BJ553" s="2">
        <v>18.3</v>
      </c>
      <c r="BK553" s="2">
        <v>41</v>
      </c>
      <c r="BL553" s="2">
        <v>113.93</v>
      </c>
      <c r="BM553" s="2">
        <v>15.95</v>
      </c>
      <c r="BN553" s="2">
        <v>129.88</v>
      </c>
      <c r="BO553" s="2">
        <v>129.88</v>
      </c>
      <c r="BP553" s="2"/>
      <c r="BQ553" s="2" t="s">
        <v>288</v>
      </c>
      <c r="BR553" s="2" t="s">
        <v>122</v>
      </c>
      <c r="BS553" s="3">
        <v>42955</v>
      </c>
      <c r="BT553" s="4">
        <v>0.41597222222222219</v>
      </c>
      <c r="BU553" s="2" t="s">
        <v>1189</v>
      </c>
      <c r="BV553" s="2" t="s">
        <v>95</v>
      </c>
      <c r="BW553" s="2"/>
      <c r="BX553" s="2"/>
      <c r="BY553" s="2">
        <v>91707.76</v>
      </c>
      <c r="BZ553" s="2"/>
      <c r="CA553" s="2"/>
      <c r="CB553" s="2"/>
      <c r="CC553" s="2" t="s">
        <v>145</v>
      </c>
      <c r="CD553" s="2">
        <v>1832</v>
      </c>
      <c r="CE553" s="2" t="s">
        <v>1190</v>
      </c>
      <c r="CF553" s="5">
        <v>42957</v>
      </c>
      <c r="CG553" s="2"/>
      <c r="CH553" s="2"/>
      <c r="CI553" s="2">
        <v>0</v>
      </c>
      <c r="CJ553" s="2">
        <v>0</v>
      </c>
      <c r="CK553" s="2" t="s">
        <v>132</v>
      </c>
      <c r="CL553" s="2" t="s">
        <v>86</v>
      </c>
      <c r="CM553" s="2"/>
    </row>
    <row r="554" spans="1:91">
      <c r="A554" s="2" t="s">
        <v>71</v>
      </c>
      <c r="B554" s="2" t="s">
        <v>72</v>
      </c>
      <c r="C554" s="2" t="s">
        <v>73</v>
      </c>
      <c r="D554" s="2"/>
      <c r="E554" s="2" t="str">
        <f>"FES1162572165"</f>
        <v>FES1162572165</v>
      </c>
      <c r="F554" s="3">
        <v>42976</v>
      </c>
      <c r="G554" s="2">
        <v>201802</v>
      </c>
      <c r="H554" s="2" t="s">
        <v>74</v>
      </c>
      <c r="I554" s="2" t="s">
        <v>75</v>
      </c>
      <c r="J554" s="2" t="s">
        <v>76</v>
      </c>
      <c r="K554" s="2" t="s">
        <v>77</v>
      </c>
      <c r="L554" s="2" t="s">
        <v>164</v>
      </c>
      <c r="M554" s="2" t="s">
        <v>165</v>
      </c>
      <c r="N554" s="2" t="s">
        <v>1191</v>
      </c>
      <c r="O554" s="2" t="s">
        <v>100</v>
      </c>
      <c r="P554" s="2" t="str">
        <f>"2170587456                    "</f>
        <v xml:space="preserve">2170587456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9.01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0.9</v>
      </c>
      <c r="BJ554" s="2">
        <v>4.0999999999999996</v>
      </c>
      <c r="BK554" s="2">
        <v>4.5</v>
      </c>
      <c r="BL554" s="2">
        <v>93.25</v>
      </c>
      <c r="BM554" s="2">
        <v>13.06</v>
      </c>
      <c r="BN554" s="2">
        <v>106.31</v>
      </c>
      <c r="BO554" s="2">
        <v>106.31</v>
      </c>
      <c r="BP554" s="2"/>
      <c r="BQ554" s="2" t="s">
        <v>288</v>
      </c>
      <c r="BR554" s="2" t="s">
        <v>84</v>
      </c>
      <c r="BS554" s="3">
        <v>42977</v>
      </c>
      <c r="BT554" s="4">
        <v>0.57291666666666663</v>
      </c>
      <c r="BU554" s="2" t="s">
        <v>1192</v>
      </c>
      <c r="BV554" s="2" t="s">
        <v>95</v>
      </c>
      <c r="BW554" s="2"/>
      <c r="BX554" s="2"/>
      <c r="BY554" s="2">
        <v>20705.330000000002</v>
      </c>
      <c r="BZ554" s="2"/>
      <c r="CA554" s="2" t="s">
        <v>1193</v>
      </c>
      <c r="CB554" s="2"/>
      <c r="CC554" s="2" t="s">
        <v>165</v>
      </c>
      <c r="CD554" s="2">
        <v>6850</v>
      </c>
      <c r="CE554" s="2" t="s">
        <v>104</v>
      </c>
      <c r="CF554" s="5">
        <v>42978</v>
      </c>
      <c r="CG554" s="2"/>
      <c r="CH554" s="2"/>
      <c r="CI554" s="2">
        <v>3</v>
      </c>
      <c r="CJ554" s="2">
        <v>1</v>
      </c>
      <c r="CK554" s="2">
        <v>21</v>
      </c>
      <c r="CL554" s="2" t="s">
        <v>86</v>
      </c>
      <c r="CM554" s="2"/>
    </row>
    <row r="555" spans="1:91">
      <c r="A555" s="2" t="s">
        <v>71</v>
      </c>
      <c r="B555" s="2" t="s">
        <v>72</v>
      </c>
      <c r="C555" s="2" t="s">
        <v>73</v>
      </c>
      <c r="D555" s="2"/>
      <c r="E555" s="2" t="str">
        <f>"FES1162571991"</f>
        <v>FES1162571991</v>
      </c>
      <c r="F555" s="3">
        <v>42976</v>
      </c>
      <c r="G555" s="2">
        <v>201802</v>
      </c>
      <c r="H555" s="2" t="s">
        <v>74</v>
      </c>
      <c r="I555" s="2" t="s">
        <v>75</v>
      </c>
      <c r="J555" s="2" t="s">
        <v>76</v>
      </c>
      <c r="K555" s="2" t="s">
        <v>77</v>
      </c>
      <c r="L555" s="2" t="s">
        <v>237</v>
      </c>
      <c r="M555" s="2" t="s">
        <v>238</v>
      </c>
      <c r="N555" s="2" t="s">
        <v>1194</v>
      </c>
      <c r="O555" s="2" t="s">
        <v>100</v>
      </c>
      <c r="P555" s="2" t="str">
        <f>"2170587641                    "</f>
        <v xml:space="preserve">2170587641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4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0.6</v>
      </c>
      <c r="BJ555" s="2">
        <v>1.5</v>
      </c>
      <c r="BK555" s="2">
        <v>1.5</v>
      </c>
      <c r="BL555" s="2">
        <v>41.44</v>
      </c>
      <c r="BM555" s="2">
        <v>5.8</v>
      </c>
      <c r="BN555" s="2">
        <v>47.24</v>
      </c>
      <c r="BO555" s="2">
        <v>47.24</v>
      </c>
      <c r="BP555" s="2"/>
      <c r="BQ555" s="2" t="s">
        <v>1195</v>
      </c>
      <c r="BR555" s="2" t="s">
        <v>84</v>
      </c>
      <c r="BS555" s="3">
        <v>42977</v>
      </c>
      <c r="BT555" s="4">
        <v>0.37708333333333338</v>
      </c>
      <c r="BU555" s="2" t="s">
        <v>1196</v>
      </c>
      <c r="BV555" s="2" t="s">
        <v>95</v>
      </c>
      <c r="BW555" s="2"/>
      <c r="BX555" s="2"/>
      <c r="BY555" s="2">
        <v>7422.97</v>
      </c>
      <c r="BZ555" s="2"/>
      <c r="CA555" s="2" t="s">
        <v>401</v>
      </c>
      <c r="CB555" s="2"/>
      <c r="CC555" s="2" t="s">
        <v>238</v>
      </c>
      <c r="CD555" s="2">
        <v>3610</v>
      </c>
      <c r="CE555" s="2" t="s">
        <v>104</v>
      </c>
      <c r="CF555" s="5">
        <v>42978</v>
      </c>
      <c r="CG555" s="2"/>
      <c r="CH555" s="2"/>
      <c r="CI555" s="2">
        <v>1</v>
      </c>
      <c r="CJ555" s="2">
        <v>1</v>
      </c>
      <c r="CK555" s="2">
        <v>21</v>
      </c>
      <c r="CL555" s="2" t="s">
        <v>86</v>
      </c>
      <c r="CM555" s="2"/>
    </row>
    <row r="556" spans="1:91">
      <c r="A556" s="2" t="s">
        <v>71</v>
      </c>
      <c r="B556" s="2" t="s">
        <v>72</v>
      </c>
      <c r="C556" s="2" t="s">
        <v>73</v>
      </c>
      <c r="D556" s="2"/>
      <c r="E556" s="2" t="str">
        <f>"FES1162571638"</f>
        <v>FES1162571638</v>
      </c>
      <c r="F556" s="3">
        <v>42975</v>
      </c>
      <c r="G556" s="2">
        <v>201802</v>
      </c>
      <c r="H556" s="2" t="s">
        <v>74</v>
      </c>
      <c r="I556" s="2" t="s">
        <v>75</v>
      </c>
      <c r="J556" s="2" t="s">
        <v>118</v>
      </c>
      <c r="K556" s="2" t="s">
        <v>77</v>
      </c>
      <c r="L556" s="2" t="s">
        <v>1197</v>
      </c>
      <c r="M556" s="2" t="s">
        <v>1198</v>
      </c>
      <c r="N556" s="2" t="s">
        <v>1199</v>
      </c>
      <c r="O556" s="2" t="s">
        <v>100</v>
      </c>
      <c r="P556" s="2" t="str">
        <f>"2170575678                    "</f>
        <v xml:space="preserve">2170575678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5.63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1</v>
      </c>
      <c r="BJ556" s="2">
        <v>0.2</v>
      </c>
      <c r="BK556" s="2">
        <v>1</v>
      </c>
      <c r="BL556" s="2">
        <v>58.28</v>
      </c>
      <c r="BM556" s="2">
        <v>8.16</v>
      </c>
      <c r="BN556" s="2">
        <v>66.44</v>
      </c>
      <c r="BO556" s="2">
        <v>66.44</v>
      </c>
      <c r="BP556" s="2"/>
      <c r="BQ556" s="2" t="s">
        <v>288</v>
      </c>
      <c r="BR556" s="2" t="s">
        <v>122</v>
      </c>
      <c r="BS556" s="3">
        <v>42976</v>
      </c>
      <c r="BT556" s="4">
        <v>0.79861111111111116</v>
      </c>
      <c r="BU556" s="2"/>
      <c r="BV556" s="2" t="s">
        <v>95</v>
      </c>
      <c r="BW556" s="2"/>
      <c r="BX556" s="2"/>
      <c r="BY556" s="2">
        <v>1200</v>
      </c>
      <c r="BZ556" s="2" t="s">
        <v>27</v>
      </c>
      <c r="CA556" s="2"/>
      <c r="CB556" s="2"/>
      <c r="CC556" s="2" t="s">
        <v>1198</v>
      </c>
      <c r="CD556" s="2">
        <v>1133</v>
      </c>
      <c r="CE556" s="2" t="s">
        <v>104</v>
      </c>
      <c r="CF556" s="2"/>
      <c r="CG556" s="2"/>
      <c r="CH556" s="2"/>
      <c r="CI556" s="2">
        <v>3</v>
      </c>
      <c r="CJ556" s="2">
        <v>1</v>
      </c>
      <c r="CK556" s="2">
        <v>24</v>
      </c>
      <c r="CL556" s="2" t="s">
        <v>86</v>
      </c>
      <c r="CM556" s="2"/>
    </row>
    <row r="557" spans="1:91">
      <c r="A557" s="2" t="s">
        <v>71</v>
      </c>
      <c r="B557" s="2" t="s">
        <v>72</v>
      </c>
      <c r="C557" s="2" t="s">
        <v>73</v>
      </c>
      <c r="D557" s="2"/>
      <c r="E557" s="2" t="str">
        <f>"FES1162571960"</f>
        <v>FES1162571960</v>
      </c>
      <c r="F557" s="3">
        <v>42976</v>
      </c>
      <c r="G557" s="2">
        <v>201802</v>
      </c>
      <c r="H557" s="2" t="s">
        <v>74</v>
      </c>
      <c r="I557" s="2" t="s">
        <v>75</v>
      </c>
      <c r="J557" s="2" t="s">
        <v>76</v>
      </c>
      <c r="K557" s="2" t="s">
        <v>77</v>
      </c>
      <c r="L557" s="2" t="s">
        <v>105</v>
      </c>
      <c r="M557" s="2" t="s">
        <v>106</v>
      </c>
      <c r="N557" s="2" t="s">
        <v>253</v>
      </c>
      <c r="O557" s="2" t="s">
        <v>100</v>
      </c>
      <c r="P557" s="2" t="str">
        <f>"2170586021                    "</f>
        <v xml:space="preserve">2170586021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6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2.6</v>
      </c>
      <c r="BJ557" s="2">
        <v>1.6</v>
      </c>
      <c r="BK557" s="2">
        <v>3</v>
      </c>
      <c r="BL557" s="2">
        <v>62.16</v>
      </c>
      <c r="BM557" s="2">
        <v>8.6999999999999993</v>
      </c>
      <c r="BN557" s="2">
        <v>70.86</v>
      </c>
      <c r="BO557" s="2">
        <v>70.86</v>
      </c>
      <c r="BP557" s="2"/>
      <c r="BQ557" s="2" t="s">
        <v>108</v>
      </c>
      <c r="BR557" s="2" t="s">
        <v>84</v>
      </c>
      <c r="BS557" s="1" t="s">
        <v>1200</v>
      </c>
      <c r="BT557" s="2"/>
      <c r="BU557" s="2"/>
      <c r="BV557" s="2"/>
      <c r="BW557" s="2"/>
      <c r="BX557" s="2"/>
      <c r="BY557" s="2">
        <v>8102.64</v>
      </c>
      <c r="BZ557" s="2"/>
      <c r="CA557" s="2"/>
      <c r="CB557" s="2"/>
      <c r="CC557" s="2" t="s">
        <v>106</v>
      </c>
      <c r="CD557" s="2">
        <v>7490</v>
      </c>
      <c r="CE557" s="2" t="s">
        <v>135</v>
      </c>
      <c r="CF557" s="2"/>
      <c r="CG557" s="2"/>
      <c r="CH557" s="2"/>
      <c r="CI557" s="2">
        <v>1</v>
      </c>
      <c r="CJ557" s="2" t="s">
        <v>1200</v>
      </c>
      <c r="CK557" s="2">
        <v>21</v>
      </c>
      <c r="CL557" s="2" t="s">
        <v>86</v>
      </c>
      <c r="CM557" s="2"/>
    </row>
    <row r="558" spans="1:91">
      <c r="A558" s="2" t="s">
        <v>71</v>
      </c>
      <c r="B558" s="2" t="s">
        <v>72</v>
      </c>
      <c r="C558" s="2" t="s">
        <v>73</v>
      </c>
      <c r="D558" s="2"/>
      <c r="E558" s="2" t="str">
        <f>"FES1162572208"</f>
        <v>FES1162572208</v>
      </c>
      <c r="F558" s="3">
        <v>42977</v>
      </c>
      <c r="G558" s="2">
        <v>201802</v>
      </c>
      <c r="H558" s="2" t="s">
        <v>74</v>
      </c>
      <c r="I558" s="2" t="s">
        <v>75</v>
      </c>
      <c r="J558" s="2" t="s">
        <v>76</v>
      </c>
      <c r="K558" s="2" t="s">
        <v>77</v>
      </c>
      <c r="L558" s="2" t="s">
        <v>144</v>
      </c>
      <c r="M558" s="2" t="s">
        <v>145</v>
      </c>
      <c r="N558" s="2" t="s">
        <v>146</v>
      </c>
      <c r="O558" s="2" t="s">
        <v>100</v>
      </c>
      <c r="P558" s="2" t="str">
        <f>"2170587818                    "</f>
        <v xml:space="preserve">2170587818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3.13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3.5</v>
      </c>
      <c r="BJ558" s="2">
        <v>5.6</v>
      </c>
      <c r="BK558" s="2">
        <v>6</v>
      </c>
      <c r="BL558" s="2">
        <v>32.380000000000003</v>
      </c>
      <c r="BM558" s="2">
        <v>4.53</v>
      </c>
      <c r="BN558" s="2">
        <v>36.909999999999997</v>
      </c>
      <c r="BO558" s="2">
        <v>36.909999999999997</v>
      </c>
      <c r="BP558" s="2"/>
      <c r="BQ558" s="2" t="s">
        <v>83</v>
      </c>
      <c r="BR558" s="2" t="s">
        <v>84</v>
      </c>
      <c r="BS558" s="3">
        <v>42978</v>
      </c>
      <c r="BT558" s="4">
        <v>0.38263888888888892</v>
      </c>
      <c r="BU558" s="2" t="s">
        <v>1176</v>
      </c>
      <c r="BV558" s="2" t="s">
        <v>95</v>
      </c>
      <c r="BW558" s="2"/>
      <c r="BX558" s="2"/>
      <c r="BY558" s="2">
        <v>27970.21</v>
      </c>
      <c r="BZ558" s="2" t="s">
        <v>27</v>
      </c>
      <c r="CA558" s="2" t="s">
        <v>729</v>
      </c>
      <c r="CB558" s="2"/>
      <c r="CC558" s="2" t="s">
        <v>145</v>
      </c>
      <c r="CD558" s="2">
        <v>2094</v>
      </c>
      <c r="CE558" s="2" t="s">
        <v>89</v>
      </c>
      <c r="CF558" s="5">
        <v>42978</v>
      </c>
      <c r="CG558" s="2"/>
      <c r="CH558" s="2"/>
      <c r="CI558" s="2">
        <v>1</v>
      </c>
      <c r="CJ558" s="2">
        <v>1</v>
      </c>
      <c r="CK558" s="2">
        <v>22</v>
      </c>
      <c r="CL558" s="2" t="s">
        <v>86</v>
      </c>
      <c r="CM558" s="2"/>
    </row>
    <row r="559" spans="1:91">
      <c r="A559" s="2" t="s">
        <v>71</v>
      </c>
      <c r="B559" s="2" t="s">
        <v>72</v>
      </c>
      <c r="C559" s="2" t="s">
        <v>73</v>
      </c>
      <c r="D559" s="2"/>
      <c r="E559" s="2" t="str">
        <f>"FES1162572265"</f>
        <v>FES1162572265</v>
      </c>
      <c r="F559" s="3">
        <v>42977</v>
      </c>
      <c r="G559" s="2">
        <v>201802</v>
      </c>
      <c r="H559" s="2" t="s">
        <v>74</v>
      </c>
      <c r="I559" s="2" t="s">
        <v>75</v>
      </c>
      <c r="J559" s="2" t="s">
        <v>76</v>
      </c>
      <c r="K559" s="2" t="s">
        <v>77</v>
      </c>
      <c r="L559" s="2" t="s">
        <v>206</v>
      </c>
      <c r="M559" s="2" t="s">
        <v>207</v>
      </c>
      <c r="N559" s="2" t="s">
        <v>650</v>
      </c>
      <c r="O559" s="2" t="s">
        <v>100</v>
      </c>
      <c r="P559" s="2" t="str">
        <f>"2170583709                    "</f>
        <v xml:space="preserve">2170583709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9.74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1</v>
      </c>
      <c r="BI559" s="2">
        <v>2.2999999999999998</v>
      </c>
      <c r="BJ559" s="2">
        <v>3.2</v>
      </c>
      <c r="BK559" s="2">
        <v>3.5</v>
      </c>
      <c r="BL559" s="2">
        <v>100.85</v>
      </c>
      <c r="BM559" s="2">
        <v>14.12</v>
      </c>
      <c r="BN559" s="2">
        <v>114.97</v>
      </c>
      <c r="BO559" s="2">
        <v>114.97</v>
      </c>
      <c r="BP559" s="2"/>
      <c r="BQ559" s="2" t="s">
        <v>108</v>
      </c>
      <c r="BR559" s="2" t="s">
        <v>84</v>
      </c>
      <c r="BS559" s="3">
        <v>42978</v>
      </c>
      <c r="BT559" s="4">
        <v>0.44444444444444442</v>
      </c>
      <c r="BU559" s="2" t="s">
        <v>1201</v>
      </c>
      <c r="BV559" s="2" t="s">
        <v>95</v>
      </c>
      <c r="BW559" s="2"/>
      <c r="BX559" s="2"/>
      <c r="BY559" s="2">
        <v>15798.48</v>
      </c>
      <c r="BZ559" s="2" t="s">
        <v>27</v>
      </c>
      <c r="CA559" s="2" t="s">
        <v>211</v>
      </c>
      <c r="CB559" s="2"/>
      <c r="CC559" s="2" t="s">
        <v>207</v>
      </c>
      <c r="CD559" s="2">
        <v>250</v>
      </c>
      <c r="CE559" s="2" t="s">
        <v>89</v>
      </c>
      <c r="CF559" s="5">
        <v>42978</v>
      </c>
      <c r="CG559" s="2"/>
      <c r="CH559" s="2"/>
      <c r="CI559" s="2">
        <v>1</v>
      </c>
      <c r="CJ559" s="2">
        <v>1</v>
      </c>
      <c r="CK559" s="2">
        <v>24</v>
      </c>
      <c r="CL559" s="2" t="s">
        <v>86</v>
      </c>
      <c r="CM559" s="2"/>
    </row>
    <row r="560" spans="1:91">
      <c r="A560" s="2" t="s">
        <v>71</v>
      </c>
      <c r="B560" s="2" t="s">
        <v>72</v>
      </c>
      <c r="C560" s="2" t="s">
        <v>73</v>
      </c>
      <c r="D560" s="2"/>
      <c r="E560" s="2" t="str">
        <f>"FES1162572188"</f>
        <v>FES1162572188</v>
      </c>
      <c r="F560" s="3">
        <v>42977</v>
      </c>
      <c r="G560" s="2">
        <v>201802</v>
      </c>
      <c r="H560" s="2" t="s">
        <v>74</v>
      </c>
      <c r="I560" s="2" t="s">
        <v>75</v>
      </c>
      <c r="J560" s="2" t="s">
        <v>76</v>
      </c>
      <c r="K560" s="2" t="s">
        <v>77</v>
      </c>
      <c r="L560" s="2" t="s">
        <v>1202</v>
      </c>
      <c r="M560" s="2" t="s">
        <v>1203</v>
      </c>
      <c r="N560" s="2" t="s">
        <v>1204</v>
      </c>
      <c r="O560" s="2" t="s">
        <v>100</v>
      </c>
      <c r="P560" s="2" t="str">
        <f>"2170586534                    "</f>
        <v xml:space="preserve">2170586534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3.13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2</v>
      </c>
      <c r="BJ560" s="2">
        <v>0.2</v>
      </c>
      <c r="BK560" s="2">
        <v>2</v>
      </c>
      <c r="BL560" s="2">
        <v>32.380000000000003</v>
      </c>
      <c r="BM560" s="2">
        <v>4.53</v>
      </c>
      <c r="BN560" s="2">
        <v>36.909999999999997</v>
      </c>
      <c r="BO560" s="2">
        <v>36.909999999999997</v>
      </c>
      <c r="BP560" s="2"/>
      <c r="BQ560" s="2" t="s">
        <v>108</v>
      </c>
      <c r="BR560" s="2" t="s">
        <v>84</v>
      </c>
      <c r="BS560" s="3">
        <v>42978</v>
      </c>
      <c r="BT560" s="4">
        <v>0.35486111111111113</v>
      </c>
      <c r="BU560" s="2" t="s">
        <v>1205</v>
      </c>
      <c r="BV560" s="2" t="s">
        <v>95</v>
      </c>
      <c r="BW560" s="2"/>
      <c r="BX560" s="2"/>
      <c r="BY560" s="2">
        <v>1200</v>
      </c>
      <c r="BZ560" s="2" t="s">
        <v>27</v>
      </c>
      <c r="CA560" s="2" t="s">
        <v>1206</v>
      </c>
      <c r="CB560" s="2"/>
      <c r="CC560" s="2" t="s">
        <v>1203</v>
      </c>
      <c r="CD560" s="2">
        <v>1501</v>
      </c>
      <c r="CE560" s="2" t="s">
        <v>104</v>
      </c>
      <c r="CF560" s="5">
        <v>42978</v>
      </c>
      <c r="CG560" s="2"/>
      <c r="CH560" s="2"/>
      <c r="CI560" s="2">
        <v>1</v>
      </c>
      <c r="CJ560" s="2">
        <v>1</v>
      </c>
      <c r="CK560" s="2">
        <v>22</v>
      </c>
      <c r="CL560" s="2" t="s">
        <v>86</v>
      </c>
      <c r="CM560" s="2"/>
    </row>
    <row r="561" spans="1:91">
      <c r="A561" s="2" t="s">
        <v>71</v>
      </c>
      <c r="B561" s="2" t="s">
        <v>72</v>
      </c>
      <c r="C561" s="2" t="s">
        <v>73</v>
      </c>
      <c r="D561" s="2"/>
      <c r="E561" s="2" t="str">
        <f>"FES1162572202"</f>
        <v>FES1162572202</v>
      </c>
      <c r="F561" s="3">
        <v>42977</v>
      </c>
      <c r="G561" s="2">
        <v>201802</v>
      </c>
      <c r="H561" s="2" t="s">
        <v>74</v>
      </c>
      <c r="I561" s="2" t="s">
        <v>75</v>
      </c>
      <c r="J561" s="2" t="s">
        <v>76</v>
      </c>
      <c r="K561" s="2" t="s">
        <v>77</v>
      </c>
      <c r="L561" s="2" t="s">
        <v>105</v>
      </c>
      <c r="M561" s="2" t="s">
        <v>106</v>
      </c>
      <c r="N561" s="2" t="s">
        <v>107</v>
      </c>
      <c r="O561" s="2" t="s">
        <v>100</v>
      </c>
      <c r="P561" s="2" t="str">
        <f>"2170587803                    "</f>
        <v xml:space="preserve">2170587803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4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1</v>
      </c>
      <c r="BI561" s="2">
        <v>1</v>
      </c>
      <c r="BJ561" s="2">
        <v>0.2</v>
      </c>
      <c r="BK561" s="2">
        <v>1</v>
      </c>
      <c r="BL561" s="2">
        <v>41.44</v>
      </c>
      <c r="BM561" s="2">
        <v>5.8</v>
      </c>
      <c r="BN561" s="2">
        <v>47.24</v>
      </c>
      <c r="BO561" s="2">
        <v>47.24</v>
      </c>
      <c r="BP561" s="2"/>
      <c r="BQ561" s="2" t="s">
        <v>108</v>
      </c>
      <c r="BR561" s="2" t="s">
        <v>84</v>
      </c>
      <c r="BS561" s="3">
        <v>42978</v>
      </c>
      <c r="BT561" s="4">
        <v>0.38472222222222219</v>
      </c>
      <c r="BU561" s="2" t="s">
        <v>1207</v>
      </c>
      <c r="BV561" s="2" t="s">
        <v>95</v>
      </c>
      <c r="BW561" s="2"/>
      <c r="BX561" s="2"/>
      <c r="BY561" s="2">
        <v>1200</v>
      </c>
      <c r="BZ561" s="2" t="s">
        <v>27</v>
      </c>
      <c r="CA561" s="2" t="s">
        <v>112</v>
      </c>
      <c r="CB561" s="2"/>
      <c r="CC561" s="2" t="s">
        <v>106</v>
      </c>
      <c r="CD561" s="2">
        <v>7405</v>
      </c>
      <c r="CE561" s="2" t="s">
        <v>104</v>
      </c>
      <c r="CF561" s="5">
        <v>42978</v>
      </c>
      <c r="CG561" s="2"/>
      <c r="CH561" s="2"/>
      <c r="CI561" s="2">
        <v>1</v>
      </c>
      <c r="CJ561" s="2">
        <v>1</v>
      </c>
      <c r="CK561" s="2">
        <v>21</v>
      </c>
      <c r="CL561" s="2" t="s">
        <v>86</v>
      </c>
      <c r="CM561" s="2"/>
    </row>
    <row r="562" spans="1:91">
      <c r="A562" s="2" t="s">
        <v>71</v>
      </c>
      <c r="B562" s="2" t="s">
        <v>72</v>
      </c>
      <c r="C562" s="2" t="s">
        <v>73</v>
      </c>
      <c r="D562" s="2"/>
      <c r="E562" s="2" t="str">
        <f>"FES1162572184"</f>
        <v>FES1162572184</v>
      </c>
      <c r="F562" s="3">
        <v>42977</v>
      </c>
      <c r="G562" s="2">
        <v>201802</v>
      </c>
      <c r="H562" s="2" t="s">
        <v>74</v>
      </c>
      <c r="I562" s="2" t="s">
        <v>75</v>
      </c>
      <c r="J562" s="2" t="s">
        <v>76</v>
      </c>
      <c r="K562" s="2" t="s">
        <v>77</v>
      </c>
      <c r="L562" s="2" t="s">
        <v>97</v>
      </c>
      <c r="M562" s="2" t="s">
        <v>98</v>
      </c>
      <c r="N562" s="2" t="s">
        <v>248</v>
      </c>
      <c r="O562" s="2" t="s">
        <v>100</v>
      </c>
      <c r="P562" s="2" t="str">
        <f>"2170585432                    "</f>
        <v xml:space="preserve">2170585432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4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1</v>
      </c>
      <c r="BJ562" s="2">
        <v>0.9</v>
      </c>
      <c r="BK562" s="2">
        <v>1</v>
      </c>
      <c r="BL562" s="2">
        <v>41.44</v>
      </c>
      <c r="BM562" s="2">
        <v>5.8</v>
      </c>
      <c r="BN562" s="2">
        <v>47.24</v>
      </c>
      <c r="BO562" s="2">
        <v>47.24</v>
      </c>
      <c r="BP562" s="2"/>
      <c r="BQ562" s="2" t="s">
        <v>83</v>
      </c>
      <c r="BR562" s="2" t="s">
        <v>84</v>
      </c>
      <c r="BS562" s="3">
        <v>42978</v>
      </c>
      <c r="BT562" s="4">
        <v>0.35416666666666669</v>
      </c>
      <c r="BU562" s="2" t="s">
        <v>1208</v>
      </c>
      <c r="BV562" s="2" t="s">
        <v>95</v>
      </c>
      <c r="BW562" s="2"/>
      <c r="BX562" s="2"/>
      <c r="BY562" s="2">
        <v>4500</v>
      </c>
      <c r="BZ562" s="2" t="s">
        <v>27</v>
      </c>
      <c r="CA562" s="2" t="s">
        <v>294</v>
      </c>
      <c r="CB562" s="2"/>
      <c r="CC562" s="2" t="s">
        <v>98</v>
      </c>
      <c r="CD562" s="2">
        <v>6001</v>
      </c>
      <c r="CE562" s="2" t="s">
        <v>89</v>
      </c>
      <c r="CF562" s="5">
        <v>42978</v>
      </c>
      <c r="CG562" s="2"/>
      <c r="CH562" s="2"/>
      <c r="CI562" s="2">
        <v>1</v>
      </c>
      <c r="CJ562" s="2">
        <v>1</v>
      </c>
      <c r="CK562" s="2">
        <v>21</v>
      </c>
      <c r="CL562" s="2" t="s">
        <v>86</v>
      </c>
      <c r="CM562" s="2"/>
    </row>
    <row r="563" spans="1:91">
      <c r="A563" s="2" t="s">
        <v>71</v>
      </c>
      <c r="B563" s="2" t="s">
        <v>72</v>
      </c>
      <c r="C563" s="2" t="s">
        <v>73</v>
      </c>
      <c r="D563" s="2"/>
      <c r="E563" s="2" t="str">
        <f>"FES1162572180"</f>
        <v>FES1162572180</v>
      </c>
      <c r="F563" s="3">
        <v>42977</v>
      </c>
      <c r="G563" s="2">
        <v>201802</v>
      </c>
      <c r="H563" s="2" t="s">
        <v>74</v>
      </c>
      <c r="I563" s="2" t="s">
        <v>75</v>
      </c>
      <c r="J563" s="2" t="s">
        <v>76</v>
      </c>
      <c r="K563" s="2" t="s">
        <v>77</v>
      </c>
      <c r="L563" s="2" t="s">
        <v>97</v>
      </c>
      <c r="M563" s="2" t="s">
        <v>98</v>
      </c>
      <c r="N563" s="2" t="s">
        <v>248</v>
      </c>
      <c r="O563" s="2" t="s">
        <v>100</v>
      </c>
      <c r="P563" s="2" t="str">
        <f>"217058583                     "</f>
        <v xml:space="preserve">217058583  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4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1.9</v>
      </c>
      <c r="BJ563" s="2">
        <v>1.7</v>
      </c>
      <c r="BK563" s="2">
        <v>2</v>
      </c>
      <c r="BL563" s="2">
        <v>41.44</v>
      </c>
      <c r="BM563" s="2">
        <v>5.8</v>
      </c>
      <c r="BN563" s="2">
        <v>47.24</v>
      </c>
      <c r="BO563" s="2">
        <v>47.24</v>
      </c>
      <c r="BP563" s="2"/>
      <c r="BQ563" s="2" t="s">
        <v>83</v>
      </c>
      <c r="BR563" s="2" t="s">
        <v>84</v>
      </c>
      <c r="BS563" s="3">
        <v>42978</v>
      </c>
      <c r="BT563" s="4">
        <v>0.35416666666666669</v>
      </c>
      <c r="BU563" s="2" t="s">
        <v>1208</v>
      </c>
      <c r="BV563" s="2" t="s">
        <v>95</v>
      </c>
      <c r="BW563" s="2"/>
      <c r="BX563" s="2"/>
      <c r="BY563" s="2">
        <v>8422.83</v>
      </c>
      <c r="BZ563" s="2" t="s">
        <v>27</v>
      </c>
      <c r="CA563" s="2" t="s">
        <v>294</v>
      </c>
      <c r="CB563" s="2"/>
      <c r="CC563" s="2" t="s">
        <v>98</v>
      </c>
      <c r="CD563" s="2">
        <v>6001</v>
      </c>
      <c r="CE563" s="2" t="s">
        <v>89</v>
      </c>
      <c r="CF563" s="5">
        <v>42978</v>
      </c>
      <c r="CG563" s="2"/>
      <c r="CH563" s="2"/>
      <c r="CI563" s="2">
        <v>1</v>
      </c>
      <c r="CJ563" s="2">
        <v>1</v>
      </c>
      <c r="CK563" s="2">
        <v>21</v>
      </c>
      <c r="CL563" s="2" t="s">
        <v>86</v>
      </c>
      <c r="CM563" s="2"/>
    </row>
    <row r="564" spans="1:91">
      <c r="A564" s="2" t="s">
        <v>71</v>
      </c>
      <c r="B564" s="2" t="s">
        <v>72</v>
      </c>
      <c r="C564" s="2" t="s">
        <v>73</v>
      </c>
      <c r="D564" s="2"/>
      <c r="E564" s="2" t="str">
        <f>"FES1162572332"</f>
        <v>FES1162572332</v>
      </c>
      <c r="F564" s="3">
        <v>42977</v>
      </c>
      <c r="G564" s="2">
        <v>201802</v>
      </c>
      <c r="H564" s="2" t="s">
        <v>74</v>
      </c>
      <c r="I564" s="2" t="s">
        <v>75</v>
      </c>
      <c r="J564" s="2" t="s">
        <v>76</v>
      </c>
      <c r="K564" s="2" t="s">
        <v>77</v>
      </c>
      <c r="L564" s="2" t="s">
        <v>105</v>
      </c>
      <c r="M564" s="2" t="s">
        <v>106</v>
      </c>
      <c r="N564" s="2" t="s">
        <v>397</v>
      </c>
      <c r="O564" s="2" t="s">
        <v>100</v>
      </c>
      <c r="P564" s="2" t="str">
        <f>"2170587872                    "</f>
        <v xml:space="preserve">2170587872 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4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1</v>
      </c>
      <c r="BJ564" s="2">
        <v>0.2</v>
      </c>
      <c r="BK564" s="2">
        <v>1</v>
      </c>
      <c r="BL564" s="2">
        <v>41.44</v>
      </c>
      <c r="BM564" s="2">
        <v>5.8</v>
      </c>
      <c r="BN564" s="2">
        <v>47.24</v>
      </c>
      <c r="BO564" s="2">
        <v>47.24</v>
      </c>
      <c r="BP564" s="2"/>
      <c r="BQ564" s="2" t="s">
        <v>83</v>
      </c>
      <c r="BR564" s="2" t="s">
        <v>84</v>
      </c>
      <c r="BS564" s="3">
        <v>42978</v>
      </c>
      <c r="BT564" s="4">
        <v>0.3611111111111111</v>
      </c>
      <c r="BU564" s="2" t="s">
        <v>779</v>
      </c>
      <c r="BV564" s="2" t="s">
        <v>95</v>
      </c>
      <c r="BW564" s="2"/>
      <c r="BX564" s="2"/>
      <c r="BY564" s="2">
        <v>1200</v>
      </c>
      <c r="BZ564" s="2" t="s">
        <v>27</v>
      </c>
      <c r="CA564" s="2" t="s">
        <v>112</v>
      </c>
      <c r="CB564" s="2"/>
      <c r="CC564" s="2" t="s">
        <v>106</v>
      </c>
      <c r="CD564" s="2">
        <v>7405</v>
      </c>
      <c r="CE564" s="2" t="s">
        <v>104</v>
      </c>
      <c r="CF564" s="5">
        <v>42978</v>
      </c>
      <c r="CG564" s="2"/>
      <c r="CH564" s="2"/>
      <c r="CI564" s="2">
        <v>1</v>
      </c>
      <c r="CJ564" s="2">
        <v>1</v>
      </c>
      <c r="CK564" s="2">
        <v>21</v>
      </c>
      <c r="CL564" s="2" t="s">
        <v>86</v>
      </c>
      <c r="CM564" s="2"/>
    </row>
    <row r="565" spans="1:91">
      <c r="A565" s="2" t="s">
        <v>71</v>
      </c>
      <c r="B565" s="2" t="s">
        <v>72</v>
      </c>
      <c r="C565" s="2" t="s">
        <v>73</v>
      </c>
      <c r="D565" s="2"/>
      <c r="E565" s="2" t="str">
        <f>"FES1162572201"</f>
        <v>FES1162572201</v>
      </c>
      <c r="F565" s="3">
        <v>42977</v>
      </c>
      <c r="G565" s="2">
        <v>201802</v>
      </c>
      <c r="H565" s="2" t="s">
        <v>74</v>
      </c>
      <c r="I565" s="2" t="s">
        <v>75</v>
      </c>
      <c r="J565" s="2" t="s">
        <v>76</v>
      </c>
      <c r="K565" s="2" t="s">
        <v>77</v>
      </c>
      <c r="L565" s="2" t="s">
        <v>97</v>
      </c>
      <c r="M565" s="2" t="s">
        <v>98</v>
      </c>
      <c r="N565" s="2" t="s">
        <v>119</v>
      </c>
      <c r="O565" s="2" t="s">
        <v>100</v>
      </c>
      <c r="P565" s="2" t="str">
        <f>"2170587801                    "</f>
        <v xml:space="preserve">2170587801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4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1</v>
      </c>
      <c r="BJ565" s="2">
        <v>0.2</v>
      </c>
      <c r="BK565" s="2">
        <v>1</v>
      </c>
      <c r="BL565" s="2">
        <v>41.44</v>
      </c>
      <c r="BM565" s="2">
        <v>5.8</v>
      </c>
      <c r="BN565" s="2">
        <v>47.24</v>
      </c>
      <c r="BO565" s="2">
        <v>47.24</v>
      </c>
      <c r="BP565" s="2"/>
      <c r="BQ565" s="2" t="s">
        <v>108</v>
      </c>
      <c r="BR565" s="2" t="s">
        <v>84</v>
      </c>
      <c r="BS565" s="3">
        <v>42978</v>
      </c>
      <c r="BT565" s="4">
        <v>0.34027777777777773</v>
      </c>
      <c r="BU565" s="2" t="s">
        <v>1209</v>
      </c>
      <c r="BV565" s="2" t="s">
        <v>95</v>
      </c>
      <c r="BW565" s="2"/>
      <c r="BX565" s="2"/>
      <c r="BY565" s="2">
        <v>1200</v>
      </c>
      <c r="BZ565" s="2" t="s">
        <v>27</v>
      </c>
      <c r="CA565" s="2" t="s">
        <v>213</v>
      </c>
      <c r="CB565" s="2"/>
      <c r="CC565" s="2" t="s">
        <v>98</v>
      </c>
      <c r="CD565" s="2">
        <v>6001</v>
      </c>
      <c r="CE565" s="2" t="s">
        <v>104</v>
      </c>
      <c r="CF565" s="5">
        <v>42978</v>
      </c>
      <c r="CG565" s="2"/>
      <c r="CH565" s="2"/>
      <c r="CI565" s="2">
        <v>1</v>
      </c>
      <c r="CJ565" s="2">
        <v>1</v>
      </c>
      <c r="CK565" s="2">
        <v>21</v>
      </c>
      <c r="CL565" s="2" t="s">
        <v>86</v>
      </c>
      <c r="CM565" s="2"/>
    </row>
    <row r="566" spans="1:91">
      <c r="A566" s="2" t="s">
        <v>71</v>
      </c>
      <c r="B566" s="2" t="s">
        <v>72</v>
      </c>
      <c r="C566" s="2" t="s">
        <v>73</v>
      </c>
      <c r="D566" s="2"/>
      <c r="E566" s="2" t="str">
        <f>"FES1162572186"</f>
        <v>FES1162572186</v>
      </c>
      <c r="F566" s="3">
        <v>42977</v>
      </c>
      <c r="G566" s="2">
        <v>201802</v>
      </c>
      <c r="H566" s="2" t="s">
        <v>74</v>
      </c>
      <c r="I566" s="2" t="s">
        <v>75</v>
      </c>
      <c r="J566" s="2" t="s">
        <v>76</v>
      </c>
      <c r="K566" s="2" t="s">
        <v>77</v>
      </c>
      <c r="L566" s="2" t="s">
        <v>417</v>
      </c>
      <c r="M566" s="2" t="s">
        <v>417</v>
      </c>
      <c r="N566" s="2" t="s">
        <v>475</v>
      </c>
      <c r="O566" s="2" t="s">
        <v>100</v>
      </c>
      <c r="P566" s="2" t="str">
        <f>"2170585808                    "</f>
        <v xml:space="preserve">2170585808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4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1</v>
      </c>
      <c r="BJ566" s="2">
        <v>0.2</v>
      </c>
      <c r="BK566" s="2">
        <v>1</v>
      </c>
      <c r="BL566" s="2">
        <v>41.44</v>
      </c>
      <c r="BM566" s="2">
        <v>5.8</v>
      </c>
      <c r="BN566" s="2">
        <v>47.24</v>
      </c>
      <c r="BO566" s="2">
        <v>47.24</v>
      </c>
      <c r="BP566" s="2"/>
      <c r="BQ566" s="2" t="s">
        <v>108</v>
      </c>
      <c r="BR566" s="2" t="s">
        <v>84</v>
      </c>
      <c r="BS566" s="3">
        <v>42978</v>
      </c>
      <c r="BT566" s="4">
        <v>0.46388888888888885</v>
      </c>
      <c r="BU566" s="2" t="s">
        <v>1078</v>
      </c>
      <c r="BV566" s="2" t="s">
        <v>95</v>
      </c>
      <c r="BW566" s="2"/>
      <c r="BX566" s="2"/>
      <c r="BY566" s="2">
        <v>1200</v>
      </c>
      <c r="BZ566" s="2" t="s">
        <v>27</v>
      </c>
      <c r="CA566" s="2" t="s">
        <v>420</v>
      </c>
      <c r="CB566" s="2"/>
      <c r="CC566" s="2" t="s">
        <v>417</v>
      </c>
      <c r="CD566" s="2">
        <v>7646</v>
      </c>
      <c r="CE566" s="2" t="s">
        <v>104</v>
      </c>
      <c r="CF566" s="5">
        <v>42978</v>
      </c>
      <c r="CG566" s="2"/>
      <c r="CH566" s="2"/>
      <c r="CI566" s="2">
        <v>1</v>
      </c>
      <c r="CJ566" s="2">
        <v>1</v>
      </c>
      <c r="CK566" s="2">
        <v>21</v>
      </c>
      <c r="CL566" s="2" t="s">
        <v>86</v>
      </c>
      <c r="CM566" s="2"/>
    </row>
    <row r="567" spans="1:91">
      <c r="A567" s="2" t="s">
        <v>71</v>
      </c>
      <c r="B567" s="2" t="s">
        <v>72</v>
      </c>
      <c r="C567" s="2" t="s">
        <v>73</v>
      </c>
      <c r="D567" s="2"/>
      <c r="E567" s="2" t="str">
        <f>"FES1162572179"</f>
        <v>FES1162572179</v>
      </c>
      <c r="F567" s="3">
        <v>42977</v>
      </c>
      <c r="G567" s="2">
        <v>201802</v>
      </c>
      <c r="H567" s="2" t="s">
        <v>74</v>
      </c>
      <c r="I567" s="2" t="s">
        <v>75</v>
      </c>
      <c r="J567" s="2" t="s">
        <v>76</v>
      </c>
      <c r="K567" s="2" t="s">
        <v>77</v>
      </c>
      <c r="L567" s="2" t="s">
        <v>97</v>
      </c>
      <c r="M567" s="2" t="s">
        <v>98</v>
      </c>
      <c r="N567" s="2" t="s">
        <v>248</v>
      </c>
      <c r="O567" s="2" t="s">
        <v>100</v>
      </c>
      <c r="P567" s="2" t="str">
        <f>"2170579424                    "</f>
        <v xml:space="preserve">2170579424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4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1</v>
      </c>
      <c r="BJ567" s="2">
        <v>0.2</v>
      </c>
      <c r="BK567" s="2">
        <v>1</v>
      </c>
      <c r="BL567" s="2">
        <v>41.44</v>
      </c>
      <c r="BM567" s="2">
        <v>5.8</v>
      </c>
      <c r="BN567" s="2">
        <v>47.24</v>
      </c>
      <c r="BO567" s="2">
        <v>47.24</v>
      </c>
      <c r="BP567" s="2"/>
      <c r="BQ567" s="2" t="s">
        <v>83</v>
      </c>
      <c r="BR567" s="2" t="s">
        <v>84</v>
      </c>
      <c r="BS567" s="3">
        <v>42978</v>
      </c>
      <c r="BT567" s="4">
        <v>0.40416666666666662</v>
      </c>
      <c r="BU567" s="2" t="s">
        <v>390</v>
      </c>
      <c r="BV567" s="2" t="s">
        <v>95</v>
      </c>
      <c r="BW567" s="2"/>
      <c r="BX567" s="2"/>
      <c r="BY567" s="2">
        <v>1200</v>
      </c>
      <c r="BZ567" s="2" t="s">
        <v>27</v>
      </c>
      <c r="CA567" s="2" t="s">
        <v>294</v>
      </c>
      <c r="CB567" s="2"/>
      <c r="CC567" s="2" t="s">
        <v>98</v>
      </c>
      <c r="CD567" s="2">
        <v>6001</v>
      </c>
      <c r="CE567" s="2" t="s">
        <v>104</v>
      </c>
      <c r="CF567" s="5">
        <v>42978</v>
      </c>
      <c r="CG567" s="2"/>
      <c r="CH567" s="2"/>
      <c r="CI567" s="2">
        <v>1</v>
      </c>
      <c r="CJ567" s="2">
        <v>1</v>
      </c>
      <c r="CK567" s="2">
        <v>21</v>
      </c>
      <c r="CL567" s="2" t="s">
        <v>86</v>
      </c>
      <c r="CM567" s="2"/>
    </row>
    <row r="568" spans="1:91">
      <c r="A568" s="2" t="s">
        <v>71</v>
      </c>
      <c r="B568" s="2" t="s">
        <v>72</v>
      </c>
      <c r="C568" s="2" t="s">
        <v>73</v>
      </c>
      <c r="D568" s="2"/>
      <c r="E568" s="2" t="str">
        <f>"FES1162572191"</f>
        <v>FES1162572191</v>
      </c>
      <c r="F568" s="3">
        <v>42977</v>
      </c>
      <c r="G568" s="2">
        <v>201802</v>
      </c>
      <c r="H568" s="2" t="s">
        <v>74</v>
      </c>
      <c r="I568" s="2" t="s">
        <v>75</v>
      </c>
      <c r="J568" s="2" t="s">
        <v>76</v>
      </c>
      <c r="K568" s="2" t="s">
        <v>77</v>
      </c>
      <c r="L568" s="2" t="s">
        <v>97</v>
      </c>
      <c r="M568" s="2" t="s">
        <v>98</v>
      </c>
      <c r="N568" s="2" t="s">
        <v>1210</v>
      </c>
      <c r="O568" s="2" t="s">
        <v>100</v>
      </c>
      <c r="P568" s="2" t="str">
        <f>"2170586944                    "</f>
        <v xml:space="preserve">2170586944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4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1</v>
      </c>
      <c r="BJ568" s="2">
        <v>0.2</v>
      </c>
      <c r="BK568" s="2">
        <v>1</v>
      </c>
      <c r="BL568" s="2">
        <v>41.44</v>
      </c>
      <c r="BM568" s="2">
        <v>5.8</v>
      </c>
      <c r="BN568" s="2">
        <v>47.24</v>
      </c>
      <c r="BO568" s="2">
        <v>47.24</v>
      </c>
      <c r="BP568" s="2"/>
      <c r="BQ568" s="2" t="s">
        <v>108</v>
      </c>
      <c r="BR568" s="2" t="s">
        <v>84</v>
      </c>
      <c r="BS568" s="3">
        <v>42978</v>
      </c>
      <c r="BT568" s="4">
        <v>0.29652777777777778</v>
      </c>
      <c r="BU568" s="2" t="s">
        <v>1211</v>
      </c>
      <c r="BV568" s="2" t="s">
        <v>95</v>
      </c>
      <c r="BW568" s="2"/>
      <c r="BX568" s="2"/>
      <c r="BY568" s="2">
        <v>1200</v>
      </c>
      <c r="BZ568" s="2" t="s">
        <v>27</v>
      </c>
      <c r="CA568" s="2" t="s">
        <v>294</v>
      </c>
      <c r="CB568" s="2"/>
      <c r="CC568" s="2" t="s">
        <v>98</v>
      </c>
      <c r="CD568" s="2">
        <v>6012</v>
      </c>
      <c r="CE568" s="2" t="s">
        <v>104</v>
      </c>
      <c r="CF568" s="5">
        <v>42978</v>
      </c>
      <c r="CG568" s="2"/>
      <c r="CH568" s="2"/>
      <c r="CI568" s="2">
        <v>1</v>
      </c>
      <c r="CJ568" s="2">
        <v>1</v>
      </c>
      <c r="CK568" s="2">
        <v>21</v>
      </c>
      <c r="CL568" s="2" t="s">
        <v>86</v>
      </c>
      <c r="CM568" s="2"/>
    </row>
    <row r="569" spans="1:91">
      <c r="A569" s="2" t="s">
        <v>71</v>
      </c>
      <c r="B569" s="2" t="s">
        <v>72</v>
      </c>
      <c r="C569" s="2" t="s">
        <v>73</v>
      </c>
      <c r="D569" s="2"/>
      <c r="E569" s="2" t="str">
        <f>"FES1162572284"</f>
        <v>FES1162572284</v>
      </c>
      <c r="F569" s="3">
        <v>42977</v>
      </c>
      <c r="G569" s="2">
        <v>201802</v>
      </c>
      <c r="H569" s="2" t="s">
        <v>74</v>
      </c>
      <c r="I569" s="2" t="s">
        <v>75</v>
      </c>
      <c r="J569" s="2" t="s">
        <v>76</v>
      </c>
      <c r="K569" s="2" t="s">
        <v>77</v>
      </c>
      <c r="L569" s="2" t="s">
        <v>97</v>
      </c>
      <c r="M569" s="2" t="s">
        <v>98</v>
      </c>
      <c r="N569" s="2" t="s">
        <v>1212</v>
      </c>
      <c r="O569" s="2" t="s">
        <v>100</v>
      </c>
      <c r="P569" s="2" t="str">
        <f>"2170584941                    "</f>
        <v xml:space="preserve">2170584941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26.02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12.8</v>
      </c>
      <c r="BJ569" s="2">
        <v>3.3</v>
      </c>
      <c r="BK569" s="2">
        <v>13</v>
      </c>
      <c r="BL569" s="2">
        <v>269.38</v>
      </c>
      <c r="BM569" s="2">
        <v>37.71</v>
      </c>
      <c r="BN569" s="2">
        <v>307.08999999999997</v>
      </c>
      <c r="BO569" s="2">
        <v>307.08999999999997</v>
      </c>
      <c r="BP569" s="2"/>
      <c r="BQ569" s="2" t="s">
        <v>108</v>
      </c>
      <c r="BR569" s="2" t="s">
        <v>84</v>
      </c>
      <c r="BS569" s="3">
        <v>42978</v>
      </c>
      <c r="BT569" s="4">
        <v>0.31527777777777777</v>
      </c>
      <c r="BU569" s="2" t="s">
        <v>1213</v>
      </c>
      <c r="BV569" s="2" t="s">
        <v>95</v>
      </c>
      <c r="BW569" s="2"/>
      <c r="BX569" s="2"/>
      <c r="BY569" s="2">
        <v>16591.009999999998</v>
      </c>
      <c r="BZ569" s="2" t="s">
        <v>27</v>
      </c>
      <c r="CA569" s="2" t="s">
        <v>213</v>
      </c>
      <c r="CB569" s="2"/>
      <c r="CC569" s="2" t="s">
        <v>98</v>
      </c>
      <c r="CD569" s="2">
        <v>6001</v>
      </c>
      <c r="CE569" s="2" t="s">
        <v>135</v>
      </c>
      <c r="CF569" s="5">
        <v>42978</v>
      </c>
      <c r="CG569" s="2"/>
      <c r="CH569" s="2"/>
      <c r="CI569" s="2">
        <v>1</v>
      </c>
      <c r="CJ569" s="2">
        <v>1</v>
      </c>
      <c r="CK569" s="2">
        <v>21</v>
      </c>
      <c r="CL569" s="2" t="s">
        <v>86</v>
      </c>
      <c r="CM569" s="2"/>
    </row>
    <row r="570" spans="1:91">
      <c r="A570" s="2" t="s">
        <v>71</v>
      </c>
      <c r="B570" s="2" t="s">
        <v>72</v>
      </c>
      <c r="C570" s="2" t="s">
        <v>73</v>
      </c>
      <c r="D570" s="2"/>
      <c r="E570" s="2" t="str">
        <f>"FES1162572299"</f>
        <v>FES1162572299</v>
      </c>
      <c r="F570" s="3">
        <v>42977</v>
      </c>
      <c r="G570" s="2">
        <v>201802</v>
      </c>
      <c r="H570" s="2" t="s">
        <v>74</v>
      </c>
      <c r="I570" s="2" t="s">
        <v>75</v>
      </c>
      <c r="J570" s="2" t="s">
        <v>76</v>
      </c>
      <c r="K570" s="2" t="s">
        <v>77</v>
      </c>
      <c r="L570" s="2" t="s">
        <v>97</v>
      </c>
      <c r="M570" s="2" t="s">
        <v>98</v>
      </c>
      <c r="N570" s="2" t="s">
        <v>292</v>
      </c>
      <c r="O570" s="2" t="s">
        <v>100</v>
      </c>
      <c r="P570" s="2" t="str">
        <f>"2170585123                    "</f>
        <v xml:space="preserve">2170585123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4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1</v>
      </c>
      <c r="BJ570" s="2">
        <v>0.2</v>
      </c>
      <c r="BK570" s="2">
        <v>1</v>
      </c>
      <c r="BL570" s="2">
        <v>41.44</v>
      </c>
      <c r="BM570" s="2">
        <v>5.8</v>
      </c>
      <c r="BN570" s="2">
        <v>47.24</v>
      </c>
      <c r="BO570" s="2">
        <v>47.24</v>
      </c>
      <c r="BP570" s="2"/>
      <c r="BQ570" s="2" t="s">
        <v>83</v>
      </c>
      <c r="BR570" s="2" t="s">
        <v>84</v>
      </c>
      <c r="BS570" s="3">
        <v>42978</v>
      </c>
      <c r="BT570" s="4">
        <v>0.45833333333333331</v>
      </c>
      <c r="BU570" s="2" t="s">
        <v>293</v>
      </c>
      <c r="BV570" s="2" t="s">
        <v>86</v>
      </c>
      <c r="BW570" s="2" t="s">
        <v>115</v>
      </c>
      <c r="BX570" s="2" t="s">
        <v>1028</v>
      </c>
      <c r="BY570" s="2">
        <v>1200</v>
      </c>
      <c r="BZ570" s="2" t="s">
        <v>27</v>
      </c>
      <c r="CA570" s="2" t="s">
        <v>294</v>
      </c>
      <c r="CB570" s="2"/>
      <c r="CC570" s="2" t="s">
        <v>98</v>
      </c>
      <c r="CD570" s="2">
        <v>6001</v>
      </c>
      <c r="CE570" s="2" t="s">
        <v>104</v>
      </c>
      <c r="CF570" s="5">
        <v>42978</v>
      </c>
      <c r="CG570" s="2"/>
      <c r="CH570" s="2"/>
      <c r="CI570" s="2">
        <v>1</v>
      </c>
      <c r="CJ570" s="2">
        <v>1</v>
      </c>
      <c r="CK570" s="2">
        <v>21</v>
      </c>
      <c r="CL570" s="2" t="s">
        <v>86</v>
      </c>
      <c r="CM570" s="2"/>
    </row>
    <row r="571" spans="1:91">
      <c r="A571" s="2" t="s">
        <v>71</v>
      </c>
      <c r="B571" s="2" t="s">
        <v>72</v>
      </c>
      <c r="C571" s="2" t="s">
        <v>73</v>
      </c>
      <c r="D571" s="2"/>
      <c r="E571" s="2" t="str">
        <f>"FES1162572326"</f>
        <v>FES1162572326</v>
      </c>
      <c r="F571" s="3">
        <v>42977</v>
      </c>
      <c r="G571" s="2">
        <v>201802</v>
      </c>
      <c r="H571" s="2" t="s">
        <v>74</v>
      </c>
      <c r="I571" s="2" t="s">
        <v>75</v>
      </c>
      <c r="J571" s="2" t="s">
        <v>76</v>
      </c>
      <c r="K571" s="2" t="s">
        <v>77</v>
      </c>
      <c r="L571" s="2" t="s">
        <v>97</v>
      </c>
      <c r="M571" s="2" t="s">
        <v>98</v>
      </c>
      <c r="N571" s="2" t="s">
        <v>1214</v>
      </c>
      <c r="O571" s="2" t="s">
        <v>100</v>
      </c>
      <c r="P571" s="2" t="str">
        <f>"2170587585                    "</f>
        <v xml:space="preserve">2170587585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4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1</v>
      </c>
      <c r="BJ571" s="2">
        <v>0.2</v>
      </c>
      <c r="BK571" s="2">
        <v>1</v>
      </c>
      <c r="BL571" s="2">
        <v>41.44</v>
      </c>
      <c r="BM571" s="2">
        <v>5.8</v>
      </c>
      <c r="BN571" s="2">
        <v>47.24</v>
      </c>
      <c r="BO571" s="2">
        <v>47.24</v>
      </c>
      <c r="BP571" s="2"/>
      <c r="BQ571" s="2" t="s">
        <v>108</v>
      </c>
      <c r="BR571" s="2" t="s">
        <v>84</v>
      </c>
      <c r="BS571" s="3">
        <v>42978</v>
      </c>
      <c r="BT571" s="4">
        <v>0.35902777777777778</v>
      </c>
      <c r="BU571" s="2" t="s">
        <v>1215</v>
      </c>
      <c r="BV571" s="2" t="s">
        <v>95</v>
      </c>
      <c r="BW571" s="2"/>
      <c r="BX571" s="2"/>
      <c r="BY571" s="2">
        <v>1200</v>
      </c>
      <c r="BZ571" s="2" t="s">
        <v>27</v>
      </c>
      <c r="CA571" s="2" t="s">
        <v>213</v>
      </c>
      <c r="CB571" s="2"/>
      <c r="CC571" s="2" t="s">
        <v>98</v>
      </c>
      <c r="CD571" s="2">
        <v>6001</v>
      </c>
      <c r="CE571" s="2" t="s">
        <v>104</v>
      </c>
      <c r="CF571" s="5">
        <v>42978</v>
      </c>
      <c r="CG571" s="2"/>
      <c r="CH571" s="2"/>
      <c r="CI571" s="2">
        <v>1</v>
      </c>
      <c r="CJ571" s="2">
        <v>1</v>
      </c>
      <c r="CK571" s="2">
        <v>21</v>
      </c>
      <c r="CL571" s="2" t="s">
        <v>86</v>
      </c>
      <c r="CM571" s="2"/>
    </row>
    <row r="572" spans="1:91">
      <c r="A572" s="2" t="s">
        <v>71</v>
      </c>
      <c r="B572" s="2" t="s">
        <v>72</v>
      </c>
      <c r="C572" s="2" t="s">
        <v>73</v>
      </c>
      <c r="D572" s="2"/>
      <c r="E572" s="2" t="str">
        <f>"FES1162572314"</f>
        <v>FES1162572314</v>
      </c>
      <c r="F572" s="3">
        <v>42977</v>
      </c>
      <c r="G572" s="2">
        <v>201802</v>
      </c>
      <c r="H572" s="2" t="s">
        <v>74</v>
      </c>
      <c r="I572" s="2" t="s">
        <v>75</v>
      </c>
      <c r="J572" s="2" t="s">
        <v>76</v>
      </c>
      <c r="K572" s="2" t="s">
        <v>77</v>
      </c>
      <c r="L572" s="2" t="s">
        <v>170</v>
      </c>
      <c r="M572" s="2" t="s">
        <v>171</v>
      </c>
      <c r="N572" s="2" t="s">
        <v>821</v>
      </c>
      <c r="O572" s="2" t="s">
        <v>100</v>
      </c>
      <c r="P572" s="2" t="str">
        <f>"2170587307                    "</f>
        <v xml:space="preserve">2170587307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3.13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1</v>
      </c>
      <c r="BJ572" s="2">
        <v>0.2</v>
      </c>
      <c r="BK572" s="2">
        <v>1</v>
      </c>
      <c r="BL572" s="2">
        <v>32.380000000000003</v>
      </c>
      <c r="BM572" s="2">
        <v>4.53</v>
      </c>
      <c r="BN572" s="2">
        <v>36.909999999999997</v>
      </c>
      <c r="BO572" s="2">
        <v>36.909999999999997</v>
      </c>
      <c r="BP572" s="2"/>
      <c r="BQ572" s="2" t="s">
        <v>1216</v>
      </c>
      <c r="BR572" s="2" t="s">
        <v>84</v>
      </c>
      <c r="BS572" s="3">
        <v>42978</v>
      </c>
      <c r="BT572" s="4">
        <v>0.36805555555555558</v>
      </c>
      <c r="BU572" s="2" t="s">
        <v>739</v>
      </c>
      <c r="BV572" s="2" t="s">
        <v>95</v>
      </c>
      <c r="BW572" s="2"/>
      <c r="BX572" s="2"/>
      <c r="BY572" s="2">
        <v>1200</v>
      </c>
      <c r="BZ572" s="2" t="s">
        <v>27</v>
      </c>
      <c r="CA572" s="2" t="s">
        <v>1217</v>
      </c>
      <c r="CB572" s="2"/>
      <c r="CC572" s="2" t="s">
        <v>171</v>
      </c>
      <c r="CD572" s="2">
        <v>1422</v>
      </c>
      <c r="CE572" s="2" t="s">
        <v>104</v>
      </c>
      <c r="CF572" s="2"/>
      <c r="CG572" s="2"/>
      <c r="CH572" s="2"/>
      <c r="CI572" s="2">
        <v>1</v>
      </c>
      <c r="CJ572" s="2">
        <v>1</v>
      </c>
      <c r="CK572" s="2">
        <v>22</v>
      </c>
      <c r="CL572" s="2" t="s">
        <v>86</v>
      </c>
      <c r="CM572" s="2"/>
    </row>
    <row r="573" spans="1:91">
      <c r="A573" s="2" t="s">
        <v>71</v>
      </c>
      <c r="B573" s="2" t="s">
        <v>72</v>
      </c>
      <c r="C573" s="2" t="s">
        <v>73</v>
      </c>
      <c r="D573" s="2"/>
      <c r="E573" s="2" t="str">
        <f>"FES1162572325"</f>
        <v>FES1162572325</v>
      </c>
      <c r="F573" s="3">
        <v>42977</v>
      </c>
      <c r="G573" s="2">
        <v>201802</v>
      </c>
      <c r="H573" s="2" t="s">
        <v>74</v>
      </c>
      <c r="I573" s="2" t="s">
        <v>75</v>
      </c>
      <c r="J573" s="2" t="s">
        <v>76</v>
      </c>
      <c r="K573" s="2" t="s">
        <v>77</v>
      </c>
      <c r="L573" s="2" t="s">
        <v>97</v>
      </c>
      <c r="M573" s="2" t="s">
        <v>98</v>
      </c>
      <c r="N573" s="2" t="s">
        <v>119</v>
      </c>
      <c r="O573" s="2" t="s">
        <v>100</v>
      </c>
      <c r="P573" s="2" t="str">
        <f>"2170585255                    "</f>
        <v xml:space="preserve">2170585255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4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1</v>
      </c>
      <c r="BI573" s="2">
        <v>1</v>
      </c>
      <c r="BJ573" s="2">
        <v>0.2</v>
      </c>
      <c r="BK573" s="2">
        <v>1</v>
      </c>
      <c r="BL573" s="2">
        <v>41.44</v>
      </c>
      <c r="BM573" s="2">
        <v>5.8</v>
      </c>
      <c r="BN573" s="2">
        <v>47.24</v>
      </c>
      <c r="BO573" s="2">
        <v>47.24</v>
      </c>
      <c r="BP573" s="2"/>
      <c r="BQ573" s="2" t="s">
        <v>108</v>
      </c>
      <c r="BR573" s="2" t="s">
        <v>84</v>
      </c>
      <c r="BS573" s="3">
        <v>42978</v>
      </c>
      <c r="BT573" s="4">
        <v>0.34236111111111112</v>
      </c>
      <c r="BU573" s="2" t="s">
        <v>1209</v>
      </c>
      <c r="BV573" s="2" t="s">
        <v>95</v>
      </c>
      <c r="BW573" s="2"/>
      <c r="BX573" s="2"/>
      <c r="BY573" s="2">
        <v>1200</v>
      </c>
      <c r="BZ573" s="2" t="s">
        <v>27</v>
      </c>
      <c r="CA573" s="2" t="s">
        <v>213</v>
      </c>
      <c r="CB573" s="2"/>
      <c r="CC573" s="2" t="s">
        <v>98</v>
      </c>
      <c r="CD573" s="2">
        <v>6001</v>
      </c>
      <c r="CE573" s="2" t="s">
        <v>104</v>
      </c>
      <c r="CF573" s="5">
        <v>42978</v>
      </c>
      <c r="CG573" s="2"/>
      <c r="CH573" s="2"/>
      <c r="CI573" s="2">
        <v>1</v>
      </c>
      <c r="CJ573" s="2">
        <v>1</v>
      </c>
      <c r="CK573" s="2">
        <v>21</v>
      </c>
      <c r="CL573" s="2" t="s">
        <v>86</v>
      </c>
      <c r="CM573" s="2"/>
    </row>
    <row r="574" spans="1:91">
      <c r="A574" s="2" t="s">
        <v>71</v>
      </c>
      <c r="B574" s="2" t="s">
        <v>72</v>
      </c>
      <c r="C574" s="2" t="s">
        <v>73</v>
      </c>
      <c r="D574" s="2"/>
      <c r="E574" s="2" t="str">
        <f>"FES1162572232"</f>
        <v>FES1162572232</v>
      </c>
      <c r="F574" s="3">
        <v>42977</v>
      </c>
      <c r="G574" s="2">
        <v>201802</v>
      </c>
      <c r="H574" s="2" t="s">
        <v>74</v>
      </c>
      <c r="I574" s="2" t="s">
        <v>75</v>
      </c>
      <c r="J574" s="2" t="s">
        <v>76</v>
      </c>
      <c r="K574" s="2" t="s">
        <v>77</v>
      </c>
      <c r="L574" s="2" t="s">
        <v>174</v>
      </c>
      <c r="M574" s="2" t="s">
        <v>175</v>
      </c>
      <c r="N574" s="2" t="s">
        <v>920</v>
      </c>
      <c r="O574" s="2" t="s">
        <v>100</v>
      </c>
      <c r="P574" s="2" t="str">
        <f>"2170585740                    "</f>
        <v xml:space="preserve">2170585740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4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1</v>
      </c>
      <c r="BJ574" s="2">
        <v>0.2</v>
      </c>
      <c r="BK574" s="2">
        <v>1</v>
      </c>
      <c r="BL574" s="2">
        <v>41.44</v>
      </c>
      <c r="BM574" s="2">
        <v>5.8</v>
      </c>
      <c r="BN574" s="2">
        <v>47.24</v>
      </c>
      <c r="BO574" s="2">
        <v>47.24</v>
      </c>
      <c r="BP574" s="2"/>
      <c r="BQ574" s="2" t="s">
        <v>108</v>
      </c>
      <c r="BR574" s="2" t="s">
        <v>84</v>
      </c>
      <c r="BS574" s="3">
        <v>42978</v>
      </c>
      <c r="BT574" s="4">
        <v>0.42708333333333331</v>
      </c>
      <c r="BU574" s="2" t="s">
        <v>1218</v>
      </c>
      <c r="BV574" s="2" t="s">
        <v>95</v>
      </c>
      <c r="BW574" s="2"/>
      <c r="BX574" s="2"/>
      <c r="BY574" s="2">
        <v>1200</v>
      </c>
      <c r="BZ574" s="2" t="s">
        <v>27</v>
      </c>
      <c r="CA574" s="2"/>
      <c r="CB574" s="2"/>
      <c r="CC574" s="2" t="s">
        <v>175</v>
      </c>
      <c r="CD574" s="2">
        <v>5201</v>
      </c>
      <c r="CE574" s="2" t="s">
        <v>104</v>
      </c>
      <c r="CF574" s="2"/>
      <c r="CG574" s="2"/>
      <c r="CH574" s="2"/>
      <c r="CI574" s="2">
        <v>1</v>
      </c>
      <c r="CJ574" s="2">
        <v>1</v>
      </c>
      <c r="CK574" s="2">
        <v>21</v>
      </c>
      <c r="CL574" s="2" t="s">
        <v>86</v>
      </c>
      <c r="CM574" s="2"/>
    </row>
    <row r="575" spans="1:91">
      <c r="A575" s="2" t="s">
        <v>71</v>
      </c>
      <c r="B575" s="2" t="s">
        <v>72</v>
      </c>
      <c r="C575" s="2" t="s">
        <v>73</v>
      </c>
      <c r="D575" s="2"/>
      <c r="E575" s="2" t="str">
        <f>"FES1162572365"</f>
        <v>FES1162572365</v>
      </c>
      <c r="F575" s="3">
        <v>42977</v>
      </c>
      <c r="G575" s="2">
        <v>201802</v>
      </c>
      <c r="H575" s="2" t="s">
        <v>74</v>
      </c>
      <c r="I575" s="2" t="s">
        <v>75</v>
      </c>
      <c r="J575" s="2" t="s">
        <v>76</v>
      </c>
      <c r="K575" s="2" t="s">
        <v>77</v>
      </c>
      <c r="L575" s="2" t="s">
        <v>105</v>
      </c>
      <c r="M575" s="2" t="s">
        <v>106</v>
      </c>
      <c r="N575" s="2" t="s">
        <v>253</v>
      </c>
      <c r="O575" s="2" t="s">
        <v>100</v>
      </c>
      <c r="P575" s="2" t="str">
        <f>"2170587910                    "</f>
        <v xml:space="preserve">2170587910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4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1</v>
      </c>
      <c r="BI575" s="2">
        <v>1</v>
      </c>
      <c r="BJ575" s="2">
        <v>0.2</v>
      </c>
      <c r="BK575" s="2">
        <v>1</v>
      </c>
      <c r="BL575" s="2">
        <v>41.44</v>
      </c>
      <c r="BM575" s="2">
        <v>5.8</v>
      </c>
      <c r="BN575" s="2">
        <v>47.24</v>
      </c>
      <c r="BO575" s="2">
        <v>47.24</v>
      </c>
      <c r="BP575" s="2"/>
      <c r="BQ575" s="2" t="s">
        <v>108</v>
      </c>
      <c r="BR575" s="2" t="s">
        <v>84</v>
      </c>
      <c r="BS575" s="3">
        <v>42978</v>
      </c>
      <c r="BT575" s="4">
        <v>0.36944444444444446</v>
      </c>
      <c r="BU575" s="2" t="s">
        <v>1074</v>
      </c>
      <c r="BV575" s="2" t="s">
        <v>95</v>
      </c>
      <c r="BW575" s="2"/>
      <c r="BX575" s="2"/>
      <c r="BY575" s="2">
        <v>1200</v>
      </c>
      <c r="BZ575" s="2" t="s">
        <v>27</v>
      </c>
      <c r="CA575" s="2" t="s">
        <v>654</v>
      </c>
      <c r="CB575" s="2"/>
      <c r="CC575" s="2" t="s">
        <v>106</v>
      </c>
      <c r="CD575" s="2">
        <v>7490</v>
      </c>
      <c r="CE575" s="2" t="s">
        <v>104</v>
      </c>
      <c r="CF575" s="5">
        <v>42978</v>
      </c>
      <c r="CG575" s="2"/>
      <c r="CH575" s="2"/>
      <c r="CI575" s="2">
        <v>1</v>
      </c>
      <c r="CJ575" s="2">
        <v>1</v>
      </c>
      <c r="CK575" s="2">
        <v>21</v>
      </c>
      <c r="CL575" s="2" t="s">
        <v>86</v>
      </c>
      <c r="CM575" s="2"/>
    </row>
    <row r="576" spans="1:91">
      <c r="A576" s="2" t="s">
        <v>71</v>
      </c>
      <c r="B576" s="2" t="s">
        <v>72</v>
      </c>
      <c r="C576" s="2" t="s">
        <v>73</v>
      </c>
      <c r="D576" s="2"/>
      <c r="E576" s="2" t="str">
        <f>"FES1162572204"</f>
        <v>FES1162572204</v>
      </c>
      <c r="F576" s="3">
        <v>42977</v>
      </c>
      <c r="G576" s="2">
        <v>201802</v>
      </c>
      <c r="H576" s="2" t="s">
        <v>74</v>
      </c>
      <c r="I576" s="2" t="s">
        <v>75</v>
      </c>
      <c r="J576" s="2" t="s">
        <v>76</v>
      </c>
      <c r="K576" s="2" t="s">
        <v>77</v>
      </c>
      <c r="L576" s="2" t="s">
        <v>170</v>
      </c>
      <c r="M576" s="2" t="s">
        <v>171</v>
      </c>
      <c r="N576" s="2" t="s">
        <v>1219</v>
      </c>
      <c r="O576" s="2" t="s">
        <v>100</v>
      </c>
      <c r="P576" s="2" t="str">
        <f>"2170587806                    "</f>
        <v xml:space="preserve">2170587806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3.13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1</v>
      </c>
      <c r="BJ576" s="2">
        <v>0.2</v>
      </c>
      <c r="BK576" s="2">
        <v>1</v>
      </c>
      <c r="BL576" s="2">
        <v>32.380000000000003</v>
      </c>
      <c r="BM576" s="2">
        <v>4.53</v>
      </c>
      <c r="BN576" s="2">
        <v>36.909999999999997</v>
      </c>
      <c r="BO576" s="2">
        <v>36.909999999999997</v>
      </c>
      <c r="BP576" s="2"/>
      <c r="BQ576" s="2" t="s">
        <v>108</v>
      </c>
      <c r="BR576" s="2" t="s">
        <v>84</v>
      </c>
      <c r="BS576" s="3">
        <v>42978</v>
      </c>
      <c r="BT576" s="4">
        <v>0.43541666666666662</v>
      </c>
      <c r="BU576" s="2" t="s">
        <v>1220</v>
      </c>
      <c r="BV576" s="2" t="s">
        <v>95</v>
      </c>
      <c r="BW576" s="2"/>
      <c r="BX576" s="2"/>
      <c r="BY576" s="2">
        <v>1200</v>
      </c>
      <c r="BZ576" s="2" t="s">
        <v>27</v>
      </c>
      <c r="CA576" s="2" t="s">
        <v>1217</v>
      </c>
      <c r="CB576" s="2"/>
      <c r="CC576" s="2" t="s">
        <v>171</v>
      </c>
      <c r="CD576" s="2">
        <v>1428</v>
      </c>
      <c r="CE576" s="2" t="s">
        <v>104</v>
      </c>
      <c r="CF576" s="2"/>
      <c r="CG576" s="2"/>
      <c r="CH576" s="2"/>
      <c r="CI576" s="2">
        <v>1</v>
      </c>
      <c r="CJ576" s="2">
        <v>1</v>
      </c>
      <c r="CK576" s="2">
        <v>22</v>
      </c>
      <c r="CL576" s="2" t="s">
        <v>86</v>
      </c>
      <c r="CM576" s="2"/>
    </row>
    <row r="577" spans="1:91">
      <c r="A577" s="2" t="s">
        <v>71</v>
      </c>
      <c r="B577" s="2" t="s">
        <v>72</v>
      </c>
      <c r="C577" s="2" t="s">
        <v>73</v>
      </c>
      <c r="D577" s="2"/>
      <c r="E577" s="2" t="str">
        <f>"FES1162572310"</f>
        <v>FES1162572310</v>
      </c>
      <c r="F577" s="3">
        <v>42977</v>
      </c>
      <c r="G577" s="2">
        <v>201802</v>
      </c>
      <c r="H577" s="2" t="s">
        <v>74</v>
      </c>
      <c r="I577" s="2" t="s">
        <v>75</v>
      </c>
      <c r="J577" s="2" t="s">
        <v>76</v>
      </c>
      <c r="K577" s="2" t="s">
        <v>77</v>
      </c>
      <c r="L577" s="2" t="s">
        <v>1221</v>
      </c>
      <c r="M577" s="2" t="s">
        <v>1222</v>
      </c>
      <c r="N577" s="2" t="s">
        <v>1223</v>
      </c>
      <c r="O577" s="2" t="s">
        <v>100</v>
      </c>
      <c r="P577" s="2" t="str">
        <f>"2170586207                    "</f>
        <v xml:space="preserve">2170586207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7.75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1</v>
      </c>
      <c r="BJ577" s="2">
        <v>0.2</v>
      </c>
      <c r="BK577" s="2">
        <v>1</v>
      </c>
      <c r="BL577" s="2">
        <v>80.290000000000006</v>
      </c>
      <c r="BM577" s="2">
        <v>11.24</v>
      </c>
      <c r="BN577" s="2">
        <v>91.53</v>
      </c>
      <c r="BO577" s="2">
        <v>91.53</v>
      </c>
      <c r="BP577" s="2"/>
      <c r="BQ577" s="2" t="s">
        <v>83</v>
      </c>
      <c r="BR577" s="2" t="s">
        <v>84</v>
      </c>
      <c r="BS577" s="3">
        <v>42978</v>
      </c>
      <c r="BT577" s="4">
        <v>0.58888888888888891</v>
      </c>
      <c r="BU577" s="2" t="s">
        <v>1224</v>
      </c>
      <c r="BV577" s="2" t="s">
        <v>95</v>
      </c>
      <c r="BW577" s="2"/>
      <c r="BX577" s="2"/>
      <c r="BY577" s="2">
        <v>1200</v>
      </c>
      <c r="BZ577" s="2" t="s">
        <v>27</v>
      </c>
      <c r="CA577" s="2"/>
      <c r="CB577" s="2"/>
      <c r="CC577" s="2" t="s">
        <v>1222</v>
      </c>
      <c r="CD577" s="2">
        <v>5850</v>
      </c>
      <c r="CE577" s="2" t="s">
        <v>104</v>
      </c>
      <c r="CF577" s="2"/>
      <c r="CG577" s="2"/>
      <c r="CH577" s="2"/>
      <c r="CI577" s="2">
        <v>3</v>
      </c>
      <c r="CJ577" s="2">
        <v>1</v>
      </c>
      <c r="CK577" s="2">
        <v>23</v>
      </c>
      <c r="CL577" s="2" t="s">
        <v>86</v>
      </c>
      <c r="CM577" s="2"/>
    </row>
    <row r="578" spans="1:91">
      <c r="A578" s="2" t="s">
        <v>71</v>
      </c>
      <c r="B578" s="2" t="s">
        <v>72</v>
      </c>
      <c r="C578" s="2" t="s">
        <v>73</v>
      </c>
      <c r="D578" s="2"/>
      <c r="E578" s="2" t="str">
        <f>"FES1162572121"</f>
        <v>FES1162572121</v>
      </c>
      <c r="F578" s="3">
        <v>42977</v>
      </c>
      <c r="G578" s="2">
        <v>201802</v>
      </c>
      <c r="H578" s="2" t="s">
        <v>74</v>
      </c>
      <c r="I578" s="2" t="s">
        <v>75</v>
      </c>
      <c r="J578" s="2" t="s">
        <v>76</v>
      </c>
      <c r="K578" s="2" t="s">
        <v>77</v>
      </c>
      <c r="L578" s="2" t="s">
        <v>343</v>
      </c>
      <c r="M578" s="2" t="s">
        <v>344</v>
      </c>
      <c r="N578" s="2" t="s">
        <v>1225</v>
      </c>
      <c r="O578" s="2" t="s">
        <v>100</v>
      </c>
      <c r="P578" s="2" t="str">
        <f>"2170582183                    "</f>
        <v xml:space="preserve">2170582183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10.01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4.5999999999999996</v>
      </c>
      <c r="BJ578" s="2">
        <v>4.5</v>
      </c>
      <c r="BK578" s="2">
        <v>5</v>
      </c>
      <c r="BL578" s="2">
        <v>103.61</v>
      </c>
      <c r="BM578" s="2">
        <v>14.51</v>
      </c>
      <c r="BN578" s="2">
        <v>118.12</v>
      </c>
      <c r="BO578" s="2">
        <v>118.12</v>
      </c>
      <c r="BP578" s="2"/>
      <c r="BQ578" s="2" t="s">
        <v>108</v>
      </c>
      <c r="BR578" s="2" t="s">
        <v>84</v>
      </c>
      <c r="BS578" s="3">
        <v>42978</v>
      </c>
      <c r="BT578" s="4">
        <v>0.4375</v>
      </c>
      <c r="BU578" s="2" t="s">
        <v>1226</v>
      </c>
      <c r="BV578" s="2" t="s">
        <v>95</v>
      </c>
      <c r="BW578" s="2"/>
      <c r="BX578" s="2"/>
      <c r="BY578" s="2">
        <v>22344.18</v>
      </c>
      <c r="BZ578" s="2" t="s">
        <v>27</v>
      </c>
      <c r="CA578" s="2" t="s">
        <v>347</v>
      </c>
      <c r="CB578" s="2"/>
      <c r="CC578" s="2" t="s">
        <v>344</v>
      </c>
      <c r="CD578" s="2">
        <v>4115</v>
      </c>
      <c r="CE578" s="2" t="s">
        <v>135</v>
      </c>
      <c r="CF578" s="2"/>
      <c r="CG578" s="2"/>
      <c r="CH578" s="2"/>
      <c r="CI578" s="2">
        <v>1</v>
      </c>
      <c r="CJ578" s="2">
        <v>1</v>
      </c>
      <c r="CK578" s="2">
        <v>21</v>
      </c>
      <c r="CL578" s="2" t="s">
        <v>86</v>
      </c>
      <c r="CM578" s="2"/>
    </row>
    <row r="579" spans="1:91">
      <c r="A579" s="2" t="s">
        <v>71</v>
      </c>
      <c r="B579" s="2" t="s">
        <v>72</v>
      </c>
      <c r="C579" s="2" t="s">
        <v>73</v>
      </c>
      <c r="D579" s="2"/>
      <c r="E579" s="2" t="str">
        <f>"FES1162572182"</f>
        <v>FES1162572182</v>
      </c>
      <c r="F579" s="3">
        <v>42977</v>
      </c>
      <c r="G579" s="2">
        <v>201802</v>
      </c>
      <c r="H579" s="2" t="s">
        <v>74</v>
      </c>
      <c r="I579" s="2" t="s">
        <v>75</v>
      </c>
      <c r="J579" s="2" t="s">
        <v>76</v>
      </c>
      <c r="K579" s="2" t="s">
        <v>77</v>
      </c>
      <c r="L579" s="2" t="s">
        <v>97</v>
      </c>
      <c r="M579" s="2" t="s">
        <v>98</v>
      </c>
      <c r="N579" s="2" t="s">
        <v>248</v>
      </c>
      <c r="O579" s="2" t="s">
        <v>100</v>
      </c>
      <c r="P579" s="2" t="str">
        <f>"2170583650                    "</f>
        <v xml:space="preserve">2170583650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37.020000000000003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2</v>
      </c>
      <c r="BI579" s="2">
        <v>18.100000000000001</v>
      </c>
      <c r="BJ579" s="2">
        <v>6.7</v>
      </c>
      <c r="BK579" s="2">
        <v>18.5</v>
      </c>
      <c r="BL579" s="2">
        <v>383.34</v>
      </c>
      <c r="BM579" s="2">
        <v>53.67</v>
      </c>
      <c r="BN579" s="2">
        <v>437.01</v>
      </c>
      <c r="BO579" s="2">
        <v>437.01</v>
      </c>
      <c r="BP579" s="2"/>
      <c r="BQ579" s="2" t="s">
        <v>83</v>
      </c>
      <c r="BR579" s="2" t="s">
        <v>84</v>
      </c>
      <c r="BS579" s="3">
        <v>42978</v>
      </c>
      <c r="BT579" s="4">
        <v>0.35416666666666669</v>
      </c>
      <c r="BU579" s="2" t="s">
        <v>1208</v>
      </c>
      <c r="BV579" s="2" t="s">
        <v>95</v>
      </c>
      <c r="BW579" s="2"/>
      <c r="BX579" s="2"/>
      <c r="BY579" s="2">
        <v>33300.01</v>
      </c>
      <c r="BZ579" s="2" t="s">
        <v>27</v>
      </c>
      <c r="CA579" s="2" t="s">
        <v>294</v>
      </c>
      <c r="CB579" s="2"/>
      <c r="CC579" s="2" t="s">
        <v>98</v>
      </c>
      <c r="CD579" s="2">
        <v>6001</v>
      </c>
      <c r="CE579" s="2" t="s">
        <v>89</v>
      </c>
      <c r="CF579" s="5">
        <v>42978</v>
      </c>
      <c r="CG579" s="2"/>
      <c r="CH579" s="2"/>
      <c r="CI579" s="2">
        <v>1</v>
      </c>
      <c r="CJ579" s="2">
        <v>1</v>
      </c>
      <c r="CK579" s="2">
        <v>21</v>
      </c>
      <c r="CL579" s="2" t="s">
        <v>86</v>
      </c>
      <c r="CM579" s="2"/>
    </row>
    <row r="580" spans="1:91">
      <c r="A580" s="2" t="s">
        <v>71</v>
      </c>
      <c r="B580" s="2" t="s">
        <v>72</v>
      </c>
      <c r="C580" s="2" t="s">
        <v>73</v>
      </c>
      <c r="D580" s="2"/>
      <c r="E580" s="2" t="str">
        <f>"FES1162572234"</f>
        <v>FES1162572234</v>
      </c>
      <c r="F580" s="3">
        <v>42977</v>
      </c>
      <c r="G580" s="2">
        <v>201802</v>
      </c>
      <c r="H580" s="2" t="s">
        <v>74</v>
      </c>
      <c r="I580" s="2" t="s">
        <v>75</v>
      </c>
      <c r="J580" s="2" t="s">
        <v>76</v>
      </c>
      <c r="K580" s="2" t="s">
        <v>77</v>
      </c>
      <c r="L580" s="2" t="s">
        <v>97</v>
      </c>
      <c r="M580" s="2" t="s">
        <v>98</v>
      </c>
      <c r="N580" s="2" t="s">
        <v>608</v>
      </c>
      <c r="O580" s="2" t="s">
        <v>100</v>
      </c>
      <c r="P580" s="2" t="str">
        <f>"2170585851                    "</f>
        <v xml:space="preserve">2170585851 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7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3.2</v>
      </c>
      <c r="BJ580" s="2">
        <v>1.6</v>
      </c>
      <c r="BK580" s="2">
        <v>3.5</v>
      </c>
      <c r="BL580" s="2">
        <v>72.52</v>
      </c>
      <c r="BM580" s="2">
        <v>10.15</v>
      </c>
      <c r="BN580" s="2">
        <v>82.67</v>
      </c>
      <c r="BO580" s="2">
        <v>82.67</v>
      </c>
      <c r="BP580" s="2"/>
      <c r="BQ580" s="2" t="s">
        <v>1227</v>
      </c>
      <c r="BR580" s="2" t="s">
        <v>84</v>
      </c>
      <c r="BS580" s="3">
        <v>42978</v>
      </c>
      <c r="BT580" s="4">
        <v>0.375</v>
      </c>
      <c r="BU580" s="2" t="s">
        <v>1228</v>
      </c>
      <c r="BV580" s="2" t="s">
        <v>95</v>
      </c>
      <c r="BW580" s="2"/>
      <c r="BX580" s="2"/>
      <c r="BY580" s="2">
        <v>7956.15</v>
      </c>
      <c r="BZ580" s="2" t="s">
        <v>27</v>
      </c>
      <c r="CA580" s="2" t="s">
        <v>294</v>
      </c>
      <c r="CB580" s="2"/>
      <c r="CC580" s="2" t="s">
        <v>98</v>
      </c>
      <c r="CD580" s="2">
        <v>6001</v>
      </c>
      <c r="CE580" s="2" t="s">
        <v>89</v>
      </c>
      <c r="CF580" s="5">
        <v>42978</v>
      </c>
      <c r="CG580" s="2"/>
      <c r="CH580" s="2"/>
      <c r="CI580" s="2">
        <v>1</v>
      </c>
      <c r="CJ580" s="2">
        <v>1</v>
      </c>
      <c r="CK580" s="2">
        <v>21</v>
      </c>
      <c r="CL580" s="2" t="s">
        <v>86</v>
      </c>
      <c r="CM580" s="2"/>
    </row>
    <row r="581" spans="1:91">
      <c r="A581" s="2" t="s">
        <v>71</v>
      </c>
      <c r="B581" s="2" t="s">
        <v>72</v>
      </c>
      <c r="C581" s="2" t="s">
        <v>73</v>
      </c>
      <c r="D581" s="2"/>
      <c r="E581" s="2" t="str">
        <f>"FES1162572300"</f>
        <v>FES1162572300</v>
      </c>
      <c r="F581" s="3">
        <v>42977</v>
      </c>
      <c r="G581" s="2">
        <v>201802</v>
      </c>
      <c r="H581" s="2" t="s">
        <v>74</v>
      </c>
      <c r="I581" s="2" t="s">
        <v>75</v>
      </c>
      <c r="J581" s="2" t="s">
        <v>76</v>
      </c>
      <c r="K581" s="2" t="s">
        <v>77</v>
      </c>
      <c r="L581" s="2" t="s">
        <v>1229</v>
      </c>
      <c r="M581" s="2" t="s">
        <v>1230</v>
      </c>
      <c r="N581" s="2" t="s">
        <v>1231</v>
      </c>
      <c r="O581" s="2" t="s">
        <v>100</v>
      </c>
      <c r="P581" s="2" t="str">
        <f>"2170585161                    "</f>
        <v xml:space="preserve">2170585161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3.13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1</v>
      </c>
      <c r="BJ581" s="2">
        <v>0.2</v>
      </c>
      <c r="BK581" s="2">
        <v>1</v>
      </c>
      <c r="BL581" s="2">
        <v>32.380000000000003</v>
      </c>
      <c r="BM581" s="2">
        <v>4.53</v>
      </c>
      <c r="BN581" s="2">
        <v>36.909999999999997</v>
      </c>
      <c r="BO581" s="2">
        <v>36.909999999999997</v>
      </c>
      <c r="BP581" s="2"/>
      <c r="BQ581" s="2" t="s">
        <v>108</v>
      </c>
      <c r="BR581" s="2" t="s">
        <v>84</v>
      </c>
      <c r="BS581" s="3">
        <v>42978</v>
      </c>
      <c r="BT581" s="4">
        <v>0.41666666666666669</v>
      </c>
      <c r="BU581" s="2" t="s">
        <v>1232</v>
      </c>
      <c r="BV581" s="2" t="s">
        <v>95</v>
      </c>
      <c r="BW581" s="2"/>
      <c r="BX581" s="2"/>
      <c r="BY581" s="2">
        <v>1200</v>
      </c>
      <c r="BZ581" s="2" t="s">
        <v>27</v>
      </c>
      <c r="CA581" s="2"/>
      <c r="CB581" s="2"/>
      <c r="CC581" s="2" t="s">
        <v>1230</v>
      </c>
      <c r="CD581" s="2">
        <v>1449</v>
      </c>
      <c r="CE581" s="2" t="s">
        <v>104</v>
      </c>
      <c r="CF581" s="2"/>
      <c r="CG581" s="2"/>
      <c r="CH581" s="2"/>
      <c r="CI581" s="2">
        <v>1</v>
      </c>
      <c r="CJ581" s="2">
        <v>1</v>
      </c>
      <c r="CK581" s="2">
        <v>22</v>
      </c>
      <c r="CL581" s="2" t="s">
        <v>86</v>
      </c>
      <c r="CM581" s="2"/>
    </row>
    <row r="582" spans="1:91">
      <c r="A582" s="2" t="s">
        <v>71</v>
      </c>
      <c r="B582" s="2" t="s">
        <v>72</v>
      </c>
      <c r="C582" s="2" t="s">
        <v>73</v>
      </c>
      <c r="D582" s="2"/>
      <c r="E582" s="2" t="str">
        <f>"FES1162572370"</f>
        <v>FES1162572370</v>
      </c>
      <c r="F582" s="3">
        <v>42977</v>
      </c>
      <c r="G582" s="2">
        <v>201802</v>
      </c>
      <c r="H582" s="2" t="s">
        <v>74</v>
      </c>
      <c r="I582" s="2" t="s">
        <v>75</v>
      </c>
      <c r="J582" s="2" t="s">
        <v>76</v>
      </c>
      <c r="K582" s="2" t="s">
        <v>77</v>
      </c>
      <c r="L582" s="2" t="s">
        <v>268</v>
      </c>
      <c r="M582" s="2" t="s">
        <v>269</v>
      </c>
      <c r="N582" s="2" t="s">
        <v>1233</v>
      </c>
      <c r="O582" s="2" t="s">
        <v>100</v>
      </c>
      <c r="P582" s="2" t="str">
        <f>"2170587927                    "</f>
        <v xml:space="preserve">2170587927 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4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1</v>
      </c>
      <c r="BJ582" s="2">
        <v>0.2</v>
      </c>
      <c r="BK582" s="2">
        <v>1</v>
      </c>
      <c r="BL582" s="2">
        <v>41.44</v>
      </c>
      <c r="BM582" s="2">
        <v>5.8</v>
      </c>
      <c r="BN582" s="2">
        <v>47.24</v>
      </c>
      <c r="BO582" s="2">
        <v>47.24</v>
      </c>
      <c r="BP582" s="2"/>
      <c r="BQ582" s="2" t="s">
        <v>1234</v>
      </c>
      <c r="BR582" s="2" t="s">
        <v>84</v>
      </c>
      <c r="BS582" s="3">
        <v>42978</v>
      </c>
      <c r="BT582" s="4">
        <v>0.49305555555555558</v>
      </c>
      <c r="BU582" s="2" t="s">
        <v>1235</v>
      </c>
      <c r="BV582" s="2" t="s">
        <v>95</v>
      </c>
      <c r="BW582" s="2"/>
      <c r="BX582" s="2"/>
      <c r="BY582" s="2">
        <v>1200</v>
      </c>
      <c r="BZ582" s="2" t="s">
        <v>27</v>
      </c>
      <c r="CA582" s="2"/>
      <c r="CB582" s="2"/>
      <c r="CC582" s="2" t="s">
        <v>269</v>
      </c>
      <c r="CD582" s="2">
        <v>40</v>
      </c>
      <c r="CE582" s="2" t="s">
        <v>104</v>
      </c>
      <c r="CF582" s="2"/>
      <c r="CG582" s="2"/>
      <c r="CH582" s="2"/>
      <c r="CI582" s="2">
        <v>1</v>
      </c>
      <c r="CJ582" s="2">
        <v>1</v>
      </c>
      <c r="CK582" s="2">
        <v>21</v>
      </c>
      <c r="CL582" s="2" t="s">
        <v>86</v>
      </c>
      <c r="CM582" s="2"/>
    </row>
    <row r="583" spans="1:91">
      <c r="A583" s="2" t="s">
        <v>71</v>
      </c>
      <c r="B583" s="2" t="s">
        <v>72</v>
      </c>
      <c r="C583" s="2" t="s">
        <v>73</v>
      </c>
      <c r="D583" s="2"/>
      <c r="E583" s="2" t="str">
        <f>"FES1162572298"</f>
        <v>FES1162572298</v>
      </c>
      <c r="F583" s="3">
        <v>42977</v>
      </c>
      <c r="G583" s="2">
        <v>201802</v>
      </c>
      <c r="H583" s="2" t="s">
        <v>74</v>
      </c>
      <c r="I583" s="2" t="s">
        <v>75</v>
      </c>
      <c r="J583" s="2" t="s">
        <v>76</v>
      </c>
      <c r="K583" s="2" t="s">
        <v>77</v>
      </c>
      <c r="L583" s="2" t="s">
        <v>74</v>
      </c>
      <c r="M583" s="2" t="s">
        <v>75</v>
      </c>
      <c r="N583" s="2" t="s">
        <v>467</v>
      </c>
      <c r="O583" s="2" t="s">
        <v>100</v>
      </c>
      <c r="P583" s="2" t="str">
        <f>"2170585027                    "</f>
        <v xml:space="preserve">2170585027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3.13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1</v>
      </c>
      <c r="BI583" s="2">
        <v>1</v>
      </c>
      <c r="BJ583" s="2">
        <v>0.2</v>
      </c>
      <c r="BK583" s="2">
        <v>1</v>
      </c>
      <c r="BL583" s="2">
        <v>32.380000000000003</v>
      </c>
      <c r="BM583" s="2">
        <v>4.53</v>
      </c>
      <c r="BN583" s="2">
        <v>36.909999999999997</v>
      </c>
      <c r="BO583" s="2">
        <v>36.909999999999997</v>
      </c>
      <c r="BP583" s="2"/>
      <c r="BQ583" s="2" t="s">
        <v>108</v>
      </c>
      <c r="BR583" s="2" t="s">
        <v>84</v>
      </c>
      <c r="BS583" s="3">
        <v>42978</v>
      </c>
      <c r="BT583" s="4">
        <v>0.40416666666666662</v>
      </c>
      <c r="BU583" s="2" t="s">
        <v>825</v>
      </c>
      <c r="BV583" s="2" t="s">
        <v>95</v>
      </c>
      <c r="BW583" s="2"/>
      <c r="BX583" s="2"/>
      <c r="BY583" s="2">
        <v>1200</v>
      </c>
      <c r="BZ583" s="2" t="s">
        <v>27</v>
      </c>
      <c r="CA583" s="2" t="s">
        <v>328</v>
      </c>
      <c r="CB583" s="2"/>
      <c r="CC583" s="2" t="s">
        <v>75</v>
      </c>
      <c r="CD583" s="2">
        <v>1601</v>
      </c>
      <c r="CE583" s="2" t="s">
        <v>104</v>
      </c>
      <c r="CF583" s="5">
        <v>42978</v>
      </c>
      <c r="CG583" s="2"/>
      <c r="CH583" s="2"/>
      <c r="CI583" s="2">
        <v>1</v>
      </c>
      <c r="CJ583" s="2">
        <v>1</v>
      </c>
      <c r="CK583" s="2">
        <v>22</v>
      </c>
      <c r="CL583" s="2" t="s">
        <v>86</v>
      </c>
      <c r="CM583" s="2"/>
    </row>
    <row r="584" spans="1:91">
      <c r="A584" s="2" t="s">
        <v>71</v>
      </c>
      <c r="B584" s="2" t="s">
        <v>72</v>
      </c>
      <c r="C584" s="2" t="s">
        <v>73</v>
      </c>
      <c r="D584" s="2"/>
      <c r="E584" s="2" t="str">
        <f>"FES1162572304"</f>
        <v>FES1162572304</v>
      </c>
      <c r="F584" s="3">
        <v>42977</v>
      </c>
      <c r="G584" s="2">
        <v>201802</v>
      </c>
      <c r="H584" s="2" t="s">
        <v>74</v>
      </c>
      <c r="I584" s="2" t="s">
        <v>75</v>
      </c>
      <c r="J584" s="2" t="s">
        <v>76</v>
      </c>
      <c r="K584" s="2" t="s">
        <v>77</v>
      </c>
      <c r="L584" s="2" t="s">
        <v>268</v>
      </c>
      <c r="M584" s="2" t="s">
        <v>269</v>
      </c>
      <c r="N584" s="2" t="s">
        <v>270</v>
      </c>
      <c r="O584" s="2" t="s">
        <v>100</v>
      </c>
      <c r="P584" s="2" t="str">
        <f>"2170585319                    "</f>
        <v xml:space="preserve">2170585319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7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3.4</v>
      </c>
      <c r="BJ584" s="2">
        <v>2.6</v>
      </c>
      <c r="BK584" s="2">
        <v>3.5</v>
      </c>
      <c r="BL584" s="2">
        <v>72.52</v>
      </c>
      <c r="BM584" s="2">
        <v>10.15</v>
      </c>
      <c r="BN584" s="2">
        <v>82.67</v>
      </c>
      <c r="BO584" s="2">
        <v>82.67</v>
      </c>
      <c r="BP584" s="2"/>
      <c r="BQ584" s="2" t="s">
        <v>227</v>
      </c>
      <c r="BR584" s="2" t="s">
        <v>84</v>
      </c>
      <c r="BS584" s="3">
        <v>42978</v>
      </c>
      <c r="BT584" s="4">
        <v>0.41666666666666669</v>
      </c>
      <c r="BU584" s="2" t="s">
        <v>1236</v>
      </c>
      <c r="BV584" s="2" t="s">
        <v>95</v>
      </c>
      <c r="BW584" s="2"/>
      <c r="BX584" s="2"/>
      <c r="BY584" s="2">
        <v>13236.62</v>
      </c>
      <c r="BZ584" s="2" t="s">
        <v>27</v>
      </c>
      <c r="CA584" s="2"/>
      <c r="CB584" s="2"/>
      <c r="CC584" s="2" t="s">
        <v>269</v>
      </c>
      <c r="CD584" s="2">
        <v>200</v>
      </c>
      <c r="CE584" s="2" t="s">
        <v>948</v>
      </c>
      <c r="CF584" s="2"/>
      <c r="CG584" s="2"/>
      <c r="CH584" s="2"/>
      <c r="CI584" s="2">
        <v>1</v>
      </c>
      <c r="CJ584" s="2">
        <v>1</v>
      </c>
      <c r="CK584" s="2">
        <v>21</v>
      </c>
      <c r="CL584" s="2" t="s">
        <v>86</v>
      </c>
      <c r="CM584" s="2"/>
    </row>
    <row r="585" spans="1:91">
      <c r="A585" s="2" t="s">
        <v>71</v>
      </c>
      <c r="B585" s="2" t="s">
        <v>72</v>
      </c>
      <c r="C585" s="2" t="s">
        <v>73</v>
      </c>
      <c r="D585" s="2"/>
      <c r="E585" s="2" t="str">
        <f>"FES1162572306"</f>
        <v>FES1162572306</v>
      </c>
      <c r="F585" s="3">
        <v>42977</v>
      </c>
      <c r="G585" s="2">
        <v>201802</v>
      </c>
      <c r="H585" s="2" t="s">
        <v>74</v>
      </c>
      <c r="I585" s="2" t="s">
        <v>75</v>
      </c>
      <c r="J585" s="2" t="s">
        <v>76</v>
      </c>
      <c r="K585" s="2" t="s">
        <v>77</v>
      </c>
      <c r="L585" s="2" t="s">
        <v>144</v>
      </c>
      <c r="M585" s="2" t="s">
        <v>145</v>
      </c>
      <c r="N585" s="2" t="s">
        <v>282</v>
      </c>
      <c r="O585" s="2" t="s">
        <v>100</v>
      </c>
      <c r="P585" s="2" t="str">
        <f>"2170585358                    "</f>
        <v xml:space="preserve">2170585358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3.13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1</v>
      </c>
      <c r="BI585" s="2">
        <v>1</v>
      </c>
      <c r="BJ585" s="2">
        <v>0.2</v>
      </c>
      <c r="BK585" s="2">
        <v>1</v>
      </c>
      <c r="BL585" s="2">
        <v>32.380000000000003</v>
      </c>
      <c r="BM585" s="2">
        <v>4.53</v>
      </c>
      <c r="BN585" s="2">
        <v>36.909999999999997</v>
      </c>
      <c r="BO585" s="2">
        <v>36.909999999999997</v>
      </c>
      <c r="BP585" s="2"/>
      <c r="BQ585" s="2" t="s">
        <v>108</v>
      </c>
      <c r="BR585" s="2" t="s">
        <v>84</v>
      </c>
      <c r="BS585" s="3">
        <v>42978</v>
      </c>
      <c r="BT585" s="4">
        <v>0.32222222222222224</v>
      </c>
      <c r="BU585" s="2" t="s">
        <v>1237</v>
      </c>
      <c r="BV585" s="2" t="s">
        <v>95</v>
      </c>
      <c r="BW585" s="2"/>
      <c r="BX585" s="2"/>
      <c r="BY585" s="2">
        <v>1200</v>
      </c>
      <c r="BZ585" s="2" t="s">
        <v>27</v>
      </c>
      <c r="CA585" s="2" t="s">
        <v>1238</v>
      </c>
      <c r="CB585" s="2"/>
      <c r="CC585" s="2" t="s">
        <v>145</v>
      </c>
      <c r="CD585" s="2">
        <v>2094</v>
      </c>
      <c r="CE585" s="2" t="s">
        <v>104</v>
      </c>
      <c r="CF585" s="5">
        <v>42978</v>
      </c>
      <c r="CG585" s="2"/>
      <c r="CH585" s="2"/>
      <c r="CI585" s="2">
        <v>1</v>
      </c>
      <c r="CJ585" s="2">
        <v>1</v>
      </c>
      <c r="CK585" s="2">
        <v>22</v>
      </c>
      <c r="CL585" s="2" t="s">
        <v>86</v>
      </c>
      <c r="CM585" s="2"/>
    </row>
    <row r="586" spans="1:91">
      <c r="A586" s="2" t="s">
        <v>71</v>
      </c>
      <c r="B586" s="2" t="s">
        <v>72</v>
      </c>
      <c r="C586" s="2" t="s">
        <v>73</v>
      </c>
      <c r="D586" s="2"/>
      <c r="E586" s="2" t="str">
        <f>"FES1162572275"</f>
        <v>FES1162572275</v>
      </c>
      <c r="F586" s="3">
        <v>42977</v>
      </c>
      <c r="G586" s="2">
        <v>201802</v>
      </c>
      <c r="H586" s="2" t="s">
        <v>74</v>
      </c>
      <c r="I586" s="2" t="s">
        <v>75</v>
      </c>
      <c r="J586" s="2" t="s">
        <v>76</v>
      </c>
      <c r="K586" s="2" t="s">
        <v>77</v>
      </c>
      <c r="L586" s="2" t="s">
        <v>1239</v>
      </c>
      <c r="M586" s="2" t="s">
        <v>1240</v>
      </c>
      <c r="N586" s="2" t="s">
        <v>1241</v>
      </c>
      <c r="O586" s="2" t="s">
        <v>100</v>
      </c>
      <c r="P586" s="2" t="str">
        <f>"2170586508                    "</f>
        <v xml:space="preserve">2170586508 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7.75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1</v>
      </c>
      <c r="BJ586" s="2">
        <v>0.2</v>
      </c>
      <c r="BK586" s="2">
        <v>1</v>
      </c>
      <c r="BL586" s="2">
        <v>80.290000000000006</v>
      </c>
      <c r="BM586" s="2">
        <v>11.24</v>
      </c>
      <c r="BN586" s="2">
        <v>91.53</v>
      </c>
      <c r="BO586" s="2">
        <v>91.53</v>
      </c>
      <c r="BP586" s="2"/>
      <c r="BQ586" s="2" t="s">
        <v>108</v>
      </c>
      <c r="BR586" s="2" t="s">
        <v>84</v>
      </c>
      <c r="BS586" s="3">
        <v>42978</v>
      </c>
      <c r="BT586" s="4">
        <v>0.59027777777777779</v>
      </c>
      <c r="BU586" s="2" t="s">
        <v>1242</v>
      </c>
      <c r="BV586" s="2" t="s">
        <v>95</v>
      </c>
      <c r="BW586" s="2"/>
      <c r="BX586" s="2"/>
      <c r="BY586" s="2">
        <v>1200</v>
      </c>
      <c r="BZ586" s="2" t="s">
        <v>27</v>
      </c>
      <c r="CA586" s="2" t="s">
        <v>714</v>
      </c>
      <c r="CB586" s="2"/>
      <c r="CC586" s="2" t="s">
        <v>1240</v>
      </c>
      <c r="CD586" s="2">
        <v>4399</v>
      </c>
      <c r="CE586" s="2" t="s">
        <v>104</v>
      </c>
      <c r="CF586" s="5">
        <v>42978</v>
      </c>
      <c r="CG586" s="2"/>
      <c r="CH586" s="2"/>
      <c r="CI586" s="2">
        <v>1</v>
      </c>
      <c r="CJ586" s="2">
        <v>1</v>
      </c>
      <c r="CK586" s="2">
        <v>23</v>
      </c>
      <c r="CL586" s="2" t="s">
        <v>86</v>
      </c>
      <c r="CM586" s="2"/>
    </row>
    <row r="587" spans="1:91">
      <c r="A587" s="2" t="s">
        <v>71</v>
      </c>
      <c r="B587" s="2" t="s">
        <v>72</v>
      </c>
      <c r="C587" s="2" t="s">
        <v>73</v>
      </c>
      <c r="D587" s="2"/>
      <c r="E587" s="2" t="str">
        <f>"FES1162572297"</f>
        <v>FES1162572297</v>
      </c>
      <c r="F587" s="3">
        <v>42977</v>
      </c>
      <c r="G587" s="2">
        <v>201802</v>
      </c>
      <c r="H587" s="2" t="s">
        <v>74</v>
      </c>
      <c r="I587" s="2" t="s">
        <v>75</v>
      </c>
      <c r="J587" s="2" t="s">
        <v>76</v>
      </c>
      <c r="K587" s="2" t="s">
        <v>77</v>
      </c>
      <c r="L587" s="2" t="s">
        <v>244</v>
      </c>
      <c r="M587" s="2" t="s">
        <v>245</v>
      </c>
      <c r="N587" s="2" t="s">
        <v>553</v>
      </c>
      <c r="O587" s="2" t="s">
        <v>100</v>
      </c>
      <c r="P587" s="2" t="str">
        <f>"2170584896                    "</f>
        <v xml:space="preserve">2170584896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3.13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1</v>
      </c>
      <c r="BJ587" s="2">
        <v>0.2</v>
      </c>
      <c r="BK587" s="2">
        <v>1</v>
      </c>
      <c r="BL587" s="2">
        <v>32.380000000000003</v>
      </c>
      <c r="BM587" s="2">
        <v>4.53</v>
      </c>
      <c r="BN587" s="2">
        <v>36.909999999999997</v>
      </c>
      <c r="BO587" s="2">
        <v>36.909999999999997</v>
      </c>
      <c r="BP587" s="2"/>
      <c r="BQ587" s="2" t="s">
        <v>108</v>
      </c>
      <c r="BR587" s="2" t="s">
        <v>84</v>
      </c>
      <c r="BS587" s="3">
        <v>42978</v>
      </c>
      <c r="BT587" s="4">
        <v>0.3125</v>
      </c>
      <c r="BU587" s="2" t="s">
        <v>1243</v>
      </c>
      <c r="BV587" s="2" t="s">
        <v>95</v>
      </c>
      <c r="BW587" s="2"/>
      <c r="BX587" s="2"/>
      <c r="BY587" s="2">
        <v>1200</v>
      </c>
      <c r="BZ587" s="2" t="s">
        <v>27</v>
      </c>
      <c r="CA587" s="2" t="s">
        <v>499</v>
      </c>
      <c r="CB587" s="2"/>
      <c r="CC587" s="2" t="s">
        <v>245</v>
      </c>
      <c r="CD587" s="2">
        <v>1460</v>
      </c>
      <c r="CE587" s="2" t="s">
        <v>104</v>
      </c>
      <c r="CF587" s="5">
        <v>42978</v>
      </c>
      <c r="CG587" s="2"/>
      <c r="CH587" s="2"/>
      <c r="CI587" s="2">
        <v>1</v>
      </c>
      <c r="CJ587" s="2">
        <v>1</v>
      </c>
      <c r="CK587" s="2">
        <v>22</v>
      </c>
      <c r="CL587" s="2" t="s">
        <v>86</v>
      </c>
      <c r="CM587" s="2"/>
    </row>
    <row r="588" spans="1:91">
      <c r="A588" s="2" t="s">
        <v>71</v>
      </c>
      <c r="B588" s="2" t="s">
        <v>72</v>
      </c>
      <c r="C588" s="2" t="s">
        <v>73</v>
      </c>
      <c r="D588" s="2"/>
      <c r="E588" s="2" t="str">
        <f>"FES1162572181"</f>
        <v>FES1162572181</v>
      </c>
      <c r="F588" s="3">
        <v>42977</v>
      </c>
      <c r="G588" s="2">
        <v>201802</v>
      </c>
      <c r="H588" s="2" t="s">
        <v>74</v>
      </c>
      <c r="I588" s="2" t="s">
        <v>75</v>
      </c>
      <c r="J588" s="2" t="s">
        <v>76</v>
      </c>
      <c r="K588" s="2" t="s">
        <v>77</v>
      </c>
      <c r="L588" s="2" t="s">
        <v>362</v>
      </c>
      <c r="M588" s="2" t="s">
        <v>363</v>
      </c>
      <c r="N588" s="2" t="s">
        <v>683</v>
      </c>
      <c r="O588" s="2" t="s">
        <v>100</v>
      </c>
      <c r="P588" s="2" t="str">
        <f>"2170582268                    "</f>
        <v xml:space="preserve">2170582268 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31.02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1</v>
      </c>
      <c r="BI588" s="2">
        <v>15.1</v>
      </c>
      <c r="BJ588" s="2">
        <v>3.9</v>
      </c>
      <c r="BK588" s="2">
        <v>15.5</v>
      </c>
      <c r="BL588" s="2">
        <v>321.18</v>
      </c>
      <c r="BM588" s="2">
        <v>44.97</v>
      </c>
      <c r="BN588" s="2">
        <v>366.15</v>
      </c>
      <c r="BO588" s="2">
        <v>366.15</v>
      </c>
      <c r="BP588" s="2"/>
      <c r="BQ588" s="2" t="s">
        <v>108</v>
      </c>
      <c r="BR588" s="2" t="s">
        <v>84</v>
      </c>
      <c r="BS588" s="3">
        <v>42978</v>
      </c>
      <c r="BT588" s="4">
        <v>0.43194444444444446</v>
      </c>
      <c r="BU588" s="2" t="s">
        <v>805</v>
      </c>
      <c r="BV588" s="2" t="s">
        <v>95</v>
      </c>
      <c r="BW588" s="2"/>
      <c r="BX588" s="2"/>
      <c r="BY588" s="2">
        <v>19396.61</v>
      </c>
      <c r="BZ588" s="2" t="s">
        <v>27</v>
      </c>
      <c r="CA588" s="2" t="s">
        <v>367</v>
      </c>
      <c r="CB588" s="2"/>
      <c r="CC588" s="2" t="s">
        <v>363</v>
      </c>
      <c r="CD588" s="2">
        <v>3201</v>
      </c>
      <c r="CE588" s="2" t="s">
        <v>89</v>
      </c>
      <c r="CF588" s="5">
        <v>42978</v>
      </c>
      <c r="CG588" s="2"/>
      <c r="CH588" s="2"/>
      <c r="CI588" s="2">
        <v>1</v>
      </c>
      <c r="CJ588" s="2">
        <v>1</v>
      </c>
      <c r="CK588" s="2">
        <v>21</v>
      </c>
      <c r="CL588" s="2" t="s">
        <v>86</v>
      </c>
      <c r="CM588" s="2"/>
    </row>
    <row r="589" spans="1:91">
      <c r="A589" s="2" t="s">
        <v>71</v>
      </c>
      <c r="B589" s="2" t="s">
        <v>72</v>
      </c>
      <c r="C589" s="2" t="s">
        <v>73</v>
      </c>
      <c r="D589" s="2"/>
      <c r="E589" s="2" t="str">
        <f>"FES1162572301"</f>
        <v>FES1162572301</v>
      </c>
      <c r="F589" s="3">
        <v>42977</v>
      </c>
      <c r="G589" s="2">
        <v>201802</v>
      </c>
      <c r="H589" s="2" t="s">
        <v>74</v>
      </c>
      <c r="I589" s="2" t="s">
        <v>75</v>
      </c>
      <c r="J589" s="2" t="s">
        <v>76</v>
      </c>
      <c r="K589" s="2" t="s">
        <v>77</v>
      </c>
      <c r="L589" s="2" t="s">
        <v>74</v>
      </c>
      <c r="M589" s="2" t="s">
        <v>75</v>
      </c>
      <c r="N589" s="2" t="s">
        <v>192</v>
      </c>
      <c r="O589" s="2" t="s">
        <v>100</v>
      </c>
      <c r="P589" s="2" t="str">
        <f>"2170585197                    "</f>
        <v xml:space="preserve">2170585197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3.13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1</v>
      </c>
      <c r="BJ589" s="2">
        <v>0.2</v>
      </c>
      <c r="BK589" s="2">
        <v>1</v>
      </c>
      <c r="BL589" s="2">
        <v>32.380000000000003</v>
      </c>
      <c r="BM589" s="2">
        <v>4.53</v>
      </c>
      <c r="BN589" s="2">
        <v>36.909999999999997</v>
      </c>
      <c r="BO589" s="2">
        <v>36.909999999999997</v>
      </c>
      <c r="BP589" s="2"/>
      <c r="BQ589" s="2" t="s">
        <v>288</v>
      </c>
      <c r="BR589" s="2" t="s">
        <v>84</v>
      </c>
      <c r="BS589" s="3">
        <v>42978</v>
      </c>
      <c r="BT589" s="4">
        <v>0.45833333333333331</v>
      </c>
      <c r="BU589" s="2" t="s">
        <v>193</v>
      </c>
      <c r="BV589" s="2" t="s">
        <v>86</v>
      </c>
      <c r="BW589" s="2"/>
      <c r="BX589" s="2"/>
      <c r="BY589" s="2">
        <v>1200</v>
      </c>
      <c r="BZ589" s="2" t="s">
        <v>27</v>
      </c>
      <c r="CA589" s="2" t="s">
        <v>194</v>
      </c>
      <c r="CB589" s="2"/>
      <c r="CC589" s="2" t="s">
        <v>75</v>
      </c>
      <c r="CD589" s="2">
        <v>1665</v>
      </c>
      <c r="CE589" s="2" t="s">
        <v>104</v>
      </c>
      <c r="CF589" s="5">
        <v>42978</v>
      </c>
      <c r="CG589" s="2"/>
      <c r="CH589" s="2"/>
      <c r="CI589" s="2">
        <v>1</v>
      </c>
      <c r="CJ589" s="2">
        <v>1</v>
      </c>
      <c r="CK589" s="2">
        <v>22</v>
      </c>
      <c r="CL589" s="2" t="s">
        <v>86</v>
      </c>
      <c r="CM589" s="2"/>
    </row>
    <row r="590" spans="1:91">
      <c r="A590" s="2" t="s">
        <v>71</v>
      </c>
      <c r="B590" s="2" t="s">
        <v>72</v>
      </c>
      <c r="C590" s="2" t="s">
        <v>73</v>
      </c>
      <c r="D590" s="2"/>
      <c r="E590" s="2" t="str">
        <f>"FES1162572207"</f>
        <v>FES1162572207</v>
      </c>
      <c r="F590" s="3">
        <v>42977</v>
      </c>
      <c r="G590" s="2">
        <v>201802</v>
      </c>
      <c r="H590" s="2" t="s">
        <v>74</v>
      </c>
      <c r="I590" s="2" t="s">
        <v>75</v>
      </c>
      <c r="J590" s="2" t="s">
        <v>76</v>
      </c>
      <c r="K590" s="2" t="s">
        <v>77</v>
      </c>
      <c r="L590" s="2" t="s">
        <v>841</v>
      </c>
      <c r="M590" s="2" t="s">
        <v>842</v>
      </c>
      <c r="N590" s="2" t="s">
        <v>843</v>
      </c>
      <c r="O590" s="2" t="s">
        <v>100</v>
      </c>
      <c r="P590" s="2" t="str">
        <f>"2170587816                    "</f>
        <v xml:space="preserve">2170587816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7.75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1</v>
      </c>
      <c r="BJ590" s="2">
        <v>0.2</v>
      </c>
      <c r="BK590" s="2">
        <v>1</v>
      </c>
      <c r="BL590" s="2">
        <v>80.290000000000006</v>
      </c>
      <c r="BM590" s="2">
        <v>11.24</v>
      </c>
      <c r="BN590" s="2">
        <v>91.53</v>
      </c>
      <c r="BO590" s="2">
        <v>91.53</v>
      </c>
      <c r="BP590" s="2"/>
      <c r="BQ590" s="2" t="s">
        <v>83</v>
      </c>
      <c r="BR590" s="2" t="s">
        <v>84</v>
      </c>
      <c r="BS590" s="3">
        <v>42978</v>
      </c>
      <c r="BT590" s="4">
        <v>0.60416666666666663</v>
      </c>
      <c r="BU590" s="2" t="s">
        <v>1244</v>
      </c>
      <c r="BV590" s="2" t="s">
        <v>95</v>
      </c>
      <c r="BW590" s="2"/>
      <c r="BX590" s="2"/>
      <c r="BY590" s="2">
        <v>1200</v>
      </c>
      <c r="BZ590" s="2" t="s">
        <v>27</v>
      </c>
      <c r="CA590" s="2" t="s">
        <v>1245</v>
      </c>
      <c r="CB590" s="2"/>
      <c r="CC590" s="2" t="s">
        <v>842</v>
      </c>
      <c r="CD590" s="2">
        <v>3370</v>
      </c>
      <c r="CE590" s="2" t="s">
        <v>104</v>
      </c>
      <c r="CF590" s="5">
        <v>42978</v>
      </c>
      <c r="CG590" s="2"/>
      <c r="CH590" s="2"/>
      <c r="CI590" s="2">
        <v>3</v>
      </c>
      <c r="CJ590" s="2">
        <v>1</v>
      </c>
      <c r="CK590" s="2">
        <v>23</v>
      </c>
      <c r="CL590" s="2" t="s">
        <v>86</v>
      </c>
      <c r="CM590" s="2"/>
    </row>
    <row r="591" spans="1:91">
      <c r="A591" s="2" t="s">
        <v>71</v>
      </c>
      <c r="B591" s="2" t="s">
        <v>72</v>
      </c>
      <c r="C591" s="2" t="s">
        <v>73</v>
      </c>
      <c r="D591" s="2"/>
      <c r="E591" s="2" t="str">
        <f>"FES1162572187"</f>
        <v>FES1162572187</v>
      </c>
      <c r="F591" s="3">
        <v>42977</v>
      </c>
      <c r="G591" s="2">
        <v>201802</v>
      </c>
      <c r="H591" s="2" t="s">
        <v>74</v>
      </c>
      <c r="I591" s="2" t="s">
        <v>75</v>
      </c>
      <c r="J591" s="2" t="s">
        <v>76</v>
      </c>
      <c r="K591" s="2" t="s">
        <v>77</v>
      </c>
      <c r="L591" s="2" t="s">
        <v>268</v>
      </c>
      <c r="M591" s="2" t="s">
        <v>269</v>
      </c>
      <c r="N591" s="2" t="s">
        <v>1099</v>
      </c>
      <c r="O591" s="2" t="s">
        <v>100</v>
      </c>
      <c r="P591" s="2" t="str">
        <f>"2170586510                    "</f>
        <v xml:space="preserve">2170586510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4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1</v>
      </c>
      <c r="BI591" s="2">
        <v>1</v>
      </c>
      <c r="BJ591" s="2">
        <v>0.2</v>
      </c>
      <c r="BK591" s="2">
        <v>1</v>
      </c>
      <c r="BL591" s="2">
        <v>41.44</v>
      </c>
      <c r="BM591" s="2">
        <v>5.8</v>
      </c>
      <c r="BN591" s="2">
        <v>47.24</v>
      </c>
      <c r="BO591" s="2">
        <v>47.24</v>
      </c>
      <c r="BP591" s="2"/>
      <c r="BQ591" s="2" t="s">
        <v>1246</v>
      </c>
      <c r="BR591" s="2" t="s">
        <v>84</v>
      </c>
      <c r="BS591" s="3">
        <v>42978</v>
      </c>
      <c r="BT591" s="4">
        <v>0.3354166666666667</v>
      </c>
      <c r="BU591" s="2" t="s">
        <v>1247</v>
      </c>
      <c r="BV591" s="2" t="s">
        <v>95</v>
      </c>
      <c r="BW591" s="2"/>
      <c r="BX591" s="2"/>
      <c r="BY591" s="2">
        <v>1200</v>
      </c>
      <c r="BZ591" s="2" t="s">
        <v>27</v>
      </c>
      <c r="CA591" s="2" t="s">
        <v>1248</v>
      </c>
      <c r="CB591" s="2"/>
      <c r="CC591" s="2" t="s">
        <v>269</v>
      </c>
      <c r="CD591" s="2">
        <v>45</v>
      </c>
      <c r="CE591" s="2" t="s">
        <v>104</v>
      </c>
      <c r="CF591" s="5">
        <v>42978</v>
      </c>
      <c r="CG591" s="2"/>
      <c r="CH591" s="2"/>
      <c r="CI591" s="2">
        <v>1</v>
      </c>
      <c r="CJ591" s="2">
        <v>1</v>
      </c>
      <c r="CK591" s="2">
        <v>21</v>
      </c>
      <c r="CL591" s="2" t="s">
        <v>86</v>
      </c>
      <c r="CM591" s="2"/>
    </row>
    <row r="592" spans="1:91">
      <c r="A592" s="2" t="s">
        <v>71</v>
      </c>
      <c r="B592" s="2" t="s">
        <v>72</v>
      </c>
      <c r="C592" s="2" t="s">
        <v>73</v>
      </c>
      <c r="D592" s="2"/>
      <c r="E592" s="2" t="str">
        <f>"FES1162572350"</f>
        <v>FES1162572350</v>
      </c>
      <c r="F592" s="3">
        <v>42977</v>
      </c>
      <c r="G592" s="2">
        <v>201802</v>
      </c>
      <c r="H592" s="2" t="s">
        <v>74</v>
      </c>
      <c r="I592" s="2" t="s">
        <v>75</v>
      </c>
      <c r="J592" s="2" t="s">
        <v>76</v>
      </c>
      <c r="K592" s="2" t="s">
        <v>77</v>
      </c>
      <c r="L592" s="2" t="s">
        <v>383</v>
      </c>
      <c r="M592" s="2" t="s">
        <v>384</v>
      </c>
      <c r="N592" s="2" t="s">
        <v>385</v>
      </c>
      <c r="O592" s="2" t="s">
        <v>100</v>
      </c>
      <c r="P592" s="2" t="str">
        <f>"2170587893                    "</f>
        <v xml:space="preserve">2170587893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30.3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1</v>
      </c>
      <c r="BI592" s="2">
        <v>4.8</v>
      </c>
      <c r="BJ592" s="2">
        <v>11</v>
      </c>
      <c r="BK592" s="2">
        <v>11</v>
      </c>
      <c r="BL592" s="2">
        <v>313.70999999999998</v>
      </c>
      <c r="BM592" s="2">
        <v>43.92</v>
      </c>
      <c r="BN592" s="2">
        <v>357.63</v>
      </c>
      <c r="BO592" s="2">
        <v>357.63</v>
      </c>
      <c r="BP592" s="2"/>
      <c r="BQ592" s="2" t="s">
        <v>108</v>
      </c>
      <c r="BR592" s="2" t="s">
        <v>84</v>
      </c>
      <c r="BS592" s="3">
        <v>42978</v>
      </c>
      <c r="BT592" s="4">
        <v>0.43611111111111112</v>
      </c>
      <c r="BU592" s="2" t="s">
        <v>1249</v>
      </c>
      <c r="BV592" s="2" t="s">
        <v>95</v>
      </c>
      <c r="BW592" s="2"/>
      <c r="BX592" s="2"/>
      <c r="BY592" s="2">
        <v>54821.98</v>
      </c>
      <c r="BZ592" s="2" t="s">
        <v>27</v>
      </c>
      <c r="CA592" s="2"/>
      <c r="CB592" s="2"/>
      <c r="CC592" s="2" t="s">
        <v>384</v>
      </c>
      <c r="CD592" s="2">
        <v>2210</v>
      </c>
      <c r="CE592" s="2" t="s">
        <v>135</v>
      </c>
      <c r="CF592" s="5">
        <v>42978</v>
      </c>
      <c r="CG592" s="2"/>
      <c r="CH592" s="2"/>
      <c r="CI592" s="2">
        <v>1</v>
      </c>
      <c r="CJ592" s="2">
        <v>1</v>
      </c>
      <c r="CK592" s="2">
        <v>24</v>
      </c>
      <c r="CL592" s="2" t="s">
        <v>86</v>
      </c>
      <c r="CM592" s="2"/>
    </row>
    <row r="593" spans="1:91">
      <c r="A593" s="2" t="s">
        <v>71</v>
      </c>
      <c r="B593" s="2" t="s">
        <v>72</v>
      </c>
      <c r="C593" s="2" t="s">
        <v>73</v>
      </c>
      <c r="D593" s="2"/>
      <c r="E593" s="2" t="str">
        <f>"FES11625722225"</f>
        <v>FES11625722225</v>
      </c>
      <c r="F593" s="3">
        <v>42977</v>
      </c>
      <c r="G593" s="2">
        <v>201802</v>
      </c>
      <c r="H593" s="2" t="s">
        <v>74</v>
      </c>
      <c r="I593" s="2" t="s">
        <v>75</v>
      </c>
      <c r="J593" s="2" t="s">
        <v>76</v>
      </c>
      <c r="K593" s="2" t="s">
        <v>77</v>
      </c>
      <c r="L593" s="2" t="s">
        <v>137</v>
      </c>
      <c r="M593" s="2" t="s">
        <v>138</v>
      </c>
      <c r="N593" s="2" t="s">
        <v>1250</v>
      </c>
      <c r="O593" s="2" t="s">
        <v>100</v>
      </c>
      <c r="P593" s="2" t="str">
        <f>"2170585540                    "</f>
        <v xml:space="preserve">2170585540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4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1</v>
      </c>
      <c r="BI593" s="2">
        <v>1</v>
      </c>
      <c r="BJ593" s="2">
        <v>0.2</v>
      </c>
      <c r="BK593" s="2">
        <v>1</v>
      </c>
      <c r="BL593" s="2">
        <v>41.44</v>
      </c>
      <c r="BM593" s="2">
        <v>5.8</v>
      </c>
      <c r="BN593" s="2">
        <v>47.24</v>
      </c>
      <c r="BO593" s="2">
        <v>47.24</v>
      </c>
      <c r="BP593" s="2"/>
      <c r="BQ593" s="2" t="s">
        <v>108</v>
      </c>
      <c r="BR593" s="2" t="s">
        <v>84</v>
      </c>
      <c r="BS593" s="1" t="s">
        <v>1200</v>
      </c>
      <c r="BT593" s="2"/>
      <c r="BU593" s="2"/>
      <c r="BV593" s="2"/>
      <c r="BW593" s="2"/>
      <c r="BX593" s="2"/>
      <c r="BY593" s="2">
        <v>1200</v>
      </c>
      <c r="BZ593" s="2" t="s">
        <v>27</v>
      </c>
      <c r="CA593" s="2"/>
      <c r="CB593" s="2"/>
      <c r="CC593" s="2" t="s">
        <v>138</v>
      </c>
      <c r="CD593" s="2">
        <v>157</v>
      </c>
      <c r="CE593" s="2" t="s">
        <v>104</v>
      </c>
      <c r="CF593" s="2"/>
      <c r="CG593" s="2"/>
      <c r="CH593" s="2"/>
      <c r="CI593" s="2">
        <v>1</v>
      </c>
      <c r="CJ593" s="2" t="s">
        <v>1200</v>
      </c>
      <c r="CK593" s="2">
        <v>21</v>
      </c>
      <c r="CL593" s="2" t="s">
        <v>86</v>
      </c>
      <c r="CM593" s="2"/>
    </row>
    <row r="594" spans="1:91">
      <c r="A594" s="2" t="s">
        <v>71</v>
      </c>
      <c r="B594" s="2" t="s">
        <v>72</v>
      </c>
      <c r="C594" s="2" t="s">
        <v>73</v>
      </c>
      <c r="D594" s="2"/>
      <c r="E594" s="2" t="str">
        <f>"FES1162572285"</f>
        <v>FES1162572285</v>
      </c>
      <c r="F594" s="3">
        <v>42977</v>
      </c>
      <c r="G594" s="2">
        <v>201802</v>
      </c>
      <c r="H594" s="2" t="s">
        <v>74</v>
      </c>
      <c r="I594" s="2" t="s">
        <v>75</v>
      </c>
      <c r="J594" s="2" t="s">
        <v>76</v>
      </c>
      <c r="K594" s="2" t="s">
        <v>77</v>
      </c>
      <c r="L594" s="2" t="s">
        <v>144</v>
      </c>
      <c r="M594" s="2" t="s">
        <v>145</v>
      </c>
      <c r="N594" s="2" t="s">
        <v>146</v>
      </c>
      <c r="O594" s="2" t="s">
        <v>100</v>
      </c>
      <c r="P594" s="2" t="str">
        <f>"2170585166                    "</f>
        <v xml:space="preserve">2170585166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3.13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6</v>
      </c>
      <c r="BJ594" s="2">
        <v>1.7</v>
      </c>
      <c r="BK594" s="2">
        <v>6</v>
      </c>
      <c r="BL594" s="2">
        <v>32.380000000000003</v>
      </c>
      <c r="BM594" s="2">
        <v>4.53</v>
      </c>
      <c r="BN594" s="2">
        <v>36.909999999999997</v>
      </c>
      <c r="BO594" s="2">
        <v>36.909999999999997</v>
      </c>
      <c r="BP594" s="2"/>
      <c r="BQ594" s="2" t="s">
        <v>83</v>
      </c>
      <c r="BR594" s="2" t="s">
        <v>84</v>
      </c>
      <c r="BS594" s="3">
        <v>42978</v>
      </c>
      <c r="BT594" s="4">
        <v>0.38263888888888892</v>
      </c>
      <c r="BU594" s="2" t="s">
        <v>1176</v>
      </c>
      <c r="BV594" s="2" t="s">
        <v>95</v>
      </c>
      <c r="BW594" s="2"/>
      <c r="BX594" s="2"/>
      <c r="BY594" s="2">
        <v>8694</v>
      </c>
      <c r="BZ594" s="2" t="s">
        <v>27</v>
      </c>
      <c r="CA594" s="2" t="s">
        <v>729</v>
      </c>
      <c r="CB594" s="2"/>
      <c r="CC594" s="2" t="s">
        <v>145</v>
      </c>
      <c r="CD594" s="2">
        <v>2094</v>
      </c>
      <c r="CE594" s="2" t="s">
        <v>135</v>
      </c>
      <c r="CF594" s="5">
        <v>42978</v>
      </c>
      <c r="CG594" s="2"/>
      <c r="CH594" s="2"/>
      <c r="CI594" s="2">
        <v>1</v>
      </c>
      <c r="CJ594" s="2">
        <v>1</v>
      </c>
      <c r="CK594" s="2">
        <v>22</v>
      </c>
      <c r="CL594" s="2" t="s">
        <v>86</v>
      </c>
      <c r="CM594" s="2"/>
    </row>
    <row r="595" spans="1:91">
      <c r="A595" s="2" t="s">
        <v>71</v>
      </c>
      <c r="B595" s="2" t="s">
        <v>72</v>
      </c>
      <c r="C595" s="2" t="s">
        <v>73</v>
      </c>
      <c r="D595" s="2"/>
      <c r="E595" s="2" t="str">
        <f>"FES1162572302"</f>
        <v>FES1162572302</v>
      </c>
      <c r="F595" s="3">
        <v>42977</v>
      </c>
      <c r="G595" s="2">
        <v>201802</v>
      </c>
      <c r="H595" s="2" t="s">
        <v>74</v>
      </c>
      <c r="I595" s="2" t="s">
        <v>75</v>
      </c>
      <c r="J595" s="2" t="s">
        <v>76</v>
      </c>
      <c r="K595" s="2" t="s">
        <v>77</v>
      </c>
      <c r="L595" s="2" t="s">
        <v>97</v>
      </c>
      <c r="M595" s="2" t="s">
        <v>98</v>
      </c>
      <c r="N595" s="2" t="s">
        <v>1210</v>
      </c>
      <c r="O595" s="2" t="s">
        <v>100</v>
      </c>
      <c r="P595" s="2" t="str">
        <f>"2170585226                    "</f>
        <v xml:space="preserve">2170585226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4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1</v>
      </c>
      <c r="BJ595" s="2">
        <v>0.2</v>
      </c>
      <c r="BK595" s="2">
        <v>1</v>
      </c>
      <c r="BL595" s="2">
        <v>41.44</v>
      </c>
      <c r="BM595" s="2">
        <v>5.8</v>
      </c>
      <c r="BN595" s="2">
        <v>47.24</v>
      </c>
      <c r="BO595" s="2">
        <v>47.24</v>
      </c>
      <c r="BP595" s="2"/>
      <c r="BQ595" s="2" t="s">
        <v>108</v>
      </c>
      <c r="BR595" s="2" t="s">
        <v>84</v>
      </c>
      <c r="BS595" s="3">
        <v>42978</v>
      </c>
      <c r="BT595" s="4">
        <v>0.29652777777777778</v>
      </c>
      <c r="BU595" s="2" t="s">
        <v>1211</v>
      </c>
      <c r="BV595" s="2" t="s">
        <v>95</v>
      </c>
      <c r="BW595" s="2"/>
      <c r="BX595" s="2"/>
      <c r="BY595" s="2">
        <v>1200</v>
      </c>
      <c r="BZ595" s="2" t="s">
        <v>27</v>
      </c>
      <c r="CA595" s="2" t="s">
        <v>294</v>
      </c>
      <c r="CB595" s="2"/>
      <c r="CC595" s="2" t="s">
        <v>98</v>
      </c>
      <c r="CD595" s="2">
        <v>6012</v>
      </c>
      <c r="CE595" s="2" t="s">
        <v>104</v>
      </c>
      <c r="CF595" s="5">
        <v>42978</v>
      </c>
      <c r="CG595" s="2"/>
      <c r="CH595" s="2"/>
      <c r="CI595" s="2">
        <v>1</v>
      </c>
      <c r="CJ595" s="2">
        <v>1</v>
      </c>
      <c r="CK595" s="2">
        <v>21</v>
      </c>
      <c r="CL595" s="2" t="s">
        <v>86</v>
      </c>
      <c r="CM595" s="2"/>
    </row>
    <row r="596" spans="1:91">
      <c r="A596" s="2" t="s">
        <v>71</v>
      </c>
      <c r="B596" s="2" t="s">
        <v>72</v>
      </c>
      <c r="C596" s="2" t="s">
        <v>73</v>
      </c>
      <c r="D596" s="2"/>
      <c r="E596" s="2" t="str">
        <f>"FES1162572292"</f>
        <v>FES1162572292</v>
      </c>
      <c r="F596" s="3">
        <v>42977</v>
      </c>
      <c r="G596" s="2">
        <v>201802</v>
      </c>
      <c r="H596" s="2" t="s">
        <v>74</v>
      </c>
      <c r="I596" s="2" t="s">
        <v>75</v>
      </c>
      <c r="J596" s="2" t="s">
        <v>76</v>
      </c>
      <c r="K596" s="2" t="s">
        <v>77</v>
      </c>
      <c r="L596" s="2" t="s">
        <v>97</v>
      </c>
      <c r="M596" s="2" t="s">
        <v>98</v>
      </c>
      <c r="N596" s="2" t="s">
        <v>229</v>
      </c>
      <c r="O596" s="2" t="s">
        <v>100</v>
      </c>
      <c r="P596" s="2" t="str">
        <f>"2170587846                    "</f>
        <v xml:space="preserve">2170587846 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4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1</v>
      </c>
      <c r="BJ596" s="2">
        <v>0.2</v>
      </c>
      <c r="BK596" s="2">
        <v>1</v>
      </c>
      <c r="BL596" s="2">
        <v>41.44</v>
      </c>
      <c r="BM596" s="2">
        <v>5.8</v>
      </c>
      <c r="BN596" s="2">
        <v>47.24</v>
      </c>
      <c r="BO596" s="2">
        <v>47.24</v>
      </c>
      <c r="BP596" s="2"/>
      <c r="BQ596" s="2" t="s">
        <v>108</v>
      </c>
      <c r="BR596" s="2" t="s">
        <v>84</v>
      </c>
      <c r="BS596" s="3">
        <v>42978</v>
      </c>
      <c r="BT596" s="4">
        <v>0.40763888888888888</v>
      </c>
      <c r="BU596" s="2" t="s">
        <v>1251</v>
      </c>
      <c r="BV596" s="2" t="s">
        <v>95</v>
      </c>
      <c r="BW596" s="2"/>
      <c r="BX596" s="2"/>
      <c r="BY596" s="2">
        <v>1200</v>
      </c>
      <c r="BZ596" s="2" t="s">
        <v>27</v>
      </c>
      <c r="CA596" s="2" t="s">
        <v>103</v>
      </c>
      <c r="CB596" s="2"/>
      <c r="CC596" s="2" t="s">
        <v>98</v>
      </c>
      <c r="CD596" s="2">
        <v>6001</v>
      </c>
      <c r="CE596" s="2" t="s">
        <v>104</v>
      </c>
      <c r="CF596" s="5">
        <v>42978</v>
      </c>
      <c r="CG596" s="2"/>
      <c r="CH596" s="2"/>
      <c r="CI596" s="2">
        <v>1</v>
      </c>
      <c r="CJ596" s="2">
        <v>1</v>
      </c>
      <c r="CK596" s="2">
        <v>21</v>
      </c>
      <c r="CL596" s="2" t="s">
        <v>86</v>
      </c>
      <c r="CM596" s="2"/>
    </row>
    <row r="597" spans="1:91">
      <c r="A597" s="2" t="s">
        <v>71</v>
      </c>
      <c r="B597" s="2" t="s">
        <v>72</v>
      </c>
      <c r="C597" s="2" t="s">
        <v>73</v>
      </c>
      <c r="D597" s="2"/>
      <c r="E597" s="2" t="str">
        <f>"FES1162572255"</f>
        <v>FES1162572255</v>
      </c>
      <c r="F597" s="3">
        <v>42977</v>
      </c>
      <c r="G597" s="2">
        <v>201802</v>
      </c>
      <c r="H597" s="2" t="s">
        <v>74</v>
      </c>
      <c r="I597" s="2" t="s">
        <v>75</v>
      </c>
      <c r="J597" s="2" t="s">
        <v>76</v>
      </c>
      <c r="K597" s="2" t="s">
        <v>77</v>
      </c>
      <c r="L597" s="2" t="s">
        <v>97</v>
      </c>
      <c r="M597" s="2" t="s">
        <v>98</v>
      </c>
      <c r="N597" s="2" t="s">
        <v>1041</v>
      </c>
      <c r="O597" s="2" t="s">
        <v>100</v>
      </c>
      <c r="P597" s="2" t="str">
        <f>"2170587834                    "</f>
        <v xml:space="preserve">2170587834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4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1</v>
      </c>
      <c r="BJ597" s="2">
        <v>0.2</v>
      </c>
      <c r="BK597" s="2">
        <v>1</v>
      </c>
      <c r="BL597" s="2">
        <v>41.44</v>
      </c>
      <c r="BM597" s="2">
        <v>5.8</v>
      </c>
      <c r="BN597" s="2">
        <v>47.24</v>
      </c>
      <c r="BO597" s="2">
        <v>47.24</v>
      </c>
      <c r="BP597" s="2"/>
      <c r="BQ597" s="2" t="s">
        <v>108</v>
      </c>
      <c r="BR597" s="2" t="s">
        <v>84</v>
      </c>
      <c r="BS597" s="3">
        <v>42978</v>
      </c>
      <c r="BT597" s="4">
        <v>0.41666666666666669</v>
      </c>
      <c r="BU597" s="2" t="s">
        <v>1072</v>
      </c>
      <c r="BV597" s="2" t="s">
        <v>95</v>
      </c>
      <c r="BW597" s="2"/>
      <c r="BX597" s="2"/>
      <c r="BY597" s="2">
        <v>1200</v>
      </c>
      <c r="BZ597" s="2" t="s">
        <v>27</v>
      </c>
      <c r="CA597" s="2" t="s">
        <v>294</v>
      </c>
      <c r="CB597" s="2"/>
      <c r="CC597" s="2" t="s">
        <v>98</v>
      </c>
      <c r="CD597" s="2">
        <v>6012</v>
      </c>
      <c r="CE597" s="2" t="s">
        <v>104</v>
      </c>
      <c r="CF597" s="5">
        <v>42978</v>
      </c>
      <c r="CG597" s="2"/>
      <c r="CH597" s="2"/>
      <c r="CI597" s="2">
        <v>1</v>
      </c>
      <c r="CJ597" s="2">
        <v>1</v>
      </c>
      <c r="CK597" s="2">
        <v>21</v>
      </c>
      <c r="CL597" s="2" t="s">
        <v>86</v>
      </c>
      <c r="CM597" s="2"/>
    </row>
    <row r="598" spans="1:91">
      <c r="A598" s="2" t="s">
        <v>71</v>
      </c>
      <c r="B598" s="2" t="s">
        <v>72</v>
      </c>
      <c r="C598" s="2" t="s">
        <v>73</v>
      </c>
      <c r="D598" s="2"/>
      <c r="E598" s="2" t="str">
        <f>"FES1162572352"</f>
        <v>FES1162572352</v>
      </c>
      <c r="F598" s="3">
        <v>42977</v>
      </c>
      <c r="G598" s="2">
        <v>201802</v>
      </c>
      <c r="H598" s="2" t="s">
        <v>74</v>
      </c>
      <c r="I598" s="2" t="s">
        <v>75</v>
      </c>
      <c r="J598" s="2" t="s">
        <v>76</v>
      </c>
      <c r="K598" s="2" t="s">
        <v>77</v>
      </c>
      <c r="L598" s="2" t="s">
        <v>137</v>
      </c>
      <c r="M598" s="2" t="s">
        <v>138</v>
      </c>
      <c r="N598" s="2" t="s">
        <v>226</v>
      </c>
      <c r="O598" s="2" t="s">
        <v>100</v>
      </c>
      <c r="P598" s="2" t="str">
        <f>"2170587887                    "</f>
        <v xml:space="preserve">2170587887 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4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1</v>
      </c>
      <c r="BJ598" s="2">
        <v>0.2</v>
      </c>
      <c r="BK598" s="2">
        <v>1</v>
      </c>
      <c r="BL598" s="2">
        <v>41.44</v>
      </c>
      <c r="BM598" s="2">
        <v>5.8</v>
      </c>
      <c r="BN598" s="2">
        <v>47.24</v>
      </c>
      <c r="BO598" s="2">
        <v>47.24</v>
      </c>
      <c r="BP598" s="2"/>
      <c r="BQ598" s="2" t="s">
        <v>108</v>
      </c>
      <c r="BR598" s="2" t="s">
        <v>84</v>
      </c>
      <c r="BS598" s="3">
        <v>42978</v>
      </c>
      <c r="BT598" s="4">
        <v>0.35416666666666669</v>
      </c>
      <c r="BU598" s="2" t="s">
        <v>228</v>
      </c>
      <c r="BV598" s="2" t="s">
        <v>95</v>
      </c>
      <c r="BW598" s="2"/>
      <c r="BX598" s="2"/>
      <c r="BY598" s="2">
        <v>1200</v>
      </c>
      <c r="BZ598" s="2" t="s">
        <v>27</v>
      </c>
      <c r="CA598" s="2"/>
      <c r="CB598" s="2"/>
      <c r="CC598" s="2" t="s">
        <v>138</v>
      </c>
      <c r="CD598" s="2">
        <v>157</v>
      </c>
      <c r="CE598" s="2" t="s">
        <v>104</v>
      </c>
      <c r="CF598" s="2"/>
      <c r="CG598" s="2"/>
      <c r="CH598" s="2"/>
      <c r="CI598" s="2">
        <v>1</v>
      </c>
      <c r="CJ598" s="2">
        <v>1</v>
      </c>
      <c r="CK598" s="2">
        <v>21</v>
      </c>
      <c r="CL598" s="2" t="s">
        <v>86</v>
      </c>
      <c r="CM598" s="2"/>
    </row>
    <row r="599" spans="1:91">
      <c r="A599" s="2" t="s">
        <v>71</v>
      </c>
      <c r="B599" s="2" t="s">
        <v>72</v>
      </c>
      <c r="C599" s="2" t="s">
        <v>73</v>
      </c>
      <c r="D599" s="2"/>
      <c r="E599" s="2" t="str">
        <f>"FES1162572344"</f>
        <v>FES1162572344</v>
      </c>
      <c r="F599" s="3">
        <v>42977</v>
      </c>
      <c r="G599" s="2">
        <v>201802</v>
      </c>
      <c r="H599" s="2" t="s">
        <v>74</v>
      </c>
      <c r="I599" s="2" t="s">
        <v>75</v>
      </c>
      <c r="J599" s="2" t="s">
        <v>76</v>
      </c>
      <c r="K599" s="2" t="s">
        <v>77</v>
      </c>
      <c r="L599" s="2" t="s">
        <v>97</v>
      </c>
      <c r="M599" s="2" t="s">
        <v>98</v>
      </c>
      <c r="N599" s="2" t="s">
        <v>1252</v>
      </c>
      <c r="O599" s="2" t="s">
        <v>100</v>
      </c>
      <c r="P599" s="2" t="str">
        <f>"2170587888                    "</f>
        <v xml:space="preserve">2170587888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4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1</v>
      </c>
      <c r="BI599" s="2">
        <v>1</v>
      </c>
      <c r="BJ599" s="2">
        <v>0.2</v>
      </c>
      <c r="BK599" s="2">
        <v>1</v>
      </c>
      <c r="BL599" s="2">
        <v>41.44</v>
      </c>
      <c r="BM599" s="2">
        <v>5.8</v>
      </c>
      <c r="BN599" s="2">
        <v>47.24</v>
      </c>
      <c r="BO599" s="2">
        <v>47.24</v>
      </c>
      <c r="BP599" s="2"/>
      <c r="BQ599" s="2" t="s">
        <v>108</v>
      </c>
      <c r="BR599" s="2" t="s">
        <v>84</v>
      </c>
      <c r="BS599" s="3">
        <v>42978</v>
      </c>
      <c r="BT599" s="4">
        <v>0.36180555555555555</v>
      </c>
      <c r="BU599" s="2" t="s">
        <v>1253</v>
      </c>
      <c r="BV599" s="2" t="s">
        <v>95</v>
      </c>
      <c r="BW599" s="2"/>
      <c r="BX599" s="2"/>
      <c r="BY599" s="2">
        <v>1200</v>
      </c>
      <c r="BZ599" s="2" t="s">
        <v>27</v>
      </c>
      <c r="CA599" s="2" t="s">
        <v>213</v>
      </c>
      <c r="CB599" s="2"/>
      <c r="CC599" s="2" t="s">
        <v>98</v>
      </c>
      <c r="CD599" s="2">
        <v>6001</v>
      </c>
      <c r="CE599" s="2" t="s">
        <v>104</v>
      </c>
      <c r="CF599" s="5">
        <v>42978</v>
      </c>
      <c r="CG599" s="2"/>
      <c r="CH599" s="2"/>
      <c r="CI599" s="2">
        <v>1</v>
      </c>
      <c r="CJ599" s="2">
        <v>1</v>
      </c>
      <c r="CK599" s="2">
        <v>21</v>
      </c>
      <c r="CL599" s="2" t="s">
        <v>86</v>
      </c>
      <c r="CM599" s="2"/>
    </row>
    <row r="600" spans="1:91">
      <c r="A600" s="2" t="s">
        <v>71</v>
      </c>
      <c r="B600" s="2" t="s">
        <v>72</v>
      </c>
      <c r="C600" s="2" t="s">
        <v>73</v>
      </c>
      <c r="D600" s="2"/>
      <c r="E600" s="2" t="str">
        <f>"FES1162572226"</f>
        <v>FES1162572226</v>
      </c>
      <c r="F600" s="3">
        <v>42977</v>
      </c>
      <c r="G600" s="2">
        <v>201802</v>
      </c>
      <c r="H600" s="2" t="s">
        <v>74</v>
      </c>
      <c r="I600" s="2" t="s">
        <v>75</v>
      </c>
      <c r="J600" s="2" t="s">
        <v>76</v>
      </c>
      <c r="K600" s="2" t="s">
        <v>77</v>
      </c>
      <c r="L600" s="2" t="s">
        <v>144</v>
      </c>
      <c r="M600" s="2" t="s">
        <v>145</v>
      </c>
      <c r="N600" s="2" t="s">
        <v>146</v>
      </c>
      <c r="O600" s="2" t="s">
        <v>100</v>
      </c>
      <c r="P600" s="2" t="str">
        <f>"2170585592                    "</f>
        <v xml:space="preserve">2170585592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3.13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1</v>
      </c>
      <c r="BJ600" s="2">
        <v>0.2</v>
      </c>
      <c r="BK600" s="2">
        <v>1</v>
      </c>
      <c r="BL600" s="2">
        <v>32.380000000000003</v>
      </c>
      <c r="BM600" s="2">
        <v>4.53</v>
      </c>
      <c r="BN600" s="2">
        <v>36.909999999999997</v>
      </c>
      <c r="BO600" s="2">
        <v>36.909999999999997</v>
      </c>
      <c r="BP600" s="2"/>
      <c r="BQ600" s="2" t="s">
        <v>83</v>
      </c>
      <c r="BR600" s="2" t="s">
        <v>84</v>
      </c>
      <c r="BS600" s="3">
        <v>42978</v>
      </c>
      <c r="BT600" s="4">
        <v>0.38263888888888892</v>
      </c>
      <c r="BU600" s="2" t="s">
        <v>1176</v>
      </c>
      <c r="BV600" s="2" t="s">
        <v>95</v>
      </c>
      <c r="BW600" s="2"/>
      <c r="BX600" s="2"/>
      <c r="BY600" s="2">
        <v>1200</v>
      </c>
      <c r="BZ600" s="2" t="s">
        <v>27</v>
      </c>
      <c r="CA600" s="2" t="s">
        <v>729</v>
      </c>
      <c r="CB600" s="2"/>
      <c r="CC600" s="2" t="s">
        <v>145</v>
      </c>
      <c r="CD600" s="2">
        <v>2094</v>
      </c>
      <c r="CE600" s="2" t="s">
        <v>104</v>
      </c>
      <c r="CF600" s="5">
        <v>42978</v>
      </c>
      <c r="CG600" s="2"/>
      <c r="CH600" s="2"/>
      <c r="CI600" s="2">
        <v>1</v>
      </c>
      <c r="CJ600" s="2">
        <v>1</v>
      </c>
      <c r="CK600" s="2">
        <v>22</v>
      </c>
      <c r="CL600" s="2" t="s">
        <v>86</v>
      </c>
      <c r="CM600" s="2"/>
    </row>
    <row r="601" spans="1:91">
      <c r="A601" s="2" t="s">
        <v>71</v>
      </c>
      <c r="B601" s="2" t="s">
        <v>72</v>
      </c>
      <c r="C601" s="2" t="s">
        <v>73</v>
      </c>
      <c r="D601" s="2"/>
      <c r="E601" s="2" t="str">
        <f>"FES11625772246"</f>
        <v>FES11625772246</v>
      </c>
      <c r="F601" s="3">
        <v>42977</v>
      </c>
      <c r="G601" s="2">
        <v>201802</v>
      </c>
      <c r="H601" s="2" t="s">
        <v>74</v>
      </c>
      <c r="I601" s="2" t="s">
        <v>75</v>
      </c>
      <c r="J601" s="2" t="s">
        <v>76</v>
      </c>
      <c r="K601" s="2" t="s">
        <v>77</v>
      </c>
      <c r="L601" s="2" t="s">
        <v>97</v>
      </c>
      <c r="M601" s="2" t="s">
        <v>98</v>
      </c>
      <c r="N601" s="2" t="s">
        <v>608</v>
      </c>
      <c r="O601" s="2" t="s">
        <v>100</v>
      </c>
      <c r="P601" s="2" t="str">
        <f>"2170585851                    "</f>
        <v xml:space="preserve">2170585851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4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1</v>
      </c>
      <c r="BI601" s="2">
        <v>0.5</v>
      </c>
      <c r="BJ601" s="2">
        <v>1.3</v>
      </c>
      <c r="BK601" s="2">
        <v>1.5</v>
      </c>
      <c r="BL601" s="2">
        <v>41.44</v>
      </c>
      <c r="BM601" s="2">
        <v>5.8</v>
      </c>
      <c r="BN601" s="2">
        <v>47.24</v>
      </c>
      <c r="BO601" s="2">
        <v>47.24</v>
      </c>
      <c r="BP601" s="2"/>
      <c r="BQ601" s="2" t="s">
        <v>108</v>
      </c>
      <c r="BR601" s="2" t="s">
        <v>84</v>
      </c>
      <c r="BS601" s="3">
        <v>42978</v>
      </c>
      <c r="BT601" s="4">
        <v>0.375</v>
      </c>
      <c r="BU601" s="2" t="s">
        <v>1254</v>
      </c>
      <c r="BV601" s="2" t="s">
        <v>95</v>
      </c>
      <c r="BW601" s="2"/>
      <c r="BX601" s="2"/>
      <c r="BY601" s="2">
        <v>6402.48</v>
      </c>
      <c r="BZ601" s="2" t="s">
        <v>27</v>
      </c>
      <c r="CA601" s="2" t="s">
        <v>294</v>
      </c>
      <c r="CB601" s="2"/>
      <c r="CC601" s="2" t="s">
        <v>98</v>
      </c>
      <c r="CD601" s="2">
        <v>6001</v>
      </c>
      <c r="CE601" s="2" t="s">
        <v>135</v>
      </c>
      <c r="CF601" s="5">
        <v>42978</v>
      </c>
      <c r="CG601" s="2"/>
      <c r="CH601" s="2"/>
      <c r="CI601" s="2">
        <v>1</v>
      </c>
      <c r="CJ601" s="2">
        <v>1</v>
      </c>
      <c r="CK601" s="2">
        <v>21</v>
      </c>
      <c r="CL601" s="2" t="s">
        <v>86</v>
      </c>
      <c r="CM601" s="2"/>
    </row>
    <row r="602" spans="1:91">
      <c r="A602" s="2" t="s">
        <v>71</v>
      </c>
      <c r="B602" s="2" t="s">
        <v>72</v>
      </c>
      <c r="C602" s="2" t="s">
        <v>73</v>
      </c>
      <c r="D602" s="2"/>
      <c r="E602" s="2" t="str">
        <f>"FES1162572193"</f>
        <v>FES1162572193</v>
      </c>
      <c r="F602" s="3">
        <v>42977</v>
      </c>
      <c r="G602" s="2">
        <v>201802</v>
      </c>
      <c r="H602" s="2" t="s">
        <v>74</v>
      </c>
      <c r="I602" s="2" t="s">
        <v>75</v>
      </c>
      <c r="J602" s="2" t="s">
        <v>76</v>
      </c>
      <c r="K602" s="2" t="s">
        <v>77</v>
      </c>
      <c r="L602" s="2" t="s">
        <v>137</v>
      </c>
      <c r="M602" s="2" t="s">
        <v>138</v>
      </c>
      <c r="N602" s="2" t="s">
        <v>1255</v>
      </c>
      <c r="O602" s="2" t="s">
        <v>100</v>
      </c>
      <c r="P602" s="2" t="str">
        <f>"2170587152                    "</f>
        <v xml:space="preserve">2170587152 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4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1</v>
      </c>
      <c r="BI602" s="2">
        <v>1</v>
      </c>
      <c r="BJ602" s="2">
        <v>0.2</v>
      </c>
      <c r="BK602" s="2">
        <v>1</v>
      </c>
      <c r="BL602" s="2">
        <v>41.44</v>
      </c>
      <c r="BM602" s="2">
        <v>5.8</v>
      </c>
      <c r="BN602" s="2">
        <v>47.24</v>
      </c>
      <c r="BO602" s="2">
        <v>47.24</v>
      </c>
      <c r="BP602" s="2"/>
      <c r="BQ602" s="2" t="s">
        <v>108</v>
      </c>
      <c r="BR602" s="2" t="s">
        <v>84</v>
      </c>
      <c r="BS602" s="3">
        <v>42978</v>
      </c>
      <c r="BT602" s="4">
        <v>0.3263888888888889</v>
      </c>
      <c r="BU602" s="2" t="s">
        <v>1256</v>
      </c>
      <c r="BV602" s="2" t="s">
        <v>95</v>
      </c>
      <c r="BW602" s="2"/>
      <c r="BX602" s="2"/>
      <c r="BY602" s="2">
        <v>1200</v>
      </c>
      <c r="BZ602" s="2" t="s">
        <v>27</v>
      </c>
      <c r="CA602" s="2"/>
      <c r="CB602" s="2"/>
      <c r="CC602" s="2" t="s">
        <v>138</v>
      </c>
      <c r="CD602" s="2">
        <v>157</v>
      </c>
      <c r="CE602" s="2" t="s">
        <v>104</v>
      </c>
      <c r="CF602" s="2"/>
      <c r="CG602" s="2"/>
      <c r="CH602" s="2"/>
      <c r="CI602" s="2">
        <v>1</v>
      </c>
      <c r="CJ602" s="2">
        <v>1</v>
      </c>
      <c r="CK602" s="2">
        <v>21</v>
      </c>
      <c r="CL602" s="2" t="s">
        <v>86</v>
      </c>
      <c r="CM602" s="2"/>
    </row>
    <row r="603" spans="1:91">
      <c r="A603" s="2" t="s">
        <v>71</v>
      </c>
      <c r="B603" s="2" t="s">
        <v>72</v>
      </c>
      <c r="C603" s="2" t="s">
        <v>73</v>
      </c>
      <c r="D603" s="2"/>
      <c r="E603" s="2" t="str">
        <f>"FES1162572249"</f>
        <v>FES1162572249</v>
      </c>
      <c r="F603" s="3">
        <v>42977</v>
      </c>
      <c r="G603" s="2">
        <v>201802</v>
      </c>
      <c r="H603" s="2" t="s">
        <v>74</v>
      </c>
      <c r="I603" s="2" t="s">
        <v>75</v>
      </c>
      <c r="J603" s="2" t="s">
        <v>76</v>
      </c>
      <c r="K603" s="2" t="s">
        <v>77</v>
      </c>
      <c r="L603" s="2" t="s">
        <v>97</v>
      </c>
      <c r="M603" s="2" t="s">
        <v>98</v>
      </c>
      <c r="N603" s="2" t="s">
        <v>248</v>
      </c>
      <c r="O603" s="2" t="s">
        <v>100</v>
      </c>
      <c r="P603" s="2" t="str">
        <f>"2170586365                    "</f>
        <v xml:space="preserve">2170586365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23.01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2</v>
      </c>
      <c r="BI603" s="2">
        <v>11.3</v>
      </c>
      <c r="BJ603" s="2">
        <v>10.6</v>
      </c>
      <c r="BK603" s="2">
        <v>11.5</v>
      </c>
      <c r="BL603" s="2">
        <v>238.29</v>
      </c>
      <c r="BM603" s="2">
        <v>33.36</v>
      </c>
      <c r="BN603" s="2">
        <v>271.64999999999998</v>
      </c>
      <c r="BO603" s="2">
        <v>271.64999999999998</v>
      </c>
      <c r="BP603" s="2"/>
      <c r="BQ603" s="2" t="s">
        <v>83</v>
      </c>
      <c r="BR603" s="2" t="s">
        <v>84</v>
      </c>
      <c r="BS603" s="3">
        <v>42978</v>
      </c>
      <c r="BT603" s="4">
        <v>0.35416666666666669</v>
      </c>
      <c r="BU603" s="2" t="s">
        <v>1208</v>
      </c>
      <c r="BV603" s="2" t="s">
        <v>95</v>
      </c>
      <c r="BW603" s="2"/>
      <c r="BX603" s="2"/>
      <c r="BY603" s="2">
        <v>53076.74</v>
      </c>
      <c r="BZ603" s="2" t="s">
        <v>27</v>
      </c>
      <c r="CA603" s="2" t="s">
        <v>294</v>
      </c>
      <c r="CB603" s="2"/>
      <c r="CC603" s="2" t="s">
        <v>98</v>
      </c>
      <c r="CD603" s="2">
        <v>6001</v>
      </c>
      <c r="CE603" s="2" t="s">
        <v>89</v>
      </c>
      <c r="CF603" s="5">
        <v>42978</v>
      </c>
      <c r="CG603" s="2"/>
      <c r="CH603" s="2"/>
      <c r="CI603" s="2">
        <v>1</v>
      </c>
      <c r="CJ603" s="2">
        <v>1</v>
      </c>
      <c r="CK603" s="2">
        <v>21</v>
      </c>
      <c r="CL603" s="2" t="s">
        <v>86</v>
      </c>
      <c r="CM603" s="2"/>
    </row>
    <row r="604" spans="1:91">
      <c r="A604" s="2" t="s">
        <v>71</v>
      </c>
      <c r="B604" s="2" t="s">
        <v>72</v>
      </c>
      <c r="C604" s="2" t="s">
        <v>73</v>
      </c>
      <c r="D604" s="2"/>
      <c r="E604" s="2" t="str">
        <f>"FES1162572333"</f>
        <v>FES1162572333</v>
      </c>
      <c r="F604" s="3">
        <v>42977</v>
      </c>
      <c r="G604" s="2">
        <v>201802</v>
      </c>
      <c r="H604" s="2" t="s">
        <v>74</v>
      </c>
      <c r="I604" s="2" t="s">
        <v>75</v>
      </c>
      <c r="J604" s="2" t="s">
        <v>76</v>
      </c>
      <c r="K604" s="2" t="s">
        <v>77</v>
      </c>
      <c r="L604" s="2" t="s">
        <v>144</v>
      </c>
      <c r="M604" s="2" t="s">
        <v>145</v>
      </c>
      <c r="N604" s="2" t="s">
        <v>1257</v>
      </c>
      <c r="O604" s="2" t="s">
        <v>100</v>
      </c>
      <c r="P604" s="2" t="str">
        <f>"2170587873                    "</f>
        <v xml:space="preserve">2170587873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3.13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1</v>
      </c>
      <c r="BJ604" s="2">
        <v>0.2</v>
      </c>
      <c r="BK604" s="2">
        <v>1</v>
      </c>
      <c r="BL604" s="2">
        <v>32.380000000000003</v>
      </c>
      <c r="BM604" s="2">
        <v>4.53</v>
      </c>
      <c r="BN604" s="2">
        <v>36.909999999999997</v>
      </c>
      <c r="BO604" s="2">
        <v>36.909999999999997</v>
      </c>
      <c r="BP604" s="2"/>
      <c r="BQ604" s="2" t="s">
        <v>108</v>
      </c>
      <c r="BR604" s="2" t="s">
        <v>84</v>
      </c>
      <c r="BS604" s="3">
        <v>42978</v>
      </c>
      <c r="BT604" s="4">
        <v>0.30208333333333331</v>
      </c>
      <c r="BU604" s="2" t="s">
        <v>1258</v>
      </c>
      <c r="BV604" s="2" t="s">
        <v>95</v>
      </c>
      <c r="BW604" s="2"/>
      <c r="BX604" s="2"/>
      <c r="BY604" s="2">
        <v>1200</v>
      </c>
      <c r="BZ604" s="2" t="s">
        <v>27</v>
      </c>
      <c r="CA604" s="2" t="s">
        <v>729</v>
      </c>
      <c r="CB604" s="2"/>
      <c r="CC604" s="2" t="s">
        <v>145</v>
      </c>
      <c r="CD604" s="2">
        <v>2011</v>
      </c>
      <c r="CE604" s="2" t="s">
        <v>104</v>
      </c>
      <c r="CF604" s="5">
        <v>42978</v>
      </c>
      <c r="CG604" s="2"/>
      <c r="CH604" s="2"/>
      <c r="CI604" s="2">
        <v>1</v>
      </c>
      <c r="CJ604" s="2">
        <v>1</v>
      </c>
      <c r="CK604" s="2">
        <v>22</v>
      </c>
      <c r="CL604" s="2" t="s">
        <v>86</v>
      </c>
      <c r="CM604" s="2"/>
    </row>
    <row r="605" spans="1:91">
      <c r="A605" s="2" t="s">
        <v>71</v>
      </c>
      <c r="B605" s="2" t="s">
        <v>72</v>
      </c>
      <c r="C605" s="2" t="s">
        <v>73</v>
      </c>
      <c r="D605" s="2"/>
      <c r="E605" s="2" t="str">
        <f>"FES1162572268"</f>
        <v>FES1162572268</v>
      </c>
      <c r="F605" s="3">
        <v>42977</v>
      </c>
      <c r="G605" s="2">
        <v>201802</v>
      </c>
      <c r="H605" s="2" t="s">
        <v>74</v>
      </c>
      <c r="I605" s="2" t="s">
        <v>75</v>
      </c>
      <c r="J605" s="2" t="s">
        <v>76</v>
      </c>
      <c r="K605" s="2" t="s">
        <v>77</v>
      </c>
      <c r="L605" s="2" t="s">
        <v>97</v>
      </c>
      <c r="M605" s="2" t="s">
        <v>98</v>
      </c>
      <c r="N605" s="2" t="s">
        <v>214</v>
      </c>
      <c r="O605" s="2" t="s">
        <v>100</v>
      </c>
      <c r="P605" s="2" t="str">
        <f>"2170584623                    "</f>
        <v xml:space="preserve">2170584623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7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1.4</v>
      </c>
      <c r="BJ605" s="2">
        <v>3.2</v>
      </c>
      <c r="BK605" s="2">
        <v>3.5</v>
      </c>
      <c r="BL605" s="2">
        <v>72.52</v>
      </c>
      <c r="BM605" s="2">
        <v>10.15</v>
      </c>
      <c r="BN605" s="2">
        <v>82.67</v>
      </c>
      <c r="BO605" s="2">
        <v>82.67</v>
      </c>
      <c r="BP605" s="2"/>
      <c r="BQ605" s="2" t="s">
        <v>108</v>
      </c>
      <c r="BR605" s="2" t="s">
        <v>84</v>
      </c>
      <c r="BS605" s="3">
        <v>42978</v>
      </c>
      <c r="BT605" s="4">
        <v>0.33055555555555555</v>
      </c>
      <c r="BU605" s="2" t="s">
        <v>1131</v>
      </c>
      <c r="BV605" s="2" t="s">
        <v>95</v>
      </c>
      <c r="BW605" s="2"/>
      <c r="BX605" s="2"/>
      <c r="BY605" s="2">
        <v>16102.8</v>
      </c>
      <c r="BZ605" s="2" t="s">
        <v>27</v>
      </c>
      <c r="CA605" s="2" t="s">
        <v>213</v>
      </c>
      <c r="CB605" s="2"/>
      <c r="CC605" s="2" t="s">
        <v>98</v>
      </c>
      <c r="CD605" s="2">
        <v>6001</v>
      </c>
      <c r="CE605" s="2" t="s">
        <v>89</v>
      </c>
      <c r="CF605" s="5">
        <v>42978</v>
      </c>
      <c r="CG605" s="2"/>
      <c r="CH605" s="2"/>
      <c r="CI605" s="2">
        <v>1</v>
      </c>
      <c r="CJ605" s="2">
        <v>1</v>
      </c>
      <c r="CK605" s="2">
        <v>21</v>
      </c>
      <c r="CL605" s="2" t="s">
        <v>86</v>
      </c>
      <c r="CM605" s="2"/>
    </row>
    <row r="606" spans="1:91">
      <c r="A606" s="2" t="s">
        <v>71</v>
      </c>
      <c r="B606" s="2" t="s">
        <v>72</v>
      </c>
      <c r="C606" s="2" t="s">
        <v>73</v>
      </c>
      <c r="D606" s="2"/>
      <c r="E606" s="2" t="str">
        <f>"FES1162572327"</f>
        <v>FES1162572327</v>
      </c>
      <c r="F606" s="3">
        <v>42977</v>
      </c>
      <c r="G606" s="2">
        <v>201802</v>
      </c>
      <c r="H606" s="2" t="s">
        <v>74</v>
      </c>
      <c r="I606" s="2" t="s">
        <v>75</v>
      </c>
      <c r="J606" s="2" t="s">
        <v>76</v>
      </c>
      <c r="K606" s="2" t="s">
        <v>77</v>
      </c>
      <c r="L606" s="2" t="s">
        <v>144</v>
      </c>
      <c r="M606" s="2" t="s">
        <v>145</v>
      </c>
      <c r="N606" s="2" t="s">
        <v>1259</v>
      </c>
      <c r="O606" s="2" t="s">
        <v>100</v>
      </c>
      <c r="P606" s="2" t="str">
        <f>"2170587865                    "</f>
        <v xml:space="preserve">2170587865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3.13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1</v>
      </c>
      <c r="BJ606" s="2">
        <v>2.2000000000000002</v>
      </c>
      <c r="BK606" s="2">
        <v>3</v>
      </c>
      <c r="BL606" s="2">
        <v>32.380000000000003</v>
      </c>
      <c r="BM606" s="2">
        <v>4.53</v>
      </c>
      <c r="BN606" s="2">
        <v>36.909999999999997</v>
      </c>
      <c r="BO606" s="2">
        <v>36.909999999999997</v>
      </c>
      <c r="BP606" s="2"/>
      <c r="BQ606" s="2" t="s">
        <v>108</v>
      </c>
      <c r="BR606" s="2" t="s">
        <v>84</v>
      </c>
      <c r="BS606" s="3">
        <v>42978</v>
      </c>
      <c r="BT606" s="4">
        <v>0.44166666666666665</v>
      </c>
      <c r="BU606" s="2" t="s">
        <v>1260</v>
      </c>
      <c r="BV606" s="2" t="s">
        <v>95</v>
      </c>
      <c r="BW606" s="2"/>
      <c r="BX606" s="2"/>
      <c r="BY606" s="2">
        <v>10852.07</v>
      </c>
      <c r="BZ606" s="2" t="s">
        <v>27</v>
      </c>
      <c r="CA606" s="2" t="s">
        <v>1261</v>
      </c>
      <c r="CB606" s="2"/>
      <c r="CC606" s="2" t="s">
        <v>145</v>
      </c>
      <c r="CD606" s="2">
        <v>1723</v>
      </c>
      <c r="CE606" s="2" t="s">
        <v>89</v>
      </c>
      <c r="CF606" s="2"/>
      <c r="CG606" s="2"/>
      <c r="CH606" s="2"/>
      <c r="CI606" s="2">
        <v>1</v>
      </c>
      <c r="CJ606" s="2">
        <v>1</v>
      </c>
      <c r="CK606" s="2">
        <v>22</v>
      </c>
      <c r="CL606" s="2" t="s">
        <v>86</v>
      </c>
      <c r="CM606" s="2"/>
    </row>
    <row r="607" spans="1:91">
      <c r="A607" s="2" t="s">
        <v>71</v>
      </c>
      <c r="B607" s="2" t="s">
        <v>72</v>
      </c>
      <c r="C607" s="2" t="s">
        <v>73</v>
      </c>
      <c r="D607" s="2"/>
      <c r="E607" s="2" t="str">
        <f>"FES1162572317"</f>
        <v>FES1162572317</v>
      </c>
      <c r="F607" s="3">
        <v>42977</v>
      </c>
      <c r="G607" s="2">
        <v>201802</v>
      </c>
      <c r="H607" s="2" t="s">
        <v>74</v>
      </c>
      <c r="I607" s="2" t="s">
        <v>75</v>
      </c>
      <c r="J607" s="2" t="s">
        <v>76</v>
      </c>
      <c r="K607" s="2" t="s">
        <v>77</v>
      </c>
      <c r="L607" s="2" t="s">
        <v>343</v>
      </c>
      <c r="M607" s="2" t="s">
        <v>344</v>
      </c>
      <c r="N607" s="2" t="s">
        <v>1225</v>
      </c>
      <c r="O607" s="2" t="s">
        <v>100</v>
      </c>
      <c r="P607" s="2" t="str">
        <f>"2170587852                    "</f>
        <v xml:space="preserve">2170587852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9.01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3.6</v>
      </c>
      <c r="BJ607" s="2">
        <v>4.4000000000000004</v>
      </c>
      <c r="BK607" s="2">
        <v>4.5</v>
      </c>
      <c r="BL607" s="2">
        <v>93.25</v>
      </c>
      <c r="BM607" s="2">
        <v>13.06</v>
      </c>
      <c r="BN607" s="2">
        <v>106.31</v>
      </c>
      <c r="BO607" s="2">
        <v>106.31</v>
      </c>
      <c r="BP607" s="2"/>
      <c r="BQ607" s="2" t="s">
        <v>108</v>
      </c>
      <c r="BR607" s="2" t="s">
        <v>84</v>
      </c>
      <c r="BS607" s="3">
        <v>42978</v>
      </c>
      <c r="BT607" s="4">
        <v>0.44027777777777777</v>
      </c>
      <c r="BU607" s="2" t="s">
        <v>1262</v>
      </c>
      <c r="BV607" s="2" t="s">
        <v>95</v>
      </c>
      <c r="BW607" s="2"/>
      <c r="BX607" s="2"/>
      <c r="BY607" s="2">
        <v>21812</v>
      </c>
      <c r="BZ607" s="2" t="s">
        <v>27</v>
      </c>
      <c r="CA607" s="2" t="s">
        <v>347</v>
      </c>
      <c r="CB607" s="2"/>
      <c r="CC607" s="2" t="s">
        <v>344</v>
      </c>
      <c r="CD607" s="2">
        <v>4113</v>
      </c>
      <c r="CE607" s="2" t="s">
        <v>135</v>
      </c>
      <c r="CF607" s="2"/>
      <c r="CG607" s="2"/>
      <c r="CH607" s="2"/>
      <c r="CI607" s="2">
        <v>1</v>
      </c>
      <c r="CJ607" s="2">
        <v>1</v>
      </c>
      <c r="CK607" s="2">
        <v>21</v>
      </c>
      <c r="CL607" s="2" t="s">
        <v>86</v>
      </c>
      <c r="CM607" s="2"/>
    </row>
    <row r="608" spans="1:91">
      <c r="A608" s="2" t="s">
        <v>71</v>
      </c>
      <c r="B608" s="2" t="s">
        <v>72</v>
      </c>
      <c r="C608" s="2" t="s">
        <v>73</v>
      </c>
      <c r="D608" s="2"/>
      <c r="E608" s="2" t="str">
        <f>"FES1162572291"</f>
        <v>FES1162572291</v>
      </c>
      <c r="F608" s="3">
        <v>42977</v>
      </c>
      <c r="G608" s="2">
        <v>201802</v>
      </c>
      <c r="H608" s="2" t="s">
        <v>74</v>
      </c>
      <c r="I608" s="2" t="s">
        <v>75</v>
      </c>
      <c r="J608" s="2" t="s">
        <v>76</v>
      </c>
      <c r="K608" s="2" t="s">
        <v>77</v>
      </c>
      <c r="L608" s="2" t="s">
        <v>449</v>
      </c>
      <c r="M608" s="2" t="s">
        <v>1263</v>
      </c>
      <c r="N608" s="2" t="s">
        <v>1264</v>
      </c>
      <c r="O608" s="2" t="s">
        <v>100</v>
      </c>
      <c r="P608" s="2" t="str">
        <f>"2170587845                    "</f>
        <v xml:space="preserve">2170587845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13.01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3.2</v>
      </c>
      <c r="BJ608" s="2">
        <v>1.8</v>
      </c>
      <c r="BK608" s="2">
        <v>3.5</v>
      </c>
      <c r="BL608" s="2">
        <v>134.69</v>
      </c>
      <c r="BM608" s="2">
        <v>18.86</v>
      </c>
      <c r="BN608" s="2">
        <v>153.55000000000001</v>
      </c>
      <c r="BO608" s="2">
        <v>153.55000000000001</v>
      </c>
      <c r="BP608" s="2"/>
      <c r="BQ608" s="2" t="s">
        <v>365</v>
      </c>
      <c r="BR608" s="2" t="s">
        <v>84</v>
      </c>
      <c r="BS608" s="3">
        <v>42978</v>
      </c>
      <c r="BT608" s="4">
        <v>0</v>
      </c>
      <c r="BU608" s="2" t="s">
        <v>1265</v>
      </c>
      <c r="BV608" s="2" t="s">
        <v>95</v>
      </c>
      <c r="BW608" s="2"/>
      <c r="BX608" s="2"/>
      <c r="BY608" s="2">
        <v>9102.98</v>
      </c>
      <c r="BZ608" s="2" t="s">
        <v>27</v>
      </c>
      <c r="CA608" s="2"/>
      <c r="CB608" s="2"/>
      <c r="CC608" s="2" t="s">
        <v>1263</v>
      </c>
      <c r="CD608" s="2">
        <v>5320</v>
      </c>
      <c r="CE608" s="2" t="s">
        <v>948</v>
      </c>
      <c r="CF608" s="2"/>
      <c r="CG608" s="2"/>
      <c r="CH608" s="2"/>
      <c r="CI608" s="2">
        <v>4</v>
      </c>
      <c r="CJ608" s="2">
        <v>1</v>
      </c>
      <c r="CK608" s="2">
        <v>23</v>
      </c>
      <c r="CL608" s="2" t="s">
        <v>86</v>
      </c>
      <c r="CM608" s="2"/>
    </row>
    <row r="609" spans="1:91">
      <c r="A609" s="2" t="s">
        <v>71</v>
      </c>
      <c r="B609" s="2" t="s">
        <v>72</v>
      </c>
      <c r="C609" s="2" t="s">
        <v>73</v>
      </c>
      <c r="D609" s="2"/>
      <c r="E609" s="2" t="str">
        <f>"FES1162572230"</f>
        <v>FES1162572230</v>
      </c>
      <c r="F609" s="3">
        <v>42977</v>
      </c>
      <c r="G609" s="2">
        <v>201802</v>
      </c>
      <c r="H609" s="2" t="s">
        <v>74</v>
      </c>
      <c r="I609" s="2" t="s">
        <v>75</v>
      </c>
      <c r="J609" s="2" t="s">
        <v>76</v>
      </c>
      <c r="K609" s="2" t="s">
        <v>77</v>
      </c>
      <c r="L609" s="2" t="s">
        <v>174</v>
      </c>
      <c r="M609" s="2" t="s">
        <v>175</v>
      </c>
      <c r="N609" s="2" t="s">
        <v>1266</v>
      </c>
      <c r="O609" s="2" t="s">
        <v>100</v>
      </c>
      <c r="P609" s="2" t="str">
        <f>"2170585635                    "</f>
        <v xml:space="preserve">2170585635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4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1</v>
      </c>
      <c r="BJ609" s="2">
        <v>0.2</v>
      </c>
      <c r="BK609" s="2">
        <v>1</v>
      </c>
      <c r="BL609" s="2">
        <v>41.44</v>
      </c>
      <c r="BM609" s="2">
        <v>5.8</v>
      </c>
      <c r="BN609" s="2">
        <v>47.24</v>
      </c>
      <c r="BO609" s="2">
        <v>47.24</v>
      </c>
      <c r="BP609" s="2"/>
      <c r="BQ609" s="2"/>
      <c r="BR609" s="2" t="s">
        <v>84</v>
      </c>
      <c r="BS609" s="3">
        <v>42978</v>
      </c>
      <c r="BT609" s="4">
        <v>0.42708333333333331</v>
      </c>
      <c r="BU609" s="2" t="s">
        <v>1218</v>
      </c>
      <c r="BV609" s="2" t="s">
        <v>95</v>
      </c>
      <c r="BW609" s="2"/>
      <c r="BX609" s="2"/>
      <c r="BY609" s="2">
        <v>1200</v>
      </c>
      <c r="BZ609" s="2" t="s">
        <v>27</v>
      </c>
      <c r="CA609" s="2"/>
      <c r="CB609" s="2"/>
      <c r="CC609" s="2" t="s">
        <v>175</v>
      </c>
      <c r="CD609" s="2">
        <v>5200</v>
      </c>
      <c r="CE609" s="2" t="s">
        <v>104</v>
      </c>
      <c r="CF609" s="2"/>
      <c r="CG609" s="2"/>
      <c r="CH609" s="2"/>
      <c r="CI609" s="2">
        <v>1</v>
      </c>
      <c r="CJ609" s="2">
        <v>1</v>
      </c>
      <c r="CK609" s="2">
        <v>21</v>
      </c>
      <c r="CL609" s="2" t="s">
        <v>86</v>
      </c>
      <c r="CM609" s="2"/>
    </row>
    <row r="610" spans="1:91">
      <c r="A610" s="2" t="s">
        <v>71</v>
      </c>
      <c r="B610" s="2" t="s">
        <v>72</v>
      </c>
      <c r="C610" s="2" t="s">
        <v>73</v>
      </c>
      <c r="D610" s="2"/>
      <c r="E610" s="2" t="str">
        <f>"FES1162572227"</f>
        <v>FES1162572227</v>
      </c>
      <c r="F610" s="3">
        <v>42977</v>
      </c>
      <c r="G610" s="2">
        <v>201802</v>
      </c>
      <c r="H610" s="2" t="s">
        <v>74</v>
      </c>
      <c r="I610" s="2" t="s">
        <v>75</v>
      </c>
      <c r="J610" s="2" t="s">
        <v>76</v>
      </c>
      <c r="K610" s="2" t="s">
        <v>77</v>
      </c>
      <c r="L610" s="2" t="s">
        <v>174</v>
      </c>
      <c r="M610" s="2" t="s">
        <v>175</v>
      </c>
      <c r="N610" s="2" t="s">
        <v>208</v>
      </c>
      <c r="O610" s="2" t="s">
        <v>100</v>
      </c>
      <c r="P610" s="2" t="str">
        <f>"2170585599                    "</f>
        <v xml:space="preserve">2170585599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4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1</v>
      </c>
      <c r="BI610" s="2">
        <v>1</v>
      </c>
      <c r="BJ610" s="2">
        <v>0.2</v>
      </c>
      <c r="BK610" s="2">
        <v>1</v>
      </c>
      <c r="BL610" s="2">
        <v>41.44</v>
      </c>
      <c r="BM610" s="2">
        <v>5.8</v>
      </c>
      <c r="BN610" s="2">
        <v>47.24</v>
      </c>
      <c r="BO610" s="2">
        <v>47.24</v>
      </c>
      <c r="BP610" s="2"/>
      <c r="BQ610" s="2" t="s">
        <v>108</v>
      </c>
      <c r="BR610" s="2" t="s">
        <v>84</v>
      </c>
      <c r="BS610" s="3">
        <v>42978</v>
      </c>
      <c r="BT610" s="4">
        <v>0.3666666666666667</v>
      </c>
      <c r="BU610" s="2" t="s">
        <v>1267</v>
      </c>
      <c r="BV610" s="2" t="s">
        <v>95</v>
      </c>
      <c r="BW610" s="2"/>
      <c r="BX610" s="2"/>
      <c r="BY610" s="2">
        <v>1200</v>
      </c>
      <c r="BZ610" s="2" t="s">
        <v>27</v>
      </c>
      <c r="CA610" s="2" t="s">
        <v>360</v>
      </c>
      <c r="CB610" s="2"/>
      <c r="CC610" s="2" t="s">
        <v>175</v>
      </c>
      <c r="CD610" s="2">
        <v>5201</v>
      </c>
      <c r="CE610" s="2" t="s">
        <v>104</v>
      </c>
      <c r="CF610" s="5">
        <v>42978</v>
      </c>
      <c r="CG610" s="2"/>
      <c r="CH610" s="2"/>
      <c r="CI610" s="2">
        <v>1</v>
      </c>
      <c r="CJ610" s="2">
        <v>1</v>
      </c>
      <c r="CK610" s="2">
        <v>21</v>
      </c>
      <c r="CL610" s="2" t="s">
        <v>86</v>
      </c>
      <c r="CM610" s="2"/>
    </row>
    <row r="611" spans="1:91">
      <c r="A611" s="2" t="s">
        <v>71</v>
      </c>
      <c r="B611" s="2" t="s">
        <v>72</v>
      </c>
      <c r="C611" s="2" t="s">
        <v>73</v>
      </c>
      <c r="D611" s="2"/>
      <c r="E611" s="2" t="str">
        <f>"FES1162572278"</f>
        <v>FES1162572278</v>
      </c>
      <c r="F611" s="3">
        <v>42977</v>
      </c>
      <c r="G611" s="2">
        <v>201802</v>
      </c>
      <c r="H611" s="2" t="s">
        <v>74</v>
      </c>
      <c r="I611" s="2" t="s">
        <v>75</v>
      </c>
      <c r="J611" s="2" t="s">
        <v>76</v>
      </c>
      <c r="K611" s="2" t="s">
        <v>77</v>
      </c>
      <c r="L611" s="2" t="s">
        <v>149</v>
      </c>
      <c r="M611" s="2" t="s">
        <v>150</v>
      </c>
      <c r="N611" s="2" t="s">
        <v>1268</v>
      </c>
      <c r="O611" s="2" t="s">
        <v>100</v>
      </c>
      <c r="P611" s="2" t="str">
        <f>"2170587775                    "</f>
        <v xml:space="preserve">2170587775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9.01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4.2</v>
      </c>
      <c r="BJ611" s="2">
        <v>1.8</v>
      </c>
      <c r="BK611" s="2">
        <v>4.5</v>
      </c>
      <c r="BL611" s="2">
        <v>93.25</v>
      </c>
      <c r="BM611" s="2">
        <v>13.06</v>
      </c>
      <c r="BN611" s="2">
        <v>106.31</v>
      </c>
      <c r="BO611" s="2">
        <v>106.31</v>
      </c>
      <c r="BP611" s="2"/>
      <c r="BQ611" s="2" t="s">
        <v>83</v>
      </c>
      <c r="BR611" s="2" t="s">
        <v>84</v>
      </c>
      <c r="BS611" s="3">
        <v>42978</v>
      </c>
      <c r="BT611" s="4">
        <v>0.30902777777777779</v>
      </c>
      <c r="BU611" s="2" t="s">
        <v>1269</v>
      </c>
      <c r="BV611" s="2" t="s">
        <v>95</v>
      </c>
      <c r="BW611" s="2"/>
      <c r="BX611" s="2"/>
      <c r="BY611" s="2">
        <v>8906.14</v>
      </c>
      <c r="BZ611" s="2" t="s">
        <v>27</v>
      </c>
      <c r="CA611" s="2" t="s">
        <v>682</v>
      </c>
      <c r="CB611" s="2"/>
      <c r="CC611" s="2" t="s">
        <v>150</v>
      </c>
      <c r="CD611" s="2">
        <v>4001</v>
      </c>
      <c r="CE611" s="2" t="s">
        <v>89</v>
      </c>
      <c r="CF611" s="2"/>
      <c r="CG611" s="2"/>
      <c r="CH611" s="2"/>
      <c r="CI611" s="2">
        <v>1</v>
      </c>
      <c r="CJ611" s="2">
        <v>1</v>
      </c>
      <c r="CK611" s="2">
        <v>21</v>
      </c>
      <c r="CL611" s="2" t="s">
        <v>86</v>
      </c>
      <c r="CM611" s="2"/>
    </row>
    <row r="612" spans="1:91">
      <c r="A612" s="2" t="s">
        <v>71</v>
      </c>
      <c r="B612" s="2" t="s">
        <v>72</v>
      </c>
      <c r="C612" s="2" t="s">
        <v>73</v>
      </c>
      <c r="D612" s="2"/>
      <c r="E612" s="2" t="str">
        <f>"FES1162572361"</f>
        <v>FES1162572361</v>
      </c>
      <c r="F612" s="3">
        <v>42977</v>
      </c>
      <c r="G612" s="2">
        <v>201802</v>
      </c>
      <c r="H612" s="2" t="s">
        <v>74</v>
      </c>
      <c r="I612" s="2" t="s">
        <v>75</v>
      </c>
      <c r="J612" s="2" t="s">
        <v>76</v>
      </c>
      <c r="K612" s="2" t="s">
        <v>77</v>
      </c>
      <c r="L612" s="2" t="s">
        <v>105</v>
      </c>
      <c r="M612" s="2" t="s">
        <v>106</v>
      </c>
      <c r="N612" s="2" t="s">
        <v>1270</v>
      </c>
      <c r="O612" s="2" t="s">
        <v>100</v>
      </c>
      <c r="P612" s="2" t="str">
        <f>"2170587903                    "</f>
        <v xml:space="preserve">2170587903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4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0.8</v>
      </c>
      <c r="BJ612" s="2">
        <v>1</v>
      </c>
      <c r="BK612" s="2">
        <v>1</v>
      </c>
      <c r="BL612" s="2">
        <v>41.44</v>
      </c>
      <c r="BM612" s="2">
        <v>5.8</v>
      </c>
      <c r="BN612" s="2">
        <v>47.24</v>
      </c>
      <c r="BO612" s="2">
        <v>47.24</v>
      </c>
      <c r="BP612" s="2"/>
      <c r="BQ612" s="2" t="s">
        <v>1271</v>
      </c>
      <c r="BR612" s="2" t="s">
        <v>84</v>
      </c>
      <c r="BS612" s="3">
        <v>42978</v>
      </c>
      <c r="BT612" s="4">
        <v>0.50972222222222219</v>
      </c>
      <c r="BU612" s="2" t="s">
        <v>1272</v>
      </c>
      <c r="BV612" s="2" t="s">
        <v>86</v>
      </c>
      <c r="BW612" s="2" t="s">
        <v>110</v>
      </c>
      <c r="BX612" s="2" t="s">
        <v>290</v>
      </c>
      <c r="BY612" s="2">
        <v>5188.8</v>
      </c>
      <c r="BZ612" s="2" t="s">
        <v>27</v>
      </c>
      <c r="CA612" s="2" t="s">
        <v>255</v>
      </c>
      <c r="CB612" s="2"/>
      <c r="CC612" s="2" t="s">
        <v>106</v>
      </c>
      <c r="CD612" s="2">
        <v>7800</v>
      </c>
      <c r="CE612" s="2" t="s">
        <v>89</v>
      </c>
      <c r="CF612" s="5">
        <v>42978</v>
      </c>
      <c r="CG612" s="2"/>
      <c r="CH612" s="2"/>
      <c r="CI612" s="2">
        <v>1</v>
      </c>
      <c r="CJ612" s="2">
        <v>1</v>
      </c>
      <c r="CK612" s="2">
        <v>21</v>
      </c>
      <c r="CL612" s="2" t="s">
        <v>86</v>
      </c>
      <c r="CM612" s="2"/>
    </row>
    <row r="613" spans="1:91">
      <c r="A613" s="2" t="s">
        <v>71</v>
      </c>
      <c r="B613" s="2" t="s">
        <v>72</v>
      </c>
      <c r="C613" s="2" t="s">
        <v>73</v>
      </c>
      <c r="D613" s="2"/>
      <c r="E613" s="2" t="str">
        <f>"FES1162572309"</f>
        <v>FES1162572309</v>
      </c>
      <c r="F613" s="3">
        <v>42977</v>
      </c>
      <c r="G613" s="2">
        <v>201802</v>
      </c>
      <c r="H613" s="2" t="s">
        <v>74</v>
      </c>
      <c r="I613" s="2" t="s">
        <v>75</v>
      </c>
      <c r="J613" s="2" t="s">
        <v>76</v>
      </c>
      <c r="K613" s="2" t="s">
        <v>77</v>
      </c>
      <c r="L613" s="2" t="s">
        <v>144</v>
      </c>
      <c r="M613" s="2" t="s">
        <v>145</v>
      </c>
      <c r="N613" s="2" t="s">
        <v>402</v>
      </c>
      <c r="O613" s="2" t="s">
        <v>100</v>
      </c>
      <c r="P613" s="2" t="str">
        <f>"2170585426                    "</f>
        <v xml:space="preserve">2170585426     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3.13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1</v>
      </c>
      <c r="BJ613" s="2">
        <v>0.2</v>
      </c>
      <c r="BK613" s="2">
        <v>1</v>
      </c>
      <c r="BL613" s="2">
        <v>32.380000000000003</v>
      </c>
      <c r="BM613" s="2">
        <v>4.53</v>
      </c>
      <c r="BN613" s="2">
        <v>36.909999999999997</v>
      </c>
      <c r="BO613" s="2">
        <v>36.909999999999997</v>
      </c>
      <c r="BP613" s="2"/>
      <c r="BQ613" s="2" t="s">
        <v>1273</v>
      </c>
      <c r="BR613" s="2" t="s">
        <v>84</v>
      </c>
      <c r="BS613" s="3">
        <v>42978</v>
      </c>
      <c r="BT613" s="4">
        <v>0.52083333333333337</v>
      </c>
      <c r="BU613" s="2" t="s">
        <v>1274</v>
      </c>
      <c r="BV613" s="2" t="s">
        <v>95</v>
      </c>
      <c r="BW613" s="2"/>
      <c r="BX613" s="2"/>
      <c r="BY613" s="2">
        <v>1200</v>
      </c>
      <c r="BZ613" s="2" t="s">
        <v>27</v>
      </c>
      <c r="CA613" s="2"/>
      <c r="CB613" s="2"/>
      <c r="CC613" s="2" t="s">
        <v>145</v>
      </c>
      <c r="CD613" s="2">
        <v>1832</v>
      </c>
      <c r="CE613" s="2" t="s">
        <v>104</v>
      </c>
      <c r="CF613" s="2"/>
      <c r="CG613" s="2"/>
      <c r="CH613" s="2"/>
      <c r="CI613" s="2">
        <v>1</v>
      </c>
      <c r="CJ613" s="2">
        <v>1</v>
      </c>
      <c r="CK613" s="2">
        <v>22</v>
      </c>
      <c r="CL613" s="2" t="s">
        <v>86</v>
      </c>
      <c r="CM613" s="2"/>
    </row>
    <row r="614" spans="1:91">
      <c r="A614" s="2" t="s">
        <v>71</v>
      </c>
      <c r="B614" s="2" t="s">
        <v>72</v>
      </c>
      <c r="C614" s="2" t="s">
        <v>73</v>
      </c>
      <c r="D614" s="2"/>
      <c r="E614" s="2" t="str">
        <f>"FES1162572290"</f>
        <v>FES1162572290</v>
      </c>
      <c r="F614" s="3">
        <v>42977</v>
      </c>
      <c r="G614" s="2">
        <v>201802</v>
      </c>
      <c r="H614" s="2" t="s">
        <v>74</v>
      </c>
      <c r="I614" s="2" t="s">
        <v>75</v>
      </c>
      <c r="J614" s="2" t="s">
        <v>76</v>
      </c>
      <c r="K614" s="2" t="s">
        <v>77</v>
      </c>
      <c r="L614" s="2" t="s">
        <v>221</v>
      </c>
      <c r="M614" s="2" t="s">
        <v>222</v>
      </c>
      <c r="N614" s="2" t="s">
        <v>1275</v>
      </c>
      <c r="O614" s="2" t="s">
        <v>100</v>
      </c>
      <c r="P614" s="2" t="str">
        <f>"2170587844                    "</f>
        <v xml:space="preserve">2170587844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5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2.5</v>
      </c>
      <c r="BJ614" s="2">
        <v>1.6</v>
      </c>
      <c r="BK614" s="2">
        <v>2.5</v>
      </c>
      <c r="BL614" s="2">
        <v>51.8</v>
      </c>
      <c r="BM614" s="2">
        <v>7.25</v>
      </c>
      <c r="BN614" s="2">
        <v>59.05</v>
      </c>
      <c r="BO614" s="2">
        <v>59.05</v>
      </c>
      <c r="BP614" s="2"/>
      <c r="BQ614" s="2" t="s">
        <v>227</v>
      </c>
      <c r="BR614" s="2" t="s">
        <v>84</v>
      </c>
      <c r="BS614" s="3">
        <v>42978</v>
      </c>
      <c r="BT614" s="4">
        <v>0.37847222222222227</v>
      </c>
      <c r="BU614" s="2" t="s">
        <v>1276</v>
      </c>
      <c r="BV614" s="2" t="s">
        <v>95</v>
      </c>
      <c r="BW614" s="2"/>
      <c r="BX614" s="2"/>
      <c r="BY614" s="2">
        <v>7806.56</v>
      </c>
      <c r="BZ614" s="2" t="s">
        <v>27</v>
      </c>
      <c r="CA614" s="2"/>
      <c r="CB614" s="2"/>
      <c r="CC614" s="2" t="s">
        <v>222</v>
      </c>
      <c r="CD614" s="2">
        <v>4300</v>
      </c>
      <c r="CE614" s="2" t="s">
        <v>89</v>
      </c>
      <c r="CF614" s="2"/>
      <c r="CG614" s="2"/>
      <c r="CH614" s="2"/>
      <c r="CI614" s="2">
        <v>1</v>
      </c>
      <c r="CJ614" s="2">
        <v>1</v>
      </c>
      <c r="CK614" s="2">
        <v>21</v>
      </c>
      <c r="CL614" s="2" t="s">
        <v>86</v>
      </c>
      <c r="CM614" s="2"/>
    </row>
    <row r="615" spans="1:91">
      <c r="A615" s="2" t="s">
        <v>71</v>
      </c>
      <c r="B615" s="2" t="s">
        <v>72</v>
      </c>
      <c r="C615" s="2" t="s">
        <v>73</v>
      </c>
      <c r="D615" s="2"/>
      <c r="E615" s="2" t="str">
        <f>"FES1162572318"</f>
        <v>FES1162572318</v>
      </c>
      <c r="F615" s="3">
        <v>42977</v>
      </c>
      <c r="G615" s="2">
        <v>201802</v>
      </c>
      <c r="H615" s="2" t="s">
        <v>74</v>
      </c>
      <c r="I615" s="2" t="s">
        <v>75</v>
      </c>
      <c r="J615" s="2" t="s">
        <v>76</v>
      </c>
      <c r="K615" s="2" t="s">
        <v>77</v>
      </c>
      <c r="L615" s="2" t="s">
        <v>97</v>
      </c>
      <c r="M615" s="2" t="s">
        <v>98</v>
      </c>
      <c r="N615" s="2" t="s">
        <v>1029</v>
      </c>
      <c r="O615" s="2" t="s">
        <v>100</v>
      </c>
      <c r="P615" s="2" t="str">
        <f>"2170587855                    "</f>
        <v xml:space="preserve">2170587855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42.02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10.199999999999999</v>
      </c>
      <c r="BJ615" s="2">
        <v>20.7</v>
      </c>
      <c r="BK615" s="2">
        <v>21</v>
      </c>
      <c r="BL615" s="2">
        <v>435.14</v>
      </c>
      <c r="BM615" s="2">
        <v>60.92</v>
      </c>
      <c r="BN615" s="2">
        <v>496.06</v>
      </c>
      <c r="BO615" s="2">
        <v>496.06</v>
      </c>
      <c r="BP615" s="2"/>
      <c r="BQ615" s="2" t="s">
        <v>1277</v>
      </c>
      <c r="BR615" s="2" t="s">
        <v>84</v>
      </c>
      <c r="BS615" s="3">
        <v>42978</v>
      </c>
      <c r="BT615" s="4">
        <v>0.33611111111111108</v>
      </c>
      <c r="BU615" s="2" t="s">
        <v>1278</v>
      </c>
      <c r="BV615" s="2" t="s">
        <v>95</v>
      </c>
      <c r="BW615" s="2"/>
      <c r="BX615" s="2"/>
      <c r="BY615" s="2">
        <v>103271.54</v>
      </c>
      <c r="BZ615" s="2" t="s">
        <v>27</v>
      </c>
      <c r="CA615" s="2" t="s">
        <v>213</v>
      </c>
      <c r="CB615" s="2"/>
      <c r="CC615" s="2" t="s">
        <v>98</v>
      </c>
      <c r="CD615" s="2">
        <v>6001</v>
      </c>
      <c r="CE615" s="2" t="s">
        <v>89</v>
      </c>
      <c r="CF615" s="5">
        <v>42978</v>
      </c>
      <c r="CG615" s="2"/>
      <c r="CH615" s="2"/>
      <c r="CI615" s="2">
        <v>1</v>
      </c>
      <c r="CJ615" s="2">
        <v>1</v>
      </c>
      <c r="CK615" s="2">
        <v>21</v>
      </c>
      <c r="CL615" s="2" t="s">
        <v>86</v>
      </c>
      <c r="CM615" s="2"/>
    </row>
    <row r="616" spans="1:91">
      <c r="A616" s="2" t="s">
        <v>71</v>
      </c>
      <c r="B616" s="2" t="s">
        <v>72</v>
      </c>
      <c r="C616" s="2" t="s">
        <v>73</v>
      </c>
      <c r="D616" s="2"/>
      <c r="E616" s="2" t="str">
        <f>"FES1162572228"</f>
        <v>FES1162572228</v>
      </c>
      <c r="F616" s="3">
        <v>42977</v>
      </c>
      <c r="G616" s="2">
        <v>201802</v>
      </c>
      <c r="H616" s="2" t="s">
        <v>74</v>
      </c>
      <c r="I616" s="2" t="s">
        <v>75</v>
      </c>
      <c r="J616" s="2" t="s">
        <v>76</v>
      </c>
      <c r="K616" s="2" t="s">
        <v>77</v>
      </c>
      <c r="L616" s="2" t="s">
        <v>174</v>
      </c>
      <c r="M616" s="2" t="s">
        <v>175</v>
      </c>
      <c r="N616" s="2" t="s">
        <v>1279</v>
      </c>
      <c r="O616" s="2" t="s">
        <v>100</v>
      </c>
      <c r="P616" s="2" t="str">
        <f>"2170585608                    "</f>
        <v xml:space="preserve">2170585608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4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1</v>
      </c>
      <c r="BI616" s="2">
        <v>1</v>
      </c>
      <c r="BJ616" s="2">
        <v>0.2</v>
      </c>
      <c r="BK616" s="2">
        <v>1</v>
      </c>
      <c r="BL616" s="2">
        <v>41.44</v>
      </c>
      <c r="BM616" s="2">
        <v>5.8</v>
      </c>
      <c r="BN616" s="2">
        <v>47.24</v>
      </c>
      <c r="BO616" s="2">
        <v>47.24</v>
      </c>
      <c r="BP616" s="2"/>
      <c r="BQ616" s="2" t="s">
        <v>83</v>
      </c>
      <c r="BR616" s="2" t="s">
        <v>84</v>
      </c>
      <c r="BS616" s="3">
        <v>42978</v>
      </c>
      <c r="BT616" s="4">
        <v>0.3576388888888889</v>
      </c>
      <c r="BU616" s="2" t="s">
        <v>1280</v>
      </c>
      <c r="BV616" s="2" t="s">
        <v>95</v>
      </c>
      <c r="BW616" s="2"/>
      <c r="BX616" s="2"/>
      <c r="BY616" s="2">
        <v>1200</v>
      </c>
      <c r="BZ616" s="2" t="s">
        <v>27</v>
      </c>
      <c r="CA616" s="2" t="s">
        <v>360</v>
      </c>
      <c r="CB616" s="2"/>
      <c r="CC616" s="2" t="s">
        <v>175</v>
      </c>
      <c r="CD616" s="2">
        <v>5201</v>
      </c>
      <c r="CE616" s="2" t="s">
        <v>104</v>
      </c>
      <c r="CF616" s="5">
        <v>42978</v>
      </c>
      <c r="CG616" s="2"/>
      <c r="CH616" s="2"/>
      <c r="CI616" s="2">
        <v>1</v>
      </c>
      <c r="CJ616" s="2">
        <v>1</v>
      </c>
      <c r="CK616" s="2">
        <v>21</v>
      </c>
      <c r="CL616" s="2" t="s">
        <v>86</v>
      </c>
      <c r="CM616" s="2"/>
    </row>
    <row r="617" spans="1:91">
      <c r="A617" s="2" t="s">
        <v>71</v>
      </c>
      <c r="B617" s="2" t="s">
        <v>72</v>
      </c>
      <c r="C617" s="2" t="s">
        <v>73</v>
      </c>
      <c r="D617" s="2"/>
      <c r="E617" s="2" t="str">
        <f>"FES1162572392"</f>
        <v>FES1162572392</v>
      </c>
      <c r="F617" s="3">
        <v>42977</v>
      </c>
      <c r="G617" s="2">
        <v>201802</v>
      </c>
      <c r="H617" s="2" t="s">
        <v>74</v>
      </c>
      <c r="I617" s="2" t="s">
        <v>75</v>
      </c>
      <c r="J617" s="2" t="s">
        <v>76</v>
      </c>
      <c r="K617" s="2" t="s">
        <v>77</v>
      </c>
      <c r="L617" s="2" t="s">
        <v>105</v>
      </c>
      <c r="M617" s="2" t="s">
        <v>106</v>
      </c>
      <c r="N617" s="2" t="s">
        <v>1281</v>
      </c>
      <c r="O617" s="2" t="s">
        <v>100</v>
      </c>
      <c r="P617" s="2" t="str">
        <f>"2170586244                    "</f>
        <v xml:space="preserve">2170586244 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7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1</v>
      </c>
      <c r="BI617" s="2">
        <v>3.2</v>
      </c>
      <c r="BJ617" s="2">
        <v>3.5</v>
      </c>
      <c r="BK617" s="2">
        <v>3.5</v>
      </c>
      <c r="BL617" s="2">
        <v>72.52</v>
      </c>
      <c r="BM617" s="2">
        <v>10.15</v>
      </c>
      <c r="BN617" s="2">
        <v>82.67</v>
      </c>
      <c r="BO617" s="2">
        <v>82.67</v>
      </c>
      <c r="BP617" s="2"/>
      <c r="BQ617" s="2" t="s">
        <v>83</v>
      </c>
      <c r="BR617" s="2" t="s">
        <v>84</v>
      </c>
      <c r="BS617" s="3">
        <v>42978</v>
      </c>
      <c r="BT617" s="4">
        <v>0.51736111111111105</v>
      </c>
      <c r="BU617" s="2" t="s">
        <v>1282</v>
      </c>
      <c r="BV617" s="2" t="s">
        <v>86</v>
      </c>
      <c r="BW617" s="2" t="s">
        <v>110</v>
      </c>
      <c r="BX617" s="2" t="s">
        <v>290</v>
      </c>
      <c r="BY617" s="2">
        <v>17403.68</v>
      </c>
      <c r="BZ617" s="2" t="s">
        <v>27</v>
      </c>
      <c r="CA617" s="2" t="s">
        <v>255</v>
      </c>
      <c r="CB617" s="2"/>
      <c r="CC617" s="2" t="s">
        <v>106</v>
      </c>
      <c r="CD617" s="2">
        <v>7800</v>
      </c>
      <c r="CE617" s="2" t="s">
        <v>89</v>
      </c>
      <c r="CF617" s="5">
        <v>42978</v>
      </c>
      <c r="CG617" s="2"/>
      <c r="CH617" s="2"/>
      <c r="CI617" s="2">
        <v>1</v>
      </c>
      <c r="CJ617" s="2">
        <v>1</v>
      </c>
      <c r="CK617" s="2">
        <v>21</v>
      </c>
      <c r="CL617" s="2" t="s">
        <v>86</v>
      </c>
      <c r="CM617" s="2"/>
    </row>
    <row r="618" spans="1:91">
      <c r="A618" s="2" t="s">
        <v>71</v>
      </c>
      <c r="B618" s="2" t="s">
        <v>72</v>
      </c>
      <c r="C618" s="2" t="s">
        <v>73</v>
      </c>
      <c r="D618" s="2"/>
      <c r="E618" s="2" t="str">
        <f>"FES1162572293"</f>
        <v>FES1162572293</v>
      </c>
      <c r="F618" s="3">
        <v>42977</v>
      </c>
      <c r="G618" s="2">
        <v>201802</v>
      </c>
      <c r="H618" s="2" t="s">
        <v>74</v>
      </c>
      <c r="I618" s="2" t="s">
        <v>75</v>
      </c>
      <c r="J618" s="2" t="s">
        <v>76</v>
      </c>
      <c r="K618" s="2" t="s">
        <v>77</v>
      </c>
      <c r="L618" s="2" t="s">
        <v>343</v>
      </c>
      <c r="M618" s="2" t="s">
        <v>344</v>
      </c>
      <c r="N618" s="2" t="s">
        <v>1225</v>
      </c>
      <c r="O618" s="2" t="s">
        <v>100</v>
      </c>
      <c r="P618" s="2" t="str">
        <f>"2170587849                    "</f>
        <v xml:space="preserve">2170587849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4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1</v>
      </c>
      <c r="BI618" s="2">
        <v>1</v>
      </c>
      <c r="BJ618" s="2">
        <v>0.2</v>
      </c>
      <c r="BK618" s="2">
        <v>1</v>
      </c>
      <c r="BL618" s="2">
        <v>41.44</v>
      </c>
      <c r="BM618" s="2">
        <v>5.8</v>
      </c>
      <c r="BN618" s="2">
        <v>47.24</v>
      </c>
      <c r="BO618" s="2">
        <v>47.24</v>
      </c>
      <c r="BP618" s="2"/>
      <c r="BQ618" s="2" t="s">
        <v>108</v>
      </c>
      <c r="BR618" s="2" t="s">
        <v>84</v>
      </c>
      <c r="BS618" s="3">
        <v>42978</v>
      </c>
      <c r="BT618" s="4">
        <v>0.4375</v>
      </c>
      <c r="BU618" s="2" t="s">
        <v>1283</v>
      </c>
      <c r="BV618" s="2" t="s">
        <v>95</v>
      </c>
      <c r="BW618" s="2"/>
      <c r="BX618" s="2"/>
      <c r="BY618" s="2">
        <v>1200</v>
      </c>
      <c r="BZ618" s="2" t="s">
        <v>27</v>
      </c>
      <c r="CA618" s="2" t="s">
        <v>347</v>
      </c>
      <c r="CB618" s="2"/>
      <c r="CC618" s="2" t="s">
        <v>344</v>
      </c>
      <c r="CD618" s="2">
        <v>4113</v>
      </c>
      <c r="CE618" s="2" t="s">
        <v>104</v>
      </c>
      <c r="CF618" s="2"/>
      <c r="CG618" s="2"/>
      <c r="CH618" s="2"/>
      <c r="CI618" s="2">
        <v>1</v>
      </c>
      <c r="CJ618" s="2">
        <v>1</v>
      </c>
      <c r="CK618" s="2">
        <v>21</v>
      </c>
      <c r="CL618" s="2" t="s">
        <v>86</v>
      </c>
      <c r="CM618" s="2"/>
    </row>
    <row r="619" spans="1:91">
      <c r="A619" s="2" t="s">
        <v>71</v>
      </c>
      <c r="B619" s="2" t="s">
        <v>72</v>
      </c>
      <c r="C619" s="2" t="s">
        <v>73</v>
      </c>
      <c r="D619" s="2"/>
      <c r="E619" s="2" t="str">
        <f>"FES1162572280"</f>
        <v>FES1162572280</v>
      </c>
      <c r="F619" s="3">
        <v>42977</v>
      </c>
      <c r="G619" s="2">
        <v>201802</v>
      </c>
      <c r="H619" s="2" t="s">
        <v>74</v>
      </c>
      <c r="I619" s="2" t="s">
        <v>75</v>
      </c>
      <c r="J619" s="2" t="s">
        <v>76</v>
      </c>
      <c r="K619" s="2" t="s">
        <v>77</v>
      </c>
      <c r="L619" s="2" t="s">
        <v>149</v>
      </c>
      <c r="M619" s="2" t="s">
        <v>150</v>
      </c>
      <c r="N619" s="2" t="s">
        <v>183</v>
      </c>
      <c r="O619" s="2" t="s">
        <v>100</v>
      </c>
      <c r="P619" s="2" t="str">
        <f>"2170587835                    "</f>
        <v xml:space="preserve">2170587835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4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1</v>
      </c>
      <c r="BJ619" s="2">
        <v>0.2</v>
      </c>
      <c r="BK619" s="2">
        <v>1</v>
      </c>
      <c r="BL619" s="2">
        <v>41.44</v>
      </c>
      <c r="BM619" s="2">
        <v>5.8</v>
      </c>
      <c r="BN619" s="2">
        <v>47.24</v>
      </c>
      <c r="BO619" s="2">
        <v>47.24</v>
      </c>
      <c r="BP619" s="2"/>
      <c r="BQ619" s="2" t="s">
        <v>1284</v>
      </c>
      <c r="BR619" s="2" t="s">
        <v>84</v>
      </c>
      <c r="BS619" s="3">
        <v>42978</v>
      </c>
      <c r="BT619" s="4">
        <v>0.32500000000000001</v>
      </c>
      <c r="BU619" s="2" t="s">
        <v>1285</v>
      </c>
      <c r="BV619" s="2" t="s">
        <v>95</v>
      </c>
      <c r="BW619" s="2"/>
      <c r="BX619" s="2"/>
      <c r="BY619" s="2">
        <v>1200</v>
      </c>
      <c r="BZ619" s="2" t="s">
        <v>27</v>
      </c>
      <c r="CA619" s="2" t="s">
        <v>1286</v>
      </c>
      <c r="CB619" s="2"/>
      <c r="CC619" s="2" t="s">
        <v>150</v>
      </c>
      <c r="CD619" s="2">
        <v>4001</v>
      </c>
      <c r="CE619" s="2" t="s">
        <v>104</v>
      </c>
      <c r="CF619" s="5">
        <v>42978</v>
      </c>
      <c r="CG619" s="2"/>
      <c r="CH619" s="2"/>
      <c r="CI619" s="2">
        <v>1</v>
      </c>
      <c r="CJ619" s="2">
        <v>1</v>
      </c>
      <c r="CK619" s="2">
        <v>21</v>
      </c>
      <c r="CL619" s="2" t="s">
        <v>86</v>
      </c>
      <c r="CM619" s="2"/>
    </row>
    <row r="620" spans="1:91">
      <c r="A620" s="2" t="s">
        <v>71</v>
      </c>
      <c r="B620" s="2" t="s">
        <v>72</v>
      </c>
      <c r="C620" s="2" t="s">
        <v>73</v>
      </c>
      <c r="D620" s="2"/>
      <c r="E620" s="2" t="str">
        <f>"FES1162572178"</f>
        <v>FES1162572178</v>
      </c>
      <c r="F620" s="3">
        <v>42977</v>
      </c>
      <c r="G620" s="2">
        <v>201802</v>
      </c>
      <c r="H620" s="2" t="s">
        <v>74</v>
      </c>
      <c r="I620" s="2" t="s">
        <v>75</v>
      </c>
      <c r="J620" s="2" t="s">
        <v>76</v>
      </c>
      <c r="K620" s="2" t="s">
        <v>77</v>
      </c>
      <c r="L620" s="2" t="s">
        <v>105</v>
      </c>
      <c r="M620" s="2" t="s">
        <v>106</v>
      </c>
      <c r="N620" s="2" t="s">
        <v>1083</v>
      </c>
      <c r="O620" s="2" t="s">
        <v>100</v>
      </c>
      <c r="P620" s="2" t="str">
        <f>"2170574488                    "</f>
        <v xml:space="preserve">2170574488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26.02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2</v>
      </c>
      <c r="BI620" s="2">
        <v>9.6999999999999993</v>
      </c>
      <c r="BJ620" s="2">
        <v>12.9</v>
      </c>
      <c r="BK620" s="2">
        <v>13</v>
      </c>
      <c r="BL620" s="2">
        <v>269.38</v>
      </c>
      <c r="BM620" s="2">
        <v>37.71</v>
      </c>
      <c r="BN620" s="2">
        <v>307.08999999999997</v>
      </c>
      <c r="BO620" s="2">
        <v>307.08999999999997</v>
      </c>
      <c r="BP620" s="2"/>
      <c r="BQ620" s="2" t="s">
        <v>83</v>
      </c>
      <c r="BR620" s="2" t="s">
        <v>84</v>
      </c>
      <c r="BS620" s="3">
        <v>42978</v>
      </c>
      <c r="BT620" s="4">
        <v>0.41666666666666669</v>
      </c>
      <c r="BU620" s="2" t="s">
        <v>1287</v>
      </c>
      <c r="BV620" s="2" t="s">
        <v>95</v>
      </c>
      <c r="BW620" s="2"/>
      <c r="BX620" s="2"/>
      <c r="BY620" s="2">
        <v>64451.06</v>
      </c>
      <c r="BZ620" s="2" t="s">
        <v>27</v>
      </c>
      <c r="CA620" s="2"/>
      <c r="CB620" s="2"/>
      <c r="CC620" s="2" t="s">
        <v>106</v>
      </c>
      <c r="CD620" s="2">
        <v>7460</v>
      </c>
      <c r="CE620" s="2" t="s">
        <v>948</v>
      </c>
      <c r="CF620" s="2"/>
      <c r="CG620" s="2"/>
      <c r="CH620" s="2"/>
      <c r="CI620" s="2">
        <v>1</v>
      </c>
      <c r="CJ620" s="2">
        <v>1</v>
      </c>
      <c r="CK620" s="2">
        <v>21</v>
      </c>
      <c r="CL620" s="2" t="s">
        <v>86</v>
      </c>
      <c r="CM620" s="2"/>
    </row>
    <row r="621" spans="1:91">
      <c r="A621" s="2" t="s">
        <v>71</v>
      </c>
      <c r="B621" s="2" t="s">
        <v>72</v>
      </c>
      <c r="C621" s="2" t="s">
        <v>73</v>
      </c>
      <c r="D621" s="2"/>
      <c r="E621" s="2" t="str">
        <f>"FES1162572222"</f>
        <v>FES1162572222</v>
      </c>
      <c r="F621" s="3">
        <v>42977</v>
      </c>
      <c r="G621" s="2">
        <v>201802</v>
      </c>
      <c r="H621" s="2" t="s">
        <v>74</v>
      </c>
      <c r="I621" s="2" t="s">
        <v>75</v>
      </c>
      <c r="J621" s="2" t="s">
        <v>76</v>
      </c>
      <c r="K621" s="2" t="s">
        <v>77</v>
      </c>
      <c r="L621" s="2" t="s">
        <v>144</v>
      </c>
      <c r="M621" s="2" t="s">
        <v>145</v>
      </c>
      <c r="N621" s="2" t="s">
        <v>146</v>
      </c>
      <c r="O621" s="2" t="s">
        <v>100</v>
      </c>
      <c r="P621" s="2" t="str">
        <f>"2170585443                    "</f>
        <v xml:space="preserve">2170585443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3.13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</v>
      </c>
      <c r="BI621" s="2">
        <v>2.5</v>
      </c>
      <c r="BJ621" s="2">
        <v>1.4</v>
      </c>
      <c r="BK621" s="2">
        <v>3</v>
      </c>
      <c r="BL621" s="2">
        <v>32.380000000000003</v>
      </c>
      <c r="BM621" s="2">
        <v>4.53</v>
      </c>
      <c r="BN621" s="2">
        <v>36.909999999999997</v>
      </c>
      <c r="BO621" s="2">
        <v>36.909999999999997</v>
      </c>
      <c r="BP621" s="2"/>
      <c r="BQ621" s="2" t="s">
        <v>83</v>
      </c>
      <c r="BR621" s="2" t="s">
        <v>84</v>
      </c>
      <c r="BS621" s="3">
        <v>42978</v>
      </c>
      <c r="BT621" s="4">
        <v>0.38263888888888892</v>
      </c>
      <c r="BU621" s="2" t="s">
        <v>1176</v>
      </c>
      <c r="BV621" s="2" t="s">
        <v>95</v>
      </c>
      <c r="BW621" s="2"/>
      <c r="BX621" s="2"/>
      <c r="BY621" s="2">
        <v>6997.2</v>
      </c>
      <c r="BZ621" s="2" t="s">
        <v>27</v>
      </c>
      <c r="CA621" s="2" t="s">
        <v>729</v>
      </c>
      <c r="CB621" s="2"/>
      <c r="CC621" s="2" t="s">
        <v>145</v>
      </c>
      <c r="CD621" s="2">
        <v>2094</v>
      </c>
      <c r="CE621" s="2" t="s">
        <v>89</v>
      </c>
      <c r="CF621" s="5">
        <v>42978</v>
      </c>
      <c r="CG621" s="2"/>
      <c r="CH621" s="2"/>
      <c r="CI621" s="2">
        <v>1</v>
      </c>
      <c r="CJ621" s="2">
        <v>1</v>
      </c>
      <c r="CK621" s="2">
        <v>22</v>
      </c>
      <c r="CL621" s="2" t="s">
        <v>86</v>
      </c>
      <c r="CM621" s="2"/>
    </row>
    <row r="622" spans="1:91">
      <c r="A622" s="2" t="s">
        <v>71</v>
      </c>
      <c r="B622" s="2" t="s">
        <v>72</v>
      </c>
      <c r="C622" s="2" t="s">
        <v>73</v>
      </c>
      <c r="D622" s="2"/>
      <c r="E622" s="2" t="str">
        <f>"FES1162572335"</f>
        <v>FES1162572335</v>
      </c>
      <c r="F622" s="3">
        <v>42977</v>
      </c>
      <c r="G622" s="2">
        <v>201802</v>
      </c>
      <c r="H622" s="2" t="s">
        <v>74</v>
      </c>
      <c r="I622" s="2" t="s">
        <v>75</v>
      </c>
      <c r="J622" s="2" t="s">
        <v>76</v>
      </c>
      <c r="K622" s="2" t="s">
        <v>77</v>
      </c>
      <c r="L622" s="2" t="s">
        <v>74</v>
      </c>
      <c r="M622" s="2" t="s">
        <v>75</v>
      </c>
      <c r="N622" s="2" t="s">
        <v>985</v>
      </c>
      <c r="O622" s="2" t="s">
        <v>100</v>
      </c>
      <c r="P622" s="2" t="str">
        <f>"2170587877                    "</f>
        <v xml:space="preserve">2170587877 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3.13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2</v>
      </c>
      <c r="BJ622" s="2">
        <v>0.2</v>
      </c>
      <c r="BK622" s="2">
        <v>2</v>
      </c>
      <c r="BL622" s="2">
        <v>32.380000000000003</v>
      </c>
      <c r="BM622" s="2">
        <v>4.53</v>
      </c>
      <c r="BN622" s="2">
        <v>36.909999999999997</v>
      </c>
      <c r="BO622" s="2">
        <v>36.909999999999997</v>
      </c>
      <c r="BP622" s="2"/>
      <c r="BQ622" s="2" t="s">
        <v>108</v>
      </c>
      <c r="BR622" s="2" t="s">
        <v>84</v>
      </c>
      <c r="BS622" s="3">
        <v>42978</v>
      </c>
      <c r="BT622" s="4">
        <v>0.26250000000000001</v>
      </c>
      <c r="BU622" s="2" t="s">
        <v>1288</v>
      </c>
      <c r="BV622" s="2" t="s">
        <v>95</v>
      </c>
      <c r="BW622" s="2"/>
      <c r="BX622" s="2"/>
      <c r="BY622" s="2">
        <v>1200</v>
      </c>
      <c r="BZ622" s="2" t="s">
        <v>27</v>
      </c>
      <c r="CA622" s="2" t="s">
        <v>1289</v>
      </c>
      <c r="CB622" s="2"/>
      <c r="CC622" s="2" t="s">
        <v>75</v>
      </c>
      <c r="CD622" s="2">
        <v>1600</v>
      </c>
      <c r="CE622" s="2" t="s">
        <v>104</v>
      </c>
      <c r="CF622" s="5">
        <v>42978</v>
      </c>
      <c r="CG622" s="2"/>
      <c r="CH622" s="2"/>
      <c r="CI622" s="2">
        <v>1</v>
      </c>
      <c r="CJ622" s="2">
        <v>1</v>
      </c>
      <c r="CK622" s="2">
        <v>22</v>
      </c>
      <c r="CL622" s="2" t="s">
        <v>86</v>
      </c>
      <c r="CM622" s="2"/>
    </row>
    <row r="623" spans="1:91">
      <c r="A623" s="2" t="s">
        <v>71</v>
      </c>
      <c r="B623" s="2" t="s">
        <v>72</v>
      </c>
      <c r="C623" s="2" t="s">
        <v>73</v>
      </c>
      <c r="D623" s="2"/>
      <c r="E623" s="2" t="str">
        <f>"FES1162572258"</f>
        <v>FES1162572258</v>
      </c>
      <c r="F623" s="3">
        <v>42977</v>
      </c>
      <c r="G623" s="2">
        <v>201802</v>
      </c>
      <c r="H623" s="2" t="s">
        <v>74</v>
      </c>
      <c r="I623" s="2" t="s">
        <v>75</v>
      </c>
      <c r="J623" s="2" t="s">
        <v>76</v>
      </c>
      <c r="K623" s="2" t="s">
        <v>77</v>
      </c>
      <c r="L623" s="2" t="s">
        <v>944</v>
      </c>
      <c r="M623" s="2" t="s">
        <v>944</v>
      </c>
      <c r="N623" s="2" t="s">
        <v>821</v>
      </c>
      <c r="O623" s="2" t="s">
        <v>100</v>
      </c>
      <c r="P623" s="2" t="str">
        <f>"2170580433                    "</f>
        <v xml:space="preserve">2170580433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5.63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1</v>
      </c>
      <c r="BJ623" s="2">
        <v>0.2</v>
      </c>
      <c r="BK623" s="2">
        <v>1</v>
      </c>
      <c r="BL623" s="2">
        <v>58.28</v>
      </c>
      <c r="BM623" s="2">
        <v>8.16</v>
      </c>
      <c r="BN623" s="2">
        <v>66.44</v>
      </c>
      <c r="BO623" s="2">
        <v>66.44</v>
      </c>
      <c r="BP623" s="2"/>
      <c r="BQ623" s="2" t="s">
        <v>108</v>
      </c>
      <c r="BR623" s="2" t="s">
        <v>84</v>
      </c>
      <c r="BS623" s="3">
        <v>42978</v>
      </c>
      <c r="BT623" s="4">
        <v>0.35625000000000001</v>
      </c>
      <c r="BU623" s="2" t="s">
        <v>1290</v>
      </c>
      <c r="BV623" s="2" t="s">
        <v>95</v>
      </c>
      <c r="BW623" s="2"/>
      <c r="BX623" s="2"/>
      <c r="BY623" s="2">
        <v>1200</v>
      </c>
      <c r="BZ623" s="2" t="s">
        <v>27</v>
      </c>
      <c r="CA623" s="2" t="s">
        <v>1098</v>
      </c>
      <c r="CB623" s="2"/>
      <c r="CC623" s="2" t="s">
        <v>944</v>
      </c>
      <c r="CD623" s="2">
        <v>1491</v>
      </c>
      <c r="CE623" s="2" t="s">
        <v>104</v>
      </c>
      <c r="CF623" s="2"/>
      <c r="CG623" s="2"/>
      <c r="CH623" s="2"/>
      <c r="CI623" s="2">
        <v>1</v>
      </c>
      <c r="CJ623" s="2">
        <v>1</v>
      </c>
      <c r="CK623" s="2">
        <v>24</v>
      </c>
      <c r="CL623" s="2" t="s">
        <v>86</v>
      </c>
      <c r="CM623" s="2"/>
    </row>
    <row r="624" spans="1:91">
      <c r="A624" s="2" t="s">
        <v>71</v>
      </c>
      <c r="B624" s="2" t="s">
        <v>72</v>
      </c>
      <c r="C624" s="2" t="s">
        <v>73</v>
      </c>
      <c r="D624" s="2"/>
      <c r="E624" s="2" t="str">
        <f>"FES1162572236"</f>
        <v>FES1162572236</v>
      </c>
      <c r="F624" s="3">
        <v>42977</v>
      </c>
      <c r="G624" s="2">
        <v>201802</v>
      </c>
      <c r="H624" s="2" t="s">
        <v>74</v>
      </c>
      <c r="I624" s="2" t="s">
        <v>75</v>
      </c>
      <c r="J624" s="2" t="s">
        <v>76</v>
      </c>
      <c r="K624" s="2" t="s">
        <v>77</v>
      </c>
      <c r="L624" s="2" t="s">
        <v>74</v>
      </c>
      <c r="M624" s="2" t="s">
        <v>75</v>
      </c>
      <c r="N624" s="2" t="s">
        <v>1291</v>
      </c>
      <c r="O624" s="2" t="s">
        <v>100</v>
      </c>
      <c r="P624" s="2" t="str">
        <f>"2170585933                    "</f>
        <v xml:space="preserve">2170585933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3.13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1</v>
      </c>
      <c r="BI624" s="2">
        <v>1</v>
      </c>
      <c r="BJ624" s="2">
        <v>0.2</v>
      </c>
      <c r="BK624" s="2">
        <v>1</v>
      </c>
      <c r="BL624" s="2">
        <v>32.380000000000003</v>
      </c>
      <c r="BM624" s="2">
        <v>4.53</v>
      </c>
      <c r="BN624" s="2">
        <v>36.909999999999997</v>
      </c>
      <c r="BO624" s="2">
        <v>36.909999999999997</v>
      </c>
      <c r="BP624" s="2"/>
      <c r="BQ624" s="2" t="s">
        <v>108</v>
      </c>
      <c r="BR624" s="2" t="s">
        <v>84</v>
      </c>
      <c r="BS624" s="3">
        <v>42978</v>
      </c>
      <c r="BT624" s="4">
        <v>0.28333333333333333</v>
      </c>
      <c r="BU624" s="2" t="s">
        <v>1292</v>
      </c>
      <c r="BV624" s="2" t="s">
        <v>95</v>
      </c>
      <c r="BW624" s="2"/>
      <c r="BX624" s="2"/>
      <c r="BY624" s="2">
        <v>1200</v>
      </c>
      <c r="BZ624" s="2" t="s">
        <v>27</v>
      </c>
      <c r="CA624" s="2" t="s">
        <v>1289</v>
      </c>
      <c r="CB624" s="2"/>
      <c r="CC624" s="2" t="s">
        <v>75</v>
      </c>
      <c r="CD624" s="2">
        <v>1600</v>
      </c>
      <c r="CE624" s="2" t="s">
        <v>104</v>
      </c>
      <c r="CF624" s="5">
        <v>42978</v>
      </c>
      <c r="CG624" s="2"/>
      <c r="CH624" s="2"/>
      <c r="CI624" s="2">
        <v>1</v>
      </c>
      <c r="CJ624" s="2">
        <v>1</v>
      </c>
      <c r="CK624" s="2">
        <v>22</v>
      </c>
      <c r="CL624" s="2" t="s">
        <v>86</v>
      </c>
      <c r="CM624" s="2"/>
    </row>
    <row r="625" spans="1:91">
      <c r="A625" s="2" t="s">
        <v>71</v>
      </c>
      <c r="B625" s="2" t="s">
        <v>72</v>
      </c>
      <c r="C625" s="2" t="s">
        <v>73</v>
      </c>
      <c r="D625" s="2"/>
      <c r="E625" s="2" t="str">
        <f>"FES1162572354"</f>
        <v>FES1162572354</v>
      </c>
      <c r="F625" s="3">
        <v>42977</v>
      </c>
      <c r="G625" s="2">
        <v>201802</v>
      </c>
      <c r="H625" s="2" t="s">
        <v>74</v>
      </c>
      <c r="I625" s="2" t="s">
        <v>75</v>
      </c>
      <c r="J625" s="2" t="s">
        <v>76</v>
      </c>
      <c r="K625" s="2" t="s">
        <v>77</v>
      </c>
      <c r="L625" s="2" t="s">
        <v>221</v>
      </c>
      <c r="M625" s="2" t="s">
        <v>222</v>
      </c>
      <c r="N625" s="2" t="s">
        <v>415</v>
      </c>
      <c r="O625" s="2" t="s">
        <v>100</v>
      </c>
      <c r="P625" s="2" t="str">
        <f>"2170584412                    "</f>
        <v xml:space="preserve">2170584412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7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2.6</v>
      </c>
      <c r="BJ625" s="2">
        <v>3.3</v>
      </c>
      <c r="BK625" s="2">
        <v>3.5</v>
      </c>
      <c r="BL625" s="2">
        <v>72.52</v>
      </c>
      <c r="BM625" s="2">
        <v>10.15</v>
      </c>
      <c r="BN625" s="2">
        <v>82.67</v>
      </c>
      <c r="BO625" s="2">
        <v>82.67</v>
      </c>
      <c r="BP625" s="2"/>
      <c r="BQ625" s="2" t="s">
        <v>108</v>
      </c>
      <c r="BR625" s="2" t="s">
        <v>84</v>
      </c>
      <c r="BS625" s="3">
        <v>42978</v>
      </c>
      <c r="BT625" s="4">
        <v>0.34930555555555554</v>
      </c>
      <c r="BU625" s="2" t="s">
        <v>1293</v>
      </c>
      <c r="BV625" s="2" t="s">
        <v>95</v>
      </c>
      <c r="BW625" s="2"/>
      <c r="BX625" s="2"/>
      <c r="BY625" s="2">
        <v>16421.25</v>
      </c>
      <c r="BZ625" s="2" t="s">
        <v>27</v>
      </c>
      <c r="CA625" s="2" t="s">
        <v>934</v>
      </c>
      <c r="CB625" s="2"/>
      <c r="CC625" s="2" t="s">
        <v>222</v>
      </c>
      <c r="CD625" s="2">
        <v>4302</v>
      </c>
      <c r="CE625" s="2" t="s">
        <v>89</v>
      </c>
      <c r="CF625" s="2"/>
      <c r="CG625" s="2"/>
      <c r="CH625" s="2"/>
      <c r="CI625" s="2">
        <v>1</v>
      </c>
      <c r="CJ625" s="2">
        <v>1</v>
      </c>
      <c r="CK625" s="2">
        <v>21</v>
      </c>
      <c r="CL625" s="2" t="s">
        <v>86</v>
      </c>
      <c r="CM625" s="2"/>
    </row>
    <row r="626" spans="1:91">
      <c r="A626" s="2" t="s">
        <v>71</v>
      </c>
      <c r="B626" s="2" t="s">
        <v>72</v>
      </c>
      <c r="C626" s="2" t="s">
        <v>73</v>
      </c>
      <c r="D626" s="2"/>
      <c r="E626" s="2" t="str">
        <f>"FES1162572313"</f>
        <v>FES1162572313</v>
      </c>
      <c r="F626" s="3">
        <v>42977</v>
      </c>
      <c r="G626" s="2">
        <v>201802</v>
      </c>
      <c r="H626" s="2" t="s">
        <v>74</v>
      </c>
      <c r="I626" s="2" t="s">
        <v>75</v>
      </c>
      <c r="J626" s="2" t="s">
        <v>76</v>
      </c>
      <c r="K626" s="2" t="s">
        <v>77</v>
      </c>
      <c r="L626" s="2" t="s">
        <v>144</v>
      </c>
      <c r="M626" s="2" t="s">
        <v>145</v>
      </c>
      <c r="N626" s="2" t="s">
        <v>1294</v>
      </c>
      <c r="O626" s="2" t="s">
        <v>100</v>
      </c>
      <c r="P626" s="2" t="str">
        <f>"2170586914                    "</f>
        <v xml:space="preserve">2170586914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3.13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1</v>
      </c>
      <c r="BJ626" s="2">
        <v>0.2</v>
      </c>
      <c r="BK626" s="2">
        <v>1</v>
      </c>
      <c r="BL626" s="2">
        <v>32.380000000000003</v>
      </c>
      <c r="BM626" s="2">
        <v>4.53</v>
      </c>
      <c r="BN626" s="2">
        <v>36.909999999999997</v>
      </c>
      <c r="BO626" s="2">
        <v>36.909999999999997</v>
      </c>
      <c r="BP626" s="2"/>
      <c r="BQ626" s="2" t="s">
        <v>108</v>
      </c>
      <c r="BR626" s="2" t="s">
        <v>84</v>
      </c>
      <c r="BS626" s="3">
        <v>42978</v>
      </c>
      <c r="BT626" s="4">
        <v>0.41666666666666669</v>
      </c>
      <c r="BU626" s="2" t="s">
        <v>1295</v>
      </c>
      <c r="BV626" s="2" t="s">
        <v>95</v>
      </c>
      <c r="BW626" s="2"/>
      <c r="BX626" s="2"/>
      <c r="BY626" s="2">
        <v>1200</v>
      </c>
      <c r="BZ626" s="2" t="s">
        <v>27</v>
      </c>
      <c r="CA626" s="2" t="s">
        <v>1296</v>
      </c>
      <c r="CB626" s="2"/>
      <c r="CC626" s="2" t="s">
        <v>145</v>
      </c>
      <c r="CD626" s="2">
        <v>2001</v>
      </c>
      <c r="CE626" s="2" t="s">
        <v>104</v>
      </c>
      <c r="CF626" s="5">
        <v>42978</v>
      </c>
      <c r="CG626" s="2"/>
      <c r="CH626" s="2"/>
      <c r="CI626" s="2">
        <v>1</v>
      </c>
      <c r="CJ626" s="2">
        <v>1</v>
      </c>
      <c r="CK626" s="2">
        <v>22</v>
      </c>
      <c r="CL626" s="2" t="s">
        <v>86</v>
      </c>
      <c r="CM626" s="2"/>
    </row>
    <row r="627" spans="1:91">
      <c r="A627" s="2" t="s">
        <v>71</v>
      </c>
      <c r="B627" s="2" t="s">
        <v>72</v>
      </c>
      <c r="C627" s="2" t="s">
        <v>73</v>
      </c>
      <c r="D627" s="2"/>
      <c r="E627" s="2" t="str">
        <f>"FES1162572342"</f>
        <v>FES1162572342</v>
      </c>
      <c r="F627" s="3">
        <v>42977</v>
      </c>
      <c r="G627" s="2">
        <v>201802</v>
      </c>
      <c r="H627" s="2" t="s">
        <v>74</v>
      </c>
      <c r="I627" s="2" t="s">
        <v>75</v>
      </c>
      <c r="J627" s="2" t="s">
        <v>76</v>
      </c>
      <c r="K627" s="2" t="s">
        <v>77</v>
      </c>
      <c r="L627" s="2" t="s">
        <v>74</v>
      </c>
      <c r="M627" s="2" t="s">
        <v>75</v>
      </c>
      <c r="N627" s="2" t="s">
        <v>1297</v>
      </c>
      <c r="O627" s="2" t="s">
        <v>100</v>
      </c>
      <c r="P627" s="2" t="str">
        <f>"2170587884                    "</f>
        <v xml:space="preserve">2170587884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3.13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</v>
      </c>
      <c r="BI627" s="2">
        <v>2</v>
      </c>
      <c r="BJ627" s="2">
        <v>0.2</v>
      </c>
      <c r="BK627" s="2">
        <v>2</v>
      </c>
      <c r="BL627" s="2">
        <v>32.380000000000003</v>
      </c>
      <c r="BM627" s="2">
        <v>4.53</v>
      </c>
      <c r="BN627" s="2">
        <v>36.909999999999997</v>
      </c>
      <c r="BO627" s="2">
        <v>36.909999999999997</v>
      </c>
      <c r="BP627" s="2"/>
      <c r="BQ627" s="2" t="s">
        <v>108</v>
      </c>
      <c r="BR627" s="2" t="s">
        <v>84</v>
      </c>
      <c r="BS627" s="3">
        <v>42978</v>
      </c>
      <c r="BT627" s="4">
        <v>0.45624999999999999</v>
      </c>
      <c r="BU627" s="2" t="s">
        <v>1298</v>
      </c>
      <c r="BV627" s="2" t="s">
        <v>95</v>
      </c>
      <c r="BW627" s="2"/>
      <c r="BX627" s="2"/>
      <c r="BY627" s="2">
        <v>1200</v>
      </c>
      <c r="BZ627" s="2" t="s">
        <v>27</v>
      </c>
      <c r="CA627" s="2" t="s">
        <v>405</v>
      </c>
      <c r="CB627" s="2"/>
      <c r="CC627" s="2" t="s">
        <v>75</v>
      </c>
      <c r="CD627" s="2">
        <v>1665</v>
      </c>
      <c r="CE627" s="2" t="s">
        <v>104</v>
      </c>
      <c r="CF627" s="5">
        <v>42978</v>
      </c>
      <c r="CG627" s="2"/>
      <c r="CH627" s="2"/>
      <c r="CI627" s="2">
        <v>1</v>
      </c>
      <c r="CJ627" s="2">
        <v>1</v>
      </c>
      <c r="CK627" s="2">
        <v>22</v>
      </c>
      <c r="CL627" s="2" t="s">
        <v>86</v>
      </c>
      <c r="CM627" s="2"/>
    </row>
    <row r="628" spans="1:91">
      <c r="A628" s="2" t="s">
        <v>71</v>
      </c>
      <c r="B628" s="2" t="s">
        <v>72</v>
      </c>
      <c r="C628" s="2" t="s">
        <v>73</v>
      </c>
      <c r="D628" s="2"/>
      <c r="E628" s="2" t="str">
        <f>"FES1162572271"</f>
        <v>FES1162572271</v>
      </c>
      <c r="F628" s="3">
        <v>42977</v>
      </c>
      <c r="G628" s="2">
        <v>201802</v>
      </c>
      <c r="H628" s="2" t="s">
        <v>74</v>
      </c>
      <c r="I628" s="2" t="s">
        <v>75</v>
      </c>
      <c r="J628" s="2" t="s">
        <v>76</v>
      </c>
      <c r="K628" s="2" t="s">
        <v>77</v>
      </c>
      <c r="L628" s="2" t="s">
        <v>74</v>
      </c>
      <c r="M628" s="2" t="s">
        <v>75</v>
      </c>
      <c r="N628" s="2" t="s">
        <v>192</v>
      </c>
      <c r="O628" s="2" t="s">
        <v>100</v>
      </c>
      <c r="P628" s="2" t="str">
        <f>"2170585197                    "</f>
        <v xml:space="preserve">2170585197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3.13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1</v>
      </c>
      <c r="BI628" s="2">
        <v>1</v>
      </c>
      <c r="BJ628" s="2">
        <v>0.2</v>
      </c>
      <c r="BK628" s="2">
        <v>1</v>
      </c>
      <c r="BL628" s="2">
        <v>32.380000000000003</v>
      </c>
      <c r="BM628" s="2">
        <v>4.53</v>
      </c>
      <c r="BN628" s="2">
        <v>36.909999999999997</v>
      </c>
      <c r="BO628" s="2">
        <v>36.909999999999997</v>
      </c>
      <c r="BP628" s="2"/>
      <c r="BQ628" s="2" t="s">
        <v>288</v>
      </c>
      <c r="BR628" s="2" t="s">
        <v>84</v>
      </c>
      <c r="BS628" s="3">
        <v>42978</v>
      </c>
      <c r="BT628" s="4">
        <v>0.45833333333333331</v>
      </c>
      <c r="BU628" s="2" t="s">
        <v>193</v>
      </c>
      <c r="BV628" s="2" t="s">
        <v>86</v>
      </c>
      <c r="BW628" s="2"/>
      <c r="BX628" s="2"/>
      <c r="BY628" s="2">
        <v>1200</v>
      </c>
      <c r="BZ628" s="2" t="s">
        <v>27</v>
      </c>
      <c r="CA628" s="2" t="s">
        <v>194</v>
      </c>
      <c r="CB628" s="2"/>
      <c r="CC628" s="2" t="s">
        <v>75</v>
      </c>
      <c r="CD628" s="2">
        <v>1665</v>
      </c>
      <c r="CE628" s="2" t="s">
        <v>104</v>
      </c>
      <c r="CF628" s="5">
        <v>42978</v>
      </c>
      <c r="CG628" s="2"/>
      <c r="CH628" s="2"/>
      <c r="CI628" s="2">
        <v>1</v>
      </c>
      <c r="CJ628" s="2">
        <v>1</v>
      </c>
      <c r="CK628" s="2">
        <v>22</v>
      </c>
      <c r="CL628" s="2" t="s">
        <v>86</v>
      </c>
      <c r="CM628" s="2"/>
    </row>
    <row r="629" spans="1:91">
      <c r="A629" s="2" t="s">
        <v>71</v>
      </c>
      <c r="B629" s="2" t="s">
        <v>72</v>
      </c>
      <c r="C629" s="2" t="s">
        <v>73</v>
      </c>
      <c r="D629" s="2"/>
      <c r="E629" s="2" t="str">
        <f>"FES1162572262"</f>
        <v>FES1162572262</v>
      </c>
      <c r="F629" s="3">
        <v>42977</v>
      </c>
      <c r="G629" s="2">
        <v>201802</v>
      </c>
      <c r="H629" s="2" t="s">
        <v>74</v>
      </c>
      <c r="I629" s="2" t="s">
        <v>75</v>
      </c>
      <c r="J629" s="2" t="s">
        <v>76</v>
      </c>
      <c r="K629" s="2" t="s">
        <v>77</v>
      </c>
      <c r="L629" s="2" t="s">
        <v>97</v>
      </c>
      <c r="M629" s="2" t="s">
        <v>98</v>
      </c>
      <c r="N629" s="2" t="s">
        <v>625</v>
      </c>
      <c r="O629" s="2" t="s">
        <v>100</v>
      </c>
      <c r="P629" s="2" t="str">
        <f>"2170581745                    "</f>
        <v xml:space="preserve">2170581745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7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2.8</v>
      </c>
      <c r="BJ629" s="2">
        <v>3.5</v>
      </c>
      <c r="BK629" s="2">
        <v>3.5</v>
      </c>
      <c r="BL629" s="2">
        <v>72.52</v>
      </c>
      <c r="BM629" s="2">
        <v>10.15</v>
      </c>
      <c r="BN629" s="2">
        <v>82.67</v>
      </c>
      <c r="BO629" s="2">
        <v>82.67</v>
      </c>
      <c r="BP629" s="2"/>
      <c r="BQ629" s="2" t="s">
        <v>108</v>
      </c>
      <c r="BR629" s="2" t="s">
        <v>84</v>
      </c>
      <c r="BS629" s="3">
        <v>42978</v>
      </c>
      <c r="BT629" s="4">
        <v>0.40763888888888888</v>
      </c>
      <c r="BU629" s="2" t="s">
        <v>1299</v>
      </c>
      <c r="BV629" s="2" t="s">
        <v>95</v>
      </c>
      <c r="BW629" s="2"/>
      <c r="BX629" s="2"/>
      <c r="BY629" s="2">
        <v>17428.93</v>
      </c>
      <c r="BZ629" s="2" t="s">
        <v>27</v>
      </c>
      <c r="CA629" s="2" t="s">
        <v>103</v>
      </c>
      <c r="CB629" s="2"/>
      <c r="CC629" s="2" t="s">
        <v>98</v>
      </c>
      <c r="CD629" s="2">
        <v>6001</v>
      </c>
      <c r="CE629" s="2" t="s">
        <v>89</v>
      </c>
      <c r="CF629" s="5">
        <v>42978</v>
      </c>
      <c r="CG629" s="2"/>
      <c r="CH629" s="2"/>
      <c r="CI629" s="2">
        <v>1</v>
      </c>
      <c r="CJ629" s="2">
        <v>1</v>
      </c>
      <c r="CK629" s="2">
        <v>21</v>
      </c>
      <c r="CL629" s="2" t="s">
        <v>86</v>
      </c>
      <c r="CM629" s="2"/>
    </row>
    <row r="630" spans="1:91">
      <c r="A630" s="2" t="s">
        <v>71</v>
      </c>
      <c r="B630" s="2" t="s">
        <v>72</v>
      </c>
      <c r="C630" s="2" t="s">
        <v>73</v>
      </c>
      <c r="D630" s="2"/>
      <c r="E630" s="2" t="str">
        <f>"FES1162572260"</f>
        <v>FES1162572260</v>
      </c>
      <c r="F630" s="3">
        <v>42977</v>
      </c>
      <c r="G630" s="2">
        <v>201802</v>
      </c>
      <c r="H630" s="2" t="s">
        <v>74</v>
      </c>
      <c r="I630" s="2" t="s">
        <v>75</v>
      </c>
      <c r="J630" s="2" t="s">
        <v>76</v>
      </c>
      <c r="K630" s="2" t="s">
        <v>77</v>
      </c>
      <c r="L630" s="2" t="s">
        <v>144</v>
      </c>
      <c r="M630" s="2" t="s">
        <v>145</v>
      </c>
      <c r="N630" s="2" t="s">
        <v>1300</v>
      </c>
      <c r="O630" s="2" t="s">
        <v>100</v>
      </c>
      <c r="P630" s="2" t="str">
        <f>"2170580825                    "</f>
        <v xml:space="preserve">2170580825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3.13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1</v>
      </c>
      <c r="BJ630" s="2">
        <v>0.2</v>
      </c>
      <c r="BK630" s="2">
        <v>1</v>
      </c>
      <c r="BL630" s="2">
        <v>32.380000000000003</v>
      </c>
      <c r="BM630" s="2">
        <v>4.53</v>
      </c>
      <c r="BN630" s="2">
        <v>36.909999999999997</v>
      </c>
      <c r="BO630" s="2">
        <v>36.909999999999997</v>
      </c>
      <c r="BP630" s="2"/>
      <c r="BQ630" s="2" t="s">
        <v>108</v>
      </c>
      <c r="BR630" s="2" t="s">
        <v>84</v>
      </c>
      <c r="BS630" s="3">
        <v>42978</v>
      </c>
      <c r="BT630" s="4">
        <v>0.41666666666666669</v>
      </c>
      <c r="BU630" s="2" t="s">
        <v>1301</v>
      </c>
      <c r="BV630" s="2" t="s">
        <v>95</v>
      </c>
      <c r="BW630" s="2"/>
      <c r="BX630" s="2"/>
      <c r="BY630" s="2">
        <v>1200</v>
      </c>
      <c r="BZ630" s="2" t="s">
        <v>27</v>
      </c>
      <c r="CA630" s="2" t="s">
        <v>267</v>
      </c>
      <c r="CB630" s="2"/>
      <c r="CC630" s="2" t="s">
        <v>145</v>
      </c>
      <c r="CD630" s="2">
        <v>2065</v>
      </c>
      <c r="CE630" s="2" t="s">
        <v>104</v>
      </c>
      <c r="CF630" s="5">
        <v>42978</v>
      </c>
      <c r="CG630" s="2"/>
      <c r="CH630" s="2"/>
      <c r="CI630" s="2">
        <v>1</v>
      </c>
      <c r="CJ630" s="2">
        <v>1</v>
      </c>
      <c r="CK630" s="2">
        <v>22</v>
      </c>
      <c r="CL630" s="2" t="s">
        <v>86</v>
      </c>
      <c r="CM630" s="2"/>
    </row>
    <row r="631" spans="1:91">
      <c r="A631" s="2" t="s">
        <v>71</v>
      </c>
      <c r="B631" s="2" t="s">
        <v>72</v>
      </c>
      <c r="C631" s="2" t="s">
        <v>73</v>
      </c>
      <c r="D631" s="2"/>
      <c r="E631" s="2" t="str">
        <f>"FES1162572199"</f>
        <v>FES1162572199</v>
      </c>
      <c r="F631" s="3">
        <v>42977</v>
      </c>
      <c r="G631" s="2">
        <v>201802</v>
      </c>
      <c r="H631" s="2" t="s">
        <v>74</v>
      </c>
      <c r="I631" s="2" t="s">
        <v>75</v>
      </c>
      <c r="J631" s="2" t="s">
        <v>76</v>
      </c>
      <c r="K631" s="2" t="s">
        <v>77</v>
      </c>
      <c r="L631" s="2" t="s">
        <v>237</v>
      </c>
      <c r="M631" s="2" t="s">
        <v>238</v>
      </c>
      <c r="N631" s="2" t="s">
        <v>765</v>
      </c>
      <c r="O631" s="2" t="s">
        <v>100</v>
      </c>
      <c r="P631" s="2" t="str">
        <f>"2170587796                    "</f>
        <v xml:space="preserve">2170587796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4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1</v>
      </c>
      <c r="BI631" s="2">
        <v>1</v>
      </c>
      <c r="BJ631" s="2">
        <v>0.2</v>
      </c>
      <c r="BK631" s="2">
        <v>1</v>
      </c>
      <c r="BL631" s="2">
        <v>41.44</v>
      </c>
      <c r="BM631" s="2">
        <v>5.8</v>
      </c>
      <c r="BN631" s="2">
        <v>47.24</v>
      </c>
      <c r="BO631" s="2">
        <v>47.24</v>
      </c>
      <c r="BP631" s="2"/>
      <c r="BQ631" s="2" t="s">
        <v>108</v>
      </c>
      <c r="BR631" s="2" t="s">
        <v>84</v>
      </c>
      <c r="BS631" s="3">
        <v>42978</v>
      </c>
      <c r="BT631" s="4">
        <v>0.32708333333333334</v>
      </c>
      <c r="BU631" s="2" t="s">
        <v>766</v>
      </c>
      <c r="BV631" s="2" t="s">
        <v>95</v>
      </c>
      <c r="BW631" s="2"/>
      <c r="BX631" s="2"/>
      <c r="BY631" s="2">
        <v>1200</v>
      </c>
      <c r="BZ631" s="2" t="s">
        <v>27</v>
      </c>
      <c r="CA631" s="2" t="s">
        <v>401</v>
      </c>
      <c r="CB631" s="2"/>
      <c r="CC631" s="2" t="s">
        <v>238</v>
      </c>
      <c r="CD631" s="2">
        <v>3610</v>
      </c>
      <c r="CE631" s="2" t="s">
        <v>104</v>
      </c>
      <c r="CF631" s="2"/>
      <c r="CG631" s="2"/>
      <c r="CH631" s="2"/>
      <c r="CI631" s="2">
        <v>1</v>
      </c>
      <c r="CJ631" s="2">
        <v>1</v>
      </c>
      <c r="CK631" s="2">
        <v>21</v>
      </c>
      <c r="CL631" s="2" t="s">
        <v>86</v>
      </c>
      <c r="CM631" s="2"/>
    </row>
    <row r="632" spans="1:91">
      <c r="A632" s="2" t="s">
        <v>71</v>
      </c>
      <c r="B632" s="2" t="s">
        <v>72</v>
      </c>
      <c r="C632" s="2" t="s">
        <v>73</v>
      </c>
      <c r="D632" s="2"/>
      <c r="E632" s="2" t="str">
        <f>"FES1162572192"</f>
        <v>FES1162572192</v>
      </c>
      <c r="F632" s="3">
        <v>42977</v>
      </c>
      <c r="G632" s="2">
        <v>201802</v>
      </c>
      <c r="H632" s="2" t="s">
        <v>74</v>
      </c>
      <c r="I632" s="2" t="s">
        <v>75</v>
      </c>
      <c r="J632" s="2" t="s">
        <v>76</v>
      </c>
      <c r="K632" s="2" t="s">
        <v>77</v>
      </c>
      <c r="L632" s="2" t="s">
        <v>221</v>
      </c>
      <c r="M632" s="2" t="s">
        <v>222</v>
      </c>
      <c r="N632" s="2" t="s">
        <v>1275</v>
      </c>
      <c r="O632" s="2" t="s">
        <v>100</v>
      </c>
      <c r="P632" s="2" t="str">
        <f>"2170587124                    "</f>
        <v xml:space="preserve">2170587124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4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1</v>
      </c>
      <c r="BJ632" s="2">
        <v>0.2</v>
      </c>
      <c r="BK632" s="2">
        <v>1</v>
      </c>
      <c r="BL632" s="2">
        <v>41.44</v>
      </c>
      <c r="BM632" s="2">
        <v>5.8</v>
      </c>
      <c r="BN632" s="2">
        <v>47.24</v>
      </c>
      <c r="BO632" s="2">
        <v>47.24</v>
      </c>
      <c r="BP632" s="2"/>
      <c r="BQ632" s="2" t="s">
        <v>227</v>
      </c>
      <c r="BR632" s="2" t="s">
        <v>84</v>
      </c>
      <c r="BS632" s="3">
        <v>42978</v>
      </c>
      <c r="BT632" s="4">
        <v>0.37847222222222227</v>
      </c>
      <c r="BU632" s="2" t="s">
        <v>1276</v>
      </c>
      <c r="BV632" s="2" t="s">
        <v>95</v>
      </c>
      <c r="BW632" s="2"/>
      <c r="BX632" s="2"/>
      <c r="BY632" s="2">
        <v>1200</v>
      </c>
      <c r="BZ632" s="2" t="s">
        <v>27</v>
      </c>
      <c r="CA632" s="2"/>
      <c r="CB632" s="2"/>
      <c r="CC632" s="2" t="s">
        <v>222</v>
      </c>
      <c r="CD632" s="2">
        <v>4300</v>
      </c>
      <c r="CE632" s="2" t="s">
        <v>104</v>
      </c>
      <c r="CF632" s="2"/>
      <c r="CG632" s="2"/>
      <c r="CH632" s="2"/>
      <c r="CI632" s="2">
        <v>1</v>
      </c>
      <c r="CJ632" s="2">
        <v>1</v>
      </c>
      <c r="CK632" s="2">
        <v>21</v>
      </c>
      <c r="CL632" s="2" t="s">
        <v>86</v>
      </c>
      <c r="CM632" s="2"/>
    </row>
    <row r="633" spans="1:91">
      <c r="A633" s="2" t="s">
        <v>71</v>
      </c>
      <c r="B633" s="2" t="s">
        <v>72</v>
      </c>
      <c r="C633" s="2" t="s">
        <v>73</v>
      </c>
      <c r="D633" s="2"/>
      <c r="E633" s="2" t="str">
        <f>"FES1162572206"</f>
        <v>FES1162572206</v>
      </c>
      <c r="F633" s="3">
        <v>42977</v>
      </c>
      <c r="G633" s="2">
        <v>201802</v>
      </c>
      <c r="H633" s="2" t="s">
        <v>74</v>
      </c>
      <c r="I633" s="2" t="s">
        <v>75</v>
      </c>
      <c r="J633" s="2" t="s">
        <v>76</v>
      </c>
      <c r="K633" s="2" t="s">
        <v>77</v>
      </c>
      <c r="L633" s="2" t="s">
        <v>149</v>
      </c>
      <c r="M633" s="2" t="s">
        <v>150</v>
      </c>
      <c r="N633" s="2" t="s">
        <v>1302</v>
      </c>
      <c r="O633" s="2" t="s">
        <v>100</v>
      </c>
      <c r="P633" s="2" t="str">
        <f>"2170587811                    "</f>
        <v xml:space="preserve">2170587811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4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1</v>
      </c>
      <c r="BI633" s="2">
        <v>1</v>
      </c>
      <c r="BJ633" s="2">
        <v>0.2</v>
      </c>
      <c r="BK633" s="2">
        <v>1</v>
      </c>
      <c r="BL633" s="2">
        <v>41.44</v>
      </c>
      <c r="BM633" s="2">
        <v>5.8</v>
      </c>
      <c r="BN633" s="2">
        <v>47.24</v>
      </c>
      <c r="BO633" s="2">
        <v>47.24</v>
      </c>
      <c r="BP633" s="2"/>
      <c r="BQ633" s="2" t="s">
        <v>83</v>
      </c>
      <c r="BR633" s="2" t="s">
        <v>84</v>
      </c>
      <c r="BS633" s="1" t="s">
        <v>1200</v>
      </c>
      <c r="BT633" s="2"/>
      <c r="BU633" s="2"/>
      <c r="BV633" s="2"/>
      <c r="BW633" s="2"/>
      <c r="BX633" s="2"/>
      <c r="BY633" s="2">
        <v>1200</v>
      </c>
      <c r="BZ633" s="2" t="s">
        <v>27</v>
      </c>
      <c r="CA633" s="2"/>
      <c r="CB633" s="2"/>
      <c r="CC633" s="2" t="s">
        <v>150</v>
      </c>
      <c r="CD633" s="2">
        <v>4052</v>
      </c>
      <c r="CE633" s="2" t="s">
        <v>104</v>
      </c>
      <c r="CF633" s="2"/>
      <c r="CG633" s="2"/>
      <c r="CH633" s="2"/>
      <c r="CI633" s="2">
        <v>1</v>
      </c>
      <c r="CJ633" s="2" t="s">
        <v>1200</v>
      </c>
      <c r="CK633" s="2">
        <v>21</v>
      </c>
      <c r="CL633" s="2" t="s">
        <v>86</v>
      </c>
      <c r="CM633" s="2"/>
    </row>
    <row r="634" spans="1:91">
      <c r="A634" s="2" t="s">
        <v>71</v>
      </c>
      <c r="B634" s="2" t="s">
        <v>72</v>
      </c>
      <c r="C634" s="2" t="s">
        <v>73</v>
      </c>
      <c r="D634" s="2"/>
      <c r="E634" s="2" t="str">
        <f>"FES1162572286"</f>
        <v>FES1162572286</v>
      </c>
      <c r="F634" s="3">
        <v>42977</v>
      </c>
      <c r="G634" s="2">
        <v>201802</v>
      </c>
      <c r="H634" s="2" t="s">
        <v>74</v>
      </c>
      <c r="I634" s="2" t="s">
        <v>75</v>
      </c>
      <c r="J634" s="2" t="s">
        <v>76</v>
      </c>
      <c r="K634" s="2" t="s">
        <v>77</v>
      </c>
      <c r="L634" s="2" t="s">
        <v>97</v>
      </c>
      <c r="M634" s="2" t="s">
        <v>98</v>
      </c>
      <c r="N634" s="2" t="s">
        <v>1210</v>
      </c>
      <c r="O634" s="2" t="s">
        <v>100</v>
      </c>
      <c r="P634" s="2" t="str">
        <f>"2170585232                    "</f>
        <v xml:space="preserve">2170585232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4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1</v>
      </c>
      <c r="BJ634" s="2">
        <v>0.2</v>
      </c>
      <c r="BK634" s="2">
        <v>1</v>
      </c>
      <c r="BL634" s="2">
        <v>41.44</v>
      </c>
      <c r="BM634" s="2">
        <v>5.8</v>
      </c>
      <c r="BN634" s="2">
        <v>47.24</v>
      </c>
      <c r="BO634" s="2">
        <v>47.24</v>
      </c>
      <c r="BP634" s="2"/>
      <c r="BQ634" s="2" t="s">
        <v>108</v>
      </c>
      <c r="BR634" s="2" t="s">
        <v>84</v>
      </c>
      <c r="BS634" s="3">
        <v>42978</v>
      </c>
      <c r="BT634" s="4">
        <v>0.29652777777777778</v>
      </c>
      <c r="BU634" s="2" t="s">
        <v>1211</v>
      </c>
      <c r="BV634" s="2" t="s">
        <v>95</v>
      </c>
      <c r="BW634" s="2"/>
      <c r="BX634" s="2"/>
      <c r="BY634" s="2">
        <v>1200</v>
      </c>
      <c r="BZ634" s="2" t="s">
        <v>27</v>
      </c>
      <c r="CA634" s="2" t="s">
        <v>294</v>
      </c>
      <c r="CB634" s="2"/>
      <c r="CC634" s="2" t="s">
        <v>98</v>
      </c>
      <c r="CD634" s="2">
        <v>6012</v>
      </c>
      <c r="CE634" s="2" t="s">
        <v>104</v>
      </c>
      <c r="CF634" s="5">
        <v>42978</v>
      </c>
      <c r="CG634" s="2"/>
      <c r="CH634" s="2"/>
      <c r="CI634" s="2">
        <v>1</v>
      </c>
      <c r="CJ634" s="2">
        <v>1</v>
      </c>
      <c r="CK634" s="2">
        <v>21</v>
      </c>
      <c r="CL634" s="2" t="s">
        <v>86</v>
      </c>
      <c r="CM634" s="2"/>
    </row>
    <row r="635" spans="1:91">
      <c r="A635" s="2" t="s">
        <v>71</v>
      </c>
      <c r="B635" s="2" t="s">
        <v>72</v>
      </c>
      <c r="C635" s="2" t="s">
        <v>73</v>
      </c>
      <c r="D635" s="2"/>
      <c r="E635" s="2" t="str">
        <f>"FES1162572330"</f>
        <v>FES1162572330</v>
      </c>
      <c r="F635" s="3">
        <v>42977</v>
      </c>
      <c r="G635" s="2">
        <v>201802</v>
      </c>
      <c r="H635" s="2" t="s">
        <v>74</v>
      </c>
      <c r="I635" s="2" t="s">
        <v>75</v>
      </c>
      <c r="J635" s="2" t="s">
        <v>76</v>
      </c>
      <c r="K635" s="2" t="s">
        <v>77</v>
      </c>
      <c r="L635" s="2" t="s">
        <v>1202</v>
      </c>
      <c r="M635" s="2" t="s">
        <v>1203</v>
      </c>
      <c r="N635" s="2" t="s">
        <v>1303</v>
      </c>
      <c r="O635" s="2" t="s">
        <v>100</v>
      </c>
      <c r="P635" s="2" t="str">
        <f>"217587871                     "</f>
        <v xml:space="preserve">217587871 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3.13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1</v>
      </c>
      <c r="BI635" s="2">
        <v>1</v>
      </c>
      <c r="BJ635" s="2">
        <v>0.2</v>
      </c>
      <c r="BK635" s="2">
        <v>1</v>
      </c>
      <c r="BL635" s="2">
        <v>32.380000000000003</v>
      </c>
      <c r="BM635" s="2">
        <v>4.53</v>
      </c>
      <c r="BN635" s="2">
        <v>36.909999999999997</v>
      </c>
      <c r="BO635" s="2">
        <v>36.909999999999997</v>
      </c>
      <c r="BP635" s="2"/>
      <c r="BQ635" s="2" t="s">
        <v>108</v>
      </c>
      <c r="BR635" s="2" t="s">
        <v>84</v>
      </c>
      <c r="BS635" s="3">
        <v>42978</v>
      </c>
      <c r="BT635" s="4">
        <v>0.58333333333333337</v>
      </c>
      <c r="BU635" s="2" t="s">
        <v>1304</v>
      </c>
      <c r="BV635" s="2" t="s">
        <v>86</v>
      </c>
      <c r="BW635" s="2" t="s">
        <v>110</v>
      </c>
      <c r="BX635" s="2" t="s">
        <v>327</v>
      </c>
      <c r="BY635" s="2">
        <v>1200</v>
      </c>
      <c r="BZ635" s="2" t="s">
        <v>27</v>
      </c>
      <c r="CA635" s="2" t="s">
        <v>1305</v>
      </c>
      <c r="CB635" s="2"/>
      <c r="CC635" s="2" t="s">
        <v>1203</v>
      </c>
      <c r="CD635" s="2">
        <v>1501</v>
      </c>
      <c r="CE635" s="2" t="s">
        <v>104</v>
      </c>
      <c r="CF635" s="5">
        <v>42978</v>
      </c>
      <c r="CG635" s="2"/>
      <c r="CH635" s="2"/>
      <c r="CI635" s="2">
        <v>1</v>
      </c>
      <c r="CJ635" s="2">
        <v>1</v>
      </c>
      <c r="CK635" s="2">
        <v>22</v>
      </c>
      <c r="CL635" s="2" t="s">
        <v>86</v>
      </c>
      <c r="CM635" s="2"/>
    </row>
    <row r="636" spans="1:91">
      <c r="A636" s="2" t="s">
        <v>71</v>
      </c>
      <c r="B636" s="2" t="s">
        <v>72</v>
      </c>
      <c r="C636" s="2" t="s">
        <v>73</v>
      </c>
      <c r="D636" s="2"/>
      <c r="E636" s="2" t="str">
        <f>"FES1162572349"</f>
        <v>FES1162572349</v>
      </c>
      <c r="F636" s="3">
        <v>42977</v>
      </c>
      <c r="G636" s="2">
        <v>201802</v>
      </c>
      <c r="H636" s="2" t="s">
        <v>74</v>
      </c>
      <c r="I636" s="2" t="s">
        <v>75</v>
      </c>
      <c r="J636" s="2" t="s">
        <v>76</v>
      </c>
      <c r="K636" s="2" t="s">
        <v>77</v>
      </c>
      <c r="L636" s="2" t="s">
        <v>105</v>
      </c>
      <c r="M636" s="2" t="s">
        <v>106</v>
      </c>
      <c r="N636" s="2" t="s">
        <v>107</v>
      </c>
      <c r="O636" s="2" t="s">
        <v>100</v>
      </c>
      <c r="P636" s="2" t="str">
        <f>"2170587892                    "</f>
        <v xml:space="preserve">2170587892 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7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2</v>
      </c>
      <c r="BJ636" s="2">
        <v>3.5</v>
      </c>
      <c r="BK636" s="2">
        <v>3.5</v>
      </c>
      <c r="BL636" s="2">
        <v>72.52</v>
      </c>
      <c r="BM636" s="2">
        <v>10.15</v>
      </c>
      <c r="BN636" s="2">
        <v>82.67</v>
      </c>
      <c r="BO636" s="2">
        <v>82.67</v>
      </c>
      <c r="BP636" s="2"/>
      <c r="BQ636" s="2" t="s">
        <v>108</v>
      </c>
      <c r="BR636" s="2" t="s">
        <v>84</v>
      </c>
      <c r="BS636" s="3">
        <v>42978</v>
      </c>
      <c r="BT636" s="4">
        <v>0.38541666666666669</v>
      </c>
      <c r="BU636" s="2" t="s">
        <v>1207</v>
      </c>
      <c r="BV636" s="2" t="s">
        <v>95</v>
      </c>
      <c r="BW636" s="2"/>
      <c r="BX636" s="2"/>
      <c r="BY636" s="2">
        <v>17462.84</v>
      </c>
      <c r="BZ636" s="2" t="s">
        <v>27</v>
      </c>
      <c r="CA636" s="2" t="s">
        <v>112</v>
      </c>
      <c r="CB636" s="2"/>
      <c r="CC636" s="2" t="s">
        <v>106</v>
      </c>
      <c r="CD636" s="2">
        <v>7405</v>
      </c>
      <c r="CE636" s="2" t="s">
        <v>135</v>
      </c>
      <c r="CF636" s="5">
        <v>42978</v>
      </c>
      <c r="CG636" s="2"/>
      <c r="CH636" s="2"/>
      <c r="CI636" s="2">
        <v>1</v>
      </c>
      <c r="CJ636" s="2">
        <v>1</v>
      </c>
      <c r="CK636" s="2">
        <v>21</v>
      </c>
      <c r="CL636" s="2" t="s">
        <v>86</v>
      </c>
      <c r="CM636" s="2"/>
    </row>
    <row r="637" spans="1:91">
      <c r="A637" s="2" t="s">
        <v>71</v>
      </c>
      <c r="B637" s="2" t="s">
        <v>72</v>
      </c>
      <c r="C637" s="2" t="s">
        <v>73</v>
      </c>
      <c r="D637" s="2"/>
      <c r="E637" s="2" t="str">
        <f>"FES1162572319"</f>
        <v>FES1162572319</v>
      </c>
      <c r="F637" s="3">
        <v>42977</v>
      </c>
      <c r="G637" s="2">
        <v>201802</v>
      </c>
      <c r="H637" s="2" t="s">
        <v>74</v>
      </c>
      <c r="I637" s="2" t="s">
        <v>75</v>
      </c>
      <c r="J637" s="2" t="s">
        <v>76</v>
      </c>
      <c r="K637" s="2" t="s">
        <v>77</v>
      </c>
      <c r="L637" s="2" t="s">
        <v>343</v>
      </c>
      <c r="M637" s="2" t="s">
        <v>344</v>
      </c>
      <c r="N637" s="2" t="s">
        <v>1225</v>
      </c>
      <c r="O637" s="2" t="s">
        <v>100</v>
      </c>
      <c r="P637" s="2" t="str">
        <f>"2170587856                    "</f>
        <v xml:space="preserve">2170587856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4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1</v>
      </c>
      <c r="BJ637" s="2">
        <v>0.2</v>
      </c>
      <c r="BK637" s="2">
        <v>1</v>
      </c>
      <c r="BL637" s="2">
        <v>41.44</v>
      </c>
      <c r="BM637" s="2">
        <v>5.8</v>
      </c>
      <c r="BN637" s="2">
        <v>47.24</v>
      </c>
      <c r="BO637" s="2">
        <v>47.24</v>
      </c>
      <c r="BP637" s="2"/>
      <c r="BQ637" s="2" t="s">
        <v>108</v>
      </c>
      <c r="BR637" s="2" t="s">
        <v>84</v>
      </c>
      <c r="BS637" s="3">
        <v>42978</v>
      </c>
      <c r="BT637" s="4">
        <v>0.4375</v>
      </c>
      <c r="BU637" s="2" t="s">
        <v>1283</v>
      </c>
      <c r="BV637" s="2" t="s">
        <v>95</v>
      </c>
      <c r="BW637" s="2"/>
      <c r="BX637" s="2"/>
      <c r="BY637" s="2">
        <v>1200</v>
      </c>
      <c r="BZ637" s="2" t="s">
        <v>27</v>
      </c>
      <c r="CA637" s="2" t="s">
        <v>347</v>
      </c>
      <c r="CB637" s="2"/>
      <c r="CC637" s="2" t="s">
        <v>344</v>
      </c>
      <c r="CD637" s="2">
        <v>4113</v>
      </c>
      <c r="CE637" s="2" t="s">
        <v>104</v>
      </c>
      <c r="CF637" s="2"/>
      <c r="CG637" s="2"/>
      <c r="CH637" s="2"/>
      <c r="CI637" s="2">
        <v>1</v>
      </c>
      <c r="CJ637" s="2">
        <v>1</v>
      </c>
      <c r="CK637" s="2">
        <v>21</v>
      </c>
      <c r="CL637" s="2" t="s">
        <v>86</v>
      </c>
      <c r="CM637" s="2"/>
    </row>
    <row r="638" spans="1:91">
      <c r="A638" s="2" t="s">
        <v>71</v>
      </c>
      <c r="B638" s="2" t="s">
        <v>72</v>
      </c>
      <c r="C638" s="2" t="s">
        <v>73</v>
      </c>
      <c r="D638" s="2"/>
      <c r="E638" s="2" t="str">
        <f>"FES1162572276"</f>
        <v>FES1162572276</v>
      </c>
      <c r="F638" s="3">
        <v>42977</v>
      </c>
      <c r="G638" s="2">
        <v>201802</v>
      </c>
      <c r="H638" s="2" t="s">
        <v>74</v>
      </c>
      <c r="I638" s="2" t="s">
        <v>75</v>
      </c>
      <c r="J638" s="2" t="s">
        <v>76</v>
      </c>
      <c r="K638" s="2" t="s">
        <v>77</v>
      </c>
      <c r="L638" s="2" t="s">
        <v>221</v>
      </c>
      <c r="M638" s="2" t="s">
        <v>222</v>
      </c>
      <c r="N638" s="2" t="s">
        <v>415</v>
      </c>
      <c r="O638" s="2" t="s">
        <v>100</v>
      </c>
      <c r="P638" s="2" t="str">
        <f>"2170586529                    "</f>
        <v xml:space="preserve">2170586529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4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1</v>
      </c>
      <c r="BJ638" s="2">
        <v>0.2</v>
      </c>
      <c r="BK638" s="2">
        <v>1</v>
      </c>
      <c r="BL638" s="2">
        <v>41.44</v>
      </c>
      <c r="BM638" s="2">
        <v>5.8</v>
      </c>
      <c r="BN638" s="2">
        <v>47.24</v>
      </c>
      <c r="BO638" s="2">
        <v>47.24</v>
      </c>
      <c r="BP638" s="2"/>
      <c r="BQ638" s="2" t="s">
        <v>108</v>
      </c>
      <c r="BR638" s="2" t="s">
        <v>84</v>
      </c>
      <c r="BS638" s="3">
        <v>42978</v>
      </c>
      <c r="BT638" s="4">
        <v>0.34930555555555554</v>
      </c>
      <c r="BU638" s="2" t="s">
        <v>1293</v>
      </c>
      <c r="BV638" s="2" t="s">
        <v>95</v>
      </c>
      <c r="BW638" s="2"/>
      <c r="BX638" s="2"/>
      <c r="BY638" s="2">
        <v>1200</v>
      </c>
      <c r="BZ638" s="2" t="s">
        <v>27</v>
      </c>
      <c r="CA638" s="2" t="s">
        <v>934</v>
      </c>
      <c r="CB638" s="2"/>
      <c r="CC638" s="2" t="s">
        <v>222</v>
      </c>
      <c r="CD638" s="2">
        <v>4302</v>
      </c>
      <c r="CE638" s="2" t="s">
        <v>104</v>
      </c>
      <c r="CF638" s="2"/>
      <c r="CG638" s="2"/>
      <c r="CH638" s="2"/>
      <c r="CI638" s="2">
        <v>1</v>
      </c>
      <c r="CJ638" s="2">
        <v>1</v>
      </c>
      <c r="CK638" s="2">
        <v>21</v>
      </c>
      <c r="CL638" s="2" t="s">
        <v>86</v>
      </c>
      <c r="CM638" s="2"/>
    </row>
    <row r="639" spans="1:91">
      <c r="A639" s="2" t="s">
        <v>71</v>
      </c>
      <c r="B639" s="2" t="s">
        <v>72</v>
      </c>
      <c r="C639" s="2" t="s">
        <v>73</v>
      </c>
      <c r="D639" s="2"/>
      <c r="E639" s="2" t="str">
        <f>"FES1162572185"</f>
        <v>FES1162572185</v>
      </c>
      <c r="F639" s="3">
        <v>42977</v>
      </c>
      <c r="G639" s="2">
        <v>201802</v>
      </c>
      <c r="H639" s="2" t="s">
        <v>74</v>
      </c>
      <c r="I639" s="2" t="s">
        <v>75</v>
      </c>
      <c r="J639" s="2" t="s">
        <v>76</v>
      </c>
      <c r="K639" s="2" t="s">
        <v>77</v>
      </c>
      <c r="L639" s="2" t="s">
        <v>105</v>
      </c>
      <c r="M639" s="2" t="s">
        <v>106</v>
      </c>
      <c r="N639" s="2" t="s">
        <v>1306</v>
      </c>
      <c r="O639" s="2" t="s">
        <v>100</v>
      </c>
      <c r="P639" s="2" t="str">
        <f>"2170587570                    "</f>
        <v xml:space="preserve">2170587570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4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1</v>
      </c>
      <c r="BI639" s="2">
        <v>1</v>
      </c>
      <c r="BJ639" s="2">
        <v>0.2</v>
      </c>
      <c r="BK639" s="2">
        <v>1</v>
      </c>
      <c r="BL639" s="2">
        <v>41.44</v>
      </c>
      <c r="BM639" s="2">
        <v>5.8</v>
      </c>
      <c r="BN639" s="2">
        <v>47.24</v>
      </c>
      <c r="BO639" s="2">
        <v>47.24</v>
      </c>
      <c r="BP639" s="2"/>
      <c r="BQ639" s="2" t="s">
        <v>209</v>
      </c>
      <c r="BR639" s="2" t="s">
        <v>84</v>
      </c>
      <c r="BS639" s="3">
        <v>42978</v>
      </c>
      <c r="BT639" s="4">
        <v>0.37013888888888885</v>
      </c>
      <c r="BU639" s="2" t="s">
        <v>1307</v>
      </c>
      <c r="BV639" s="2" t="s">
        <v>95</v>
      </c>
      <c r="BW639" s="2"/>
      <c r="BX639" s="2"/>
      <c r="BY639" s="2">
        <v>1200</v>
      </c>
      <c r="BZ639" s="2" t="s">
        <v>27</v>
      </c>
      <c r="CA639" s="2" t="s">
        <v>1308</v>
      </c>
      <c r="CB639" s="2"/>
      <c r="CC639" s="2" t="s">
        <v>106</v>
      </c>
      <c r="CD639" s="2">
        <v>7441</v>
      </c>
      <c r="CE639" s="2" t="s">
        <v>104</v>
      </c>
      <c r="CF639" s="5">
        <v>42978</v>
      </c>
      <c r="CG639" s="2"/>
      <c r="CH639" s="2"/>
      <c r="CI639" s="2">
        <v>1</v>
      </c>
      <c r="CJ639" s="2">
        <v>1</v>
      </c>
      <c r="CK639" s="2">
        <v>21</v>
      </c>
      <c r="CL639" s="2" t="s">
        <v>86</v>
      </c>
      <c r="CM639" s="2"/>
    </row>
    <row r="640" spans="1:91">
      <c r="A640" s="2" t="s">
        <v>71</v>
      </c>
      <c r="B640" s="2" t="s">
        <v>72</v>
      </c>
      <c r="C640" s="2" t="s">
        <v>73</v>
      </c>
      <c r="D640" s="2"/>
      <c r="E640" s="2" t="str">
        <f>"FES1162572247"</f>
        <v>FES1162572247</v>
      </c>
      <c r="F640" s="3">
        <v>42977</v>
      </c>
      <c r="G640" s="2">
        <v>201802</v>
      </c>
      <c r="H640" s="2" t="s">
        <v>74</v>
      </c>
      <c r="I640" s="2" t="s">
        <v>75</v>
      </c>
      <c r="J640" s="2" t="s">
        <v>76</v>
      </c>
      <c r="K640" s="2" t="s">
        <v>77</v>
      </c>
      <c r="L640" s="2" t="s">
        <v>417</v>
      </c>
      <c r="M640" s="2" t="s">
        <v>417</v>
      </c>
      <c r="N640" s="2" t="s">
        <v>1309</v>
      </c>
      <c r="O640" s="2" t="s">
        <v>100</v>
      </c>
      <c r="P640" s="2" t="str">
        <f>"2170586057                    "</f>
        <v xml:space="preserve">2170586057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4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1</v>
      </c>
      <c r="BJ640" s="2">
        <v>0.2</v>
      </c>
      <c r="BK640" s="2">
        <v>1</v>
      </c>
      <c r="BL640" s="2">
        <v>41.44</v>
      </c>
      <c r="BM640" s="2">
        <v>5.8</v>
      </c>
      <c r="BN640" s="2">
        <v>47.24</v>
      </c>
      <c r="BO640" s="2">
        <v>47.24</v>
      </c>
      <c r="BP640" s="2"/>
      <c r="BQ640" s="2" t="s">
        <v>83</v>
      </c>
      <c r="BR640" s="2" t="s">
        <v>84</v>
      </c>
      <c r="BS640" s="3">
        <v>42978</v>
      </c>
      <c r="BT640" s="4">
        <v>0.46111111111111108</v>
      </c>
      <c r="BU640" s="2" t="s">
        <v>1310</v>
      </c>
      <c r="BV640" s="2" t="s">
        <v>95</v>
      </c>
      <c r="BW640" s="2"/>
      <c r="BX640" s="2"/>
      <c r="BY640" s="2">
        <v>1200</v>
      </c>
      <c r="BZ640" s="2" t="s">
        <v>27</v>
      </c>
      <c r="CA640" s="2" t="s">
        <v>420</v>
      </c>
      <c r="CB640" s="2"/>
      <c r="CC640" s="2" t="s">
        <v>417</v>
      </c>
      <c r="CD640" s="2">
        <v>7646</v>
      </c>
      <c r="CE640" s="2" t="s">
        <v>104</v>
      </c>
      <c r="CF640" s="5">
        <v>42978</v>
      </c>
      <c r="CG640" s="2"/>
      <c r="CH640" s="2"/>
      <c r="CI640" s="2">
        <v>1</v>
      </c>
      <c r="CJ640" s="2">
        <v>1</v>
      </c>
      <c r="CK640" s="2">
        <v>21</v>
      </c>
      <c r="CL640" s="2" t="s">
        <v>86</v>
      </c>
      <c r="CM640" s="2"/>
    </row>
    <row r="641" spans="1:91">
      <c r="A641" s="2" t="s">
        <v>71</v>
      </c>
      <c r="B641" s="2" t="s">
        <v>72</v>
      </c>
      <c r="C641" s="2" t="s">
        <v>73</v>
      </c>
      <c r="D641" s="2"/>
      <c r="E641" s="2" t="str">
        <f>"FES1162572294"</f>
        <v>FES1162572294</v>
      </c>
      <c r="F641" s="3">
        <v>42977</v>
      </c>
      <c r="G641" s="2">
        <v>201802</v>
      </c>
      <c r="H641" s="2" t="s">
        <v>74</v>
      </c>
      <c r="I641" s="2" t="s">
        <v>75</v>
      </c>
      <c r="J641" s="2" t="s">
        <v>76</v>
      </c>
      <c r="K641" s="2" t="s">
        <v>77</v>
      </c>
      <c r="L641" s="2" t="s">
        <v>343</v>
      </c>
      <c r="M641" s="2" t="s">
        <v>344</v>
      </c>
      <c r="N641" s="2" t="s">
        <v>1225</v>
      </c>
      <c r="O641" s="2" t="s">
        <v>100</v>
      </c>
      <c r="P641" s="2" t="str">
        <f>"2170587850                    "</f>
        <v xml:space="preserve">2170587850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17.010000000000002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5.0999999999999996</v>
      </c>
      <c r="BJ641" s="2">
        <v>8.3000000000000007</v>
      </c>
      <c r="BK641" s="2">
        <v>8.5</v>
      </c>
      <c r="BL641" s="2">
        <v>176.13</v>
      </c>
      <c r="BM641" s="2">
        <v>24.66</v>
      </c>
      <c r="BN641" s="2">
        <v>200.79</v>
      </c>
      <c r="BO641" s="2">
        <v>200.79</v>
      </c>
      <c r="BP641" s="2"/>
      <c r="BQ641" s="2" t="s">
        <v>108</v>
      </c>
      <c r="BR641" s="2" t="s">
        <v>84</v>
      </c>
      <c r="BS641" s="3">
        <v>42978</v>
      </c>
      <c r="BT641" s="4">
        <v>0.4375</v>
      </c>
      <c r="BU641" s="2" t="s">
        <v>1311</v>
      </c>
      <c r="BV641" s="2" t="s">
        <v>95</v>
      </c>
      <c r="BW641" s="2"/>
      <c r="BX641" s="2"/>
      <c r="BY641" s="2">
        <v>41715.93</v>
      </c>
      <c r="BZ641" s="2" t="s">
        <v>27</v>
      </c>
      <c r="CA641" s="2" t="s">
        <v>347</v>
      </c>
      <c r="CB641" s="2"/>
      <c r="CC641" s="2" t="s">
        <v>344</v>
      </c>
      <c r="CD641" s="2">
        <v>4113</v>
      </c>
      <c r="CE641" s="2" t="s">
        <v>135</v>
      </c>
      <c r="CF641" s="2"/>
      <c r="CG641" s="2"/>
      <c r="CH641" s="2"/>
      <c r="CI641" s="2">
        <v>1</v>
      </c>
      <c r="CJ641" s="2">
        <v>1</v>
      </c>
      <c r="CK641" s="2">
        <v>21</v>
      </c>
      <c r="CL641" s="2" t="s">
        <v>86</v>
      </c>
      <c r="CM641" s="2"/>
    </row>
    <row r="642" spans="1:91">
      <c r="A642" s="2" t="s">
        <v>71</v>
      </c>
      <c r="B642" s="2" t="s">
        <v>72</v>
      </c>
      <c r="C642" s="2" t="s">
        <v>73</v>
      </c>
      <c r="D642" s="2"/>
      <c r="E642" s="2" t="str">
        <f>"FES1162572196"</f>
        <v>FES1162572196</v>
      </c>
      <c r="F642" s="3">
        <v>42977</v>
      </c>
      <c r="G642" s="2">
        <v>201802</v>
      </c>
      <c r="H642" s="2" t="s">
        <v>74</v>
      </c>
      <c r="I642" s="2" t="s">
        <v>75</v>
      </c>
      <c r="J642" s="2" t="s">
        <v>76</v>
      </c>
      <c r="K642" s="2" t="s">
        <v>77</v>
      </c>
      <c r="L642" s="2" t="s">
        <v>846</v>
      </c>
      <c r="M642" s="2" t="s">
        <v>847</v>
      </c>
      <c r="N642" s="2" t="s">
        <v>1312</v>
      </c>
      <c r="O642" s="2" t="s">
        <v>100</v>
      </c>
      <c r="P642" s="2" t="str">
        <f>"2170587760                    "</f>
        <v xml:space="preserve">2170587760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44.53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2</v>
      </c>
      <c r="BI642" s="2">
        <v>12.4</v>
      </c>
      <c r="BJ642" s="2">
        <v>6.6</v>
      </c>
      <c r="BK642" s="2">
        <v>12.5</v>
      </c>
      <c r="BL642" s="2">
        <v>461.05</v>
      </c>
      <c r="BM642" s="2">
        <v>64.55</v>
      </c>
      <c r="BN642" s="2">
        <v>525.6</v>
      </c>
      <c r="BO642" s="2">
        <v>525.6</v>
      </c>
      <c r="BP642" s="2"/>
      <c r="BQ642" s="2" t="s">
        <v>108</v>
      </c>
      <c r="BR642" s="2" t="s">
        <v>84</v>
      </c>
      <c r="BS642" s="3">
        <v>42978</v>
      </c>
      <c r="BT642" s="4">
        <v>0.62152777777777779</v>
      </c>
      <c r="BU642" s="2" t="s">
        <v>1313</v>
      </c>
      <c r="BV642" s="2" t="s">
        <v>86</v>
      </c>
      <c r="BW642" s="2" t="s">
        <v>110</v>
      </c>
      <c r="BX642" s="2" t="s">
        <v>1314</v>
      </c>
      <c r="BY642" s="2">
        <v>33079.699999999997</v>
      </c>
      <c r="BZ642" s="2" t="s">
        <v>27</v>
      </c>
      <c r="CA642" s="2" t="s">
        <v>850</v>
      </c>
      <c r="CB642" s="2"/>
      <c r="CC642" s="2" t="s">
        <v>847</v>
      </c>
      <c r="CD642" s="2">
        <v>7349</v>
      </c>
      <c r="CE642" s="2" t="s">
        <v>135</v>
      </c>
      <c r="CF642" s="5">
        <v>42978</v>
      </c>
      <c r="CG642" s="2"/>
      <c r="CH642" s="2"/>
      <c r="CI642" s="2">
        <v>1</v>
      </c>
      <c r="CJ642" s="2">
        <v>1</v>
      </c>
      <c r="CK642" s="2">
        <v>23</v>
      </c>
      <c r="CL642" s="2" t="s">
        <v>86</v>
      </c>
      <c r="CM642" s="2"/>
    </row>
    <row r="643" spans="1:91">
      <c r="A643" s="2" t="s">
        <v>71</v>
      </c>
      <c r="B643" s="2" t="s">
        <v>72</v>
      </c>
      <c r="C643" s="2" t="s">
        <v>73</v>
      </c>
      <c r="D643" s="2"/>
      <c r="E643" s="2" t="str">
        <f>"FES1162572237"</f>
        <v>FES1162572237</v>
      </c>
      <c r="F643" s="3">
        <v>42977</v>
      </c>
      <c r="G643" s="2">
        <v>201802</v>
      </c>
      <c r="H643" s="2" t="s">
        <v>74</v>
      </c>
      <c r="I643" s="2" t="s">
        <v>75</v>
      </c>
      <c r="J643" s="2" t="s">
        <v>76</v>
      </c>
      <c r="K643" s="2" t="s">
        <v>77</v>
      </c>
      <c r="L643" s="2" t="s">
        <v>105</v>
      </c>
      <c r="M643" s="2" t="s">
        <v>106</v>
      </c>
      <c r="N643" s="2" t="s">
        <v>348</v>
      </c>
      <c r="O643" s="2" t="s">
        <v>100</v>
      </c>
      <c r="P643" s="2" t="str">
        <f>"2170587828                    "</f>
        <v xml:space="preserve">2170587828 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4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1</v>
      </c>
      <c r="BJ643" s="2">
        <v>0.2</v>
      </c>
      <c r="BK643" s="2">
        <v>1</v>
      </c>
      <c r="BL643" s="2">
        <v>41.44</v>
      </c>
      <c r="BM643" s="2">
        <v>5.8</v>
      </c>
      <c r="BN643" s="2">
        <v>47.24</v>
      </c>
      <c r="BO643" s="2">
        <v>47.24</v>
      </c>
      <c r="BP643" s="2"/>
      <c r="BQ643" s="2" t="s">
        <v>108</v>
      </c>
      <c r="BR643" s="2" t="s">
        <v>84</v>
      </c>
      <c r="BS643" s="3">
        <v>42978</v>
      </c>
      <c r="BT643" s="4">
        <v>0.41666666666666669</v>
      </c>
      <c r="BU643" s="2" t="s">
        <v>1315</v>
      </c>
      <c r="BV643" s="2" t="s">
        <v>95</v>
      </c>
      <c r="BW643" s="2"/>
      <c r="BX643" s="2"/>
      <c r="BY643" s="2">
        <v>1200</v>
      </c>
      <c r="BZ643" s="2" t="s">
        <v>27</v>
      </c>
      <c r="CA643" s="2" t="s">
        <v>148</v>
      </c>
      <c r="CB643" s="2"/>
      <c r="CC643" s="2" t="s">
        <v>106</v>
      </c>
      <c r="CD643" s="2">
        <v>7945</v>
      </c>
      <c r="CE643" s="2" t="s">
        <v>104</v>
      </c>
      <c r="CF643" s="2"/>
      <c r="CG643" s="2"/>
      <c r="CH643" s="2"/>
      <c r="CI643" s="2">
        <v>1</v>
      </c>
      <c r="CJ643" s="2">
        <v>1</v>
      </c>
      <c r="CK643" s="2">
        <v>21</v>
      </c>
      <c r="CL643" s="2" t="s">
        <v>86</v>
      </c>
      <c r="CM643" s="2"/>
    </row>
    <row r="644" spans="1:91">
      <c r="A644" s="2" t="s">
        <v>71</v>
      </c>
      <c r="B644" s="2" t="s">
        <v>72</v>
      </c>
      <c r="C644" s="2" t="s">
        <v>73</v>
      </c>
      <c r="D644" s="2"/>
      <c r="E644" s="2" t="str">
        <f>"FES1162572253"</f>
        <v>FES1162572253</v>
      </c>
      <c r="F644" s="3">
        <v>42977</v>
      </c>
      <c r="G644" s="2">
        <v>201802</v>
      </c>
      <c r="H644" s="2" t="s">
        <v>74</v>
      </c>
      <c r="I644" s="2" t="s">
        <v>75</v>
      </c>
      <c r="J644" s="2" t="s">
        <v>76</v>
      </c>
      <c r="K644" s="2" t="s">
        <v>77</v>
      </c>
      <c r="L644" s="2" t="s">
        <v>128</v>
      </c>
      <c r="M644" s="2" t="s">
        <v>129</v>
      </c>
      <c r="N644" s="2" t="s">
        <v>1152</v>
      </c>
      <c r="O644" s="2" t="s">
        <v>100</v>
      </c>
      <c r="P644" s="2" t="str">
        <f>"2170587831                    "</f>
        <v xml:space="preserve">2170587831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3.13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3.3</v>
      </c>
      <c r="BJ644" s="2">
        <v>1.6</v>
      </c>
      <c r="BK644" s="2">
        <v>4</v>
      </c>
      <c r="BL644" s="2">
        <v>32.380000000000003</v>
      </c>
      <c r="BM644" s="2">
        <v>4.53</v>
      </c>
      <c r="BN644" s="2">
        <v>36.909999999999997</v>
      </c>
      <c r="BO644" s="2">
        <v>36.909999999999997</v>
      </c>
      <c r="BP644" s="2"/>
      <c r="BQ644" s="2" t="s">
        <v>288</v>
      </c>
      <c r="BR644" s="2" t="s">
        <v>84</v>
      </c>
      <c r="BS644" s="3">
        <v>42978</v>
      </c>
      <c r="BT644" s="4">
        <v>0.38541666666666669</v>
      </c>
      <c r="BU644" s="2" t="s">
        <v>1316</v>
      </c>
      <c r="BV644" s="2" t="s">
        <v>95</v>
      </c>
      <c r="BW644" s="2"/>
      <c r="BX644" s="2"/>
      <c r="BY644" s="2">
        <v>8168.98</v>
      </c>
      <c r="BZ644" s="2" t="s">
        <v>27</v>
      </c>
      <c r="CA644" s="2" t="s">
        <v>923</v>
      </c>
      <c r="CB644" s="2"/>
      <c r="CC644" s="2" t="s">
        <v>129</v>
      </c>
      <c r="CD644" s="2">
        <v>1700</v>
      </c>
      <c r="CE644" s="2" t="s">
        <v>89</v>
      </c>
      <c r="CF644" s="2"/>
      <c r="CG644" s="2"/>
      <c r="CH644" s="2"/>
      <c r="CI644" s="2">
        <v>1</v>
      </c>
      <c r="CJ644" s="2">
        <v>1</v>
      </c>
      <c r="CK644" s="2">
        <v>22</v>
      </c>
      <c r="CL644" s="2" t="s">
        <v>86</v>
      </c>
      <c r="CM644" s="2"/>
    </row>
    <row r="645" spans="1:91">
      <c r="A645" s="2" t="s">
        <v>71</v>
      </c>
      <c r="B645" s="2" t="s">
        <v>72</v>
      </c>
      <c r="C645" s="2" t="s">
        <v>73</v>
      </c>
      <c r="D645" s="2"/>
      <c r="E645" s="2" t="str">
        <f>"FES1162572270"</f>
        <v>FES1162572270</v>
      </c>
      <c r="F645" s="3">
        <v>42977</v>
      </c>
      <c r="G645" s="2">
        <v>201802</v>
      </c>
      <c r="H645" s="2" t="s">
        <v>74</v>
      </c>
      <c r="I645" s="2" t="s">
        <v>75</v>
      </c>
      <c r="J645" s="2" t="s">
        <v>76</v>
      </c>
      <c r="K645" s="2" t="s">
        <v>77</v>
      </c>
      <c r="L645" s="2" t="s">
        <v>137</v>
      </c>
      <c r="M645" s="2" t="s">
        <v>138</v>
      </c>
      <c r="N645" s="2" t="s">
        <v>226</v>
      </c>
      <c r="O645" s="2" t="s">
        <v>100</v>
      </c>
      <c r="P645" s="2" t="str">
        <f>"2170584812                    "</f>
        <v xml:space="preserve">2170584812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4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1</v>
      </c>
      <c r="BJ645" s="2">
        <v>0.2</v>
      </c>
      <c r="BK645" s="2">
        <v>1</v>
      </c>
      <c r="BL645" s="2">
        <v>41.44</v>
      </c>
      <c r="BM645" s="2">
        <v>5.8</v>
      </c>
      <c r="BN645" s="2">
        <v>47.24</v>
      </c>
      <c r="BO645" s="2">
        <v>47.24</v>
      </c>
      <c r="BP645" s="2"/>
      <c r="BQ645" s="2" t="s">
        <v>1155</v>
      </c>
      <c r="BR645" s="2" t="s">
        <v>84</v>
      </c>
      <c r="BS645" s="3">
        <v>42978</v>
      </c>
      <c r="BT645" s="4">
        <v>0.35416666666666669</v>
      </c>
      <c r="BU645" s="2" t="s">
        <v>228</v>
      </c>
      <c r="BV645" s="2" t="s">
        <v>95</v>
      </c>
      <c r="BW645" s="2"/>
      <c r="BX645" s="2"/>
      <c r="BY645" s="2">
        <v>1200</v>
      </c>
      <c r="BZ645" s="2" t="s">
        <v>27</v>
      </c>
      <c r="CA645" s="2"/>
      <c r="CB645" s="2"/>
      <c r="CC645" s="2" t="s">
        <v>138</v>
      </c>
      <c r="CD645" s="2">
        <v>157</v>
      </c>
      <c r="CE645" s="2" t="s">
        <v>104</v>
      </c>
      <c r="CF645" s="2"/>
      <c r="CG645" s="2"/>
      <c r="CH645" s="2"/>
      <c r="CI645" s="2">
        <v>1</v>
      </c>
      <c r="CJ645" s="2">
        <v>1</v>
      </c>
      <c r="CK645" s="2">
        <v>21</v>
      </c>
      <c r="CL645" s="2" t="s">
        <v>86</v>
      </c>
      <c r="CM645" s="2"/>
    </row>
    <row r="646" spans="1:91">
      <c r="A646" s="2" t="s">
        <v>71</v>
      </c>
      <c r="B646" s="2" t="s">
        <v>72</v>
      </c>
      <c r="C646" s="2" t="s">
        <v>73</v>
      </c>
      <c r="D646" s="2"/>
      <c r="E646" s="2" t="str">
        <f>"FES1162572203"</f>
        <v>FES1162572203</v>
      </c>
      <c r="F646" s="3">
        <v>42977</v>
      </c>
      <c r="G646" s="2">
        <v>201802</v>
      </c>
      <c r="H646" s="2" t="s">
        <v>74</v>
      </c>
      <c r="I646" s="2" t="s">
        <v>75</v>
      </c>
      <c r="J646" s="2" t="s">
        <v>76</v>
      </c>
      <c r="K646" s="2" t="s">
        <v>77</v>
      </c>
      <c r="L646" s="2" t="s">
        <v>206</v>
      </c>
      <c r="M646" s="2" t="s">
        <v>207</v>
      </c>
      <c r="N646" s="2" t="s">
        <v>650</v>
      </c>
      <c r="O646" s="2" t="s">
        <v>100</v>
      </c>
      <c r="P646" s="2" t="str">
        <f>"2170587805                    "</f>
        <v xml:space="preserve">2170587805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5.63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1</v>
      </c>
      <c r="BJ646" s="2">
        <v>0.2</v>
      </c>
      <c r="BK646" s="2">
        <v>1</v>
      </c>
      <c r="BL646" s="2">
        <v>58.28</v>
      </c>
      <c r="BM646" s="2">
        <v>8.16</v>
      </c>
      <c r="BN646" s="2">
        <v>66.44</v>
      </c>
      <c r="BO646" s="2">
        <v>66.44</v>
      </c>
      <c r="BP646" s="2"/>
      <c r="BQ646" s="2" t="s">
        <v>108</v>
      </c>
      <c r="BR646" s="2" t="s">
        <v>84</v>
      </c>
      <c r="BS646" s="3">
        <v>42978</v>
      </c>
      <c r="BT646" s="4">
        <v>0.44791666666666669</v>
      </c>
      <c r="BU646" s="2" t="s">
        <v>1317</v>
      </c>
      <c r="BV646" s="2" t="s">
        <v>95</v>
      </c>
      <c r="BW646" s="2"/>
      <c r="BX646" s="2"/>
      <c r="BY646" s="2">
        <v>1200</v>
      </c>
      <c r="BZ646" s="2" t="s">
        <v>27</v>
      </c>
      <c r="CA646" s="2" t="s">
        <v>148</v>
      </c>
      <c r="CB646" s="2"/>
      <c r="CC646" s="2" t="s">
        <v>207</v>
      </c>
      <c r="CD646" s="2">
        <v>250</v>
      </c>
      <c r="CE646" s="2" t="s">
        <v>104</v>
      </c>
      <c r="CF646" s="2"/>
      <c r="CG646" s="2"/>
      <c r="CH646" s="2"/>
      <c r="CI646" s="2">
        <v>1</v>
      </c>
      <c r="CJ646" s="2">
        <v>1</v>
      </c>
      <c r="CK646" s="2">
        <v>24</v>
      </c>
      <c r="CL646" s="2" t="s">
        <v>86</v>
      </c>
      <c r="CM646" s="2"/>
    </row>
    <row r="647" spans="1:91">
      <c r="A647" s="2" t="s">
        <v>71</v>
      </c>
      <c r="B647" s="2" t="s">
        <v>72</v>
      </c>
      <c r="C647" s="2" t="s">
        <v>73</v>
      </c>
      <c r="D647" s="2"/>
      <c r="E647" s="2" t="str">
        <f>"FES1162572295"</f>
        <v>FES1162572295</v>
      </c>
      <c r="F647" s="3">
        <v>42977</v>
      </c>
      <c r="G647" s="2">
        <v>201802</v>
      </c>
      <c r="H647" s="2" t="s">
        <v>74</v>
      </c>
      <c r="I647" s="2" t="s">
        <v>75</v>
      </c>
      <c r="J647" s="2" t="s">
        <v>76</v>
      </c>
      <c r="K647" s="2" t="s">
        <v>77</v>
      </c>
      <c r="L647" s="2" t="s">
        <v>268</v>
      </c>
      <c r="M647" s="2" t="s">
        <v>269</v>
      </c>
      <c r="N647" s="2" t="s">
        <v>635</v>
      </c>
      <c r="O647" s="2" t="s">
        <v>100</v>
      </c>
      <c r="P647" s="2" t="str">
        <f>"2170581367                    "</f>
        <v xml:space="preserve">2170581367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4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1</v>
      </c>
      <c r="BJ647" s="2">
        <v>0.2</v>
      </c>
      <c r="BK647" s="2">
        <v>1</v>
      </c>
      <c r="BL647" s="2">
        <v>41.44</v>
      </c>
      <c r="BM647" s="2">
        <v>5.8</v>
      </c>
      <c r="BN647" s="2">
        <v>47.24</v>
      </c>
      <c r="BO647" s="2">
        <v>47.24</v>
      </c>
      <c r="BP647" s="2"/>
      <c r="BQ647" s="2" t="s">
        <v>108</v>
      </c>
      <c r="BR647" s="2" t="s">
        <v>84</v>
      </c>
      <c r="BS647" s="3">
        <v>42978</v>
      </c>
      <c r="BT647" s="4">
        <v>0.4548611111111111</v>
      </c>
      <c r="BU647" s="2" t="s">
        <v>1318</v>
      </c>
      <c r="BV647" s="2" t="s">
        <v>95</v>
      </c>
      <c r="BW647" s="2"/>
      <c r="BX647" s="2"/>
      <c r="BY647" s="2">
        <v>1200</v>
      </c>
      <c r="BZ647" s="2" t="s">
        <v>27</v>
      </c>
      <c r="CA647" s="2" t="s">
        <v>638</v>
      </c>
      <c r="CB647" s="2"/>
      <c r="CC647" s="2" t="s">
        <v>269</v>
      </c>
      <c r="CD647" s="2">
        <v>184</v>
      </c>
      <c r="CE647" s="2" t="s">
        <v>104</v>
      </c>
      <c r="CF647" s="2"/>
      <c r="CG647" s="2"/>
      <c r="CH647" s="2"/>
      <c r="CI647" s="2">
        <v>1</v>
      </c>
      <c r="CJ647" s="2">
        <v>1</v>
      </c>
      <c r="CK647" s="2">
        <v>21</v>
      </c>
      <c r="CL647" s="2" t="s">
        <v>86</v>
      </c>
      <c r="CM647" s="2"/>
    </row>
    <row r="648" spans="1:91">
      <c r="A648" s="2" t="s">
        <v>71</v>
      </c>
      <c r="B648" s="2" t="s">
        <v>72</v>
      </c>
      <c r="C648" s="2" t="s">
        <v>73</v>
      </c>
      <c r="D648" s="2"/>
      <c r="E648" s="2" t="str">
        <f>"FES1162572257"</f>
        <v>FES1162572257</v>
      </c>
      <c r="F648" s="3">
        <v>42977</v>
      </c>
      <c r="G648" s="2">
        <v>201802</v>
      </c>
      <c r="H648" s="2" t="s">
        <v>74</v>
      </c>
      <c r="I648" s="2" t="s">
        <v>75</v>
      </c>
      <c r="J648" s="2" t="s">
        <v>76</v>
      </c>
      <c r="K648" s="2" t="s">
        <v>77</v>
      </c>
      <c r="L648" s="2" t="s">
        <v>97</v>
      </c>
      <c r="M648" s="2" t="s">
        <v>98</v>
      </c>
      <c r="N648" s="2" t="s">
        <v>248</v>
      </c>
      <c r="O648" s="2" t="s">
        <v>100</v>
      </c>
      <c r="P648" s="2" t="str">
        <f>"2170580328                    "</f>
        <v xml:space="preserve">2170580328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8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3.9</v>
      </c>
      <c r="BJ648" s="2">
        <v>1</v>
      </c>
      <c r="BK648" s="2">
        <v>4</v>
      </c>
      <c r="BL648" s="2">
        <v>82.88</v>
      </c>
      <c r="BM648" s="2">
        <v>11.6</v>
      </c>
      <c r="BN648" s="2">
        <v>94.48</v>
      </c>
      <c r="BO648" s="2">
        <v>94.48</v>
      </c>
      <c r="BP648" s="2"/>
      <c r="BQ648" s="2" t="s">
        <v>83</v>
      </c>
      <c r="BR648" s="2" t="s">
        <v>84</v>
      </c>
      <c r="BS648" s="3">
        <v>42978</v>
      </c>
      <c r="BT648" s="4">
        <v>0.35416666666666669</v>
      </c>
      <c r="BU648" s="2" t="s">
        <v>1208</v>
      </c>
      <c r="BV648" s="2" t="s">
        <v>95</v>
      </c>
      <c r="BW648" s="2"/>
      <c r="BX648" s="2"/>
      <c r="BY648" s="2">
        <v>5189.28</v>
      </c>
      <c r="BZ648" s="2" t="s">
        <v>27</v>
      </c>
      <c r="CA648" s="2" t="s">
        <v>294</v>
      </c>
      <c r="CB648" s="2"/>
      <c r="CC648" s="2" t="s">
        <v>98</v>
      </c>
      <c r="CD648" s="2">
        <v>6001</v>
      </c>
      <c r="CE648" s="2" t="s">
        <v>89</v>
      </c>
      <c r="CF648" s="5">
        <v>42978</v>
      </c>
      <c r="CG648" s="2"/>
      <c r="CH648" s="2"/>
      <c r="CI648" s="2">
        <v>1</v>
      </c>
      <c r="CJ648" s="2">
        <v>1</v>
      </c>
      <c r="CK648" s="2">
        <v>21</v>
      </c>
      <c r="CL648" s="2" t="s">
        <v>86</v>
      </c>
      <c r="CM648" s="2"/>
    </row>
    <row r="649" spans="1:91">
      <c r="A649" s="2" t="s">
        <v>71</v>
      </c>
      <c r="B649" s="2" t="s">
        <v>72</v>
      </c>
      <c r="C649" s="2" t="s">
        <v>73</v>
      </c>
      <c r="D649" s="2"/>
      <c r="E649" s="2" t="str">
        <f>"FES1162572223"</f>
        <v>FES1162572223</v>
      </c>
      <c r="F649" s="3">
        <v>42977</v>
      </c>
      <c r="G649" s="2">
        <v>201802</v>
      </c>
      <c r="H649" s="2" t="s">
        <v>74</v>
      </c>
      <c r="I649" s="2" t="s">
        <v>75</v>
      </c>
      <c r="J649" s="2" t="s">
        <v>76</v>
      </c>
      <c r="K649" s="2" t="s">
        <v>77</v>
      </c>
      <c r="L649" s="2" t="s">
        <v>343</v>
      </c>
      <c r="M649" s="2" t="s">
        <v>344</v>
      </c>
      <c r="N649" s="2" t="s">
        <v>1319</v>
      </c>
      <c r="O649" s="2" t="s">
        <v>100</v>
      </c>
      <c r="P649" s="2" t="str">
        <f>"2170585466                    "</f>
        <v xml:space="preserve">2170585466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6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3</v>
      </c>
      <c r="BJ649" s="2">
        <v>0.9</v>
      </c>
      <c r="BK649" s="2">
        <v>3</v>
      </c>
      <c r="BL649" s="2">
        <v>62.16</v>
      </c>
      <c r="BM649" s="2">
        <v>8.6999999999999993</v>
      </c>
      <c r="BN649" s="2">
        <v>70.86</v>
      </c>
      <c r="BO649" s="2">
        <v>70.86</v>
      </c>
      <c r="BP649" s="2"/>
      <c r="BQ649" s="2" t="s">
        <v>108</v>
      </c>
      <c r="BR649" s="2" t="s">
        <v>84</v>
      </c>
      <c r="BS649" s="3">
        <v>42978</v>
      </c>
      <c r="BT649" s="4">
        <v>0.4375</v>
      </c>
      <c r="BU649" s="2" t="s">
        <v>1283</v>
      </c>
      <c r="BV649" s="2" t="s">
        <v>95</v>
      </c>
      <c r="BW649" s="2"/>
      <c r="BX649" s="2"/>
      <c r="BY649" s="2">
        <v>4500</v>
      </c>
      <c r="BZ649" s="2" t="s">
        <v>27</v>
      </c>
      <c r="CA649" s="2" t="s">
        <v>347</v>
      </c>
      <c r="CB649" s="2"/>
      <c r="CC649" s="2" t="s">
        <v>344</v>
      </c>
      <c r="CD649" s="2">
        <v>4115</v>
      </c>
      <c r="CE649" s="2" t="s">
        <v>135</v>
      </c>
      <c r="CF649" s="2"/>
      <c r="CG649" s="2"/>
      <c r="CH649" s="2"/>
      <c r="CI649" s="2">
        <v>1</v>
      </c>
      <c r="CJ649" s="2">
        <v>1</v>
      </c>
      <c r="CK649" s="2">
        <v>21</v>
      </c>
      <c r="CL649" s="2" t="s">
        <v>86</v>
      </c>
      <c r="CM649" s="2"/>
    </row>
    <row r="650" spans="1:91">
      <c r="A650" s="2" t="s">
        <v>71</v>
      </c>
      <c r="B650" s="2" t="s">
        <v>72</v>
      </c>
      <c r="C650" s="2" t="s">
        <v>73</v>
      </c>
      <c r="D650" s="2"/>
      <c r="E650" s="2" t="str">
        <f>"FES1162572254"</f>
        <v>FES1162572254</v>
      </c>
      <c r="F650" s="3">
        <v>42977</v>
      </c>
      <c r="G650" s="2">
        <v>201802</v>
      </c>
      <c r="H650" s="2" t="s">
        <v>74</v>
      </c>
      <c r="I650" s="2" t="s">
        <v>75</v>
      </c>
      <c r="J650" s="2" t="s">
        <v>76</v>
      </c>
      <c r="K650" s="2" t="s">
        <v>77</v>
      </c>
      <c r="L650" s="2" t="s">
        <v>268</v>
      </c>
      <c r="M650" s="2" t="s">
        <v>269</v>
      </c>
      <c r="N650" s="2" t="s">
        <v>1320</v>
      </c>
      <c r="O650" s="2" t="s">
        <v>100</v>
      </c>
      <c r="P650" s="2" t="str">
        <f>"2170587832                    "</f>
        <v xml:space="preserve">2170587832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4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1</v>
      </c>
      <c r="BJ650" s="2">
        <v>0.2</v>
      </c>
      <c r="BK650" s="2">
        <v>1</v>
      </c>
      <c r="BL650" s="2">
        <v>41.44</v>
      </c>
      <c r="BM650" s="2">
        <v>5.8</v>
      </c>
      <c r="BN650" s="2">
        <v>47.24</v>
      </c>
      <c r="BO650" s="2">
        <v>47.24</v>
      </c>
      <c r="BP650" s="2"/>
      <c r="BQ650" s="2" t="s">
        <v>1321</v>
      </c>
      <c r="BR650" s="2" t="s">
        <v>84</v>
      </c>
      <c r="BS650" s="3">
        <v>42978</v>
      </c>
      <c r="BT650" s="4">
        <v>0.45833333333333331</v>
      </c>
      <c r="BU650" s="2" t="s">
        <v>392</v>
      </c>
      <c r="BV650" s="2" t="s">
        <v>86</v>
      </c>
      <c r="BW650" s="2"/>
      <c r="BX650" s="2"/>
      <c r="BY650" s="2">
        <v>1200</v>
      </c>
      <c r="BZ650" s="2" t="s">
        <v>27</v>
      </c>
      <c r="CA650" s="2"/>
      <c r="CB650" s="2"/>
      <c r="CC650" s="2" t="s">
        <v>269</v>
      </c>
      <c r="CD650" s="2">
        <v>2</v>
      </c>
      <c r="CE650" s="2" t="s">
        <v>104</v>
      </c>
      <c r="CF650" s="2"/>
      <c r="CG650" s="2"/>
      <c r="CH650" s="2"/>
      <c r="CI650" s="2">
        <v>1</v>
      </c>
      <c r="CJ650" s="2">
        <v>1</v>
      </c>
      <c r="CK650" s="2">
        <v>21</v>
      </c>
      <c r="CL650" s="2" t="s">
        <v>86</v>
      </c>
      <c r="CM650" s="2"/>
    </row>
    <row r="651" spans="1:91">
      <c r="A651" s="2" t="s">
        <v>71</v>
      </c>
      <c r="B651" s="2" t="s">
        <v>72</v>
      </c>
      <c r="C651" s="2" t="s">
        <v>73</v>
      </c>
      <c r="D651" s="2"/>
      <c r="E651" s="2" t="str">
        <f>"FES1162572209"</f>
        <v>FES1162572209</v>
      </c>
      <c r="F651" s="3">
        <v>42977</v>
      </c>
      <c r="G651" s="2">
        <v>201802</v>
      </c>
      <c r="H651" s="2" t="s">
        <v>74</v>
      </c>
      <c r="I651" s="2" t="s">
        <v>75</v>
      </c>
      <c r="J651" s="2" t="s">
        <v>76</v>
      </c>
      <c r="K651" s="2" t="s">
        <v>77</v>
      </c>
      <c r="L651" s="2" t="s">
        <v>105</v>
      </c>
      <c r="M651" s="2" t="s">
        <v>106</v>
      </c>
      <c r="N651" s="2" t="s">
        <v>348</v>
      </c>
      <c r="O651" s="2" t="s">
        <v>100</v>
      </c>
      <c r="P651" s="2" t="str">
        <f>"2170587151                    "</f>
        <v xml:space="preserve">2170587151 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7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3.4</v>
      </c>
      <c r="BJ651" s="2">
        <v>1.1000000000000001</v>
      </c>
      <c r="BK651" s="2">
        <v>3.5</v>
      </c>
      <c r="BL651" s="2">
        <v>72.52</v>
      </c>
      <c r="BM651" s="2">
        <v>10.15</v>
      </c>
      <c r="BN651" s="2">
        <v>82.67</v>
      </c>
      <c r="BO651" s="2">
        <v>82.67</v>
      </c>
      <c r="BP651" s="2"/>
      <c r="BQ651" s="2" t="s">
        <v>108</v>
      </c>
      <c r="BR651" s="2" t="s">
        <v>84</v>
      </c>
      <c r="BS651" s="3">
        <v>42978</v>
      </c>
      <c r="BT651" s="4">
        <v>0.25555555555555559</v>
      </c>
      <c r="BU651" s="2" t="s">
        <v>1315</v>
      </c>
      <c r="BV651" s="2" t="s">
        <v>95</v>
      </c>
      <c r="BW651" s="2"/>
      <c r="BX651" s="2"/>
      <c r="BY651" s="2">
        <v>5680.43</v>
      </c>
      <c r="BZ651" s="2" t="s">
        <v>27</v>
      </c>
      <c r="CA651" s="2" t="s">
        <v>1322</v>
      </c>
      <c r="CB651" s="2"/>
      <c r="CC651" s="2" t="s">
        <v>106</v>
      </c>
      <c r="CD651" s="2">
        <v>7945</v>
      </c>
      <c r="CE651" s="2" t="s">
        <v>89</v>
      </c>
      <c r="CF651" s="5">
        <v>42978</v>
      </c>
      <c r="CG651" s="2"/>
      <c r="CH651" s="2"/>
      <c r="CI651" s="2">
        <v>1</v>
      </c>
      <c r="CJ651" s="2">
        <v>1</v>
      </c>
      <c r="CK651" s="2">
        <v>21</v>
      </c>
      <c r="CL651" s="2" t="s">
        <v>86</v>
      </c>
      <c r="CM651" s="2"/>
    </row>
    <row r="652" spans="1:91">
      <c r="A652" s="2" t="s">
        <v>71</v>
      </c>
      <c r="B652" s="2" t="s">
        <v>72</v>
      </c>
      <c r="C652" s="2" t="s">
        <v>73</v>
      </c>
      <c r="D652" s="2"/>
      <c r="E652" s="2" t="str">
        <f>"FES1162572305"</f>
        <v>FES1162572305</v>
      </c>
      <c r="F652" s="3">
        <v>42977</v>
      </c>
      <c r="G652" s="2">
        <v>201802</v>
      </c>
      <c r="H652" s="2" t="s">
        <v>74</v>
      </c>
      <c r="I652" s="2" t="s">
        <v>75</v>
      </c>
      <c r="J652" s="2" t="s">
        <v>76</v>
      </c>
      <c r="K652" s="2" t="s">
        <v>77</v>
      </c>
      <c r="L652" s="2" t="s">
        <v>105</v>
      </c>
      <c r="M652" s="2" t="s">
        <v>106</v>
      </c>
      <c r="N652" s="2" t="s">
        <v>1143</v>
      </c>
      <c r="O652" s="2" t="s">
        <v>100</v>
      </c>
      <c r="P652" s="2" t="str">
        <f>"2170585327                    "</f>
        <v xml:space="preserve">2170585327              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8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3.9</v>
      </c>
      <c r="BJ652" s="2">
        <v>1.8</v>
      </c>
      <c r="BK652" s="2">
        <v>4</v>
      </c>
      <c r="BL652" s="2">
        <v>82.88</v>
      </c>
      <c r="BM652" s="2">
        <v>11.6</v>
      </c>
      <c r="BN652" s="2">
        <v>94.48</v>
      </c>
      <c r="BO652" s="2">
        <v>94.48</v>
      </c>
      <c r="BP652" s="2"/>
      <c r="BQ652" s="2" t="s">
        <v>108</v>
      </c>
      <c r="BR652" s="2" t="s">
        <v>84</v>
      </c>
      <c r="BS652" s="3">
        <v>42978</v>
      </c>
      <c r="BT652" s="4">
        <v>0.58958333333333335</v>
      </c>
      <c r="BU652" s="2" t="s">
        <v>1323</v>
      </c>
      <c r="BV652" s="2" t="s">
        <v>86</v>
      </c>
      <c r="BW652" s="2" t="s">
        <v>110</v>
      </c>
      <c r="BX652" s="2" t="s">
        <v>1314</v>
      </c>
      <c r="BY652" s="2">
        <v>8903.4</v>
      </c>
      <c r="BZ652" s="2" t="s">
        <v>27</v>
      </c>
      <c r="CA652" s="2" t="s">
        <v>1324</v>
      </c>
      <c r="CB652" s="2"/>
      <c r="CC652" s="2" t="s">
        <v>106</v>
      </c>
      <c r="CD652" s="2">
        <v>7925</v>
      </c>
      <c r="CE652" s="2" t="s">
        <v>89</v>
      </c>
      <c r="CF652" s="2"/>
      <c r="CG652" s="2"/>
      <c r="CH652" s="2"/>
      <c r="CI652" s="2">
        <v>1</v>
      </c>
      <c r="CJ652" s="2">
        <v>1</v>
      </c>
      <c r="CK652" s="2">
        <v>21</v>
      </c>
      <c r="CL652" s="2" t="s">
        <v>86</v>
      </c>
      <c r="CM652" s="2"/>
    </row>
    <row r="653" spans="1:91">
      <c r="A653" s="2" t="s">
        <v>71</v>
      </c>
      <c r="B653" s="2" t="s">
        <v>72</v>
      </c>
      <c r="C653" s="2" t="s">
        <v>73</v>
      </c>
      <c r="D653" s="2"/>
      <c r="E653" s="2" t="str">
        <f>"FES1162572235"</f>
        <v>FES1162572235</v>
      </c>
      <c r="F653" s="3">
        <v>42977</v>
      </c>
      <c r="G653" s="2">
        <v>201802</v>
      </c>
      <c r="H653" s="2" t="s">
        <v>74</v>
      </c>
      <c r="I653" s="2" t="s">
        <v>75</v>
      </c>
      <c r="J653" s="2" t="s">
        <v>76</v>
      </c>
      <c r="K653" s="2" t="s">
        <v>77</v>
      </c>
      <c r="L653" s="2" t="s">
        <v>105</v>
      </c>
      <c r="M653" s="2" t="s">
        <v>106</v>
      </c>
      <c r="N653" s="2" t="s">
        <v>1325</v>
      </c>
      <c r="O653" s="2" t="s">
        <v>100</v>
      </c>
      <c r="P653" s="2" t="str">
        <f>"2170585925                    "</f>
        <v xml:space="preserve">2170585925 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6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3</v>
      </c>
      <c r="BJ653" s="2">
        <v>0.9</v>
      </c>
      <c r="BK653" s="2">
        <v>3</v>
      </c>
      <c r="BL653" s="2">
        <v>62.16</v>
      </c>
      <c r="BM653" s="2">
        <v>8.6999999999999993</v>
      </c>
      <c r="BN653" s="2">
        <v>70.86</v>
      </c>
      <c r="BO653" s="2">
        <v>70.86</v>
      </c>
      <c r="BP653" s="2"/>
      <c r="BQ653" s="2" t="s">
        <v>227</v>
      </c>
      <c r="BR653" s="2" t="s">
        <v>84</v>
      </c>
      <c r="BS653" s="3">
        <v>42978</v>
      </c>
      <c r="BT653" s="4">
        <v>0.41180555555555554</v>
      </c>
      <c r="BU653" s="2" t="s">
        <v>1326</v>
      </c>
      <c r="BV653" s="2" t="s">
        <v>95</v>
      </c>
      <c r="BW653" s="2"/>
      <c r="BX653" s="2"/>
      <c r="BY653" s="2">
        <v>4500</v>
      </c>
      <c r="BZ653" s="2" t="s">
        <v>27</v>
      </c>
      <c r="CA653" s="2"/>
      <c r="CB653" s="2"/>
      <c r="CC653" s="2" t="s">
        <v>106</v>
      </c>
      <c r="CD653" s="2">
        <v>7405</v>
      </c>
      <c r="CE653" s="2" t="s">
        <v>135</v>
      </c>
      <c r="CF653" s="2"/>
      <c r="CG653" s="2"/>
      <c r="CH653" s="2"/>
      <c r="CI653" s="2">
        <v>1</v>
      </c>
      <c r="CJ653" s="2">
        <v>1</v>
      </c>
      <c r="CK653" s="2">
        <v>21</v>
      </c>
      <c r="CL653" s="2" t="s">
        <v>86</v>
      </c>
      <c r="CM653" s="2"/>
    </row>
    <row r="654" spans="1:91">
      <c r="A654" s="2" t="s">
        <v>71</v>
      </c>
      <c r="B654" s="2" t="s">
        <v>72</v>
      </c>
      <c r="C654" s="2" t="s">
        <v>73</v>
      </c>
      <c r="D654" s="2"/>
      <c r="E654" s="2" t="str">
        <f>"FES1162572289"</f>
        <v>FES1162572289</v>
      </c>
      <c r="F654" s="3">
        <v>42977</v>
      </c>
      <c r="G654" s="2">
        <v>201802</v>
      </c>
      <c r="H654" s="2" t="s">
        <v>74</v>
      </c>
      <c r="I654" s="2" t="s">
        <v>75</v>
      </c>
      <c r="J654" s="2" t="s">
        <v>76</v>
      </c>
      <c r="K654" s="2" t="s">
        <v>77</v>
      </c>
      <c r="L654" s="2" t="s">
        <v>268</v>
      </c>
      <c r="M654" s="2" t="s">
        <v>269</v>
      </c>
      <c r="N654" s="2" t="s">
        <v>270</v>
      </c>
      <c r="O654" s="2" t="s">
        <v>100</v>
      </c>
      <c r="P654" s="2" t="str">
        <f>"2170587843                    "</f>
        <v xml:space="preserve">2170587843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4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1</v>
      </c>
      <c r="BJ654" s="2">
        <v>0.2</v>
      </c>
      <c r="BK654" s="2">
        <v>1</v>
      </c>
      <c r="BL654" s="2">
        <v>41.44</v>
      </c>
      <c r="BM654" s="2">
        <v>5.8</v>
      </c>
      <c r="BN654" s="2">
        <v>47.24</v>
      </c>
      <c r="BO654" s="2">
        <v>47.24</v>
      </c>
      <c r="BP654" s="2"/>
      <c r="BQ654" s="2" t="s">
        <v>227</v>
      </c>
      <c r="BR654" s="2" t="s">
        <v>84</v>
      </c>
      <c r="BS654" s="3">
        <v>42978</v>
      </c>
      <c r="BT654" s="4">
        <v>0.42638888888888887</v>
      </c>
      <c r="BU654" s="2" t="s">
        <v>1327</v>
      </c>
      <c r="BV654" s="2" t="s">
        <v>95</v>
      </c>
      <c r="BW654" s="2"/>
      <c r="BX654" s="2"/>
      <c r="BY654" s="2">
        <v>1200</v>
      </c>
      <c r="BZ654" s="2" t="s">
        <v>27</v>
      </c>
      <c r="CA654" s="2" t="s">
        <v>272</v>
      </c>
      <c r="CB654" s="2"/>
      <c r="CC654" s="2" t="s">
        <v>269</v>
      </c>
      <c r="CD654" s="2">
        <v>200</v>
      </c>
      <c r="CE654" s="2" t="s">
        <v>104</v>
      </c>
      <c r="CF654" s="2"/>
      <c r="CG654" s="2"/>
      <c r="CH654" s="2"/>
      <c r="CI654" s="2">
        <v>1</v>
      </c>
      <c r="CJ654" s="2">
        <v>1</v>
      </c>
      <c r="CK654" s="2">
        <v>21</v>
      </c>
      <c r="CL654" s="2" t="s">
        <v>86</v>
      </c>
      <c r="CM654" s="2"/>
    </row>
    <row r="655" spans="1:91">
      <c r="A655" s="2" t="s">
        <v>71</v>
      </c>
      <c r="B655" s="2" t="s">
        <v>72</v>
      </c>
      <c r="C655" s="2" t="s">
        <v>73</v>
      </c>
      <c r="D655" s="2"/>
      <c r="E655" s="2" t="str">
        <f>"FES1162572231"</f>
        <v>FES1162572231</v>
      </c>
      <c r="F655" s="3">
        <v>42977</v>
      </c>
      <c r="G655" s="2">
        <v>201802</v>
      </c>
      <c r="H655" s="2" t="s">
        <v>74</v>
      </c>
      <c r="I655" s="2" t="s">
        <v>75</v>
      </c>
      <c r="J655" s="2" t="s">
        <v>76</v>
      </c>
      <c r="K655" s="2" t="s">
        <v>77</v>
      </c>
      <c r="L655" s="2" t="s">
        <v>174</v>
      </c>
      <c r="M655" s="2" t="s">
        <v>175</v>
      </c>
      <c r="N655" s="2" t="s">
        <v>920</v>
      </c>
      <c r="O655" s="2" t="s">
        <v>100</v>
      </c>
      <c r="P655" s="2" t="str">
        <f>"2170585735                    "</f>
        <v xml:space="preserve">2170585735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10.01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4.5999999999999996</v>
      </c>
      <c r="BJ655" s="2">
        <v>1.6</v>
      </c>
      <c r="BK655" s="2">
        <v>5</v>
      </c>
      <c r="BL655" s="2">
        <v>103.61</v>
      </c>
      <c r="BM655" s="2">
        <v>14.51</v>
      </c>
      <c r="BN655" s="2">
        <v>118.12</v>
      </c>
      <c r="BO655" s="2">
        <v>118.12</v>
      </c>
      <c r="BP655" s="2"/>
      <c r="BQ655" s="2" t="s">
        <v>108</v>
      </c>
      <c r="BR655" s="2" t="s">
        <v>84</v>
      </c>
      <c r="BS655" s="3">
        <v>42978</v>
      </c>
      <c r="BT655" s="4">
        <v>0.42708333333333331</v>
      </c>
      <c r="BU655" s="2" t="s">
        <v>1218</v>
      </c>
      <c r="BV655" s="2" t="s">
        <v>95</v>
      </c>
      <c r="BW655" s="2"/>
      <c r="BX655" s="2"/>
      <c r="BY655" s="2">
        <v>8184.32</v>
      </c>
      <c r="BZ655" s="2" t="s">
        <v>27</v>
      </c>
      <c r="CA655" s="2"/>
      <c r="CB655" s="2"/>
      <c r="CC655" s="2" t="s">
        <v>175</v>
      </c>
      <c r="CD655" s="2">
        <v>5201</v>
      </c>
      <c r="CE655" s="2" t="s">
        <v>89</v>
      </c>
      <c r="CF655" s="2"/>
      <c r="CG655" s="2"/>
      <c r="CH655" s="2"/>
      <c r="CI655" s="2">
        <v>1</v>
      </c>
      <c r="CJ655" s="2">
        <v>1</v>
      </c>
      <c r="CK655" s="2">
        <v>21</v>
      </c>
      <c r="CL655" s="2" t="s">
        <v>86</v>
      </c>
      <c r="CM655" s="2"/>
    </row>
    <row r="656" spans="1:91">
      <c r="A656" s="2" t="s">
        <v>71</v>
      </c>
      <c r="B656" s="2" t="s">
        <v>72</v>
      </c>
      <c r="C656" s="2" t="s">
        <v>73</v>
      </c>
      <c r="D656" s="2"/>
      <c r="E656" s="2" t="str">
        <f>"FES1162572334"</f>
        <v>FES1162572334</v>
      </c>
      <c r="F656" s="3">
        <v>42977</v>
      </c>
      <c r="G656" s="2">
        <v>201802</v>
      </c>
      <c r="H656" s="2" t="s">
        <v>74</v>
      </c>
      <c r="I656" s="2" t="s">
        <v>75</v>
      </c>
      <c r="J656" s="2" t="s">
        <v>76</v>
      </c>
      <c r="K656" s="2" t="s">
        <v>77</v>
      </c>
      <c r="L656" s="2" t="s">
        <v>841</v>
      </c>
      <c r="M656" s="2" t="s">
        <v>842</v>
      </c>
      <c r="N656" s="2" t="s">
        <v>843</v>
      </c>
      <c r="O656" s="2" t="s">
        <v>100</v>
      </c>
      <c r="P656" s="2" t="str">
        <f>"2170587874                    "</f>
        <v xml:space="preserve">2170587874 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7.75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1</v>
      </c>
      <c r="BI656" s="2">
        <v>2</v>
      </c>
      <c r="BJ656" s="2">
        <v>0.2</v>
      </c>
      <c r="BK656" s="2">
        <v>2</v>
      </c>
      <c r="BL656" s="2">
        <v>80.290000000000006</v>
      </c>
      <c r="BM656" s="2">
        <v>11.24</v>
      </c>
      <c r="BN656" s="2">
        <v>91.53</v>
      </c>
      <c r="BO656" s="2">
        <v>91.53</v>
      </c>
      <c r="BP656" s="2"/>
      <c r="BQ656" s="2" t="s">
        <v>83</v>
      </c>
      <c r="BR656" s="2" t="s">
        <v>84</v>
      </c>
      <c r="BS656" s="3">
        <v>42978</v>
      </c>
      <c r="BT656" s="4">
        <v>0.60416666666666663</v>
      </c>
      <c r="BU656" s="2" t="s">
        <v>1328</v>
      </c>
      <c r="BV656" s="2" t="s">
        <v>95</v>
      </c>
      <c r="BW656" s="2"/>
      <c r="BX656" s="2"/>
      <c r="BY656" s="2">
        <v>1200</v>
      </c>
      <c r="BZ656" s="2" t="s">
        <v>27</v>
      </c>
      <c r="CA656" s="2" t="s">
        <v>845</v>
      </c>
      <c r="CB656" s="2"/>
      <c r="CC656" s="2" t="s">
        <v>842</v>
      </c>
      <c r="CD656" s="2">
        <v>3370</v>
      </c>
      <c r="CE656" s="2" t="s">
        <v>104</v>
      </c>
      <c r="CF656" s="5">
        <v>42978</v>
      </c>
      <c r="CG656" s="2"/>
      <c r="CH656" s="2"/>
      <c r="CI656" s="2">
        <v>3</v>
      </c>
      <c r="CJ656" s="2">
        <v>1</v>
      </c>
      <c r="CK656" s="2">
        <v>23</v>
      </c>
      <c r="CL656" s="2" t="s">
        <v>86</v>
      </c>
      <c r="CM656" s="2"/>
    </row>
    <row r="657" spans="1:91">
      <c r="A657" s="2" t="s">
        <v>71</v>
      </c>
      <c r="B657" s="2" t="s">
        <v>72</v>
      </c>
      <c r="C657" s="2" t="s">
        <v>73</v>
      </c>
      <c r="D657" s="2"/>
      <c r="E657" s="2" t="str">
        <f>"FES1162572283"</f>
        <v>FES1162572283</v>
      </c>
      <c r="F657" s="3">
        <v>42977</v>
      </c>
      <c r="G657" s="2">
        <v>201802</v>
      </c>
      <c r="H657" s="2" t="s">
        <v>74</v>
      </c>
      <c r="I657" s="2" t="s">
        <v>75</v>
      </c>
      <c r="J657" s="2" t="s">
        <v>76</v>
      </c>
      <c r="K657" s="2" t="s">
        <v>77</v>
      </c>
      <c r="L657" s="2" t="s">
        <v>343</v>
      </c>
      <c r="M657" s="2" t="s">
        <v>344</v>
      </c>
      <c r="N657" s="2" t="s">
        <v>1225</v>
      </c>
      <c r="O657" s="2" t="s">
        <v>100</v>
      </c>
      <c r="P657" s="2" t="str">
        <f>"2170587847                    "</f>
        <v xml:space="preserve">2170587847           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4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1</v>
      </c>
      <c r="BI657" s="2">
        <v>2</v>
      </c>
      <c r="BJ657" s="2">
        <v>0.2</v>
      </c>
      <c r="BK657" s="2">
        <v>2</v>
      </c>
      <c r="BL657" s="2">
        <v>41.44</v>
      </c>
      <c r="BM657" s="2">
        <v>5.8</v>
      </c>
      <c r="BN657" s="2">
        <v>47.24</v>
      </c>
      <c r="BO657" s="2">
        <v>47.24</v>
      </c>
      <c r="BP657" s="2"/>
      <c r="BQ657" s="2" t="s">
        <v>108</v>
      </c>
      <c r="BR657" s="2" t="s">
        <v>84</v>
      </c>
      <c r="BS657" s="3">
        <v>42978</v>
      </c>
      <c r="BT657" s="4">
        <v>0.4375</v>
      </c>
      <c r="BU657" s="2" t="s">
        <v>1283</v>
      </c>
      <c r="BV657" s="2" t="s">
        <v>95</v>
      </c>
      <c r="BW657" s="2"/>
      <c r="BX657" s="2"/>
      <c r="BY657" s="2">
        <v>1200</v>
      </c>
      <c r="BZ657" s="2" t="s">
        <v>27</v>
      </c>
      <c r="CA657" s="2" t="s">
        <v>347</v>
      </c>
      <c r="CB657" s="2"/>
      <c r="CC657" s="2" t="s">
        <v>344</v>
      </c>
      <c r="CD657" s="2">
        <v>4113</v>
      </c>
      <c r="CE657" s="2" t="s">
        <v>104</v>
      </c>
      <c r="CF657" s="2"/>
      <c r="CG657" s="2"/>
      <c r="CH657" s="2"/>
      <c r="CI657" s="2">
        <v>1</v>
      </c>
      <c r="CJ657" s="2">
        <v>1</v>
      </c>
      <c r="CK657" s="2">
        <v>21</v>
      </c>
      <c r="CL657" s="2" t="s">
        <v>86</v>
      </c>
      <c r="CM657" s="2"/>
    </row>
    <row r="658" spans="1:91">
      <c r="A658" s="2" t="s">
        <v>71</v>
      </c>
      <c r="B658" s="2" t="s">
        <v>72</v>
      </c>
      <c r="C658" s="2" t="s">
        <v>73</v>
      </c>
      <c r="D658" s="2"/>
      <c r="E658" s="2" t="str">
        <f>"FES1162572244"</f>
        <v>FES1162572244</v>
      </c>
      <c r="F658" s="3">
        <v>42977</v>
      </c>
      <c r="G658" s="2">
        <v>201802</v>
      </c>
      <c r="H658" s="2" t="s">
        <v>74</v>
      </c>
      <c r="I658" s="2" t="s">
        <v>75</v>
      </c>
      <c r="J658" s="2" t="s">
        <v>76</v>
      </c>
      <c r="K658" s="2" t="s">
        <v>77</v>
      </c>
      <c r="L658" s="2" t="s">
        <v>97</v>
      </c>
      <c r="M658" s="2" t="s">
        <v>98</v>
      </c>
      <c r="N658" s="2" t="s">
        <v>248</v>
      </c>
      <c r="O658" s="2" t="s">
        <v>100</v>
      </c>
      <c r="P658" s="2" t="str">
        <f>"2170583736                    "</f>
        <v xml:space="preserve">2170583736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4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1</v>
      </c>
      <c r="BI658" s="2">
        <v>2</v>
      </c>
      <c r="BJ658" s="2">
        <v>0.2</v>
      </c>
      <c r="BK658" s="2">
        <v>2</v>
      </c>
      <c r="BL658" s="2">
        <v>41.44</v>
      </c>
      <c r="BM658" s="2">
        <v>5.8</v>
      </c>
      <c r="BN658" s="2">
        <v>47.24</v>
      </c>
      <c r="BO658" s="2">
        <v>47.24</v>
      </c>
      <c r="BP658" s="2"/>
      <c r="BQ658" s="2" t="s">
        <v>83</v>
      </c>
      <c r="BR658" s="2" t="s">
        <v>84</v>
      </c>
      <c r="BS658" s="3">
        <v>42978</v>
      </c>
      <c r="BT658" s="4">
        <v>0.40416666666666662</v>
      </c>
      <c r="BU658" s="2" t="s">
        <v>390</v>
      </c>
      <c r="BV658" s="2" t="s">
        <v>95</v>
      </c>
      <c r="BW658" s="2"/>
      <c r="BX658" s="2"/>
      <c r="BY658" s="2">
        <v>1200</v>
      </c>
      <c r="BZ658" s="2" t="s">
        <v>27</v>
      </c>
      <c r="CA658" s="2" t="s">
        <v>294</v>
      </c>
      <c r="CB658" s="2"/>
      <c r="CC658" s="2" t="s">
        <v>98</v>
      </c>
      <c r="CD658" s="2">
        <v>6001</v>
      </c>
      <c r="CE658" s="2" t="s">
        <v>104</v>
      </c>
      <c r="CF658" s="5">
        <v>42978</v>
      </c>
      <c r="CG658" s="2"/>
      <c r="CH658" s="2"/>
      <c r="CI658" s="2">
        <v>1</v>
      </c>
      <c r="CJ658" s="2">
        <v>1</v>
      </c>
      <c r="CK658" s="2">
        <v>21</v>
      </c>
      <c r="CL658" s="2" t="s">
        <v>86</v>
      </c>
      <c r="CM658" s="2"/>
    </row>
    <row r="659" spans="1:91">
      <c r="A659" s="2" t="s">
        <v>71</v>
      </c>
      <c r="B659" s="2" t="s">
        <v>72</v>
      </c>
      <c r="C659" s="2" t="s">
        <v>73</v>
      </c>
      <c r="D659" s="2"/>
      <c r="E659" s="2" t="str">
        <f>"FES1162572264"</f>
        <v>FES1162572264</v>
      </c>
      <c r="F659" s="3">
        <v>42977</v>
      </c>
      <c r="G659" s="2">
        <v>201802</v>
      </c>
      <c r="H659" s="2" t="s">
        <v>74</v>
      </c>
      <c r="I659" s="2" t="s">
        <v>75</v>
      </c>
      <c r="J659" s="2" t="s">
        <v>76</v>
      </c>
      <c r="K659" s="2" t="s">
        <v>77</v>
      </c>
      <c r="L659" s="2" t="s">
        <v>97</v>
      </c>
      <c r="M659" s="2" t="s">
        <v>98</v>
      </c>
      <c r="N659" s="2" t="s">
        <v>248</v>
      </c>
      <c r="O659" s="2" t="s">
        <v>100</v>
      </c>
      <c r="P659" s="2" t="str">
        <f>"2170583650                    "</f>
        <v xml:space="preserve">2170583650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4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1</v>
      </c>
      <c r="BI659" s="2">
        <v>1</v>
      </c>
      <c r="BJ659" s="2">
        <v>0.2</v>
      </c>
      <c r="BK659" s="2">
        <v>1</v>
      </c>
      <c r="BL659" s="2">
        <v>41.44</v>
      </c>
      <c r="BM659" s="2">
        <v>5.8</v>
      </c>
      <c r="BN659" s="2">
        <v>47.24</v>
      </c>
      <c r="BO659" s="2">
        <v>47.24</v>
      </c>
      <c r="BP659" s="2"/>
      <c r="BQ659" s="2" t="s">
        <v>83</v>
      </c>
      <c r="BR659" s="2" t="s">
        <v>84</v>
      </c>
      <c r="BS659" s="3">
        <v>42978</v>
      </c>
      <c r="BT659" s="4">
        <v>0.35416666666666669</v>
      </c>
      <c r="BU659" s="2" t="s">
        <v>1208</v>
      </c>
      <c r="BV659" s="2" t="s">
        <v>95</v>
      </c>
      <c r="BW659" s="2"/>
      <c r="BX659" s="2"/>
      <c r="BY659" s="2">
        <v>1200</v>
      </c>
      <c r="BZ659" s="2" t="s">
        <v>27</v>
      </c>
      <c r="CA659" s="2" t="s">
        <v>294</v>
      </c>
      <c r="CB659" s="2"/>
      <c r="CC659" s="2" t="s">
        <v>98</v>
      </c>
      <c r="CD659" s="2">
        <v>6001</v>
      </c>
      <c r="CE659" s="2" t="s">
        <v>104</v>
      </c>
      <c r="CF659" s="5">
        <v>42978</v>
      </c>
      <c r="CG659" s="2"/>
      <c r="CH659" s="2"/>
      <c r="CI659" s="2">
        <v>1</v>
      </c>
      <c r="CJ659" s="2">
        <v>1</v>
      </c>
      <c r="CK659" s="2">
        <v>21</v>
      </c>
      <c r="CL659" s="2" t="s">
        <v>86</v>
      </c>
      <c r="CM659" s="2"/>
    </row>
    <row r="660" spans="1:91">
      <c r="A660" s="2" t="s">
        <v>71</v>
      </c>
      <c r="B660" s="2" t="s">
        <v>72</v>
      </c>
      <c r="C660" s="2" t="s">
        <v>73</v>
      </c>
      <c r="D660" s="2"/>
      <c r="E660" s="2" t="str">
        <f>"FES1162572296"</f>
        <v>FES1162572296</v>
      </c>
      <c r="F660" s="3">
        <v>42977</v>
      </c>
      <c r="G660" s="2">
        <v>201802</v>
      </c>
      <c r="H660" s="2" t="s">
        <v>74</v>
      </c>
      <c r="I660" s="2" t="s">
        <v>75</v>
      </c>
      <c r="J660" s="2" t="s">
        <v>76</v>
      </c>
      <c r="K660" s="2" t="s">
        <v>77</v>
      </c>
      <c r="L660" s="2" t="s">
        <v>97</v>
      </c>
      <c r="M660" s="2" t="s">
        <v>98</v>
      </c>
      <c r="N660" s="2" t="s">
        <v>625</v>
      </c>
      <c r="O660" s="2" t="s">
        <v>100</v>
      </c>
      <c r="P660" s="2" t="str">
        <f>"2170581745                    "</f>
        <v xml:space="preserve">2170581745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4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1</v>
      </c>
      <c r="BJ660" s="2">
        <v>0.2</v>
      </c>
      <c r="BK660" s="2">
        <v>1</v>
      </c>
      <c r="BL660" s="2">
        <v>41.44</v>
      </c>
      <c r="BM660" s="2">
        <v>5.8</v>
      </c>
      <c r="BN660" s="2">
        <v>47.24</v>
      </c>
      <c r="BO660" s="2">
        <v>47.24</v>
      </c>
      <c r="BP660" s="2"/>
      <c r="BQ660" s="2" t="s">
        <v>108</v>
      </c>
      <c r="BR660" s="2" t="s">
        <v>84</v>
      </c>
      <c r="BS660" s="3">
        <v>42978</v>
      </c>
      <c r="BT660" s="4">
        <v>0.40833333333333338</v>
      </c>
      <c r="BU660" s="2" t="s">
        <v>1299</v>
      </c>
      <c r="BV660" s="2" t="s">
        <v>95</v>
      </c>
      <c r="BW660" s="2"/>
      <c r="BX660" s="2"/>
      <c r="BY660" s="2">
        <v>1200</v>
      </c>
      <c r="BZ660" s="2" t="s">
        <v>27</v>
      </c>
      <c r="CA660" s="2" t="s">
        <v>103</v>
      </c>
      <c r="CB660" s="2"/>
      <c r="CC660" s="2" t="s">
        <v>98</v>
      </c>
      <c r="CD660" s="2">
        <v>6001</v>
      </c>
      <c r="CE660" s="2" t="s">
        <v>104</v>
      </c>
      <c r="CF660" s="5">
        <v>42978</v>
      </c>
      <c r="CG660" s="2"/>
      <c r="CH660" s="2"/>
      <c r="CI660" s="2">
        <v>1</v>
      </c>
      <c r="CJ660" s="2">
        <v>1</v>
      </c>
      <c r="CK660" s="2">
        <v>21</v>
      </c>
      <c r="CL660" s="2" t="s">
        <v>86</v>
      </c>
      <c r="CM660" s="2"/>
    </row>
    <row r="661" spans="1:91">
      <c r="A661" s="2" t="s">
        <v>71</v>
      </c>
      <c r="B661" s="2" t="s">
        <v>72</v>
      </c>
      <c r="C661" s="2" t="s">
        <v>73</v>
      </c>
      <c r="D661" s="2"/>
      <c r="E661" s="2" t="str">
        <f>"FES1162572266"</f>
        <v>FES1162572266</v>
      </c>
      <c r="F661" s="3">
        <v>42977</v>
      </c>
      <c r="G661" s="2">
        <v>201802</v>
      </c>
      <c r="H661" s="2" t="s">
        <v>74</v>
      </c>
      <c r="I661" s="2" t="s">
        <v>75</v>
      </c>
      <c r="J661" s="2" t="s">
        <v>76</v>
      </c>
      <c r="K661" s="2" t="s">
        <v>77</v>
      </c>
      <c r="L661" s="2" t="s">
        <v>97</v>
      </c>
      <c r="M661" s="2" t="s">
        <v>98</v>
      </c>
      <c r="N661" s="2" t="s">
        <v>625</v>
      </c>
      <c r="O661" s="2" t="s">
        <v>100</v>
      </c>
      <c r="P661" s="2" t="str">
        <f>"2170584162                    "</f>
        <v xml:space="preserve">2170584162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4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1</v>
      </c>
      <c r="BJ661" s="2">
        <v>0.2</v>
      </c>
      <c r="BK661" s="2">
        <v>1</v>
      </c>
      <c r="BL661" s="2">
        <v>41.44</v>
      </c>
      <c r="BM661" s="2">
        <v>5.8</v>
      </c>
      <c r="BN661" s="2">
        <v>47.24</v>
      </c>
      <c r="BO661" s="2">
        <v>47.24</v>
      </c>
      <c r="BP661" s="2"/>
      <c r="BQ661" s="2" t="s">
        <v>108</v>
      </c>
      <c r="BR661" s="2" t="s">
        <v>84</v>
      </c>
      <c r="BS661" s="3">
        <v>42978</v>
      </c>
      <c r="BT661" s="4">
        <v>0.40833333333333338</v>
      </c>
      <c r="BU661" s="2" t="s">
        <v>1299</v>
      </c>
      <c r="BV661" s="2" t="s">
        <v>95</v>
      </c>
      <c r="BW661" s="2"/>
      <c r="BX661" s="2"/>
      <c r="BY661" s="2">
        <v>1200</v>
      </c>
      <c r="BZ661" s="2" t="s">
        <v>27</v>
      </c>
      <c r="CA661" s="2" t="s">
        <v>103</v>
      </c>
      <c r="CB661" s="2"/>
      <c r="CC661" s="2" t="s">
        <v>98</v>
      </c>
      <c r="CD661" s="2">
        <v>6001</v>
      </c>
      <c r="CE661" s="2" t="s">
        <v>104</v>
      </c>
      <c r="CF661" s="5">
        <v>42978</v>
      </c>
      <c r="CG661" s="2"/>
      <c r="CH661" s="2"/>
      <c r="CI661" s="2">
        <v>1</v>
      </c>
      <c r="CJ661" s="2">
        <v>1</v>
      </c>
      <c r="CK661" s="2">
        <v>21</v>
      </c>
      <c r="CL661" s="2" t="s">
        <v>86</v>
      </c>
      <c r="CM661" s="2"/>
    </row>
    <row r="662" spans="1:91">
      <c r="A662" s="2" t="s">
        <v>71</v>
      </c>
      <c r="B662" s="2" t="s">
        <v>72</v>
      </c>
      <c r="C662" s="2" t="s">
        <v>73</v>
      </c>
      <c r="D662" s="2"/>
      <c r="E662" s="2" t="str">
        <f>"FES1162572267"</f>
        <v>FES1162572267</v>
      </c>
      <c r="F662" s="3">
        <v>42977</v>
      </c>
      <c r="G662" s="2">
        <v>201802</v>
      </c>
      <c r="H662" s="2" t="s">
        <v>74</v>
      </c>
      <c r="I662" s="2" t="s">
        <v>75</v>
      </c>
      <c r="J662" s="2" t="s">
        <v>76</v>
      </c>
      <c r="K662" s="2" t="s">
        <v>77</v>
      </c>
      <c r="L662" s="2" t="s">
        <v>306</v>
      </c>
      <c r="M662" s="2" t="s">
        <v>307</v>
      </c>
      <c r="N662" s="2" t="s">
        <v>1329</v>
      </c>
      <c r="O662" s="2" t="s">
        <v>100</v>
      </c>
      <c r="P662" s="2" t="str">
        <f>"2170584346                    "</f>
        <v xml:space="preserve">2170584346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4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1</v>
      </c>
      <c r="BI662" s="2">
        <v>1</v>
      </c>
      <c r="BJ662" s="2">
        <v>0.2</v>
      </c>
      <c r="BK662" s="2">
        <v>1</v>
      </c>
      <c r="BL662" s="2">
        <v>41.44</v>
      </c>
      <c r="BM662" s="2">
        <v>5.8</v>
      </c>
      <c r="BN662" s="2">
        <v>47.24</v>
      </c>
      <c r="BO662" s="2">
        <v>47.24</v>
      </c>
      <c r="BP662" s="2"/>
      <c r="BQ662" s="2" t="s">
        <v>1321</v>
      </c>
      <c r="BR662" s="2" t="s">
        <v>84</v>
      </c>
      <c r="BS662" s="3">
        <v>42978</v>
      </c>
      <c r="BT662" s="4">
        <v>0.4145833333333333</v>
      </c>
      <c r="BU662" s="2" t="s">
        <v>1330</v>
      </c>
      <c r="BV662" s="2" t="s">
        <v>95</v>
      </c>
      <c r="BW662" s="2"/>
      <c r="BX662" s="2"/>
      <c r="BY662" s="2">
        <v>1200</v>
      </c>
      <c r="BZ662" s="2" t="s">
        <v>27</v>
      </c>
      <c r="CA662" s="2" t="s">
        <v>951</v>
      </c>
      <c r="CB662" s="2"/>
      <c r="CC662" s="2" t="s">
        <v>307</v>
      </c>
      <c r="CD662" s="2">
        <v>1961</v>
      </c>
      <c r="CE662" s="2" t="s">
        <v>104</v>
      </c>
      <c r="CF662" s="2"/>
      <c r="CG662" s="2"/>
      <c r="CH662" s="2"/>
      <c r="CI662" s="2">
        <v>1</v>
      </c>
      <c r="CJ662" s="2">
        <v>1</v>
      </c>
      <c r="CK662" s="2">
        <v>21</v>
      </c>
      <c r="CL662" s="2" t="s">
        <v>86</v>
      </c>
      <c r="CM662" s="2"/>
    </row>
    <row r="663" spans="1:91">
      <c r="A663" s="2" t="s">
        <v>71</v>
      </c>
      <c r="B663" s="2" t="s">
        <v>72</v>
      </c>
      <c r="C663" s="2" t="s">
        <v>73</v>
      </c>
      <c r="D663" s="2"/>
      <c r="E663" s="2" t="str">
        <f>"FES1162572177"</f>
        <v>FES1162572177</v>
      </c>
      <c r="F663" s="3">
        <v>42977</v>
      </c>
      <c r="G663" s="2">
        <v>201802</v>
      </c>
      <c r="H663" s="2" t="s">
        <v>74</v>
      </c>
      <c r="I663" s="2" t="s">
        <v>75</v>
      </c>
      <c r="J663" s="2" t="s">
        <v>76</v>
      </c>
      <c r="K663" s="2" t="s">
        <v>77</v>
      </c>
      <c r="L663" s="2" t="s">
        <v>306</v>
      </c>
      <c r="M663" s="2" t="s">
        <v>307</v>
      </c>
      <c r="N663" s="2" t="s">
        <v>1329</v>
      </c>
      <c r="O663" s="2" t="s">
        <v>100</v>
      </c>
      <c r="P663" s="2" t="str">
        <f>"2170584346                    "</f>
        <v xml:space="preserve">2170584346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4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1</v>
      </c>
      <c r="BI663" s="2">
        <v>1</v>
      </c>
      <c r="BJ663" s="2">
        <v>0.2</v>
      </c>
      <c r="BK663" s="2">
        <v>1</v>
      </c>
      <c r="BL663" s="2">
        <v>41.44</v>
      </c>
      <c r="BM663" s="2">
        <v>5.8</v>
      </c>
      <c r="BN663" s="2">
        <v>47.24</v>
      </c>
      <c r="BO663" s="2">
        <v>47.24</v>
      </c>
      <c r="BP663" s="2"/>
      <c r="BQ663" s="2"/>
      <c r="BR663" s="2" t="s">
        <v>84</v>
      </c>
      <c r="BS663" s="3">
        <v>42978</v>
      </c>
      <c r="BT663" s="4">
        <v>0.4152777777777778</v>
      </c>
      <c r="BU663" s="2" t="s">
        <v>1330</v>
      </c>
      <c r="BV663" s="2" t="s">
        <v>95</v>
      </c>
      <c r="BW663" s="2"/>
      <c r="BX663" s="2"/>
      <c r="BY663" s="2">
        <v>1200</v>
      </c>
      <c r="BZ663" s="2" t="s">
        <v>27</v>
      </c>
      <c r="CA663" s="2" t="s">
        <v>951</v>
      </c>
      <c r="CB663" s="2"/>
      <c r="CC663" s="2" t="s">
        <v>307</v>
      </c>
      <c r="CD663" s="2">
        <v>1961</v>
      </c>
      <c r="CE663" s="2" t="s">
        <v>104</v>
      </c>
      <c r="CF663" s="2"/>
      <c r="CG663" s="2"/>
      <c r="CH663" s="2"/>
      <c r="CI663" s="2">
        <v>1</v>
      </c>
      <c r="CJ663" s="2">
        <v>1</v>
      </c>
      <c r="CK663" s="2">
        <v>21</v>
      </c>
      <c r="CL663" s="2" t="s">
        <v>86</v>
      </c>
      <c r="CM663" s="2"/>
    </row>
    <row r="664" spans="1:91">
      <c r="A664" s="2" t="s">
        <v>71</v>
      </c>
      <c r="B664" s="2" t="s">
        <v>72</v>
      </c>
      <c r="C664" s="2" t="s">
        <v>73</v>
      </c>
      <c r="D664" s="2"/>
      <c r="E664" s="2" t="str">
        <f>"FES1162572273"</f>
        <v>FES1162572273</v>
      </c>
      <c r="F664" s="3">
        <v>42977</v>
      </c>
      <c r="G664" s="2">
        <v>201802</v>
      </c>
      <c r="H664" s="2" t="s">
        <v>74</v>
      </c>
      <c r="I664" s="2" t="s">
        <v>75</v>
      </c>
      <c r="J664" s="2" t="s">
        <v>76</v>
      </c>
      <c r="K664" s="2" t="s">
        <v>77</v>
      </c>
      <c r="L664" s="2" t="s">
        <v>97</v>
      </c>
      <c r="M664" s="2" t="s">
        <v>98</v>
      </c>
      <c r="N664" s="2" t="s">
        <v>248</v>
      </c>
      <c r="O664" s="2" t="s">
        <v>100</v>
      </c>
      <c r="P664" s="2" t="str">
        <f>"2170586365                    "</f>
        <v xml:space="preserve">2170586365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4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1</v>
      </c>
      <c r="BI664" s="2">
        <v>2</v>
      </c>
      <c r="BJ664" s="2">
        <v>0.2</v>
      </c>
      <c r="BK664" s="2">
        <v>2</v>
      </c>
      <c r="BL664" s="2">
        <v>41.44</v>
      </c>
      <c r="BM664" s="2">
        <v>5.8</v>
      </c>
      <c r="BN664" s="2">
        <v>47.24</v>
      </c>
      <c r="BO664" s="2">
        <v>47.24</v>
      </c>
      <c r="BP664" s="2"/>
      <c r="BQ664" s="2" t="s">
        <v>83</v>
      </c>
      <c r="BR664" s="2" t="s">
        <v>84</v>
      </c>
      <c r="BS664" s="3">
        <v>42978</v>
      </c>
      <c r="BT664" s="4">
        <v>0.35416666666666669</v>
      </c>
      <c r="BU664" s="2" t="s">
        <v>390</v>
      </c>
      <c r="BV664" s="2" t="s">
        <v>95</v>
      </c>
      <c r="BW664" s="2"/>
      <c r="BX664" s="2"/>
      <c r="BY664" s="2">
        <v>1200</v>
      </c>
      <c r="BZ664" s="2" t="s">
        <v>27</v>
      </c>
      <c r="CA664" s="2" t="s">
        <v>294</v>
      </c>
      <c r="CB664" s="2"/>
      <c r="CC664" s="2" t="s">
        <v>98</v>
      </c>
      <c r="CD664" s="2">
        <v>6001</v>
      </c>
      <c r="CE664" s="2" t="s">
        <v>104</v>
      </c>
      <c r="CF664" s="5">
        <v>42978</v>
      </c>
      <c r="CG664" s="2"/>
      <c r="CH664" s="2"/>
      <c r="CI664" s="2">
        <v>1</v>
      </c>
      <c r="CJ664" s="2">
        <v>1</v>
      </c>
      <c r="CK664" s="2">
        <v>21</v>
      </c>
      <c r="CL664" s="2" t="s">
        <v>86</v>
      </c>
      <c r="CM664" s="2"/>
    </row>
    <row r="665" spans="1:91">
      <c r="A665" s="2" t="s">
        <v>71</v>
      </c>
      <c r="B665" s="2" t="s">
        <v>72</v>
      </c>
      <c r="C665" s="2" t="s">
        <v>73</v>
      </c>
      <c r="D665" s="2"/>
      <c r="E665" s="2" t="str">
        <f>"FES1162572269"</f>
        <v>FES1162572269</v>
      </c>
      <c r="F665" s="3">
        <v>42977</v>
      </c>
      <c r="G665" s="2">
        <v>201802</v>
      </c>
      <c r="H665" s="2" t="s">
        <v>74</v>
      </c>
      <c r="I665" s="2" t="s">
        <v>75</v>
      </c>
      <c r="J665" s="2" t="s">
        <v>76</v>
      </c>
      <c r="K665" s="2" t="s">
        <v>77</v>
      </c>
      <c r="L665" s="2" t="s">
        <v>137</v>
      </c>
      <c r="M665" s="2" t="s">
        <v>138</v>
      </c>
      <c r="N665" s="2" t="s">
        <v>226</v>
      </c>
      <c r="O665" s="2" t="s">
        <v>100</v>
      </c>
      <c r="P665" s="2" t="str">
        <f>"2170584725                    "</f>
        <v xml:space="preserve">2170584725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36.020000000000003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8</v>
      </c>
      <c r="BJ665" s="2">
        <v>17.7</v>
      </c>
      <c r="BK665" s="2">
        <v>18</v>
      </c>
      <c r="BL665" s="2">
        <v>372.98</v>
      </c>
      <c r="BM665" s="2">
        <v>52.22</v>
      </c>
      <c r="BN665" s="2">
        <v>425.2</v>
      </c>
      <c r="BO665" s="2">
        <v>425.2</v>
      </c>
      <c r="BP665" s="2"/>
      <c r="BQ665" s="2" t="s">
        <v>108</v>
      </c>
      <c r="BR665" s="2" t="s">
        <v>84</v>
      </c>
      <c r="BS665" s="3">
        <v>42978</v>
      </c>
      <c r="BT665" s="4">
        <v>0.35416666666666669</v>
      </c>
      <c r="BU665" s="2" t="s">
        <v>228</v>
      </c>
      <c r="BV665" s="2" t="s">
        <v>95</v>
      </c>
      <c r="BW665" s="2"/>
      <c r="BX665" s="2"/>
      <c r="BY665" s="2">
        <v>88341.79</v>
      </c>
      <c r="BZ665" s="2" t="s">
        <v>27</v>
      </c>
      <c r="CA665" s="2"/>
      <c r="CB665" s="2"/>
      <c r="CC665" s="2" t="s">
        <v>138</v>
      </c>
      <c r="CD665" s="2">
        <v>157</v>
      </c>
      <c r="CE665" s="2" t="s">
        <v>89</v>
      </c>
      <c r="CF665" s="2"/>
      <c r="CG665" s="2"/>
      <c r="CH665" s="2"/>
      <c r="CI665" s="2">
        <v>1</v>
      </c>
      <c r="CJ665" s="2">
        <v>1</v>
      </c>
      <c r="CK665" s="2">
        <v>21</v>
      </c>
      <c r="CL665" s="2" t="s">
        <v>86</v>
      </c>
      <c r="CM665" s="2"/>
    </row>
    <row r="666" spans="1:91">
      <c r="A666" s="2" t="s">
        <v>71</v>
      </c>
      <c r="B666" s="2" t="s">
        <v>72</v>
      </c>
      <c r="C666" s="2" t="s">
        <v>73</v>
      </c>
      <c r="D666" s="2"/>
      <c r="E666" s="2" t="str">
        <f>"FES1162572329"</f>
        <v>FES1162572329</v>
      </c>
      <c r="F666" s="3">
        <v>42977</v>
      </c>
      <c r="G666" s="2">
        <v>201802</v>
      </c>
      <c r="H666" s="2" t="s">
        <v>74</v>
      </c>
      <c r="I666" s="2" t="s">
        <v>75</v>
      </c>
      <c r="J666" s="2" t="s">
        <v>76</v>
      </c>
      <c r="K666" s="2" t="s">
        <v>77</v>
      </c>
      <c r="L666" s="2" t="s">
        <v>221</v>
      </c>
      <c r="M666" s="2" t="s">
        <v>222</v>
      </c>
      <c r="N666" s="2" t="s">
        <v>415</v>
      </c>
      <c r="O666" s="2" t="s">
        <v>100</v>
      </c>
      <c r="P666" s="2" t="str">
        <f>"2170587867                    "</f>
        <v xml:space="preserve">2170587867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4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1</v>
      </c>
      <c r="BI666" s="2">
        <v>1</v>
      </c>
      <c r="BJ666" s="2">
        <v>0.2</v>
      </c>
      <c r="BK666" s="2">
        <v>1</v>
      </c>
      <c r="BL666" s="2">
        <v>41.44</v>
      </c>
      <c r="BM666" s="2">
        <v>5.8</v>
      </c>
      <c r="BN666" s="2">
        <v>47.24</v>
      </c>
      <c r="BO666" s="2">
        <v>47.24</v>
      </c>
      <c r="BP666" s="2"/>
      <c r="BQ666" s="2" t="s">
        <v>108</v>
      </c>
      <c r="BR666" s="2" t="s">
        <v>84</v>
      </c>
      <c r="BS666" s="3">
        <v>42978</v>
      </c>
      <c r="BT666" s="4">
        <v>0.34930555555555554</v>
      </c>
      <c r="BU666" s="2" t="s">
        <v>1293</v>
      </c>
      <c r="BV666" s="2" t="s">
        <v>95</v>
      </c>
      <c r="BW666" s="2"/>
      <c r="BX666" s="2"/>
      <c r="BY666" s="2">
        <v>1200</v>
      </c>
      <c r="BZ666" s="2" t="s">
        <v>27</v>
      </c>
      <c r="CA666" s="2" t="s">
        <v>934</v>
      </c>
      <c r="CB666" s="2"/>
      <c r="CC666" s="2" t="s">
        <v>222</v>
      </c>
      <c r="CD666" s="2">
        <v>4302</v>
      </c>
      <c r="CE666" s="2" t="s">
        <v>104</v>
      </c>
      <c r="CF666" s="2"/>
      <c r="CG666" s="2"/>
      <c r="CH666" s="2"/>
      <c r="CI666" s="2">
        <v>1</v>
      </c>
      <c r="CJ666" s="2">
        <v>1</v>
      </c>
      <c r="CK666" s="2">
        <v>21</v>
      </c>
      <c r="CL666" s="2" t="s">
        <v>86</v>
      </c>
      <c r="CM666" s="2"/>
    </row>
    <row r="667" spans="1:91">
      <c r="A667" s="2" t="s">
        <v>71</v>
      </c>
      <c r="B667" s="2" t="s">
        <v>72</v>
      </c>
      <c r="C667" s="2" t="s">
        <v>73</v>
      </c>
      <c r="D667" s="2"/>
      <c r="E667" s="2" t="str">
        <f>"FES1162572233"</f>
        <v>FES1162572233</v>
      </c>
      <c r="F667" s="3">
        <v>42977</v>
      </c>
      <c r="G667" s="2">
        <v>201802</v>
      </c>
      <c r="H667" s="2" t="s">
        <v>74</v>
      </c>
      <c r="I667" s="2" t="s">
        <v>75</v>
      </c>
      <c r="J667" s="2" t="s">
        <v>76</v>
      </c>
      <c r="K667" s="2" t="s">
        <v>77</v>
      </c>
      <c r="L667" s="2" t="s">
        <v>97</v>
      </c>
      <c r="M667" s="2" t="s">
        <v>98</v>
      </c>
      <c r="N667" s="2" t="s">
        <v>248</v>
      </c>
      <c r="O667" s="2" t="s">
        <v>100</v>
      </c>
      <c r="P667" s="2" t="str">
        <f>"2170585790                    "</f>
        <v xml:space="preserve">2170585790 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4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1</v>
      </c>
      <c r="BJ667" s="2">
        <v>0.2</v>
      </c>
      <c r="BK667" s="2">
        <v>1</v>
      </c>
      <c r="BL667" s="2">
        <v>41.44</v>
      </c>
      <c r="BM667" s="2">
        <v>5.8</v>
      </c>
      <c r="BN667" s="2">
        <v>47.24</v>
      </c>
      <c r="BO667" s="2">
        <v>47.24</v>
      </c>
      <c r="BP667" s="2"/>
      <c r="BQ667" s="2" t="s">
        <v>83</v>
      </c>
      <c r="BR667" s="2" t="s">
        <v>84</v>
      </c>
      <c r="BS667" s="3">
        <v>42978</v>
      </c>
      <c r="BT667" s="4">
        <v>0.40277777777777773</v>
      </c>
      <c r="BU667" s="2" t="s">
        <v>1208</v>
      </c>
      <c r="BV667" s="2" t="s">
        <v>95</v>
      </c>
      <c r="BW667" s="2"/>
      <c r="BX667" s="2"/>
      <c r="BY667" s="2">
        <v>1200</v>
      </c>
      <c r="BZ667" s="2" t="s">
        <v>27</v>
      </c>
      <c r="CA667" s="2" t="s">
        <v>294</v>
      </c>
      <c r="CB667" s="2"/>
      <c r="CC667" s="2" t="s">
        <v>98</v>
      </c>
      <c r="CD667" s="2">
        <v>6001</v>
      </c>
      <c r="CE667" s="2" t="s">
        <v>104</v>
      </c>
      <c r="CF667" s="5">
        <v>42978</v>
      </c>
      <c r="CG667" s="2"/>
      <c r="CH667" s="2"/>
      <c r="CI667" s="2">
        <v>1</v>
      </c>
      <c r="CJ667" s="2">
        <v>1</v>
      </c>
      <c r="CK667" s="2">
        <v>21</v>
      </c>
      <c r="CL667" s="2" t="s">
        <v>86</v>
      </c>
      <c r="CM667" s="2"/>
    </row>
    <row r="668" spans="1:91">
      <c r="A668" s="2" t="s">
        <v>71</v>
      </c>
      <c r="B668" s="2" t="s">
        <v>72</v>
      </c>
      <c r="C668" s="2" t="s">
        <v>73</v>
      </c>
      <c r="D668" s="2"/>
      <c r="E668" s="2" t="str">
        <f>"FES1162572261"</f>
        <v>FES1162572261</v>
      </c>
      <c r="F668" s="3">
        <v>42977</v>
      </c>
      <c r="G668" s="2">
        <v>201802</v>
      </c>
      <c r="H668" s="2" t="s">
        <v>74</v>
      </c>
      <c r="I668" s="2" t="s">
        <v>75</v>
      </c>
      <c r="J668" s="2" t="s">
        <v>76</v>
      </c>
      <c r="K668" s="2" t="s">
        <v>77</v>
      </c>
      <c r="L668" s="2" t="s">
        <v>97</v>
      </c>
      <c r="M668" s="2" t="s">
        <v>98</v>
      </c>
      <c r="N668" s="2" t="s">
        <v>248</v>
      </c>
      <c r="O668" s="2" t="s">
        <v>100</v>
      </c>
      <c r="P668" s="2" t="str">
        <f>"2170581301.                   "</f>
        <v xml:space="preserve">2170581301.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4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1</v>
      </c>
      <c r="BJ668" s="2">
        <v>0.2</v>
      </c>
      <c r="BK668" s="2">
        <v>1</v>
      </c>
      <c r="BL668" s="2">
        <v>41.44</v>
      </c>
      <c r="BM668" s="2">
        <v>5.8</v>
      </c>
      <c r="BN668" s="2">
        <v>47.24</v>
      </c>
      <c r="BO668" s="2">
        <v>47.24</v>
      </c>
      <c r="BP668" s="2"/>
      <c r="BQ668" s="2" t="s">
        <v>83</v>
      </c>
      <c r="BR668" s="2" t="s">
        <v>84</v>
      </c>
      <c r="BS668" s="3">
        <v>42978</v>
      </c>
      <c r="BT668" s="4">
        <v>0.35416666666666669</v>
      </c>
      <c r="BU668" s="2" t="s">
        <v>1208</v>
      </c>
      <c r="BV668" s="2" t="s">
        <v>95</v>
      </c>
      <c r="BW668" s="2"/>
      <c r="BX668" s="2"/>
      <c r="BY668" s="2">
        <v>1200</v>
      </c>
      <c r="BZ668" s="2" t="s">
        <v>27</v>
      </c>
      <c r="CA668" s="2" t="s">
        <v>294</v>
      </c>
      <c r="CB668" s="2"/>
      <c r="CC668" s="2" t="s">
        <v>98</v>
      </c>
      <c r="CD668" s="2">
        <v>6001</v>
      </c>
      <c r="CE668" s="2" t="s">
        <v>104</v>
      </c>
      <c r="CF668" s="5">
        <v>42978</v>
      </c>
      <c r="CG668" s="2"/>
      <c r="CH668" s="2"/>
      <c r="CI668" s="2">
        <v>1</v>
      </c>
      <c r="CJ668" s="2">
        <v>1</v>
      </c>
      <c r="CK668" s="2">
        <v>21</v>
      </c>
      <c r="CL668" s="2" t="s">
        <v>86</v>
      </c>
      <c r="CM668" s="2"/>
    </row>
    <row r="669" spans="1:91">
      <c r="A669" s="2" t="s">
        <v>71</v>
      </c>
      <c r="B669" s="2" t="s">
        <v>72</v>
      </c>
      <c r="C669" s="2" t="s">
        <v>73</v>
      </c>
      <c r="D669" s="2"/>
      <c r="E669" s="2" t="str">
        <f>"FES1162572224"</f>
        <v>FES1162572224</v>
      </c>
      <c r="F669" s="3">
        <v>42977</v>
      </c>
      <c r="G669" s="2">
        <v>201802</v>
      </c>
      <c r="H669" s="2" t="s">
        <v>74</v>
      </c>
      <c r="I669" s="2" t="s">
        <v>75</v>
      </c>
      <c r="J669" s="2" t="s">
        <v>76</v>
      </c>
      <c r="K669" s="2" t="s">
        <v>77</v>
      </c>
      <c r="L669" s="2" t="s">
        <v>128</v>
      </c>
      <c r="M669" s="2" t="s">
        <v>129</v>
      </c>
      <c r="N669" s="2" t="s">
        <v>1331</v>
      </c>
      <c r="O669" s="2" t="s">
        <v>100</v>
      </c>
      <c r="P669" s="2" t="str">
        <f>"2170585513                    "</f>
        <v xml:space="preserve">2170585513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3.13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1</v>
      </c>
      <c r="BJ669" s="2">
        <v>0.2</v>
      </c>
      <c r="BK669" s="2">
        <v>1</v>
      </c>
      <c r="BL669" s="2">
        <v>32.380000000000003</v>
      </c>
      <c r="BM669" s="2">
        <v>4.53</v>
      </c>
      <c r="BN669" s="2">
        <v>36.909999999999997</v>
      </c>
      <c r="BO669" s="2">
        <v>36.909999999999997</v>
      </c>
      <c r="BP669" s="2"/>
      <c r="BQ669" s="2" t="s">
        <v>288</v>
      </c>
      <c r="BR669" s="2" t="s">
        <v>84</v>
      </c>
      <c r="BS669" s="3">
        <v>42978</v>
      </c>
      <c r="BT669" s="4">
        <v>0.4201388888888889</v>
      </c>
      <c r="BU669" s="2" t="s">
        <v>1332</v>
      </c>
      <c r="BV669" s="2" t="s">
        <v>95</v>
      </c>
      <c r="BW669" s="2"/>
      <c r="BX669" s="2"/>
      <c r="BY669" s="2">
        <v>1200</v>
      </c>
      <c r="BZ669" s="2" t="s">
        <v>27</v>
      </c>
      <c r="CA669" s="2" t="s">
        <v>1333</v>
      </c>
      <c r="CB669" s="2"/>
      <c r="CC669" s="2" t="s">
        <v>129</v>
      </c>
      <c r="CD669" s="2">
        <v>1724</v>
      </c>
      <c r="CE669" s="2" t="s">
        <v>104</v>
      </c>
      <c r="CF669" s="5">
        <v>42978</v>
      </c>
      <c r="CG669" s="2"/>
      <c r="CH669" s="2"/>
      <c r="CI669" s="2">
        <v>1</v>
      </c>
      <c r="CJ669" s="2">
        <v>1</v>
      </c>
      <c r="CK669" s="2">
        <v>22</v>
      </c>
      <c r="CL669" s="2" t="s">
        <v>86</v>
      </c>
      <c r="CM669" s="2"/>
    </row>
    <row r="670" spans="1:91">
      <c r="A670" s="2" t="s">
        <v>71</v>
      </c>
      <c r="B670" s="2" t="s">
        <v>72</v>
      </c>
      <c r="C670" s="2" t="s">
        <v>73</v>
      </c>
      <c r="D670" s="2"/>
      <c r="E670" s="2" t="str">
        <f>"FES1162572274"</f>
        <v>FES1162572274</v>
      </c>
      <c r="F670" s="3">
        <v>42977</v>
      </c>
      <c r="G670" s="2">
        <v>201802</v>
      </c>
      <c r="H670" s="2" t="s">
        <v>74</v>
      </c>
      <c r="I670" s="2" t="s">
        <v>75</v>
      </c>
      <c r="J670" s="2" t="s">
        <v>76</v>
      </c>
      <c r="K670" s="2" t="s">
        <v>77</v>
      </c>
      <c r="L670" s="2" t="s">
        <v>137</v>
      </c>
      <c r="M670" s="2" t="s">
        <v>138</v>
      </c>
      <c r="N670" s="2" t="s">
        <v>226</v>
      </c>
      <c r="O670" s="2" t="s">
        <v>100</v>
      </c>
      <c r="P670" s="2" t="str">
        <f>"2170586451                    "</f>
        <v xml:space="preserve">2170586451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18.010000000000002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4.0999999999999996</v>
      </c>
      <c r="BJ670" s="2">
        <v>8.9</v>
      </c>
      <c r="BK670" s="2">
        <v>9</v>
      </c>
      <c r="BL670" s="2">
        <v>186.49</v>
      </c>
      <c r="BM670" s="2">
        <v>26.11</v>
      </c>
      <c r="BN670" s="2">
        <v>212.6</v>
      </c>
      <c r="BO670" s="2">
        <v>212.6</v>
      </c>
      <c r="BP670" s="2"/>
      <c r="BQ670" s="2" t="s">
        <v>108</v>
      </c>
      <c r="BR670" s="2" t="s">
        <v>84</v>
      </c>
      <c r="BS670" s="3">
        <v>42978</v>
      </c>
      <c r="BT670" s="4">
        <v>0.35486111111111113</v>
      </c>
      <c r="BU670" s="2" t="s">
        <v>228</v>
      </c>
      <c r="BV670" s="2" t="s">
        <v>95</v>
      </c>
      <c r="BW670" s="2"/>
      <c r="BX670" s="2"/>
      <c r="BY670" s="2">
        <v>44430.75</v>
      </c>
      <c r="BZ670" s="2" t="s">
        <v>27</v>
      </c>
      <c r="CA670" s="2"/>
      <c r="CB670" s="2"/>
      <c r="CC670" s="2" t="s">
        <v>138</v>
      </c>
      <c r="CD670" s="2">
        <v>157</v>
      </c>
      <c r="CE670" s="2" t="s">
        <v>89</v>
      </c>
      <c r="CF670" s="2"/>
      <c r="CG670" s="2"/>
      <c r="CH670" s="2"/>
      <c r="CI670" s="2">
        <v>1</v>
      </c>
      <c r="CJ670" s="2">
        <v>1</v>
      </c>
      <c r="CK670" s="2">
        <v>21</v>
      </c>
      <c r="CL670" s="2" t="s">
        <v>86</v>
      </c>
      <c r="CM670" s="2"/>
    </row>
    <row r="671" spans="1:91">
      <c r="A671" s="2" t="s">
        <v>71</v>
      </c>
      <c r="B671" s="2" t="s">
        <v>72</v>
      </c>
      <c r="C671" s="2" t="s">
        <v>73</v>
      </c>
      <c r="D671" s="2"/>
      <c r="E671" s="2" t="str">
        <f>"FES1162572322"</f>
        <v>FES1162572322</v>
      </c>
      <c r="F671" s="3">
        <v>42977</v>
      </c>
      <c r="G671" s="2">
        <v>201802</v>
      </c>
      <c r="H671" s="2" t="s">
        <v>74</v>
      </c>
      <c r="I671" s="2" t="s">
        <v>75</v>
      </c>
      <c r="J671" s="2" t="s">
        <v>76</v>
      </c>
      <c r="K671" s="2" t="s">
        <v>77</v>
      </c>
      <c r="L671" s="2" t="s">
        <v>343</v>
      </c>
      <c r="M671" s="2" t="s">
        <v>344</v>
      </c>
      <c r="N671" s="2" t="s">
        <v>1225</v>
      </c>
      <c r="O671" s="2" t="s">
        <v>100</v>
      </c>
      <c r="P671" s="2" t="str">
        <f>"2170587862                    "</f>
        <v xml:space="preserve">2170587862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4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1</v>
      </c>
      <c r="BJ671" s="2">
        <v>0.2</v>
      </c>
      <c r="BK671" s="2">
        <v>1</v>
      </c>
      <c r="BL671" s="2">
        <v>41.44</v>
      </c>
      <c r="BM671" s="2">
        <v>5.8</v>
      </c>
      <c r="BN671" s="2">
        <v>47.24</v>
      </c>
      <c r="BO671" s="2">
        <v>47.24</v>
      </c>
      <c r="BP671" s="2"/>
      <c r="BQ671" s="2" t="s">
        <v>209</v>
      </c>
      <c r="BR671" s="2" t="s">
        <v>84</v>
      </c>
      <c r="BS671" s="3">
        <v>42978</v>
      </c>
      <c r="BT671" s="4">
        <v>0.4375</v>
      </c>
      <c r="BU671" s="2" t="s">
        <v>1283</v>
      </c>
      <c r="BV671" s="2" t="s">
        <v>95</v>
      </c>
      <c r="BW671" s="2"/>
      <c r="BX671" s="2"/>
      <c r="BY671" s="2">
        <v>1200</v>
      </c>
      <c r="BZ671" s="2" t="s">
        <v>27</v>
      </c>
      <c r="CA671" s="2" t="s">
        <v>347</v>
      </c>
      <c r="CB671" s="2"/>
      <c r="CC671" s="2" t="s">
        <v>344</v>
      </c>
      <c r="CD671" s="2">
        <v>4113</v>
      </c>
      <c r="CE671" s="2" t="s">
        <v>104</v>
      </c>
      <c r="CF671" s="2"/>
      <c r="CG671" s="2"/>
      <c r="CH671" s="2"/>
      <c r="CI671" s="2">
        <v>1</v>
      </c>
      <c r="CJ671" s="2">
        <v>1</v>
      </c>
      <c r="CK671" s="2">
        <v>21</v>
      </c>
      <c r="CL671" s="2" t="s">
        <v>86</v>
      </c>
      <c r="CM671" s="2"/>
    </row>
    <row r="672" spans="1:91">
      <c r="A672" s="2" t="s">
        <v>71</v>
      </c>
      <c r="B672" s="2" t="s">
        <v>72</v>
      </c>
      <c r="C672" s="2" t="s">
        <v>73</v>
      </c>
      <c r="D672" s="2"/>
      <c r="E672" s="2" t="str">
        <f>"FES1162572256"</f>
        <v>FES1162572256</v>
      </c>
      <c r="F672" s="3">
        <v>42977</v>
      </c>
      <c r="G672" s="2">
        <v>201802</v>
      </c>
      <c r="H672" s="2" t="s">
        <v>74</v>
      </c>
      <c r="I672" s="2" t="s">
        <v>75</v>
      </c>
      <c r="J672" s="2" t="s">
        <v>76</v>
      </c>
      <c r="K672" s="2" t="s">
        <v>77</v>
      </c>
      <c r="L672" s="2" t="s">
        <v>343</v>
      </c>
      <c r="M672" s="2" t="s">
        <v>344</v>
      </c>
      <c r="N672" s="2" t="s">
        <v>1225</v>
      </c>
      <c r="O672" s="2" t="s">
        <v>100</v>
      </c>
      <c r="P672" s="2" t="str">
        <f>"2170587838                    "</f>
        <v xml:space="preserve">2170587838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4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1</v>
      </c>
      <c r="BI672" s="2">
        <v>1</v>
      </c>
      <c r="BJ672" s="2">
        <v>0.2</v>
      </c>
      <c r="BK672" s="2">
        <v>1</v>
      </c>
      <c r="BL672" s="2">
        <v>41.44</v>
      </c>
      <c r="BM672" s="2">
        <v>5.8</v>
      </c>
      <c r="BN672" s="2">
        <v>47.24</v>
      </c>
      <c r="BO672" s="2">
        <v>47.24</v>
      </c>
      <c r="BP672" s="2"/>
      <c r="BQ672" s="2" t="s">
        <v>288</v>
      </c>
      <c r="BR672" s="2" t="s">
        <v>84</v>
      </c>
      <c r="BS672" s="3">
        <v>42978</v>
      </c>
      <c r="BT672" s="4">
        <v>0.4375</v>
      </c>
      <c r="BU672" s="2" t="s">
        <v>1334</v>
      </c>
      <c r="BV672" s="2" t="s">
        <v>95</v>
      </c>
      <c r="BW672" s="2"/>
      <c r="BX672" s="2"/>
      <c r="BY672" s="2">
        <v>1200</v>
      </c>
      <c r="BZ672" s="2" t="s">
        <v>27</v>
      </c>
      <c r="CA672" s="2" t="s">
        <v>347</v>
      </c>
      <c r="CB672" s="2"/>
      <c r="CC672" s="2" t="s">
        <v>344</v>
      </c>
      <c r="CD672" s="2">
        <v>4133</v>
      </c>
      <c r="CE672" s="2" t="s">
        <v>104</v>
      </c>
      <c r="CF672" s="5">
        <v>42978</v>
      </c>
      <c r="CG672" s="2"/>
      <c r="CH672" s="2"/>
      <c r="CI672" s="2">
        <v>1</v>
      </c>
      <c r="CJ672" s="2">
        <v>1</v>
      </c>
      <c r="CK672" s="2">
        <v>21</v>
      </c>
      <c r="CL672" s="2" t="s">
        <v>86</v>
      </c>
      <c r="CM672" s="2"/>
    </row>
    <row r="673" spans="1:91">
      <c r="A673" s="2" t="s">
        <v>71</v>
      </c>
      <c r="B673" s="2" t="s">
        <v>72</v>
      </c>
      <c r="C673" s="2" t="s">
        <v>73</v>
      </c>
      <c r="D673" s="2"/>
      <c r="E673" s="2" t="str">
        <f>"FES1162572213"</f>
        <v>FES1162572213</v>
      </c>
      <c r="F673" s="3">
        <v>42977</v>
      </c>
      <c r="G673" s="2">
        <v>201802</v>
      </c>
      <c r="H673" s="2" t="s">
        <v>74</v>
      </c>
      <c r="I673" s="2" t="s">
        <v>75</v>
      </c>
      <c r="J673" s="2" t="s">
        <v>76</v>
      </c>
      <c r="K673" s="2" t="s">
        <v>77</v>
      </c>
      <c r="L673" s="2" t="s">
        <v>237</v>
      </c>
      <c r="M673" s="2" t="s">
        <v>238</v>
      </c>
      <c r="N673" s="2" t="s">
        <v>765</v>
      </c>
      <c r="O673" s="2" t="s">
        <v>100</v>
      </c>
      <c r="P673" s="2" t="str">
        <f>"2170587821                    "</f>
        <v xml:space="preserve">2170587821            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4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</v>
      </c>
      <c r="BI673" s="2">
        <v>1</v>
      </c>
      <c r="BJ673" s="2">
        <v>0.2</v>
      </c>
      <c r="BK673" s="2">
        <v>1</v>
      </c>
      <c r="BL673" s="2">
        <v>41.44</v>
      </c>
      <c r="BM673" s="2">
        <v>5.8</v>
      </c>
      <c r="BN673" s="2">
        <v>47.24</v>
      </c>
      <c r="BO673" s="2">
        <v>47.24</v>
      </c>
      <c r="BP673" s="2"/>
      <c r="BQ673" s="2" t="s">
        <v>108</v>
      </c>
      <c r="BR673" s="2" t="s">
        <v>84</v>
      </c>
      <c r="BS673" s="3">
        <v>42978</v>
      </c>
      <c r="BT673" s="4">
        <v>0.3263888888888889</v>
      </c>
      <c r="BU673" s="2" t="s">
        <v>766</v>
      </c>
      <c r="BV673" s="2" t="s">
        <v>95</v>
      </c>
      <c r="BW673" s="2"/>
      <c r="BX673" s="2"/>
      <c r="BY673" s="2">
        <v>1200</v>
      </c>
      <c r="BZ673" s="2" t="s">
        <v>27</v>
      </c>
      <c r="CA673" s="2" t="s">
        <v>401</v>
      </c>
      <c r="CB673" s="2"/>
      <c r="CC673" s="2" t="s">
        <v>238</v>
      </c>
      <c r="CD673" s="2">
        <v>3610</v>
      </c>
      <c r="CE673" s="2" t="s">
        <v>104</v>
      </c>
      <c r="CF673" s="2"/>
      <c r="CG673" s="2"/>
      <c r="CH673" s="2"/>
      <c r="CI673" s="2">
        <v>1</v>
      </c>
      <c r="CJ673" s="2">
        <v>1</v>
      </c>
      <c r="CK673" s="2">
        <v>21</v>
      </c>
      <c r="CL673" s="2" t="s">
        <v>86</v>
      </c>
      <c r="CM673" s="2"/>
    </row>
    <row r="674" spans="1:91">
      <c r="A674" s="2" t="s">
        <v>71</v>
      </c>
      <c r="B674" s="2" t="s">
        <v>72</v>
      </c>
      <c r="C674" s="2" t="s">
        <v>73</v>
      </c>
      <c r="D674" s="2"/>
      <c r="E674" s="2" t="str">
        <f>"FES1162572320"</f>
        <v>FES1162572320</v>
      </c>
      <c r="F674" s="3">
        <v>42977</v>
      </c>
      <c r="G674" s="2">
        <v>201802</v>
      </c>
      <c r="H674" s="2" t="s">
        <v>74</v>
      </c>
      <c r="I674" s="2" t="s">
        <v>75</v>
      </c>
      <c r="J674" s="2" t="s">
        <v>76</v>
      </c>
      <c r="K674" s="2" t="s">
        <v>77</v>
      </c>
      <c r="L674" s="2" t="s">
        <v>343</v>
      </c>
      <c r="M674" s="2" t="s">
        <v>344</v>
      </c>
      <c r="N674" s="2" t="s">
        <v>1225</v>
      </c>
      <c r="O674" s="2" t="s">
        <v>100</v>
      </c>
      <c r="P674" s="2" t="str">
        <f>"2170587858                    "</f>
        <v xml:space="preserve">2170587858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4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1</v>
      </c>
      <c r="BI674" s="2">
        <v>1</v>
      </c>
      <c r="BJ674" s="2">
        <v>0.2</v>
      </c>
      <c r="BK674" s="2">
        <v>1</v>
      </c>
      <c r="BL674" s="2">
        <v>41.44</v>
      </c>
      <c r="BM674" s="2">
        <v>5.8</v>
      </c>
      <c r="BN674" s="2">
        <v>47.24</v>
      </c>
      <c r="BO674" s="2">
        <v>47.24</v>
      </c>
      <c r="BP674" s="2"/>
      <c r="BQ674" s="2" t="s">
        <v>209</v>
      </c>
      <c r="BR674" s="2" t="s">
        <v>84</v>
      </c>
      <c r="BS674" s="3">
        <v>42978</v>
      </c>
      <c r="BT674" s="4">
        <v>0.4375</v>
      </c>
      <c r="BU674" s="2" t="s">
        <v>1283</v>
      </c>
      <c r="BV674" s="2" t="s">
        <v>95</v>
      </c>
      <c r="BW674" s="2"/>
      <c r="BX674" s="2"/>
      <c r="BY674" s="2">
        <v>1200</v>
      </c>
      <c r="BZ674" s="2" t="s">
        <v>27</v>
      </c>
      <c r="CA674" s="2" t="s">
        <v>347</v>
      </c>
      <c r="CB674" s="2"/>
      <c r="CC674" s="2" t="s">
        <v>344</v>
      </c>
      <c r="CD674" s="2">
        <v>4113</v>
      </c>
      <c r="CE674" s="2" t="s">
        <v>104</v>
      </c>
      <c r="CF674" s="2"/>
      <c r="CG674" s="2"/>
      <c r="CH674" s="2"/>
      <c r="CI674" s="2">
        <v>1</v>
      </c>
      <c r="CJ674" s="2">
        <v>1</v>
      </c>
      <c r="CK674" s="2">
        <v>21</v>
      </c>
      <c r="CL674" s="2" t="s">
        <v>86</v>
      </c>
      <c r="CM674" s="2"/>
    </row>
    <row r="675" spans="1:91">
      <c r="A675" s="2" t="s">
        <v>71</v>
      </c>
      <c r="B675" s="2" t="s">
        <v>72</v>
      </c>
      <c r="C675" s="2" t="s">
        <v>73</v>
      </c>
      <c r="D675" s="2"/>
      <c r="E675" s="2" t="str">
        <f>"FES1162572357"</f>
        <v>FES1162572357</v>
      </c>
      <c r="F675" s="3">
        <v>42977</v>
      </c>
      <c r="G675" s="2">
        <v>201802</v>
      </c>
      <c r="H675" s="2" t="s">
        <v>74</v>
      </c>
      <c r="I675" s="2" t="s">
        <v>75</v>
      </c>
      <c r="J675" s="2" t="s">
        <v>76</v>
      </c>
      <c r="K675" s="2" t="s">
        <v>77</v>
      </c>
      <c r="L675" s="2" t="s">
        <v>97</v>
      </c>
      <c r="M675" s="2" t="s">
        <v>98</v>
      </c>
      <c r="N675" s="2" t="s">
        <v>1044</v>
      </c>
      <c r="O675" s="2" t="s">
        <v>100</v>
      </c>
      <c r="P675" s="2" t="str">
        <f>"2170587912                    "</f>
        <v xml:space="preserve">2170587912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11.01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5.4</v>
      </c>
      <c r="BJ675" s="2">
        <v>3.3</v>
      </c>
      <c r="BK675" s="2">
        <v>5.5</v>
      </c>
      <c r="BL675" s="2">
        <v>113.97</v>
      </c>
      <c r="BM675" s="2">
        <v>15.96</v>
      </c>
      <c r="BN675" s="2">
        <v>129.93</v>
      </c>
      <c r="BO675" s="2">
        <v>129.93</v>
      </c>
      <c r="BP675" s="2"/>
      <c r="BQ675" s="2" t="s">
        <v>1335</v>
      </c>
      <c r="BR675" s="2" t="s">
        <v>84</v>
      </c>
      <c r="BS675" s="3">
        <v>42978</v>
      </c>
      <c r="BT675" s="4">
        <v>0.43194444444444446</v>
      </c>
      <c r="BU675" s="2" t="s">
        <v>1336</v>
      </c>
      <c r="BV675" s="2" t="s">
        <v>95</v>
      </c>
      <c r="BW675" s="2"/>
      <c r="BX675" s="2"/>
      <c r="BY675" s="2">
        <v>16660.490000000002</v>
      </c>
      <c r="BZ675" s="2"/>
      <c r="CA675" s="2" t="s">
        <v>1047</v>
      </c>
      <c r="CB675" s="2"/>
      <c r="CC675" s="2" t="s">
        <v>98</v>
      </c>
      <c r="CD675" s="2">
        <v>6045</v>
      </c>
      <c r="CE675" s="2" t="s">
        <v>89</v>
      </c>
      <c r="CF675" s="5">
        <v>42978</v>
      </c>
      <c r="CG675" s="2"/>
      <c r="CH675" s="2"/>
      <c r="CI675" s="2">
        <v>1</v>
      </c>
      <c r="CJ675" s="2">
        <v>1</v>
      </c>
      <c r="CK675" s="2">
        <v>21</v>
      </c>
      <c r="CL675" s="2" t="s">
        <v>86</v>
      </c>
      <c r="CM675" s="2"/>
    </row>
    <row r="676" spans="1:91">
      <c r="A676" s="2" t="s">
        <v>71</v>
      </c>
      <c r="B676" s="2" t="s">
        <v>72</v>
      </c>
      <c r="C676" s="2" t="s">
        <v>73</v>
      </c>
      <c r="D676" s="2"/>
      <c r="E676" s="2" t="str">
        <f>"FES1162572378"</f>
        <v>FES1162572378</v>
      </c>
      <c r="F676" s="3">
        <v>42977</v>
      </c>
      <c r="G676" s="2">
        <v>201802</v>
      </c>
      <c r="H676" s="2" t="s">
        <v>74</v>
      </c>
      <c r="I676" s="2" t="s">
        <v>75</v>
      </c>
      <c r="J676" s="2" t="s">
        <v>76</v>
      </c>
      <c r="K676" s="2" t="s">
        <v>77</v>
      </c>
      <c r="L676" s="2" t="s">
        <v>105</v>
      </c>
      <c r="M676" s="2" t="s">
        <v>106</v>
      </c>
      <c r="N676" s="2" t="s">
        <v>107</v>
      </c>
      <c r="O676" s="2" t="s">
        <v>100</v>
      </c>
      <c r="P676" s="2" t="str">
        <f>"2170586394                    "</f>
        <v xml:space="preserve">2170586394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4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1</v>
      </c>
      <c r="BJ676" s="2">
        <v>0.2</v>
      </c>
      <c r="BK676" s="2">
        <v>1</v>
      </c>
      <c r="BL676" s="2">
        <v>41.44</v>
      </c>
      <c r="BM676" s="2">
        <v>5.8</v>
      </c>
      <c r="BN676" s="2">
        <v>47.24</v>
      </c>
      <c r="BO676" s="2">
        <v>47.24</v>
      </c>
      <c r="BP676" s="2"/>
      <c r="BQ676" s="2" t="s">
        <v>108</v>
      </c>
      <c r="BR676" s="2" t="s">
        <v>84</v>
      </c>
      <c r="BS676" s="3">
        <v>42978</v>
      </c>
      <c r="BT676" s="4">
        <v>0.38611111111111113</v>
      </c>
      <c r="BU676" s="2" t="s">
        <v>1207</v>
      </c>
      <c r="BV676" s="2" t="s">
        <v>95</v>
      </c>
      <c r="BW676" s="2"/>
      <c r="BX676" s="2"/>
      <c r="BY676" s="2">
        <v>1200</v>
      </c>
      <c r="BZ676" s="2"/>
      <c r="CA676" s="2" t="s">
        <v>112</v>
      </c>
      <c r="CB676" s="2"/>
      <c r="CC676" s="2" t="s">
        <v>106</v>
      </c>
      <c r="CD676" s="2">
        <v>7405</v>
      </c>
      <c r="CE676" s="2" t="s">
        <v>104</v>
      </c>
      <c r="CF676" s="5">
        <v>42978</v>
      </c>
      <c r="CG676" s="2"/>
      <c r="CH676" s="2"/>
      <c r="CI676" s="2">
        <v>1</v>
      </c>
      <c r="CJ676" s="2">
        <v>1</v>
      </c>
      <c r="CK676" s="2">
        <v>21</v>
      </c>
      <c r="CL676" s="2" t="s">
        <v>86</v>
      </c>
      <c r="CM676" s="2"/>
    </row>
    <row r="677" spans="1:91">
      <c r="A677" s="2" t="s">
        <v>71</v>
      </c>
      <c r="B677" s="2" t="s">
        <v>72</v>
      </c>
      <c r="C677" s="2" t="s">
        <v>73</v>
      </c>
      <c r="D677" s="2"/>
      <c r="E677" s="2" t="str">
        <f>"FES1162572371"</f>
        <v>FES1162572371</v>
      </c>
      <c r="F677" s="3">
        <v>42977</v>
      </c>
      <c r="G677" s="2">
        <v>201802</v>
      </c>
      <c r="H677" s="2" t="s">
        <v>74</v>
      </c>
      <c r="I677" s="2" t="s">
        <v>75</v>
      </c>
      <c r="J677" s="2" t="s">
        <v>76</v>
      </c>
      <c r="K677" s="2" t="s">
        <v>77</v>
      </c>
      <c r="L677" s="2" t="s">
        <v>105</v>
      </c>
      <c r="M677" s="2" t="s">
        <v>106</v>
      </c>
      <c r="N677" s="2" t="s">
        <v>827</v>
      </c>
      <c r="O677" s="2" t="s">
        <v>100</v>
      </c>
      <c r="P677" s="2" t="str">
        <f>"2170587492                    "</f>
        <v xml:space="preserve">2170587492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4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1.6</v>
      </c>
      <c r="BJ677" s="2">
        <v>1.1000000000000001</v>
      </c>
      <c r="BK677" s="2">
        <v>2</v>
      </c>
      <c r="BL677" s="2">
        <v>41.44</v>
      </c>
      <c r="BM677" s="2">
        <v>5.8</v>
      </c>
      <c r="BN677" s="2">
        <v>47.24</v>
      </c>
      <c r="BO677" s="2">
        <v>47.24</v>
      </c>
      <c r="BP677" s="2"/>
      <c r="BQ677" s="2" t="s">
        <v>288</v>
      </c>
      <c r="BR677" s="2" t="s">
        <v>84</v>
      </c>
      <c r="BS677" s="3">
        <v>42978</v>
      </c>
      <c r="BT677" s="4">
        <v>0.40972222222222227</v>
      </c>
      <c r="BU677" s="2" t="s">
        <v>1337</v>
      </c>
      <c r="BV677" s="2" t="s">
        <v>95</v>
      </c>
      <c r="BW677" s="2"/>
      <c r="BX677" s="2"/>
      <c r="BY677" s="2">
        <v>5277.25</v>
      </c>
      <c r="BZ677" s="2"/>
      <c r="CA677" s="2"/>
      <c r="CB677" s="2"/>
      <c r="CC677" s="2" t="s">
        <v>106</v>
      </c>
      <c r="CD677" s="2">
        <v>7560</v>
      </c>
      <c r="CE677" s="2" t="s">
        <v>89</v>
      </c>
      <c r="CF677" s="2"/>
      <c r="CG677" s="2"/>
      <c r="CH677" s="2"/>
      <c r="CI677" s="2">
        <v>1</v>
      </c>
      <c r="CJ677" s="2">
        <v>1</v>
      </c>
      <c r="CK677" s="2">
        <v>21</v>
      </c>
      <c r="CL677" s="2" t="s">
        <v>86</v>
      </c>
      <c r="CM677" s="2"/>
    </row>
    <row r="678" spans="1:91">
      <c r="A678" s="2" t="s">
        <v>71</v>
      </c>
      <c r="B678" s="2" t="s">
        <v>72</v>
      </c>
      <c r="C678" s="2" t="s">
        <v>73</v>
      </c>
      <c r="D678" s="2"/>
      <c r="E678" s="2" t="str">
        <f>"FES1162572405"</f>
        <v>FES1162572405</v>
      </c>
      <c r="F678" s="3">
        <v>42977</v>
      </c>
      <c r="G678" s="2">
        <v>201802</v>
      </c>
      <c r="H678" s="2" t="s">
        <v>74</v>
      </c>
      <c r="I678" s="2" t="s">
        <v>75</v>
      </c>
      <c r="J678" s="2" t="s">
        <v>76</v>
      </c>
      <c r="K678" s="2" t="s">
        <v>77</v>
      </c>
      <c r="L678" s="2" t="s">
        <v>105</v>
      </c>
      <c r="M678" s="2" t="s">
        <v>106</v>
      </c>
      <c r="N678" s="2" t="s">
        <v>348</v>
      </c>
      <c r="O678" s="2" t="s">
        <v>100</v>
      </c>
      <c r="P678" s="2" t="str">
        <f>"2170587828                    "</f>
        <v xml:space="preserve">2170587828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4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1</v>
      </c>
      <c r="BJ678" s="2">
        <v>0.2</v>
      </c>
      <c r="BK678" s="2">
        <v>1</v>
      </c>
      <c r="BL678" s="2">
        <v>41.44</v>
      </c>
      <c r="BM678" s="2">
        <v>5.8</v>
      </c>
      <c r="BN678" s="2">
        <v>47.24</v>
      </c>
      <c r="BO678" s="2">
        <v>47.24</v>
      </c>
      <c r="BP678" s="2"/>
      <c r="BQ678" s="2" t="s">
        <v>108</v>
      </c>
      <c r="BR678" s="2" t="s">
        <v>84</v>
      </c>
      <c r="BS678" s="3">
        <v>42978</v>
      </c>
      <c r="BT678" s="4">
        <v>0.25555555555555559</v>
      </c>
      <c r="BU678" s="2" t="s">
        <v>1315</v>
      </c>
      <c r="BV678" s="2" t="s">
        <v>95</v>
      </c>
      <c r="BW678" s="2"/>
      <c r="BX678" s="2"/>
      <c r="BY678" s="2">
        <v>1200</v>
      </c>
      <c r="BZ678" s="2"/>
      <c r="CA678" s="2" t="s">
        <v>1322</v>
      </c>
      <c r="CB678" s="2"/>
      <c r="CC678" s="2" t="s">
        <v>106</v>
      </c>
      <c r="CD678" s="2">
        <v>7945</v>
      </c>
      <c r="CE678" s="2" t="s">
        <v>104</v>
      </c>
      <c r="CF678" s="5">
        <v>42978</v>
      </c>
      <c r="CG678" s="2"/>
      <c r="CH678" s="2"/>
      <c r="CI678" s="2">
        <v>1</v>
      </c>
      <c r="CJ678" s="2">
        <v>1</v>
      </c>
      <c r="CK678" s="2">
        <v>21</v>
      </c>
      <c r="CL678" s="2" t="s">
        <v>86</v>
      </c>
      <c r="CM678" s="2"/>
    </row>
    <row r="679" spans="1:91">
      <c r="A679" s="2" t="s">
        <v>71</v>
      </c>
      <c r="B679" s="2" t="s">
        <v>72</v>
      </c>
      <c r="C679" s="2" t="s">
        <v>73</v>
      </c>
      <c r="D679" s="2"/>
      <c r="E679" s="2" t="str">
        <f>"FES1162572360"</f>
        <v>FES1162572360</v>
      </c>
      <c r="F679" s="3">
        <v>42977</v>
      </c>
      <c r="G679" s="2">
        <v>201802</v>
      </c>
      <c r="H679" s="2" t="s">
        <v>74</v>
      </c>
      <c r="I679" s="2" t="s">
        <v>75</v>
      </c>
      <c r="J679" s="2" t="s">
        <v>76</v>
      </c>
      <c r="K679" s="2" t="s">
        <v>77</v>
      </c>
      <c r="L679" s="2" t="s">
        <v>149</v>
      </c>
      <c r="M679" s="2" t="s">
        <v>150</v>
      </c>
      <c r="N679" s="2" t="s">
        <v>463</v>
      </c>
      <c r="O679" s="2" t="s">
        <v>100</v>
      </c>
      <c r="P679" s="2" t="str">
        <f>"2170587901                    "</f>
        <v xml:space="preserve">2170587901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4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1</v>
      </c>
      <c r="BJ679" s="2">
        <v>0.2</v>
      </c>
      <c r="BK679" s="2">
        <v>1</v>
      </c>
      <c r="BL679" s="2">
        <v>41.44</v>
      </c>
      <c r="BM679" s="2">
        <v>5.8</v>
      </c>
      <c r="BN679" s="2">
        <v>47.24</v>
      </c>
      <c r="BO679" s="2">
        <v>47.24</v>
      </c>
      <c r="BP679" s="2"/>
      <c r="BQ679" s="2" t="s">
        <v>288</v>
      </c>
      <c r="BR679" s="2" t="s">
        <v>84</v>
      </c>
      <c r="BS679" s="3">
        <v>42978</v>
      </c>
      <c r="BT679" s="4">
        <v>0.4375</v>
      </c>
      <c r="BU679" s="2" t="s">
        <v>1338</v>
      </c>
      <c r="BV679" s="2" t="s">
        <v>95</v>
      </c>
      <c r="BW679" s="2"/>
      <c r="BX679" s="2"/>
      <c r="BY679" s="2">
        <v>1200</v>
      </c>
      <c r="BZ679" s="2"/>
      <c r="CA679" s="2" t="s">
        <v>347</v>
      </c>
      <c r="CB679" s="2"/>
      <c r="CC679" s="2" t="s">
        <v>150</v>
      </c>
      <c r="CD679" s="2">
        <v>4001</v>
      </c>
      <c r="CE679" s="2" t="s">
        <v>104</v>
      </c>
      <c r="CF679" s="5">
        <v>42978</v>
      </c>
      <c r="CG679" s="2"/>
      <c r="CH679" s="2"/>
      <c r="CI679" s="2">
        <v>1</v>
      </c>
      <c r="CJ679" s="2">
        <v>1</v>
      </c>
      <c r="CK679" s="2">
        <v>21</v>
      </c>
      <c r="CL679" s="2" t="s">
        <v>86</v>
      </c>
      <c r="CM679" s="2"/>
    </row>
    <row r="680" spans="1:91">
      <c r="A680" s="2" t="s">
        <v>71</v>
      </c>
      <c r="B680" s="2" t="s">
        <v>72</v>
      </c>
      <c r="C680" s="2" t="s">
        <v>73</v>
      </c>
      <c r="D680" s="2"/>
      <c r="E680" s="2" t="str">
        <f>"FES1162572390"</f>
        <v>FES1162572390</v>
      </c>
      <c r="F680" s="3">
        <v>42977</v>
      </c>
      <c r="G680" s="2">
        <v>201802</v>
      </c>
      <c r="H680" s="2" t="s">
        <v>74</v>
      </c>
      <c r="I680" s="2" t="s">
        <v>75</v>
      </c>
      <c r="J680" s="2" t="s">
        <v>76</v>
      </c>
      <c r="K680" s="2" t="s">
        <v>77</v>
      </c>
      <c r="L680" s="2" t="s">
        <v>237</v>
      </c>
      <c r="M680" s="2" t="s">
        <v>238</v>
      </c>
      <c r="N680" s="2" t="s">
        <v>765</v>
      </c>
      <c r="O680" s="2" t="s">
        <v>100</v>
      </c>
      <c r="P680" s="2" t="str">
        <f>"2170587796                    "</f>
        <v xml:space="preserve">2170587796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4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1</v>
      </c>
      <c r="BJ680" s="2">
        <v>0.2</v>
      </c>
      <c r="BK680" s="2">
        <v>1</v>
      </c>
      <c r="BL680" s="2">
        <v>41.44</v>
      </c>
      <c r="BM680" s="2">
        <v>5.8</v>
      </c>
      <c r="BN680" s="2">
        <v>47.24</v>
      </c>
      <c r="BO680" s="2">
        <v>47.24</v>
      </c>
      <c r="BP680" s="2"/>
      <c r="BQ680" s="2" t="s">
        <v>108</v>
      </c>
      <c r="BR680" s="2" t="s">
        <v>84</v>
      </c>
      <c r="BS680" s="3">
        <v>42978</v>
      </c>
      <c r="BT680" s="4">
        <v>0.3263888888888889</v>
      </c>
      <c r="BU680" s="2" t="s">
        <v>766</v>
      </c>
      <c r="BV680" s="2" t="s">
        <v>95</v>
      </c>
      <c r="BW680" s="2"/>
      <c r="BX680" s="2"/>
      <c r="BY680" s="2">
        <v>1200</v>
      </c>
      <c r="BZ680" s="2"/>
      <c r="CA680" s="2" t="s">
        <v>401</v>
      </c>
      <c r="CB680" s="2"/>
      <c r="CC680" s="2" t="s">
        <v>238</v>
      </c>
      <c r="CD680" s="2">
        <v>3610</v>
      </c>
      <c r="CE680" s="2" t="s">
        <v>104</v>
      </c>
      <c r="CF680" s="2"/>
      <c r="CG680" s="2"/>
      <c r="CH680" s="2"/>
      <c r="CI680" s="2">
        <v>1</v>
      </c>
      <c r="CJ680" s="2">
        <v>1</v>
      </c>
      <c r="CK680" s="2">
        <v>21</v>
      </c>
      <c r="CL680" s="2" t="s">
        <v>86</v>
      </c>
      <c r="CM680" s="2"/>
    </row>
    <row r="681" spans="1:91">
      <c r="A681" s="2" t="s">
        <v>71</v>
      </c>
      <c r="B681" s="2" t="s">
        <v>72</v>
      </c>
      <c r="C681" s="2" t="s">
        <v>73</v>
      </c>
      <c r="D681" s="2"/>
      <c r="E681" s="2" t="str">
        <f>"FES1162572358"</f>
        <v>FES1162572358</v>
      </c>
      <c r="F681" s="3">
        <v>42977</v>
      </c>
      <c r="G681" s="2">
        <v>201802</v>
      </c>
      <c r="H681" s="2" t="s">
        <v>74</v>
      </c>
      <c r="I681" s="2" t="s">
        <v>75</v>
      </c>
      <c r="J681" s="2" t="s">
        <v>76</v>
      </c>
      <c r="K681" s="2" t="s">
        <v>77</v>
      </c>
      <c r="L681" s="2" t="s">
        <v>362</v>
      </c>
      <c r="M681" s="2" t="s">
        <v>363</v>
      </c>
      <c r="N681" s="2" t="s">
        <v>1168</v>
      </c>
      <c r="O681" s="2" t="s">
        <v>100</v>
      </c>
      <c r="P681" s="2" t="str">
        <f>"2170587876                    "</f>
        <v xml:space="preserve">2170587876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4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</v>
      </c>
      <c r="BJ681" s="2">
        <v>0.2</v>
      </c>
      <c r="BK681" s="2">
        <v>1</v>
      </c>
      <c r="BL681" s="2">
        <v>41.44</v>
      </c>
      <c r="BM681" s="2">
        <v>5.8</v>
      </c>
      <c r="BN681" s="2">
        <v>47.24</v>
      </c>
      <c r="BO681" s="2">
        <v>47.24</v>
      </c>
      <c r="BP681" s="2"/>
      <c r="BQ681" s="2" t="s">
        <v>83</v>
      </c>
      <c r="BR681" s="2" t="s">
        <v>84</v>
      </c>
      <c r="BS681" s="3">
        <v>42978</v>
      </c>
      <c r="BT681" s="4">
        <v>0.34861111111111115</v>
      </c>
      <c r="BU681" s="2" t="s">
        <v>1169</v>
      </c>
      <c r="BV681" s="2" t="s">
        <v>95</v>
      </c>
      <c r="BW681" s="2"/>
      <c r="BX681" s="2"/>
      <c r="BY681" s="2">
        <v>1200</v>
      </c>
      <c r="BZ681" s="2"/>
      <c r="CA681" s="2" t="s">
        <v>1170</v>
      </c>
      <c r="CB681" s="2"/>
      <c r="CC681" s="2" t="s">
        <v>363</v>
      </c>
      <c r="CD681" s="2">
        <v>3201</v>
      </c>
      <c r="CE681" s="2" t="s">
        <v>104</v>
      </c>
      <c r="CF681" s="2"/>
      <c r="CG681" s="2"/>
      <c r="CH681" s="2"/>
      <c r="CI681" s="2">
        <v>1</v>
      </c>
      <c r="CJ681" s="2">
        <v>1</v>
      </c>
      <c r="CK681" s="2">
        <v>21</v>
      </c>
      <c r="CL681" s="2" t="s">
        <v>86</v>
      </c>
      <c r="CM681" s="2"/>
    </row>
    <row r="682" spans="1:91">
      <c r="A682" s="2" t="s">
        <v>71</v>
      </c>
      <c r="B682" s="2" t="s">
        <v>72</v>
      </c>
      <c r="C682" s="2" t="s">
        <v>73</v>
      </c>
      <c r="D682" s="2"/>
      <c r="E682" s="2" t="str">
        <f>"FES1162572403"</f>
        <v>FES1162572403</v>
      </c>
      <c r="F682" s="3">
        <v>42977</v>
      </c>
      <c r="G682" s="2">
        <v>201802</v>
      </c>
      <c r="H682" s="2" t="s">
        <v>74</v>
      </c>
      <c r="I682" s="2" t="s">
        <v>75</v>
      </c>
      <c r="J682" s="2" t="s">
        <v>76</v>
      </c>
      <c r="K682" s="2" t="s">
        <v>77</v>
      </c>
      <c r="L682" s="2" t="s">
        <v>268</v>
      </c>
      <c r="M682" s="2" t="s">
        <v>269</v>
      </c>
      <c r="N682" s="2" t="s">
        <v>1013</v>
      </c>
      <c r="O682" s="2" t="s">
        <v>100</v>
      </c>
      <c r="P682" s="2" t="str">
        <f>"21705879543                   "</f>
        <v xml:space="preserve">21705879543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4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1</v>
      </c>
      <c r="BJ682" s="2">
        <v>0.2</v>
      </c>
      <c r="BK682" s="2">
        <v>1</v>
      </c>
      <c r="BL682" s="2">
        <v>41.44</v>
      </c>
      <c r="BM682" s="2">
        <v>5.8</v>
      </c>
      <c r="BN682" s="2">
        <v>47.24</v>
      </c>
      <c r="BO682" s="2">
        <v>47.24</v>
      </c>
      <c r="BP682" s="2"/>
      <c r="BQ682" s="2" t="s">
        <v>1339</v>
      </c>
      <c r="BR682" s="2" t="s">
        <v>84</v>
      </c>
      <c r="BS682" s="3">
        <v>42978</v>
      </c>
      <c r="BT682" s="4">
        <v>0.4069444444444445</v>
      </c>
      <c r="BU682" s="2" t="s">
        <v>1340</v>
      </c>
      <c r="BV682" s="2" t="s">
        <v>95</v>
      </c>
      <c r="BW682" s="2"/>
      <c r="BX682" s="2"/>
      <c r="BY682" s="2">
        <v>1200</v>
      </c>
      <c r="BZ682" s="2"/>
      <c r="CA682" s="2" t="s">
        <v>272</v>
      </c>
      <c r="CB682" s="2"/>
      <c r="CC682" s="2" t="s">
        <v>269</v>
      </c>
      <c r="CD682" s="2">
        <v>200</v>
      </c>
      <c r="CE682" s="2" t="s">
        <v>104</v>
      </c>
      <c r="CF682" s="2"/>
      <c r="CG682" s="2"/>
      <c r="CH682" s="2"/>
      <c r="CI682" s="2">
        <v>1</v>
      </c>
      <c r="CJ682" s="2">
        <v>1</v>
      </c>
      <c r="CK682" s="2">
        <v>21</v>
      </c>
      <c r="CL682" s="2" t="s">
        <v>86</v>
      </c>
      <c r="CM682" s="2"/>
    </row>
    <row r="683" spans="1:91">
      <c r="A683" s="2" t="s">
        <v>71</v>
      </c>
      <c r="B683" s="2" t="s">
        <v>72</v>
      </c>
      <c r="C683" s="2" t="s">
        <v>73</v>
      </c>
      <c r="D683" s="2"/>
      <c r="E683" s="2" t="str">
        <f>"FES1162572393"</f>
        <v>FES1162572393</v>
      </c>
      <c r="F683" s="3">
        <v>42977</v>
      </c>
      <c r="G683" s="2">
        <v>201802</v>
      </c>
      <c r="H683" s="2" t="s">
        <v>74</v>
      </c>
      <c r="I683" s="2" t="s">
        <v>75</v>
      </c>
      <c r="J683" s="2" t="s">
        <v>76</v>
      </c>
      <c r="K683" s="2" t="s">
        <v>77</v>
      </c>
      <c r="L683" s="2" t="s">
        <v>268</v>
      </c>
      <c r="M683" s="2" t="s">
        <v>269</v>
      </c>
      <c r="N683" s="2" t="s">
        <v>1341</v>
      </c>
      <c r="O683" s="2" t="s">
        <v>100</v>
      </c>
      <c r="P683" s="2" t="str">
        <f>"2170587085                    "</f>
        <v xml:space="preserve">2170587085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4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1</v>
      </c>
      <c r="BJ683" s="2">
        <v>0.2</v>
      </c>
      <c r="BK683" s="2">
        <v>1</v>
      </c>
      <c r="BL683" s="2">
        <v>41.44</v>
      </c>
      <c r="BM683" s="2">
        <v>5.8</v>
      </c>
      <c r="BN683" s="2">
        <v>47.24</v>
      </c>
      <c r="BO683" s="2">
        <v>47.24</v>
      </c>
      <c r="BP683" s="2"/>
      <c r="BQ683" s="2" t="s">
        <v>1342</v>
      </c>
      <c r="BR683" s="2" t="s">
        <v>84</v>
      </c>
      <c r="BS683" s="3">
        <v>42978</v>
      </c>
      <c r="BT683" s="4">
        <v>0.4201388888888889</v>
      </c>
      <c r="BU683" s="2" t="s">
        <v>1343</v>
      </c>
      <c r="BV683" s="2" t="s">
        <v>95</v>
      </c>
      <c r="BW683" s="2"/>
      <c r="BX683" s="2"/>
      <c r="BY683" s="2">
        <v>1200</v>
      </c>
      <c r="BZ683" s="2"/>
      <c r="CA683" s="2" t="s">
        <v>638</v>
      </c>
      <c r="CB683" s="2"/>
      <c r="CC683" s="2" t="s">
        <v>269</v>
      </c>
      <c r="CD683" s="2">
        <v>184</v>
      </c>
      <c r="CE683" s="2" t="s">
        <v>104</v>
      </c>
      <c r="CF683" s="2"/>
      <c r="CG683" s="2"/>
      <c r="CH683" s="2"/>
      <c r="CI683" s="2">
        <v>1</v>
      </c>
      <c r="CJ683" s="2">
        <v>1</v>
      </c>
      <c r="CK683" s="2">
        <v>21</v>
      </c>
      <c r="CL683" s="2" t="s">
        <v>86</v>
      </c>
      <c r="CM683" s="2"/>
    </row>
    <row r="684" spans="1:91">
      <c r="A684" s="2" t="s">
        <v>71</v>
      </c>
      <c r="B684" s="2" t="s">
        <v>72</v>
      </c>
      <c r="C684" s="2" t="s">
        <v>73</v>
      </c>
      <c r="D684" s="2"/>
      <c r="E684" s="2" t="str">
        <f>"FES1162572359"</f>
        <v>FES1162572359</v>
      </c>
      <c r="F684" s="3">
        <v>42977</v>
      </c>
      <c r="G684" s="2">
        <v>201802</v>
      </c>
      <c r="H684" s="2" t="s">
        <v>74</v>
      </c>
      <c r="I684" s="2" t="s">
        <v>75</v>
      </c>
      <c r="J684" s="2" t="s">
        <v>76</v>
      </c>
      <c r="K684" s="2" t="s">
        <v>77</v>
      </c>
      <c r="L684" s="2" t="s">
        <v>362</v>
      </c>
      <c r="M684" s="2" t="s">
        <v>363</v>
      </c>
      <c r="N684" s="2" t="s">
        <v>1344</v>
      </c>
      <c r="O684" s="2" t="s">
        <v>100</v>
      </c>
      <c r="P684" s="2" t="str">
        <f>"2170587898                    "</f>
        <v xml:space="preserve">2170587898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19.010000000000002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4.3</v>
      </c>
      <c r="BJ684" s="2">
        <v>9.1</v>
      </c>
      <c r="BK684" s="2">
        <v>9.5</v>
      </c>
      <c r="BL684" s="2">
        <v>196.85</v>
      </c>
      <c r="BM684" s="2">
        <v>27.56</v>
      </c>
      <c r="BN684" s="2">
        <v>224.41</v>
      </c>
      <c r="BO684" s="2">
        <v>224.41</v>
      </c>
      <c r="BP684" s="2"/>
      <c r="BQ684" s="2" t="s">
        <v>1345</v>
      </c>
      <c r="BR684" s="2" t="s">
        <v>84</v>
      </c>
      <c r="BS684" s="3">
        <v>42978</v>
      </c>
      <c r="BT684" s="4">
        <v>0.3611111111111111</v>
      </c>
      <c r="BU684" s="2" t="s">
        <v>1346</v>
      </c>
      <c r="BV684" s="2" t="s">
        <v>95</v>
      </c>
      <c r="BW684" s="2"/>
      <c r="BX684" s="2"/>
      <c r="BY684" s="2">
        <v>45385.4</v>
      </c>
      <c r="BZ684" s="2"/>
      <c r="CA684" s="2" t="s">
        <v>379</v>
      </c>
      <c r="CB684" s="2"/>
      <c r="CC684" s="2" t="s">
        <v>363</v>
      </c>
      <c r="CD684" s="2">
        <v>3201</v>
      </c>
      <c r="CE684" s="2" t="s">
        <v>89</v>
      </c>
      <c r="CF684" s="2"/>
      <c r="CG684" s="2"/>
      <c r="CH684" s="2"/>
      <c r="CI684" s="2">
        <v>1</v>
      </c>
      <c r="CJ684" s="2">
        <v>1</v>
      </c>
      <c r="CK684" s="2">
        <v>21</v>
      </c>
      <c r="CL684" s="2" t="s">
        <v>86</v>
      </c>
      <c r="CM684" s="2"/>
    </row>
    <row r="685" spans="1:91">
      <c r="A685" s="2" t="s">
        <v>71</v>
      </c>
      <c r="B685" s="2" t="s">
        <v>72</v>
      </c>
      <c r="C685" s="2" t="s">
        <v>73</v>
      </c>
      <c r="D685" s="2"/>
      <c r="E685" s="2" t="str">
        <f>"FES1162572381"</f>
        <v>FES1162572381</v>
      </c>
      <c r="F685" s="3">
        <v>42977</v>
      </c>
      <c r="G685" s="2">
        <v>201802</v>
      </c>
      <c r="H685" s="2" t="s">
        <v>74</v>
      </c>
      <c r="I685" s="2" t="s">
        <v>75</v>
      </c>
      <c r="J685" s="2" t="s">
        <v>76</v>
      </c>
      <c r="K685" s="2" t="s">
        <v>77</v>
      </c>
      <c r="L685" s="2" t="s">
        <v>216</v>
      </c>
      <c r="M685" s="2" t="s">
        <v>217</v>
      </c>
      <c r="N685" s="2" t="s">
        <v>1347</v>
      </c>
      <c r="O685" s="2" t="s">
        <v>100</v>
      </c>
      <c r="P685" s="2" t="str">
        <f>"2170587933                    "</f>
        <v xml:space="preserve">2170587933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3.13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1</v>
      </c>
      <c r="BJ685" s="2">
        <v>0.2</v>
      </c>
      <c r="BK685" s="2">
        <v>1</v>
      </c>
      <c r="BL685" s="2">
        <v>32.380000000000003</v>
      </c>
      <c r="BM685" s="2">
        <v>4.53</v>
      </c>
      <c r="BN685" s="2">
        <v>36.909999999999997</v>
      </c>
      <c r="BO685" s="2">
        <v>36.909999999999997</v>
      </c>
      <c r="BP685" s="2"/>
      <c r="BQ685" s="2" t="s">
        <v>108</v>
      </c>
      <c r="BR685" s="2" t="s">
        <v>84</v>
      </c>
      <c r="BS685" s="3">
        <v>42978</v>
      </c>
      <c r="BT685" s="4">
        <v>0.38611111111111113</v>
      </c>
      <c r="BU685" s="2" t="s">
        <v>1348</v>
      </c>
      <c r="BV685" s="2" t="s">
        <v>95</v>
      </c>
      <c r="BW685" s="2"/>
      <c r="BX685" s="2"/>
      <c r="BY685" s="2">
        <v>1200</v>
      </c>
      <c r="BZ685" s="2"/>
      <c r="CA685" s="2" t="s">
        <v>220</v>
      </c>
      <c r="CB685" s="2"/>
      <c r="CC685" s="2" t="s">
        <v>217</v>
      </c>
      <c r="CD685" s="2">
        <v>1451</v>
      </c>
      <c r="CE685" s="2" t="s">
        <v>104</v>
      </c>
      <c r="CF685" s="5">
        <v>42978</v>
      </c>
      <c r="CG685" s="2"/>
      <c r="CH685" s="2"/>
      <c r="CI685" s="2">
        <v>1</v>
      </c>
      <c r="CJ685" s="2">
        <v>1</v>
      </c>
      <c r="CK685" s="2">
        <v>22</v>
      </c>
      <c r="CL685" s="2" t="s">
        <v>86</v>
      </c>
      <c r="CM685" s="2"/>
    </row>
    <row r="686" spans="1:91">
      <c r="A686" s="2" t="s">
        <v>71</v>
      </c>
      <c r="B686" s="2" t="s">
        <v>72</v>
      </c>
      <c r="C686" s="2" t="s">
        <v>73</v>
      </c>
      <c r="D686" s="2"/>
      <c r="E686" s="2" t="str">
        <f>"FES1162572398"</f>
        <v>FES1162572398</v>
      </c>
      <c r="F686" s="3">
        <v>42977</v>
      </c>
      <c r="G686" s="2">
        <v>201802</v>
      </c>
      <c r="H686" s="2" t="s">
        <v>74</v>
      </c>
      <c r="I686" s="2" t="s">
        <v>75</v>
      </c>
      <c r="J686" s="2" t="s">
        <v>76</v>
      </c>
      <c r="K686" s="2" t="s">
        <v>77</v>
      </c>
      <c r="L686" s="2" t="s">
        <v>221</v>
      </c>
      <c r="M686" s="2" t="s">
        <v>222</v>
      </c>
      <c r="N686" s="2" t="s">
        <v>415</v>
      </c>
      <c r="O686" s="2" t="s">
        <v>100</v>
      </c>
      <c r="P686" s="2" t="str">
        <f>"2170587950                    "</f>
        <v xml:space="preserve">2170587950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4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1</v>
      </c>
      <c r="BJ686" s="2">
        <v>0.2</v>
      </c>
      <c r="BK686" s="2">
        <v>1</v>
      </c>
      <c r="BL686" s="2">
        <v>41.44</v>
      </c>
      <c r="BM686" s="2">
        <v>5.8</v>
      </c>
      <c r="BN686" s="2">
        <v>47.24</v>
      </c>
      <c r="BO686" s="2">
        <v>47.24</v>
      </c>
      <c r="BP686" s="2"/>
      <c r="BQ686" s="2" t="s">
        <v>108</v>
      </c>
      <c r="BR686" s="2" t="s">
        <v>84</v>
      </c>
      <c r="BS686" s="3">
        <v>42978</v>
      </c>
      <c r="BT686" s="4">
        <v>0.34930555555555554</v>
      </c>
      <c r="BU686" s="2" t="s">
        <v>1293</v>
      </c>
      <c r="BV686" s="2" t="s">
        <v>95</v>
      </c>
      <c r="BW686" s="2"/>
      <c r="BX686" s="2"/>
      <c r="BY686" s="2">
        <v>1200</v>
      </c>
      <c r="BZ686" s="2"/>
      <c r="CA686" s="2" t="s">
        <v>934</v>
      </c>
      <c r="CB686" s="2"/>
      <c r="CC686" s="2" t="s">
        <v>222</v>
      </c>
      <c r="CD686" s="2">
        <v>4302</v>
      </c>
      <c r="CE686" s="2" t="s">
        <v>104</v>
      </c>
      <c r="CF686" s="2"/>
      <c r="CG686" s="2"/>
      <c r="CH686" s="2"/>
      <c r="CI686" s="2">
        <v>1</v>
      </c>
      <c r="CJ686" s="2">
        <v>1</v>
      </c>
      <c r="CK686" s="2">
        <v>21</v>
      </c>
      <c r="CL686" s="2" t="s">
        <v>86</v>
      </c>
      <c r="CM686" s="2"/>
    </row>
    <row r="687" spans="1:91">
      <c r="A687" s="2" t="s">
        <v>71</v>
      </c>
      <c r="B687" s="2" t="s">
        <v>72</v>
      </c>
      <c r="C687" s="2" t="s">
        <v>73</v>
      </c>
      <c r="D687" s="2"/>
      <c r="E687" s="2" t="str">
        <f>"FES1162572410"</f>
        <v>FES1162572410</v>
      </c>
      <c r="F687" s="3">
        <v>42977</v>
      </c>
      <c r="G687" s="2">
        <v>201802</v>
      </c>
      <c r="H687" s="2" t="s">
        <v>74</v>
      </c>
      <c r="I687" s="2" t="s">
        <v>75</v>
      </c>
      <c r="J687" s="2" t="s">
        <v>76</v>
      </c>
      <c r="K687" s="2" t="s">
        <v>77</v>
      </c>
      <c r="L687" s="2" t="s">
        <v>105</v>
      </c>
      <c r="M687" s="2" t="s">
        <v>106</v>
      </c>
      <c r="N687" s="2" t="s">
        <v>746</v>
      </c>
      <c r="O687" s="2" t="s">
        <v>100</v>
      </c>
      <c r="P687" s="2" t="str">
        <f>"2170587959                    "</f>
        <v xml:space="preserve">2170587959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4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1</v>
      </c>
      <c r="BJ687" s="2">
        <v>0.2</v>
      </c>
      <c r="BK687" s="2">
        <v>1</v>
      </c>
      <c r="BL687" s="2">
        <v>41.44</v>
      </c>
      <c r="BM687" s="2">
        <v>5.8</v>
      </c>
      <c r="BN687" s="2">
        <v>47.24</v>
      </c>
      <c r="BO687" s="2">
        <v>47.24</v>
      </c>
      <c r="BP687" s="2"/>
      <c r="BQ687" s="2" t="s">
        <v>108</v>
      </c>
      <c r="BR687" s="2" t="s">
        <v>84</v>
      </c>
      <c r="BS687" s="3">
        <v>42978</v>
      </c>
      <c r="BT687" s="4">
        <v>0.39305555555555555</v>
      </c>
      <c r="BU687" s="2" t="s">
        <v>1349</v>
      </c>
      <c r="BV687" s="2" t="s">
        <v>95</v>
      </c>
      <c r="BW687" s="2"/>
      <c r="BX687" s="2"/>
      <c r="BY687" s="2">
        <v>1200</v>
      </c>
      <c r="BZ687" s="2"/>
      <c r="CA687" s="2" t="s">
        <v>1308</v>
      </c>
      <c r="CB687" s="2"/>
      <c r="CC687" s="2" t="s">
        <v>106</v>
      </c>
      <c r="CD687" s="2">
        <v>7441</v>
      </c>
      <c r="CE687" s="2" t="s">
        <v>104</v>
      </c>
      <c r="CF687" s="5">
        <v>42978</v>
      </c>
      <c r="CG687" s="2"/>
      <c r="CH687" s="2"/>
      <c r="CI687" s="2">
        <v>1</v>
      </c>
      <c r="CJ687" s="2">
        <v>1</v>
      </c>
      <c r="CK687" s="2">
        <v>21</v>
      </c>
      <c r="CL687" s="2" t="s">
        <v>86</v>
      </c>
      <c r="CM687" s="2"/>
    </row>
    <row r="688" spans="1:91">
      <c r="A688" s="2" t="s">
        <v>71</v>
      </c>
      <c r="B688" s="2" t="s">
        <v>72</v>
      </c>
      <c r="C688" s="2" t="s">
        <v>73</v>
      </c>
      <c r="D688" s="2"/>
      <c r="E688" s="2" t="str">
        <f>"FES1162572388"</f>
        <v>FES1162572388</v>
      </c>
      <c r="F688" s="3">
        <v>42977</v>
      </c>
      <c r="G688" s="2">
        <v>201802</v>
      </c>
      <c r="H688" s="2" t="s">
        <v>74</v>
      </c>
      <c r="I688" s="2" t="s">
        <v>75</v>
      </c>
      <c r="J688" s="2" t="s">
        <v>76</v>
      </c>
      <c r="K688" s="2" t="s">
        <v>77</v>
      </c>
      <c r="L688" s="2" t="s">
        <v>723</v>
      </c>
      <c r="M688" s="2" t="s">
        <v>724</v>
      </c>
      <c r="N688" s="2" t="s">
        <v>1350</v>
      </c>
      <c r="O688" s="2" t="s">
        <v>100</v>
      </c>
      <c r="P688" s="2" t="str">
        <f>"2170587757                    "</f>
        <v xml:space="preserve">2170587757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5.63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1</v>
      </c>
      <c r="BJ688" s="2">
        <v>0.2</v>
      </c>
      <c r="BK688" s="2">
        <v>1</v>
      </c>
      <c r="BL688" s="2">
        <v>58.28</v>
      </c>
      <c r="BM688" s="2">
        <v>8.16</v>
      </c>
      <c r="BN688" s="2">
        <v>66.44</v>
      </c>
      <c r="BO688" s="2">
        <v>66.44</v>
      </c>
      <c r="BP688" s="2"/>
      <c r="BQ688" s="2" t="s">
        <v>108</v>
      </c>
      <c r="BR688" s="2" t="s">
        <v>84</v>
      </c>
      <c r="BS688" s="3">
        <v>42978</v>
      </c>
      <c r="BT688" s="4">
        <v>0.3923611111111111</v>
      </c>
      <c r="BU688" s="2" t="s">
        <v>330</v>
      </c>
      <c r="BV688" s="2" t="s">
        <v>95</v>
      </c>
      <c r="BW688" s="2"/>
      <c r="BX688" s="2"/>
      <c r="BY688" s="2">
        <v>1200</v>
      </c>
      <c r="BZ688" s="2"/>
      <c r="CA688" s="2"/>
      <c r="CB688" s="2"/>
      <c r="CC688" s="2" t="s">
        <v>724</v>
      </c>
      <c r="CD688" s="2">
        <v>1740</v>
      </c>
      <c r="CE688" s="2" t="s">
        <v>104</v>
      </c>
      <c r="CF688" s="2"/>
      <c r="CG688" s="2"/>
      <c r="CH688" s="2"/>
      <c r="CI688" s="2">
        <v>1</v>
      </c>
      <c r="CJ688" s="2">
        <v>1</v>
      </c>
      <c r="CK688" s="2">
        <v>24</v>
      </c>
      <c r="CL688" s="2" t="s">
        <v>86</v>
      </c>
      <c r="CM688" s="2"/>
    </row>
    <row r="689" spans="1:91">
      <c r="A689" s="2" t="s">
        <v>71</v>
      </c>
      <c r="B689" s="2" t="s">
        <v>72</v>
      </c>
      <c r="C689" s="2" t="s">
        <v>73</v>
      </c>
      <c r="D689" s="2"/>
      <c r="E689" s="2" t="str">
        <f>"FES1162572379"</f>
        <v>FES1162572379</v>
      </c>
      <c r="F689" s="3">
        <v>42977</v>
      </c>
      <c r="G689" s="2">
        <v>201802</v>
      </c>
      <c r="H689" s="2" t="s">
        <v>74</v>
      </c>
      <c r="I689" s="2" t="s">
        <v>75</v>
      </c>
      <c r="J689" s="2" t="s">
        <v>76</v>
      </c>
      <c r="K689" s="2" t="s">
        <v>77</v>
      </c>
      <c r="L689" s="2" t="s">
        <v>231</v>
      </c>
      <c r="M689" s="2" t="s">
        <v>232</v>
      </c>
      <c r="N689" s="2" t="s">
        <v>233</v>
      </c>
      <c r="O689" s="2" t="s">
        <v>100</v>
      </c>
      <c r="P689" s="2" t="str">
        <f>"2170587921                    "</f>
        <v xml:space="preserve">2170587921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4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2</v>
      </c>
      <c r="BJ689" s="2">
        <v>0.2</v>
      </c>
      <c r="BK689" s="2">
        <v>2</v>
      </c>
      <c r="BL689" s="2">
        <v>41.44</v>
      </c>
      <c r="BM689" s="2">
        <v>5.8</v>
      </c>
      <c r="BN689" s="2">
        <v>47.24</v>
      </c>
      <c r="BO689" s="2">
        <v>47.24</v>
      </c>
      <c r="BP689" s="2"/>
      <c r="BQ689" s="2" t="s">
        <v>83</v>
      </c>
      <c r="BR689" s="2" t="s">
        <v>84</v>
      </c>
      <c r="BS689" s="3">
        <v>42978</v>
      </c>
      <c r="BT689" s="4">
        <v>0.3430555555555555</v>
      </c>
      <c r="BU689" s="2" t="s">
        <v>1351</v>
      </c>
      <c r="BV689" s="2" t="s">
        <v>95</v>
      </c>
      <c r="BW689" s="2"/>
      <c r="BX689" s="2"/>
      <c r="BY689" s="2">
        <v>1200</v>
      </c>
      <c r="BZ689" s="2"/>
      <c r="CA689" s="2" t="s">
        <v>1352</v>
      </c>
      <c r="CB689" s="2"/>
      <c r="CC689" s="2" t="s">
        <v>232</v>
      </c>
      <c r="CD689" s="2">
        <v>4026</v>
      </c>
      <c r="CE689" s="2" t="s">
        <v>104</v>
      </c>
      <c r="CF689" s="5">
        <v>42978</v>
      </c>
      <c r="CG689" s="2"/>
      <c r="CH689" s="2"/>
      <c r="CI689" s="2">
        <v>1</v>
      </c>
      <c r="CJ689" s="2">
        <v>1</v>
      </c>
      <c r="CK689" s="2">
        <v>21</v>
      </c>
      <c r="CL689" s="2" t="s">
        <v>86</v>
      </c>
      <c r="CM689" s="2"/>
    </row>
    <row r="690" spans="1:91">
      <c r="A690" s="2" t="s">
        <v>71</v>
      </c>
      <c r="B690" s="2" t="s">
        <v>72</v>
      </c>
      <c r="C690" s="2" t="s">
        <v>73</v>
      </c>
      <c r="D690" s="2"/>
      <c r="E690" s="2" t="str">
        <f>"FES1162572391"</f>
        <v>FES1162572391</v>
      </c>
      <c r="F690" s="3">
        <v>42977</v>
      </c>
      <c r="G690" s="2">
        <v>201802</v>
      </c>
      <c r="H690" s="2" t="s">
        <v>74</v>
      </c>
      <c r="I690" s="2" t="s">
        <v>75</v>
      </c>
      <c r="J690" s="2" t="s">
        <v>76</v>
      </c>
      <c r="K690" s="2" t="s">
        <v>77</v>
      </c>
      <c r="L690" s="2" t="s">
        <v>144</v>
      </c>
      <c r="M690" s="2" t="s">
        <v>145</v>
      </c>
      <c r="N690" s="2" t="s">
        <v>1353</v>
      </c>
      <c r="O690" s="2" t="s">
        <v>100</v>
      </c>
      <c r="P690" s="2" t="str">
        <f>"2170587940                    "</f>
        <v xml:space="preserve">2170587940 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3.13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1</v>
      </c>
      <c r="BJ690" s="2">
        <v>0.2</v>
      </c>
      <c r="BK690" s="2">
        <v>1</v>
      </c>
      <c r="BL690" s="2">
        <v>32.380000000000003</v>
      </c>
      <c r="BM690" s="2">
        <v>4.53</v>
      </c>
      <c r="BN690" s="2">
        <v>36.909999999999997</v>
      </c>
      <c r="BO690" s="2">
        <v>36.909999999999997</v>
      </c>
      <c r="BP690" s="2"/>
      <c r="BQ690" s="2" t="s">
        <v>108</v>
      </c>
      <c r="BR690" s="2" t="s">
        <v>84</v>
      </c>
      <c r="BS690" s="3">
        <v>42978</v>
      </c>
      <c r="BT690" s="4">
        <v>0.41805555555555557</v>
      </c>
      <c r="BU690" s="2" t="s">
        <v>1354</v>
      </c>
      <c r="BV690" s="2" t="s">
        <v>95</v>
      </c>
      <c r="BW690" s="2"/>
      <c r="BX690" s="2"/>
      <c r="BY690" s="2">
        <v>1200</v>
      </c>
      <c r="BZ690" s="2"/>
      <c r="CA690" s="2" t="s">
        <v>1355</v>
      </c>
      <c r="CB690" s="2"/>
      <c r="CC690" s="2" t="s">
        <v>145</v>
      </c>
      <c r="CD690" s="2">
        <v>2091</v>
      </c>
      <c r="CE690" s="2" t="s">
        <v>104</v>
      </c>
      <c r="CF690" s="5">
        <v>42978</v>
      </c>
      <c r="CG690" s="2"/>
      <c r="CH690" s="2"/>
      <c r="CI690" s="2">
        <v>1</v>
      </c>
      <c r="CJ690" s="2">
        <v>1</v>
      </c>
      <c r="CK690" s="2">
        <v>22</v>
      </c>
      <c r="CL690" s="2" t="s">
        <v>86</v>
      </c>
      <c r="CM690" s="2"/>
    </row>
    <row r="691" spans="1:91">
      <c r="A691" s="2" t="s">
        <v>71</v>
      </c>
      <c r="B691" s="2" t="s">
        <v>72</v>
      </c>
      <c r="C691" s="2" t="s">
        <v>73</v>
      </c>
      <c r="D691" s="2"/>
      <c r="E691" s="2" t="str">
        <f>"FES1162572363"</f>
        <v>FES1162572363</v>
      </c>
      <c r="F691" s="3">
        <v>42977</v>
      </c>
      <c r="G691" s="2">
        <v>201802</v>
      </c>
      <c r="H691" s="2" t="s">
        <v>74</v>
      </c>
      <c r="I691" s="2" t="s">
        <v>75</v>
      </c>
      <c r="J691" s="2" t="s">
        <v>76</v>
      </c>
      <c r="K691" s="2" t="s">
        <v>77</v>
      </c>
      <c r="L691" s="2" t="s">
        <v>362</v>
      </c>
      <c r="M691" s="2" t="s">
        <v>363</v>
      </c>
      <c r="N691" s="2" t="s">
        <v>1168</v>
      </c>
      <c r="O691" s="2" t="s">
        <v>100</v>
      </c>
      <c r="P691" s="2" t="str">
        <f>"2170587905                    "</f>
        <v xml:space="preserve">2170587905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4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2</v>
      </c>
      <c r="BJ691" s="2">
        <v>0.2</v>
      </c>
      <c r="BK691" s="2">
        <v>2</v>
      </c>
      <c r="BL691" s="2">
        <v>41.44</v>
      </c>
      <c r="BM691" s="2">
        <v>5.8</v>
      </c>
      <c r="BN691" s="2">
        <v>47.24</v>
      </c>
      <c r="BO691" s="2">
        <v>47.24</v>
      </c>
      <c r="BP691" s="2"/>
      <c r="BQ691" s="2" t="s">
        <v>83</v>
      </c>
      <c r="BR691" s="2" t="s">
        <v>84</v>
      </c>
      <c r="BS691" s="3">
        <v>42978</v>
      </c>
      <c r="BT691" s="4">
        <v>0.34861111111111115</v>
      </c>
      <c r="BU691" s="2" t="s">
        <v>1169</v>
      </c>
      <c r="BV691" s="2" t="s">
        <v>95</v>
      </c>
      <c r="BW691" s="2"/>
      <c r="BX691" s="2"/>
      <c r="BY691" s="2">
        <v>1200</v>
      </c>
      <c r="BZ691" s="2"/>
      <c r="CA691" s="2" t="s">
        <v>1170</v>
      </c>
      <c r="CB691" s="2"/>
      <c r="CC691" s="2" t="s">
        <v>363</v>
      </c>
      <c r="CD691" s="2">
        <v>3201</v>
      </c>
      <c r="CE691" s="2" t="s">
        <v>104</v>
      </c>
      <c r="CF691" s="2"/>
      <c r="CG691" s="2"/>
      <c r="CH691" s="2"/>
      <c r="CI691" s="2">
        <v>1</v>
      </c>
      <c r="CJ691" s="2">
        <v>1</v>
      </c>
      <c r="CK691" s="2">
        <v>21</v>
      </c>
      <c r="CL691" s="2" t="s">
        <v>86</v>
      </c>
      <c r="CM691" s="2"/>
    </row>
    <row r="692" spans="1:91">
      <c r="A692" s="2" t="s">
        <v>71</v>
      </c>
      <c r="B692" s="2" t="s">
        <v>72</v>
      </c>
      <c r="C692" s="2" t="s">
        <v>73</v>
      </c>
      <c r="D692" s="2"/>
      <c r="E692" s="2" t="str">
        <f>"FES1162572367"</f>
        <v>FES1162572367</v>
      </c>
      <c r="F692" s="3">
        <v>42977</v>
      </c>
      <c r="G692" s="2">
        <v>201802</v>
      </c>
      <c r="H692" s="2" t="s">
        <v>74</v>
      </c>
      <c r="I692" s="2" t="s">
        <v>75</v>
      </c>
      <c r="J692" s="2" t="s">
        <v>76</v>
      </c>
      <c r="K692" s="2" t="s">
        <v>77</v>
      </c>
      <c r="L692" s="2" t="s">
        <v>149</v>
      </c>
      <c r="M692" s="2" t="s">
        <v>150</v>
      </c>
      <c r="N692" s="2" t="s">
        <v>1356</v>
      </c>
      <c r="O692" s="2" t="s">
        <v>100</v>
      </c>
      <c r="P692" s="2" t="str">
        <f>"2170587917                    "</f>
        <v xml:space="preserve">2170587917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18.010000000000002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9</v>
      </c>
      <c r="BJ692" s="2">
        <v>4.0999999999999996</v>
      </c>
      <c r="BK692" s="2">
        <v>9</v>
      </c>
      <c r="BL692" s="2">
        <v>186.49</v>
      </c>
      <c r="BM692" s="2">
        <v>26.11</v>
      </c>
      <c r="BN692" s="2">
        <v>212.6</v>
      </c>
      <c r="BO692" s="2">
        <v>212.6</v>
      </c>
      <c r="BP692" s="2"/>
      <c r="BQ692" s="2" t="s">
        <v>108</v>
      </c>
      <c r="BR692" s="2" t="s">
        <v>84</v>
      </c>
      <c r="BS692" s="3">
        <v>42978</v>
      </c>
      <c r="BT692" s="4">
        <v>0.3923611111111111</v>
      </c>
      <c r="BU692" s="2" t="s">
        <v>1357</v>
      </c>
      <c r="BV692" s="2" t="s">
        <v>95</v>
      </c>
      <c r="BW692" s="2"/>
      <c r="BX692" s="2"/>
      <c r="BY692" s="2">
        <v>20358</v>
      </c>
      <c r="BZ692" s="2"/>
      <c r="CA692" s="2"/>
      <c r="CB692" s="2"/>
      <c r="CC692" s="2" t="s">
        <v>150</v>
      </c>
      <c r="CD692" s="2">
        <v>4051</v>
      </c>
      <c r="CE692" s="2" t="s">
        <v>89</v>
      </c>
      <c r="CF692" s="2"/>
      <c r="CG692" s="2"/>
      <c r="CH692" s="2"/>
      <c r="CI692" s="2">
        <v>1</v>
      </c>
      <c r="CJ692" s="2">
        <v>1</v>
      </c>
      <c r="CK692" s="2">
        <v>21</v>
      </c>
      <c r="CL692" s="2" t="s">
        <v>86</v>
      </c>
      <c r="CM692" s="2"/>
    </row>
    <row r="693" spans="1:91">
      <c r="A693" s="2" t="s">
        <v>71</v>
      </c>
      <c r="B693" s="2" t="s">
        <v>72</v>
      </c>
      <c r="C693" s="2" t="s">
        <v>73</v>
      </c>
      <c r="D693" s="2"/>
      <c r="E693" s="2" t="str">
        <f>"FES1162572407"</f>
        <v>FES1162572407</v>
      </c>
      <c r="F693" s="3">
        <v>42977</v>
      </c>
      <c r="G693" s="2">
        <v>201802</v>
      </c>
      <c r="H693" s="2" t="s">
        <v>74</v>
      </c>
      <c r="I693" s="2" t="s">
        <v>75</v>
      </c>
      <c r="J693" s="2" t="s">
        <v>76</v>
      </c>
      <c r="K693" s="2" t="s">
        <v>77</v>
      </c>
      <c r="L693" s="2" t="s">
        <v>97</v>
      </c>
      <c r="M693" s="2" t="s">
        <v>98</v>
      </c>
      <c r="N693" s="2" t="s">
        <v>248</v>
      </c>
      <c r="O693" s="2" t="s">
        <v>100</v>
      </c>
      <c r="P693" s="2" t="str">
        <f>"2170581285                    "</f>
        <v xml:space="preserve">2170581285 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4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2</v>
      </c>
      <c r="BJ693" s="2">
        <v>1.5</v>
      </c>
      <c r="BK693" s="2">
        <v>2</v>
      </c>
      <c r="BL693" s="2">
        <v>41.44</v>
      </c>
      <c r="BM693" s="2">
        <v>5.8</v>
      </c>
      <c r="BN693" s="2">
        <v>47.24</v>
      </c>
      <c r="BO693" s="2">
        <v>47.24</v>
      </c>
      <c r="BP693" s="2"/>
      <c r="BQ693" s="2" t="s">
        <v>83</v>
      </c>
      <c r="BR693" s="2" t="s">
        <v>84</v>
      </c>
      <c r="BS693" s="3">
        <v>42978</v>
      </c>
      <c r="BT693" s="4">
        <v>0.35416666666666669</v>
      </c>
      <c r="BU693" s="2" t="s">
        <v>1208</v>
      </c>
      <c r="BV693" s="2" t="s">
        <v>95</v>
      </c>
      <c r="BW693" s="2"/>
      <c r="BX693" s="2"/>
      <c r="BY693" s="2">
        <v>7540</v>
      </c>
      <c r="BZ693" s="2"/>
      <c r="CA693" s="2" t="s">
        <v>294</v>
      </c>
      <c r="CB693" s="2"/>
      <c r="CC693" s="2" t="s">
        <v>98</v>
      </c>
      <c r="CD693" s="2">
        <v>6001</v>
      </c>
      <c r="CE693" s="2" t="s">
        <v>89</v>
      </c>
      <c r="CF693" s="5">
        <v>42978</v>
      </c>
      <c r="CG693" s="2"/>
      <c r="CH693" s="2"/>
      <c r="CI693" s="2">
        <v>1</v>
      </c>
      <c r="CJ693" s="2">
        <v>1</v>
      </c>
      <c r="CK693" s="2">
        <v>21</v>
      </c>
      <c r="CL693" s="2" t="s">
        <v>86</v>
      </c>
      <c r="CM693" s="2"/>
    </row>
    <row r="694" spans="1:91">
      <c r="A694" s="2" t="s">
        <v>71</v>
      </c>
      <c r="B694" s="2" t="s">
        <v>72</v>
      </c>
      <c r="C694" s="2" t="s">
        <v>73</v>
      </c>
      <c r="D694" s="2"/>
      <c r="E694" s="2" t="str">
        <f>"FES1162572415"</f>
        <v>FES1162572415</v>
      </c>
      <c r="F694" s="3">
        <v>42977</v>
      </c>
      <c r="G694" s="2">
        <v>201802</v>
      </c>
      <c r="H694" s="2" t="s">
        <v>74</v>
      </c>
      <c r="I694" s="2" t="s">
        <v>75</v>
      </c>
      <c r="J694" s="2" t="s">
        <v>76</v>
      </c>
      <c r="K694" s="2" t="s">
        <v>77</v>
      </c>
      <c r="L694" s="2" t="s">
        <v>105</v>
      </c>
      <c r="M694" s="2" t="s">
        <v>106</v>
      </c>
      <c r="N694" s="2" t="s">
        <v>107</v>
      </c>
      <c r="O694" s="2" t="s">
        <v>100</v>
      </c>
      <c r="P694" s="2" t="str">
        <f>"2170587964                    "</f>
        <v xml:space="preserve">2170587964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4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1</v>
      </c>
      <c r="BJ694" s="2">
        <v>0.2</v>
      </c>
      <c r="BK694" s="2">
        <v>1</v>
      </c>
      <c r="BL694" s="2">
        <v>41.44</v>
      </c>
      <c r="BM694" s="2">
        <v>5.8</v>
      </c>
      <c r="BN694" s="2">
        <v>47.24</v>
      </c>
      <c r="BO694" s="2">
        <v>47.24</v>
      </c>
      <c r="BP694" s="2"/>
      <c r="BQ694" s="2" t="s">
        <v>108</v>
      </c>
      <c r="BR694" s="2" t="s">
        <v>84</v>
      </c>
      <c r="BS694" s="3">
        <v>42978</v>
      </c>
      <c r="BT694" s="4">
        <v>0.38541666666666669</v>
      </c>
      <c r="BU694" s="2" t="s">
        <v>1207</v>
      </c>
      <c r="BV694" s="2" t="s">
        <v>95</v>
      </c>
      <c r="BW694" s="2"/>
      <c r="BX694" s="2"/>
      <c r="BY694" s="2">
        <v>1200</v>
      </c>
      <c r="BZ694" s="2"/>
      <c r="CA694" s="2" t="s">
        <v>112</v>
      </c>
      <c r="CB694" s="2"/>
      <c r="CC694" s="2" t="s">
        <v>106</v>
      </c>
      <c r="CD694" s="2">
        <v>7405</v>
      </c>
      <c r="CE694" s="2" t="s">
        <v>104</v>
      </c>
      <c r="CF694" s="5">
        <v>42978</v>
      </c>
      <c r="CG694" s="2"/>
      <c r="CH694" s="2"/>
      <c r="CI694" s="2">
        <v>1</v>
      </c>
      <c r="CJ694" s="2">
        <v>1</v>
      </c>
      <c r="CK694" s="2">
        <v>21</v>
      </c>
      <c r="CL694" s="2" t="s">
        <v>86</v>
      </c>
      <c r="CM694" s="2"/>
    </row>
    <row r="695" spans="1:91">
      <c r="A695" s="2" t="s">
        <v>71</v>
      </c>
      <c r="B695" s="2" t="s">
        <v>72</v>
      </c>
      <c r="C695" s="2" t="s">
        <v>73</v>
      </c>
      <c r="D695" s="2"/>
      <c r="E695" s="2" t="str">
        <f>"FES1162572411"</f>
        <v>FES1162572411</v>
      </c>
      <c r="F695" s="3">
        <v>42977</v>
      </c>
      <c r="G695" s="2">
        <v>201802</v>
      </c>
      <c r="H695" s="2" t="s">
        <v>74</v>
      </c>
      <c r="I695" s="2" t="s">
        <v>75</v>
      </c>
      <c r="J695" s="2" t="s">
        <v>76</v>
      </c>
      <c r="K695" s="2" t="s">
        <v>77</v>
      </c>
      <c r="L695" s="2" t="s">
        <v>201</v>
      </c>
      <c r="M695" s="2" t="s">
        <v>202</v>
      </c>
      <c r="N695" s="2" t="s">
        <v>203</v>
      </c>
      <c r="O695" s="2" t="s">
        <v>100</v>
      </c>
      <c r="P695" s="2" t="str">
        <f>"2170587960                    "</f>
        <v xml:space="preserve">2170587960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4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1</v>
      </c>
      <c r="BJ695" s="2">
        <v>0.2</v>
      </c>
      <c r="BK695" s="2">
        <v>1</v>
      </c>
      <c r="BL695" s="2">
        <v>41.44</v>
      </c>
      <c r="BM695" s="2">
        <v>5.8</v>
      </c>
      <c r="BN695" s="2">
        <v>47.24</v>
      </c>
      <c r="BO695" s="2">
        <v>47.24</v>
      </c>
      <c r="BP695" s="2"/>
      <c r="BQ695" s="2" t="s">
        <v>83</v>
      </c>
      <c r="BR695" s="2" t="s">
        <v>84</v>
      </c>
      <c r="BS695" s="3">
        <v>42978</v>
      </c>
      <c r="BT695" s="4">
        <v>0.56597222222222221</v>
      </c>
      <c r="BU695" s="2" t="s">
        <v>1358</v>
      </c>
      <c r="BV695" s="2" t="s">
        <v>95</v>
      </c>
      <c r="BW695" s="2"/>
      <c r="BX695" s="2"/>
      <c r="BY695" s="2">
        <v>1200</v>
      </c>
      <c r="BZ695" s="2"/>
      <c r="CA695" s="2" t="s">
        <v>411</v>
      </c>
      <c r="CB695" s="2"/>
      <c r="CC695" s="2" t="s">
        <v>202</v>
      </c>
      <c r="CD695" s="2">
        <v>7130</v>
      </c>
      <c r="CE695" s="2" t="s">
        <v>104</v>
      </c>
      <c r="CF695" s="5">
        <v>42978</v>
      </c>
      <c r="CG695" s="2"/>
      <c r="CH695" s="2"/>
      <c r="CI695" s="2">
        <v>1</v>
      </c>
      <c r="CJ695" s="2">
        <v>1</v>
      </c>
      <c r="CK695" s="2">
        <v>21</v>
      </c>
      <c r="CL695" s="2" t="s">
        <v>86</v>
      </c>
      <c r="CM695" s="2"/>
    </row>
    <row r="696" spans="1:91">
      <c r="A696" s="2" t="s">
        <v>71</v>
      </c>
      <c r="B696" s="2" t="s">
        <v>72</v>
      </c>
      <c r="C696" s="2" t="s">
        <v>73</v>
      </c>
      <c r="D696" s="2"/>
      <c r="E696" s="2" t="str">
        <f>"FES1162572338"</f>
        <v>FES1162572338</v>
      </c>
      <c r="F696" s="3">
        <v>42977</v>
      </c>
      <c r="G696" s="2">
        <v>201802</v>
      </c>
      <c r="H696" s="2" t="s">
        <v>74</v>
      </c>
      <c r="I696" s="2" t="s">
        <v>75</v>
      </c>
      <c r="J696" s="2" t="s">
        <v>76</v>
      </c>
      <c r="K696" s="2" t="s">
        <v>77</v>
      </c>
      <c r="L696" s="2" t="s">
        <v>237</v>
      </c>
      <c r="M696" s="2" t="s">
        <v>238</v>
      </c>
      <c r="N696" s="2" t="s">
        <v>669</v>
      </c>
      <c r="O696" s="2" t="s">
        <v>100</v>
      </c>
      <c r="P696" s="2" t="str">
        <f>"2170587881                    "</f>
        <v xml:space="preserve">2170587881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6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2.6</v>
      </c>
      <c r="BJ696" s="2">
        <v>1.6</v>
      </c>
      <c r="BK696" s="2">
        <v>3</v>
      </c>
      <c r="BL696" s="2">
        <v>62.16</v>
      </c>
      <c r="BM696" s="2">
        <v>8.6999999999999993</v>
      </c>
      <c r="BN696" s="2">
        <v>70.86</v>
      </c>
      <c r="BO696" s="2">
        <v>70.86</v>
      </c>
      <c r="BP696" s="2"/>
      <c r="BQ696" s="2" t="s">
        <v>288</v>
      </c>
      <c r="BR696" s="2" t="s">
        <v>84</v>
      </c>
      <c r="BS696" s="3">
        <v>42978</v>
      </c>
      <c r="BT696" s="4">
        <v>0.37986111111111115</v>
      </c>
      <c r="BU696" s="2" t="s">
        <v>671</v>
      </c>
      <c r="BV696" s="2" t="s">
        <v>95</v>
      </c>
      <c r="BW696" s="2"/>
      <c r="BX696" s="2"/>
      <c r="BY696" s="2">
        <v>7931.35</v>
      </c>
      <c r="BZ696" s="2"/>
      <c r="CA696" s="2" t="s">
        <v>672</v>
      </c>
      <c r="CB696" s="2"/>
      <c r="CC696" s="2" t="s">
        <v>238</v>
      </c>
      <c r="CD696" s="2">
        <v>3610</v>
      </c>
      <c r="CE696" s="2" t="s">
        <v>89</v>
      </c>
      <c r="CF696" s="2"/>
      <c r="CG696" s="2"/>
      <c r="CH696" s="2"/>
      <c r="CI696" s="2">
        <v>1</v>
      </c>
      <c r="CJ696" s="2">
        <v>1</v>
      </c>
      <c r="CK696" s="2">
        <v>21</v>
      </c>
      <c r="CL696" s="2" t="s">
        <v>86</v>
      </c>
      <c r="CM696" s="2"/>
    </row>
    <row r="697" spans="1:91">
      <c r="A697" s="2" t="s">
        <v>71</v>
      </c>
      <c r="B697" s="2" t="s">
        <v>72</v>
      </c>
      <c r="C697" s="2" t="s">
        <v>73</v>
      </c>
      <c r="D697" s="2"/>
      <c r="E697" s="2" t="str">
        <f>"FES1162572382"</f>
        <v>FES1162572382</v>
      </c>
      <c r="F697" s="3">
        <v>42977</v>
      </c>
      <c r="G697" s="2">
        <v>201802</v>
      </c>
      <c r="H697" s="2" t="s">
        <v>74</v>
      </c>
      <c r="I697" s="2" t="s">
        <v>75</v>
      </c>
      <c r="J697" s="2" t="s">
        <v>76</v>
      </c>
      <c r="K697" s="2" t="s">
        <v>77</v>
      </c>
      <c r="L697" s="2" t="s">
        <v>128</v>
      </c>
      <c r="M697" s="2" t="s">
        <v>129</v>
      </c>
      <c r="N697" s="2" t="s">
        <v>1359</v>
      </c>
      <c r="O697" s="2" t="s">
        <v>100</v>
      </c>
      <c r="P697" s="2" t="str">
        <f>"2170587934                    "</f>
        <v xml:space="preserve">2170587934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3.13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7.4</v>
      </c>
      <c r="BJ697" s="2">
        <v>3.4</v>
      </c>
      <c r="BK697" s="2">
        <v>8</v>
      </c>
      <c r="BL697" s="2">
        <v>32.380000000000003</v>
      </c>
      <c r="BM697" s="2">
        <v>4.53</v>
      </c>
      <c r="BN697" s="2">
        <v>36.909999999999997</v>
      </c>
      <c r="BO697" s="2">
        <v>36.909999999999997</v>
      </c>
      <c r="BP697" s="2"/>
      <c r="BQ697" s="2" t="s">
        <v>108</v>
      </c>
      <c r="BR697" s="2" t="s">
        <v>84</v>
      </c>
      <c r="BS697" s="3">
        <v>42978</v>
      </c>
      <c r="BT697" s="4">
        <v>0.3298611111111111</v>
      </c>
      <c r="BU697" s="2" t="s">
        <v>1360</v>
      </c>
      <c r="BV697" s="2" t="s">
        <v>95</v>
      </c>
      <c r="BW697" s="2"/>
      <c r="BX697" s="2"/>
      <c r="BY697" s="2">
        <v>17023.5</v>
      </c>
      <c r="BZ697" s="2"/>
      <c r="CA697" s="2" t="s">
        <v>1333</v>
      </c>
      <c r="CB697" s="2"/>
      <c r="CC697" s="2" t="s">
        <v>129</v>
      </c>
      <c r="CD697" s="2">
        <v>1724</v>
      </c>
      <c r="CE697" s="2" t="s">
        <v>89</v>
      </c>
      <c r="CF697" s="5">
        <v>42978</v>
      </c>
      <c r="CG697" s="2"/>
      <c r="CH697" s="2"/>
      <c r="CI697" s="2">
        <v>1</v>
      </c>
      <c r="CJ697" s="2">
        <v>1</v>
      </c>
      <c r="CK697" s="2">
        <v>22</v>
      </c>
      <c r="CL697" s="2" t="s">
        <v>86</v>
      </c>
      <c r="CM697" s="2"/>
    </row>
    <row r="698" spans="1:91">
      <c r="A698" s="2" t="s">
        <v>71</v>
      </c>
      <c r="B698" s="2" t="s">
        <v>72</v>
      </c>
      <c r="C698" s="2" t="s">
        <v>73</v>
      </c>
      <c r="D698" s="2"/>
      <c r="E698" s="2" t="str">
        <f>"FES1162572397"</f>
        <v>FES1162572397</v>
      </c>
      <c r="F698" s="3">
        <v>42977</v>
      </c>
      <c r="G698" s="2">
        <v>201802</v>
      </c>
      <c r="H698" s="2" t="s">
        <v>74</v>
      </c>
      <c r="I698" s="2" t="s">
        <v>75</v>
      </c>
      <c r="J698" s="2" t="s">
        <v>76</v>
      </c>
      <c r="K698" s="2" t="s">
        <v>77</v>
      </c>
      <c r="L698" s="2" t="s">
        <v>221</v>
      </c>
      <c r="M698" s="2" t="s">
        <v>222</v>
      </c>
      <c r="N698" s="2" t="s">
        <v>1275</v>
      </c>
      <c r="O698" s="2" t="s">
        <v>100</v>
      </c>
      <c r="P698" s="2" t="str">
        <f>"2170587949                    "</f>
        <v xml:space="preserve">2170587949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6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2.8</v>
      </c>
      <c r="BJ698" s="2">
        <v>1.7</v>
      </c>
      <c r="BK698" s="2">
        <v>3</v>
      </c>
      <c r="BL698" s="2">
        <v>62.16</v>
      </c>
      <c r="BM698" s="2">
        <v>8.6999999999999993</v>
      </c>
      <c r="BN698" s="2">
        <v>70.86</v>
      </c>
      <c r="BO698" s="2">
        <v>70.86</v>
      </c>
      <c r="BP698" s="2"/>
      <c r="BQ698" s="2" t="s">
        <v>227</v>
      </c>
      <c r="BR698" s="2" t="s">
        <v>84</v>
      </c>
      <c r="BS698" s="3">
        <v>42978</v>
      </c>
      <c r="BT698" s="4">
        <v>0.37847222222222227</v>
      </c>
      <c r="BU698" s="2" t="s">
        <v>1276</v>
      </c>
      <c r="BV698" s="2" t="s">
        <v>95</v>
      </c>
      <c r="BW698" s="2"/>
      <c r="BX698" s="2"/>
      <c r="BY698" s="2">
        <v>8301.6200000000008</v>
      </c>
      <c r="BZ698" s="2"/>
      <c r="CA698" s="2"/>
      <c r="CB698" s="2"/>
      <c r="CC698" s="2" t="s">
        <v>222</v>
      </c>
      <c r="CD698" s="2">
        <v>4300</v>
      </c>
      <c r="CE698" s="2" t="s">
        <v>135</v>
      </c>
      <c r="CF698" s="2"/>
      <c r="CG698" s="2"/>
      <c r="CH698" s="2"/>
      <c r="CI698" s="2">
        <v>1</v>
      </c>
      <c r="CJ698" s="2">
        <v>1</v>
      </c>
      <c r="CK698" s="2">
        <v>21</v>
      </c>
      <c r="CL698" s="2" t="s">
        <v>86</v>
      </c>
      <c r="CM698" s="2"/>
    </row>
    <row r="699" spans="1:91">
      <c r="A699" s="2" t="s">
        <v>71</v>
      </c>
      <c r="B699" s="2" t="s">
        <v>72</v>
      </c>
      <c r="C699" s="2" t="s">
        <v>73</v>
      </c>
      <c r="D699" s="2"/>
      <c r="E699" s="2" t="str">
        <f>"FES1162572383"</f>
        <v>FES1162572383</v>
      </c>
      <c r="F699" s="3">
        <v>42977</v>
      </c>
      <c r="G699" s="2">
        <v>201802</v>
      </c>
      <c r="H699" s="2" t="s">
        <v>74</v>
      </c>
      <c r="I699" s="2" t="s">
        <v>75</v>
      </c>
      <c r="J699" s="2" t="s">
        <v>76</v>
      </c>
      <c r="K699" s="2" t="s">
        <v>77</v>
      </c>
      <c r="L699" s="2" t="s">
        <v>539</v>
      </c>
      <c r="M699" s="2" t="s">
        <v>540</v>
      </c>
      <c r="N699" s="2" t="s">
        <v>737</v>
      </c>
      <c r="O699" s="2" t="s">
        <v>100</v>
      </c>
      <c r="P699" s="2" t="str">
        <f>"2170587936                    "</f>
        <v xml:space="preserve">2170587936 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3.5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8.3000000000000007</v>
      </c>
      <c r="BJ699" s="2">
        <v>6.3</v>
      </c>
      <c r="BK699" s="2">
        <v>9</v>
      </c>
      <c r="BL699" s="2">
        <v>36.26</v>
      </c>
      <c r="BM699" s="2">
        <v>5.08</v>
      </c>
      <c r="BN699" s="2">
        <v>41.34</v>
      </c>
      <c r="BO699" s="2">
        <v>41.34</v>
      </c>
      <c r="BP699" s="2"/>
      <c r="BQ699" s="2" t="s">
        <v>738</v>
      </c>
      <c r="BR699" s="2" t="s">
        <v>84</v>
      </c>
      <c r="BS699" s="3">
        <v>42978</v>
      </c>
      <c r="BT699" s="4">
        <v>0.41666666666666669</v>
      </c>
      <c r="BU699" s="2" t="s">
        <v>1361</v>
      </c>
      <c r="BV699" s="2" t="s">
        <v>95</v>
      </c>
      <c r="BW699" s="2"/>
      <c r="BX699" s="2"/>
      <c r="BY699" s="2">
        <v>31749.759999999998</v>
      </c>
      <c r="BZ699" s="2"/>
      <c r="CA699" s="2"/>
      <c r="CB699" s="2"/>
      <c r="CC699" s="2" t="s">
        <v>540</v>
      </c>
      <c r="CD699" s="2">
        <v>2163</v>
      </c>
      <c r="CE699" s="2" t="s">
        <v>135</v>
      </c>
      <c r="CF699" s="2"/>
      <c r="CG699" s="2"/>
      <c r="CH699" s="2"/>
      <c r="CI699" s="2">
        <v>1</v>
      </c>
      <c r="CJ699" s="2">
        <v>1</v>
      </c>
      <c r="CK699" s="2">
        <v>22</v>
      </c>
      <c r="CL699" s="2" t="s">
        <v>86</v>
      </c>
      <c r="CM699" s="2"/>
    </row>
    <row r="700" spans="1:91">
      <c r="A700" s="2" t="s">
        <v>71</v>
      </c>
      <c r="B700" s="2" t="s">
        <v>72</v>
      </c>
      <c r="C700" s="2" t="s">
        <v>73</v>
      </c>
      <c r="D700" s="2"/>
      <c r="E700" s="2" t="str">
        <f>"FES1162572050"</f>
        <v>FES1162572050</v>
      </c>
      <c r="F700" s="3">
        <v>42977</v>
      </c>
      <c r="G700" s="2">
        <v>201802</v>
      </c>
      <c r="H700" s="2" t="s">
        <v>74</v>
      </c>
      <c r="I700" s="2" t="s">
        <v>75</v>
      </c>
      <c r="J700" s="2" t="s">
        <v>76</v>
      </c>
      <c r="K700" s="2" t="s">
        <v>77</v>
      </c>
      <c r="L700" s="2" t="s">
        <v>321</v>
      </c>
      <c r="M700" s="2" t="s">
        <v>322</v>
      </c>
      <c r="N700" s="2" t="s">
        <v>1362</v>
      </c>
      <c r="O700" s="2" t="s">
        <v>100</v>
      </c>
      <c r="P700" s="2" t="str">
        <f>"2170587667                    "</f>
        <v xml:space="preserve">2170587667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4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</v>
      </c>
      <c r="BJ700" s="2">
        <v>0.2</v>
      </c>
      <c r="BK700" s="2">
        <v>1</v>
      </c>
      <c r="BL700" s="2">
        <v>41.44</v>
      </c>
      <c r="BM700" s="2">
        <v>5.8</v>
      </c>
      <c r="BN700" s="2">
        <v>47.24</v>
      </c>
      <c r="BO700" s="2">
        <v>47.24</v>
      </c>
      <c r="BP700" s="2"/>
      <c r="BQ700" s="2" t="s">
        <v>108</v>
      </c>
      <c r="BR700" s="2" t="s">
        <v>84</v>
      </c>
      <c r="BS700" s="3">
        <v>42978</v>
      </c>
      <c r="BT700" s="4">
        <v>0.40972222222222227</v>
      </c>
      <c r="BU700" s="2" t="s">
        <v>1363</v>
      </c>
      <c r="BV700" s="2" t="s">
        <v>95</v>
      </c>
      <c r="BW700" s="2"/>
      <c r="BX700" s="2"/>
      <c r="BY700" s="2">
        <v>1200</v>
      </c>
      <c r="BZ700" s="2"/>
      <c r="CA700" s="2" t="s">
        <v>103</v>
      </c>
      <c r="CB700" s="2"/>
      <c r="CC700" s="2" t="s">
        <v>322</v>
      </c>
      <c r="CD700" s="2">
        <v>6220</v>
      </c>
      <c r="CE700" s="2" t="s">
        <v>104</v>
      </c>
      <c r="CF700" s="5">
        <v>42978</v>
      </c>
      <c r="CG700" s="2"/>
      <c r="CH700" s="2"/>
      <c r="CI700" s="2">
        <v>1</v>
      </c>
      <c r="CJ700" s="2">
        <v>1</v>
      </c>
      <c r="CK700" s="2">
        <v>21</v>
      </c>
      <c r="CL700" s="2" t="s">
        <v>86</v>
      </c>
      <c r="CM700" s="2"/>
    </row>
    <row r="701" spans="1:91">
      <c r="A701" s="2" t="s">
        <v>71</v>
      </c>
      <c r="B701" s="2" t="s">
        <v>72</v>
      </c>
      <c r="C701" s="2" t="s">
        <v>73</v>
      </c>
      <c r="D701" s="2"/>
      <c r="E701" s="2" t="str">
        <f>"FES1162572419"</f>
        <v>FES1162572419</v>
      </c>
      <c r="F701" s="3">
        <v>42977</v>
      </c>
      <c r="G701" s="2">
        <v>201802</v>
      </c>
      <c r="H701" s="2" t="s">
        <v>74</v>
      </c>
      <c r="I701" s="2" t="s">
        <v>75</v>
      </c>
      <c r="J701" s="2" t="s">
        <v>76</v>
      </c>
      <c r="K701" s="2" t="s">
        <v>77</v>
      </c>
      <c r="L701" s="2" t="s">
        <v>144</v>
      </c>
      <c r="M701" s="2" t="s">
        <v>145</v>
      </c>
      <c r="N701" s="2" t="s">
        <v>1364</v>
      </c>
      <c r="O701" s="2" t="s">
        <v>100</v>
      </c>
      <c r="P701" s="2" t="str">
        <f>"2170587970                    "</f>
        <v xml:space="preserve">2170587970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3.13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4.8</v>
      </c>
      <c r="BJ701" s="2">
        <v>6.8</v>
      </c>
      <c r="BK701" s="2">
        <v>7</v>
      </c>
      <c r="BL701" s="2">
        <v>32.380000000000003</v>
      </c>
      <c r="BM701" s="2">
        <v>4.53</v>
      </c>
      <c r="BN701" s="2">
        <v>36.909999999999997</v>
      </c>
      <c r="BO701" s="2">
        <v>36.909999999999997</v>
      </c>
      <c r="BP701" s="2"/>
      <c r="BQ701" s="2" t="s">
        <v>108</v>
      </c>
      <c r="BR701" s="2" t="s">
        <v>84</v>
      </c>
      <c r="BS701" s="3">
        <v>42978</v>
      </c>
      <c r="BT701" s="4">
        <v>0.3888888888888889</v>
      </c>
      <c r="BU701" s="2" t="s">
        <v>1365</v>
      </c>
      <c r="BV701" s="2" t="s">
        <v>95</v>
      </c>
      <c r="BW701" s="2"/>
      <c r="BX701" s="2"/>
      <c r="BY701" s="2">
        <v>33870.51</v>
      </c>
      <c r="BZ701" s="2"/>
      <c r="CA701" s="2" t="s">
        <v>1366</v>
      </c>
      <c r="CB701" s="2"/>
      <c r="CC701" s="2" t="s">
        <v>145</v>
      </c>
      <c r="CD701" s="2">
        <v>2092</v>
      </c>
      <c r="CE701" s="2" t="s">
        <v>135</v>
      </c>
      <c r="CF701" s="5">
        <v>42978</v>
      </c>
      <c r="CG701" s="2"/>
      <c r="CH701" s="2"/>
      <c r="CI701" s="2">
        <v>1</v>
      </c>
      <c r="CJ701" s="2">
        <v>1</v>
      </c>
      <c r="CK701" s="2">
        <v>22</v>
      </c>
      <c r="CL701" s="2" t="s">
        <v>86</v>
      </c>
      <c r="CM701" s="2"/>
    </row>
    <row r="702" spans="1:91">
      <c r="A702" s="2" t="s">
        <v>71</v>
      </c>
      <c r="B702" s="2" t="s">
        <v>72</v>
      </c>
      <c r="C702" s="2" t="s">
        <v>73</v>
      </c>
      <c r="D702" s="2"/>
      <c r="E702" s="2" t="str">
        <f>"FES1162572402"</f>
        <v>FES1162572402</v>
      </c>
      <c r="F702" s="3">
        <v>42977</v>
      </c>
      <c r="G702" s="2">
        <v>201802</v>
      </c>
      <c r="H702" s="2" t="s">
        <v>74</v>
      </c>
      <c r="I702" s="2" t="s">
        <v>75</v>
      </c>
      <c r="J702" s="2" t="s">
        <v>76</v>
      </c>
      <c r="K702" s="2" t="s">
        <v>77</v>
      </c>
      <c r="L702" s="2" t="s">
        <v>539</v>
      </c>
      <c r="M702" s="2" t="s">
        <v>540</v>
      </c>
      <c r="N702" s="2" t="s">
        <v>1367</v>
      </c>
      <c r="O702" s="2" t="s">
        <v>100</v>
      </c>
      <c r="P702" s="2" t="str">
        <f>"2170587953                    "</f>
        <v xml:space="preserve">2170587953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3.13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1</v>
      </c>
      <c r="BJ702" s="2">
        <v>0.2</v>
      </c>
      <c r="BK702" s="2">
        <v>1</v>
      </c>
      <c r="BL702" s="2">
        <v>32.380000000000003</v>
      </c>
      <c r="BM702" s="2">
        <v>4.53</v>
      </c>
      <c r="BN702" s="2">
        <v>36.909999999999997</v>
      </c>
      <c r="BO702" s="2">
        <v>36.909999999999997</v>
      </c>
      <c r="BP702" s="2"/>
      <c r="BQ702" s="2" t="s">
        <v>108</v>
      </c>
      <c r="BR702" s="2" t="s">
        <v>84</v>
      </c>
      <c r="BS702" s="3">
        <v>42978</v>
      </c>
      <c r="BT702" s="4">
        <v>0.33749999999999997</v>
      </c>
      <c r="BU702" s="2" t="s">
        <v>1360</v>
      </c>
      <c r="BV702" s="2" t="s">
        <v>95</v>
      </c>
      <c r="BW702" s="2"/>
      <c r="BX702" s="2"/>
      <c r="BY702" s="2">
        <v>1200</v>
      </c>
      <c r="BZ702" s="2"/>
      <c r="CA702" s="2" t="s">
        <v>1368</v>
      </c>
      <c r="CB702" s="2"/>
      <c r="CC702" s="2" t="s">
        <v>540</v>
      </c>
      <c r="CD702" s="2">
        <v>2194</v>
      </c>
      <c r="CE702" s="2" t="s">
        <v>104</v>
      </c>
      <c r="CF702" s="5">
        <v>42978</v>
      </c>
      <c r="CG702" s="2"/>
      <c r="CH702" s="2"/>
      <c r="CI702" s="2">
        <v>1</v>
      </c>
      <c r="CJ702" s="2">
        <v>1</v>
      </c>
      <c r="CK702" s="2">
        <v>22</v>
      </c>
      <c r="CL702" s="2" t="s">
        <v>86</v>
      </c>
      <c r="CM702" s="2"/>
    </row>
    <row r="703" spans="1:91">
      <c r="A703" s="2" t="s">
        <v>71</v>
      </c>
      <c r="B703" s="2" t="s">
        <v>72</v>
      </c>
      <c r="C703" s="2" t="s">
        <v>73</v>
      </c>
      <c r="D703" s="2"/>
      <c r="E703" s="2" t="str">
        <f>"FES1162572413"</f>
        <v>FES1162572413</v>
      </c>
      <c r="F703" s="3">
        <v>42977</v>
      </c>
      <c r="G703" s="2">
        <v>201802</v>
      </c>
      <c r="H703" s="2" t="s">
        <v>74</v>
      </c>
      <c r="I703" s="2" t="s">
        <v>75</v>
      </c>
      <c r="J703" s="2" t="s">
        <v>76</v>
      </c>
      <c r="K703" s="2" t="s">
        <v>77</v>
      </c>
      <c r="L703" s="2" t="s">
        <v>105</v>
      </c>
      <c r="M703" s="2" t="s">
        <v>106</v>
      </c>
      <c r="N703" s="2" t="s">
        <v>107</v>
      </c>
      <c r="O703" s="2" t="s">
        <v>100</v>
      </c>
      <c r="P703" s="2" t="str">
        <f>"2170587962                    "</f>
        <v xml:space="preserve">2170587962 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4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1</v>
      </c>
      <c r="BI703" s="2">
        <v>1</v>
      </c>
      <c r="BJ703" s="2">
        <v>0.2</v>
      </c>
      <c r="BK703" s="2">
        <v>1</v>
      </c>
      <c r="BL703" s="2">
        <v>41.44</v>
      </c>
      <c r="BM703" s="2">
        <v>5.8</v>
      </c>
      <c r="BN703" s="2">
        <v>47.24</v>
      </c>
      <c r="BO703" s="2">
        <v>47.24</v>
      </c>
      <c r="BP703" s="2"/>
      <c r="BQ703" s="2" t="s">
        <v>108</v>
      </c>
      <c r="BR703" s="2" t="s">
        <v>84</v>
      </c>
      <c r="BS703" s="3">
        <v>42978</v>
      </c>
      <c r="BT703" s="4">
        <v>0.38472222222222219</v>
      </c>
      <c r="BU703" s="2" t="s">
        <v>1207</v>
      </c>
      <c r="BV703" s="2" t="s">
        <v>95</v>
      </c>
      <c r="BW703" s="2"/>
      <c r="BX703" s="2"/>
      <c r="BY703" s="2">
        <v>1200</v>
      </c>
      <c r="BZ703" s="2"/>
      <c r="CA703" s="2" t="s">
        <v>112</v>
      </c>
      <c r="CB703" s="2"/>
      <c r="CC703" s="2" t="s">
        <v>106</v>
      </c>
      <c r="CD703" s="2">
        <v>7405</v>
      </c>
      <c r="CE703" s="2" t="s">
        <v>104</v>
      </c>
      <c r="CF703" s="5">
        <v>42978</v>
      </c>
      <c r="CG703" s="2"/>
      <c r="CH703" s="2"/>
      <c r="CI703" s="2">
        <v>1</v>
      </c>
      <c r="CJ703" s="2">
        <v>1</v>
      </c>
      <c r="CK703" s="2">
        <v>21</v>
      </c>
      <c r="CL703" s="2" t="s">
        <v>86</v>
      </c>
      <c r="CM703" s="2"/>
    </row>
    <row r="704" spans="1:91">
      <c r="A704" s="2" t="s">
        <v>71</v>
      </c>
      <c r="B704" s="2" t="s">
        <v>72</v>
      </c>
      <c r="C704" s="2" t="s">
        <v>73</v>
      </c>
      <c r="D704" s="2"/>
      <c r="E704" s="2" t="str">
        <f>"FES1162572421"</f>
        <v>FES1162572421</v>
      </c>
      <c r="F704" s="3">
        <v>42977</v>
      </c>
      <c r="G704" s="2">
        <v>201802</v>
      </c>
      <c r="H704" s="2" t="s">
        <v>74</v>
      </c>
      <c r="I704" s="2" t="s">
        <v>75</v>
      </c>
      <c r="J704" s="2" t="s">
        <v>76</v>
      </c>
      <c r="K704" s="2" t="s">
        <v>77</v>
      </c>
      <c r="L704" s="2" t="s">
        <v>105</v>
      </c>
      <c r="M704" s="2" t="s">
        <v>106</v>
      </c>
      <c r="N704" s="2" t="s">
        <v>644</v>
      </c>
      <c r="O704" s="2" t="s">
        <v>100</v>
      </c>
      <c r="P704" s="2" t="str">
        <f>"2170587972                    "</f>
        <v xml:space="preserve">2170587972 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4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1</v>
      </c>
      <c r="BJ704" s="2">
        <v>0.2</v>
      </c>
      <c r="BK704" s="2">
        <v>1</v>
      </c>
      <c r="BL704" s="2">
        <v>41.44</v>
      </c>
      <c r="BM704" s="2">
        <v>5.8</v>
      </c>
      <c r="BN704" s="2">
        <v>47.24</v>
      </c>
      <c r="BO704" s="2">
        <v>47.24</v>
      </c>
      <c r="BP704" s="2"/>
      <c r="BQ704" s="2" t="s">
        <v>108</v>
      </c>
      <c r="BR704" s="2" t="s">
        <v>84</v>
      </c>
      <c r="BS704" s="3">
        <v>42978</v>
      </c>
      <c r="BT704" s="4">
        <v>0.4055555555555555</v>
      </c>
      <c r="BU704" s="2" t="s">
        <v>1369</v>
      </c>
      <c r="BV704" s="2" t="s">
        <v>95</v>
      </c>
      <c r="BW704" s="2"/>
      <c r="BX704" s="2"/>
      <c r="BY704" s="2">
        <v>1200</v>
      </c>
      <c r="BZ704" s="2"/>
      <c r="CA704" s="2" t="s">
        <v>112</v>
      </c>
      <c r="CB704" s="2"/>
      <c r="CC704" s="2" t="s">
        <v>106</v>
      </c>
      <c r="CD704" s="2">
        <v>7441</v>
      </c>
      <c r="CE704" s="2" t="s">
        <v>104</v>
      </c>
      <c r="CF704" s="5">
        <v>42978</v>
      </c>
      <c r="CG704" s="2"/>
      <c r="CH704" s="2"/>
      <c r="CI704" s="2">
        <v>1</v>
      </c>
      <c r="CJ704" s="2">
        <v>1</v>
      </c>
      <c r="CK704" s="2">
        <v>21</v>
      </c>
      <c r="CL704" s="2" t="s">
        <v>86</v>
      </c>
      <c r="CM704" s="2"/>
    </row>
    <row r="705" spans="1:91">
      <c r="A705" s="2" t="s">
        <v>71</v>
      </c>
      <c r="B705" s="2" t="s">
        <v>72</v>
      </c>
      <c r="C705" s="2" t="s">
        <v>73</v>
      </c>
      <c r="D705" s="2"/>
      <c r="E705" s="2" t="str">
        <f>"FES1162572429"</f>
        <v>FES1162572429</v>
      </c>
      <c r="F705" s="3">
        <v>42977</v>
      </c>
      <c r="G705" s="2">
        <v>201802</v>
      </c>
      <c r="H705" s="2" t="s">
        <v>74</v>
      </c>
      <c r="I705" s="2" t="s">
        <v>75</v>
      </c>
      <c r="J705" s="2" t="s">
        <v>76</v>
      </c>
      <c r="K705" s="2" t="s">
        <v>77</v>
      </c>
      <c r="L705" s="2" t="s">
        <v>362</v>
      </c>
      <c r="M705" s="2" t="s">
        <v>363</v>
      </c>
      <c r="N705" s="2" t="s">
        <v>1020</v>
      </c>
      <c r="O705" s="2" t="s">
        <v>100</v>
      </c>
      <c r="P705" s="2" t="str">
        <f>"2170587983                    "</f>
        <v xml:space="preserve">2170587983 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4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1.4</v>
      </c>
      <c r="BJ705" s="2">
        <v>1.1000000000000001</v>
      </c>
      <c r="BK705" s="2">
        <v>1.5</v>
      </c>
      <c r="BL705" s="2">
        <v>41.44</v>
      </c>
      <c r="BM705" s="2">
        <v>5.8</v>
      </c>
      <c r="BN705" s="2">
        <v>47.24</v>
      </c>
      <c r="BO705" s="2">
        <v>47.24</v>
      </c>
      <c r="BP705" s="2"/>
      <c r="BQ705" s="2" t="s">
        <v>108</v>
      </c>
      <c r="BR705" s="2" t="s">
        <v>84</v>
      </c>
      <c r="BS705" s="3">
        <v>42978</v>
      </c>
      <c r="BT705" s="4">
        <v>0.43194444444444446</v>
      </c>
      <c r="BU705" s="2" t="s">
        <v>1021</v>
      </c>
      <c r="BV705" s="2" t="s">
        <v>95</v>
      </c>
      <c r="BW705" s="2"/>
      <c r="BX705" s="2"/>
      <c r="BY705" s="2">
        <v>5597.76</v>
      </c>
      <c r="BZ705" s="2"/>
      <c r="CA705" s="2" t="s">
        <v>367</v>
      </c>
      <c r="CB705" s="2"/>
      <c r="CC705" s="2" t="s">
        <v>363</v>
      </c>
      <c r="CD705" s="2">
        <v>3200</v>
      </c>
      <c r="CE705" s="2" t="s">
        <v>135</v>
      </c>
      <c r="CF705" s="5">
        <v>42978</v>
      </c>
      <c r="CG705" s="2"/>
      <c r="CH705" s="2"/>
      <c r="CI705" s="2">
        <v>1</v>
      </c>
      <c r="CJ705" s="2">
        <v>1</v>
      </c>
      <c r="CK705" s="2">
        <v>21</v>
      </c>
      <c r="CL705" s="2" t="s">
        <v>86</v>
      </c>
      <c r="CM705" s="2"/>
    </row>
    <row r="706" spans="1:91">
      <c r="A706" s="2" t="s">
        <v>71</v>
      </c>
      <c r="B706" s="2" t="s">
        <v>72</v>
      </c>
      <c r="C706" s="2" t="s">
        <v>73</v>
      </c>
      <c r="D706" s="2"/>
      <c r="E706" s="2" t="str">
        <f>"FES1162572435"</f>
        <v>FES1162572435</v>
      </c>
      <c r="F706" s="3">
        <v>42977</v>
      </c>
      <c r="G706" s="2">
        <v>201802</v>
      </c>
      <c r="H706" s="2" t="s">
        <v>74</v>
      </c>
      <c r="I706" s="2" t="s">
        <v>75</v>
      </c>
      <c r="J706" s="2" t="s">
        <v>76</v>
      </c>
      <c r="K706" s="2" t="s">
        <v>77</v>
      </c>
      <c r="L706" s="2" t="s">
        <v>97</v>
      </c>
      <c r="M706" s="2" t="s">
        <v>98</v>
      </c>
      <c r="N706" s="2" t="s">
        <v>119</v>
      </c>
      <c r="O706" s="2" t="s">
        <v>100</v>
      </c>
      <c r="P706" s="2" t="str">
        <f>"2170587985                    "</f>
        <v xml:space="preserve">2170587985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4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1</v>
      </c>
      <c r="BJ706" s="2">
        <v>0.2</v>
      </c>
      <c r="BK706" s="2">
        <v>1</v>
      </c>
      <c r="BL706" s="2">
        <v>41.44</v>
      </c>
      <c r="BM706" s="2">
        <v>5.8</v>
      </c>
      <c r="BN706" s="2">
        <v>47.24</v>
      </c>
      <c r="BO706" s="2">
        <v>47.24</v>
      </c>
      <c r="BP706" s="2"/>
      <c r="BQ706" s="2" t="s">
        <v>108</v>
      </c>
      <c r="BR706" s="2" t="s">
        <v>84</v>
      </c>
      <c r="BS706" s="3">
        <v>42978</v>
      </c>
      <c r="BT706" s="4">
        <v>0.34097222222222223</v>
      </c>
      <c r="BU706" s="2" t="s">
        <v>1209</v>
      </c>
      <c r="BV706" s="2" t="s">
        <v>95</v>
      </c>
      <c r="BW706" s="2"/>
      <c r="BX706" s="2"/>
      <c r="BY706" s="2">
        <v>1200</v>
      </c>
      <c r="BZ706" s="2"/>
      <c r="CA706" s="2" t="s">
        <v>213</v>
      </c>
      <c r="CB706" s="2"/>
      <c r="CC706" s="2" t="s">
        <v>98</v>
      </c>
      <c r="CD706" s="2">
        <v>6001</v>
      </c>
      <c r="CE706" s="2" t="s">
        <v>104</v>
      </c>
      <c r="CF706" s="5">
        <v>42978</v>
      </c>
      <c r="CG706" s="2"/>
      <c r="CH706" s="2"/>
      <c r="CI706" s="2">
        <v>1</v>
      </c>
      <c r="CJ706" s="2">
        <v>1</v>
      </c>
      <c r="CK706" s="2">
        <v>21</v>
      </c>
      <c r="CL706" s="2" t="s">
        <v>86</v>
      </c>
      <c r="CM706" s="2"/>
    </row>
    <row r="707" spans="1:91">
      <c r="A707" s="2" t="s">
        <v>71</v>
      </c>
      <c r="B707" s="2" t="s">
        <v>72</v>
      </c>
      <c r="C707" s="2" t="s">
        <v>73</v>
      </c>
      <c r="D707" s="2"/>
      <c r="E707" s="2" t="str">
        <f>"FES1162572432"</f>
        <v>FES1162572432</v>
      </c>
      <c r="F707" s="3">
        <v>42977</v>
      </c>
      <c r="G707" s="2">
        <v>201802</v>
      </c>
      <c r="H707" s="2" t="s">
        <v>74</v>
      </c>
      <c r="I707" s="2" t="s">
        <v>75</v>
      </c>
      <c r="J707" s="2" t="s">
        <v>76</v>
      </c>
      <c r="K707" s="2" t="s">
        <v>77</v>
      </c>
      <c r="L707" s="2" t="s">
        <v>74</v>
      </c>
      <c r="M707" s="2" t="s">
        <v>75</v>
      </c>
      <c r="N707" s="2" t="s">
        <v>1370</v>
      </c>
      <c r="O707" s="2" t="s">
        <v>100</v>
      </c>
      <c r="P707" s="2" t="str">
        <f>"2170587293                    "</f>
        <v xml:space="preserve">2170587293           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3.13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1</v>
      </c>
      <c r="BJ707" s="2">
        <v>0.2</v>
      </c>
      <c r="BK707" s="2">
        <v>1</v>
      </c>
      <c r="BL707" s="2">
        <v>32.380000000000003</v>
      </c>
      <c r="BM707" s="2">
        <v>4.53</v>
      </c>
      <c r="BN707" s="2">
        <v>36.909999999999997</v>
      </c>
      <c r="BO707" s="2">
        <v>36.909999999999997</v>
      </c>
      <c r="BP707" s="2"/>
      <c r="BQ707" s="2" t="s">
        <v>108</v>
      </c>
      <c r="BR707" s="2" t="s">
        <v>84</v>
      </c>
      <c r="BS707" s="3">
        <v>42978</v>
      </c>
      <c r="BT707" s="4">
        <v>0.4375</v>
      </c>
      <c r="BU707" s="2" t="s">
        <v>1371</v>
      </c>
      <c r="BV707" s="2" t="s">
        <v>95</v>
      </c>
      <c r="BW707" s="2"/>
      <c r="BX707" s="2"/>
      <c r="BY707" s="2">
        <v>1200</v>
      </c>
      <c r="BZ707" s="2"/>
      <c r="CA707" s="2" t="s">
        <v>588</v>
      </c>
      <c r="CB707" s="2"/>
      <c r="CC707" s="2" t="s">
        <v>75</v>
      </c>
      <c r="CD707" s="2">
        <v>1609</v>
      </c>
      <c r="CE707" s="2" t="s">
        <v>104</v>
      </c>
      <c r="CF707" s="2"/>
      <c r="CG707" s="2"/>
      <c r="CH707" s="2"/>
      <c r="CI707" s="2">
        <v>1</v>
      </c>
      <c r="CJ707" s="2">
        <v>1</v>
      </c>
      <c r="CK707" s="2">
        <v>22</v>
      </c>
      <c r="CL707" s="2" t="s">
        <v>86</v>
      </c>
      <c r="CM707" s="2"/>
    </row>
    <row r="708" spans="1:91">
      <c r="A708" s="2" t="s">
        <v>71</v>
      </c>
      <c r="B708" s="2" t="s">
        <v>72</v>
      </c>
      <c r="C708" s="2" t="s">
        <v>73</v>
      </c>
      <c r="D708" s="2"/>
      <c r="E708" s="2" t="str">
        <f>"FES1162572422"</f>
        <v>FES1162572422</v>
      </c>
      <c r="F708" s="3">
        <v>42977</v>
      </c>
      <c r="G708" s="2">
        <v>201802</v>
      </c>
      <c r="H708" s="2" t="s">
        <v>74</v>
      </c>
      <c r="I708" s="2" t="s">
        <v>75</v>
      </c>
      <c r="J708" s="2" t="s">
        <v>76</v>
      </c>
      <c r="K708" s="2" t="s">
        <v>77</v>
      </c>
      <c r="L708" s="2" t="s">
        <v>174</v>
      </c>
      <c r="M708" s="2" t="s">
        <v>175</v>
      </c>
      <c r="N708" s="2" t="s">
        <v>930</v>
      </c>
      <c r="O708" s="2" t="s">
        <v>100</v>
      </c>
      <c r="P708" s="2" t="str">
        <f>"2170587976                    "</f>
        <v xml:space="preserve">2170587976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4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0.6</v>
      </c>
      <c r="BJ708" s="2">
        <v>0.9</v>
      </c>
      <c r="BK708" s="2">
        <v>1</v>
      </c>
      <c r="BL708" s="2">
        <v>41.44</v>
      </c>
      <c r="BM708" s="2">
        <v>5.8</v>
      </c>
      <c r="BN708" s="2">
        <v>47.24</v>
      </c>
      <c r="BO708" s="2">
        <v>47.24</v>
      </c>
      <c r="BP708" s="2"/>
      <c r="BQ708" s="2" t="s">
        <v>83</v>
      </c>
      <c r="BR708" s="2" t="s">
        <v>84</v>
      </c>
      <c r="BS708" s="3">
        <v>42978</v>
      </c>
      <c r="BT708" s="4">
        <v>0.4381944444444445</v>
      </c>
      <c r="BU708" s="2" t="s">
        <v>1372</v>
      </c>
      <c r="BV708" s="2" t="s">
        <v>95</v>
      </c>
      <c r="BW708" s="2"/>
      <c r="BX708" s="2"/>
      <c r="BY708" s="2">
        <v>4277.38</v>
      </c>
      <c r="BZ708" s="2"/>
      <c r="CA708" s="2" t="s">
        <v>1373</v>
      </c>
      <c r="CB708" s="2"/>
      <c r="CC708" s="2" t="s">
        <v>175</v>
      </c>
      <c r="CD708" s="2">
        <v>5201</v>
      </c>
      <c r="CE708" s="2" t="s">
        <v>135</v>
      </c>
      <c r="CF708" s="5">
        <v>42978</v>
      </c>
      <c r="CG708" s="2"/>
      <c r="CH708" s="2"/>
      <c r="CI708" s="2">
        <v>1</v>
      </c>
      <c r="CJ708" s="2">
        <v>1</v>
      </c>
      <c r="CK708" s="2">
        <v>21</v>
      </c>
      <c r="CL708" s="2" t="s">
        <v>86</v>
      </c>
      <c r="CM708" s="2"/>
    </row>
    <row r="709" spans="1:91">
      <c r="A709" s="2" t="s">
        <v>71</v>
      </c>
      <c r="B709" s="2" t="s">
        <v>72</v>
      </c>
      <c r="C709" s="2" t="s">
        <v>73</v>
      </c>
      <c r="D709" s="2"/>
      <c r="E709" s="2" t="str">
        <f>"FES1162572404"</f>
        <v>FES1162572404</v>
      </c>
      <c r="F709" s="3">
        <v>42977</v>
      </c>
      <c r="G709" s="2">
        <v>201802</v>
      </c>
      <c r="H709" s="2" t="s">
        <v>74</v>
      </c>
      <c r="I709" s="2" t="s">
        <v>75</v>
      </c>
      <c r="J709" s="2" t="s">
        <v>76</v>
      </c>
      <c r="K709" s="2" t="s">
        <v>77</v>
      </c>
      <c r="L709" s="2" t="s">
        <v>170</v>
      </c>
      <c r="M709" s="2" t="s">
        <v>171</v>
      </c>
      <c r="N709" s="2" t="s">
        <v>730</v>
      </c>
      <c r="O709" s="2" t="s">
        <v>100</v>
      </c>
      <c r="P709" s="2" t="str">
        <f>"2170587956                    "</f>
        <v xml:space="preserve">2170587956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3.13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2.8</v>
      </c>
      <c r="BJ709" s="2">
        <v>3.3</v>
      </c>
      <c r="BK709" s="2">
        <v>4</v>
      </c>
      <c r="BL709" s="2">
        <v>32.380000000000003</v>
      </c>
      <c r="BM709" s="2">
        <v>4.53</v>
      </c>
      <c r="BN709" s="2">
        <v>36.909999999999997</v>
      </c>
      <c r="BO709" s="2">
        <v>36.909999999999997</v>
      </c>
      <c r="BP709" s="2"/>
      <c r="BQ709" s="2" t="s">
        <v>108</v>
      </c>
      <c r="BR709" s="2" t="s">
        <v>84</v>
      </c>
      <c r="BS709" s="3">
        <v>42978</v>
      </c>
      <c r="BT709" s="4">
        <v>0.42638888888888887</v>
      </c>
      <c r="BU709" s="2" t="s">
        <v>1176</v>
      </c>
      <c r="BV709" s="2" t="s">
        <v>95</v>
      </c>
      <c r="BW709" s="2"/>
      <c r="BX709" s="2"/>
      <c r="BY709" s="2">
        <v>16549.43</v>
      </c>
      <c r="BZ709" s="2"/>
      <c r="CA709" s="2" t="s">
        <v>1217</v>
      </c>
      <c r="CB709" s="2"/>
      <c r="CC709" s="2" t="s">
        <v>171</v>
      </c>
      <c r="CD709" s="2">
        <v>1428</v>
      </c>
      <c r="CE709" s="2" t="s">
        <v>89</v>
      </c>
      <c r="CF709" s="2"/>
      <c r="CG709" s="2"/>
      <c r="CH709" s="2"/>
      <c r="CI709" s="2">
        <v>1</v>
      </c>
      <c r="CJ709" s="2">
        <v>1</v>
      </c>
      <c r="CK709" s="2">
        <v>22</v>
      </c>
      <c r="CL709" s="2" t="s">
        <v>86</v>
      </c>
      <c r="CM709" s="2"/>
    </row>
    <row r="710" spans="1:91">
      <c r="A710" s="2" t="s">
        <v>71</v>
      </c>
      <c r="B710" s="2" t="s">
        <v>72</v>
      </c>
      <c r="C710" s="2" t="s">
        <v>73</v>
      </c>
      <c r="D710" s="2"/>
      <c r="E710" s="2" t="str">
        <f>"FES1162572437"</f>
        <v>FES1162572437</v>
      </c>
      <c r="F710" s="3">
        <v>42977</v>
      </c>
      <c r="G710" s="2">
        <v>201802</v>
      </c>
      <c r="H710" s="2" t="s">
        <v>74</v>
      </c>
      <c r="I710" s="2" t="s">
        <v>75</v>
      </c>
      <c r="J710" s="2" t="s">
        <v>76</v>
      </c>
      <c r="K710" s="2" t="s">
        <v>77</v>
      </c>
      <c r="L710" s="2" t="s">
        <v>237</v>
      </c>
      <c r="M710" s="2" t="s">
        <v>238</v>
      </c>
      <c r="N710" s="2" t="s">
        <v>1374</v>
      </c>
      <c r="O710" s="2" t="s">
        <v>100</v>
      </c>
      <c r="P710" s="2" t="str">
        <f>"2170587988                    "</f>
        <v xml:space="preserve">2170587988 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4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1</v>
      </c>
      <c r="BJ710" s="2">
        <v>0.2</v>
      </c>
      <c r="BK710" s="2">
        <v>1</v>
      </c>
      <c r="BL710" s="2">
        <v>41.44</v>
      </c>
      <c r="BM710" s="2">
        <v>5.8</v>
      </c>
      <c r="BN710" s="2">
        <v>47.24</v>
      </c>
      <c r="BO710" s="2">
        <v>47.24</v>
      </c>
      <c r="BP710" s="2"/>
      <c r="BQ710" s="2" t="s">
        <v>83</v>
      </c>
      <c r="BR710" s="2" t="s">
        <v>84</v>
      </c>
      <c r="BS710" s="3">
        <v>42978</v>
      </c>
      <c r="BT710" s="4">
        <v>0.37152777777777773</v>
      </c>
      <c r="BU710" s="2" t="s">
        <v>1375</v>
      </c>
      <c r="BV710" s="2" t="s">
        <v>95</v>
      </c>
      <c r="BW710" s="2"/>
      <c r="BX710" s="2"/>
      <c r="BY710" s="2">
        <v>1200</v>
      </c>
      <c r="BZ710" s="2"/>
      <c r="CA710" s="2" t="s">
        <v>389</v>
      </c>
      <c r="CB710" s="2"/>
      <c r="CC710" s="2" t="s">
        <v>238</v>
      </c>
      <c r="CD710" s="2">
        <v>3610</v>
      </c>
      <c r="CE710" s="2" t="s">
        <v>104</v>
      </c>
      <c r="CF710" s="2"/>
      <c r="CG710" s="2"/>
      <c r="CH710" s="2"/>
      <c r="CI710" s="2">
        <v>1</v>
      </c>
      <c r="CJ710" s="2">
        <v>1</v>
      </c>
      <c r="CK710" s="2">
        <v>21</v>
      </c>
      <c r="CL710" s="2" t="s">
        <v>86</v>
      </c>
      <c r="CM710" s="2"/>
    </row>
    <row r="711" spans="1:91">
      <c r="A711" s="2" t="s">
        <v>71</v>
      </c>
      <c r="B711" s="2" t="s">
        <v>72</v>
      </c>
      <c r="C711" s="2" t="s">
        <v>73</v>
      </c>
      <c r="D711" s="2"/>
      <c r="E711" s="2" t="str">
        <f>"FES1162572418"</f>
        <v>FES1162572418</v>
      </c>
      <c r="F711" s="3">
        <v>42977</v>
      </c>
      <c r="G711" s="2">
        <v>201802</v>
      </c>
      <c r="H711" s="2" t="s">
        <v>74</v>
      </c>
      <c r="I711" s="2" t="s">
        <v>75</v>
      </c>
      <c r="J711" s="2" t="s">
        <v>76</v>
      </c>
      <c r="K711" s="2" t="s">
        <v>77</v>
      </c>
      <c r="L711" s="2" t="s">
        <v>268</v>
      </c>
      <c r="M711" s="2" t="s">
        <v>269</v>
      </c>
      <c r="N711" s="2" t="s">
        <v>1376</v>
      </c>
      <c r="O711" s="2" t="s">
        <v>100</v>
      </c>
      <c r="P711" s="2" t="str">
        <f>"2170587965                    "</f>
        <v xml:space="preserve">2170587965 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4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2</v>
      </c>
      <c r="BJ711" s="2">
        <v>1.6</v>
      </c>
      <c r="BK711" s="2">
        <v>2</v>
      </c>
      <c r="BL711" s="2">
        <v>41.44</v>
      </c>
      <c r="BM711" s="2">
        <v>5.8</v>
      </c>
      <c r="BN711" s="2">
        <v>47.24</v>
      </c>
      <c r="BO711" s="2">
        <v>47.24</v>
      </c>
      <c r="BP711" s="2"/>
      <c r="BQ711" s="2" t="s">
        <v>1377</v>
      </c>
      <c r="BR711" s="2" t="s">
        <v>84</v>
      </c>
      <c r="BS711" s="3">
        <v>42978</v>
      </c>
      <c r="BT711" s="4">
        <v>0.5</v>
      </c>
      <c r="BU711" s="2" t="s">
        <v>1378</v>
      </c>
      <c r="BV711" s="2" t="s">
        <v>95</v>
      </c>
      <c r="BW711" s="2"/>
      <c r="BX711" s="2"/>
      <c r="BY711" s="2">
        <v>7956</v>
      </c>
      <c r="BZ711" s="2"/>
      <c r="CA711" s="2"/>
      <c r="CB711" s="2"/>
      <c r="CC711" s="2" t="s">
        <v>269</v>
      </c>
      <c r="CD711" s="2">
        <v>183</v>
      </c>
      <c r="CE711" s="2" t="s">
        <v>948</v>
      </c>
      <c r="CF711" s="2"/>
      <c r="CG711" s="2"/>
      <c r="CH711" s="2"/>
      <c r="CI711" s="2">
        <v>1</v>
      </c>
      <c r="CJ711" s="2">
        <v>1</v>
      </c>
      <c r="CK711" s="2">
        <v>21</v>
      </c>
      <c r="CL711" s="2" t="s">
        <v>86</v>
      </c>
      <c r="CM711" s="2"/>
    </row>
    <row r="712" spans="1:91">
      <c r="A712" s="2" t="s">
        <v>71</v>
      </c>
      <c r="B712" s="2" t="s">
        <v>72</v>
      </c>
      <c r="C712" s="2" t="s">
        <v>73</v>
      </c>
      <c r="D712" s="2"/>
      <c r="E712" s="2" t="str">
        <f>"FES1162572426"</f>
        <v>FES1162572426</v>
      </c>
      <c r="F712" s="3">
        <v>42977</v>
      </c>
      <c r="G712" s="2">
        <v>201802</v>
      </c>
      <c r="H712" s="2" t="s">
        <v>74</v>
      </c>
      <c r="I712" s="2" t="s">
        <v>75</v>
      </c>
      <c r="J712" s="2" t="s">
        <v>76</v>
      </c>
      <c r="K712" s="2" t="s">
        <v>77</v>
      </c>
      <c r="L712" s="2" t="s">
        <v>149</v>
      </c>
      <c r="M712" s="2" t="s">
        <v>150</v>
      </c>
      <c r="N712" s="2" t="s">
        <v>463</v>
      </c>
      <c r="O712" s="2" t="s">
        <v>100</v>
      </c>
      <c r="P712" s="2" t="str">
        <f>"2170585542                    "</f>
        <v xml:space="preserve">2170585542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4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1</v>
      </c>
      <c r="BJ712" s="2">
        <v>0.2</v>
      </c>
      <c r="BK712" s="2">
        <v>1</v>
      </c>
      <c r="BL712" s="2">
        <v>41.44</v>
      </c>
      <c r="BM712" s="2">
        <v>5.8</v>
      </c>
      <c r="BN712" s="2">
        <v>47.24</v>
      </c>
      <c r="BO712" s="2">
        <v>47.24</v>
      </c>
      <c r="BP712" s="2"/>
      <c r="BQ712" s="2" t="s">
        <v>288</v>
      </c>
      <c r="BR712" s="2" t="s">
        <v>84</v>
      </c>
      <c r="BS712" s="3">
        <v>42978</v>
      </c>
      <c r="BT712" s="4">
        <v>0.4375</v>
      </c>
      <c r="BU712" s="2" t="s">
        <v>1338</v>
      </c>
      <c r="BV712" s="2" t="s">
        <v>95</v>
      </c>
      <c r="BW712" s="2"/>
      <c r="BX712" s="2"/>
      <c r="BY712" s="2">
        <v>1200</v>
      </c>
      <c r="BZ712" s="2"/>
      <c r="CA712" s="2" t="s">
        <v>347</v>
      </c>
      <c r="CB712" s="2"/>
      <c r="CC712" s="2" t="s">
        <v>150</v>
      </c>
      <c r="CD712" s="2">
        <v>4001</v>
      </c>
      <c r="CE712" s="2" t="s">
        <v>104</v>
      </c>
      <c r="CF712" s="2"/>
      <c r="CG712" s="2"/>
      <c r="CH712" s="2"/>
      <c r="CI712" s="2">
        <v>1</v>
      </c>
      <c r="CJ712" s="2">
        <v>1</v>
      </c>
      <c r="CK712" s="2">
        <v>21</v>
      </c>
      <c r="CL712" s="2" t="s">
        <v>86</v>
      </c>
      <c r="CM712" s="2"/>
    </row>
    <row r="713" spans="1:91">
      <c r="A713" s="2" t="s">
        <v>71</v>
      </c>
      <c r="B713" s="2" t="s">
        <v>72</v>
      </c>
      <c r="C713" s="2" t="s">
        <v>73</v>
      </c>
      <c r="D713" s="2"/>
      <c r="E713" s="2" t="str">
        <f>"FES1162572446"</f>
        <v>FES1162572446</v>
      </c>
      <c r="F713" s="3">
        <v>42977</v>
      </c>
      <c r="G713" s="2">
        <v>201802</v>
      </c>
      <c r="H713" s="2" t="s">
        <v>74</v>
      </c>
      <c r="I713" s="2" t="s">
        <v>75</v>
      </c>
      <c r="J713" s="2" t="s">
        <v>76</v>
      </c>
      <c r="K713" s="2" t="s">
        <v>77</v>
      </c>
      <c r="L713" s="2" t="s">
        <v>715</v>
      </c>
      <c r="M713" s="2" t="s">
        <v>716</v>
      </c>
      <c r="N713" s="2" t="s">
        <v>717</v>
      </c>
      <c r="O713" s="2" t="s">
        <v>100</v>
      </c>
      <c r="P713" s="2" t="str">
        <f>"2170587998                    "</f>
        <v xml:space="preserve">2170587998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4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1</v>
      </c>
      <c r="BJ713" s="2">
        <v>0.2</v>
      </c>
      <c r="BK713" s="2">
        <v>1</v>
      </c>
      <c r="BL713" s="2">
        <v>41.44</v>
      </c>
      <c r="BM713" s="2">
        <v>5.8</v>
      </c>
      <c r="BN713" s="2">
        <v>47.24</v>
      </c>
      <c r="BO713" s="2">
        <v>47.24</v>
      </c>
      <c r="BP713" s="2"/>
      <c r="BQ713" s="2" t="s">
        <v>108</v>
      </c>
      <c r="BR713" s="2" t="s">
        <v>84</v>
      </c>
      <c r="BS713" s="3">
        <v>42978</v>
      </c>
      <c r="BT713" s="4">
        <v>0.40972222222222227</v>
      </c>
      <c r="BU713" s="2" t="s">
        <v>1379</v>
      </c>
      <c r="BV713" s="2" t="s">
        <v>95</v>
      </c>
      <c r="BW713" s="2"/>
      <c r="BX713" s="2"/>
      <c r="BY713" s="2">
        <v>1200</v>
      </c>
      <c r="BZ713" s="2"/>
      <c r="CA713" s="2" t="s">
        <v>1380</v>
      </c>
      <c r="CB713" s="2"/>
      <c r="CC713" s="2" t="s">
        <v>716</v>
      </c>
      <c r="CD713" s="2">
        <v>3290</v>
      </c>
      <c r="CE713" s="2" t="s">
        <v>104</v>
      </c>
      <c r="CF713" s="5">
        <v>42978</v>
      </c>
      <c r="CG713" s="2"/>
      <c r="CH713" s="2"/>
      <c r="CI713" s="2">
        <v>1</v>
      </c>
      <c r="CJ713" s="2">
        <v>1</v>
      </c>
      <c r="CK713" s="2">
        <v>21</v>
      </c>
      <c r="CL713" s="2" t="s">
        <v>86</v>
      </c>
      <c r="CM713" s="2"/>
    </row>
    <row r="714" spans="1:91">
      <c r="A714" s="2" t="s">
        <v>71</v>
      </c>
      <c r="B714" s="2" t="s">
        <v>72</v>
      </c>
      <c r="C714" s="2" t="s">
        <v>73</v>
      </c>
      <c r="D714" s="2"/>
      <c r="E714" s="2" t="str">
        <f>"FES1162572440"</f>
        <v>FES1162572440</v>
      </c>
      <c r="F714" s="3">
        <v>42977</v>
      </c>
      <c r="G714" s="2">
        <v>201802</v>
      </c>
      <c r="H714" s="2" t="s">
        <v>74</v>
      </c>
      <c r="I714" s="2" t="s">
        <v>75</v>
      </c>
      <c r="J714" s="2" t="s">
        <v>76</v>
      </c>
      <c r="K714" s="2" t="s">
        <v>77</v>
      </c>
      <c r="L714" s="2" t="s">
        <v>841</v>
      </c>
      <c r="M714" s="2" t="s">
        <v>842</v>
      </c>
      <c r="N714" s="2" t="s">
        <v>843</v>
      </c>
      <c r="O714" s="2" t="s">
        <v>100</v>
      </c>
      <c r="P714" s="2" t="str">
        <f>"2170586355                    "</f>
        <v xml:space="preserve">2170586355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7.75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1</v>
      </c>
      <c r="BI714" s="2">
        <v>1</v>
      </c>
      <c r="BJ714" s="2">
        <v>0.2</v>
      </c>
      <c r="BK714" s="2">
        <v>1</v>
      </c>
      <c r="BL714" s="2">
        <v>80.290000000000006</v>
      </c>
      <c r="BM714" s="2">
        <v>11.24</v>
      </c>
      <c r="BN714" s="2">
        <v>91.53</v>
      </c>
      <c r="BO714" s="2">
        <v>91.53</v>
      </c>
      <c r="BP714" s="2"/>
      <c r="BQ714" s="2" t="s">
        <v>83</v>
      </c>
      <c r="BR714" s="2" t="s">
        <v>84</v>
      </c>
      <c r="BS714" s="3">
        <v>42978</v>
      </c>
      <c r="BT714" s="4">
        <v>0.60277777777777775</v>
      </c>
      <c r="BU714" s="2" t="s">
        <v>1328</v>
      </c>
      <c r="BV714" s="2" t="s">
        <v>95</v>
      </c>
      <c r="BW714" s="2"/>
      <c r="BX714" s="2"/>
      <c r="BY714" s="2">
        <v>1200</v>
      </c>
      <c r="BZ714" s="2"/>
      <c r="CA714" s="2" t="s">
        <v>845</v>
      </c>
      <c r="CB714" s="2"/>
      <c r="CC714" s="2" t="s">
        <v>842</v>
      </c>
      <c r="CD714" s="2">
        <v>3370</v>
      </c>
      <c r="CE714" s="2" t="s">
        <v>104</v>
      </c>
      <c r="CF714" s="5">
        <v>42978</v>
      </c>
      <c r="CG714" s="2"/>
      <c r="CH714" s="2"/>
      <c r="CI714" s="2">
        <v>3</v>
      </c>
      <c r="CJ714" s="2">
        <v>1</v>
      </c>
      <c r="CK714" s="2">
        <v>23</v>
      </c>
      <c r="CL714" s="2" t="s">
        <v>86</v>
      </c>
      <c r="CM714" s="2"/>
    </row>
    <row r="715" spans="1:91">
      <c r="A715" s="2" t="s">
        <v>71</v>
      </c>
      <c r="B715" s="2" t="s">
        <v>72</v>
      </c>
      <c r="C715" s="2" t="s">
        <v>73</v>
      </c>
      <c r="D715" s="2"/>
      <c r="E715" s="2" t="str">
        <f>"FES1162572436"</f>
        <v>FES1162572436</v>
      </c>
      <c r="F715" s="3">
        <v>42977</v>
      </c>
      <c r="G715" s="2">
        <v>201802</v>
      </c>
      <c r="H715" s="2" t="s">
        <v>74</v>
      </c>
      <c r="I715" s="2" t="s">
        <v>75</v>
      </c>
      <c r="J715" s="2" t="s">
        <v>76</v>
      </c>
      <c r="K715" s="2" t="s">
        <v>77</v>
      </c>
      <c r="L715" s="2" t="s">
        <v>170</v>
      </c>
      <c r="M715" s="2" t="s">
        <v>171</v>
      </c>
      <c r="N715" s="2" t="s">
        <v>1381</v>
      </c>
      <c r="O715" s="2" t="s">
        <v>100</v>
      </c>
      <c r="P715" s="2" t="str">
        <f>"2170587987                    "</f>
        <v xml:space="preserve">2170587987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3.13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1</v>
      </c>
      <c r="BJ715" s="2">
        <v>0.2</v>
      </c>
      <c r="BK715" s="2">
        <v>1</v>
      </c>
      <c r="BL715" s="2">
        <v>32.380000000000003</v>
      </c>
      <c r="BM715" s="2">
        <v>4.53</v>
      </c>
      <c r="BN715" s="2">
        <v>36.909999999999997</v>
      </c>
      <c r="BO715" s="2">
        <v>36.909999999999997</v>
      </c>
      <c r="BP715" s="2"/>
      <c r="BQ715" s="2" t="s">
        <v>108</v>
      </c>
      <c r="BR715" s="2" t="s">
        <v>84</v>
      </c>
      <c r="BS715" s="3">
        <v>42978</v>
      </c>
      <c r="BT715" s="4">
        <v>0.48125000000000001</v>
      </c>
      <c r="BU715" s="2" t="s">
        <v>1382</v>
      </c>
      <c r="BV715" s="2" t="s">
        <v>86</v>
      </c>
      <c r="BW715" s="2" t="s">
        <v>110</v>
      </c>
      <c r="BX715" s="2" t="s">
        <v>327</v>
      </c>
      <c r="BY715" s="2">
        <v>1200</v>
      </c>
      <c r="BZ715" s="2"/>
      <c r="CA715" s="2" t="s">
        <v>1217</v>
      </c>
      <c r="CB715" s="2"/>
      <c r="CC715" s="2" t="s">
        <v>171</v>
      </c>
      <c r="CD715" s="2">
        <v>1401</v>
      </c>
      <c r="CE715" s="2" t="s">
        <v>104</v>
      </c>
      <c r="CF715" s="2"/>
      <c r="CG715" s="2"/>
      <c r="CH715" s="2"/>
      <c r="CI715" s="2">
        <v>1</v>
      </c>
      <c r="CJ715" s="2">
        <v>1</v>
      </c>
      <c r="CK715" s="2">
        <v>22</v>
      </c>
      <c r="CL715" s="2" t="s">
        <v>86</v>
      </c>
      <c r="CM715" s="2"/>
    </row>
    <row r="716" spans="1:91">
      <c r="A716" s="2" t="s">
        <v>71</v>
      </c>
      <c r="B716" s="2" t="s">
        <v>72</v>
      </c>
      <c r="C716" s="2" t="s">
        <v>73</v>
      </c>
      <c r="D716" s="2"/>
      <c r="E716" s="2" t="str">
        <f>"FES1162572441"</f>
        <v>FES1162572441</v>
      </c>
      <c r="F716" s="3">
        <v>42977</v>
      </c>
      <c r="G716" s="2">
        <v>201802</v>
      </c>
      <c r="H716" s="2" t="s">
        <v>74</v>
      </c>
      <c r="I716" s="2" t="s">
        <v>75</v>
      </c>
      <c r="J716" s="2" t="s">
        <v>76</v>
      </c>
      <c r="K716" s="2" t="s">
        <v>77</v>
      </c>
      <c r="L716" s="2" t="s">
        <v>97</v>
      </c>
      <c r="M716" s="2" t="s">
        <v>98</v>
      </c>
      <c r="N716" s="2" t="s">
        <v>119</v>
      </c>
      <c r="O716" s="2" t="s">
        <v>100</v>
      </c>
      <c r="P716" s="2" t="str">
        <f>"2170586469                    "</f>
        <v xml:space="preserve">2170586469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23.01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11.3</v>
      </c>
      <c r="BJ716" s="2">
        <v>8.6999999999999993</v>
      </c>
      <c r="BK716" s="2">
        <v>11.5</v>
      </c>
      <c r="BL716" s="2">
        <v>238.29</v>
      </c>
      <c r="BM716" s="2">
        <v>33.36</v>
      </c>
      <c r="BN716" s="2">
        <v>271.64999999999998</v>
      </c>
      <c r="BO716" s="2">
        <v>271.64999999999998</v>
      </c>
      <c r="BP716" s="2"/>
      <c r="BQ716" s="2" t="s">
        <v>108</v>
      </c>
      <c r="BR716" s="2" t="s">
        <v>84</v>
      </c>
      <c r="BS716" s="3">
        <v>42978</v>
      </c>
      <c r="BT716" s="4">
        <v>0.34166666666666662</v>
      </c>
      <c r="BU716" s="2" t="s">
        <v>1209</v>
      </c>
      <c r="BV716" s="2" t="s">
        <v>95</v>
      </c>
      <c r="BW716" s="2"/>
      <c r="BX716" s="2"/>
      <c r="BY716" s="2">
        <v>43382.3</v>
      </c>
      <c r="BZ716" s="2"/>
      <c r="CA716" s="2" t="s">
        <v>213</v>
      </c>
      <c r="CB716" s="2"/>
      <c r="CC716" s="2" t="s">
        <v>98</v>
      </c>
      <c r="CD716" s="2">
        <v>6001</v>
      </c>
      <c r="CE716" s="2" t="s">
        <v>89</v>
      </c>
      <c r="CF716" s="5">
        <v>42978</v>
      </c>
      <c r="CG716" s="2"/>
      <c r="CH716" s="2"/>
      <c r="CI716" s="2">
        <v>1</v>
      </c>
      <c r="CJ716" s="2">
        <v>1</v>
      </c>
      <c r="CK716" s="2">
        <v>21</v>
      </c>
      <c r="CL716" s="2" t="s">
        <v>86</v>
      </c>
      <c r="CM716" s="2"/>
    </row>
    <row r="717" spans="1:91">
      <c r="A717" s="2" t="s">
        <v>71</v>
      </c>
      <c r="B717" s="2" t="s">
        <v>72</v>
      </c>
      <c r="C717" s="2" t="s">
        <v>73</v>
      </c>
      <c r="D717" s="2"/>
      <c r="E717" s="2" t="str">
        <f>"FES1162572430"</f>
        <v>FES1162572430</v>
      </c>
      <c r="F717" s="3">
        <v>42977</v>
      </c>
      <c r="G717" s="2">
        <v>201802</v>
      </c>
      <c r="H717" s="2" t="s">
        <v>74</v>
      </c>
      <c r="I717" s="2" t="s">
        <v>75</v>
      </c>
      <c r="J717" s="2" t="s">
        <v>76</v>
      </c>
      <c r="K717" s="2" t="s">
        <v>77</v>
      </c>
      <c r="L717" s="2" t="s">
        <v>244</v>
      </c>
      <c r="M717" s="2" t="s">
        <v>245</v>
      </c>
      <c r="N717" s="2" t="s">
        <v>793</v>
      </c>
      <c r="O717" s="2" t="s">
        <v>100</v>
      </c>
      <c r="P717" s="2" t="str">
        <f>"2170587984                    "</f>
        <v xml:space="preserve">2170587984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3.13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1</v>
      </c>
      <c r="BJ717" s="2">
        <v>0.2</v>
      </c>
      <c r="BK717" s="2">
        <v>1</v>
      </c>
      <c r="BL717" s="2">
        <v>32.380000000000003</v>
      </c>
      <c r="BM717" s="2">
        <v>4.53</v>
      </c>
      <c r="BN717" s="2">
        <v>36.909999999999997</v>
      </c>
      <c r="BO717" s="2">
        <v>36.909999999999997</v>
      </c>
      <c r="BP717" s="2"/>
      <c r="BQ717" s="2" t="s">
        <v>1383</v>
      </c>
      <c r="BR717" s="2" t="s">
        <v>84</v>
      </c>
      <c r="BS717" s="3">
        <v>42978</v>
      </c>
      <c r="BT717" s="4">
        <v>0.31597222222222221</v>
      </c>
      <c r="BU717" s="2" t="s">
        <v>1384</v>
      </c>
      <c r="BV717" s="2" t="s">
        <v>95</v>
      </c>
      <c r="BW717" s="2"/>
      <c r="BX717" s="2"/>
      <c r="BY717" s="2">
        <v>1200</v>
      </c>
      <c r="BZ717" s="2"/>
      <c r="CA717" s="2" t="s">
        <v>499</v>
      </c>
      <c r="CB717" s="2"/>
      <c r="CC717" s="2" t="s">
        <v>245</v>
      </c>
      <c r="CD717" s="2">
        <v>1459</v>
      </c>
      <c r="CE717" s="2" t="s">
        <v>104</v>
      </c>
      <c r="CF717" s="5">
        <v>42978</v>
      </c>
      <c r="CG717" s="2"/>
      <c r="CH717" s="2"/>
      <c r="CI717" s="2">
        <v>1</v>
      </c>
      <c r="CJ717" s="2">
        <v>1</v>
      </c>
      <c r="CK717" s="2">
        <v>22</v>
      </c>
      <c r="CL717" s="2" t="s">
        <v>86</v>
      </c>
      <c r="CM717" s="2"/>
    </row>
    <row r="718" spans="1:91">
      <c r="A718" s="2" t="s">
        <v>71</v>
      </c>
      <c r="B718" s="2" t="s">
        <v>72</v>
      </c>
      <c r="C718" s="2" t="s">
        <v>73</v>
      </c>
      <c r="D718" s="2"/>
      <c r="E718" s="2" t="str">
        <f>"FES1162572427"</f>
        <v>FES1162572427</v>
      </c>
      <c r="F718" s="3">
        <v>42977</v>
      </c>
      <c r="G718" s="2">
        <v>201802</v>
      </c>
      <c r="H718" s="2" t="s">
        <v>74</v>
      </c>
      <c r="I718" s="2" t="s">
        <v>75</v>
      </c>
      <c r="J718" s="2" t="s">
        <v>76</v>
      </c>
      <c r="K718" s="2" t="s">
        <v>77</v>
      </c>
      <c r="L718" s="2" t="s">
        <v>74</v>
      </c>
      <c r="M718" s="2" t="s">
        <v>75</v>
      </c>
      <c r="N718" s="2" t="s">
        <v>1385</v>
      </c>
      <c r="O718" s="2" t="s">
        <v>100</v>
      </c>
      <c r="P718" s="2" t="str">
        <f>"2170587981                    "</f>
        <v xml:space="preserve">2170587981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3.13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1</v>
      </c>
      <c r="BJ718" s="2">
        <v>0.2</v>
      </c>
      <c r="BK718" s="2">
        <v>1</v>
      </c>
      <c r="BL718" s="2">
        <v>32.380000000000003</v>
      </c>
      <c r="BM718" s="2">
        <v>4.53</v>
      </c>
      <c r="BN718" s="2">
        <v>36.909999999999997</v>
      </c>
      <c r="BO718" s="2">
        <v>36.909999999999997</v>
      </c>
      <c r="BP718" s="2"/>
      <c r="BQ718" s="2" t="s">
        <v>1386</v>
      </c>
      <c r="BR718" s="2" t="s">
        <v>84</v>
      </c>
      <c r="BS718" s="3">
        <v>42978</v>
      </c>
      <c r="BT718" s="4">
        <v>0.65833333333333333</v>
      </c>
      <c r="BU718" s="2" t="s">
        <v>1360</v>
      </c>
      <c r="BV718" s="2" t="s">
        <v>86</v>
      </c>
      <c r="BW718" s="2" t="s">
        <v>124</v>
      </c>
      <c r="BX718" s="2" t="s">
        <v>1387</v>
      </c>
      <c r="BY718" s="2">
        <v>1200</v>
      </c>
      <c r="BZ718" s="2"/>
      <c r="CA718" s="2"/>
      <c r="CB718" s="2"/>
      <c r="CC718" s="2" t="s">
        <v>75</v>
      </c>
      <c r="CD718" s="2">
        <v>1609</v>
      </c>
      <c r="CE718" s="2" t="s">
        <v>104</v>
      </c>
      <c r="CF718" s="2"/>
      <c r="CG718" s="2"/>
      <c r="CH718" s="2"/>
      <c r="CI718" s="2">
        <v>1</v>
      </c>
      <c r="CJ718" s="2">
        <v>1</v>
      </c>
      <c r="CK718" s="2">
        <v>22</v>
      </c>
      <c r="CL718" s="2" t="s">
        <v>86</v>
      </c>
      <c r="CM718" s="2"/>
    </row>
    <row r="719" spans="1:91">
      <c r="A719" s="2" t="s">
        <v>71</v>
      </c>
      <c r="B719" s="2" t="s">
        <v>72</v>
      </c>
      <c r="C719" s="2" t="s">
        <v>73</v>
      </c>
      <c r="D719" s="2"/>
      <c r="E719" s="2" t="str">
        <f>"FES1162572408"</f>
        <v>FES1162572408</v>
      </c>
      <c r="F719" s="3">
        <v>42977</v>
      </c>
      <c r="G719" s="2">
        <v>201802</v>
      </c>
      <c r="H719" s="2" t="s">
        <v>74</v>
      </c>
      <c r="I719" s="2" t="s">
        <v>75</v>
      </c>
      <c r="J719" s="2" t="s">
        <v>76</v>
      </c>
      <c r="K719" s="2" t="s">
        <v>77</v>
      </c>
      <c r="L719" s="2" t="s">
        <v>321</v>
      </c>
      <c r="M719" s="2" t="s">
        <v>322</v>
      </c>
      <c r="N719" s="2" t="s">
        <v>323</v>
      </c>
      <c r="O719" s="2" t="s">
        <v>100</v>
      </c>
      <c r="P719" s="2" t="str">
        <f>"21705887657                   "</f>
        <v xml:space="preserve">21705887657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4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1</v>
      </c>
      <c r="BJ719" s="2">
        <v>0.2</v>
      </c>
      <c r="BK719" s="2">
        <v>1</v>
      </c>
      <c r="BL719" s="2">
        <v>41.44</v>
      </c>
      <c r="BM719" s="2">
        <v>5.8</v>
      </c>
      <c r="BN719" s="2">
        <v>47.24</v>
      </c>
      <c r="BO719" s="2">
        <v>47.24</v>
      </c>
      <c r="BP719" s="2"/>
      <c r="BQ719" s="2" t="s">
        <v>83</v>
      </c>
      <c r="BR719" s="2" t="s">
        <v>84</v>
      </c>
      <c r="BS719" s="3">
        <v>42978</v>
      </c>
      <c r="BT719" s="4">
        <v>0.40972222222222227</v>
      </c>
      <c r="BU719" s="2" t="s">
        <v>324</v>
      </c>
      <c r="BV719" s="2" t="s">
        <v>95</v>
      </c>
      <c r="BW719" s="2"/>
      <c r="BX719" s="2"/>
      <c r="BY719" s="2">
        <v>1200</v>
      </c>
      <c r="BZ719" s="2"/>
      <c r="CA719" s="2" t="s">
        <v>103</v>
      </c>
      <c r="CB719" s="2"/>
      <c r="CC719" s="2" t="s">
        <v>322</v>
      </c>
      <c r="CD719" s="2">
        <v>6220</v>
      </c>
      <c r="CE719" s="2" t="s">
        <v>104</v>
      </c>
      <c r="CF719" s="5">
        <v>42978</v>
      </c>
      <c r="CG719" s="2"/>
      <c r="CH719" s="2"/>
      <c r="CI719" s="2">
        <v>1</v>
      </c>
      <c r="CJ719" s="2">
        <v>1</v>
      </c>
      <c r="CK719" s="2">
        <v>21</v>
      </c>
      <c r="CL719" s="2" t="s">
        <v>86</v>
      </c>
      <c r="CM719" s="2"/>
    </row>
    <row r="720" spans="1:91">
      <c r="A720" s="2" t="s">
        <v>71</v>
      </c>
      <c r="B720" s="2" t="s">
        <v>72</v>
      </c>
      <c r="C720" s="2" t="s">
        <v>73</v>
      </c>
      <c r="D720" s="2"/>
      <c r="E720" s="2" t="str">
        <f>"FES1162572442"</f>
        <v>FES1162572442</v>
      </c>
      <c r="F720" s="3">
        <v>42977</v>
      </c>
      <c r="G720" s="2">
        <v>201802</v>
      </c>
      <c r="H720" s="2" t="s">
        <v>74</v>
      </c>
      <c r="I720" s="2" t="s">
        <v>75</v>
      </c>
      <c r="J720" s="2" t="s">
        <v>76</v>
      </c>
      <c r="K720" s="2" t="s">
        <v>77</v>
      </c>
      <c r="L720" s="2" t="s">
        <v>105</v>
      </c>
      <c r="M720" s="2" t="s">
        <v>106</v>
      </c>
      <c r="N720" s="2" t="s">
        <v>827</v>
      </c>
      <c r="O720" s="2" t="s">
        <v>100</v>
      </c>
      <c r="P720" s="2" t="str">
        <f>"2170587492                    "</f>
        <v xml:space="preserve">2170587492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4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1</v>
      </c>
      <c r="BJ720" s="2">
        <v>0.2</v>
      </c>
      <c r="BK720" s="2">
        <v>1</v>
      </c>
      <c r="BL720" s="2">
        <v>41.44</v>
      </c>
      <c r="BM720" s="2">
        <v>5.8</v>
      </c>
      <c r="BN720" s="2">
        <v>47.24</v>
      </c>
      <c r="BO720" s="2">
        <v>47.24</v>
      </c>
      <c r="BP720" s="2"/>
      <c r="BQ720" s="2" t="s">
        <v>288</v>
      </c>
      <c r="BR720" s="2" t="s">
        <v>84</v>
      </c>
      <c r="BS720" s="3">
        <v>42978</v>
      </c>
      <c r="BT720" s="4">
        <v>0.40972222222222227</v>
      </c>
      <c r="BU720" s="2" t="s">
        <v>1388</v>
      </c>
      <c r="BV720" s="2" t="s">
        <v>95</v>
      </c>
      <c r="BW720" s="2"/>
      <c r="BX720" s="2"/>
      <c r="BY720" s="2">
        <v>1200</v>
      </c>
      <c r="BZ720" s="2"/>
      <c r="CA720" s="2"/>
      <c r="CB720" s="2"/>
      <c r="CC720" s="2" t="s">
        <v>106</v>
      </c>
      <c r="CD720" s="2">
        <v>7560</v>
      </c>
      <c r="CE720" s="2" t="s">
        <v>104</v>
      </c>
      <c r="CF720" s="2"/>
      <c r="CG720" s="2"/>
      <c r="CH720" s="2"/>
      <c r="CI720" s="2">
        <v>1</v>
      </c>
      <c r="CJ720" s="2">
        <v>1</v>
      </c>
      <c r="CK720" s="2">
        <v>21</v>
      </c>
      <c r="CL720" s="2" t="s">
        <v>86</v>
      </c>
      <c r="CM720" s="2"/>
    </row>
    <row r="721" spans="1:91">
      <c r="A721" s="2" t="s">
        <v>71</v>
      </c>
      <c r="B721" s="2" t="s">
        <v>72</v>
      </c>
      <c r="C721" s="2" t="s">
        <v>73</v>
      </c>
      <c r="D721" s="2"/>
      <c r="E721" s="2" t="str">
        <f>"FES1162572450"</f>
        <v>FES1162572450</v>
      </c>
      <c r="F721" s="3">
        <v>42977</v>
      </c>
      <c r="G721" s="2">
        <v>201802</v>
      </c>
      <c r="H721" s="2" t="s">
        <v>74</v>
      </c>
      <c r="I721" s="2" t="s">
        <v>75</v>
      </c>
      <c r="J721" s="2" t="s">
        <v>76</v>
      </c>
      <c r="K721" s="2" t="s">
        <v>77</v>
      </c>
      <c r="L721" s="2" t="s">
        <v>97</v>
      </c>
      <c r="M721" s="2" t="s">
        <v>98</v>
      </c>
      <c r="N721" s="2" t="s">
        <v>248</v>
      </c>
      <c r="O721" s="2" t="s">
        <v>100</v>
      </c>
      <c r="P721" s="2" t="str">
        <f>"2170584146                    "</f>
        <v xml:space="preserve">2170584146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8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1</v>
      </c>
      <c r="BI721" s="2">
        <v>3.6</v>
      </c>
      <c r="BJ721" s="2">
        <v>1.6</v>
      </c>
      <c r="BK721" s="2">
        <v>4</v>
      </c>
      <c r="BL721" s="2">
        <v>82.88</v>
      </c>
      <c r="BM721" s="2">
        <v>11.6</v>
      </c>
      <c r="BN721" s="2">
        <v>94.48</v>
      </c>
      <c r="BO721" s="2">
        <v>94.48</v>
      </c>
      <c r="BP721" s="2"/>
      <c r="BQ721" s="2" t="s">
        <v>83</v>
      </c>
      <c r="BR721" s="2" t="s">
        <v>84</v>
      </c>
      <c r="BS721" s="3">
        <v>42978</v>
      </c>
      <c r="BT721" s="4">
        <v>0.35416666666666669</v>
      </c>
      <c r="BU721" s="2" t="s">
        <v>1208</v>
      </c>
      <c r="BV721" s="2" t="s">
        <v>95</v>
      </c>
      <c r="BW721" s="2"/>
      <c r="BX721" s="2"/>
      <c r="BY721" s="2">
        <v>8048.16</v>
      </c>
      <c r="BZ721" s="2"/>
      <c r="CA721" s="2" t="s">
        <v>294</v>
      </c>
      <c r="CB721" s="2"/>
      <c r="CC721" s="2" t="s">
        <v>98</v>
      </c>
      <c r="CD721" s="2">
        <v>6001</v>
      </c>
      <c r="CE721" s="2" t="s">
        <v>89</v>
      </c>
      <c r="CF721" s="5">
        <v>42978</v>
      </c>
      <c r="CG721" s="2"/>
      <c r="CH721" s="2"/>
      <c r="CI721" s="2">
        <v>1</v>
      </c>
      <c r="CJ721" s="2">
        <v>1</v>
      </c>
      <c r="CK721" s="2">
        <v>21</v>
      </c>
      <c r="CL721" s="2" t="s">
        <v>86</v>
      </c>
      <c r="CM721" s="2"/>
    </row>
    <row r="722" spans="1:91">
      <c r="A722" s="2" t="s">
        <v>71</v>
      </c>
      <c r="B722" s="2" t="s">
        <v>72</v>
      </c>
      <c r="C722" s="2" t="s">
        <v>73</v>
      </c>
      <c r="D722" s="2"/>
      <c r="E722" s="2" t="str">
        <f>"FES1162572451"</f>
        <v>FES1162572451</v>
      </c>
      <c r="F722" s="3">
        <v>42977</v>
      </c>
      <c r="G722" s="2">
        <v>201802</v>
      </c>
      <c r="H722" s="2" t="s">
        <v>74</v>
      </c>
      <c r="I722" s="2" t="s">
        <v>75</v>
      </c>
      <c r="J722" s="2" t="s">
        <v>76</v>
      </c>
      <c r="K722" s="2" t="s">
        <v>77</v>
      </c>
      <c r="L722" s="2" t="s">
        <v>97</v>
      </c>
      <c r="M722" s="2" t="s">
        <v>98</v>
      </c>
      <c r="N722" s="2" t="s">
        <v>119</v>
      </c>
      <c r="O722" s="2" t="s">
        <v>100</v>
      </c>
      <c r="P722" s="2" t="str">
        <f>"2170586419                    "</f>
        <v xml:space="preserve">2170586419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12.01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5.8</v>
      </c>
      <c r="BJ722" s="2">
        <v>4.5</v>
      </c>
      <c r="BK722" s="2">
        <v>6</v>
      </c>
      <c r="BL722" s="2">
        <v>124.33</v>
      </c>
      <c r="BM722" s="2">
        <v>17.41</v>
      </c>
      <c r="BN722" s="2">
        <v>141.74</v>
      </c>
      <c r="BO722" s="2">
        <v>141.74</v>
      </c>
      <c r="BP722" s="2"/>
      <c r="BQ722" s="2" t="s">
        <v>108</v>
      </c>
      <c r="BR722" s="2" t="s">
        <v>84</v>
      </c>
      <c r="BS722" s="3">
        <v>42978</v>
      </c>
      <c r="BT722" s="4">
        <v>0.34166666666666662</v>
      </c>
      <c r="BU722" s="2" t="s">
        <v>1209</v>
      </c>
      <c r="BV722" s="2" t="s">
        <v>95</v>
      </c>
      <c r="BW722" s="2"/>
      <c r="BX722" s="2"/>
      <c r="BY722" s="2">
        <v>22637.37</v>
      </c>
      <c r="BZ722" s="2"/>
      <c r="CA722" s="2" t="s">
        <v>213</v>
      </c>
      <c r="CB722" s="2"/>
      <c r="CC722" s="2" t="s">
        <v>98</v>
      </c>
      <c r="CD722" s="2">
        <v>6001</v>
      </c>
      <c r="CE722" s="2" t="s">
        <v>89</v>
      </c>
      <c r="CF722" s="5">
        <v>42978</v>
      </c>
      <c r="CG722" s="2"/>
      <c r="CH722" s="2"/>
      <c r="CI722" s="2">
        <v>1</v>
      </c>
      <c r="CJ722" s="2">
        <v>1</v>
      </c>
      <c r="CK722" s="2">
        <v>21</v>
      </c>
      <c r="CL722" s="2" t="s">
        <v>86</v>
      </c>
      <c r="CM722" s="2"/>
    </row>
    <row r="723" spans="1:91">
      <c r="A723" s="2" t="s">
        <v>71</v>
      </c>
      <c r="B723" s="2" t="s">
        <v>72</v>
      </c>
      <c r="C723" s="2" t="s">
        <v>73</v>
      </c>
      <c r="D723" s="2"/>
      <c r="E723" s="2" t="str">
        <f>"FES1162572400"</f>
        <v>FES1162572400</v>
      </c>
      <c r="F723" s="3">
        <v>42977</v>
      </c>
      <c r="G723" s="2">
        <v>201802</v>
      </c>
      <c r="H723" s="2" t="s">
        <v>74</v>
      </c>
      <c r="I723" s="2" t="s">
        <v>75</v>
      </c>
      <c r="J723" s="2" t="s">
        <v>76</v>
      </c>
      <c r="K723" s="2" t="s">
        <v>77</v>
      </c>
      <c r="L723" s="2" t="s">
        <v>1202</v>
      </c>
      <c r="M723" s="2" t="s">
        <v>1203</v>
      </c>
      <c r="N723" s="2" t="s">
        <v>1204</v>
      </c>
      <c r="O723" s="2" t="s">
        <v>100</v>
      </c>
      <c r="P723" s="2" t="str">
        <f>"2170586534                    "</f>
        <v xml:space="preserve">2170586534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3.13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0.7</v>
      </c>
      <c r="BJ723" s="2">
        <v>0.3</v>
      </c>
      <c r="BK723" s="2">
        <v>1</v>
      </c>
      <c r="BL723" s="2">
        <v>32.380000000000003</v>
      </c>
      <c r="BM723" s="2">
        <v>4.53</v>
      </c>
      <c r="BN723" s="2">
        <v>36.909999999999997</v>
      </c>
      <c r="BO723" s="2">
        <v>36.909999999999997</v>
      </c>
      <c r="BP723" s="2"/>
      <c r="BQ723" s="2" t="s">
        <v>83</v>
      </c>
      <c r="BR723" s="2" t="s">
        <v>84</v>
      </c>
      <c r="BS723" s="3">
        <v>42978</v>
      </c>
      <c r="BT723" s="4">
        <v>0.68055555555555547</v>
      </c>
      <c r="BU723" s="2" t="s">
        <v>1205</v>
      </c>
      <c r="BV723" s="2" t="s">
        <v>86</v>
      </c>
      <c r="BW723" s="2" t="s">
        <v>124</v>
      </c>
      <c r="BX723" s="2" t="s">
        <v>1387</v>
      </c>
      <c r="BY723" s="2">
        <v>1598.51</v>
      </c>
      <c r="BZ723" s="2"/>
      <c r="CA723" s="2" t="s">
        <v>1206</v>
      </c>
      <c r="CB723" s="2"/>
      <c r="CC723" s="2" t="s">
        <v>1203</v>
      </c>
      <c r="CD723" s="2">
        <v>1501</v>
      </c>
      <c r="CE723" s="2" t="s">
        <v>89</v>
      </c>
      <c r="CF723" s="5">
        <v>42978</v>
      </c>
      <c r="CG723" s="2"/>
      <c r="CH723" s="2"/>
      <c r="CI723" s="2">
        <v>1</v>
      </c>
      <c r="CJ723" s="2">
        <v>1</v>
      </c>
      <c r="CK723" s="2">
        <v>22</v>
      </c>
      <c r="CL723" s="2" t="s">
        <v>86</v>
      </c>
      <c r="CM723" s="2"/>
    </row>
    <row r="724" spans="1:91">
      <c r="A724" s="2" t="s">
        <v>71</v>
      </c>
      <c r="B724" s="2" t="s">
        <v>72</v>
      </c>
      <c r="C724" s="2" t="s">
        <v>73</v>
      </c>
      <c r="D724" s="2"/>
      <c r="E724" s="2" t="str">
        <f>"FES1162572452"</f>
        <v>FES1162572452</v>
      </c>
      <c r="F724" s="3">
        <v>42977</v>
      </c>
      <c r="G724" s="2">
        <v>201802</v>
      </c>
      <c r="H724" s="2" t="s">
        <v>74</v>
      </c>
      <c r="I724" s="2" t="s">
        <v>75</v>
      </c>
      <c r="J724" s="2" t="s">
        <v>76</v>
      </c>
      <c r="K724" s="2" t="s">
        <v>77</v>
      </c>
      <c r="L724" s="2" t="s">
        <v>170</v>
      </c>
      <c r="M724" s="2" t="s">
        <v>171</v>
      </c>
      <c r="N724" s="2" t="s">
        <v>1389</v>
      </c>
      <c r="O724" s="2" t="s">
        <v>100</v>
      </c>
      <c r="P724" s="2" t="str">
        <f>"2170588011                    "</f>
        <v xml:space="preserve">2170588011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3.13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1</v>
      </c>
      <c r="BI724" s="2">
        <v>1</v>
      </c>
      <c r="BJ724" s="2">
        <v>0.2</v>
      </c>
      <c r="BK724" s="2">
        <v>1</v>
      </c>
      <c r="BL724" s="2">
        <v>32.380000000000003</v>
      </c>
      <c r="BM724" s="2">
        <v>4.53</v>
      </c>
      <c r="BN724" s="2">
        <v>36.909999999999997</v>
      </c>
      <c r="BO724" s="2">
        <v>36.909999999999997</v>
      </c>
      <c r="BP724" s="2"/>
      <c r="BQ724" s="2" t="s">
        <v>108</v>
      </c>
      <c r="BR724" s="2" t="s">
        <v>84</v>
      </c>
      <c r="BS724" s="3">
        <v>42978</v>
      </c>
      <c r="BT724" s="4">
        <v>0.4236111111111111</v>
      </c>
      <c r="BU724" s="2" t="s">
        <v>1390</v>
      </c>
      <c r="BV724" s="2" t="s">
        <v>95</v>
      </c>
      <c r="BW724" s="2"/>
      <c r="BX724" s="2"/>
      <c r="BY724" s="2">
        <v>1200</v>
      </c>
      <c r="BZ724" s="2"/>
      <c r="CA724" s="2"/>
      <c r="CB724" s="2"/>
      <c r="CC724" s="2" t="s">
        <v>171</v>
      </c>
      <c r="CD724" s="2">
        <v>1401</v>
      </c>
      <c r="CE724" s="2" t="s">
        <v>104</v>
      </c>
      <c r="CF724" s="2"/>
      <c r="CG724" s="2"/>
      <c r="CH724" s="2"/>
      <c r="CI724" s="2">
        <v>1</v>
      </c>
      <c r="CJ724" s="2">
        <v>1</v>
      </c>
      <c r="CK724" s="2">
        <v>22</v>
      </c>
      <c r="CL724" s="2" t="s">
        <v>86</v>
      </c>
      <c r="CM724" s="2"/>
    </row>
    <row r="725" spans="1:91">
      <c r="A725" s="2" t="s">
        <v>71</v>
      </c>
      <c r="B725" s="2" t="s">
        <v>72</v>
      </c>
      <c r="C725" s="2" t="s">
        <v>73</v>
      </c>
      <c r="D725" s="2"/>
      <c r="E725" s="2" t="str">
        <f>"FES1162572259"</f>
        <v>FES1162572259</v>
      </c>
      <c r="F725" s="3">
        <v>42977</v>
      </c>
      <c r="G725" s="2">
        <v>201802</v>
      </c>
      <c r="H725" s="2" t="s">
        <v>74</v>
      </c>
      <c r="I725" s="2" t="s">
        <v>75</v>
      </c>
      <c r="J725" s="2" t="s">
        <v>76</v>
      </c>
      <c r="K725" s="2" t="s">
        <v>77</v>
      </c>
      <c r="L725" s="2" t="s">
        <v>97</v>
      </c>
      <c r="M725" s="2" t="s">
        <v>98</v>
      </c>
      <c r="N725" s="2" t="s">
        <v>248</v>
      </c>
      <c r="O725" s="2" t="s">
        <v>100</v>
      </c>
      <c r="P725" s="2" t="str">
        <f>"2170580583                    "</f>
        <v xml:space="preserve">2170580583 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4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1</v>
      </c>
      <c r="BI725" s="2">
        <v>1</v>
      </c>
      <c r="BJ725" s="2">
        <v>0.2</v>
      </c>
      <c r="BK725" s="2">
        <v>1</v>
      </c>
      <c r="BL725" s="2">
        <v>41.44</v>
      </c>
      <c r="BM725" s="2">
        <v>5.8</v>
      </c>
      <c r="BN725" s="2">
        <v>47.24</v>
      </c>
      <c r="BO725" s="2">
        <v>47.24</v>
      </c>
      <c r="BP725" s="2"/>
      <c r="BQ725" s="2" t="s">
        <v>83</v>
      </c>
      <c r="BR725" s="2" t="s">
        <v>84</v>
      </c>
      <c r="BS725" s="3">
        <v>42978</v>
      </c>
      <c r="BT725" s="4">
        <v>0.35416666666666669</v>
      </c>
      <c r="BU725" s="2" t="s">
        <v>1208</v>
      </c>
      <c r="BV725" s="2" t="s">
        <v>95</v>
      </c>
      <c r="BW725" s="2"/>
      <c r="BX725" s="2"/>
      <c r="BY725" s="2">
        <v>1200</v>
      </c>
      <c r="BZ725" s="2"/>
      <c r="CA725" s="2" t="s">
        <v>294</v>
      </c>
      <c r="CB725" s="2"/>
      <c r="CC725" s="2" t="s">
        <v>98</v>
      </c>
      <c r="CD725" s="2">
        <v>6001</v>
      </c>
      <c r="CE725" s="2" t="s">
        <v>104</v>
      </c>
      <c r="CF725" s="5">
        <v>42978</v>
      </c>
      <c r="CG725" s="2"/>
      <c r="CH725" s="2"/>
      <c r="CI725" s="2">
        <v>1</v>
      </c>
      <c r="CJ725" s="2">
        <v>1</v>
      </c>
      <c r="CK725" s="2">
        <v>21</v>
      </c>
      <c r="CL725" s="2" t="s">
        <v>86</v>
      </c>
      <c r="CM725" s="2"/>
    </row>
    <row r="726" spans="1:91">
      <c r="A726" s="2" t="s">
        <v>71</v>
      </c>
      <c r="B726" s="2" t="s">
        <v>72</v>
      </c>
      <c r="C726" s="2" t="s">
        <v>73</v>
      </c>
      <c r="D726" s="2"/>
      <c r="E726" s="2" t="str">
        <f>"FES1162572315"</f>
        <v>FES1162572315</v>
      </c>
      <c r="F726" s="3">
        <v>42977</v>
      </c>
      <c r="G726" s="2">
        <v>201802</v>
      </c>
      <c r="H726" s="2" t="s">
        <v>74</v>
      </c>
      <c r="I726" s="2" t="s">
        <v>75</v>
      </c>
      <c r="J726" s="2" t="s">
        <v>76</v>
      </c>
      <c r="K726" s="2" t="s">
        <v>77</v>
      </c>
      <c r="L726" s="2" t="s">
        <v>97</v>
      </c>
      <c r="M726" s="2" t="s">
        <v>98</v>
      </c>
      <c r="N726" s="2" t="s">
        <v>1214</v>
      </c>
      <c r="O726" s="2" t="s">
        <v>100</v>
      </c>
      <c r="P726" s="2" t="str">
        <f>"2170587585                    "</f>
        <v xml:space="preserve">2170587585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4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1</v>
      </c>
      <c r="BJ726" s="2">
        <v>0.2</v>
      </c>
      <c r="BK726" s="2">
        <v>1</v>
      </c>
      <c r="BL726" s="2">
        <v>41.44</v>
      </c>
      <c r="BM726" s="2">
        <v>5.8</v>
      </c>
      <c r="BN726" s="2">
        <v>47.24</v>
      </c>
      <c r="BO726" s="2">
        <v>47.24</v>
      </c>
      <c r="BP726" s="2"/>
      <c r="BQ726" s="2" t="s">
        <v>108</v>
      </c>
      <c r="BR726" s="2" t="s">
        <v>84</v>
      </c>
      <c r="BS726" s="3">
        <v>42978</v>
      </c>
      <c r="BT726" s="4">
        <v>0.35833333333333334</v>
      </c>
      <c r="BU726" s="2" t="s">
        <v>1391</v>
      </c>
      <c r="BV726" s="2" t="s">
        <v>95</v>
      </c>
      <c r="BW726" s="2"/>
      <c r="BX726" s="2"/>
      <c r="BY726" s="2">
        <v>1200</v>
      </c>
      <c r="BZ726" s="2"/>
      <c r="CA726" s="2" t="s">
        <v>213</v>
      </c>
      <c r="CB726" s="2"/>
      <c r="CC726" s="2" t="s">
        <v>98</v>
      </c>
      <c r="CD726" s="2">
        <v>6001</v>
      </c>
      <c r="CE726" s="2" t="s">
        <v>104</v>
      </c>
      <c r="CF726" s="5">
        <v>42978</v>
      </c>
      <c r="CG726" s="2"/>
      <c r="CH726" s="2"/>
      <c r="CI726" s="2">
        <v>1</v>
      </c>
      <c r="CJ726" s="2">
        <v>1</v>
      </c>
      <c r="CK726" s="2">
        <v>21</v>
      </c>
      <c r="CL726" s="2" t="s">
        <v>86</v>
      </c>
      <c r="CM726" s="2"/>
    </row>
    <row r="727" spans="1:91">
      <c r="A727" s="2" t="s">
        <v>71</v>
      </c>
      <c r="B727" s="2" t="s">
        <v>72</v>
      </c>
      <c r="C727" s="2" t="s">
        <v>73</v>
      </c>
      <c r="D727" s="2"/>
      <c r="E727" s="2" t="str">
        <f>"FES1162572374"</f>
        <v>FES1162572374</v>
      </c>
      <c r="F727" s="3">
        <v>42977</v>
      </c>
      <c r="G727" s="2">
        <v>201802</v>
      </c>
      <c r="H727" s="2" t="s">
        <v>74</v>
      </c>
      <c r="I727" s="2" t="s">
        <v>75</v>
      </c>
      <c r="J727" s="2" t="s">
        <v>76</v>
      </c>
      <c r="K727" s="2" t="s">
        <v>77</v>
      </c>
      <c r="L727" s="2" t="s">
        <v>216</v>
      </c>
      <c r="M727" s="2" t="s">
        <v>217</v>
      </c>
      <c r="N727" s="2" t="s">
        <v>1392</v>
      </c>
      <c r="O727" s="2" t="s">
        <v>100</v>
      </c>
      <c r="P727" s="2" t="str">
        <f>"2170587922                    "</f>
        <v xml:space="preserve">2170587922 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3.13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1</v>
      </c>
      <c r="BJ727" s="2">
        <v>0.2</v>
      </c>
      <c r="BK727" s="2">
        <v>1</v>
      </c>
      <c r="BL727" s="2">
        <v>32.380000000000003</v>
      </c>
      <c r="BM727" s="2">
        <v>4.53</v>
      </c>
      <c r="BN727" s="2">
        <v>36.909999999999997</v>
      </c>
      <c r="BO727" s="2">
        <v>36.909999999999997</v>
      </c>
      <c r="BP727" s="2"/>
      <c r="BQ727" s="2" t="s">
        <v>1393</v>
      </c>
      <c r="BR727" s="2" t="s">
        <v>84</v>
      </c>
      <c r="BS727" s="3">
        <v>42978</v>
      </c>
      <c r="BT727" s="4">
        <v>0.40486111111111112</v>
      </c>
      <c r="BU727" s="2" t="s">
        <v>1394</v>
      </c>
      <c r="BV727" s="2" t="s">
        <v>95</v>
      </c>
      <c r="BW727" s="2"/>
      <c r="BX727" s="2"/>
      <c r="BY727" s="2">
        <v>1200</v>
      </c>
      <c r="BZ727" s="2"/>
      <c r="CA727" s="2" t="s">
        <v>220</v>
      </c>
      <c r="CB727" s="2"/>
      <c r="CC727" s="2" t="s">
        <v>217</v>
      </c>
      <c r="CD727" s="2">
        <v>1451</v>
      </c>
      <c r="CE727" s="2" t="s">
        <v>104</v>
      </c>
      <c r="CF727" s="5">
        <v>42978</v>
      </c>
      <c r="CG727" s="2"/>
      <c r="CH727" s="2"/>
      <c r="CI727" s="2">
        <v>1</v>
      </c>
      <c r="CJ727" s="2">
        <v>1</v>
      </c>
      <c r="CK727" s="2">
        <v>22</v>
      </c>
      <c r="CL727" s="2" t="s">
        <v>86</v>
      </c>
      <c r="CM727" s="2"/>
    </row>
    <row r="728" spans="1:91">
      <c r="A728" s="2" t="s">
        <v>71</v>
      </c>
      <c r="B728" s="2" t="s">
        <v>72</v>
      </c>
      <c r="C728" s="2" t="s">
        <v>73</v>
      </c>
      <c r="D728" s="2"/>
      <c r="E728" s="2" t="str">
        <f>"FES1162572323"</f>
        <v>FES1162572323</v>
      </c>
      <c r="F728" s="3">
        <v>42977</v>
      </c>
      <c r="G728" s="2">
        <v>201802</v>
      </c>
      <c r="H728" s="2" t="s">
        <v>74</v>
      </c>
      <c r="I728" s="2" t="s">
        <v>75</v>
      </c>
      <c r="J728" s="2" t="s">
        <v>76</v>
      </c>
      <c r="K728" s="2" t="s">
        <v>77</v>
      </c>
      <c r="L728" s="2" t="s">
        <v>97</v>
      </c>
      <c r="M728" s="2" t="s">
        <v>98</v>
      </c>
      <c r="N728" s="2" t="s">
        <v>214</v>
      </c>
      <c r="O728" s="2" t="s">
        <v>100</v>
      </c>
      <c r="P728" s="2" t="str">
        <f>"2170587863                    "</f>
        <v xml:space="preserve">2170587863 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4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1</v>
      </c>
      <c r="BI728" s="2">
        <v>1</v>
      </c>
      <c r="BJ728" s="2">
        <v>0.2</v>
      </c>
      <c r="BK728" s="2">
        <v>1</v>
      </c>
      <c r="BL728" s="2">
        <v>41.44</v>
      </c>
      <c r="BM728" s="2">
        <v>5.8</v>
      </c>
      <c r="BN728" s="2">
        <v>47.24</v>
      </c>
      <c r="BO728" s="2">
        <v>47.24</v>
      </c>
      <c r="BP728" s="2"/>
      <c r="BQ728" s="2" t="s">
        <v>108</v>
      </c>
      <c r="BR728" s="2" t="s">
        <v>84</v>
      </c>
      <c r="BS728" s="3">
        <v>42978</v>
      </c>
      <c r="BT728" s="4">
        <v>0.33055555555555555</v>
      </c>
      <c r="BU728" s="2" t="s">
        <v>1131</v>
      </c>
      <c r="BV728" s="2" t="s">
        <v>95</v>
      </c>
      <c r="BW728" s="2"/>
      <c r="BX728" s="2"/>
      <c r="BY728" s="2">
        <v>1200</v>
      </c>
      <c r="BZ728" s="2"/>
      <c r="CA728" s="2" t="s">
        <v>213</v>
      </c>
      <c r="CB728" s="2"/>
      <c r="CC728" s="2" t="s">
        <v>98</v>
      </c>
      <c r="CD728" s="2">
        <v>6001</v>
      </c>
      <c r="CE728" s="2" t="s">
        <v>104</v>
      </c>
      <c r="CF728" s="5">
        <v>42978</v>
      </c>
      <c r="CG728" s="2"/>
      <c r="CH728" s="2"/>
      <c r="CI728" s="2">
        <v>1</v>
      </c>
      <c r="CJ728" s="2">
        <v>1</v>
      </c>
      <c r="CK728" s="2">
        <v>21</v>
      </c>
      <c r="CL728" s="2" t="s">
        <v>86</v>
      </c>
      <c r="CM728" s="2"/>
    </row>
    <row r="729" spans="1:91">
      <c r="A729" s="2" t="s">
        <v>71</v>
      </c>
      <c r="B729" s="2" t="s">
        <v>72</v>
      </c>
      <c r="C729" s="2" t="s">
        <v>73</v>
      </c>
      <c r="D729" s="2"/>
      <c r="E729" s="2" t="str">
        <f>"FES1162572250"</f>
        <v>FES1162572250</v>
      </c>
      <c r="F729" s="3">
        <v>42977</v>
      </c>
      <c r="G729" s="2">
        <v>201802</v>
      </c>
      <c r="H729" s="2" t="s">
        <v>74</v>
      </c>
      <c r="I729" s="2" t="s">
        <v>75</v>
      </c>
      <c r="J729" s="2" t="s">
        <v>76</v>
      </c>
      <c r="K729" s="2" t="s">
        <v>77</v>
      </c>
      <c r="L729" s="2" t="s">
        <v>97</v>
      </c>
      <c r="M729" s="2" t="s">
        <v>98</v>
      </c>
      <c r="N729" s="2" t="s">
        <v>1210</v>
      </c>
      <c r="O729" s="2" t="s">
        <v>100</v>
      </c>
      <c r="P729" s="2" t="str">
        <f>"217586944                     "</f>
        <v xml:space="preserve">217586944  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4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1</v>
      </c>
      <c r="BJ729" s="2">
        <v>0.2</v>
      </c>
      <c r="BK729" s="2">
        <v>1</v>
      </c>
      <c r="BL729" s="2">
        <v>41.44</v>
      </c>
      <c r="BM729" s="2">
        <v>5.8</v>
      </c>
      <c r="BN729" s="2">
        <v>47.24</v>
      </c>
      <c r="BO729" s="2">
        <v>47.24</v>
      </c>
      <c r="BP729" s="2"/>
      <c r="BQ729" s="2" t="s">
        <v>108</v>
      </c>
      <c r="BR729" s="2" t="s">
        <v>84</v>
      </c>
      <c r="BS729" s="3">
        <v>42978</v>
      </c>
      <c r="BT729" s="4">
        <v>0.29652777777777778</v>
      </c>
      <c r="BU729" s="2" t="s">
        <v>1211</v>
      </c>
      <c r="BV729" s="2" t="s">
        <v>95</v>
      </c>
      <c r="BW729" s="2"/>
      <c r="BX729" s="2"/>
      <c r="BY729" s="2">
        <v>1200</v>
      </c>
      <c r="BZ729" s="2"/>
      <c r="CA729" s="2" t="s">
        <v>294</v>
      </c>
      <c r="CB729" s="2"/>
      <c r="CC729" s="2" t="s">
        <v>98</v>
      </c>
      <c r="CD729" s="2">
        <v>6012</v>
      </c>
      <c r="CE729" s="2" t="s">
        <v>104</v>
      </c>
      <c r="CF729" s="5">
        <v>42978</v>
      </c>
      <c r="CG729" s="2"/>
      <c r="CH729" s="2"/>
      <c r="CI729" s="2">
        <v>1</v>
      </c>
      <c r="CJ729" s="2">
        <v>1</v>
      </c>
      <c r="CK729" s="2">
        <v>21</v>
      </c>
      <c r="CL729" s="2" t="s">
        <v>86</v>
      </c>
      <c r="CM729" s="2"/>
    </row>
    <row r="730" spans="1:91">
      <c r="A730" s="2" t="s">
        <v>71</v>
      </c>
      <c r="B730" s="2" t="s">
        <v>72</v>
      </c>
      <c r="C730" s="2" t="s">
        <v>73</v>
      </c>
      <c r="D730" s="2"/>
      <c r="E730" s="2" t="str">
        <f>"FES1162572288"</f>
        <v>FES1162572288</v>
      </c>
      <c r="F730" s="3">
        <v>42977</v>
      </c>
      <c r="G730" s="2">
        <v>201802</v>
      </c>
      <c r="H730" s="2" t="s">
        <v>74</v>
      </c>
      <c r="I730" s="2" t="s">
        <v>75</v>
      </c>
      <c r="J730" s="2" t="s">
        <v>76</v>
      </c>
      <c r="K730" s="2" t="s">
        <v>77</v>
      </c>
      <c r="L730" s="2" t="s">
        <v>105</v>
      </c>
      <c r="M730" s="2" t="s">
        <v>106</v>
      </c>
      <c r="N730" s="2" t="s">
        <v>1395</v>
      </c>
      <c r="O730" s="2" t="s">
        <v>100</v>
      </c>
      <c r="P730" s="2" t="str">
        <f>"2170587750                    "</f>
        <v xml:space="preserve">2170587750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7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0.9</v>
      </c>
      <c r="BJ730" s="2">
        <v>3.3</v>
      </c>
      <c r="BK730" s="2">
        <v>3.5</v>
      </c>
      <c r="BL730" s="2">
        <v>72.52</v>
      </c>
      <c r="BM730" s="2">
        <v>10.15</v>
      </c>
      <c r="BN730" s="2">
        <v>82.67</v>
      </c>
      <c r="BO730" s="2">
        <v>82.67</v>
      </c>
      <c r="BP730" s="2"/>
      <c r="BQ730" s="2"/>
      <c r="BR730" s="2" t="s">
        <v>84</v>
      </c>
      <c r="BS730" s="3">
        <v>42978</v>
      </c>
      <c r="BT730" s="4">
        <v>0.4770833333333333</v>
      </c>
      <c r="BU730" s="2" t="s">
        <v>1049</v>
      </c>
      <c r="BV730" s="2" t="s">
        <v>86</v>
      </c>
      <c r="BW730" s="2" t="s">
        <v>110</v>
      </c>
      <c r="BX730" s="2" t="s">
        <v>1314</v>
      </c>
      <c r="BY730" s="2">
        <v>16716.7</v>
      </c>
      <c r="BZ730" s="2"/>
      <c r="CA730" s="2" t="s">
        <v>1396</v>
      </c>
      <c r="CB730" s="2"/>
      <c r="CC730" s="2" t="s">
        <v>106</v>
      </c>
      <c r="CD730" s="2">
        <v>7925</v>
      </c>
      <c r="CE730" s="2" t="s">
        <v>948</v>
      </c>
      <c r="CF730" s="2"/>
      <c r="CG730" s="2"/>
      <c r="CH730" s="2"/>
      <c r="CI730" s="2">
        <v>1</v>
      </c>
      <c r="CJ730" s="2">
        <v>1</v>
      </c>
      <c r="CK730" s="2">
        <v>21</v>
      </c>
      <c r="CL730" s="2" t="s">
        <v>86</v>
      </c>
      <c r="CM730" s="2"/>
    </row>
    <row r="731" spans="1:91">
      <c r="A731" s="2" t="s">
        <v>71</v>
      </c>
      <c r="B731" s="2" t="s">
        <v>72</v>
      </c>
      <c r="C731" s="2" t="s">
        <v>73</v>
      </c>
      <c r="D731" s="2"/>
      <c r="E731" s="2" t="str">
        <f>"FES1162572153"</f>
        <v>FES1162572153</v>
      </c>
      <c r="F731" s="3">
        <v>42976</v>
      </c>
      <c r="G731" s="2">
        <v>201802</v>
      </c>
      <c r="H731" s="2" t="s">
        <v>74</v>
      </c>
      <c r="I731" s="2" t="s">
        <v>75</v>
      </c>
      <c r="J731" s="2" t="s">
        <v>118</v>
      </c>
      <c r="K731" s="2" t="s">
        <v>77</v>
      </c>
      <c r="L731" s="2" t="s">
        <v>268</v>
      </c>
      <c r="M731" s="2" t="s">
        <v>269</v>
      </c>
      <c r="N731" s="2" t="s">
        <v>621</v>
      </c>
      <c r="O731" s="2" t="s">
        <v>100</v>
      </c>
      <c r="P731" s="2" t="str">
        <f>"2170587758                    "</f>
        <v xml:space="preserve">2170587758 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18.010000000000002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8.8000000000000007</v>
      </c>
      <c r="BJ731" s="2">
        <v>1.6</v>
      </c>
      <c r="BK731" s="2">
        <v>9</v>
      </c>
      <c r="BL731" s="2">
        <v>186.49</v>
      </c>
      <c r="BM731" s="2">
        <v>26.11</v>
      </c>
      <c r="BN731" s="2">
        <v>212.6</v>
      </c>
      <c r="BO731" s="2">
        <v>212.6</v>
      </c>
      <c r="BP731" s="2"/>
      <c r="BQ731" s="2" t="s">
        <v>288</v>
      </c>
      <c r="BR731" s="2" t="s">
        <v>122</v>
      </c>
      <c r="BS731" s="3">
        <v>42977</v>
      </c>
      <c r="BT731" s="4">
        <v>0.73263888888888884</v>
      </c>
      <c r="BU731" s="2"/>
      <c r="BV731" s="2" t="s">
        <v>86</v>
      </c>
      <c r="BW731" s="2"/>
      <c r="BX731" s="2"/>
      <c r="BY731" s="2">
        <v>8083.03</v>
      </c>
      <c r="BZ731" s="2" t="s">
        <v>27</v>
      </c>
      <c r="CA731" s="2"/>
      <c r="CB731" s="2"/>
      <c r="CC731" s="2" t="s">
        <v>269</v>
      </c>
      <c r="CD731" s="2">
        <v>186</v>
      </c>
      <c r="CE731" s="2" t="s">
        <v>89</v>
      </c>
      <c r="CF731" s="2"/>
      <c r="CG731" s="2"/>
      <c r="CH731" s="2"/>
      <c r="CI731" s="2">
        <v>1</v>
      </c>
      <c r="CJ731" s="2">
        <v>1</v>
      </c>
      <c r="CK731" s="2">
        <v>21</v>
      </c>
      <c r="CL731" s="2" t="s">
        <v>86</v>
      </c>
      <c r="CM731" s="2"/>
    </row>
    <row r="732" spans="1:91">
      <c r="A732" s="2" t="s">
        <v>71</v>
      </c>
      <c r="B732" s="2" t="s">
        <v>72</v>
      </c>
      <c r="C732" s="2" t="s">
        <v>73</v>
      </c>
      <c r="D732" s="2"/>
      <c r="E732" s="2" t="str">
        <f>"FESBAKKERD"</f>
        <v>FESBAKKERD</v>
      </c>
      <c r="F732" s="3">
        <v>42921</v>
      </c>
      <c r="G732" s="2">
        <v>201802</v>
      </c>
      <c r="H732" s="2" t="s">
        <v>74</v>
      </c>
      <c r="I732" s="2" t="s">
        <v>75</v>
      </c>
      <c r="J732" s="2" t="s">
        <v>118</v>
      </c>
      <c r="K732" s="2" t="s">
        <v>77</v>
      </c>
      <c r="L732" s="2" t="s">
        <v>170</v>
      </c>
      <c r="M732" s="2" t="s">
        <v>171</v>
      </c>
      <c r="N732" s="2" t="s">
        <v>1397</v>
      </c>
      <c r="O732" s="2" t="s">
        <v>100</v>
      </c>
      <c r="P732" s="2" t="str">
        <f>"                              "</f>
        <v xml:space="preserve">           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1</v>
      </c>
      <c r="BJ732" s="2">
        <v>0.2</v>
      </c>
      <c r="BK732" s="2">
        <v>1</v>
      </c>
      <c r="BL732" s="2">
        <v>0</v>
      </c>
      <c r="BM732" s="2">
        <v>0</v>
      </c>
      <c r="BN732" s="2">
        <v>0</v>
      </c>
      <c r="BO732" s="2">
        <v>0</v>
      </c>
      <c r="BP732" s="2"/>
      <c r="BQ732" s="2" t="s">
        <v>1398</v>
      </c>
      <c r="BR732" s="2" t="s">
        <v>1399</v>
      </c>
      <c r="BS732" s="3">
        <v>42936</v>
      </c>
      <c r="BT732" s="4">
        <v>0.59444444444444444</v>
      </c>
      <c r="BU732" s="2" t="s">
        <v>1400</v>
      </c>
      <c r="BV732" s="2" t="s">
        <v>86</v>
      </c>
      <c r="BW732" s="2"/>
      <c r="BX732" s="2"/>
      <c r="BY732" s="2">
        <v>1200</v>
      </c>
      <c r="BZ732" s="2" t="s">
        <v>1401</v>
      </c>
      <c r="CA732" s="2"/>
      <c r="CB732" s="2"/>
      <c r="CC732" s="2" t="s">
        <v>171</v>
      </c>
      <c r="CD732" s="2">
        <v>1406</v>
      </c>
      <c r="CE732" s="2" t="s">
        <v>104</v>
      </c>
      <c r="CF732" s="5">
        <v>42945</v>
      </c>
      <c r="CG732" s="2"/>
      <c r="CH732" s="2"/>
      <c r="CI732" s="2">
        <v>1</v>
      </c>
      <c r="CJ732" s="2">
        <v>11</v>
      </c>
      <c r="CK732" s="2">
        <v>-1</v>
      </c>
      <c r="CL732" s="2" t="s">
        <v>86</v>
      </c>
      <c r="CM732" s="2"/>
    </row>
    <row r="733" spans="1:91">
      <c r="A733" s="2" t="s">
        <v>71</v>
      </c>
      <c r="B733" s="2" t="s">
        <v>72</v>
      </c>
      <c r="C733" s="2" t="s">
        <v>73</v>
      </c>
      <c r="D733" s="2"/>
      <c r="E733" s="2" t="str">
        <f>"009936459300"</f>
        <v>009936459300</v>
      </c>
      <c r="F733" s="3">
        <v>42973</v>
      </c>
      <c r="G733" s="2">
        <v>201802</v>
      </c>
      <c r="H733" s="2" t="s">
        <v>74</v>
      </c>
      <c r="I733" s="2" t="s">
        <v>75</v>
      </c>
      <c r="J733" s="2" t="s">
        <v>118</v>
      </c>
      <c r="K733" s="2" t="s">
        <v>77</v>
      </c>
      <c r="L733" s="2" t="s">
        <v>105</v>
      </c>
      <c r="M733" s="2" t="s">
        <v>106</v>
      </c>
      <c r="N733" s="2" t="s">
        <v>1402</v>
      </c>
      <c r="O733" s="2" t="s">
        <v>120</v>
      </c>
      <c r="P733" s="2" t="str">
        <f>"pap4830684                    "</f>
        <v xml:space="preserve">pap4830684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351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41.52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1</v>
      </c>
      <c r="BJ733" s="2">
        <v>0.2</v>
      </c>
      <c r="BK733" s="2">
        <v>1</v>
      </c>
      <c r="BL733" s="2">
        <v>429.96</v>
      </c>
      <c r="BM733" s="2">
        <v>60.19</v>
      </c>
      <c r="BN733" s="2">
        <v>490.15</v>
      </c>
      <c r="BO733" s="2">
        <v>490.15</v>
      </c>
      <c r="BP733" s="2" t="s">
        <v>1403</v>
      </c>
      <c r="BQ733" s="2"/>
      <c r="BR733" s="2" t="s">
        <v>469</v>
      </c>
      <c r="BS733" s="3">
        <v>42973</v>
      </c>
      <c r="BT733" s="4">
        <v>0.41666666666666669</v>
      </c>
      <c r="BU733" s="2" t="s">
        <v>1404</v>
      </c>
      <c r="BV733" s="2" t="s">
        <v>95</v>
      </c>
      <c r="BW733" s="2"/>
      <c r="BX733" s="2"/>
      <c r="BY733" s="2">
        <v>1200</v>
      </c>
      <c r="BZ733" s="2" t="s">
        <v>1405</v>
      </c>
      <c r="CA733" s="2"/>
      <c r="CB733" s="2"/>
      <c r="CC733" s="2" t="s">
        <v>106</v>
      </c>
      <c r="CD733" s="2">
        <v>8000</v>
      </c>
      <c r="CE733" s="2" t="s">
        <v>89</v>
      </c>
      <c r="CF733" s="2"/>
      <c r="CG733" s="2"/>
      <c r="CH733" s="2"/>
      <c r="CI733" s="2">
        <v>0</v>
      </c>
      <c r="CJ733" s="2">
        <v>0</v>
      </c>
      <c r="CK733" s="2">
        <v>21</v>
      </c>
      <c r="CL733" s="2" t="s">
        <v>86</v>
      </c>
      <c r="CM733" s="2"/>
    </row>
    <row r="734" spans="1:91">
      <c r="A734" s="2" t="s">
        <v>71</v>
      </c>
      <c r="B734" s="2" t="s">
        <v>72</v>
      </c>
      <c r="C734" s="2" t="s">
        <v>73</v>
      </c>
      <c r="D734" s="2"/>
      <c r="E734" s="2" t="str">
        <f>"FES1162567693"</f>
        <v>FES1162567693</v>
      </c>
      <c r="F734" s="3">
        <v>42955</v>
      </c>
      <c r="G734" s="2">
        <v>201802</v>
      </c>
      <c r="H734" s="2" t="s">
        <v>74</v>
      </c>
      <c r="I734" s="2" t="s">
        <v>75</v>
      </c>
      <c r="J734" s="2" t="s">
        <v>76</v>
      </c>
      <c r="K734" s="2" t="s">
        <v>77</v>
      </c>
      <c r="L734" s="2" t="s">
        <v>237</v>
      </c>
      <c r="M734" s="2" t="s">
        <v>238</v>
      </c>
      <c r="N734" s="2" t="s">
        <v>1406</v>
      </c>
      <c r="O734" s="2" t="s">
        <v>100</v>
      </c>
      <c r="P734" s="2" t="str">
        <f>"2170577274                    "</f>
        <v xml:space="preserve">2170577274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4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</v>
      </c>
      <c r="BI734" s="2">
        <v>1</v>
      </c>
      <c r="BJ734" s="2">
        <v>0.2</v>
      </c>
      <c r="BK734" s="2">
        <v>1</v>
      </c>
      <c r="BL734" s="2">
        <v>41.44</v>
      </c>
      <c r="BM734" s="2">
        <v>5.8</v>
      </c>
      <c r="BN734" s="2">
        <v>47.24</v>
      </c>
      <c r="BO734" s="2">
        <v>47.24</v>
      </c>
      <c r="BP734" s="2"/>
      <c r="BQ734" s="2" t="s">
        <v>83</v>
      </c>
      <c r="BR734" s="2" t="s">
        <v>84</v>
      </c>
      <c r="BS734" s="3">
        <v>42957</v>
      </c>
      <c r="BT734" s="4">
        <v>0.46875</v>
      </c>
      <c r="BU734" s="2" t="s">
        <v>1407</v>
      </c>
      <c r="BV734" s="2" t="s">
        <v>86</v>
      </c>
      <c r="BW734" s="2" t="s">
        <v>87</v>
      </c>
      <c r="BX734" s="2" t="s">
        <v>337</v>
      </c>
      <c r="BY734" s="2">
        <v>1200</v>
      </c>
      <c r="BZ734" s="2"/>
      <c r="CA734" s="2" t="s">
        <v>672</v>
      </c>
      <c r="CB734" s="2"/>
      <c r="CC734" s="2" t="s">
        <v>238</v>
      </c>
      <c r="CD734" s="2">
        <v>3610</v>
      </c>
      <c r="CE734" s="2" t="s">
        <v>104</v>
      </c>
      <c r="CF734" s="5">
        <v>42958</v>
      </c>
      <c r="CG734" s="2"/>
      <c r="CH734" s="2"/>
      <c r="CI734" s="2">
        <v>1</v>
      </c>
      <c r="CJ734" s="2">
        <v>2</v>
      </c>
      <c r="CK734" s="2">
        <v>21</v>
      </c>
      <c r="CL734" s="2" t="s">
        <v>86</v>
      </c>
      <c r="CM734" s="2"/>
    </row>
    <row r="735" spans="1:91">
      <c r="A735" s="2" t="s">
        <v>71</v>
      </c>
      <c r="B735" s="2" t="s">
        <v>72</v>
      </c>
      <c r="C735" s="2" t="s">
        <v>73</v>
      </c>
      <c r="D735" s="2"/>
      <c r="E735" s="2" t="str">
        <f>"FES1162567492"</f>
        <v>FES1162567492</v>
      </c>
      <c r="F735" s="3">
        <v>42954</v>
      </c>
      <c r="G735" s="2">
        <v>201802</v>
      </c>
      <c r="H735" s="2" t="s">
        <v>74</v>
      </c>
      <c r="I735" s="2" t="s">
        <v>75</v>
      </c>
      <c r="J735" s="2" t="s">
        <v>76</v>
      </c>
      <c r="K735" s="2" t="s">
        <v>77</v>
      </c>
      <c r="L735" s="2" t="s">
        <v>97</v>
      </c>
      <c r="M735" s="2" t="s">
        <v>98</v>
      </c>
      <c r="N735" s="2" t="s">
        <v>248</v>
      </c>
      <c r="O735" s="2" t="s">
        <v>100</v>
      </c>
      <c r="P735" s="2" t="str">
        <f>"2170583612                    "</f>
        <v xml:space="preserve">2170583612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4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1</v>
      </c>
      <c r="BI735" s="2">
        <v>1</v>
      </c>
      <c r="BJ735" s="2">
        <v>0.2</v>
      </c>
      <c r="BK735" s="2">
        <v>1</v>
      </c>
      <c r="BL735" s="2">
        <v>41.44</v>
      </c>
      <c r="BM735" s="2">
        <v>5.8</v>
      </c>
      <c r="BN735" s="2">
        <v>47.24</v>
      </c>
      <c r="BO735" s="2">
        <v>47.24</v>
      </c>
      <c r="BP735" s="2"/>
      <c r="BQ735" s="2" t="s">
        <v>83</v>
      </c>
      <c r="BR735" s="2" t="s">
        <v>84</v>
      </c>
      <c r="BS735" s="3">
        <v>42955</v>
      </c>
      <c r="BT735" s="4">
        <v>0.60069444444444442</v>
      </c>
      <c r="BU735" s="2" t="s">
        <v>390</v>
      </c>
      <c r="BV735" s="2" t="s">
        <v>86</v>
      </c>
      <c r="BW735" s="2"/>
      <c r="BX735" s="2"/>
      <c r="BY735" s="2">
        <v>1200</v>
      </c>
      <c r="BZ735" s="2"/>
      <c r="CA735" s="2" t="s">
        <v>294</v>
      </c>
      <c r="CB735" s="2"/>
      <c r="CC735" s="2" t="s">
        <v>98</v>
      </c>
      <c r="CD735" s="2">
        <v>6001</v>
      </c>
      <c r="CE735" s="2" t="s">
        <v>104</v>
      </c>
      <c r="CF735" s="5">
        <v>42955</v>
      </c>
      <c r="CG735" s="2"/>
      <c r="CH735" s="2"/>
      <c r="CI735" s="2">
        <v>1</v>
      </c>
      <c r="CJ735" s="2">
        <v>1</v>
      </c>
      <c r="CK735" s="2">
        <v>21</v>
      </c>
      <c r="CL735" s="2" t="s">
        <v>86</v>
      </c>
      <c r="CM735" s="2"/>
    </row>
    <row r="736" spans="1:91">
      <c r="A736" s="2" t="s">
        <v>71</v>
      </c>
      <c r="B736" s="2" t="s">
        <v>72</v>
      </c>
      <c r="C736" s="2" t="s">
        <v>73</v>
      </c>
      <c r="D736" s="2"/>
      <c r="E736" s="2" t="str">
        <f>"FES1162567625"</f>
        <v>FES1162567625</v>
      </c>
      <c r="F736" s="3">
        <v>42955</v>
      </c>
      <c r="G736" s="2">
        <v>201802</v>
      </c>
      <c r="H736" s="2" t="s">
        <v>74</v>
      </c>
      <c r="I736" s="2" t="s">
        <v>75</v>
      </c>
      <c r="J736" s="2" t="s">
        <v>76</v>
      </c>
      <c r="K736" s="2" t="s">
        <v>77</v>
      </c>
      <c r="L736" s="2" t="s">
        <v>268</v>
      </c>
      <c r="M736" s="2" t="s">
        <v>269</v>
      </c>
      <c r="N736" s="2" t="s">
        <v>351</v>
      </c>
      <c r="O736" s="2" t="s">
        <v>100</v>
      </c>
      <c r="P736" s="2" t="str">
        <f>"2170579664                    "</f>
        <v xml:space="preserve">2170579664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4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1</v>
      </c>
      <c r="BJ736" s="2">
        <v>0.2</v>
      </c>
      <c r="BK736" s="2">
        <v>1</v>
      </c>
      <c r="BL736" s="2">
        <v>41.44</v>
      </c>
      <c r="BM736" s="2">
        <v>5.8</v>
      </c>
      <c r="BN736" s="2">
        <v>47.24</v>
      </c>
      <c r="BO736" s="2">
        <v>47.24</v>
      </c>
      <c r="BP736" s="2" t="s">
        <v>101</v>
      </c>
      <c r="BQ736" s="2" t="s">
        <v>108</v>
      </c>
      <c r="BR736" s="2" t="s">
        <v>84</v>
      </c>
      <c r="BS736" s="3">
        <v>42957</v>
      </c>
      <c r="BT736" s="4">
        <v>0.50069444444444444</v>
      </c>
      <c r="BU736" s="2" t="s">
        <v>1006</v>
      </c>
      <c r="BV736" s="2" t="s">
        <v>86</v>
      </c>
      <c r="BW736" s="2"/>
      <c r="BX736" s="2"/>
      <c r="BY736" s="2">
        <v>1200</v>
      </c>
      <c r="BZ736" s="2"/>
      <c r="CA736" s="2" t="s">
        <v>272</v>
      </c>
      <c r="CB736" s="2"/>
      <c r="CC736" s="2" t="s">
        <v>269</v>
      </c>
      <c r="CD736" s="2">
        <v>200</v>
      </c>
      <c r="CE736" s="2" t="s">
        <v>104</v>
      </c>
      <c r="CF736" s="5">
        <v>42958</v>
      </c>
      <c r="CG736" s="2"/>
      <c r="CH736" s="2"/>
      <c r="CI736" s="2">
        <v>1</v>
      </c>
      <c r="CJ736" s="2">
        <v>2</v>
      </c>
      <c r="CK736" s="2">
        <v>21</v>
      </c>
      <c r="CL736" s="2" t="s">
        <v>86</v>
      </c>
      <c r="CM736" s="2"/>
    </row>
    <row r="737" spans="1:91">
      <c r="A737" s="2" t="s">
        <v>71</v>
      </c>
      <c r="B737" s="2" t="s">
        <v>72</v>
      </c>
      <c r="C737" s="2" t="s">
        <v>73</v>
      </c>
      <c r="D737" s="2"/>
      <c r="E737" s="2" t="str">
        <f>"FES1162567718"</f>
        <v>FES1162567718</v>
      </c>
      <c r="F737" s="3">
        <v>42955</v>
      </c>
      <c r="G737" s="2">
        <v>201802</v>
      </c>
      <c r="H737" s="2" t="s">
        <v>74</v>
      </c>
      <c r="I737" s="2" t="s">
        <v>75</v>
      </c>
      <c r="J737" s="2" t="s">
        <v>76</v>
      </c>
      <c r="K737" s="2" t="s">
        <v>77</v>
      </c>
      <c r="L737" s="2" t="s">
        <v>97</v>
      </c>
      <c r="M737" s="2" t="s">
        <v>98</v>
      </c>
      <c r="N737" s="2" t="s">
        <v>99</v>
      </c>
      <c r="O737" s="2" t="s">
        <v>100</v>
      </c>
      <c r="P737" s="2" t="str">
        <f>"2170583852                    "</f>
        <v xml:space="preserve">2170583852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4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1</v>
      </c>
      <c r="BJ737" s="2">
        <v>0.2</v>
      </c>
      <c r="BK737" s="2">
        <v>1</v>
      </c>
      <c r="BL737" s="2">
        <v>41.44</v>
      </c>
      <c r="BM737" s="2">
        <v>5.8</v>
      </c>
      <c r="BN737" s="2">
        <v>47.24</v>
      </c>
      <c r="BO737" s="2">
        <v>47.24</v>
      </c>
      <c r="BP737" s="2"/>
      <c r="BQ737" s="2" t="s">
        <v>83</v>
      </c>
      <c r="BR737" s="2" t="s">
        <v>84</v>
      </c>
      <c r="BS737" s="3">
        <v>42957</v>
      </c>
      <c r="BT737" s="4">
        <v>0.36388888888888887</v>
      </c>
      <c r="BU737" s="2" t="s">
        <v>102</v>
      </c>
      <c r="BV737" s="2" t="s">
        <v>86</v>
      </c>
      <c r="BW737" s="2"/>
      <c r="BX737" s="2"/>
      <c r="BY737" s="2">
        <v>1200</v>
      </c>
      <c r="BZ737" s="2"/>
      <c r="CA737" s="2" t="s">
        <v>103</v>
      </c>
      <c r="CB737" s="2"/>
      <c r="CC737" s="2" t="s">
        <v>98</v>
      </c>
      <c r="CD737" s="2">
        <v>6210</v>
      </c>
      <c r="CE737" s="2" t="s">
        <v>104</v>
      </c>
      <c r="CF737" s="5">
        <v>42958</v>
      </c>
      <c r="CG737" s="2"/>
      <c r="CH737" s="2"/>
      <c r="CI737" s="2">
        <v>1</v>
      </c>
      <c r="CJ737" s="2">
        <v>2</v>
      </c>
      <c r="CK737" s="2">
        <v>21</v>
      </c>
      <c r="CL737" s="2" t="s">
        <v>86</v>
      </c>
      <c r="CM737" s="2"/>
    </row>
    <row r="738" spans="1:91">
      <c r="A738" s="2" t="s">
        <v>71</v>
      </c>
      <c r="B738" s="2" t="s">
        <v>72</v>
      </c>
      <c r="C738" s="2" t="s">
        <v>73</v>
      </c>
      <c r="D738" s="2"/>
      <c r="E738" s="2" t="str">
        <f>"FES1162567669"</f>
        <v>FES1162567669</v>
      </c>
      <c r="F738" s="3">
        <v>42955</v>
      </c>
      <c r="G738" s="2">
        <v>201802</v>
      </c>
      <c r="H738" s="2" t="s">
        <v>74</v>
      </c>
      <c r="I738" s="2" t="s">
        <v>75</v>
      </c>
      <c r="J738" s="2" t="s">
        <v>76</v>
      </c>
      <c r="K738" s="2" t="s">
        <v>77</v>
      </c>
      <c r="L738" s="2" t="s">
        <v>174</v>
      </c>
      <c r="M738" s="2" t="s">
        <v>175</v>
      </c>
      <c r="N738" s="2" t="s">
        <v>930</v>
      </c>
      <c r="O738" s="2" t="s">
        <v>100</v>
      </c>
      <c r="P738" s="2" t="str">
        <f>"2170580031                    "</f>
        <v xml:space="preserve">2170580031 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4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1</v>
      </c>
      <c r="BJ738" s="2">
        <v>0.2</v>
      </c>
      <c r="BK738" s="2">
        <v>1</v>
      </c>
      <c r="BL738" s="2">
        <v>41.44</v>
      </c>
      <c r="BM738" s="2">
        <v>5.8</v>
      </c>
      <c r="BN738" s="2">
        <v>47.24</v>
      </c>
      <c r="BO738" s="2">
        <v>47.24</v>
      </c>
      <c r="BP738" s="2"/>
      <c r="BQ738" s="2" t="s">
        <v>83</v>
      </c>
      <c r="BR738" s="2" t="s">
        <v>84</v>
      </c>
      <c r="BS738" s="3">
        <v>42957</v>
      </c>
      <c r="BT738" s="4">
        <v>0.36527777777777781</v>
      </c>
      <c r="BU738" s="2" t="s">
        <v>1408</v>
      </c>
      <c r="BV738" s="2" t="s">
        <v>86</v>
      </c>
      <c r="BW738" s="2" t="s">
        <v>110</v>
      </c>
      <c r="BX738" s="2" t="s">
        <v>592</v>
      </c>
      <c r="BY738" s="2">
        <v>1200</v>
      </c>
      <c r="BZ738" s="2"/>
      <c r="CA738" s="2" t="s">
        <v>1373</v>
      </c>
      <c r="CB738" s="2"/>
      <c r="CC738" s="2" t="s">
        <v>175</v>
      </c>
      <c r="CD738" s="2">
        <v>5201</v>
      </c>
      <c r="CE738" s="2" t="s">
        <v>104</v>
      </c>
      <c r="CF738" s="5">
        <v>42958</v>
      </c>
      <c r="CG738" s="2"/>
      <c r="CH738" s="2"/>
      <c r="CI738" s="2">
        <v>1</v>
      </c>
      <c r="CJ738" s="2">
        <v>2</v>
      </c>
      <c r="CK738" s="2">
        <v>21</v>
      </c>
      <c r="CL738" s="2" t="s">
        <v>86</v>
      </c>
      <c r="CM738" s="2"/>
    </row>
    <row r="739" spans="1:91">
      <c r="A739" s="2" t="s">
        <v>71</v>
      </c>
      <c r="B739" s="2" t="s">
        <v>72</v>
      </c>
      <c r="C739" s="2" t="s">
        <v>73</v>
      </c>
      <c r="D739" s="2"/>
      <c r="E739" s="2" t="str">
        <f>"FES1162567663"</f>
        <v>FES1162567663</v>
      </c>
      <c r="F739" s="3">
        <v>42955</v>
      </c>
      <c r="G739" s="2">
        <v>201802</v>
      </c>
      <c r="H739" s="2" t="s">
        <v>74</v>
      </c>
      <c r="I739" s="2" t="s">
        <v>75</v>
      </c>
      <c r="J739" s="2" t="s">
        <v>76</v>
      </c>
      <c r="K739" s="2" t="s">
        <v>77</v>
      </c>
      <c r="L739" s="2" t="s">
        <v>417</v>
      </c>
      <c r="M739" s="2" t="s">
        <v>417</v>
      </c>
      <c r="N739" s="2" t="s">
        <v>1409</v>
      </c>
      <c r="O739" s="2" t="s">
        <v>100</v>
      </c>
      <c r="P739" s="2" t="str">
        <f>"2170583462                    "</f>
        <v xml:space="preserve">2170583462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4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1</v>
      </c>
      <c r="BJ739" s="2">
        <v>0.2</v>
      </c>
      <c r="BK739" s="2">
        <v>1</v>
      </c>
      <c r="BL739" s="2">
        <v>41.44</v>
      </c>
      <c r="BM739" s="2">
        <v>5.8</v>
      </c>
      <c r="BN739" s="2">
        <v>47.24</v>
      </c>
      <c r="BO739" s="2">
        <v>47.24</v>
      </c>
      <c r="BP739" s="2"/>
      <c r="BQ739" s="2" t="s">
        <v>288</v>
      </c>
      <c r="BR739" s="2" t="s">
        <v>84</v>
      </c>
      <c r="BS739" s="3">
        <v>42957</v>
      </c>
      <c r="BT739" s="4">
        <v>0.54166666666666663</v>
      </c>
      <c r="BU739" s="2" t="s">
        <v>612</v>
      </c>
      <c r="BV739" s="2" t="s">
        <v>86</v>
      </c>
      <c r="BW739" s="2" t="s">
        <v>336</v>
      </c>
      <c r="BX739" s="2" t="s">
        <v>116</v>
      </c>
      <c r="BY739" s="2">
        <v>1200</v>
      </c>
      <c r="BZ739" s="2"/>
      <c r="CA739" s="2" t="s">
        <v>420</v>
      </c>
      <c r="CB739" s="2"/>
      <c r="CC739" s="2" t="s">
        <v>417</v>
      </c>
      <c r="CD739" s="2">
        <v>7646</v>
      </c>
      <c r="CE739" s="2" t="s">
        <v>104</v>
      </c>
      <c r="CF739" s="5">
        <v>42957</v>
      </c>
      <c r="CG739" s="2"/>
      <c r="CH739" s="2"/>
      <c r="CI739" s="2">
        <v>1</v>
      </c>
      <c r="CJ739" s="2">
        <v>2</v>
      </c>
      <c r="CK739" s="2">
        <v>21</v>
      </c>
      <c r="CL739" s="2" t="s">
        <v>86</v>
      </c>
      <c r="CM739" s="2"/>
    </row>
    <row r="740" spans="1:91">
      <c r="A740" s="2" t="s">
        <v>71</v>
      </c>
      <c r="B740" s="2" t="s">
        <v>72</v>
      </c>
      <c r="C740" s="2" t="s">
        <v>73</v>
      </c>
      <c r="D740" s="2"/>
      <c r="E740" s="2" t="str">
        <f>"FES1162567616"</f>
        <v>FES1162567616</v>
      </c>
      <c r="F740" s="3">
        <v>42955</v>
      </c>
      <c r="G740" s="2">
        <v>201802</v>
      </c>
      <c r="H740" s="2" t="s">
        <v>74</v>
      </c>
      <c r="I740" s="2" t="s">
        <v>75</v>
      </c>
      <c r="J740" s="2" t="s">
        <v>76</v>
      </c>
      <c r="K740" s="2" t="s">
        <v>77</v>
      </c>
      <c r="L740" s="2" t="s">
        <v>97</v>
      </c>
      <c r="M740" s="2" t="s">
        <v>98</v>
      </c>
      <c r="N740" s="2" t="s">
        <v>99</v>
      </c>
      <c r="O740" s="2" t="s">
        <v>100</v>
      </c>
      <c r="P740" s="2" t="str">
        <f>"2170583765                    "</f>
        <v xml:space="preserve">2170583765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4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1</v>
      </c>
      <c r="BJ740" s="2">
        <v>0.2</v>
      </c>
      <c r="BK740" s="2">
        <v>1</v>
      </c>
      <c r="BL740" s="2">
        <v>41.44</v>
      </c>
      <c r="BM740" s="2">
        <v>5.8</v>
      </c>
      <c r="BN740" s="2">
        <v>47.24</v>
      </c>
      <c r="BO740" s="2">
        <v>47.24</v>
      </c>
      <c r="BP740" s="2"/>
      <c r="BQ740" s="2" t="s">
        <v>83</v>
      </c>
      <c r="BR740" s="2" t="s">
        <v>84</v>
      </c>
      <c r="BS740" s="3">
        <v>42957</v>
      </c>
      <c r="BT740" s="4">
        <v>0.36458333333333331</v>
      </c>
      <c r="BU740" s="2" t="s">
        <v>102</v>
      </c>
      <c r="BV740" s="2" t="s">
        <v>86</v>
      </c>
      <c r="BW740" s="2"/>
      <c r="BX740" s="2"/>
      <c r="BY740" s="2">
        <v>1200</v>
      </c>
      <c r="BZ740" s="2"/>
      <c r="CA740" s="2" t="s">
        <v>103</v>
      </c>
      <c r="CB740" s="2"/>
      <c r="CC740" s="2" t="s">
        <v>98</v>
      </c>
      <c r="CD740" s="2">
        <v>6210</v>
      </c>
      <c r="CE740" s="2" t="s">
        <v>104</v>
      </c>
      <c r="CF740" s="5">
        <v>42958</v>
      </c>
      <c r="CG740" s="2"/>
      <c r="CH740" s="2"/>
      <c r="CI740" s="2">
        <v>1</v>
      </c>
      <c r="CJ740" s="2">
        <v>2</v>
      </c>
      <c r="CK740" s="2">
        <v>21</v>
      </c>
      <c r="CL740" s="2" t="s">
        <v>86</v>
      </c>
      <c r="CM740" s="2"/>
    </row>
    <row r="741" spans="1:91">
      <c r="A741" s="2" t="s">
        <v>71</v>
      </c>
      <c r="B741" s="2" t="s">
        <v>72</v>
      </c>
      <c r="C741" s="2" t="s">
        <v>73</v>
      </c>
      <c r="D741" s="2"/>
      <c r="E741" s="2" t="str">
        <f>"FES1162567722"</f>
        <v>FES1162567722</v>
      </c>
      <c r="F741" s="3">
        <v>42955</v>
      </c>
      <c r="G741" s="2">
        <v>201802</v>
      </c>
      <c r="H741" s="2" t="s">
        <v>74</v>
      </c>
      <c r="I741" s="2" t="s">
        <v>75</v>
      </c>
      <c r="J741" s="2" t="s">
        <v>76</v>
      </c>
      <c r="K741" s="2" t="s">
        <v>77</v>
      </c>
      <c r="L741" s="2" t="s">
        <v>97</v>
      </c>
      <c r="M741" s="2" t="s">
        <v>98</v>
      </c>
      <c r="N741" s="2" t="s">
        <v>99</v>
      </c>
      <c r="O741" s="2" t="s">
        <v>100</v>
      </c>
      <c r="P741" s="2" t="str">
        <f>"2170583860                    "</f>
        <v xml:space="preserve">2170583860 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4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1</v>
      </c>
      <c r="BI741" s="2">
        <v>1</v>
      </c>
      <c r="BJ741" s="2">
        <v>0.2</v>
      </c>
      <c r="BK741" s="2">
        <v>1</v>
      </c>
      <c r="BL741" s="2">
        <v>41.44</v>
      </c>
      <c r="BM741" s="2">
        <v>5.8</v>
      </c>
      <c r="BN741" s="2">
        <v>47.24</v>
      </c>
      <c r="BO741" s="2">
        <v>47.24</v>
      </c>
      <c r="BP741" s="2" t="s">
        <v>1410</v>
      </c>
      <c r="BQ741" s="2" t="s">
        <v>83</v>
      </c>
      <c r="BR741" s="2" t="s">
        <v>84</v>
      </c>
      <c r="BS741" s="3">
        <v>42957</v>
      </c>
      <c r="BT741" s="4">
        <v>0.37013888888888885</v>
      </c>
      <c r="BU741" s="2" t="s">
        <v>102</v>
      </c>
      <c r="BV741" s="2" t="s">
        <v>86</v>
      </c>
      <c r="BW741" s="2"/>
      <c r="BX741" s="2"/>
      <c r="BY741" s="2">
        <v>1200</v>
      </c>
      <c r="BZ741" s="2"/>
      <c r="CA741" s="2" t="s">
        <v>103</v>
      </c>
      <c r="CB741" s="2"/>
      <c r="CC741" s="2" t="s">
        <v>98</v>
      </c>
      <c r="CD741" s="2">
        <v>6210</v>
      </c>
      <c r="CE741" s="2" t="s">
        <v>104</v>
      </c>
      <c r="CF741" s="5">
        <v>42958</v>
      </c>
      <c r="CG741" s="2"/>
      <c r="CH741" s="2"/>
      <c r="CI741" s="2">
        <v>1</v>
      </c>
      <c r="CJ741" s="2">
        <v>2</v>
      </c>
      <c r="CK741" s="2">
        <v>21</v>
      </c>
      <c r="CL741" s="2" t="s">
        <v>86</v>
      </c>
      <c r="CM741" s="2"/>
    </row>
    <row r="742" spans="1:91">
      <c r="A742" s="2" t="s">
        <v>71</v>
      </c>
      <c r="B742" s="2" t="s">
        <v>72</v>
      </c>
      <c r="C742" s="2" t="s">
        <v>73</v>
      </c>
      <c r="D742" s="2"/>
      <c r="E742" s="2" t="str">
        <f>"FES1162567672"</f>
        <v>FES1162567672</v>
      </c>
      <c r="F742" s="3">
        <v>42955</v>
      </c>
      <c r="G742" s="2">
        <v>201802</v>
      </c>
      <c r="H742" s="2" t="s">
        <v>74</v>
      </c>
      <c r="I742" s="2" t="s">
        <v>75</v>
      </c>
      <c r="J742" s="2" t="s">
        <v>76</v>
      </c>
      <c r="K742" s="2" t="s">
        <v>77</v>
      </c>
      <c r="L742" s="2" t="s">
        <v>78</v>
      </c>
      <c r="M742" s="2" t="s">
        <v>79</v>
      </c>
      <c r="N742" s="2" t="s">
        <v>1411</v>
      </c>
      <c r="O742" s="2" t="s">
        <v>100</v>
      </c>
      <c r="P742" s="2" t="str">
        <f>"2170581305                    "</f>
        <v xml:space="preserve">2170581305  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4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1</v>
      </c>
      <c r="BJ742" s="2">
        <v>0.2</v>
      </c>
      <c r="BK742" s="2">
        <v>1</v>
      </c>
      <c r="BL742" s="2">
        <v>41.44</v>
      </c>
      <c r="BM742" s="2">
        <v>5.8</v>
      </c>
      <c r="BN742" s="2">
        <v>47.24</v>
      </c>
      <c r="BO742" s="2">
        <v>47.24</v>
      </c>
      <c r="BP742" s="2"/>
      <c r="BQ742" s="2" t="s">
        <v>83</v>
      </c>
      <c r="BR742" s="2" t="s">
        <v>84</v>
      </c>
      <c r="BS742" s="3">
        <v>42957</v>
      </c>
      <c r="BT742" s="4">
        <v>0.41666666666666669</v>
      </c>
      <c r="BU742" s="2" t="s">
        <v>1412</v>
      </c>
      <c r="BV742" s="2" t="s">
        <v>86</v>
      </c>
      <c r="BW742" s="2" t="s">
        <v>124</v>
      </c>
      <c r="BX742" s="2" t="s">
        <v>1413</v>
      </c>
      <c r="BY742" s="2">
        <v>1200</v>
      </c>
      <c r="BZ742" s="2"/>
      <c r="CA742" s="2"/>
      <c r="CB742" s="2"/>
      <c r="CC742" s="2" t="s">
        <v>79</v>
      </c>
      <c r="CD742" s="2">
        <v>9301</v>
      </c>
      <c r="CE742" s="2" t="s">
        <v>104</v>
      </c>
      <c r="CF742" s="5">
        <v>42959</v>
      </c>
      <c r="CG742" s="2"/>
      <c r="CH742" s="2"/>
      <c r="CI742" s="2">
        <v>1</v>
      </c>
      <c r="CJ742" s="2">
        <v>2</v>
      </c>
      <c r="CK742" s="2">
        <v>21</v>
      </c>
      <c r="CL742" s="2" t="s">
        <v>86</v>
      </c>
      <c r="CM742" s="2"/>
    </row>
    <row r="743" spans="1:91">
      <c r="A743" s="2" t="s">
        <v>71</v>
      </c>
      <c r="B743" s="2" t="s">
        <v>72</v>
      </c>
      <c r="C743" s="2" t="s">
        <v>73</v>
      </c>
      <c r="D743" s="2"/>
      <c r="E743" s="2" t="str">
        <f>"FES1162567719"</f>
        <v>FES1162567719</v>
      </c>
      <c r="F743" s="3">
        <v>42955</v>
      </c>
      <c r="G743" s="2">
        <v>201802</v>
      </c>
      <c r="H743" s="2" t="s">
        <v>74</v>
      </c>
      <c r="I743" s="2" t="s">
        <v>75</v>
      </c>
      <c r="J743" s="2" t="s">
        <v>76</v>
      </c>
      <c r="K743" s="2" t="s">
        <v>77</v>
      </c>
      <c r="L743" s="2" t="s">
        <v>97</v>
      </c>
      <c r="M743" s="2" t="s">
        <v>98</v>
      </c>
      <c r="N743" s="2" t="s">
        <v>99</v>
      </c>
      <c r="O743" s="2" t="s">
        <v>100</v>
      </c>
      <c r="P743" s="2" t="str">
        <f>"2170583853                    "</f>
        <v xml:space="preserve">2170583853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4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1</v>
      </c>
      <c r="BI743" s="2">
        <v>1</v>
      </c>
      <c r="BJ743" s="2">
        <v>0.2</v>
      </c>
      <c r="BK743" s="2">
        <v>1</v>
      </c>
      <c r="BL743" s="2">
        <v>41.44</v>
      </c>
      <c r="BM743" s="2">
        <v>5.8</v>
      </c>
      <c r="BN743" s="2">
        <v>47.24</v>
      </c>
      <c r="BO743" s="2">
        <v>47.24</v>
      </c>
      <c r="BP743" s="2"/>
      <c r="BQ743" s="2" t="s">
        <v>83</v>
      </c>
      <c r="BR743" s="2" t="s">
        <v>84</v>
      </c>
      <c r="BS743" s="3">
        <v>42957</v>
      </c>
      <c r="BT743" s="4">
        <v>0.37083333333333335</v>
      </c>
      <c r="BU743" s="2" t="s">
        <v>102</v>
      </c>
      <c r="BV743" s="2" t="s">
        <v>86</v>
      </c>
      <c r="BW743" s="2"/>
      <c r="BX743" s="2"/>
      <c r="BY743" s="2">
        <v>1200</v>
      </c>
      <c r="BZ743" s="2"/>
      <c r="CA743" s="2" t="s">
        <v>103</v>
      </c>
      <c r="CB743" s="2"/>
      <c r="CC743" s="2" t="s">
        <v>98</v>
      </c>
      <c r="CD743" s="2">
        <v>6210</v>
      </c>
      <c r="CE743" s="2" t="s">
        <v>104</v>
      </c>
      <c r="CF743" s="5">
        <v>42958</v>
      </c>
      <c r="CG743" s="2"/>
      <c r="CH743" s="2"/>
      <c r="CI743" s="2">
        <v>1</v>
      </c>
      <c r="CJ743" s="2">
        <v>2</v>
      </c>
      <c r="CK743" s="2">
        <v>21</v>
      </c>
      <c r="CL743" s="2" t="s">
        <v>86</v>
      </c>
      <c r="CM743" s="2"/>
    </row>
    <row r="744" spans="1:91">
      <c r="A744" s="2" t="s">
        <v>71</v>
      </c>
      <c r="B744" s="2" t="s">
        <v>72</v>
      </c>
      <c r="C744" s="2" t="s">
        <v>73</v>
      </c>
      <c r="D744" s="2"/>
      <c r="E744" s="2" t="str">
        <f>"FES1162567707"</f>
        <v>FES1162567707</v>
      </c>
      <c r="F744" s="3">
        <v>42955</v>
      </c>
      <c r="G744" s="2">
        <v>201802</v>
      </c>
      <c r="H744" s="2" t="s">
        <v>74</v>
      </c>
      <c r="I744" s="2" t="s">
        <v>75</v>
      </c>
      <c r="J744" s="2" t="s">
        <v>76</v>
      </c>
      <c r="K744" s="2" t="s">
        <v>77</v>
      </c>
      <c r="L744" s="2" t="s">
        <v>97</v>
      </c>
      <c r="M744" s="2" t="s">
        <v>98</v>
      </c>
      <c r="N744" s="2" t="s">
        <v>99</v>
      </c>
      <c r="O744" s="2" t="s">
        <v>100</v>
      </c>
      <c r="P744" s="2" t="str">
        <f>"2170583842                    "</f>
        <v xml:space="preserve">2170583842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4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1</v>
      </c>
      <c r="BI744" s="2">
        <v>1</v>
      </c>
      <c r="BJ744" s="2">
        <v>0.2</v>
      </c>
      <c r="BK744" s="2">
        <v>1</v>
      </c>
      <c r="BL744" s="2">
        <v>41.44</v>
      </c>
      <c r="BM744" s="2">
        <v>5.8</v>
      </c>
      <c r="BN744" s="2">
        <v>47.24</v>
      </c>
      <c r="BO744" s="2">
        <v>47.24</v>
      </c>
      <c r="BP744" s="2" t="s">
        <v>1410</v>
      </c>
      <c r="BQ744" s="2" t="s">
        <v>83</v>
      </c>
      <c r="BR744" s="2" t="s">
        <v>84</v>
      </c>
      <c r="BS744" s="3">
        <v>42957</v>
      </c>
      <c r="BT744" s="4">
        <v>0.36458333333333331</v>
      </c>
      <c r="BU744" s="2" t="s">
        <v>102</v>
      </c>
      <c r="BV744" s="2" t="s">
        <v>86</v>
      </c>
      <c r="BW744" s="2"/>
      <c r="BX744" s="2"/>
      <c r="BY744" s="2">
        <v>1200</v>
      </c>
      <c r="BZ744" s="2"/>
      <c r="CA744" s="2" t="s">
        <v>103</v>
      </c>
      <c r="CB744" s="2"/>
      <c r="CC744" s="2" t="s">
        <v>98</v>
      </c>
      <c r="CD744" s="2">
        <v>6210</v>
      </c>
      <c r="CE744" s="2" t="s">
        <v>104</v>
      </c>
      <c r="CF744" s="5">
        <v>42958</v>
      </c>
      <c r="CG744" s="2"/>
      <c r="CH744" s="2"/>
      <c r="CI744" s="2">
        <v>1</v>
      </c>
      <c r="CJ744" s="2">
        <v>2</v>
      </c>
      <c r="CK744" s="2">
        <v>21</v>
      </c>
      <c r="CL744" s="2" t="s">
        <v>86</v>
      </c>
      <c r="CM744" s="2"/>
    </row>
    <row r="745" spans="1:91">
      <c r="A745" s="2" t="s">
        <v>71</v>
      </c>
      <c r="B745" s="2" t="s">
        <v>72</v>
      </c>
      <c r="C745" s="2" t="s">
        <v>73</v>
      </c>
      <c r="D745" s="2"/>
      <c r="E745" s="2" t="str">
        <f>"FES1162567634"</f>
        <v>FES1162567634</v>
      </c>
      <c r="F745" s="3">
        <v>42955</v>
      </c>
      <c r="G745" s="2">
        <v>201802</v>
      </c>
      <c r="H745" s="2" t="s">
        <v>74</v>
      </c>
      <c r="I745" s="2" t="s">
        <v>75</v>
      </c>
      <c r="J745" s="2" t="s">
        <v>76</v>
      </c>
      <c r="K745" s="2" t="s">
        <v>77</v>
      </c>
      <c r="L745" s="2" t="s">
        <v>417</v>
      </c>
      <c r="M745" s="2" t="s">
        <v>417</v>
      </c>
      <c r="N745" s="2" t="s">
        <v>1414</v>
      </c>
      <c r="O745" s="2" t="s">
        <v>100</v>
      </c>
      <c r="P745" s="2" t="str">
        <f>"2170581664                    "</f>
        <v xml:space="preserve">2170581664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4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1</v>
      </c>
      <c r="BJ745" s="2">
        <v>0.2</v>
      </c>
      <c r="BK745" s="2">
        <v>1</v>
      </c>
      <c r="BL745" s="2">
        <v>41.44</v>
      </c>
      <c r="BM745" s="2">
        <v>5.8</v>
      </c>
      <c r="BN745" s="2">
        <v>47.24</v>
      </c>
      <c r="BO745" s="2">
        <v>47.24</v>
      </c>
      <c r="BP745" s="2"/>
      <c r="BQ745" s="2" t="s">
        <v>108</v>
      </c>
      <c r="BR745" s="2" t="s">
        <v>84</v>
      </c>
      <c r="BS745" s="3">
        <v>42957</v>
      </c>
      <c r="BT745" s="4">
        <v>0.57638888888888895</v>
      </c>
      <c r="BU745" s="2" t="s">
        <v>1415</v>
      </c>
      <c r="BV745" s="2" t="s">
        <v>86</v>
      </c>
      <c r="BW745" s="2" t="s">
        <v>336</v>
      </c>
      <c r="BX745" s="2" t="s">
        <v>116</v>
      </c>
      <c r="BY745" s="2">
        <v>1200</v>
      </c>
      <c r="BZ745" s="2"/>
      <c r="CA745" s="2"/>
      <c r="CB745" s="2"/>
      <c r="CC745" s="2" t="s">
        <v>417</v>
      </c>
      <c r="CD745" s="2">
        <v>7646</v>
      </c>
      <c r="CE745" s="2" t="s">
        <v>104</v>
      </c>
      <c r="CF745" s="5">
        <v>42957</v>
      </c>
      <c r="CG745" s="2"/>
      <c r="CH745" s="2"/>
      <c r="CI745" s="2">
        <v>1</v>
      </c>
      <c r="CJ745" s="2">
        <v>2</v>
      </c>
      <c r="CK745" s="2">
        <v>21</v>
      </c>
      <c r="CL745" s="2" t="s">
        <v>86</v>
      </c>
      <c r="CM745" s="2"/>
    </row>
    <row r="746" spans="1:91">
      <c r="A746" s="2" t="s">
        <v>71</v>
      </c>
      <c r="B746" s="2" t="s">
        <v>72</v>
      </c>
      <c r="C746" s="2" t="s">
        <v>73</v>
      </c>
      <c r="D746" s="2"/>
      <c r="E746" s="2" t="str">
        <f>"FES1162567412"</f>
        <v>FES1162567412</v>
      </c>
      <c r="F746" s="3">
        <v>42954</v>
      </c>
      <c r="G746" s="2">
        <v>201802</v>
      </c>
      <c r="H746" s="2" t="s">
        <v>74</v>
      </c>
      <c r="I746" s="2" t="s">
        <v>75</v>
      </c>
      <c r="J746" s="2" t="s">
        <v>76</v>
      </c>
      <c r="K746" s="2" t="s">
        <v>77</v>
      </c>
      <c r="L746" s="2" t="s">
        <v>449</v>
      </c>
      <c r="M746" s="2" t="s">
        <v>1263</v>
      </c>
      <c r="N746" s="2" t="s">
        <v>1416</v>
      </c>
      <c r="O746" s="2" t="s">
        <v>100</v>
      </c>
      <c r="P746" s="2" t="str">
        <f>"2170583569                    "</f>
        <v xml:space="preserve">2170583569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7.75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1</v>
      </c>
      <c r="BI746" s="2">
        <v>1</v>
      </c>
      <c r="BJ746" s="2">
        <v>0.2</v>
      </c>
      <c r="BK746" s="2">
        <v>1</v>
      </c>
      <c r="BL746" s="2">
        <v>80.290000000000006</v>
      </c>
      <c r="BM746" s="2">
        <v>11.24</v>
      </c>
      <c r="BN746" s="2">
        <v>91.53</v>
      </c>
      <c r="BO746" s="2">
        <v>91.53</v>
      </c>
      <c r="BP746" s="2"/>
      <c r="BQ746" s="2" t="s">
        <v>83</v>
      </c>
      <c r="BR746" s="2" t="s">
        <v>84</v>
      </c>
      <c r="BS746" s="3">
        <v>42955</v>
      </c>
      <c r="BT746" s="4">
        <v>0.52777777777777779</v>
      </c>
      <c r="BU746" s="2" t="s">
        <v>1417</v>
      </c>
      <c r="BV746" s="2" t="s">
        <v>95</v>
      </c>
      <c r="BW746" s="2"/>
      <c r="BX746" s="2"/>
      <c r="BY746" s="2">
        <v>1200</v>
      </c>
      <c r="BZ746" s="2"/>
      <c r="CA746" s="2"/>
      <c r="CB746" s="2"/>
      <c r="CC746" s="2" t="s">
        <v>1263</v>
      </c>
      <c r="CD746" s="2">
        <v>5320</v>
      </c>
      <c r="CE746" s="2" t="s">
        <v>104</v>
      </c>
      <c r="CF746" s="5">
        <v>42958</v>
      </c>
      <c r="CG746" s="2"/>
      <c r="CH746" s="2"/>
      <c r="CI746" s="2">
        <v>4</v>
      </c>
      <c r="CJ746" s="2">
        <v>1</v>
      </c>
      <c r="CK746" s="2">
        <v>23</v>
      </c>
      <c r="CL746" s="2" t="s">
        <v>86</v>
      </c>
      <c r="CM746" s="2"/>
    </row>
    <row r="747" spans="1:91">
      <c r="A747" s="2" t="s">
        <v>71</v>
      </c>
      <c r="B747" s="2" t="s">
        <v>72</v>
      </c>
      <c r="C747" s="2" t="s">
        <v>73</v>
      </c>
      <c r="D747" s="2"/>
      <c r="E747" s="2" t="str">
        <f>"FES1162567703"</f>
        <v>FES1162567703</v>
      </c>
      <c r="F747" s="3">
        <v>42955</v>
      </c>
      <c r="G747" s="2">
        <v>201802</v>
      </c>
      <c r="H747" s="2" t="s">
        <v>74</v>
      </c>
      <c r="I747" s="2" t="s">
        <v>75</v>
      </c>
      <c r="J747" s="2" t="s">
        <v>76</v>
      </c>
      <c r="K747" s="2" t="s">
        <v>77</v>
      </c>
      <c r="L747" s="2" t="s">
        <v>174</v>
      </c>
      <c r="M747" s="2" t="s">
        <v>175</v>
      </c>
      <c r="N747" s="2" t="s">
        <v>1418</v>
      </c>
      <c r="O747" s="2" t="s">
        <v>100</v>
      </c>
      <c r="P747" s="2" t="str">
        <f>"2170581462                    "</f>
        <v xml:space="preserve">2170581462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4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1</v>
      </c>
      <c r="BJ747" s="2">
        <v>0.2</v>
      </c>
      <c r="BK747" s="2">
        <v>1</v>
      </c>
      <c r="BL747" s="2">
        <v>41.44</v>
      </c>
      <c r="BM747" s="2">
        <v>5.8</v>
      </c>
      <c r="BN747" s="2">
        <v>47.24</v>
      </c>
      <c r="BO747" s="2">
        <v>47.24</v>
      </c>
      <c r="BP747" s="2"/>
      <c r="BQ747" s="2" t="s">
        <v>83</v>
      </c>
      <c r="BR747" s="2" t="s">
        <v>84</v>
      </c>
      <c r="BS747" s="3">
        <v>42957</v>
      </c>
      <c r="BT747" s="4">
        <v>0.35555555555555557</v>
      </c>
      <c r="BU747" s="2" t="s">
        <v>1419</v>
      </c>
      <c r="BV747" s="2" t="s">
        <v>86</v>
      </c>
      <c r="BW747" s="2" t="s">
        <v>110</v>
      </c>
      <c r="BX747" s="2" t="s">
        <v>592</v>
      </c>
      <c r="BY747" s="2">
        <v>1200</v>
      </c>
      <c r="BZ747" s="2"/>
      <c r="CA747" s="2" t="s">
        <v>1420</v>
      </c>
      <c r="CB747" s="2"/>
      <c r="CC747" s="2" t="s">
        <v>175</v>
      </c>
      <c r="CD747" s="2">
        <v>5201</v>
      </c>
      <c r="CE747" s="2" t="s">
        <v>104</v>
      </c>
      <c r="CF747" s="5">
        <v>42958</v>
      </c>
      <c r="CG747" s="2"/>
      <c r="CH747" s="2"/>
      <c r="CI747" s="2">
        <v>1</v>
      </c>
      <c r="CJ747" s="2">
        <v>2</v>
      </c>
      <c r="CK747" s="2">
        <v>21</v>
      </c>
      <c r="CL747" s="2" t="s">
        <v>86</v>
      </c>
      <c r="CM747" s="2"/>
    </row>
    <row r="748" spans="1:91">
      <c r="A748" s="2" t="s">
        <v>71</v>
      </c>
      <c r="B748" s="2" t="s">
        <v>72</v>
      </c>
      <c r="C748" s="2" t="s">
        <v>73</v>
      </c>
      <c r="D748" s="2"/>
      <c r="E748" s="2" t="str">
        <f>"FES1162567726"</f>
        <v>FES1162567726</v>
      </c>
      <c r="F748" s="3">
        <v>42955</v>
      </c>
      <c r="G748" s="2">
        <v>201802</v>
      </c>
      <c r="H748" s="2" t="s">
        <v>74</v>
      </c>
      <c r="I748" s="2" t="s">
        <v>75</v>
      </c>
      <c r="J748" s="2" t="s">
        <v>76</v>
      </c>
      <c r="K748" s="2" t="s">
        <v>77</v>
      </c>
      <c r="L748" s="2" t="s">
        <v>97</v>
      </c>
      <c r="M748" s="2" t="s">
        <v>98</v>
      </c>
      <c r="N748" s="2" t="s">
        <v>292</v>
      </c>
      <c r="O748" s="2" t="s">
        <v>100</v>
      </c>
      <c r="P748" s="2" t="str">
        <f>"2170580356                    "</f>
        <v xml:space="preserve">2170580356 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4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1</v>
      </c>
      <c r="BJ748" s="2">
        <v>0.2</v>
      </c>
      <c r="BK748" s="2">
        <v>1</v>
      </c>
      <c r="BL748" s="2">
        <v>41.44</v>
      </c>
      <c r="BM748" s="2">
        <v>5.8</v>
      </c>
      <c r="BN748" s="2">
        <v>47.24</v>
      </c>
      <c r="BO748" s="2">
        <v>47.24</v>
      </c>
      <c r="BP748" s="2"/>
      <c r="BQ748" s="2" t="s">
        <v>83</v>
      </c>
      <c r="BR748" s="2" t="s">
        <v>84</v>
      </c>
      <c r="BS748" s="3">
        <v>42957</v>
      </c>
      <c r="BT748" s="4">
        <v>0.3215277777777778</v>
      </c>
      <c r="BU748" s="2" t="s">
        <v>293</v>
      </c>
      <c r="BV748" s="2" t="s">
        <v>86</v>
      </c>
      <c r="BW748" s="2"/>
      <c r="BX748" s="2"/>
      <c r="BY748" s="2">
        <v>1200</v>
      </c>
      <c r="BZ748" s="2"/>
      <c r="CA748" s="2" t="s">
        <v>294</v>
      </c>
      <c r="CB748" s="2"/>
      <c r="CC748" s="2" t="s">
        <v>98</v>
      </c>
      <c r="CD748" s="2">
        <v>6001</v>
      </c>
      <c r="CE748" s="2" t="s">
        <v>104</v>
      </c>
      <c r="CF748" s="5">
        <v>42958</v>
      </c>
      <c r="CG748" s="2"/>
      <c r="CH748" s="2"/>
      <c r="CI748" s="2">
        <v>1</v>
      </c>
      <c r="CJ748" s="2">
        <v>2</v>
      </c>
      <c r="CK748" s="2">
        <v>21</v>
      </c>
      <c r="CL748" s="2" t="s">
        <v>86</v>
      </c>
      <c r="CM748" s="2"/>
    </row>
    <row r="749" spans="1:91">
      <c r="A749" s="2" t="s">
        <v>71</v>
      </c>
      <c r="B749" s="2" t="s">
        <v>72</v>
      </c>
      <c r="C749" s="2" t="s">
        <v>73</v>
      </c>
      <c r="D749" s="2"/>
      <c r="E749" s="2" t="str">
        <f>"FES1162567646"</f>
        <v>FES1162567646</v>
      </c>
      <c r="F749" s="3">
        <v>42955</v>
      </c>
      <c r="G749" s="2">
        <v>201802</v>
      </c>
      <c r="H749" s="2" t="s">
        <v>74</v>
      </c>
      <c r="I749" s="2" t="s">
        <v>75</v>
      </c>
      <c r="J749" s="2" t="s">
        <v>76</v>
      </c>
      <c r="K749" s="2" t="s">
        <v>77</v>
      </c>
      <c r="L749" s="2" t="s">
        <v>206</v>
      </c>
      <c r="M749" s="2" t="s">
        <v>207</v>
      </c>
      <c r="N749" s="2" t="s">
        <v>262</v>
      </c>
      <c r="O749" s="2" t="s">
        <v>100</v>
      </c>
      <c r="P749" s="2" t="str">
        <f>"2170583782                    "</f>
        <v xml:space="preserve">2170583782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5.63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1</v>
      </c>
      <c r="BJ749" s="2">
        <v>0.2</v>
      </c>
      <c r="BK749" s="2">
        <v>1</v>
      </c>
      <c r="BL749" s="2">
        <v>58.28</v>
      </c>
      <c r="BM749" s="2">
        <v>8.16</v>
      </c>
      <c r="BN749" s="2">
        <v>66.44</v>
      </c>
      <c r="BO749" s="2">
        <v>66.44</v>
      </c>
      <c r="BP749" s="2" t="s">
        <v>101</v>
      </c>
      <c r="BQ749" s="2" t="s">
        <v>83</v>
      </c>
      <c r="BR749" s="2" t="s">
        <v>84</v>
      </c>
      <c r="BS749" s="3">
        <v>42957</v>
      </c>
      <c r="BT749" s="4">
        <v>0.55625000000000002</v>
      </c>
      <c r="BU749" s="2" t="s">
        <v>1421</v>
      </c>
      <c r="BV749" s="2" t="s">
        <v>86</v>
      </c>
      <c r="BW749" s="2" t="s">
        <v>124</v>
      </c>
      <c r="BX749" s="2" t="s">
        <v>1001</v>
      </c>
      <c r="BY749" s="2">
        <v>1200</v>
      </c>
      <c r="BZ749" s="2"/>
      <c r="CA749" s="2" t="s">
        <v>211</v>
      </c>
      <c r="CB749" s="2"/>
      <c r="CC749" s="2" t="s">
        <v>207</v>
      </c>
      <c r="CD749" s="2">
        <v>250</v>
      </c>
      <c r="CE749" s="2" t="s">
        <v>104</v>
      </c>
      <c r="CF749" s="5">
        <v>42961</v>
      </c>
      <c r="CG749" s="2"/>
      <c r="CH749" s="2"/>
      <c r="CI749" s="2">
        <v>1</v>
      </c>
      <c r="CJ749" s="2">
        <v>2</v>
      </c>
      <c r="CK749" s="2">
        <v>24</v>
      </c>
      <c r="CL749" s="2" t="s">
        <v>86</v>
      </c>
      <c r="CM749" s="2"/>
    </row>
    <row r="750" spans="1:91">
      <c r="A750" s="2" t="s">
        <v>71</v>
      </c>
      <c r="B750" s="2" t="s">
        <v>72</v>
      </c>
      <c r="C750" s="2" t="s">
        <v>73</v>
      </c>
      <c r="D750" s="2"/>
      <c r="E750" s="2" t="str">
        <f>"FES1162567645"</f>
        <v>FES1162567645</v>
      </c>
      <c r="F750" s="3">
        <v>42955</v>
      </c>
      <c r="G750" s="2">
        <v>201802</v>
      </c>
      <c r="H750" s="2" t="s">
        <v>74</v>
      </c>
      <c r="I750" s="2" t="s">
        <v>75</v>
      </c>
      <c r="J750" s="2" t="s">
        <v>76</v>
      </c>
      <c r="K750" s="2" t="s">
        <v>77</v>
      </c>
      <c r="L750" s="2" t="s">
        <v>105</v>
      </c>
      <c r="M750" s="2" t="s">
        <v>106</v>
      </c>
      <c r="N750" s="2" t="s">
        <v>1422</v>
      </c>
      <c r="O750" s="2" t="s">
        <v>100</v>
      </c>
      <c r="P750" s="2" t="str">
        <f>"2170583781                    "</f>
        <v xml:space="preserve">2170583781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4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1</v>
      </c>
      <c r="BJ750" s="2">
        <v>0.2</v>
      </c>
      <c r="BK750" s="2">
        <v>1</v>
      </c>
      <c r="BL750" s="2">
        <v>41.44</v>
      </c>
      <c r="BM750" s="2">
        <v>5.8</v>
      </c>
      <c r="BN750" s="2">
        <v>47.24</v>
      </c>
      <c r="BO750" s="2">
        <v>47.24</v>
      </c>
      <c r="BP750" s="2"/>
      <c r="BQ750" s="2" t="s">
        <v>209</v>
      </c>
      <c r="BR750" s="2" t="s">
        <v>84</v>
      </c>
      <c r="BS750" s="3">
        <v>42957</v>
      </c>
      <c r="BT750" s="4">
        <v>0.4993055555555555</v>
      </c>
      <c r="BU750" s="2" t="s">
        <v>1423</v>
      </c>
      <c r="BV750" s="2" t="s">
        <v>86</v>
      </c>
      <c r="BW750" s="2" t="s">
        <v>110</v>
      </c>
      <c r="BX750" s="2" t="s">
        <v>111</v>
      </c>
      <c r="BY750" s="2">
        <v>1200</v>
      </c>
      <c r="BZ750" s="2"/>
      <c r="CA750" s="2" t="s">
        <v>1424</v>
      </c>
      <c r="CB750" s="2"/>
      <c r="CC750" s="2" t="s">
        <v>106</v>
      </c>
      <c r="CD750" s="2">
        <v>7580</v>
      </c>
      <c r="CE750" s="2" t="s">
        <v>104</v>
      </c>
      <c r="CF750" s="5">
        <v>42958</v>
      </c>
      <c r="CG750" s="2"/>
      <c r="CH750" s="2"/>
      <c r="CI750" s="2">
        <v>1</v>
      </c>
      <c r="CJ750" s="2">
        <v>2</v>
      </c>
      <c r="CK750" s="2">
        <v>21</v>
      </c>
      <c r="CL750" s="2" t="s">
        <v>86</v>
      </c>
      <c r="CM750" s="2"/>
    </row>
    <row r="751" spans="1:91">
      <c r="A751" s="2" t="s">
        <v>71</v>
      </c>
      <c r="B751" s="2" t="s">
        <v>72</v>
      </c>
      <c r="C751" s="2" t="s">
        <v>73</v>
      </c>
      <c r="D751" s="2"/>
      <c r="E751" s="2" t="str">
        <f>"FES1162567633"</f>
        <v>FES1162567633</v>
      </c>
      <c r="F751" s="3">
        <v>42955</v>
      </c>
      <c r="G751" s="2">
        <v>201802</v>
      </c>
      <c r="H751" s="2" t="s">
        <v>74</v>
      </c>
      <c r="I751" s="2" t="s">
        <v>75</v>
      </c>
      <c r="J751" s="2" t="s">
        <v>76</v>
      </c>
      <c r="K751" s="2" t="s">
        <v>77</v>
      </c>
      <c r="L751" s="2" t="s">
        <v>268</v>
      </c>
      <c r="M751" s="2" t="s">
        <v>269</v>
      </c>
      <c r="N751" s="2" t="s">
        <v>351</v>
      </c>
      <c r="O751" s="2" t="s">
        <v>100</v>
      </c>
      <c r="P751" s="2" t="str">
        <f>"2170581638                    "</f>
        <v xml:space="preserve">2170581638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4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1</v>
      </c>
      <c r="BJ751" s="2">
        <v>0.2</v>
      </c>
      <c r="BK751" s="2">
        <v>1</v>
      </c>
      <c r="BL751" s="2">
        <v>41.44</v>
      </c>
      <c r="BM751" s="2">
        <v>5.8</v>
      </c>
      <c r="BN751" s="2">
        <v>47.24</v>
      </c>
      <c r="BO751" s="2">
        <v>47.24</v>
      </c>
      <c r="BP751" s="2" t="s">
        <v>101</v>
      </c>
      <c r="BQ751" s="2" t="s">
        <v>108</v>
      </c>
      <c r="BR751" s="2" t="s">
        <v>84</v>
      </c>
      <c r="BS751" s="3">
        <v>42957</v>
      </c>
      <c r="BT751" s="4">
        <v>0.4993055555555555</v>
      </c>
      <c r="BU751" s="2" t="s">
        <v>1006</v>
      </c>
      <c r="BV751" s="2" t="s">
        <v>86</v>
      </c>
      <c r="BW751" s="2"/>
      <c r="BX751" s="2"/>
      <c r="BY751" s="2">
        <v>1200</v>
      </c>
      <c r="BZ751" s="2"/>
      <c r="CA751" s="2" t="s">
        <v>272</v>
      </c>
      <c r="CB751" s="2"/>
      <c r="CC751" s="2" t="s">
        <v>269</v>
      </c>
      <c r="CD751" s="2">
        <v>200</v>
      </c>
      <c r="CE751" s="2" t="s">
        <v>104</v>
      </c>
      <c r="CF751" s="5">
        <v>42958</v>
      </c>
      <c r="CG751" s="2"/>
      <c r="CH751" s="2"/>
      <c r="CI751" s="2">
        <v>1</v>
      </c>
      <c r="CJ751" s="2">
        <v>2</v>
      </c>
      <c r="CK751" s="2">
        <v>21</v>
      </c>
      <c r="CL751" s="2" t="s">
        <v>86</v>
      </c>
      <c r="CM751" s="2"/>
    </row>
    <row r="752" spans="1:91">
      <c r="A752" s="2" t="s">
        <v>71</v>
      </c>
      <c r="B752" s="2" t="s">
        <v>72</v>
      </c>
      <c r="C752" s="2" t="s">
        <v>73</v>
      </c>
      <c r="D752" s="2"/>
      <c r="E752" s="2" t="str">
        <f>"FES1162567746"</f>
        <v>FES1162567746</v>
      </c>
      <c r="F752" s="3">
        <v>42955</v>
      </c>
      <c r="G752" s="2">
        <v>201802</v>
      </c>
      <c r="H752" s="2" t="s">
        <v>74</v>
      </c>
      <c r="I752" s="2" t="s">
        <v>75</v>
      </c>
      <c r="J752" s="2" t="s">
        <v>76</v>
      </c>
      <c r="K752" s="2" t="s">
        <v>77</v>
      </c>
      <c r="L752" s="2" t="s">
        <v>688</v>
      </c>
      <c r="M752" s="2" t="s">
        <v>689</v>
      </c>
      <c r="N752" s="2" t="s">
        <v>690</v>
      </c>
      <c r="O752" s="2" t="s">
        <v>100</v>
      </c>
      <c r="P752" s="2" t="str">
        <f>"2170583885                    "</f>
        <v xml:space="preserve">2170583885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7.75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1</v>
      </c>
      <c r="BJ752" s="2">
        <v>0.2</v>
      </c>
      <c r="BK752" s="2">
        <v>1</v>
      </c>
      <c r="BL752" s="2">
        <v>80.290000000000006</v>
      </c>
      <c r="BM752" s="2">
        <v>11.24</v>
      </c>
      <c r="BN752" s="2">
        <v>91.53</v>
      </c>
      <c r="BO752" s="2">
        <v>91.53</v>
      </c>
      <c r="BP752" s="2"/>
      <c r="BQ752" s="2" t="s">
        <v>83</v>
      </c>
      <c r="BR752" s="2" t="s">
        <v>84</v>
      </c>
      <c r="BS752" s="3">
        <v>42957</v>
      </c>
      <c r="BT752" s="4">
        <v>0.39583333333333331</v>
      </c>
      <c r="BU752" s="2" t="s">
        <v>1425</v>
      </c>
      <c r="BV752" s="2" t="s">
        <v>86</v>
      </c>
      <c r="BW752" s="2" t="s">
        <v>124</v>
      </c>
      <c r="BX752" s="2" t="s">
        <v>1426</v>
      </c>
      <c r="BY752" s="2">
        <v>1200</v>
      </c>
      <c r="BZ752" s="2"/>
      <c r="CA752" s="2" t="s">
        <v>1427</v>
      </c>
      <c r="CB752" s="2"/>
      <c r="CC752" s="2" t="s">
        <v>689</v>
      </c>
      <c r="CD752" s="2">
        <v>9880</v>
      </c>
      <c r="CE752" s="2" t="s">
        <v>104</v>
      </c>
      <c r="CF752" s="5">
        <v>42961</v>
      </c>
      <c r="CG752" s="2"/>
      <c r="CH752" s="2"/>
      <c r="CI752" s="2">
        <v>1</v>
      </c>
      <c r="CJ752" s="2">
        <v>2</v>
      </c>
      <c r="CK752" s="2">
        <v>23</v>
      </c>
      <c r="CL752" s="2" t="s">
        <v>86</v>
      </c>
      <c r="CM752" s="2"/>
    </row>
    <row r="753" spans="1:91">
      <c r="A753" s="2" t="s">
        <v>71</v>
      </c>
      <c r="B753" s="2" t="s">
        <v>72</v>
      </c>
      <c r="C753" s="2" t="s">
        <v>73</v>
      </c>
      <c r="D753" s="2"/>
      <c r="E753" s="2" t="str">
        <f>"FES1162567682"</f>
        <v>FES1162567682</v>
      </c>
      <c r="F753" s="3">
        <v>42955</v>
      </c>
      <c r="G753" s="2">
        <v>201802</v>
      </c>
      <c r="H753" s="2" t="s">
        <v>74</v>
      </c>
      <c r="I753" s="2" t="s">
        <v>75</v>
      </c>
      <c r="J753" s="2" t="s">
        <v>76</v>
      </c>
      <c r="K753" s="2" t="s">
        <v>77</v>
      </c>
      <c r="L753" s="2" t="s">
        <v>1428</v>
      </c>
      <c r="M753" s="2" t="s">
        <v>1429</v>
      </c>
      <c r="N753" s="2" t="s">
        <v>1430</v>
      </c>
      <c r="O753" s="2" t="s">
        <v>100</v>
      </c>
      <c r="P753" s="2" t="str">
        <f>"2170583818                    "</f>
        <v xml:space="preserve">2170583818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7.75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1</v>
      </c>
      <c r="BI753" s="2">
        <v>1</v>
      </c>
      <c r="BJ753" s="2">
        <v>0.2</v>
      </c>
      <c r="BK753" s="2">
        <v>1</v>
      </c>
      <c r="BL753" s="2">
        <v>80.290000000000006</v>
      </c>
      <c r="BM753" s="2">
        <v>11.24</v>
      </c>
      <c r="BN753" s="2">
        <v>91.53</v>
      </c>
      <c r="BO753" s="2">
        <v>91.53</v>
      </c>
      <c r="BP753" s="2" t="s">
        <v>101</v>
      </c>
      <c r="BQ753" s="2" t="s">
        <v>1431</v>
      </c>
      <c r="BR753" s="2" t="s">
        <v>84</v>
      </c>
      <c r="BS753" s="3">
        <v>42957</v>
      </c>
      <c r="BT753" s="4">
        <v>0.39583333333333331</v>
      </c>
      <c r="BU753" s="2" t="s">
        <v>131</v>
      </c>
      <c r="BV753" s="2" t="s">
        <v>86</v>
      </c>
      <c r="BW753" s="2" t="s">
        <v>124</v>
      </c>
      <c r="BX753" s="2" t="s">
        <v>1426</v>
      </c>
      <c r="BY753" s="2">
        <v>1200</v>
      </c>
      <c r="BZ753" s="2"/>
      <c r="CA753" s="2"/>
      <c r="CB753" s="2"/>
      <c r="CC753" s="2" t="s">
        <v>1429</v>
      </c>
      <c r="CD753" s="2">
        <v>9650</v>
      </c>
      <c r="CE753" s="2" t="s">
        <v>104</v>
      </c>
      <c r="CF753" s="5">
        <v>42961</v>
      </c>
      <c r="CG753" s="2"/>
      <c r="CH753" s="2"/>
      <c r="CI753" s="2">
        <v>1</v>
      </c>
      <c r="CJ753" s="2">
        <v>2</v>
      </c>
      <c r="CK753" s="2">
        <v>23</v>
      </c>
      <c r="CL753" s="2" t="s">
        <v>86</v>
      </c>
      <c r="CM753" s="2"/>
    </row>
    <row r="754" spans="1:91">
      <c r="A754" s="2" t="s">
        <v>71</v>
      </c>
      <c r="B754" s="2" t="s">
        <v>72</v>
      </c>
      <c r="C754" s="2" t="s">
        <v>73</v>
      </c>
      <c r="D754" s="2"/>
      <c r="E754" s="2" t="str">
        <f>"FES1162567623"</f>
        <v>FES1162567623</v>
      </c>
      <c r="F754" s="3">
        <v>42955</v>
      </c>
      <c r="G754" s="2">
        <v>201802</v>
      </c>
      <c r="H754" s="2" t="s">
        <v>74</v>
      </c>
      <c r="I754" s="2" t="s">
        <v>75</v>
      </c>
      <c r="J754" s="2" t="s">
        <v>76</v>
      </c>
      <c r="K754" s="2" t="s">
        <v>77</v>
      </c>
      <c r="L754" s="2" t="s">
        <v>268</v>
      </c>
      <c r="M754" s="2" t="s">
        <v>269</v>
      </c>
      <c r="N754" s="2" t="s">
        <v>442</v>
      </c>
      <c r="O754" s="2" t="s">
        <v>100</v>
      </c>
      <c r="P754" s="2" t="str">
        <f>"2170578792                    "</f>
        <v xml:space="preserve">2170578792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4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1</v>
      </c>
      <c r="BJ754" s="2">
        <v>0.2</v>
      </c>
      <c r="BK754" s="2">
        <v>1</v>
      </c>
      <c r="BL754" s="2">
        <v>41.44</v>
      </c>
      <c r="BM754" s="2">
        <v>5.8</v>
      </c>
      <c r="BN754" s="2">
        <v>47.24</v>
      </c>
      <c r="BO754" s="2">
        <v>47.24</v>
      </c>
      <c r="BP754" s="2" t="s">
        <v>101</v>
      </c>
      <c r="BQ754" s="2" t="s">
        <v>83</v>
      </c>
      <c r="BR754" s="2" t="s">
        <v>84</v>
      </c>
      <c r="BS754" s="3">
        <v>42957</v>
      </c>
      <c r="BT754" s="4">
        <v>0.41944444444444445</v>
      </c>
      <c r="BU754" s="2" t="s">
        <v>443</v>
      </c>
      <c r="BV754" s="2" t="s">
        <v>86</v>
      </c>
      <c r="BW754" s="2" t="s">
        <v>110</v>
      </c>
      <c r="BX754" s="2" t="s">
        <v>444</v>
      </c>
      <c r="BY754" s="2">
        <v>1200</v>
      </c>
      <c r="BZ754" s="2"/>
      <c r="CA754" s="2" t="s">
        <v>445</v>
      </c>
      <c r="CB754" s="2"/>
      <c r="CC754" s="2" t="s">
        <v>269</v>
      </c>
      <c r="CD754" s="2">
        <v>1</v>
      </c>
      <c r="CE754" s="2" t="s">
        <v>104</v>
      </c>
      <c r="CF754" s="5">
        <v>42958</v>
      </c>
      <c r="CG754" s="2"/>
      <c r="CH754" s="2"/>
      <c r="CI754" s="2">
        <v>1</v>
      </c>
      <c r="CJ754" s="2">
        <v>2</v>
      </c>
      <c r="CK754" s="2">
        <v>21</v>
      </c>
      <c r="CL754" s="2" t="s">
        <v>86</v>
      </c>
      <c r="CM754" s="2"/>
    </row>
    <row r="755" spans="1:91">
      <c r="A755" s="2" t="s">
        <v>71</v>
      </c>
      <c r="B755" s="2" t="s">
        <v>72</v>
      </c>
      <c r="C755" s="2" t="s">
        <v>73</v>
      </c>
      <c r="D755" s="2"/>
      <c r="E755" s="2" t="str">
        <f>"FES1162567656"</f>
        <v>FES1162567656</v>
      </c>
      <c r="F755" s="3">
        <v>42955</v>
      </c>
      <c r="G755" s="2">
        <v>201802</v>
      </c>
      <c r="H755" s="2" t="s">
        <v>74</v>
      </c>
      <c r="I755" s="2" t="s">
        <v>75</v>
      </c>
      <c r="J755" s="2" t="s">
        <v>76</v>
      </c>
      <c r="K755" s="2" t="s">
        <v>77</v>
      </c>
      <c r="L755" s="2" t="s">
        <v>268</v>
      </c>
      <c r="M755" s="2" t="s">
        <v>269</v>
      </c>
      <c r="N755" s="2" t="s">
        <v>544</v>
      </c>
      <c r="O755" s="2" t="s">
        <v>100</v>
      </c>
      <c r="P755" s="2" t="str">
        <f>"2170583777                    "</f>
        <v xml:space="preserve">2170583777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4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1</v>
      </c>
      <c r="BJ755" s="2">
        <v>0.2</v>
      </c>
      <c r="BK755" s="2">
        <v>1</v>
      </c>
      <c r="BL755" s="2">
        <v>41.44</v>
      </c>
      <c r="BM755" s="2">
        <v>5.8</v>
      </c>
      <c r="BN755" s="2">
        <v>47.24</v>
      </c>
      <c r="BO755" s="2">
        <v>47.24</v>
      </c>
      <c r="BP755" s="2" t="s">
        <v>101</v>
      </c>
      <c r="BQ755" s="2" t="s">
        <v>1432</v>
      </c>
      <c r="BR755" s="2" t="s">
        <v>84</v>
      </c>
      <c r="BS755" s="3">
        <v>42957</v>
      </c>
      <c r="BT755" s="4">
        <v>0.42152777777777778</v>
      </c>
      <c r="BU755" s="2" t="s">
        <v>1433</v>
      </c>
      <c r="BV755" s="2" t="s">
        <v>86</v>
      </c>
      <c r="BW755" s="2"/>
      <c r="BX755" s="2"/>
      <c r="BY755" s="2">
        <v>1200</v>
      </c>
      <c r="BZ755" s="2"/>
      <c r="CA755" s="2" t="s">
        <v>148</v>
      </c>
      <c r="CB755" s="2"/>
      <c r="CC755" s="2" t="s">
        <v>269</v>
      </c>
      <c r="CD755" s="2">
        <v>157</v>
      </c>
      <c r="CE755" s="2" t="s">
        <v>104</v>
      </c>
      <c r="CF755" s="5">
        <v>42958</v>
      </c>
      <c r="CG755" s="2"/>
      <c r="CH755" s="2"/>
      <c r="CI755" s="2">
        <v>1</v>
      </c>
      <c r="CJ755" s="2">
        <v>2</v>
      </c>
      <c r="CK755" s="2">
        <v>21</v>
      </c>
      <c r="CL755" s="2" t="s">
        <v>86</v>
      </c>
      <c r="CM755" s="2"/>
    </row>
    <row r="756" spans="1:91">
      <c r="A756" s="2" t="s">
        <v>71</v>
      </c>
      <c r="B756" s="2" t="s">
        <v>72</v>
      </c>
      <c r="C756" s="2" t="s">
        <v>73</v>
      </c>
      <c r="D756" s="2"/>
      <c r="E756" s="2" t="str">
        <f>"FES1162567741"</f>
        <v>FES1162567741</v>
      </c>
      <c r="F756" s="3">
        <v>42955</v>
      </c>
      <c r="G756" s="2">
        <v>201802</v>
      </c>
      <c r="H756" s="2" t="s">
        <v>74</v>
      </c>
      <c r="I756" s="2" t="s">
        <v>75</v>
      </c>
      <c r="J756" s="2" t="s">
        <v>76</v>
      </c>
      <c r="K756" s="2" t="s">
        <v>77</v>
      </c>
      <c r="L756" s="2" t="s">
        <v>741</v>
      </c>
      <c r="M756" s="2" t="s">
        <v>742</v>
      </c>
      <c r="N756" s="2" t="s">
        <v>1434</v>
      </c>
      <c r="O756" s="2" t="s">
        <v>100</v>
      </c>
      <c r="P756" s="2" t="str">
        <f>"2170583879                    "</f>
        <v xml:space="preserve">2170583879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7.75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1</v>
      </c>
      <c r="BI756" s="2">
        <v>1</v>
      </c>
      <c r="BJ756" s="2">
        <v>0.2</v>
      </c>
      <c r="BK756" s="2">
        <v>1</v>
      </c>
      <c r="BL756" s="2">
        <v>80.290000000000006</v>
      </c>
      <c r="BM756" s="2">
        <v>11.24</v>
      </c>
      <c r="BN756" s="2">
        <v>91.53</v>
      </c>
      <c r="BO756" s="2">
        <v>91.53</v>
      </c>
      <c r="BP756" s="2" t="s">
        <v>101</v>
      </c>
      <c r="BQ756" s="2" t="s">
        <v>288</v>
      </c>
      <c r="BR756" s="2" t="s">
        <v>84</v>
      </c>
      <c r="BS756" s="3">
        <v>42957</v>
      </c>
      <c r="BT756" s="4">
        <v>0.4375</v>
      </c>
      <c r="BU756" s="2" t="s">
        <v>1435</v>
      </c>
      <c r="BV756" s="2" t="s">
        <v>95</v>
      </c>
      <c r="BW756" s="2"/>
      <c r="BX756" s="2"/>
      <c r="BY756" s="2">
        <v>1200</v>
      </c>
      <c r="BZ756" s="2"/>
      <c r="CA756" s="2"/>
      <c r="CB756" s="2"/>
      <c r="CC756" s="2" t="s">
        <v>742</v>
      </c>
      <c r="CD756" s="2">
        <v>6300</v>
      </c>
      <c r="CE756" s="2" t="s">
        <v>104</v>
      </c>
      <c r="CF756" s="5">
        <v>42961</v>
      </c>
      <c r="CG756" s="2"/>
      <c r="CH756" s="2"/>
      <c r="CI756" s="2">
        <v>3</v>
      </c>
      <c r="CJ756" s="2">
        <v>2</v>
      </c>
      <c r="CK756" s="2">
        <v>23</v>
      </c>
      <c r="CL756" s="2" t="s">
        <v>86</v>
      </c>
      <c r="CM756" s="2"/>
    </row>
    <row r="757" spans="1:91">
      <c r="A757" s="2" t="s">
        <v>71</v>
      </c>
      <c r="B757" s="2" t="s">
        <v>72</v>
      </c>
      <c r="C757" s="2" t="s">
        <v>73</v>
      </c>
      <c r="D757" s="2"/>
      <c r="E757" s="2" t="str">
        <f>"FES1162567671"</f>
        <v>FES1162567671</v>
      </c>
      <c r="F757" s="3">
        <v>42955</v>
      </c>
      <c r="G757" s="2">
        <v>201802</v>
      </c>
      <c r="H757" s="2" t="s">
        <v>74</v>
      </c>
      <c r="I757" s="2" t="s">
        <v>75</v>
      </c>
      <c r="J757" s="2" t="s">
        <v>76</v>
      </c>
      <c r="K757" s="2" t="s">
        <v>77</v>
      </c>
      <c r="L757" s="2" t="s">
        <v>105</v>
      </c>
      <c r="M757" s="2" t="s">
        <v>106</v>
      </c>
      <c r="N757" s="2" t="s">
        <v>1436</v>
      </c>
      <c r="O757" s="2" t="s">
        <v>100</v>
      </c>
      <c r="P757" s="2" t="str">
        <f>"2170581275                    "</f>
        <v xml:space="preserve">2170581275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4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1</v>
      </c>
      <c r="BI757" s="2">
        <v>1</v>
      </c>
      <c r="BJ757" s="2">
        <v>0.2</v>
      </c>
      <c r="BK757" s="2">
        <v>1</v>
      </c>
      <c r="BL757" s="2">
        <v>41.44</v>
      </c>
      <c r="BM757" s="2">
        <v>5.8</v>
      </c>
      <c r="BN757" s="2">
        <v>47.24</v>
      </c>
      <c r="BO757" s="2">
        <v>47.24</v>
      </c>
      <c r="BP757" s="2"/>
      <c r="BQ757" s="2" t="s">
        <v>83</v>
      </c>
      <c r="BR757" s="2" t="s">
        <v>84</v>
      </c>
      <c r="BS757" s="3">
        <v>42957</v>
      </c>
      <c r="BT757" s="4">
        <v>0.45</v>
      </c>
      <c r="BU757" s="2" t="s">
        <v>1437</v>
      </c>
      <c r="BV757" s="2" t="s">
        <v>86</v>
      </c>
      <c r="BW757" s="2" t="s">
        <v>115</v>
      </c>
      <c r="BX757" s="2" t="s">
        <v>116</v>
      </c>
      <c r="BY757" s="2">
        <v>1200</v>
      </c>
      <c r="BZ757" s="2"/>
      <c r="CA757" s="2" t="s">
        <v>291</v>
      </c>
      <c r="CB757" s="2"/>
      <c r="CC757" s="2" t="s">
        <v>106</v>
      </c>
      <c r="CD757" s="2">
        <v>7441</v>
      </c>
      <c r="CE757" s="2" t="s">
        <v>104</v>
      </c>
      <c r="CF757" s="5">
        <v>42958</v>
      </c>
      <c r="CG757" s="2"/>
      <c r="CH757" s="2"/>
      <c r="CI757" s="2">
        <v>1</v>
      </c>
      <c r="CJ757" s="2">
        <v>2</v>
      </c>
      <c r="CK757" s="2">
        <v>21</v>
      </c>
      <c r="CL757" s="2" t="s">
        <v>86</v>
      </c>
      <c r="CM757" s="2"/>
    </row>
    <row r="758" spans="1:91">
      <c r="A758" s="2" t="s">
        <v>71</v>
      </c>
      <c r="B758" s="2" t="s">
        <v>72</v>
      </c>
      <c r="C758" s="2" t="s">
        <v>73</v>
      </c>
      <c r="D758" s="2"/>
      <c r="E758" s="2" t="str">
        <f>"FES1162567632"</f>
        <v>FES1162567632</v>
      </c>
      <c r="F758" s="3">
        <v>42955</v>
      </c>
      <c r="G758" s="2">
        <v>201802</v>
      </c>
      <c r="H758" s="2" t="s">
        <v>74</v>
      </c>
      <c r="I758" s="2" t="s">
        <v>75</v>
      </c>
      <c r="J758" s="2" t="s">
        <v>76</v>
      </c>
      <c r="K758" s="2" t="s">
        <v>77</v>
      </c>
      <c r="L758" s="2" t="s">
        <v>268</v>
      </c>
      <c r="M758" s="2" t="s">
        <v>269</v>
      </c>
      <c r="N758" s="2" t="s">
        <v>351</v>
      </c>
      <c r="O758" s="2" t="s">
        <v>100</v>
      </c>
      <c r="P758" s="2" t="str">
        <f>"2170581635                    "</f>
        <v xml:space="preserve">2170581635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4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1</v>
      </c>
      <c r="BJ758" s="2">
        <v>0.2</v>
      </c>
      <c r="BK758" s="2">
        <v>1</v>
      </c>
      <c r="BL758" s="2">
        <v>41.44</v>
      </c>
      <c r="BM758" s="2">
        <v>5.8</v>
      </c>
      <c r="BN758" s="2">
        <v>47.24</v>
      </c>
      <c r="BO758" s="2">
        <v>47.24</v>
      </c>
      <c r="BP758" s="2" t="s">
        <v>101</v>
      </c>
      <c r="BQ758" s="2" t="s">
        <v>108</v>
      </c>
      <c r="BR758" s="2" t="s">
        <v>84</v>
      </c>
      <c r="BS758" s="3">
        <v>42957</v>
      </c>
      <c r="BT758" s="4">
        <v>0.48958333333333331</v>
      </c>
      <c r="BU758" s="2" t="s">
        <v>85</v>
      </c>
      <c r="BV758" s="2" t="s">
        <v>86</v>
      </c>
      <c r="BW758" s="2"/>
      <c r="BX758" s="2"/>
      <c r="BY758" s="2">
        <v>1200</v>
      </c>
      <c r="BZ758" s="2"/>
      <c r="CA758" s="2"/>
      <c r="CB758" s="2"/>
      <c r="CC758" s="2" t="s">
        <v>269</v>
      </c>
      <c r="CD758" s="2">
        <v>200</v>
      </c>
      <c r="CE758" s="2" t="s">
        <v>104</v>
      </c>
      <c r="CF758" s="5">
        <v>42958</v>
      </c>
      <c r="CG758" s="2"/>
      <c r="CH758" s="2"/>
      <c r="CI758" s="2">
        <v>1</v>
      </c>
      <c r="CJ758" s="2">
        <v>2</v>
      </c>
      <c r="CK758" s="2">
        <v>21</v>
      </c>
      <c r="CL758" s="2" t="s">
        <v>86</v>
      </c>
      <c r="CM758" s="2"/>
    </row>
    <row r="759" spans="1:91">
      <c r="A759" s="2" t="s">
        <v>71</v>
      </c>
      <c r="B759" s="2" t="s">
        <v>72</v>
      </c>
      <c r="C759" s="2" t="s">
        <v>73</v>
      </c>
      <c r="D759" s="2"/>
      <c r="E759" s="2" t="str">
        <f>"FES1162567631"</f>
        <v>FES1162567631</v>
      </c>
      <c r="F759" s="3">
        <v>42955</v>
      </c>
      <c r="G759" s="2">
        <v>201802</v>
      </c>
      <c r="H759" s="2" t="s">
        <v>74</v>
      </c>
      <c r="I759" s="2" t="s">
        <v>75</v>
      </c>
      <c r="J759" s="2" t="s">
        <v>76</v>
      </c>
      <c r="K759" s="2" t="s">
        <v>77</v>
      </c>
      <c r="L759" s="2" t="s">
        <v>97</v>
      </c>
      <c r="M759" s="2" t="s">
        <v>98</v>
      </c>
      <c r="N759" s="2" t="s">
        <v>625</v>
      </c>
      <c r="O759" s="2" t="s">
        <v>100</v>
      </c>
      <c r="P759" s="2" t="str">
        <f>"2170581631                    "</f>
        <v xml:space="preserve">2170581631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4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1</v>
      </c>
      <c r="BJ759" s="2">
        <v>0.2</v>
      </c>
      <c r="BK759" s="2">
        <v>1</v>
      </c>
      <c r="BL759" s="2">
        <v>41.44</v>
      </c>
      <c r="BM759" s="2">
        <v>5.8</v>
      </c>
      <c r="BN759" s="2">
        <v>47.24</v>
      </c>
      <c r="BO759" s="2">
        <v>47.24</v>
      </c>
      <c r="BP759" s="2" t="s">
        <v>101</v>
      </c>
      <c r="BQ759" s="2" t="s">
        <v>108</v>
      </c>
      <c r="BR759" s="2" t="s">
        <v>84</v>
      </c>
      <c r="BS759" s="3">
        <v>42957</v>
      </c>
      <c r="BT759" s="4">
        <v>0.4201388888888889</v>
      </c>
      <c r="BU759" s="2" t="s">
        <v>761</v>
      </c>
      <c r="BV759" s="2" t="s">
        <v>86</v>
      </c>
      <c r="BW759" s="2"/>
      <c r="BX759" s="2"/>
      <c r="BY759" s="2">
        <v>1200</v>
      </c>
      <c r="BZ759" s="2"/>
      <c r="CA759" s="2" t="s">
        <v>1438</v>
      </c>
      <c r="CB759" s="2"/>
      <c r="CC759" s="2" t="s">
        <v>98</v>
      </c>
      <c r="CD759" s="2">
        <v>6001</v>
      </c>
      <c r="CE759" s="2" t="s">
        <v>104</v>
      </c>
      <c r="CF759" s="5">
        <v>42958</v>
      </c>
      <c r="CG759" s="2"/>
      <c r="CH759" s="2"/>
      <c r="CI759" s="2">
        <v>1</v>
      </c>
      <c r="CJ759" s="2">
        <v>2</v>
      </c>
      <c r="CK759" s="2">
        <v>21</v>
      </c>
      <c r="CL759" s="2" t="s">
        <v>86</v>
      </c>
      <c r="CM759" s="2"/>
    </row>
    <row r="760" spans="1:91">
      <c r="A760" s="2" t="s">
        <v>71</v>
      </c>
      <c r="B760" s="2" t="s">
        <v>72</v>
      </c>
      <c r="C760" s="2" t="s">
        <v>73</v>
      </c>
      <c r="D760" s="2"/>
      <c r="E760" s="2" t="str">
        <f>"FES1162567638"</f>
        <v>FES1162567638</v>
      </c>
      <c r="F760" s="3">
        <v>42955</v>
      </c>
      <c r="G760" s="2">
        <v>201802</v>
      </c>
      <c r="H760" s="2" t="s">
        <v>74</v>
      </c>
      <c r="I760" s="2" t="s">
        <v>75</v>
      </c>
      <c r="J760" s="2" t="s">
        <v>76</v>
      </c>
      <c r="K760" s="2" t="s">
        <v>77</v>
      </c>
      <c r="L760" s="2" t="s">
        <v>268</v>
      </c>
      <c r="M760" s="2" t="s">
        <v>269</v>
      </c>
      <c r="N760" s="2" t="s">
        <v>351</v>
      </c>
      <c r="O760" s="2" t="s">
        <v>100</v>
      </c>
      <c r="P760" s="2" t="str">
        <f>"2170582893                    "</f>
        <v xml:space="preserve">2170582893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4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1</v>
      </c>
      <c r="BJ760" s="2">
        <v>0.2</v>
      </c>
      <c r="BK760" s="2">
        <v>1</v>
      </c>
      <c r="BL760" s="2">
        <v>41.44</v>
      </c>
      <c r="BM760" s="2">
        <v>5.8</v>
      </c>
      <c r="BN760" s="2">
        <v>47.24</v>
      </c>
      <c r="BO760" s="2">
        <v>47.24</v>
      </c>
      <c r="BP760" s="2" t="s">
        <v>101</v>
      </c>
      <c r="BQ760" s="2" t="s">
        <v>108</v>
      </c>
      <c r="BR760" s="2" t="s">
        <v>84</v>
      </c>
      <c r="BS760" s="3">
        <v>42957</v>
      </c>
      <c r="BT760" s="4">
        <v>0.48958333333333331</v>
      </c>
      <c r="BU760" s="2" t="s">
        <v>1006</v>
      </c>
      <c r="BV760" s="2" t="s">
        <v>86</v>
      </c>
      <c r="BW760" s="2" t="s">
        <v>110</v>
      </c>
      <c r="BX760" s="2" t="s">
        <v>444</v>
      </c>
      <c r="BY760" s="2">
        <v>1200</v>
      </c>
      <c r="BZ760" s="2"/>
      <c r="CA760" s="2" t="s">
        <v>272</v>
      </c>
      <c r="CB760" s="2"/>
      <c r="CC760" s="2" t="s">
        <v>269</v>
      </c>
      <c r="CD760" s="2">
        <v>200</v>
      </c>
      <c r="CE760" s="2" t="s">
        <v>104</v>
      </c>
      <c r="CF760" s="5">
        <v>42958</v>
      </c>
      <c r="CG760" s="2"/>
      <c r="CH760" s="2"/>
      <c r="CI760" s="2">
        <v>1</v>
      </c>
      <c r="CJ760" s="2">
        <v>2</v>
      </c>
      <c r="CK760" s="2">
        <v>21</v>
      </c>
      <c r="CL760" s="2" t="s">
        <v>86</v>
      </c>
      <c r="CM760" s="2"/>
    </row>
    <row r="761" spans="1:91">
      <c r="A761" s="2" t="s">
        <v>71</v>
      </c>
      <c r="B761" s="2" t="s">
        <v>72</v>
      </c>
      <c r="C761" s="2" t="s">
        <v>73</v>
      </c>
      <c r="D761" s="2"/>
      <c r="E761" s="2" t="str">
        <f>"FES1162567753"</f>
        <v>FES1162567753</v>
      </c>
      <c r="F761" s="3">
        <v>42955</v>
      </c>
      <c r="G761" s="2">
        <v>201802</v>
      </c>
      <c r="H761" s="2" t="s">
        <v>74</v>
      </c>
      <c r="I761" s="2" t="s">
        <v>75</v>
      </c>
      <c r="J761" s="2" t="s">
        <v>76</v>
      </c>
      <c r="K761" s="2" t="s">
        <v>77</v>
      </c>
      <c r="L761" s="2" t="s">
        <v>170</v>
      </c>
      <c r="M761" s="2" t="s">
        <v>171</v>
      </c>
      <c r="N761" s="2" t="s">
        <v>1439</v>
      </c>
      <c r="O761" s="2" t="s">
        <v>100</v>
      </c>
      <c r="P761" s="2" t="str">
        <f>"2170583891                    "</f>
        <v xml:space="preserve">2170583891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3.13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4</v>
      </c>
      <c r="BJ761" s="2">
        <v>0.2</v>
      </c>
      <c r="BK761" s="2">
        <v>4</v>
      </c>
      <c r="BL761" s="2">
        <v>32.380000000000003</v>
      </c>
      <c r="BM761" s="2">
        <v>4.53</v>
      </c>
      <c r="BN761" s="2">
        <v>36.909999999999997</v>
      </c>
      <c r="BO761" s="2">
        <v>36.909999999999997</v>
      </c>
      <c r="BP761" s="2"/>
      <c r="BQ761" s="2" t="s">
        <v>83</v>
      </c>
      <c r="BR761" s="2" t="s">
        <v>84</v>
      </c>
      <c r="BS761" s="3">
        <v>42957</v>
      </c>
      <c r="BT761" s="4">
        <v>0.42152777777777778</v>
      </c>
      <c r="BU761" s="2" t="s">
        <v>1440</v>
      </c>
      <c r="BV761" s="2" t="s">
        <v>86</v>
      </c>
      <c r="BW761" s="2" t="s">
        <v>124</v>
      </c>
      <c r="BX761" s="2" t="s">
        <v>1150</v>
      </c>
      <c r="BY761" s="2">
        <v>1200</v>
      </c>
      <c r="BZ761" s="2"/>
      <c r="CA761" s="2" t="s">
        <v>1441</v>
      </c>
      <c r="CB761" s="2"/>
      <c r="CC761" s="2" t="s">
        <v>171</v>
      </c>
      <c r="CD761" s="2">
        <v>1406</v>
      </c>
      <c r="CE761" s="2" t="s">
        <v>104</v>
      </c>
      <c r="CF761" s="5">
        <v>42958</v>
      </c>
      <c r="CG761" s="2"/>
      <c r="CH761" s="2"/>
      <c r="CI761" s="2">
        <v>1</v>
      </c>
      <c r="CJ761" s="2">
        <v>2</v>
      </c>
      <c r="CK761" s="2">
        <v>22</v>
      </c>
      <c r="CL761" s="2" t="s">
        <v>86</v>
      </c>
      <c r="CM761" s="2"/>
    </row>
    <row r="762" spans="1:91">
      <c r="A762" s="2" t="s">
        <v>71</v>
      </c>
      <c r="B762" s="2" t="s">
        <v>72</v>
      </c>
      <c r="C762" s="2" t="s">
        <v>73</v>
      </c>
      <c r="D762" s="2"/>
      <c r="E762" s="2" t="str">
        <f>"FES1162567630"</f>
        <v>FES1162567630</v>
      </c>
      <c r="F762" s="3">
        <v>42955</v>
      </c>
      <c r="G762" s="2">
        <v>201802</v>
      </c>
      <c r="H762" s="2" t="s">
        <v>74</v>
      </c>
      <c r="I762" s="2" t="s">
        <v>75</v>
      </c>
      <c r="J762" s="2" t="s">
        <v>76</v>
      </c>
      <c r="K762" s="2" t="s">
        <v>77</v>
      </c>
      <c r="L762" s="2" t="s">
        <v>446</v>
      </c>
      <c r="M762" s="2" t="s">
        <v>447</v>
      </c>
      <c r="N762" s="2" t="s">
        <v>448</v>
      </c>
      <c r="O762" s="2" t="s">
        <v>100</v>
      </c>
      <c r="P762" s="2" t="str">
        <f>"2170581591                    "</f>
        <v xml:space="preserve">2170581591 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5.63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1</v>
      </c>
      <c r="BJ762" s="2">
        <v>0.2</v>
      </c>
      <c r="BK762" s="2">
        <v>1</v>
      </c>
      <c r="BL762" s="2">
        <v>58.28</v>
      </c>
      <c r="BM762" s="2">
        <v>8.16</v>
      </c>
      <c r="BN762" s="2">
        <v>66.44</v>
      </c>
      <c r="BO762" s="2">
        <v>66.44</v>
      </c>
      <c r="BP762" s="2" t="s">
        <v>1410</v>
      </c>
      <c r="BQ762" s="2" t="s">
        <v>83</v>
      </c>
      <c r="BR762" s="2" t="s">
        <v>84</v>
      </c>
      <c r="BS762" s="3">
        <v>42957</v>
      </c>
      <c r="BT762" s="4">
        <v>0.43333333333333335</v>
      </c>
      <c r="BU762" s="2" t="s">
        <v>1442</v>
      </c>
      <c r="BV762" s="2" t="s">
        <v>86</v>
      </c>
      <c r="BW762" s="2" t="s">
        <v>1007</v>
      </c>
      <c r="BX762" s="2" t="s">
        <v>1113</v>
      </c>
      <c r="BY762" s="2">
        <v>1200</v>
      </c>
      <c r="BZ762" s="2"/>
      <c r="CA762" s="2"/>
      <c r="CB762" s="2"/>
      <c r="CC762" s="2" t="s">
        <v>447</v>
      </c>
      <c r="CD762" s="2">
        <v>1759</v>
      </c>
      <c r="CE762" s="2" t="s">
        <v>104</v>
      </c>
      <c r="CF762" s="5">
        <v>42958</v>
      </c>
      <c r="CG762" s="2"/>
      <c r="CH762" s="2"/>
      <c r="CI762" s="2">
        <v>1</v>
      </c>
      <c r="CJ762" s="2">
        <v>2</v>
      </c>
      <c r="CK762" s="2">
        <v>24</v>
      </c>
      <c r="CL762" s="2" t="s">
        <v>86</v>
      </c>
      <c r="CM762" s="2"/>
    </row>
    <row r="763" spans="1:91">
      <c r="A763" s="2" t="s">
        <v>71</v>
      </c>
      <c r="B763" s="2" t="s">
        <v>72</v>
      </c>
      <c r="C763" s="2" t="s">
        <v>73</v>
      </c>
      <c r="D763" s="2"/>
      <c r="E763" s="2" t="str">
        <f>"FES1162567637"</f>
        <v>FES1162567637</v>
      </c>
      <c r="F763" s="3">
        <v>42955</v>
      </c>
      <c r="G763" s="2">
        <v>201802</v>
      </c>
      <c r="H763" s="2" t="s">
        <v>74</v>
      </c>
      <c r="I763" s="2" t="s">
        <v>75</v>
      </c>
      <c r="J763" s="2" t="s">
        <v>76</v>
      </c>
      <c r="K763" s="2" t="s">
        <v>77</v>
      </c>
      <c r="L763" s="2" t="s">
        <v>268</v>
      </c>
      <c r="M763" s="2" t="s">
        <v>269</v>
      </c>
      <c r="N763" s="2" t="s">
        <v>493</v>
      </c>
      <c r="O763" s="2" t="s">
        <v>100</v>
      </c>
      <c r="P763" s="2" t="str">
        <f>"2170582690                    "</f>
        <v xml:space="preserve">2170582690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4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1</v>
      </c>
      <c r="BI763" s="2">
        <v>1</v>
      </c>
      <c r="BJ763" s="2">
        <v>2</v>
      </c>
      <c r="BK763" s="2">
        <v>2</v>
      </c>
      <c r="BL763" s="2">
        <v>41.44</v>
      </c>
      <c r="BM763" s="2">
        <v>5.8</v>
      </c>
      <c r="BN763" s="2">
        <v>47.24</v>
      </c>
      <c r="BO763" s="2">
        <v>47.24</v>
      </c>
      <c r="BP763" s="2" t="s">
        <v>1410</v>
      </c>
      <c r="BQ763" s="2" t="s">
        <v>494</v>
      </c>
      <c r="BR763" s="2" t="s">
        <v>84</v>
      </c>
      <c r="BS763" s="3">
        <v>42957</v>
      </c>
      <c r="BT763" s="4">
        <v>0.4604166666666667</v>
      </c>
      <c r="BU763" s="2" t="s">
        <v>1012</v>
      </c>
      <c r="BV763" s="2" t="s">
        <v>86</v>
      </c>
      <c r="BW763" s="2"/>
      <c r="BX763" s="2"/>
      <c r="BY763" s="2">
        <v>10218.39</v>
      </c>
      <c r="BZ763" s="2"/>
      <c r="CA763" s="2" t="s">
        <v>272</v>
      </c>
      <c r="CB763" s="2"/>
      <c r="CC763" s="2" t="s">
        <v>269</v>
      </c>
      <c r="CD763" s="2">
        <v>200</v>
      </c>
      <c r="CE763" s="2" t="s">
        <v>104</v>
      </c>
      <c r="CF763" s="5">
        <v>42958</v>
      </c>
      <c r="CG763" s="2"/>
      <c r="CH763" s="2"/>
      <c r="CI763" s="2">
        <v>1</v>
      </c>
      <c r="CJ763" s="2">
        <v>2</v>
      </c>
      <c r="CK763" s="2">
        <v>21</v>
      </c>
      <c r="CL763" s="2" t="s">
        <v>86</v>
      </c>
      <c r="CM763" s="2"/>
    </row>
    <row r="764" spans="1:91">
      <c r="A764" s="2" t="s">
        <v>71</v>
      </c>
      <c r="B764" s="2" t="s">
        <v>72</v>
      </c>
      <c r="C764" s="2" t="s">
        <v>73</v>
      </c>
      <c r="D764" s="2"/>
      <c r="E764" s="2" t="str">
        <f>"FES116267628"</f>
        <v>FES116267628</v>
      </c>
      <c r="F764" s="3">
        <v>42955</v>
      </c>
      <c r="G764" s="2">
        <v>201802</v>
      </c>
      <c r="H764" s="2" t="s">
        <v>74</v>
      </c>
      <c r="I764" s="2" t="s">
        <v>75</v>
      </c>
      <c r="J764" s="2" t="s">
        <v>76</v>
      </c>
      <c r="K764" s="2" t="s">
        <v>77</v>
      </c>
      <c r="L764" s="2" t="s">
        <v>362</v>
      </c>
      <c r="M764" s="2" t="s">
        <v>363</v>
      </c>
      <c r="N764" s="2" t="s">
        <v>364</v>
      </c>
      <c r="O764" s="2" t="s">
        <v>100</v>
      </c>
      <c r="P764" s="2" t="str">
        <f>"2170581409                    "</f>
        <v xml:space="preserve">2170581409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4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1</v>
      </c>
      <c r="BJ764" s="2">
        <v>0.2</v>
      </c>
      <c r="BK764" s="2">
        <v>1</v>
      </c>
      <c r="BL764" s="2">
        <v>41.44</v>
      </c>
      <c r="BM764" s="2">
        <v>5.8</v>
      </c>
      <c r="BN764" s="2">
        <v>47.24</v>
      </c>
      <c r="BO764" s="2">
        <v>47.24</v>
      </c>
      <c r="BP764" s="2"/>
      <c r="BQ764" s="2" t="s">
        <v>83</v>
      </c>
      <c r="BR764" s="2" t="s">
        <v>84</v>
      </c>
      <c r="BS764" s="3">
        <v>42957</v>
      </c>
      <c r="BT764" s="4">
        <v>0.4375</v>
      </c>
      <c r="BU764" s="2" t="s">
        <v>366</v>
      </c>
      <c r="BV764" s="2" t="s">
        <v>95</v>
      </c>
      <c r="BW764" s="2"/>
      <c r="BX764" s="2"/>
      <c r="BY764" s="2">
        <v>1200</v>
      </c>
      <c r="BZ764" s="2"/>
      <c r="CA764" s="2"/>
      <c r="CB764" s="2"/>
      <c r="CC764" s="2" t="s">
        <v>363</v>
      </c>
      <c r="CD764" s="2">
        <v>3201</v>
      </c>
      <c r="CE764" s="2" t="s">
        <v>104</v>
      </c>
      <c r="CF764" s="2"/>
      <c r="CG764" s="2"/>
      <c r="CH764" s="2"/>
      <c r="CI764" s="2">
        <v>1</v>
      </c>
      <c r="CJ764" s="2">
        <v>2</v>
      </c>
      <c r="CK764" s="2">
        <v>21</v>
      </c>
      <c r="CL764" s="2" t="s">
        <v>86</v>
      </c>
      <c r="CM764" s="2"/>
    </row>
    <row r="765" spans="1:91">
      <c r="A765" s="2" t="s">
        <v>71</v>
      </c>
      <c r="B765" s="2" t="s">
        <v>72</v>
      </c>
      <c r="C765" s="2" t="s">
        <v>73</v>
      </c>
      <c r="D765" s="2"/>
      <c r="E765" s="2" t="str">
        <f>"FES1162567662"</f>
        <v>FES1162567662</v>
      </c>
      <c r="F765" s="3">
        <v>42955</v>
      </c>
      <c r="G765" s="2">
        <v>201802</v>
      </c>
      <c r="H765" s="2" t="s">
        <v>74</v>
      </c>
      <c r="I765" s="2" t="s">
        <v>75</v>
      </c>
      <c r="J765" s="2" t="s">
        <v>76</v>
      </c>
      <c r="K765" s="2" t="s">
        <v>77</v>
      </c>
      <c r="L765" s="2" t="s">
        <v>268</v>
      </c>
      <c r="M765" s="2" t="s">
        <v>269</v>
      </c>
      <c r="N765" s="2" t="s">
        <v>1443</v>
      </c>
      <c r="O765" s="2" t="s">
        <v>100</v>
      </c>
      <c r="P765" s="2" t="str">
        <f>"2170583365                    "</f>
        <v xml:space="preserve">2170583365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4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1</v>
      </c>
      <c r="BJ765" s="2">
        <v>0.2</v>
      </c>
      <c r="BK765" s="2">
        <v>1</v>
      </c>
      <c r="BL765" s="2">
        <v>41.44</v>
      </c>
      <c r="BM765" s="2">
        <v>5.8</v>
      </c>
      <c r="BN765" s="2">
        <v>47.24</v>
      </c>
      <c r="BO765" s="2">
        <v>47.24</v>
      </c>
      <c r="BP765" s="2" t="s">
        <v>1410</v>
      </c>
      <c r="BQ765" s="2" t="s">
        <v>108</v>
      </c>
      <c r="BR765" s="2" t="s">
        <v>84</v>
      </c>
      <c r="BS765" s="3">
        <v>42957</v>
      </c>
      <c r="BT765" s="4">
        <v>0.46180555555555558</v>
      </c>
      <c r="BU765" s="2" t="s">
        <v>1444</v>
      </c>
      <c r="BV765" s="2" t="s">
        <v>86</v>
      </c>
      <c r="BW765" s="2"/>
      <c r="BX765" s="2"/>
      <c r="BY765" s="2">
        <v>1200</v>
      </c>
      <c r="BZ765" s="2"/>
      <c r="CA765" s="2" t="s">
        <v>1445</v>
      </c>
      <c r="CB765" s="2"/>
      <c r="CC765" s="2" t="s">
        <v>269</v>
      </c>
      <c r="CD765" s="2">
        <v>2</v>
      </c>
      <c r="CE765" s="2" t="s">
        <v>104</v>
      </c>
      <c r="CF765" s="5">
        <v>42958</v>
      </c>
      <c r="CG765" s="2"/>
      <c r="CH765" s="2"/>
      <c r="CI765" s="2">
        <v>1</v>
      </c>
      <c r="CJ765" s="2">
        <v>2</v>
      </c>
      <c r="CK765" s="2">
        <v>21</v>
      </c>
      <c r="CL765" s="2" t="s">
        <v>86</v>
      </c>
      <c r="CM765" s="2"/>
    </row>
    <row r="766" spans="1:91">
      <c r="A766" s="2" t="s">
        <v>71</v>
      </c>
      <c r="B766" s="2" t="s">
        <v>72</v>
      </c>
      <c r="C766" s="2" t="s">
        <v>73</v>
      </c>
      <c r="D766" s="2"/>
      <c r="E766" s="2" t="str">
        <f>"FES1162567622"</f>
        <v>FES1162567622</v>
      </c>
      <c r="F766" s="3">
        <v>42955</v>
      </c>
      <c r="G766" s="2">
        <v>201802</v>
      </c>
      <c r="H766" s="2" t="s">
        <v>74</v>
      </c>
      <c r="I766" s="2" t="s">
        <v>75</v>
      </c>
      <c r="J766" s="2" t="s">
        <v>76</v>
      </c>
      <c r="K766" s="2" t="s">
        <v>77</v>
      </c>
      <c r="L766" s="2" t="s">
        <v>74</v>
      </c>
      <c r="M766" s="2" t="s">
        <v>75</v>
      </c>
      <c r="N766" s="2" t="s">
        <v>1446</v>
      </c>
      <c r="O766" s="2" t="s">
        <v>100</v>
      </c>
      <c r="P766" s="2" t="str">
        <f>"2170583779                    "</f>
        <v xml:space="preserve">2170583779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3.13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1</v>
      </c>
      <c r="BJ766" s="2">
        <v>0.2</v>
      </c>
      <c r="BK766" s="2">
        <v>1</v>
      </c>
      <c r="BL766" s="2">
        <v>32.380000000000003</v>
      </c>
      <c r="BM766" s="2">
        <v>4.53</v>
      </c>
      <c r="BN766" s="2">
        <v>36.909999999999997</v>
      </c>
      <c r="BO766" s="2">
        <v>36.909999999999997</v>
      </c>
      <c r="BP766" s="2"/>
      <c r="BQ766" s="2" t="s">
        <v>288</v>
      </c>
      <c r="BR766" s="2" t="s">
        <v>84</v>
      </c>
      <c r="BS766" s="3">
        <v>42957</v>
      </c>
      <c r="BT766" s="4">
        <v>0.31944444444444448</v>
      </c>
      <c r="BU766" s="2" t="s">
        <v>1447</v>
      </c>
      <c r="BV766" s="2" t="s">
        <v>86</v>
      </c>
      <c r="BW766" s="2" t="s">
        <v>124</v>
      </c>
      <c r="BX766" s="2" t="s">
        <v>327</v>
      </c>
      <c r="BY766" s="2">
        <v>1200</v>
      </c>
      <c r="BZ766" s="2"/>
      <c r="CA766" s="2" t="s">
        <v>1448</v>
      </c>
      <c r="CB766" s="2"/>
      <c r="CC766" s="2" t="s">
        <v>75</v>
      </c>
      <c r="CD766" s="2">
        <v>1600</v>
      </c>
      <c r="CE766" s="2" t="s">
        <v>104</v>
      </c>
      <c r="CF766" s="5">
        <v>42958</v>
      </c>
      <c r="CG766" s="2"/>
      <c r="CH766" s="2"/>
      <c r="CI766" s="2">
        <v>1</v>
      </c>
      <c r="CJ766" s="2">
        <v>2</v>
      </c>
      <c r="CK766" s="2">
        <v>22</v>
      </c>
      <c r="CL766" s="2" t="s">
        <v>86</v>
      </c>
      <c r="CM766" s="2"/>
    </row>
    <row r="767" spans="1:91">
      <c r="A767" s="2" t="s">
        <v>71</v>
      </c>
      <c r="B767" s="2" t="s">
        <v>72</v>
      </c>
      <c r="C767" s="2" t="s">
        <v>73</v>
      </c>
      <c r="D767" s="2"/>
      <c r="E767" s="2" t="str">
        <f>"FES1162567653"</f>
        <v>FES1162567653</v>
      </c>
      <c r="F767" s="3">
        <v>42955</v>
      </c>
      <c r="G767" s="2">
        <v>201802</v>
      </c>
      <c r="H767" s="2" t="s">
        <v>74</v>
      </c>
      <c r="I767" s="2" t="s">
        <v>75</v>
      </c>
      <c r="J767" s="2" t="s">
        <v>76</v>
      </c>
      <c r="K767" s="2" t="s">
        <v>77</v>
      </c>
      <c r="L767" s="2" t="s">
        <v>216</v>
      </c>
      <c r="M767" s="2" t="s">
        <v>217</v>
      </c>
      <c r="N767" s="2" t="s">
        <v>374</v>
      </c>
      <c r="O767" s="2" t="s">
        <v>100</v>
      </c>
      <c r="P767" s="2" t="str">
        <f>"2170583792                    "</f>
        <v xml:space="preserve">2170583792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3.13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1</v>
      </c>
      <c r="BJ767" s="2">
        <v>0.2</v>
      </c>
      <c r="BK767" s="2">
        <v>1</v>
      </c>
      <c r="BL767" s="2">
        <v>32.380000000000003</v>
      </c>
      <c r="BM767" s="2">
        <v>4.53</v>
      </c>
      <c r="BN767" s="2">
        <v>36.909999999999997</v>
      </c>
      <c r="BO767" s="2">
        <v>36.909999999999997</v>
      </c>
      <c r="BP767" s="2"/>
      <c r="BQ767" s="2" t="s">
        <v>288</v>
      </c>
      <c r="BR767" s="2" t="s">
        <v>84</v>
      </c>
      <c r="BS767" s="3">
        <v>42957</v>
      </c>
      <c r="BT767" s="4">
        <v>0.4152777777777778</v>
      </c>
      <c r="BU767" s="2" t="s">
        <v>1449</v>
      </c>
      <c r="BV767" s="2" t="s">
        <v>86</v>
      </c>
      <c r="BW767" s="2" t="s">
        <v>124</v>
      </c>
      <c r="BX767" s="2" t="s">
        <v>327</v>
      </c>
      <c r="BY767" s="2">
        <v>1200</v>
      </c>
      <c r="BZ767" s="2"/>
      <c r="CA767" s="2" t="s">
        <v>220</v>
      </c>
      <c r="CB767" s="2"/>
      <c r="CC767" s="2" t="s">
        <v>217</v>
      </c>
      <c r="CD767" s="2">
        <v>1451</v>
      </c>
      <c r="CE767" s="2" t="s">
        <v>104</v>
      </c>
      <c r="CF767" s="5">
        <v>42958</v>
      </c>
      <c r="CG767" s="2"/>
      <c r="CH767" s="2"/>
      <c r="CI767" s="2">
        <v>1</v>
      </c>
      <c r="CJ767" s="2">
        <v>2</v>
      </c>
      <c r="CK767" s="2">
        <v>22</v>
      </c>
      <c r="CL767" s="2" t="s">
        <v>86</v>
      </c>
      <c r="CM767" s="2"/>
    </row>
    <row r="768" spans="1:91">
      <c r="A768" s="2" t="s">
        <v>71</v>
      </c>
      <c r="B768" s="2" t="s">
        <v>72</v>
      </c>
      <c r="C768" s="2" t="s">
        <v>73</v>
      </c>
      <c r="D768" s="2"/>
      <c r="E768" s="2" t="str">
        <f>"FES1162567652"</f>
        <v>FES1162567652</v>
      </c>
      <c r="F768" s="3">
        <v>42955</v>
      </c>
      <c r="G768" s="2">
        <v>201802</v>
      </c>
      <c r="H768" s="2" t="s">
        <v>74</v>
      </c>
      <c r="I768" s="2" t="s">
        <v>75</v>
      </c>
      <c r="J768" s="2" t="s">
        <v>76</v>
      </c>
      <c r="K768" s="2" t="s">
        <v>77</v>
      </c>
      <c r="L768" s="2" t="s">
        <v>206</v>
      </c>
      <c r="M768" s="2" t="s">
        <v>207</v>
      </c>
      <c r="N768" s="2" t="s">
        <v>262</v>
      </c>
      <c r="O768" s="2" t="s">
        <v>100</v>
      </c>
      <c r="P768" s="2" t="str">
        <f>"2170583788                    "</f>
        <v xml:space="preserve">2170583788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5.63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1</v>
      </c>
      <c r="BJ768" s="2">
        <v>0.2</v>
      </c>
      <c r="BK768" s="2">
        <v>1</v>
      </c>
      <c r="BL768" s="2">
        <v>58.28</v>
      </c>
      <c r="BM768" s="2">
        <v>8.16</v>
      </c>
      <c r="BN768" s="2">
        <v>66.44</v>
      </c>
      <c r="BO768" s="2">
        <v>66.44</v>
      </c>
      <c r="BP768" s="2" t="s">
        <v>101</v>
      </c>
      <c r="BQ768" s="2" t="s">
        <v>83</v>
      </c>
      <c r="BR768" s="2" t="s">
        <v>84</v>
      </c>
      <c r="BS768" s="3">
        <v>42957</v>
      </c>
      <c r="BT768" s="4">
        <v>0.55694444444444446</v>
      </c>
      <c r="BU768" s="2" t="s">
        <v>1421</v>
      </c>
      <c r="BV768" s="2" t="s">
        <v>86</v>
      </c>
      <c r="BW768" s="2" t="s">
        <v>124</v>
      </c>
      <c r="BX768" s="2" t="s">
        <v>1001</v>
      </c>
      <c r="BY768" s="2">
        <v>1200</v>
      </c>
      <c r="BZ768" s="2"/>
      <c r="CA768" s="2" t="s">
        <v>211</v>
      </c>
      <c r="CB768" s="2"/>
      <c r="CC768" s="2" t="s">
        <v>207</v>
      </c>
      <c r="CD768" s="2">
        <v>250</v>
      </c>
      <c r="CE768" s="2" t="s">
        <v>104</v>
      </c>
      <c r="CF768" s="5">
        <v>42961</v>
      </c>
      <c r="CG768" s="2"/>
      <c r="CH768" s="2"/>
      <c r="CI768" s="2">
        <v>1</v>
      </c>
      <c r="CJ768" s="2">
        <v>2</v>
      </c>
      <c r="CK768" s="2">
        <v>24</v>
      </c>
      <c r="CL768" s="2" t="s">
        <v>86</v>
      </c>
      <c r="CM768" s="2"/>
    </row>
    <row r="769" spans="1:91">
      <c r="A769" s="2" t="s">
        <v>71</v>
      </c>
      <c r="B769" s="2" t="s">
        <v>72</v>
      </c>
      <c r="C769" s="2" t="s">
        <v>73</v>
      </c>
      <c r="D769" s="2"/>
      <c r="E769" s="2" t="str">
        <f>"FES1162567748"</f>
        <v>FES1162567748</v>
      </c>
      <c r="F769" s="3">
        <v>42955</v>
      </c>
      <c r="G769" s="2">
        <v>201802</v>
      </c>
      <c r="H769" s="2" t="s">
        <v>74</v>
      </c>
      <c r="I769" s="2" t="s">
        <v>75</v>
      </c>
      <c r="J769" s="2" t="s">
        <v>76</v>
      </c>
      <c r="K769" s="2" t="s">
        <v>77</v>
      </c>
      <c r="L769" s="2" t="s">
        <v>144</v>
      </c>
      <c r="M769" s="2" t="s">
        <v>145</v>
      </c>
      <c r="N769" s="2" t="s">
        <v>1051</v>
      </c>
      <c r="O769" s="2" t="s">
        <v>100</v>
      </c>
      <c r="P769" s="2" t="str">
        <f>"2170583888                    "</f>
        <v xml:space="preserve">2170583888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3.13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1</v>
      </c>
      <c r="BI769" s="2">
        <v>1</v>
      </c>
      <c r="BJ769" s="2">
        <v>0.2</v>
      </c>
      <c r="BK769" s="2">
        <v>1</v>
      </c>
      <c r="BL769" s="2">
        <v>32.380000000000003</v>
      </c>
      <c r="BM769" s="2">
        <v>4.53</v>
      </c>
      <c r="BN769" s="2">
        <v>36.909999999999997</v>
      </c>
      <c r="BO769" s="2">
        <v>36.909999999999997</v>
      </c>
      <c r="BP769" s="2"/>
      <c r="BQ769" s="2" t="s">
        <v>288</v>
      </c>
      <c r="BR769" s="2" t="s">
        <v>84</v>
      </c>
      <c r="BS769" s="3">
        <v>42957</v>
      </c>
      <c r="BT769" s="4">
        <v>0.41666666666666669</v>
      </c>
      <c r="BU769" s="2" t="s">
        <v>179</v>
      </c>
      <c r="BV769" s="2" t="s">
        <v>86</v>
      </c>
      <c r="BW769" s="2" t="s">
        <v>124</v>
      </c>
      <c r="BX769" s="2" t="s">
        <v>327</v>
      </c>
      <c r="BY769" s="2">
        <v>1200</v>
      </c>
      <c r="BZ769" s="2"/>
      <c r="CA769" s="2" t="s">
        <v>1296</v>
      </c>
      <c r="CB769" s="2"/>
      <c r="CC769" s="2" t="s">
        <v>145</v>
      </c>
      <c r="CD769" s="2">
        <v>2091</v>
      </c>
      <c r="CE769" s="2" t="s">
        <v>104</v>
      </c>
      <c r="CF769" s="5">
        <v>42958</v>
      </c>
      <c r="CG769" s="2"/>
      <c r="CH769" s="2"/>
      <c r="CI769" s="2">
        <v>1</v>
      </c>
      <c r="CJ769" s="2">
        <v>2</v>
      </c>
      <c r="CK769" s="2">
        <v>22</v>
      </c>
      <c r="CL769" s="2" t="s">
        <v>86</v>
      </c>
      <c r="CM769" s="2"/>
    </row>
    <row r="770" spans="1:91">
      <c r="A770" s="2" t="s">
        <v>71</v>
      </c>
      <c r="B770" s="2" t="s">
        <v>72</v>
      </c>
      <c r="C770" s="2" t="s">
        <v>73</v>
      </c>
      <c r="D770" s="2"/>
      <c r="E770" s="2" t="str">
        <f>"FES1162567735"</f>
        <v>FES1162567735</v>
      </c>
      <c r="F770" s="3">
        <v>42955</v>
      </c>
      <c r="G770" s="2">
        <v>201802</v>
      </c>
      <c r="H770" s="2" t="s">
        <v>74</v>
      </c>
      <c r="I770" s="2" t="s">
        <v>75</v>
      </c>
      <c r="J770" s="2" t="s">
        <v>76</v>
      </c>
      <c r="K770" s="2" t="s">
        <v>77</v>
      </c>
      <c r="L770" s="2" t="s">
        <v>268</v>
      </c>
      <c r="M770" s="2" t="s">
        <v>269</v>
      </c>
      <c r="N770" s="2" t="s">
        <v>982</v>
      </c>
      <c r="O770" s="2" t="s">
        <v>100</v>
      </c>
      <c r="P770" s="2" t="str">
        <f>"2170583870                    "</f>
        <v xml:space="preserve">2170583870 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4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1</v>
      </c>
      <c r="BJ770" s="2">
        <v>0.2</v>
      </c>
      <c r="BK770" s="2">
        <v>1</v>
      </c>
      <c r="BL770" s="2">
        <v>41.44</v>
      </c>
      <c r="BM770" s="2">
        <v>5.8</v>
      </c>
      <c r="BN770" s="2">
        <v>47.24</v>
      </c>
      <c r="BO770" s="2">
        <v>47.24</v>
      </c>
      <c r="BP770" s="2" t="s">
        <v>101</v>
      </c>
      <c r="BQ770" s="2" t="s">
        <v>209</v>
      </c>
      <c r="BR770" s="2" t="s">
        <v>84</v>
      </c>
      <c r="BS770" s="3">
        <v>42957</v>
      </c>
      <c r="BT770" s="4">
        <v>0.48125000000000001</v>
      </c>
      <c r="BU770" s="2" t="s">
        <v>984</v>
      </c>
      <c r="BV770" s="2" t="s">
        <v>86</v>
      </c>
      <c r="BW770" s="2"/>
      <c r="BX770" s="2"/>
      <c r="BY770" s="2">
        <v>1200</v>
      </c>
      <c r="BZ770" s="2"/>
      <c r="CA770" s="2" t="s">
        <v>272</v>
      </c>
      <c r="CB770" s="2"/>
      <c r="CC770" s="2" t="s">
        <v>269</v>
      </c>
      <c r="CD770" s="2">
        <v>200</v>
      </c>
      <c r="CE770" s="2" t="s">
        <v>104</v>
      </c>
      <c r="CF770" s="5">
        <v>42958</v>
      </c>
      <c r="CG770" s="2"/>
      <c r="CH770" s="2"/>
      <c r="CI770" s="2">
        <v>1</v>
      </c>
      <c r="CJ770" s="2">
        <v>2</v>
      </c>
      <c r="CK770" s="2">
        <v>21</v>
      </c>
      <c r="CL770" s="2" t="s">
        <v>86</v>
      </c>
      <c r="CM770" s="2"/>
    </row>
    <row r="771" spans="1:91">
      <c r="A771" s="2" t="s">
        <v>71</v>
      </c>
      <c r="B771" s="2" t="s">
        <v>72</v>
      </c>
      <c r="C771" s="2" t="s">
        <v>73</v>
      </c>
      <c r="D771" s="2"/>
      <c r="E771" s="2" t="str">
        <f>"FES1162567760"</f>
        <v>FES1162567760</v>
      </c>
      <c r="F771" s="3">
        <v>42955</v>
      </c>
      <c r="G771" s="2">
        <v>201802</v>
      </c>
      <c r="H771" s="2" t="s">
        <v>74</v>
      </c>
      <c r="I771" s="2" t="s">
        <v>75</v>
      </c>
      <c r="J771" s="2" t="s">
        <v>76</v>
      </c>
      <c r="K771" s="2" t="s">
        <v>77</v>
      </c>
      <c r="L771" s="2" t="s">
        <v>216</v>
      </c>
      <c r="M771" s="2" t="s">
        <v>217</v>
      </c>
      <c r="N771" s="2" t="s">
        <v>1450</v>
      </c>
      <c r="O771" s="2" t="s">
        <v>100</v>
      </c>
      <c r="P771" s="2" t="str">
        <f>"2170583902                    "</f>
        <v xml:space="preserve">2170583902 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3.13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1</v>
      </c>
      <c r="BJ771" s="2">
        <v>0.2</v>
      </c>
      <c r="BK771" s="2">
        <v>1</v>
      </c>
      <c r="BL771" s="2">
        <v>32.380000000000003</v>
      </c>
      <c r="BM771" s="2">
        <v>4.53</v>
      </c>
      <c r="BN771" s="2">
        <v>36.909999999999997</v>
      </c>
      <c r="BO771" s="2">
        <v>36.909999999999997</v>
      </c>
      <c r="BP771" s="2"/>
      <c r="BQ771" s="2" t="s">
        <v>209</v>
      </c>
      <c r="BR771" s="2" t="s">
        <v>84</v>
      </c>
      <c r="BS771" s="3">
        <v>42957</v>
      </c>
      <c r="BT771" s="4">
        <v>0.41666666666666669</v>
      </c>
      <c r="BU771" s="2" t="s">
        <v>1451</v>
      </c>
      <c r="BV771" s="2" t="s">
        <v>86</v>
      </c>
      <c r="BW771" s="2" t="s">
        <v>1007</v>
      </c>
      <c r="BX771" s="2" t="s">
        <v>1452</v>
      </c>
      <c r="BY771" s="2">
        <v>1200</v>
      </c>
      <c r="BZ771" s="2"/>
      <c r="CA771" s="2"/>
      <c r="CB771" s="2"/>
      <c r="CC771" s="2" t="s">
        <v>217</v>
      </c>
      <c r="CD771" s="2">
        <v>1540</v>
      </c>
      <c r="CE771" s="2" t="s">
        <v>104</v>
      </c>
      <c r="CF771" s="5">
        <v>42958</v>
      </c>
      <c r="CG771" s="2"/>
      <c r="CH771" s="2"/>
      <c r="CI771" s="2">
        <v>1</v>
      </c>
      <c r="CJ771" s="2">
        <v>2</v>
      </c>
      <c r="CK771" s="2">
        <v>22</v>
      </c>
      <c r="CL771" s="2" t="s">
        <v>86</v>
      </c>
      <c r="CM771" s="2"/>
    </row>
    <row r="772" spans="1:91">
      <c r="A772" s="2" t="s">
        <v>71</v>
      </c>
      <c r="B772" s="2" t="s">
        <v>72</v>
      </c>
      <c r="C772" s="2" t="s">
        <v>73</v>
      </c>
      <c r="D772" s="2"/>
      <c r="E772" s="2" t="str">
        <f>"FES1162567697"</f>
        <v>FES1162567697</v>
      </c>
      <c r="F772" s="3">
        <v>42955</v>
      </c>
      <c r="G772" s="2">
        <v>201802</v>
      </c>
      <c r="H772" s="2" t="s">
        <v>74</v>
      </c>
      <c r="I772" s="2" t="s">
        <v>75</v>
      </c>
      <c r="J772" s="2" t="s">
        <v>76</v>
      </c>
      <c r="K772" s="2" t="s">
        <v>77</v>
      </c>
      <c r="L772" s="2" t="s">
        <v>237</v>
      </c>
      <c r="M772" s="2" t="s">
        <v>238</v>
      </c>
      <c r="N772" s="2" t="s">
        <v>769</v>
      </c>
      <c r="O772" s="2" t="s">
        <v>100</v>
      </c>
      <c r="P772" s="2" t="str">
        <f>"2170581320                    "</f>
        <v xml:space="preserve">2170581320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4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1</v>
      </c>
      <c r="BI772" s="2">
        <v>1</v>
      </c>
      <c r="BJ772" s="2">
        <v>0.2</v>
      </c>
      <c r="BK772" s="2">
        <v>1</v>
      </c>
      <c r="BL772" s="2">
        <v>41.44</v>
      </c>
      <c r="BM772" s="2">
        <v>5.8</v>
      </c>
      <c r="BN772" s="2">
        <v>47.24</v>
      </c>
      <c r="BO772" s="2">
        <v>47.24</v>
      </c>
      <c r="BP772" s="2"/>
      <c r="BQ772" s="2" t="s">
        <v>83</v>
      </c>
      <c r="BR772" s="2" t="s">
        <v>84</v>
      </c>
      <c r="BS772" s="3">
        <v>42957</v>
      </c>
      <c r="BT772" s="4">
        <v>0.4069444444444445</v>
      </c>
      <c r="BU772" s="2" t="s">
        <v>1453</v>
      </c>
      <c r="BV772" s="2" t="s">
        <v>86</v>
      </c>
      <c r="BW772" s="2" t="s">
        <v>87</v>
      </c>
      <c r="BX772" s="2" t="s">
        <v>337</v>
      </c>
      <c r="BY772" s="2">
        <v>1200</v>
      </c>
      <c r="BZ772" s="2"/>
      <c r="CA772" s="2" t="s">
        <v>1454</v>
      </c>
      <c r="CB772" s="2"/>
      <c r="CC772" s="2" t="s">
        <v>238</v>
      </c>
      <c r="CD772" s="2">
        <v>3600</v>
      </c>
      <c r="CE772" s="2" t="s">
        <v>104</v>
      </c>
      <c r="CF772" s="5">
        <v>42959</v>
      </c>
      <c r="CG772" s="2"/>
      <c r="CH772" s="2"/>
      <c r="CI772" s="2">
        <v>1</v>
      </c>
      <c r="CJ772" s="2">
        <v>2</v>
      </c>
      <c r="CK772" s="2">
        <v>21</v>
      </c>
      <c r="CL772" s="2" t="s">
        <v>86</v>
      </c>
      <c r="CM772" s="2"/>
    </row>
    <row r="773" spans="1:91">
      <c r="A773" s="2" t="s">
        <v>71</v>
      </c>
      <c r="B773" s="2" t="s">
        <v>72</v>
      </c>
      <c r="C773" s="2" t="s">
        <v>73</v>
      </c>
      <c r="D773" s="2"/>
      <c r="E773" s="2" t="str">
        <f>"FES1162567641"</f>
        <v>FES1162567641</v>
      </c>
      <c r="F773" s="3">
        <v>42955</v>
      </c>
      <c r="G773" s="2">
        <v>201802</v>
      </c>
      <c r="H773" s="2" t="s">
        <v>74</v>
      </c>
      <c r="I773" s="2" t="s">
        <v>75</v>
      </c>
      <c r="J773" s="2" t="s">
        <v>76</v>
      </c>
      <c r="K773" s="2" t="s">
        <v>77</v>
      </c>
      <c r="L773" s="2" t="s">
        <v>244</v>
      </c>
      <c r="M773" s="2" t="s">
        <v>245</v>
      </c>
      <c r="N773" s="2" t="s">
        <v>246</v>
      </c>
      <c r="O773" s="2" t="s">
        <v>100</v>
      </c>
      <c r="P773" s="2" t="str">
        <f>"2170583449                    "</f>
        <v xml:space="preserve">2170583449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3.13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1</v>
      </c>
      <c r="BJ773" s="2">
        <v>0.2</v>
      </c>
      <c r="BK773" s="2">
        <v>1</v>
      </c>
      <c r="BL773" s="2">
        <v>32.380000000000003</v>
      </c>
      <c r="BM773" s="2">
        <v>4.53</v>
      </c>
      <c r="BN773" s="2">
        <v>36.909999999999997</v>
      </c>
      <c r="BO773" s="2">
        <v>36.909999999999997</v>
      </c>
      <c r="BP773" s="2"/>
      <c r="BQ773" s="2" t="s">
        <v>209</v>
      </c>
      <c r="BR773" s="2" t="s">
        <v>84</v>
      </c>
      <c r="BS773" s="3">
        <v>42957</v>
      </c>
      <c r="BT773" s="4">
        <v>0.37847222222222227</v>
      </c>
      <c r="BU773" s="2" t="s">
        <v>740</v>
      </c>
      <c r="BV773" s="2" t="s">
        <v>86</v>
      </c>
      <c r="BW773" s="2" t="s">
        <v>1007</v>
      </c>
      <c r="BX773" s="2" t="s">
        <v>1452</v>
      </c>
      <c r="BY773" s="2">
        <v>1200</v>
      </c>
      <c r="BZ773" s="2"/>
      <c r="CA773" s="2" t="s">
        <v>499</v>
      </c>
      <c r="CB773" s="2"/>
      <c r="CC773" s="2" t="s">
        <v>245</v>
      </c>
      <c r="CD773" s="2">
        <v>1459</v>
      </c>
      <c r="CE773" s="2" t="s">
        <v>104</v>
      </c>
      <c r="CF773" s="5">
        <v>42958</v>
      </c>
      <c r="CG773" s="2"/>
      <c r="CH773" s="2"/>
      <c r="CI773" s="2">
        <v>1</v>
      </c>
      <c r="CJ773" s="2">
        <v>2</v>
      </c>
      <c r="CK773" s="2">
        <v>22</v>
      </c>
      <c r="CL773" s="2" t="s">
        <v>86</v>
      </c>
      <c r="CM773" s="2"/>
    </row>
    <row r="774" spans="1:91">
      <c r="A774" s="2" t="s">
        <v>71</v>
      </c>
      <c r="B774" s="2" t="s">
        <v>72</v>
      </c>
      <c r="C774" s="2" t="s">
        <v>73</v>
      </c>
      <c r="D774" s="2"/>
      <c r="E774" s="2" t="str">
        <f>"FES1162567757"</f>
        <v>FES1162567757</v>
      </c>
      <c r="F774" s="3">
        <v>42955</v>
      </c>
      <c r="G774" s="2">
        <v>201802</v>
      </c>
      <c r="H774" s="2" t="s">
        <v>74</v>
      </c>
      <c r="I774" s="2" t="s">
        <v>75</v>
      </c>
      <c r="J774" s="2" t="s">
        <v>76</v>
      </c>
      <c r="K774" s="2" t="s">
        <v>77</v>
      </c>
      <c r="L774" s="2" t="s">
        <v>688</v>
      </c>
      <c r="M774" s="2" t="s">
        <v>689</v>
      </c>
      <c r="N774" s="2" t="s">
        <v>690</v>
      </c>
      <c r="O774" s="2" t="s">
        <v>100</v>
      </c>
      <c r="P774" s="2" t="str">
        <f>"2170583898                    "</f>
        <v xml:space="preserve">2170583898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7.75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1</v>
      </c>
      <c r="BJ774" s="2">
        <v>0.2</v>
      </c>
      <c r="BK774" s="2">
        <v>1</v>
      </c>
      <c r="BL774" s="2">
        <v>80.290000000000006</v>
      </c>
      <c r="BM774" s="2">
        <v>11.24</v>
      </c>
      <c r="BN774" s="2">
        <v>91.53</v>
      </c>
      <c r="BO774" s="2">
        <v>91.53</v>
      </c>
      <c r="BP774" s="2"/>
      <c r="BQ774" s="2" t="s">
        <v>83</v>
      </c>
      <c r="BR774" s="2" t="s">
        <v>84</v>
      </c>
      <c r="BS774" s="3">
        <v>42957</v>
      </c>
      <c r="BT774" s="4">
        <v>0.39583333333333331</v>
      </c>
      <c r="BU774" s="2" t="s">
        <v>1425</v>
      </c>
      <c r="BV774" s="2" t="s">
        <v>86</v>
      </c>
      <c r="BW774" s="2" t="s">
        <v>124</v>
      </c>
      <c r="BX774" s="2" t="s">
        <v>1426</v>
      </c>
      <c r="BY774" s="2">
        <v>1200</v>
      </c>
      <c r="BZ774" s="2"/>
      <c r="CA774" s="2" t="s">
        <v>1427</v>
      </c>
      <c r="CB774" s="2"/>
      <c r="CC774" s="2" t="s">
        <v>689</v>
      </c>
      <c r="CD774" s="2">
        <v>9880</v>
      </c>
      <c r="CE774" s="2" t="s">
        <v>104</v>
      </c>
      <c r="CF774" s="5">
        <v>42961</v>
      </c>
      <c r="CG774" s="2"/>
      <c r="CH774" s="2"/>
      <c r="CI774" s="2">
        <v>1</v>
      </c>
      <c r="CJ774" s="2">
        <v>2</v>
      </c>
      <c r="CK774" s="2">
        <v>23</v>
      </c>
      <c r="CL774" s="2" t="s">
        <v>86</v>
      </c>
      <c r="CM774" s="2"/>
    </row>
    <row r="775" spans="1:91">
      <c r="A775" s="2" t="s">
        <v>71</v>
      </c>
      <c r="B775" s="2" t="s">
        <v>72</v>
      </c>
      <c r="C775" s="2" t="s">
        <v>73</v>
      </c>
      <c r="D775" s="2"/>
      <c r="E775" s="2" t="str">
        <f>"FES1162567627"</f>
        <v>FES1162567627</v>
      </c>
      <c r="F775" s="3">
        <v>42955</v>
      </c>
      <c r="G775" s="2">
        <v>201802</v>
      </c>
      <c r="H775" s="2" t="s">
        <v>74</v>
      </c>
      <c r="I775" s="2" t="s">
        <v>75</v>
      </c>
      <c r="J775" s="2" t="s">
        <v>76</v>
      </c>
      <c r="K775" s="2" t="s">
        <v>77</v>
      </c>
      <c r="L775" s="2" t="s">
        <v>74</v>
      </c>
      <c r="M775" s="2" t="s">
        <v>75</v>
      </c>
      <c r="N775" s="2" t="s">
        <v>407</v>
      </c>
      <c r="O775" s="2" t="s">
        <v>100</v>
      </c>
      <c r="P775" s="2" t="str">
        <f>"2170581294                    "</f>
        <v xml:space="preserve">2170581294 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3.13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</v>
      </c>
      <c r="BJ775" s="2">
        <v>0.2</v>
      </c>
      <c r="BK775" s="2">
        <v>1</v>
      </c>
      <c r="BL775" s="2">
        <v>32.380000000000003</v>
      </c>
      <c r="BM775" s="2">
        <v>4.53</v>
      </c>
      <c r="BN775" s="2">
        <v>36.909999999999997</v>
      </c>
      <c r="BO775" s="2">
        <v>36.909999999999997</v>
      </c>
      <c r="BP775" s="2"/>
      <c r="BQ775" s="2" t="s">
        <v>288</v>
      </c>
      <c r="BR775" s="2" t="s">
        <v>84</v>
      </c>
      <c r="BS775" s="3">
        <v>42957</v>
      </c>
      <c r="BT775" s="4">
        <v>0.3430555555555555</v>
      </c>
      <c r="BU775" s="2" t="s">
        <v>935</v>
      </c>
      <c r="BV775" s="2" t="s">
        <v>86</v>
      </c>
      <c r="BW775" s="2" t="s">
        <v>124</v>
      </c>
      <c r="BX775" s="2" t="s">
        <v>1150</v>
      </c>
      <c r="BY775" s="2">
        <v>1200</v>
      </c>
      <c r="BZ775" s="2"/>
      <c r="CA775" s="2" t="s">
        <v>267</v>
      </c>
      <c r="CB775" s="2"/>
      <c r="CC775" s="2" t="s">
        <v>75</v>
      </c>
      <c r="CD775" s="2">
        <v>1645</v>
      </c>
      <c r="CE775" s="2" t="s">
        <v>104</v>
      </c>
      <c r="CF775" s="5">
        <v>42958</v>
      </c>
      <c r="CG775" s="2"/>
      <c r="CH775" s="2"/>
      <c r="CI775" s="2">
        <v>1</v>
      </c>
      <c r="CJ775" s="2">
        <v>2</v>
      </c>
      <c r="CK775" s="2">
        <v>22</v>
      </c>
      <c r="CL775" s="2" t="s">
        <v>86</v>
      </c>
      <c r="CM775" s="2"/>
    </row>
    <row r="776" spans="1:91">
      <c r="A776" s="2" t="s">
        <v>71</v>
      </c>
      <c r="B776" s="2" t="s">
        <v>72</v>
      </c>
      <c r="C776" s="2" t="s">
        <v>73</v>
      </c>
      <c r="D776" s="2"/>
      <c r="E776" s="2" t="str">
        <f>"FES1162567570"</f>
        <v>FES1162567570</v>
      </c>
      <c r="F776" s="3">
        <v>42955</v>
      </c>
      <c r="G776" s="2">
        <v>201802</v>
      </c>
      <c r="H776" s="2" t="s">
        <v>74</v>
      </c>
      <c r="I776" s="2" t="s">
        <v>75</v>
      </c>
      <c r="J776" s="2" t="s">
        <v>76</v>
      </c>
      <c r="K776" s="2" t="s">
        <v>77</v>
      </c>
      <c r="L776" s="2" t="s">
        <v>971</v>
      </c>
      <c r="M776" s="2" t="s">
        <v>972</v>
      </c>
      <c r="N776" s="2" t="s">
        <v>1455</v>
      </c>
      <c r="O776" s="2" t="s">
        <v>100</v>
      </c>
      <c r="P776" s="2" t="str">
        <f>"2170583509                    "</f>
        <v xml:space="preserve">2170583509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5.63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1</v>
      </c>
      <c r="BI776" s="2">
        <v>1</v>
      </c>
      <c r="BJ776" s="2">
        <v>0.2</v>
      </c>
      <c r="BK776" s="2">
        <v>1</v>
      </c>
      <c r="BL776" s="2">
        <v>58.28</v>
      </c>
      <c r="BM776" s="2">
        <v>8.16</v>
      </c>
      <c r="BN776" s="2">
        <v>66.44</v>
      </c>
      <c r="BO776" s="2">
        <v>66.44</v>
      </c>
      <c r="BP776" s="2"/>
      <c r="BQ776" s="2" t="s">
        <v>83</v>
      </c>
      <c r="BR776" s="2" t="s">
        <v>84</v>
      </c>
      <c r="BS776" s="3">
        <v>42961</v>
      </c>
      <c r="BT776" s="4">
        <v>0.4375</v>
      </c>
      <c r="BU776" s="2" t="s">
        <v>1456</v>
      </c>
      <c r="BV776" s="2" t="s">
        <v>86</v>
      </c>
      <c r="BW776" s="2" t="s">
        <v>124</v>
      </c>
      <c r="BX776" s="2" t="s">
        <v>498</v>
      </c>
      <c r="BY776" s="2">
        <v>1200</v>
      </c>
      <c r="BZ776" s="2"/>
      <c r="CA776" s="2" t="s">
        <v>1098</v>
      </c>
      <c r="CB776" s="2"/>
      <c r="CC776" s="2" t="s">
        <v>972</v>
      </c>
      <c r="CD776" s="2">
        <v>1441</v>
      </c>
      <c r="CE776" s="2" t="s">
        <v>104</v>
      </c>
      <c r="CF776" s="5">
        <v>42962</v>
      </c>
      <c r="CG776" s="2"/>
      <c r="CH776" s="2"/>
      <c r="CI776" s="2">
        <v>1</v>
      </c>
      <c r="CJ776" s="2">
        <v>4</v>
      </c>
      <c r="CK776" s="2">
        <v>24</v>
      </c>
      <c r="CL776" s="2" t="s">
        <v>86</v>
      </c>
      <c r="CM776" s="2"/>
    </row>
    <row r="777" spans="1:91">
      <c r="A777" s="2" t="s">
        <v>71</v>
      </c>
      <c r="B777" s="2" t="s">
        <v>72</v>
      </c>
      <c r="C777" s="2" t="s">
        <v>73</v>
      </c>
      <c r="D777" s="2"/>
      <c r="E777" s="2" t="str">
        <f>"FES1162567647"</f>
        <v>FES1162567647</v>
      </c>
      <c r="F777" s="3">
        <v>42955</v>
      </c>
      <c r="G777" s="2">
        <v>201802</v>
      </c>
      <c r="H777" s="2" t="s">
        <v>74</v>
      </c>
      <c r="I777" s="2" t="s">
        <v>75</v>
      </c>
      <c r="J777" s="2" t="s">
        <v>76</v>
      </c>
      <c r="K777" s="2" t="s">
        <v>77</v>
      </c>
      <c r="L777" s="2" t="s">
        <v>170</v>
      </c>
      <c r="M777" s="2" t="s">
        <v>171</v>
      </c>
      <c r="N777" s="2" t="s">
        <v>730</v>
      </c>
      <c r="O777" s="2" t="s">
        <v>100</v>
      </c>
      <c r="P777" s="2" t="str">
        <f>"2170583783                    "</f>
        <v xml:space="preserve">2170583783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3.13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1</v>
      </c>
      <c r="BI777" s="2">
        <v>1</v>
      </c>
      <c r="BJ777" s="2">
        <v>0.2</v>
      </c>
      <c r="BK777" s="2">
        <v>1</v>
      </c>
      <c r="BL777" s="2">
        <v>32.380000000000003</v>
      </c>
      <c r="BM777" s="2">
        <v>4.53</v>
      </c>
      <c r="BN777" s="2">
        <v>36.909999999999997</v>
      </c>
      <c r="BO777" s="2">
        <v>36.909999999999997</v>
      </c>
      <c r="BP777" s="2"/>
      <c r="BQ777" s="2" t="s">
        <v>288</v>
      </c>
      <c r="BR777" s="2" t="s">
        <v>84</v>
      </c>
      <c r="BS777" s="3">
        <v>42957</v>
      </c>
      <c r="BT777" s="4">
        <v>0.47083333333333338</v>
      </c>
      <c r="BU777" s="2" t="s">
        <v>330</v>
      </c>
      <c r="BV777" s="2" t="s">
        <v>86</v>
      </c>
      <c r="BW777" s="2" t="s">
        <v>124</v>
      </c>
      <c r="BX777" s="2" t="s">
        <v>327</v>
      </c>
      <c r="BY777" s="2">
        <v>1200</v>
      </c>
      <c r="BZ777" s="2"/>
      <c r="CA777" s="2" t="s">
        <v>492</v>
      </c>
      <c r="CB777" s="2"/>
      <c r="CC777" s="2" t="s">
        <v>171</v>
      </c>
      <c r="CD777" s="2">
        <v>1428</v>
      </c>
      <c r="CE777" s="2" t="s">
        <v>104</v>
      </c>
      <c r="CF777" s="5">
        <v>42957</v>
      </c>
      <c r="CG777" s="2"/>
      <c r="CH777" s="2"/>
      <c r="CI777" s="2">
        <v>1</v>
      </c>
      <c r="CJ777" s="2">
        <v>2</v>
      </c>
      <c r="CK777" s="2">
        <v>22</v>
      </c>
      <c r="CL777" s="2" t="s">
        <v>86</v>
      </c>
      <c r="CM777" s="2"/>
    </row>
    <row r="778" spans="1:91">
      <c r="A778" s="2" t="s">
        <v>71</v>
      </c>
      <c r="B778" s="2" t="s">
        <v>72</v>
      </c>
      <c r="C778" s="2" t="s">
        <v>73</v>
      </c>
      <c r="D778" s="2"/>
      <c r="E778" s="2" t="str">
        <f>"FES1162567688"</f>
        <v>FES1162567688</v>
      </c>
      <c r="F778" s="3">
        <v>42955</v>
      </c>
      <c r="G778" s="2">
        <v>201802</v>
      </c>
      <c r="H778" s="2" t="s">
        <v>74</v>
      </c>
      <c r="I778" s="2" t="s">
        <v>75</v>
      </c>
      <c r="J778" s="2" t="s">
        <v>76</v>
      </c>
      <c r="K778" s="2" t="s">
        <v>77</v>
      </c>
      <c r="L778" s="2" t="s">
        <v>221</v>
      </c>
      <c r="M778" s="2" t="s">
        <v>222</v>
      </c>
      <c r="N778" s="2" t="s">
        <v>675</v>
      </c>
      <c r="O778" s="2" t="s">
        <v>100</v>
      </c>
      <c r="P778" s="2" t="str">
        <f>"2170583833                    "</f>
        <v xml:space="preserve">2170583833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4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1</v>
      </c>
      <c r="BJ778" s="2">
        <v>0.2</v>
      </c>
      <c r="BK778" s="2">
        <v>1</v>
      </c>
      <c r="BL778" s="2">
        <v>41.44</v>
      </c>
      <c r="BM778" s="2">
        <v>5.8</v>
      </c>
      <c r="BN778" s="2">
        <v>47.24</v>
      </c>
      <c r="BO778" s="2">
        <v>47.24</v>
      </c>
      <c r="BP778" s="2"/>
      <c r="BQ778" s="2" t="s">
        <v>83</v>
      </c>
      <c r="BR778" s="2" t="s">
        <v>84</v>
      </c>
      <c r="BS778" s="3">
        <v>42957</v>
      </c>
      <c r="BT778" s="4">
        <v>0.40833333333333338</v>
      </c>
      <c r="BU778" s="2" t="s">
        <v>1457</v>
      </c>
      <c r="BV778" s="2" t="s">
        <v>86</v>
      </c>
      <c r="BW778" s="2" t="s">
        <v>87</v>
      </c>
      <c r="BX778" s="2" t="s">
        <v>337</v>
      </c>
      <c r="BY778" s="2">
        <v>1200</v>
      </c>
      <c r="BZ778" s="2"/>
      <c r="CA778" s="2" t="s">
        <v>225</v>
      </c>
      <c r="CB778" s="2"/>
      <c r="CC778" s="2" t="s">
        <v>222</v>
      </c>
      <c r="CD778" s="2">
        <v>4300</v>
      </c>
      <c r="CE778" s="2" t="s">
        <v>104</v>
      </c>
      <c r="CF778" s="5">
        <v>42958</v>
      </c>
      <c r="CG778" s="2"/>
      <c r="CH778" s="2"/>
      <c r="CI778" s="2">
        <v>1</v>
      </c>
      <c r="CJ778" s="2">
        <v>2</v>
      </c>
      <c r="CK778" s="2">
        <v>21</v>
      </c>
      <c r="CL778" s="2" t="s">
        <v>86</v>
      </c>
      <c r="CM778" s="2"/>
    </row>
    <row r="779" spans="1:91">
      <c r="A779" s="2" t="s">
        <v>71</v>
      </c>
      <c r="B779" s="2" t="s">
        <v>72</v>
      </c>
      <c r="C779" s="2" t="s">
        <v>73</v>
      </c>
      <c r="D779" s="2"/>
      <c r="E779" s="2" t="str">
        <f>"FES1162567723"</f>
        <v>FES1162567723</v>
      </c>
      <c r="F779" s="3">
        <v>42955</v>
      </c>
      <c r="G779" s="2">
        <v>201802</v>
      </c>
      <c r="H779" s="2" t="s">
        <v>74</v>
      </c>
      <c r="I779" s="2" t="s">
        <v>75</v>
      </c>
      <c r="J779" s="2" t="s">
        <v>76</v>
      </c>
      <c r="K779" s="2" t="s">
        <v>77</v>
      </c>
      <c r="L779" s="2" t="s">
        <v>97</v>
      </c>
      <c r="M779" s="2" t="s">
        <v>98</v>
      </c>
      <c r="N779" s="2" t="s">
        <v>99</v>
      </c>
      <c r="O779" s="2" t="s">
        <v>100</v>
      </c>
      <c r="P779" s="2" t="str">
        <f>"2170583861                    "</f>
        <v xml:space="preserve">2170583861 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4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1</v>
      </c>
      <c r="BI779" s="2">
        <v>1</v>
      </c>
      <c r="BJ779" s="2">
        <v>0.2</v>
      </c>
      <c r="BK779" s="2">
        <v>1</v>
      </c>
      <c r="BL779" s="2">
        <v>41.44</v>
      </c>
      <c r="BM779" s="2">
        <v>5.8</v>
      </c>
      <c r="BN779" s="2">
        <v>47.24</v>
      </c>
      <c r="BO779" s="2">
        <v>47.24</v>
      </c>
      <c r="BP779" s="2" t="s">
        <v>101</v>
      </c>
      <c r="BQ779" s="2" t="s">
        <v>83</v>
      </c>
      <c r="BR779" s="2" t="s">
        <v>84</v>
      </c>
      <c r="BS779" s="3">
        <v>42957</v>
      </c>
      <c r="BT779" s="4">
        <v>0.36388888888888887</v>
      </c>
      <c r="BU779" s="2" t="s">
        <v>102</v>
      </c>
      <c r="BV779" s="2" t="s">
        <v>86</v>
      </c>
      <c r="BW779" s="2"/>
      <c r="BX779" s="2"/>
      <c r="BY779" s="2">
        <v>1200</v>
      </c>
      <c r="BZ779" s="2"/>
      <c r="CA779" s="2" t="s">
        <v>103</v>
      </c>
      <c r="CB779" s="2"/>
      <c r="CC779" s="2" t="s">
        <v>98</v>
      </c>
      <c r="CD779" s="2">
        <v>6210</v>
      </c>
      <c r="CE779" s="2" t="s">
        <v>104</v>
      </c>
      <c r="CF779" s="5">
        <v>42958</v>
      </c>
      <c r="CG779" s="2"/>
      <c r="CH779" s="2"/>
      <c r="CI779" s="2">
        <v>1</v>
      </c>
      <c r="CJ779" s="2">
        <v>2</v>
      </c>
      <c r="CK779" s="2">
        <v>21</v>
      </c>
      <c r="CL779" s="2" t="s">
        <v>86</v>
      </c>
      <c r="CM779" s="2"/>
    </row>
    <row r="780" spans="1:91">
      <c r="A780" s="2" t="s">
        <v>71</v>
      </c>
      <c r="B780" s="2" t="s">
        <v>72</v>
      </c>
      <c r="C780" s="2" t="s">
        <v>73</v>
      </c>
      <c r="D780" s="2"/>
      <c r="E780" s="2" t="str">
        <f>"FES1162567717"</f>
        <v>FES1162567717</v>
      </c>
      <c r="F780" s="3">
        <v>42955</v>
      </c>
      <c r="G780" s="2">
        <v>201802</v>
      </c>
      <c r="H780" s="2" t="s">
        <v>74</v>
      </c>
      <c r="I780" s="2" t="s">
        <v>75</v>
      </c>
      <c r="J780" s="2" t="s">
        <v>76</v>
      </c>
      <c r="K780" s="2" t="s">
        <v>77</v>
      </c>
      <c r="L780" s="2" t="s">
        <v>97</v>
      </c>
      <c r="M780" s="2" t="s">
        <v>98</v>
      </c>
      <c r="N780" s="2" t="s">
        <v>99</v>
      </c>
      <c r="O780" s="2" t="s">
        <v>100</v>
      </c>
      <c r="P780" s="2" t="str">
        <f>"2170583851                    "</f>
        <v xml:space="preserve">2170583851  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4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1</v>
      </c>
      <c r="BJ780" s="2">
        <v>0.2</v>
      </c>
      <c r="BK780" s="2">
        <v>1</v>
      </c>
      <c r="BL780" s="2">
        <v>41.44</v>
      </c>
      <c r="BM780" s="2">
        <v>5.8</v>
      </c>
      <c r="BN780" s="2">
        <v>47.24</v>
      </c>
      <c r="BO780" s="2">
        <v>47.24</v>
      </c>
      <c r="BP780" s="2" t="s">
        <v>1410</v>
      </c>
      <c r="BQ780" s="2" t="s">
        <v>83</v>
      </c>
      <c r="BR780" s="2" t="s">
        <v>84</v>
      </c>
      <c r="BS780" s="3">
        <v>42957</v>
      </c>
      <c r="BT780" s="4">
        <v>0.36527777777777781</v>
      </c>
      <c r="BU780" s="2" t="s">
        <v>102</v>
      </c>
      <c r="BV780" s="2" t="s">
        <v>86</v>
      </c>
      <c r="BW780" s="2"/>
      <c r="BX780" s="2"/>
      <c r="BY780" s="2">
        <v>1200</v>
      </c>
      <c r="BZ780" s="2"/>
      <c r="CA780" s="2"/>
      <c r="CB780" s="2"/>
      <c r="CC780" s="2" t="s">
        <v>98</v>
      </c>
      <c r="CD780" s="2">
        <v>6210</v>
      </c>
      <c r="CE780" s="2" t="s">
        <v>104</v>
      </c>
      <c r="CF780" s="5">
        <v>42958</v>
      </c>
      <c r="CG780" s="2"/>
      <c r="CH780" s="2"/>
      <c r="CI780" s="2">
        <v>1</v>
      </c>
      <c r="CJ780" s="2">
        <v>2</v>
      </c>
      <c r="CK780" s="2">
        <v>21</v>
      </c>
      <c r="CL780" s="2" t="s">
        <v>86</v>
      </c>
      <c r="CM780" s="2"/>
    </row>
    <row r="781" spans="1:91">
      <c r="A781" s="2" t="s">
        <v>71</v>
      </c>
      <c r="B781" s="2" t="s">
        <v>72</v>
      </c>
      <c r="C781" s="2" t="s">
        <v>73</v>
      </c>
      <c r="D781" s="2"/>
      <c r="E781" s="2" t="str">
        <f>"FES1162567657"</f>
        <v>FES1162567657</v>
      </c>
      <c r="F781" s="3">
        <v>42955</v>
      </c>
      <c r="G781" s="2">
        <v>201802</v>
      </c>
      <c r="H781" s="2" t="s">
        <v>74</v>
      </c>
      <c r="I781" s="2" t="s">
        <v>75</v>
      </c>
      <c r="J781" s="2" t="s">
        <v>76</v>
      </c>
      <c r="K781" s="2" t="s">
        <v>77</v>
      </c>
      <c r="L781" s="2" t="s">
        <v>144</v>
      </c>
      <c r="M781" s="2" t="s">
        <v>145</v>
      </c>
      <c r="N781" s="2" t="s">
        <v>146</v>
      </c>
      <c r="O781" s="2" t="s">
        <v>100</v>
      </c>
      <c r="P781" s="2" t="str">
        <f>"2170583797                    "</f>
        <v xml:space="preserve">2170583797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3.13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1</v>
      </c>
      <c r="BJ781" s="2">
        <v>0.2</v>
      </c>
      <c r="BK781" s="2">
        <v>1</v>
      </c>
      <c r="BL781" s="2">
        <v>32.380000000000003</v>
      </c>
      <c r="BM781" s="2">
        <v>4.53</v>
      </c>
      <c r="BN781" s="2">
        <v>36.909999999999997</v>
      </c>
      <c r="BO781" s="2">
        <v>36.909999999999997</v>
      </c>
      <c r="BP781" s="2" t="s">
        <v>1410</v>
      </c>
      <c r="BQ781" s="2" t="s">
        <v>83</v>
      </c>
      <c r="BR781" s="2" t="s">
        <v>84</v>
      </c>
      <c r="BS781" s="3">
        <v>42957</v>
      </c>
      <c r="BT781" s="4">
        <v>0.36874999999999997</v>
      </c>
      <c r="BU781" s="2" t="s">
        <v>1458</v>
      </c>
      <c r="BV781" s="2" t="s">
        <v>86</v>
      </c>
      <c r="BW781" s="2" t="s">
        <v>124</v>
      </c>
      <c r="BX781" s="2" t="s">
        <v>327</v>
      </c>
      <c r="BY781" s="2">
        <v>1200</v>
      </c>
      <c r="BZ781" s="2"/>
      <c r="CA781" s="2" t="s">
        <v>729</v>
      </c>
      <c r="CB781" s="2"/>
      <c r="CC781" s="2" t="s">
        <v>145</v>
      </c>
      <c r="CD781" s="2">
        <v>2094</v>
      </c>
      <c r="CE781" s="2" t="s">
        <v>104</v>
      </c>
      <c r="CF781" s="5">
        <v>42958</v>
      </c>
      <c r="CG781" s="2"/>
      <c r="CH781" s="2"/>
      <c r="CI781" s="2">
        <v>1</v>
      </c>
      <c r="CJ781" s="2">
        <v>2</v>
      </c>
      <c r="CK781" s="2">
        <v>22</v>
      </c>
      <c r="CL781" s="2" t="s">
        <v>86</v>
      </c>
      <c r="CM781" s="2"/>
    </row>
    <row r="782" spans="1:91">
      <c r="A782" s="2" t="s">
        <v>71</v>
      </c>
      <c r="B782" s="2" t="s">
        <v>72</v>
      </c>
      <c r="C782" s="2" t="s">
        <v>73</v>
      </c>
      <c r="D782" s="2"/>
      <c r="E782" s="2" t="str">
        <f>"FES1162567643"</f>
        <v>FES1162567643</v>
      </c>
      <c r="F782" s="3">
        <v>42955</v>
      </c>
      <c r="G782" s="2">
        <v>201802</v>
      </c>
      <c r="H782" s="2" t="s">
        <v>74</v>
      </c>
      <c r="I782" s="2" t="s">
        <v>75</v>
      </c>
      <c r="J782" s="2" t="s">
        <v>76</v>
      </c>
      <c r="K782" s="2" t="s">
        <v>77</v>
      </c>
      <c r="L782" s="2" t="s">
        <v>97</v>
      </c>
      <c r="M782" s="2" t="s">
        <v>98</v>
      </c>
      <c r="N782" s="2" t="s">
        <v>608</v>
      </c>
      <c r="O782" s="2" t="s">
        <v>100</v>
      </c>
      <c r="P782" s="2" t="str">
        <f>"2170583563                    "</f>
        <v xml:space="preserve">2170583563          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4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1</v>
      </c>
      <c r="BJ782" s="2">
        <v>0.2</v>
      </c>
      <c r="BK782" s="2">
        <v>1</v>
      </c>
      <c r="BL782" s="2">
        <v>41.44</v>
      </c>
      <c r="BM782" s="2">
        <v>5.8</v>
      </c>
      <c r="BN782" s="2">
        <v>47.24</v>
      </c>
      <c r="BO782" s="2">
        <v>47.24</v>
      </c>
      <c r="BP782" s="2" t="s">
        <v>1410</v>
      </c>
      <c r="BQ782" s="2" t="s">
        <v>1227</v>
      </c>
      <c r="BR782" s="2" t="s">
        <v>84</v>
      </c>
      <c r="BS782" s="3">
        <v>42957</v>
      </c>
      <c r="BT782" s="4">
        <v>0.33611111111111108</v>
      </c>
      <c r="BU782" s="2" t="s">
        <v>109</v>
      </c>
      <c r="BV782" s="2" t="s">
        <v>86</v>
      </c>
      <c r="BW782" s="2"/>
      <c r="BX782" s="2"/>
      <c r="BY782" s="2">
        <v>1200</v>
      </c>
      <c r="BZ782" s="2"/>
      <c r="CA782" s="2" t="s">
        <v>294</v>
      </c>
      <c r="CB782" s="2"/>
      <c r="CC782" s="2" t="s">
        <v>98</v>
      </c>
      <c r="CD782" s="2">
        <v>6001</v>
      </c>
      <c r="CE782" s="2" t="s">
        <v>104</v>
      </c>
      <c r="CF782" s="5">
        <v>42958</v>
      </c>
      <c r="CG782" s="2"/>
      <c r="CH782" s="2"/>
      <c r="CI782" s="2">
        <v>1</v>
      </c>
      <c r="CJ782" s="2">
        <v>2</v>
      </c>
      <c r="CK782" s="2">
        <v>21</v>
      </c>
      <c r="CL782" s="2" t="s">
        <v>86</v>
      </c>
      <c r="CM782" s="2"/>
    </row>
    <row r="783" spans="1:91">
      <c r="A783" s="2" t="s">
        <v>71</v>
      </c>
      <c r="B783" s="2" t="s">
        <v>72</v>
      </c>
      <c r="C783" s="2" t="s">
        <v>73</v>
      </c>
      <c r="D783" s="2"/>
      <c r="E783" s="2" t="str">
        <f>"FES1162567686"</f>
        <v>FES1162567686</v>
      </c>
      <c r="F783" s="3">
        <v>42955</v>
      </c>
      <c r="G783" s="2">
        <v>201802</v>
      </c>
      <c r="H783" s="2" t="s">
        <v>74</v>
      </c>
      <c r="I783" s="2" t="s">
        <v>75</v>
      </c>
      <c r="J783" s="2" t="s">
        <v>76</v>
      </c>
      <c r="K783" s="2" t="s">
        <v>77</v>
      </c>
      <c r="L783" s="2" t="s">
        <v>144</v>
      </c>
      <c r="M783" s="2" t="s">
        <v>145</v>
      </c>
      <c r="N783" s="2" t="s">
        <v>146</v>
      </c>
      <c r="O783" s="2" t="s">
        <v>100</v>
      </c>
      <c r="P783" s="2" t="str">
        <f>"2170583824                    "</f>
        <v xml:space="preserve">2170583824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3.13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1</v>
      </c>
      <c r="BI783" s="2">
        <v>1</v>
      </c>
      <c r="BJ783" s="2">
        <v>0.2</v>
      </c>
      <c r="BK783" s="2">
        <v>1</v>
      </c>
      <c r="BL783" s="2">
        <v>32.380000000000003</v>
      </c>
      <c r="BM783" s="2">
        <v>4.53</v>
      </c>
      <c r="BN783" s="2">
        <v>36.909999999999997</v>
      </c>
      <c r="BO783" s="2">
        <v>36.909999999999997</v>
      </c>
      <c r="BP783" s="2" t="s">
        <v>1410</v>
      </c>
      <c r="BQ783" s="2" t="s">
        <v>83</v>
      </c>
      <c r="BR783" s="2" t="s">
        <v>84</v>
      </c>
      <c r="BS783" s="3">
        <v>42957</v>
      </c>
      <c r="BT783" s="4">
        <v>0.36805555555555558</v>
      </c>
      <c r="BU783" s="2" t="s">
        <v>1458</v>
      </c>
      <c r="BV783" s="2" t="s">
        <v>86</v>
      </c>
      <c r="BW783" s="2" t="s">
        <v>124</v>
      </c>
      <c r="BX783" s="2" t="s">
        <v>327</v>
      </c>
      <c r="BY783" s="2">
        <v>1200</v>
      </c>
      <c r="BZ783" s="2"/>
      <c r="CA783" s="2" t="s">
        <v>729</v>
      </c>
      <c r="CB783" s="2"/>
      <c r="CC783" s="2" t="s">
        <v>145</v>
      </c>
      <c r="CD783" s="2">
        <v>2094</v>
      </c>
      <c r="CE783" s="2" t="s">
        <v>104</v>
      </c>
      <c r="CF783" s="5">
        <v>42958</v>
      </c>
      <c r="CG783" s="2"/>
      <c r="CH783" s="2"/>
      <c r="CI783" s="2">
        <v>1</v>
      </c>
      <c r="CJ783" s="2">
        <v>2</v>
      </c>
      <c r="CK783" s="2">
        <v>22</v>
      </c>
      <c r="CL783" s="2" t="s">
        <v>86</v>
      </c>
      <c r="CM783" s="2"/>
    </row>
    <row r="784" spans="1:91">
      <c r="A784" s="2" t="s">
        <v>71</v>
      </c>
      <c r="B784" s="2" t="s">
        <v>72</v>
      </c>
      <c r="C784" s="2" t="s">
        <v>73</v>
      </c>
      <c r="D784" s="2"/>
      <c r="E784" s="2" t="str">
        <f>"FES1162567666"</f>
        <v>FES1162567666</v>
      </c>
      <c r="F784" s="3">
        <v>42955</v>
      </c>
      <c r="G784" s="2">
        <v>201802</v>
      </c>
      <c r="H784" s="2" t="s">
        <v>74</v>
      </c>
      <c r="I784" s="2" t="s">
        <v>75</v>
      </c>
      <c r="J784" s="2" t="s">
        <v>76</v>
      </c>
      <c r="K784" s="2" t="s">
        <v>77</v>
      </c>
      <c r="L784" s="2" t="s">
        <v>128</v>
      </c>
      <c r="M784" s="2" t="s">
        <v>129</v>
      </c>
      <c r="N784" s="2" t="s">
        <v>412</v>
      </c>
      <c r="O784" s="2" t="s">
        <v>100</v>
      </c>
      <c r="P784" s="2" t="str">
        <f>"2170583806                    "</f>
        <v xml:space="preserve">2170583806                    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3.13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1</v>
      </c>
      <c r="BI784" s="2">
        <v>1</v>
      </c>
      <c r="BJ784" s="2">
        <v>0.2</v>
      </c>
      <c r="BK784" s="2">
        <v>1</v>
      </c>
      <c r="BL784" s="2">
        <v>32.380000000000003</v>
      </c>
      <c r="BM784" s="2">
        <v>4.53</v>
      </c>
      <c r="BN784" s="2">
        <v>36.909999999999997</v>
      </c>
      <c r="BO784" s="2">
        <v>36.909999999999997</v>
      </c>
      <c r="BP784" s="2" t="s">
        <v>1410</v>
      </c>
      <c r="BQ784" s="2" t="s">
        <v>209</v>
      </c>
      <c r="BR784" s="2" t="s">
        <v>84</v>
      </c>
      <c r="BS784" s="3">
        <v>42957</v>
      </c>
      <c r="BT784" s="4">
        <v>0.35069444444444442</v>
      </c>
      <c r="BU784" s="2" t="s">
        <v>1459</v>
      </c>
      <c r="BV784" s="2" t="s">
        <v>86</v>
      </c>
      <c r="BW784" s="2" t="s">
        <v>124</v>
      </c>
      <c r="BX784" s="2" t="s">
        <v>327</v>
      </c>
      <c r="BY784" s="2">
        <v>1200</v>
      </c>
      <c r="BZ784" s="2"/>
      <c r="CA784" s="2" t="s">
        <v>923</v>
      </c>
      <c r="CB784" s="2"/>
      <c r="CC784" s="2" t="s">
        <v>129</v>
      </c>
      <c r="CD784" s="2">
        <v>1709</v>
      </c>
      <c r="CE784" s="2" t="s">
        <v>104</v>
      </c>
      <c r="CF784" s="5">
        <v>42957</v>
      </c>
      <c r="CG784" s="2"/>
      <c r="CH784" s="2"/>
      <c r="CI784" s="2">
        <v>1</v>
      </c>
      <c r="CJ784" s="2">
        <v>2</v>
      </c>
      <c r="CK784" s="2">
        <v>22</v>
      </c>
      <c r="CL784" s="2" t="s">
        <v>86</v>
      </c>
      <c r="CM784" s="2"/>
    </row>
    <row r="785" spans="1:91">
      <c r="A785" s="2" t="s">
        <v>71</v>
      </c>
      <c r="B785" s="2" t="s">
        <v>72</v>
      </c>
      <c r="C785" s="2" t="s">
        <v>73</v>
      </c>
      <c r="D785" s="2"/>
      <c r="E785" s="2" t="str">
        <f>"FES1162567680"</f>
        <v>FES1162567680</v>
      </c>
      <c r="F785" s="3">
        <v>42955</v>
      </c>
      <c r="G785" s="2">
        <v>201802</v>
      </c>
      <c r="H785" s="2" t="s">
        <v>74</v>
      </c>
      <c r="I785" s="2" t="s">
        <v>75</v>
      </c>
      <c r="J785" s="2" t="s">
        <v>76</v>
      </c>
      <c r="K785" s="2" t="s">
        <v>77</v>
      </c>
      <c r="L785" s="2" t="s">
        <v>97</v>
      </c>
      <c r="M785" s="2" t="s">
        <v>98</v>
      </c>
      <c r="N785" s="2" t="s">
        <v>1460</v>
      </c>
      <c r="O785" s="2" t="s">
        <v>100</v>
      </c>
      <c r="P785" s="2" t="str">
        <f>"2170583813                    "</f>
        <v xml:space="preserve">2170583813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4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1</v>
      </c>
      <c r="BI785" s="2">
        <v>1</v>
      </c>
      <c r="BJ785" s="2">
        <v>0.2</v>
      </c>
      <c r="BK785" s="2">
        <v>1</v>
      </c>
      <c r="BL785" s="2">
        <v>41.44</v>
      </c>
      <c r="BM785" s="2">
        <v>5.8</v>
      </c>
      <c r="BN785" s="2">
        <v>47.24</v>
      </c>
      <c r="BO785" s="2">
        <v>47.24</v>
      </c>
      <c r="BP785" s="2" t="s">
        <v>1410</v>
      </c>
      <c r="BQ785" s="2" t="s">
        <v>227</v>
      </c>
      <c r="BR785" s="2" t="s">
        <v>84</v>
      </c>
      <c r="BS785" s="3">
        <v>42957</v>
      </c>
      <c r="BT785" s="4">
        <v>0.39374999999999999</v>
      </c>
      <c r="BU785" s="2" t="s">
        <v>1461</v>
      </c>
      <c r="BV785" s="2" t="s">
        <v>86</v>
      </c>
      <c r="BW785" s="2"/>
      <c r="BX785" s="2"/>
      <c r="BY785" s="2">
        <v>1200</v>
      </c>
      <c r="BZ785" s="2"/>
      <c r="CA785" s="2"/>
      <c r="CB785" s="2"/>
      <c r="CC785" s="2" t="s">
        <v>98</v>
      </c>
      <c r="CD785" s="2">
        <v>6000</v>
      </c>
      <c r="CE785" s="2" t="s">
        <v>104</v>
      </c>
      <c r="CF785" s="5">
        <v>42957</v>
      </c>
      <c r="CG785" s="2"/>
      <c r="CH785" s="2"/>
      <c r="CI785" s="2">
        <v>1</v>
      </c>
      <c r="CJ785" s="2">
        <v>2</v>
      </c>
      <c r="CK785" s="2">
        <v>21</v>
      </c>
      <c r="CL785" s="2" t="s">
        <v>86</v>
      </c>
      <c r="CM785" s="2"/>
    </row>
    <row r="786" spans="1:91">
      <c r="A786" s="2" t="s">
        <v>71</v>
      </c>
      <c r="B786" s="2" t="s">
        <v>72</v>
      </c>
      <c r="C786" s="2" t="s">
        <v>73</v>
      </c>
      <c r="D786" s="2"/>
      <c r="E786" s="2" t="str">
        <f>"FES1162567704"</f>
        <v>FES1162567704</v>
      </c>
      <c r="F786" s="3">
        <v>42955</v>
      </c>
      <c r="G786" s="2">
        <v>201802</v>
      </c>
      <c r="H786" s="2" t="s">
        <v>74</v>
      </c>
      <c r="I786" s="2" t="s">
        <v>75</v>
      </c>
      <c r="J786" s="2" t="s">
        <v>76</v>
      </c>
      <c r="K786" s="2" t="s">
        <v>77</v>
      </c>
      <c r="L786" s="2" t="s">
        <v>144</v>
      </c>
      <c r="M786" s="2" t="s">
        <v>145</v>
      </c>
      <c r="N786" s="2" t="s">
        <v>1462</v>
      </c>
      <c r="O786" s="2" t="s">
        <v>100</v>
      </c>
      <c r="P786" s="2" t="str">
        <f>"2170581581                    "</f>
        <v xml:space="preserve">2170581581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3.13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1</v>
      </c>
      <c r="BJ786" s="2">
        <v>0.2</v>
      </c>
      <c r="BK786" s="2">
        <v>1</v>
      </c>
      <c r="BL786" s="2">
        <v>32.380000000000003</v>
      </c>
      <c r="BM786" s="2">
        <v>4.53</v>
      </c>
      <c r="BN786" s="2">
        <v>36.909999999999997</v>
      </c>
      <c r="BO786" s="2">
        <v>36.909999999999997</v>
      </c>
      <c r="BP786" s="2" t="s">
        <v>1410</v>
      </c>
      <c r="BQ786" s="2" t="s">
        <v>209</v>
      </c>
      <c r="BR786" s="2" t="s">
        <v>84</v>
      </c>
      <c r="BS786" s="3">
        <v>42957</v>
      </c>
      <c r="BT786" s="4">
        <v>0.35555555555555557</v>
      </c>
      <c r="BU786" s="2" t="s">
        <v>1463</v>
      </c>
      <c r="BV786" s="2" t="s">
        <v>86</v>
      </c>
      <c r="BW786" s="2" t="s">
        <v>124</v>
      </c>
      <c r="BX786" s="2" t="s">
        <v>327</v>
      </c>
      <c r="BY786" s="2">
        <v>1200</v>
      </c>
      <c r="BZ786" s="2"/>
      <c r="CA786" s="2" t="s">
        <v>729</v>
      </c>
      <c r="CB786" s="2"/>
      <c r="CC786" s="2" t="s">
        <v>145</v>
      </c>
      <c r="CD786" s="2">
        <v>2094</v>
      </c>
      <c r="CE786" s="2" t="s">
        <v>104</v>
      </c>
      <c r="CF786" s="5">
        <v>42958</v>
      </c>
      <c r="CG786" s="2"/>
      <c r="CH786" s="2"/>
      <c r="CI786" s="2">
        <v>1</v>
      </c>
      <c r="CJ786" s="2">
        <v>2</v>
      </c>
      <c r="CK786" s="2">
        <v>22</v>
      </c>
      <c r="CL786" s="2" t="s">
        <v>86</v>
      </c>
      <c r="CM786" s="2"/>
    </row>
    <row r="787" spans="1:91">
      <c r="A787" s="2" t="s">
        <v>71</v>
      </c>
      <c r="B787" s="2" t="s">
        <v>72</v>
      </c>
      <c r="C787" s="2" t="s">
        <v>73</v>
      </c>
      <c r="D787" s="2"/>
      <c r="E787" s="2" t="str">
        <f>"FES1162567620"</f>
        <v>FES1162567620</v>
      </c>
      <c r="F787" s="3">
        <v>42955</v>
      </c>
      <c r="G787" s="2">
        <v>201802</v>
      </c>
      <c r="H787" s="2" t="s">
        <v>74</v>
      </c>
      <c r="I787" s="2" t="s">
        <v>75</v>
      </c>
      <c r="J787" s="2" t="s">
        <v>76</v>
      </c>
      <c r="K787" s="2" t="s">
        <v>77</v>
      </c>
      <c r="L787" s="2" t="s">
        <v>105</v>
      </c>
      <c r="M787" s="2" t="s">
        <v>106</v>
      </c>
      <c r="N787" s="2" t="s">
        <v>644</v>
      </c>
      <c r="O787" s="2" t="s">
        <v>100</v>
      </c>
      <c r="P787" s="2" t="str">
        <f>"2170583773                    "</f>
        <v xml:space="preserve">2170583773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4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1</v>
      </c>
      <c r="BI787" s="2">
        <v>1</v>
      </c>
      <c r="BJ787" s="2">
        <v>0.2</v>
      </c>
      <c r="BK787" s="2">
        <v>1</v>
      </c>
      <c r="BL787" s="2">
        <v>41.44</v>
      </c>
      <c r="BM787" s="2">
        <v>5.8</v>
      </c>
      <c r="BN787" s="2">
        <v>47.24</v>
      </c>
      <c r="BO787" s="2">
        <v>47.24</v>
      </c>
      <c r="BP787" s="2"/>
      <c r="BQ787" s="2" t="s">
        <v>108</v>
      </c>
      <c r="BR787" s="2" t="s">
        <v>84</v>
      </c>
      <c r="BS787" s="3">
        <v>42957</v>
      </c>
      <c r="BT787" s="4">
        <v>0.44375000000000003</v>
      </c>
      <c r="BU787" s="2" t="s">
        <v>1369</v>
      </c>
      <c r="BV787" s="2" t="s">
        <v>86</v>
      </c>
      <c r="BW787" s="2" t="s">
        <v>110</v>
      </c>
      <c r="BX787" s="2" t="s">
        <v>111</v>
      </c>
      <c r="BY787" s="2">
        <v>1200</v>
      </c>
      <c r="BZ787" s="2"/>
      <c r="CA787" s="2" t="s">
        <v>112</v>
      </c>
      <c r="CB787" s="2"/>
      <c r="CC787" s="2" t="s">
        <v>106</v>
      </c>
      <c r="CD787" s="2">
        <v>7441</v>
      </c>
      <c r="CE787" s="2" t="s">
        <v>104</v>
      </c>
      <c r="CF787" s="5">
        <v>42958</v>
      </c>
      <c r="CG787" s="2"/>
      <c r="CH787" s="2"/>
      <c r="CI787" s="2">
        <v>1</v>
      </c>
      <c r="CJ787" s="2">
        <v>2</v>
      </c>
      <c r="CK787" s="2">
        <v>21</v>
      </c>
      <c r="CL787" s="2" t="s">
        <v>86</v>
      </c>
      <c r="CM787" s="2"/>
    </row>
    <row r="788" spans="1:91">
      <c r="A788" s="2" t="s">
        <v>71</v>
      </c>
      <c r="B788" s="2" t="s">
        <v>72</v>
      </c>
      <c r="C788" s="2" t="s">
        <v>73</v>
      </c>
      <c r="D788" s="2"/>
      <c r="E788" s="2" t="str">
        <f>"FES1162567702"</f>
        <v>FES1162567702</v>
      </c>
      <c r="F788" s="3">
        <v>42955</v>
      </c>
      <c r="G788" s="2">
        <v>201802</v>
      </c>
      <c r="H788" s="2" t="s">
        <v>74</v>
      </c>
      <c r="I788" s="2" t="s">
        <v>75</v>
      </c>
      <c r="J788" s="2" t="s">
        <v>76</v>
      </c>
      <c r="K788" s="2" t="s">
        <v>77</v>
      </c>
      <c r="L788" s="2" t="s">
        <v>144</v>
      </c>
      <c r="M788" s="2" t="s">
        <v>145</v>
      </c>
      <c r="N788" s="2" t="s">
        <v>450</v>
      </c>
      <c r="O788" s="2" t="s">
        <v>100</v>
      </c>
      <c r="P788" s="2" t="str">
        <f>"2170581413                    "</f>
        <v xml:space="preserve">2170581413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3.13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1</v>
      </c>
      <c r="BJ788" s="2">
        <v>0.2</v>
      </c>
      <c r="BK788" s="2">
        <v>1</v>
      </c>
      <c r="BL788" s="2">
        <v>32.380000000000003</v>
      </c>
      <c r="BM788" s="2">
        <v>4.53</v>
      </c>
      <c r="BN788" s="2">
        <v>36.909999999999997</v>
      </c>
      <c r="BO788" s="2">
        <v>36.909999999999997</v>
      </c>
      <c r="BP788" s="2"/>
      <c r="BQ788" s="2" t="s">
        <v>108</v>
      </c>
      <c r="BR788" s="2" t="s">
        <v>84</v>
      </c>
      <c r="BS788" s="3">
        <v>42957</v>
      </c>
      <c r="BT788" s="4">
        <v>0.3444444444444445</v>
      </c>
      <c r="BU788" s="2" t="s">
        <v>1464</v>
      </c>
      <c r="BV788" s="2" t="s">
        <v>86</v>
      </c>
      <c r="BW788" s="2" t="s">
        <v>124</v>
      </c>
      <c r="BX788" s="2" t="s">
        <v>327</v>
      </c>
      <c r="BY788" s="2">
        <v>1200</v>
      </c>
      <c r="BZ788" s="2"/>
      <c r="CA788" s="2" t="s">
        <v>729</v>
      </c>
      <c r="CB788" s="2"/>
      <c r="CC788" s="2" t="s">
        <v>145</v>
      </c>
      <c r="CD788" s="2">
        <v>2011</v>
      </c>
      <c r="CE788" s="2" t="s">
        <v>104</v>
      </c>
      <c r="CF788" s="5">
        <v>42958</v>
      </c>
      <c r="CG788" s="2"/>
      <c r="CH788" s="2"/>
      <c r="CI788" s="2">
        <v>1</v>
      </c>
      <c r="CJ788" s="2">
        <v>2</v>
      </c>
      <c r="CK788" s="2">
        <v>22</v>
      </c>
      <c r="CL788" s="2" t="s">
        <v>86</v>
      </c>
      <c r="CM788" s="2"/>
    </row>
    <row r="789" spans="1:91">
      <c r="A789" s="2" t="s">
        <v>71</v>
      </c>
      <c r="B789" s="2" t="s">
        <v>72</v>
      </c>
      <c r="C789" s="2" t="s">
        <v>73</v>
      </c>
      <c r="D789" s="2"/>
      <c r="E789" s="2" t="str">
        <f>"FES1162567676"</f>
        <v>FES1162567676</v>
      </c>
      <c r="F789" s="3">
        <v>42955</v>
      </c>
      <c r="G789" s="2">
        <v>201802</v>
      </c>
      <c r="H789" s="2" t="s">
        <v>74</v>
      </c>
      <c r="I789" s="2" t="s">
        <v>75</v>
      </c>
      <c r="J789" s="2" t="s">
        <v>76</v>
      </c>
      <c r="K789" s="2" t="s">
        <v>77</v>
      </c>
      <c r="L789" s="2" t="s">
        <v>321</v>
      </c>
      <c r="M789" s="2" t="s">
        <v>322</v>
      </c>
      <c r="N789" s="2" t="s">
        <v>323</v>
      </c>
      <c r="O789" s="2" t="s">
        <v>100</v>
      </c>
      <c r="P789" s="2" t="str">
        <f>"2170582591                    "</f>
        <v xml:space="preserve">2170582591 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4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1</v>
      </c>
      <c r="BI789" s="2">
        <v>1</v>
      </c>
      <c r="BJ789" s="2">
        <v>0.2</v>
      </c>
      <c r="BK789" s="2">
        <v>1</v>
      </c>
      <c r="BL789" s="2">
        <v>41.44</v>
      </c>
      <c r="BM789" s="2">
        <v>5.8</v>
      </c>
      <c r="BN789" s="2">
        <v>47.24</v>
      </c>
      <c r="BO789" s="2">
        <v>47.24</v>
      </c>
      <c r="BP789" s="2" t="s">
        <v>1410</v>
      </c>
      <c r="BQ789" s="2" t="s">
        <v>83</v>
      </c>
      <c r="BR789" s="2" t="s">
        <v>84</v>
      </c>
      <c r="BS789" s="3">
        <v>42957</v>
      </c>
      <c r="BT789" s="4">
        <v>0.38611111111111113</v>
      </c>
      <c r="BU789" s="2" t="s">
        <v>324</v>
      </c>
      <c r="BV789" s="2" t="s">
        <v>86</v>
      </c>
      <c r="BW789" s="2"/>
      <c r="BX789" s="2"/>
      <c r="BY789" s="2">
        <v>1200</v>
      </c>
      <c r="BZ789" s="2"/>
      <c r="CA789" s="2" t="s">
        <v>103</v>
      </c>
      <c r="CB789" s="2"/>
      <c r="CC789" s="2" t="s">
        <v>322</v>
      </c>
      <c r="CD789" s="2">
        <v>6220</v>
      </c>
      <c r="CE789" s="2" t="s">
        <v>104</v>
      </c>
      <c r="CF789" s="5">
        <v>42958</v>
      </c>
      <c r="CG789" s="2"/>
      <c r="CH789" s="2"/>
      <c r="CI789" s="2">
        <v>1</v>
      </c>
      <c r="CJ789" s="2">
        <v>2</v>
      </c>
      <c r="CK789" s="2">
        <v>21</v>
      </c>
      <c r="CL789" s="2" t="s">
        <v>86</v>
      </c>
      <c r="CM789" s="2"/>
    </row>
    <row r="790" spans="1:91">
      <c r="A790" s="2" t="s">
        <v>71</v>
      </c>
      <c r="B790" s="2" t="s">
        <v>72</v>
      </c>
      <c r="C790" s="2" t="s">
        <v>73</v>
      </c>
      <c r="D790" s="2"/>
      <c r="E790" s="2" t="str">
        <f>"FES1162567725"</f>
        <v>FES1162567725</v>
      </c>
      <c r="F790" s="3">
        <v>42955</v>
      </c>
      <c r="G790" s="2">
        <v>201802</v>
      </c>
      <c r="H790" s="2" t="s">
        <v>74</v>
      </c>
      <c r="I790" s="2" t="s">
        <v>75</v>
      </c>
      <c r="J790" s="2" t="s">
        <v>76</v>
      </c>
      <c r="K790" s="2" t="s">
        <v>77</v>
      </c>
      <c r="L790" s="2" t="s">
        <v>159</v>
      </c>
      <c r="M790" s="2" t="s">
        <v>160</v>
      </c>
      <c r="N790" s="2" t="s">
        <v>1465</v>
      </c>
      <c r="O790" s="2" t="s">
        <v>100</v>
      </c>
      <c r="P790" s="2" t="str">
        <f>"2170579845                    "</f>
        <v xml:space="preserve">2170579845 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5.63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1</v>
      </c>
      <c r="BI790" s="2">
        <v>1</v>
      </c>
      <c r="BJ790" s="2">
        <v>0.2</v>
      </c>
      <c r="BK790" s="2">
        <v>1</v>
      </c>
      <c r="BL790" s="2">
        <v>58.28</v>
      </c>
      <c r="BM790" s="2">
        <v>8.16</v>
      </c>
      <c r="BN790" s="2">
        <v>66.44</v>
      </c>
      <c r="BO790" s="2">
        <v>66.44</v>
      </c>
      <c r="BP790" s="2"/>
      <c r="BQ790" s="2" t="s">
        <v>83</v>
      </c>
      <c r="BR790" s="2" t="s">
        <v>84</v>
      </c>
      <c r="BS790" s="3">
        <v>42958</v>
      </c>
      <c r="BT790" s="4">
        <v>0.51180555555555551</v>
      </c>
      <c r="BU790" s="2" t="s">
        <v>1466</v>
      </c>
      <c r="BV790" s="2" t="s">
        <v>86</v>
      </c>
      <c r="BW790" s="2" t="s">
        <v>124</v>
      </c>
      <c r="BX790" s="2" t="s">
        <v>623</v>
      </c>
      <c r="BY790" s="2">
        <v>1200</v>
      </c>
      <c r="BZ790" s="2"/>
      <c r="CA790" s="2" t="s">
        <v>956</v>
      </c>
      <c r="CB790" s="2"/>
      <c r="CC790" s="2" t="s">
        <v>160</v>
      </c>
      <c r="CD790" s="2">
        <v>407</v>
      </c>
      <c r="CE790" s="2" t="s">
        <v>104</v>
      </c>
      <c r="CF790" s="5">
        <v>42961</v>
      </c>
      <c r="CG790" s="2"/>
      <c r="CH790" s="2"/>
      <c r="CI790" s="2">
        <v>1</v>
      </c>
      <c r="CJ790" s="2">
        <v>3</v>
      </c>
      <c r="CK790" s="2">
        <v>24</v>
      </c>
      <c r="CL790" s="2" t="s">
        <v>86</v>
      </c>
      <c r="CM790" s="2"/>
    </row>
    <row r="791" spans="1:91">
      <c r="A791" s="2" t="s">
        <v>71</v>
      </c>
      <c r="B791" s="2" t="s">
        <v>72</v>
      </c>
      <c r="C791" s="2" t="s">
        <v>73</v>
      </c>
      <c r="D791" s="2"/>
      <c r="E791" s="2" t="str">
        <f>"FES1162567675"</f>
        <v>FES1162567675</v>
      </c>
      <c r="F791" s="3">
        <v>42955</v>
      </c>
      <c r="G791" s="2">
        <v>201802</v>
      </c>
      <c r="H791" s="2" t="s">
        <v>74</v>
      </c>
      <c r="I791" s="2" t="s">
        <v>75</v>
      </c>
      <c r="J791" s="2" t="s">
        <v>76</v>
      </c>
      <c r="K791" s="2" t="s">
        <v>77</v>
      </c>
      <c r="L791" s="2" t="s">
        <v>417</v>
      </c>
      <c r="M791" s="2" t="s">
        <v>417</v>
      </c>
      <c r="N791" s="2" t="s">
        <v>458</v>
      </c>
      <c r="O791" s="2" t="s">
        <v>100</v>
      </c>
      <c r="P791" s="2" t="str">
        <f>"2170582573                    "</f>
        <v xml:space="preserve">2170582573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4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1</v>
      </c>
      <c r="BI791" s="2">
        <v>1</v>
      </c>
      <c r="BJ791" s="2">
        <v>0.2</v>
      </c>
      <c r="BK791" s="2">
        <v>1</v>
      </c>
      <c r="BL791" s="2">
        <v>41.44</v>
      </c>
      <c r="BM791" s="2">
        <v>5.8</v>
      </c>
      <c r="BN791" s="2">
        <v>47.24</v>
      </c>
      <c r="BO791" s="2">
        <v>47.24</v>
      </c>
      <c r="BP791" s="2"/>
      <c r="BQ791" s="2" t="s">
        <v>83</v>
      </c>
      <c r="BR791" s="2" t="s">
        <v>84</v>
      </c>
      <c r="BS791" s="3">
        <v>42957</v>
      </c>
      <c r="BT791" s="4">
        <v>0.57291666666666663</v>
      </c>
      <c r="BU791" s="2" t="s">
        <v>1467</v>
      </c>
      <c r="BV791" s="2" t="s">
        <v>86</v>
      </c>
      <c r="BW791" s="2" t="s">
        <v>336</v>
      </c>
      <c r="BX791" s="2" t="s">
        <v>116</v>
      </c>
      <c r="BY791" s="2">
        <v>1200</v>
      </c>
      <c r="BZ791" s="2"/>
      <c r="CA791" s="2" t="s">
        <v>420</v>
      </c>
      <c r="CB791" s="2"/>
      <c r="CC791" s="2" t="s">
        <v>417</v>
      </c>
      <c r="CD791" s="2">
        <v>7646</v>
      </c>
      <c r="CE791" s="2" t="s">
        <v>104</v>
      </c>
      <c r="CF791" s="5">
        <v>42957</v>
      </c>
      <c r="CG791" s="2"/>
      <c r="CH791" s="2"/>
      <c r="CI791" s="2">
        <v>1</v>
      </c>
      <c r="CJ791" s="2">
        <v>2</v>
      </c>
      <c r="CK791" s="2">
        <v>21</v>
      </c>
      <c r="CL791" s="2" t="s">
        <v>86</v>
      </c>
      <c r="CM791" s="2"/>
    </row>
    <row r="792" spans="1:91">
      <c r="A792" s="2" t="s">
        <v>71</v>
      </c>
      <c r="B792" s="2" t="s">
        <v>72</v>
      </c>
      <c r="C792" s="2" t="s">
        <v>73</v>
      </c>
      <c r="D792" s="2"/>
      <c r="E792" s="2" t="str">
        <f>"FES1162567642"</f>
        <v>FES1162567642</v>
      </c>
      <c r="F792" s="3">
        <v>42955</v>
      </c>
      <c r="G792" s="2">
        <v>201802</v>
      </c>
      <c r="H792" s="2" t="s">
        <v>74</v>
      </c>
      <c r="I792" s="2" t="s">
        <v>75</v>
      </c>
      <c r="J792" s="2" t="s">
        <v>76</v>
      </c>
      <c r="K792" s="2" t="s">
        <v>77</v>
      </c>
      <c r="L792" s="2" t="s">
        <v>244</v>
      </c>
      <c r="M792" s="2" t="s">
        <v>245</v>
      </c>
      <c r="N792" s="2" t="s">
        <v>246</v>
      </c>
      <c r="O792" s="2" t="s">
        <v>100</v>
      </c>
      <c r="P792" s="2" t="str">
        <f>"2170583551                    "</f>
        <v xml:space="preserve">2170583551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3.13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1</v>
      </c>
      <c r="BJ792" s="2">
        <v>0.2</v>
      </c>
      <c r="BK792" s="2">
        <v>1</v>
      </c>
      <c r="BL792" s="2">
        <v>32.380000000000003</v>
      </c>
      <c r="BM792" s="2">
        <v>4.53</v>
      </c>
      <c r="BN792" s="2">
        <v>36.909999999999997</v>
      </c>
      <c r="BO792" s="2">
        <v>36.909999999999997</v>
      </c>
      <c r="BP792" s="2"/>
      <c r="BQ792" s="2" t="s">
        <v>209</v>
      </c>
      <c r="BR792" s="2" t="s">
        <v>84</v>
      </c>
      <c r="BS792" s="3">
        <v>42957</v>
      </c>
      <c r="BT792" s="4">
        <v>0.37847222222222227</v>
      </c>
      <c r="BU792" s="2" t="s">
        <v>740</v>
      </c>
      <c r="BV792" s="2" t="s">
        <v>86</v>
      </c>
      <c r="BW792" s="2" t="s">
        <v>1007</v>
      </c>
      <c r="BX792" s="2" t="s">
        <v>1452</v>
      </c>
      <c r="BY792" s="2">
        <v>1200</v>
      </c>
      <c r="BZ792" s="2"/>
      <c r="CA792" s="2" t="s">
        <v>499</v>
      </c>
      <c r="CB792" s="2"/>
      <c r="CC792" s="2" t="s">
        <v>245</v>
      </c>
      <c r="CD792" s="2">
        <v>1459</v>
      </c>
      <c r="CE792" s="2" t="s">
        <v>104</v>
      </c>
      <c r="CF792" s="5">
        <v>42958</v>
      </c>
      <c r="CG792" s="2"/>
      <c r="CH792" s="2"/>
      <c r="CI792" s="2">
        <v>1</v>
      </c>
      <c r="CJ792" s="2">
        <v>2</v>
      </c>
      <c r="CK792" s="2">
        <v>22</v>
      </c>
      <c r="CL792" s="2" t="s">
        <v>86</v>
      </c>
      <c r="CM792" s="2"/>
    </row>
    <row r="793" spans="1:91">
      <c r="A793" s="2" t="s">
        <v>71</v>
      </c>
      <c r="B793" s="2" t="s">
        <v>72</v>
      </c>
      <c r="C793" s="2" t="s">
        <v>73</v>
      </c>
      <c r="D793" s="2"/>
      <c r="E793" s="2" t="str">
        <f>"FES1162567636"</f>
        <v>FES1162567636</v>
      </c>
      <c r="F793" s="3">
        <v>42955</v>
      </c>
      <c r="G793" s="2">
        <v>201802</v>
      </c>
      <c r="H793" s="2" t="s">
        <v>74</v>
      </c>
      <c r="I793" s="2" t="s">
        <v>75</v>
      </c>
      <c r="J793" s="2" t="s">
        <v>76</v>
      </c>
      <c r="K793" s="2" t="s">
        <v>77</v>
      </c>
      <c r="L793" s="2" t="s">
        <v>362</v>
      </c>
      <c r="M793" s="2" t="s">
        <v>363</v>
      </c>
      <c r="N793" s="2" t="s">
        <v>364</v>
      </c>
      <c r="O793" s="2" t="s">
        <v>100</v>
      </c>
      <c r="P793" s="2" t="str">
        <f>"2170582683                    "</f>
        <v xml:space="preserve">2170582683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18.010000000000002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4</v>
      </c>
      <c r="BJ793" s="2">
        <v>8.6999999999999993</v>
      </c>
      <c r="BK793" s="2">
        <v>9</v>
      </c>
      <c r="BL793" s="2">
        <v>186.49</v>
      </c>
      <c r="BM793" s="2">
        <v>26.11</v>
      </c>
      <c r="BN793" s="2">
        <v>212.6</v>
      </c>
      <c r="BO793" s="2">
        <v>212.6</v>
      </c>
      <c r="BP793" s="2" t="s">
        <v>101</v>
      </c>
      <c r="BQ793" s="2" t="s">
        <v>365</v>
      </c>
      <c r="BR793" s="2" t="s">
        <v>84</v>
      </c>
      <c r="BS793" s="3">
        <v>42957</v>
      </c>
      <c r="BT793" s="4">
        <v>0.4375</v>
      </c>
      <c r="BU793" s="2" t="s">
        <v>1468</v>
      </c>
      <c r="BV793" s="2" t="s">
        <v>86</v>
      </c>
      <c r="BW793" s="2" t="s">
        <v>87</v>
      </c>
      <c r="BX793" s="2" t="s">
        <v>549</v>
      </c>
      <c r="BY793" s="2">
        <v>43560</v>
      </c>
      <c r="BZ793" s="2"/>
      <c r="CA793" s="2"/>
      <c r="CB793" s="2"/>
      <c r="CC793" s="2" t="s">
        <v>363</v>
      </c>
      <c r="CD793" s="2">
        <v>3201</v>
      </c>
      <c r="CE793" s="2" t="s">
        <v>1469</v>
      </c>
      <c r="CF793" s="5">
        <v>42959</v>
      </c>
      <c r="CG793" s="2"/>
      <c r="CH793" s="2"/>
      <c r="CI793" s="2">
        <v>1</v>
      </c>
      <c r="CJ793" s="2">
        <v>2</v>
      </c>
      <c r="CK793" s="2">
        <v>21</v>
      </c>
      <c r="CL793" s="2" t="s">
        <v>86</v>
      </c>
      <c r="CM793" s="2"/>
    </row>
    <row r="794" spans="1:91">
      <c r="A794" s="2" t="s">
        <v>71</v>
      </c>
      <c r="B794" s="2" t="s">
        <v>72</v>
      </c>
      <c r="C794" s="2" t="s">
        <v>73</v>
      </c>
      <c r="D794" s="2"/>
      <c r="E794" s="2" t="str">
        <f>"FES1162567745"</f>
        <v>FES1162567745</v>
      </c>
      <c r="F794" s="3">
        <v>42955</v>
      </c>
      <c r="G794" s="2">
        <v>201802</v>
      </c>
      <c r="H794" s="2" t="s">
        <v>74</v>
      </c>
      <c r="I794" s="2" t="s">
        <v>75</v>
      </c>
      <c r="J794" s="2" t="s">
        <v>76</v>
      </c>
      <c r="K794" s="2" t="s">
        <v>77</v>
      </c>
      <c r="L794" s="2" t="s">
        <v>237</v>
      </c>
      <c r="M794" s="2" t="s">
        <v>238</v>
      </c>
      <c r="N794" s="2" t="s">
        <v>1470</v>
      </c>
      <c r="O794" s="2" t="s">
        <v>100</v>
      </c>
      <c r="P794" s="2" t="str">
        <f>"2170583884                    "</f>
        <v xml:space="preserve">2170583884               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4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1</v>
      </c>
      <c r="BJ794" s="2">
        <v>0.2</v>
      </c>
      <c r="BK794" s="2">
        <v>1</v>
      </c>
      <c r="BL794" s="2">
        <v>41.44</v>
      </c>
      <c r="BM794" s="2">
        <v>5.8</v>
      </c>
      <c r="BN794" s="2">
        <v>47.24</v>
      </c>
      <c r="BO794" s="2">
        <v>47.24</v>
      </c>
      <c r="BP794" s="2" t="s">
        <v>101</v>
      </c>
      <c r="BQ794" s="2" t="s">
        <v>83</v>
      </c>
      <c r="BR794" s="2" t="s">
        <v>84</v>
      </c>
      <c r="BS794" s="3">
        <v>42957</v>
      </c>
      <c r="BT794" s="4">
        <v>0.40972222222222227</v>
      </c>
      <c r="BU794" s="2" t="s">
        <v>400</v>
      </c>
      <c r="BV794" s="2" t="s">
        <v>86</v>
      </c>
      <c r="BW794" s="2" t="s">
        <v>87</v>
      </c>
      <c r="BX794" s="2" t="s">
        <v>337</v>
      </c>
      <c r="BY794" s="2">
        <v>1200</v>
      </c>
      <c r="BZ794" s="2"/>
      <c r="CA794" s="2" t="s">
        <v>401</v>
      </c>
      <c r="CB794" s="2"/>
      <c r="CC794" s="2" t="s">
        <v>238</v>
      </c>
      <c r="CD794" s="2">
        <v>3610</v>
      </c>
      <c r="CE794" s="2" t="s">
        <v>104</v>
      </c>
      <c r="CF794" s="5">
        <v>42958</v>
      </c>
      <c r="CG794" s="2"/>
      <c r="CH794" s="2"/>
      <c r="CI794" s="2">
        <v>1</v>
      </c>
      <c r="CJ794" s="2">
        <v>2</v>
      </c>
      <c r="CK794" s="2">
        <v>21</v>
      </c>
      <c r="CL794" s="2" t="s">
        <v>86</v>
      </c>
      <c r="CM794" s="2"/>
    </row>
    <row r="795" spans="1:91">
      <c r="A795" s="2" t="s">
        <v>71</v>
      </c>
      <c r="B795" s="2" t="s">
        <v>72</v>
      </c>
      <c r="C795" s="2" t="s">
        <v>73</v>
      </c>
      <c r="D795" s="2"/>
      <c r="E795" s="2" t="str">
        <f>"FES1162566519"</f>
        <v>FES1162566519</v>
      </c>
      <c r="F795" s="3">
        <v>42950</v>
      </c>
      <c r="G795" s="2">
        <v>201802</v>
      </c>
      <c r="H795" s="2" t="s">
        <v>74</v>
      </c>
      <c r="I795" s="2" t="s">
        <v>75</v>
      </c>
      <c r="J795" s="2" t="s">
        <v>76</v>
      </c>
      <c r="K795" s="2" t="s">
        <v>77</v>
      </c>
      <c r="L795" s="2" t="s">
        <v>170</v>
      </c>
      <c r="M795" s="2" t="s">
        <v>171</v>
      </c>
      <c r="N795" s="2" t="s">
        <v>1471</v>
      </c>
      <c r="O795" s="2" t="s">
        <v>100</v>
      </c>
      <c r="P795" s="2" t="str">
        <f>"2170582028                    "</f>
        <v xml:space="preserve">2170582028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3.13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4.0999999999999996</v>
      </c>
      <c r="BJ795" s="2">
        <v>1</v>
      </c>
      <c r="BK795" s="2">
        <v>5</v>
      </c>
      <c r="BL795" s="2">
        <v>32.380000000000003</v>
      </c>
      <c r="BM795" s="2">
        <v>4.53</v>
      </c>
      <c r="BN795" s="2">
        <v>36.909999999999997</v>
      </c>
      <c r="BO795" s="2">
        <v>36.909999999999997</v>
      </c>
      <c r="BP795" s="2"/>
      <c r="BQ795" s="2" t="s">
        <v>108</v>
      </c>
      <c r="BR795" s="2" t="s">
        <v>84</v>
      </c>
      <c r="BS795" s="3">
        <v>42960</v>
      </c>
      <c r="BT795" s="4">
        <v>0.4375</v>
      </c>
      <c r="BU795" s="2" t="s">
        <v>1472</v>
      </c>
      <c r="BV795" s="2" t="s">
        <v>86</v>
      </c>
      <c r="BW795" s="2" t="s">
        <v>124</v>
      </c>
      <c r="BX795" s="2" t="s">
        <v>498</v>
      </c>
      <c r="BY795" s="2">
        <v>5095.8</v>
      </c>
      <c r="BZ795" s="2"/>
      <c r="CA795" s="2"/>
      <c r="CB795" s="2"/>
      <c r="CC795" s="2" t="s">
        <v>171</v>
      </c>
      <c r="CD795" s="2">
        <v>1401</v>
      </c>
      <c r="CE795" s="2" t="s">
        <v>135</v>
      </c>
      <c r="CF795" s="5">
        <v>42962</v>
      </c>
      <c r="CG795" s="2"/>
      <c r="CH795" s="2"/>
      <c r="CI795" s="2">
        <v>1</v>
      </c>
      <c r="CJ795" s="2">
        <v>6</v>
      </c>
      <c r="CK795" s="2">
        <v>22</v>
      </c>
      <c r="CL795" s="2" t="s">
        <v>86</v>
      </c>
      <c r="CM795" s="2"/>
    </row>
    <row r="796" spans="1:91">
      <c r="A796" s="2" t="s">
        <v>71</v>
      </c>
      <c r="B796" s="2" t="s">
        <v>72</v>
      </c>
      <c r="C796" s="2" t="s">
        <v>73</v>
      </c>
      <c r="D796" s="2"/>
      <c r="E796" s="2" t="str">
        <f>"Rfes1162566671"</f>
        <v>Rfes1162566671</v>
      </c>
      <c r="F796" s="3">
        <v>42955</v>
      </c>
      <c r="G796" s="2">
        <v>201802</v>
      </c>
      <c r="H796" s="2" t="s">
        <v>244</v>
      </c>
      <c r="I796" s="2" t="s">
        <v>245</v>
      </c>
      <c r="J796" s="2" t="s">
        <v>246</v>
      </c>
      <c r="K796" s="2" t="s">
        <v>77</v>
      </c>
      <c r="L796" s="2" t="s">
        <v>321</v>
      </c>
      <c r="M796" s="2" t="s">
        <v>322</v>
      </c>
      <c r="N796" s="2" t="s">
        <v>76</v>
      </c>
      <c r="O796" s="2" t="s">
        <v>100</v>
      </c>
      <c r="P796" s="2" t="str">
        <f>"2170582698                    "</f>
        <v xml:space="preserve">2170582698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4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1</v>
      </c>
      <c r="BJ796" s="2">
        <v>0.2</v>
      </c>
      <c r="BK796" s="2">
        <v>1</v>
      </c>
      <c r="BL796" s="2">
        <v>41.44</v>
      </c>
      <c r="BM796" s="2">
        <v>5.8</v>
      </c>
      <c r="BN796" s="2">
        <v>47.24</v>
      </c>
      <c r="BO796" s="2">
        <v>47.24</v>
      </c>
      <c r="BP796" s="2"/>
      <c r="BQ796" s="2" t="s">
        <v>84</v>
      </c>
      <c r="BR796" s="2" t="s">
        <v>209</v>
      </c>
      <c r="BS796" s="3">
        <v>42958</v>
      </c>
      <c r="BT796" s="4">
        <v>0.48194444444444445</v>
      </c>
      <c r="BU796" s="2" t="s">
        <v>1473</v>
      </c>
      <c r="BV796" s="2" t="s">
        <v>86</v>
      </c>
      <c r="BW796" s="2" t="s">
        <v>124</v>
      </c>
      <c r="BX796" s="2" t="s">
        <v>327</v>
      </c>
      <c r="BY796" s="2">
        <v>1200</v>
      </c>
      <c r="BZ796" s="2" t="s">
        <v>27</v>
      </c>
      <c r="CA796" s="2" t="s">
        <v>328</v>
      </c>
      <c r="CB796" s="2"/>
      <c r="CC796" s="2" t="s">
        <v>322</v>
      </c>
      <c r="CD796" s="2">
        <v>6242</v>
      </c>
      <c r="CE796" s="2" t="s">
        <v>104</v>
      </c>
      <c r="CF796" s="5">
        <v>42961</v>
      </c>
      <c r="CG796" s="2"/>
      <c r="CH796" s="2"/>
      <c r="CI796" s="2">
        <v>1</v>
      </c>
      <c r="CJ796" s="2">
        <v>2</v>
      </c>
      <c r="CK796" s="2">
        <v>21</v>
      </c>
      <c r="CL796" s="2" t="s">
        <v>86</v>
      </c>
      <c r="CM796" s="2"/>
    </row>
    <row r="797" spans="1:91">
      <c r="A797" s="2" t="s">
        <v>71</v>
      </c>
      <c r="B797" s="2" t="s">
        <v>72</v>
      </c>
      <c r="C797" s="2" t="s">
        <v>73</v>
      </c>
      <c r="D797" s="2"/>
      <c r="E797" s="2" t="str">
        <f>"FES1162566044"</f>
        <v>FES1162566044</v>
      </c>
      <c r="F797" s="3">
        <v>42948</v>
      </c>
      <c r="G797" s="2">
        <v>201802</v>
      </c>
      <c r="H797" s="2" t="s">
        <v>74</v>
      </c>
      <c r="I797" s="2" t="s">
        <v>75</v>
      </c>
      <c r="J797" s="2" t="s">
        <v>118</v>
      </c>
      <c r="K797" s="2" t="s">
        <v>77</v>
      </c>
      <c r="L797" s="2" t="s">
        <v>362</v>
      </c>
      <c r="M797" s="2" t="s">
        <v>363</v>
      </c>
      <c r="N797" s="2" t="s">
        <v>377</v>
      </c>
      <c r="O797" s="2" t="s">
        <v>81</v>
      </c>
      <c r="P797" s="2" t="str">
        <f>"217058604                     "</f>
        <v xml:space="preserve">217058604 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13.56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2</v>
      </c>
      <c r="BI797" s="2">
        <v>18.2</v>
      </c>
      <c r="BJ797" s="2">
        <v>35.6</v>
      </c>
      <c r="BK797" s="2">
        <v>36</v>
      </c>
      <c r="BL797" s="2">
        <v>158.44999999999999</v>
      </c>
      <c r="BM797" s="2">
        <v>22.18</v>
      </c>
      <c r="BN797" s="2">
        <v>180.63</v>
      </c>
      <c r="BO797" s="2">
        <v>180.63</v>
      </c>
      <c r="BP797" s="2"/>
      <c r="BQ797" s="2" t="s">
        <v>209</v>
      </c>
      <c r="BR797" s="2" t="s">
        <v>122</v>
      </c>
      <c r="BS797" s="3">
        <v>42949</v>
      </c>
      <c r="BT797" s="4">
        <v>0.39930555555555558</v>
      </c>
      <c r="BU797" s="2" t="s">
        <v>1474</v>
      </c>
      <c r="BV797" s="2" t="s">
        <v>95</v>
      </c>
      <c r="BW797" s="2"/>
      <c r="BX797" s="2"/>
      <c r="BY797" s="2">
        <v>178097.53</v>
      </c>
      <c r="BZ797" s="2"/>
      <c r="CA797" s="2" t="s">
        <v>938</v>
      </c>
      <c r="CB797" s="2"/>
      <c r="CC797" s="2" t="s">
        <v>363</v>
      </c>
      <c r="CD797" s="2">
        <v>3201</v>
      </c>
      <c r="CE797" s="2" t="s">
        <v>1190</v>
      </c>
      <c r="CF797" s="5">
        <v>42950</v>
      </c>
      <c r="CG797" s="2"/>
      <c r="CH797" s="2"/>
      <c r="CI797" s="2">
        <v>0</v>
      </c>
      <c r="CJ797" s="2">
        <v>0</v>
      </c>
      <c r="CK797" s="2" t="s">
        <v>624</v>
      </c>
      <c r="CL797" s="2" t="s">
        <v>86</v>
      </c>
      <c r="CM797" s="2"/>
    </row>
    <row r="798" spans="1:91">
      <c r="A798" s="2" t="s">
        <v>71</v>
      </c>
      <c r="B798" s="2" t="s">
        <v>72</v>
      </c>
      <c r="C798" s="2" t="s">
        <v>73</v>
      </c>
      <c r="D798" s="2"/>
      <c r="E798" s="2" t="str">
        <f>"FES1162566010"</f>
        <v>FES1162566010</v>
      </c>
      <c r="F798" s="3">
        <v>42948</v>
      </c>
      <c r="G798" s="2">
        <v>201802</v>
      </c>
      <c r="H798" s="2" t="s">
        <v>74</v>
      </c>
      <c r="I798" s="2" t="s">
        <v>75</v>
      </c>
      <c r="J798" s="2" t="s">
        <v>118</v>
      </c>
      <c r="K798" s="2" t="s">
        <v>77</v>
      </c>
      <c r="L798" s="2" t="s">
        <v>632</v>
      </c>
      <c r="M798" s="2" t="s">
        <v>269</v>
      </c>
      <c r="N798" s="2" t="s">
        <v>442</v>
      </c>
      <c r="O798" s="2" t="s">
        <v>81</v>
      </c>
      <c r="P798" s="2" t="str">
        <f>"2170581060                    "</f>
        <v xml:space="preserve">2170581060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8.5500000000000007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2</v>
      </c>
      <c r="BI798" s="2">
        <v>26.2</v>
      </c>
      <c r="BJ798" s="2">
        <v>7.2</v>
      </c>
      <c r="BK798" s="2">
        <v>27</v>
      </c>
      <c r="BL798" s="2">
        <v>101.78</v>
      </c>
      <c r="BM798" s="2">
        <v>14.25</v>
      </c>
      <c r="BN798" s="2">
        <v>116.03</v>
      </c>
      <c r="BO798" s="2">
        <v>116.03</v>
      </c>
      <c r="BP798" s="2"/>
      <c r="BQ798" s="2" t="s">
        <v>83</v>
      </c>
      <c r="BR798" s="2" t="s">
        <v>122</v>
      </c>
      <c r="BS798" s="3">
        <v>42949</v>
      </c>
      <c r="BT798" s="4">
        <v>0.38541666666666669</v>
      </c>
      <c r="BU798" s="2" t="s">
        <v>443</v>
      </c>
      <c r="BV798" s="2"/>
      <c r="BW798" s="2"/>
      <c r="BX798" s="2"/>
      <c r="BY798" s="2">
        <v>35770.519999999997</v>
      </c>
      <c r="BZ798" s="2"/>
      <c r="CA798" s="2" t="s">
        <v>445</v>
      </c>
      <c r="CB798" s="2"/>
      <c r="CC798" s="2" t="s">
        <v>269</v>
      </c>
      <c r="CD798" s="2">
        <v>1</v>
      </c>
      <c r="CE798" s="2" t="s">
        <v>1190</v>
      </c>
      <c r="CF798" s="5">
        <v>42950</v>
      </c>
      <c r="CG798" s="2"/>
      <c r="CH798" s="2"/>
      <c r="CI798" s="2">
        <v>0</v>
      </c>
      <c r="CJ798" s="2">
        <v>0</v>
      </c>
      <c r="CK798" s="2" t="s">
        <v>143</v>
      </c>
      <c r="CL798" s="2" t="s">
        <v>86</v>
      </c>
      <c r="CM798" s="2"/>
    </row>
    <row r="799" spans="1:91">
      <c r="A799" s="2" t="s">
        <v>71</v>
      </c>
      <c r="B799" s="2" t="s">
        <v>72</v>
      </c>
      <c r="C799" s="2" t="s">
        <v>73</v>
      </c>
      <c r="D799" s="2"/>
      <c r="E799" s="2" t="str">
        <f>"FES1162566693"</f>
        <v>FES1162566693</v>
      </c>
      <c r="F799" s="3">
        <v>42950</v>
      </c>
      <c r="G799" s="2">
        <v>201802</v>
      </c>
      <c r="H799" s="2" t="s">
        <v>74</v>
      </c>
      <c r="I799" s="2" t="s">
        <v>75</v>
      </c>
      <c r="J799" s="2" t="s">
        <v>118</v>
      </c>
      <c r="K799" s="2" t="s">
        <v>77</v>
      </c>
      <c r="L799" s="2" t="s">
        <v>632</v>
      </c>
      <c r="M799" s="2" t="s">
        <v>269</v>
      </c>
      <c r="N799" s="2" t="s">
        <v>279</v>
      </c>
      <c r="O799" s="2" t="s">
        <v>81</v>
      </c>
      <c r="P799" s="2" t="str">
        <f>"217058777770                  "</f>
        <v xml:space="preserve">217058777770         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6.88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2</v>
      </c>
      <c r="BI799" s="2">
        <v>6.8</v>
      </c>
      <c r="BJ799" s="2">
        <v>12.4</v>
      </c>
      <c r="BK799" s="2">
        <v>13</v>
      </c>
      <c r="BL799" s="2">
        <v>76.23</v>
      </c>
      <c r="BM799" s="2">
        <v>10.67</v>
      </c>
      <c r="BN799" s="2">
        <v>86.9</v>
      </c>
      <c r="BO799" s="2">
        <v>86.9</v>
      </c>
      <c r="BP799" s="2"/>
      <c r="BQ799" s="2" t="s">
        <v>280</v>
      </c>
      <c r="BR799" s="2" t="s">
        <v>122</v>
      </c>
      <c r="BS799" s="3">
        <v>42951</v>
      </c>
      <c r="BT799" s="4">
        <v>0.41666666666666669</v>
      </c>
      <c r="BU799" s="2" t="s">
        <v>1475</v>
      </c>
      <c r="BV799" s="2"/>
      <c r="BW799" s="2"/>
      <c r="BX799" s="2"/>
      <c r="BY799" s="2">
        <v>61770.6</v>
      </c>
      <c r="BZ799" s="2"/>
      <c r="CA799" s="2"/>
      <c r="CB799" s="2"/>
      <c r="CC799" s="2" t="s">
        <v>269</v>
      </c>
      <c r="CD799" s="2">
        <v>117</v>
      </c>
      <c r="CE799" s="2" t="s">
        <v>1476</v>
      </c>
      <c r="CF799" s="5">
        <v>42954</v>
      </c>
      <c r="CG799" s="2"/>
      <c r="CH799" s="2"/>
      <c r="CI799" s="2">
        <v>0</v>
      </c>
      <c r="CJ799" s="2">
        <v>0</v>
      </c>
      <c r="CK799" s="2" t="s">
        <v>143</v>
      </c>
      <c r="CL799" s="2" t="s">
        <v>86</v>
      </c>
      <c r="CM799" s="2"/>
    </row>
    <row r="800" spans="1:91">
      <c r="A800" s="2" t="s">
        <v>71</v>
      </c>
      <c r="B800" s="2" t="s">
        <v>72</v>
      </c>
      <c r="C800" s="2" t="s">
        <v>73</v>
      </c>
      <c r="D800" s="2"/>
      <c r="E800" s="2" t="str">
        <f>"FES1162566250"</f>
        <v>FES1162566250</v>
      </c>
      <c r="F800" s="3">
        <v>42949</v>
      </c>
      <c r="G800" s="2">
        <v>201802</v>
      </c>
      <c r="H800" s="2" t="s">
        <v>74</v>
      </c>
      <c r="I800" s="2" t="s">
        <v>75</v>
      </c>
      <c r="J800" s="2" t="s">
        <v>118</v>
      </c>
      <c r="K800" s="2" t="s">
        <v>77</v>
      </c>
      <c r="L800" s="2" t="s">
        <v>231</v>
      </c>
      <c r="M800" s="2" t="s">
        <v>232</v>
      </c>
      <c r="N800" s="2" t="s">
        <v>1477</v>
      </c>
      <c r="O800" s="2" t="s">
        <v>81</v>
      </c>
      <c r="P800" s="2" t="str">
        <f>"2170582619                    "</f>
        <v xml:space="preserve">2170582619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5.63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</v>
      </c>
      <c r="BI800" s="2">
        <v>2</v>
      </c>
      <c r="BJ800" s="2">
        <v>1.3</v>
      </c>
      <c r="BK800" s="2">
        <v>2</v>
      </c>
      <c r="BL800" s="2">
        <v>63.28</v>
      </c>
      <c r="BM800" s="2">
        <v>8.86</v>
      </c>
      <c r="BN800" s="2">
        <v>72.14</v>
      </c>
      <c r="BO800" s="2">
        <v>72.14</v>
      </c>
      <c r="BP800" s="2" t="s">
        <v>82</v>
      </c>
      <c r="BQ800" s="2" t="s">
        <v>83</v>
      </c>
      <c r="BR800" s="2" t="s">
        <v>122</v>
      </c>
      <c r="BS800" s="3">
        <v>42950</v>
      </c>
      <c r="BT800" s="4">
        <v>0.62916666666666665</v>
      </c>
      <c r="BU800" s="2" t="s">
        <v>1478</v>
      </c>
      <c r="BV800" s="2" t="s">
        <v>95</v>
      </c>
      <c r="BW800" s="2"/>
      <c r="BX800" s="2"/>
      <c r="BY800" s="2">
        <v>6488.65</v>
      </c>
      <c r="BZ800" s="2"/>
      <c r="CA800" s="2" t="s">
        <v>1479</v>
      </c>
      <c r="CB800" s="2"/>
      <c r="CC800" s="2" t="s">
        <v>232</v>
      </c>
      <c r="CD800" s="2">
        <v>4026</v>
      </c>
      <c r="CE800" s="2" t="s">
        <v>89</v>
      </c>
      <c r="CF800" s="5">
        <v>42951</v>
      </c>
      <c r="CG800" s="2"/>
      <c r="CH800" s="2"/>
      <c r="CI800" s="2">
        <v>0</v>
      </c>
      <c r="CJ800" s="2">
        <v>0</v>
      </c>
      <c r="CK800" s="2" t="s">
        <v>153</v>
      </c>
      <c r="CL800" s="2" t="s">
        <v>86</v>
      </c>
      <c r="CM800" s="2"/>
    </row>
    <row r="801" spans="1:91">
      <c r="A801" s="2" t="s">
        <v>71</v>
      </c>
      <c r="B801" s="2" t="s">
        <v>72</v>
      </c>
      <c r="C801" s="2" t="s">
        <v>73</v>
      </c>
      <c r="D801" s="2"/>
      <c r="E801" s="2" t="str">
        <f>"FES1162566175"</f>
        <v>FES1162566175</v>
      </c>
      <c r="F801" s="3">
        <v>42950</v>
      </c>
      <c r="G801" s="2">
        <v>201802</v>
      </c>
      <c r="H801" s="2" t="s">
        <v>74</v>
      </c>
      <c r="I801" s="2" t="s">
        <v>75</v>
      </c>
      <c r="J801" s="2" t="s">
        <v>118</v>
      </c>
      <c r="K801" s="2" t="s">
        <v>77</v>
      </c>
      <c r="L801" s="2" t="s">
        <v>164</v>
      </c>
      <c r="M801" s="2" t="s">
        <v>165</v>
      </c>
      <c r="N801" s="2" t="s">
        <v>1480</v>
      </c>
      <c r="O801" s="2" t="s">
        <v>81</v>
      </c>
      <c r="P801" s="2" t="str">
        <f>"2170581197                    "</f>
        <v xml:space="preserve">2170581197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9.76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2</v>
      </c>
      <c r="BI801" s="2">
        <v>7.5</v>
      </c>
      <c r="BJ801" s="2">
        <v>4.5</v>
      </c>
      <c r="BK801" s="2">
        <v>8</v>
      </c>
      <c r="BL801" s="2">
        <v>106.02</v>
      </c>
      <c r="BM801" s="2">
        <v>14.84</v>
      </c>
      <c r="BN801" s="2">
        <v>120.86</v>
      </c>
      <c r="BO801" s="2">
        <v>120.86</v>
      </c>
      <c r="BP801" s="2"/>
      <c r="BQ801" s="2" t="s">
        <v>1481</v>
      </c>
      <c r="BR801" s="2" t="s">
        <v>122</v>
      </c>
      <c r="BS801" s="3">
        <v>42951</v>
      </c>
      <c r="BT801" s="4">
        <v>0.41666666666666669</v>
      </c>
      <c r="BU801" s="2" t="s">
        <v>1482</v>
      </c>
      <c r="BV801" s="2" t="s">
        <v>95</v>
      </c>
      <c r="BW801" s="2"/>
      <c r="BX801" s="2"/>
      <c r="BY801" s="2">
        <v>22607.69</v>
      </c>
      <c r="BZ801" s="2"/>
      <c r="CA801" s="2"/>
      <c r="CB801" s="2"/>
      <c r="CC801" s="2" t="s">
        <v>165</v>
      </c>
      <c r="CD801" s="2">
        <v>6850</v>
      </c>
      <c r="CE801" s="2" t="s">
        <v>1190</v>
      </c>
      <c r="CF801" s="5">
        <v>42954</v>
      </c>
      <c r="CG801" s="2"/>
      <c r="CH801" s="2"/>
      <c r="CI801" s="2">
        <v>0</v>
      </c>
      <c r="CJ801" s="2">
        <v>0</v>
      </c>
      <c r="CK801" s="2" t="s">
        <v>169</v>
      </c>
      <c r="CL801" s="2" t="s">
        <v>86</v>
      </c>
      <c r="CM801" s="2"/>
    </row>
    <row r="802" spans="1:91">
      <c r="A802" s="2" t="s">
        <v>71</v>
      </c>
      <c r="B802" s="2" t="s">
        <v>72</v>
      </c>
      <c r="C802" s="2" t="s">
        <v>73</v>
      </c>
      <c r="D802" s="2"/>
      <c r="E802" s="2" t="str">
        <f>"FES1162566660"</f>
        <v>FES1162566660</v>
      </c>
      <c r="F802" s="3">
        <v>42950</v>
      </c>
      <c r="G802" s="2">
        <v>201802</v>
      </c>
      <c r="H802" s="2" t="s">
        <v>74</v>
      </c>
      <c r="I802" s="2" t="s">
        <v>75</v>
      </c>
      <c r="J802" s="2" t="s">
        <v>118</v>
      </c>
      <c r="K802" s="2" t="s">
        <v>77</v>
      </c>
      <c r="L802" s="2" t="s">
        <v>632</v>
      </c>
      <c r="M802" s="2" t="s">
        <v>269</v>
      </c>
      <c r="N802" s="2" t="s">
        <v>442</v>
      </c>
      <c r="O802" s="2" t="s">
        <v>81</v>
      </c>
      <c r="P802" s="2" t="str">
        <f>"2170579520                    "</f>
        <v xml:space="preserve">2170579520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6.88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1</v>
      </c>
      <c r="BI802" s="2">
        <v>12</v>
      </c>
      <c r="BJ802" s="2">
        <v>1.7</v>
      </c>
      <c r="BK802" s="2">
        <v>12</v>
      </c>
      <c r="BL802" s="2">
        <v>76.23</v>
      </c>
      <c r="BM802" s="2">
        <v>10.67</v>
      </c>
      <c r="BN802" s="2">
        <v>86.9</v>
      </c>
      <c r="BO802" s="2">
        <v>86.9</v>
      </c>
      <c r="BP802" s="2"/>
      <c r="BQ802" s="2" t="s">
        <v>83</v>
      </c>
      <c r="BR802" s="2" t="s">
        <v>122</v>
      </c>
      <c r="BS802" s="3">
        <v>42951</v>
      </c>
      <c r="BT802" s="4">
        <v>0.4375</v>
      </c>
      <c r="BU802" s="2" t="s">
        <v>1483</v>
      </c>
      <c r="BV802" s="2"/>
      <c r="BW802" s="2"/>
      <c r="BX802" s="2"/>
      <c r="BY802" s="2">
        <v>8331.9699999999993</v>
      </c>
      <c r="BZ802" s="2"/>
      <c r="CA802" s="2" t="s">
        <v>445</v>
      </c>
      <c r="CB802" s="2"/>
      <c r="CC802" s="2" t="s">
        <v>269</v>
      </c>
      <c r="CD802" s="2">
        <v>1</v>
      </c>
      <c r="CE802" s="2" t="s">
        <v>259</v>
      </c>
      <c r="CF802" s="5">
        <v>42954</v>
      </c>
      <c r="CG802" s="2"/>
      <c r="CH802" s="2"/>
      <c r="CI802" s="2">
        <v>0</v>
      </c>
      <c r="CJ802" s="2">
        <v>0</v>
      </c>
      <c r="CK802" s="2" t="s">
        <v>143</v>
      </c>
      <c r="CL802" s="2" t="s">
        <v>86</v>
      </c>
      <c r="CM802" s="2"/>
    </row>
    <row r="803" spans="1:91">
      <c r="A803" s="2" t="s">
        <v>71</v>
      </c>
      <c r="B803" s="2" t="s">
        <v>72</v>
      </c>
      <c r="C803" s="2" t="s">
        <v>73</v>
      </c>
      <c r="D803" s="2"/>
      <c r="E803" s="2" t="str">
        <f>"FES1162567829"</f>
        <v>FES1162567829</v>
      </c>
      <c r="F803" s="3">
        <v>42955</v>
      </c>
      <c r="G803" s="2">
        <v>201802</v>
      </c>
      <c r="H803" s="2" t="s">
        <v>74</v>
      </c>
      <c r="I803" s="2" t="s">
        <v>75</v>
      </c>
      <c r="J803" s="2" t="s">
        <v>76</v>
      </c>
      <c r="K803" s="2" t="s">
        <v>77</v>
      </c>
      <c r="L803" s="2" t="s">
        <v>105</v>
      </c>
      <c r="M803" s="2" t="s">
        <v>106</v>
      </c>
      <c r="N803" s="2" t="s">
        <v>1484</v>
      </c>
      <c r="O803" s="2" t="s">
        <v>100</v>
      </c>
      <c r="P803" s="2" t="str">
        <f>"2170583991                    "</f>
        <v xml:space="preserve">2170583991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4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1</v>
      </c>
      <c r="BI803" s="2">
        <v>1</v>
      </c>
      <c r="BJ803" s="2">
        <v>0.2</v>
      </c>
      <c r="BK803" s="2">
        <v>1</v>
      </c>
      <c r="BL803" s="2">
        <v>41.44</v>
      </c>
      <c r="BM803" s="2">
        <v>5.8</v>
      </c>
      <c r="BN803" s="2">
        <v>47.24</v>
      </c>
      <c r="BO803" s="2">
        <v>47.24</v>
      </c>
      <c r="BP803" s="2" t="s">
        <v>101</v>
      </c>
      <c r="BQ803" s="2" t="s">
        <v>83</v>
      </c>
      <c r="BR803" s="2" t="s">
        <v>84</v>
      </c>
      <c r="BS803" s="3">
        <v>42957</v>
      </c>
      <c r="BT803" s="4">
        <v>0.39861111111111108</v>
      </c>
      <c r="BU803" s="2" t="s">
        <v>1485</v>
      </c>
      <c r="BV803" s="2" t="s">
        <v>86</v>
      </c>
      <c r="BW803" s="2" t="s">
        <v>110</v>
      </c>
      <c r="BX803" s="2" t="s">
        <v>111</v>
      </c>
      <c r="BY803" s="2">
        <v>1200</v>
      </c>
      <c r="BZ803" s="2"/>
      <c r="CA803" s="2" t="s">
        <v>748</v>
      </c>
      <c r="CB803" s="2"/>
      <c r="CC803" s="2" t="s">
        <v>106</v>
      </c>
      <c r="CD803" s="2">
        <v>7441</v>
      </c>
      <c r="CE803" s="2" t="s">
        <v>104</v>
      </c>
      <c r="CF803" s="5">
        <v>42958</v>
      </c>
      <c r="CG803" s="2"/>
      <c r="CH803" s="2"/>
      <c r="CI803" s="2">
        <v>1</v>
      </c>
      <c r="CJ803" s="2">
        <v>2</v>
      </c>
      <c r="CK803" s="2">
        <v>21</v>
      </c>
      <c r="CL803" s="2" t="s">
        <v>86</v>
      </c>
      <c r="CM803" s="2"/>
    </row>
    <row r="804" spans="1:91">
      <c r="A804" s="2" t="s">
        <v>71</v>
      </c>
      <c r="B804" s="2" t="s">
        <v>72</v>
      </c>
      <c r="C804" s="2" t="s">
        <v>73</v>
      </c>
      <c r="D804" s="2"/>
      <c r="E804" s="2" t="str">
        <f>"FES1162567819"</f>
        <v>FES1162567819</v>
      </c>
      <c r="F804" s="3">
        <v>42955</v>
      </c>
      <c r="G804" s="2">
        <v>201802</v>
      </c>
      <c r="H804" s="2" t="s">
        <v>74</v>
      </c>
      <c r="I804" s="2" t="s">
        <v>75</v>
      </c>
      <c r="J804" s="2" t="s">
        <v>76</v>
      </c>
      <c r="K804" s="2" t="s">
        <v>77</v>
      </c>
      <c r="L804" s="2" t="s">
        <v>74</v>
      </c>
      <c r="M804" s="2" t="s">
        <v>75</v>
      </c>
      <c r="N804" s="2" t="s">
        <v>985</v>
      </c>
      <c r="O804" s="2" t="s">
        <v>100</v>
      </c>
      <c r="P804" s="2" t="str">
        <f>"2170583980                    "</f>
        <v xml:space="preserve">2170583980 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3.13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4.4000000000000004</v>
      </c>
      <c r="BJ804" s="2">
        <v>5.8</v>
      </c>
      <c r="BK804" s="2">
        <v>6</v>
      </c>
      <c r="BL804" s="2">
        <v>32.380000000000003</v>
      </c>
      <c r="BM804" s="2">
        <v>4.53</v>
      </c>
      <c r="BN804" s="2">
        <v>36.909999999999997</v>
      </c>
      <c r="BO804" s="2">
        <v>36.909999999999997</v>
      </c>
      <c r="BP804" s="2" t="s">
        <v>101</v>
      </c>
      <c r="BQ804" s="2" t="s">
        <v>288</v>
      </c>
      <c r="BR804" s="2" t="s">
        <v>84</v>
      </c>
      <c r="BS804" s="3">
        <v>42957</v>
      </c>
      <c r="BT804" s="4">
        <v>0.3611111111111111</v>
      </c>
      <c r="BU804" s="2" t="s">
        <v>1486</v>
      </c>
      <c r="BV804" s="2" t="s">
        <v>86</v>
      </c>
      <c r="BW804" s="2" t="s">
        <v>1007</v>
      </c>
      <c r="BX804" s="2" t="s">
        <v>1452</v>
      </c>
      <c r="BY804" s="2">
        <v>28813.96</v>
      </c>
      <c r="BZ804" s="2"/>
      <c r="CA804" s="2" t="s">
        <v>331</v>
      </c>
      <c r="CB804" s="2"/>
      <c r="CC804" s="2" t="s">
        <v>75</v>
      </c>
      <c r="CD804" s="2">
        <v>1600</v>
      </c>
      <c r="CE804" s="2" t="s">
        <v>996</v>
      </c>
      <c r="CF804" s="5">
        <v>42958</v>
      </c>
      <c r="CG804" s="2"/>
      <c r="CH804" s="2"/>
      <c r="CI804" s="2">
        <v>1</v>
      </c>
      <c r="CJ804" s="2">
        <v>2</v>
      </c>
      <c r="CK804" s="2">
        <v>22</v>
      </c>
      <c r="CL804" s="2" t="s">
        <v>86</v>
      </c>
      <c r="CM804" s="2"/>
    </row>
    <row r="805" spans="1:91">
      <c r="A805" s="2" t="s">
        <v>71</v>
      </c>
      <c r="B805" s="2" t="s">
        <v>72</v>
      </c>
      <c r="C805" s="2" t="s">
        <v>73</v>
      </c>
      <c r="D805" s="2"/>
      <c r="E805" s="2" t="str">
        <f>"RFES1162566848"</f>
        <v>RFES1162566848</v>
      </c>
      <c r="F805" s="3">
        <v>42955</v>
      </c>
      <c r="G805" s="2">
        <v>201802</v>
      </c>
      <c r="H805" s="2" t="s">
        <v>1487</v>
      </c>
      <c r="I805" s="2" t="s">
        <v>1488</v>
      </c>
      <c r="J805" s="2" t="s">
        <v>1489</v>
      </c>
      <c r="K805" s="2" t="s">
        <v>77</v>
      </c>
      <c r="L805" s="2" t="s">
        <v>74</v>
      </c>
      <c r="M805" s="2" t="s">
        <v>75</v>
      </c>
      <c r="N805" s="2" t="s">
        <v>76</v>
      </c>
      <c r="O805" s="2" t="s">
        <v>100</v>
      </c>
      <c r="P805" s="2" t="str">
        <f>"2170575534                    "</f>
        <v xml:space="preserve">2170575534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5.63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1</v>
      </c>
      <c r="BJ805" s="2">
        <v>1.4</v>
      </c>
      <c r="BK805" s="2">
        <v>1.5</v>
      </c>
      <c r="BL805" s="2">
        <v>58.28</v>
      </c>
      <c r="BM805" s="2">
        <v>8.16</v>
      </c>
      <c r="BN805" s="2">
        <v>66.44</v>
      </c>
      <c r="BO805" s="2">
        <v>66.44</v>
      </c>
      <c r="BP805" s="2"/>
      <c r="BQ805" s="2" t="s">
        <v>84</v>
      </c>
      <c r="BR805" s="2" t="s">
        <v>83</v>
      </c>
      <c r="BS805" s="3">
        <v>42958</v>
      </c>
      <c r="BT805" s="4">
        <v>0.4826388888888889</v>
      </c>
      <c r="BU805" s="2" t="s">
        <v>1049</v>
      </c>
      <c r="BV805" s="2" t="s">
        <v>86</v>
      </c>
      <c r="BW805" s="2" t="s">
        <v>124</v>
      </c>
      <c r="BX805" s="2" t="s">
        <v>327</v>
      </c>
      <c r="BY805" s="2">
        <v>7105.39</v>
      </c>
      <c r="BZ805" s="2" t="s">
        <v>27</v>
      </c>
      <c r="CA805" s="2" t="s">
        <v>328</v>
      </c>
      <c r="CB805" s="2"/>
      <c r="CC805" s="2" t="s">
        <v>75</v>
      </c>
      <c r="CD805" s="2">
        <v>1600</v>
      </c>
      <c r="CE805" s="2" t="s">
        <v>104</v>
      </c>
      <c r="CF805" s="5">
        <v>42961</v>
      </c>
      <c r="CG805" s="2"/>
      <c r="CH805" s="2"/>
      <c r="CI805" s="2">
        <v>1</v>
      </c>
      <c r="CJ805" s="2">
        <v>1</v>
      </c>
      <c r="CK805" s="2">
        <v>24</v>
      </c>
      <c r="CL805" s="2" t="s">
        <v>86</v>
      </c>
      <c r="CM805" s="2"/>
    </row>
    <row r="806" spans="1:91">
      <c r="A806" s="2" t="s">
        <v>71</v>
      </c>
      <c r="B806" s="2" t="s">
        <v>72</v>
      </c>
      <c r="C806" s="2" t="s">
        <v>73</v>
      </c>
      <c r="D806" s="2"/>
      <c r="E806" s="2" t="str">
        <f>"FES1162567799"</f>
        <v>FES1162567799</v>
      </c>
      <c r="F806" s="3">
        <v>42955</v>
      </c>
      <c r="G806" s="2">
        <v>201802</v>
      </c>
      <c r="H806" s="2" t="s">
        <v>74</v>
      </c>
      <c r="I806" s="2" t="s">
        <v>75</v>
      </c>
      <c r="J806" s="2" t="s">
        <v>76</v>
      </c>
      <c r="K806" s="2" t="s">
        <v>77</v>
      </c>
      <c r="L806" s="2" t="s">
        <v>105</v>
      </c>
      <c r="M806" s="2" t="s">
        <v>106</v>
      </c>
      <c r="N806" s="2" t="s">
        <v>397</v>
      </c>
      <c r="O806" s="2" t="s">
        <v>100</v>
      </c>
      <c r="P806" s="2" t="str">
        <f>"2170583948                    "</f>
        <v xml:space="preserve">2170583948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4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1</v>
      </c>
      <c r="BJ806" s="2">
        <v>0.2</v>
      </c>
      <c r="BK806" s="2">
        <v>1</v>
      </c>
      <c r="BL806" s="2">
        <v>41.44</v>
      </c>
      <c r="BM806" s="2">
        <v>5.8</v>
      </c>
      <c r="BN806" s="2">
        <v>47.24</v>
      </c>
      <c r="BO806" s="2">
        <v>47.24</v>
      </c>
      <c r="BP806" s="2" t="s">
        <v>101</v>
      </c>
      <c r="BQ806" s="2" t="s">
        <v>83</v>
      </c>
      <c r="BR806" s="2" t="s">
        <v>84</v>
      </c>
      <c r="BS806" s="3">
        <v>42957</v>
      </c>
      <c r="BT806" s="4">
        <v>0.36458333333333331</v>
      </c>
      <c r="BU806" s="2" t="s">
        <v>408</v>
      </c>
      <c r="BV806" s="2" t="s">
        <v>86</v>
      </c>
      <c r="BW806" s="2" t="s">
        <v>110</v>
      </c>
      <c r="BX806" s="2" t="s">
        <v>111</v>
      </c>
      <c r="BY806" s="2">
        <v>1200</v>
      </c>
      <c r="BZ806" s="2"/>
      <c r="CA806" s="2" t="s">
        <v>112</v>
      </c>
      <c r="CB806" s="2"/>
      <c r="CC806" s="2" t="s">
        <v>106</v>
      </c>
      <c r="CD806" s="2">
        <v>7405</v>
      </c>
      <c r="CE806" s="2" t="s">
        <v>104</v>
      </c>
      <c r="CF806" s="5">
        <v>42958</v>
      </c>
      <c r="CG806" s="2"/>
      <c r="CH806" s="2"/>
      <c r="CI806" s="2">
        <v>1</v>
      </c>
      <c r="CJ806" s="2">
        <v>2</v>
      </c>
      <c r="CK806" s="2">
        <v>21</v>
      </c>
      <c r="CL806" s="2" t="s">
        <v>86</v>
      </c>
      <c r="CM806" s="2"/>
    </row>
    <row r="807" spans="1:91">
      <c r="A807" s="2" t="s">
        <v>71</v>
      </c>
      <c r="B807" s="2" t="s">
        <v>72</v>
      </c>
      <c r="C807" s="2" t="s">
        <v>73</v>
      </c>
      <c r="D807" s="2"/>
      <c r="E807" s="2" t="str">
        <f>"FES1162567769"</f>
        <v>FES1162567769</v>
      </c>
      <c r="F807" s="3">
        <v>42955</v>
      </c>
      <c r="G807" s="2">
        <v>201802</v>
      </c>
      <c r="H807" s="2" t="s">
        <v>74</v>
      </c>
      <c r="I807" s="2" t="s">
        <v>75</v>
      </c>
      <c r="J807" s="2" t="s">
        <v>76</v>
      </c>
      <c r="K807" s="2" t="s">
        <v>77</v>
      </c>
      <c r="L807" s="2" t="s">
        <v>105</v>
      </c>
      <c r="M807" s="2" t="s">
        <v>106</v>
      </c>
      <c r="N807" s="2" t="s">
        <v>873</v>
      </c>
      <c r="O807" s="2" t="s">
        <v>100</v>
      </c>
      <c r="P807" s="2" t="str">
        <f>"2170583913                    "</f>
        <v xml:space="preserve">2170583913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4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1.4</v>
      </c>
      <c r="BJ807" s="2">
        <v>0.8</v>
      </c>
      <c r="BK807" s="2">
        <v>1.5</v>
      </c>
      <c r="BL807" s="2">
        <v>41.44</v>
      </c>
      <c r="BM807" s="2">
        <v>5.8</v>
      </c>
      <c r="BN807" s="2">
        <v>47.24</v>
      </c>
      <c r="BO807" s="2">
        <v>47.24</v>
      </c>
      <c r="BP807" s="2" t="s">
        <v>101</v>
      </c>
      <c r="BQ807" s="2" t="s">
        <v>83</v>
      </c>
      <c r="BR807" s="2" t="s">
        <v>84</v>
      </c>
      <c r="BS807" s="3">
        <v>42957</v>
      </c>
      <c r="BT807" s="4">
        <v>0.37291666666666662</v>
      </c>
      <c r="BU807" s="2" t="s">
        <v>1490</v>
      </c>
      <c r="BV807" s="2" t="s">
        <v>86</v>
      </c>
      <c r="BW807" s="2" t="s">
        <v>110</v>
      </c>
      <c r="BX807" s="2" t="s">
        <v>111</v>
      </c>
      <c r="BY807" s="2">
        <v>3971.2</v>
      </c>
      <c r="BZ807" s="2"/>
      <c r="CA807" s="2" t="s">
        <v>869</v>
      </c>
      <c r="CB807" s="2"/>
      <c r="CC807" s="2" t="s">
        <v>106</v>
      </c>
      <c r="CD807" s="2">
        <v>7460</v>
      </c>
      <c r="CE807" s="2" t="s">
        <v>89</v>
      </c>
      <c r="CF807" s="5">
        <v>42958</v>
      </c>
      <c r="CG807" s="2"/>
      <c r="CH807" s="2"/>
      <c r="CI807" s="2">
        <v>1</v>
      </c>
      <c r="CJ807" s="2">
        <v>2</v>
      </c>
      <c r="CK807" s="2">
        <v>21</v>
      </c>
      <c r="CL807" s="2" t="s">
        <v>86</v>
      </c>
      <c r="CM807" s="2"/>
    </row>
    <row r="808" spans="1:91">
      <c r="A808" s="2" t="s">
        <v>71</v>
      </c>
      <c r="B808" s="2" t="s">
        <v>72</v>
      </c>
      <c r="C808" s="2" t="s">
        <v>73</v>
      </c>
      <c r="D808" s="2"/>
      <c r="E808" s="2" t="str">
        <f>"FES1162567836"</f>
        <v>FES1162567836</v>
      </c>
      <c r="F808" s="3">
        <v>42955</v>
      </c>
      <c r="G808" s="2">
        <v>201802</v>
      </c>
      <c r="H808" s="2" t="s">
        <v>74</v>
      </c>
      <c r="I808" s="2" t="s">
        <v>75</v>
      </c>
      <c r="J808" s="2" t="s">
        <v>76</v>
      </c>
      <c r="K808" s="2" t="s">
        <v>77</v>
      </c>
      <c r="L808" s="2" t="s">
        <v>105</v>
      </c>
      <c r="M808" s="2" t="s">
        <v>106</v>
      </c>
      <c r="N808" s="2" t="s">
        <v>253</v>
      </c>
      <c r="O808" s="2" t="s">
        <v>100</v>
      </c>
      <c r="P808" s="2" t="str">
        <f>"2170583995                    "</f>
        <v xml:space="preserve">2170583995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4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1</v>
      </c>
      <c r="BJ808" s="2">
        <v>0.2</v>
      </c>
      <c r="BK808" s="2">
        <v>1</v>
      </c>
      <c r="BL808" s="2">
        <v>41.44</v>
      </c>
      <c r="BM808" s="2">
        <v>5.8</v>
      </c>
      <c r="BN808" s="2">
        <v>47.24</v>
      </c>
      <c r="BO808" s="2">
        <v>47.24</v>
      </c>
      <c r="BP808" s="2" t="s">
        <v>101</v>
      </c>
      <c r="BQ808" s="2" t="s">
        <v>108</v>
      </c>
      <c r="BR808" s="2" t="s">
        <v>84</v>
      </c>
      <c r="BS808" s="3">
        <v>42957</v>
      </c>
      <c r="BT808" s="4">
        <v>0.44791666666666669</v>
      </c>
      <c r="BU808" s="2" t="s">
        <v>1074</v>
      </c>
      <c r="BV808" s="2" t="s">
        <v>86</v>
      </c>
      <c r="BW808" s="2" t="s">
        <v>115</v>
      </c>
      <c r="BX808" s="2" t="s">
        <v>116</v>
      </c>
      <c r="BY808" s="2">
        <v>1200</v>
      </c>
      <c r="BZ808" s="2"/>
      <c r="CA808" s="2" t="s">
        <v>654</v>
      </c>
      <c r="CB808" s="2"/>
      <c r="CC808" s="2" t="s">
        <v>106</v>
      </c>
      <c r="CD808" s="2">
        <v>7490</v>
      </c>
      <c r="CE808" s="2" t="s">
        <v>104</v>
      </c>
      <c r="CF808" s="5">
        <v>42958</v>
      </c>
      <c r="CG808" s="2"/>
      <c r="CH808" s="2"/>
      <c r="CI808" s="2">
        <v>1</v>
      </c>
      <c r="CJ808" s="2">
        <v>2</v>
      </c>
      <c r="CK808" s="2">
        <v>21</v>
      </c>
      <c r="CL808" s="2" t="s">
        <v>86</v>
      </c>
      <c r="CM808" s="2"/>
    </row>
    <row r="809" spans="1:91">
      <c r="A809" s="2" t="s">
        <v>71</v>
      </c>
      <c r="B809" s="2" t="s">
        <v>72</v>
      </c>
      <c r="C809" s="2" t="s">
        <v>73</v>
      </c>
      <c r="D809" s="2"/>
      <c r="E809" s="2" t="str">
        <f>"FES1162567815"</f>
        <v>FES1162567815</v>
      </c>
      <c r="F809" s="3">
        <v>42955</v>
      </c>
      <c r="G809" s="2">
        <v>201802</v>
      </c>
      <c r="H809" s="2" t="s">
        <v>74</v>
      </c>
      <c r="I809" s="2" t="s">
        <v>75</v>
      </c>
      <c r="J809" s="2" t="s">
        <v>76</v>
      </c>
      <c r="K809" s="2" t="s">
        <v>77</v>
      </c>
      <c r="L809" s="2" t="s">
        <v>105</v>
      </c>
      <c r="M809" s="2" t="s">
        <v>106</v>
      </c>
      <c r="N809" s="2" t="s">
        <v>1491</v>
      </c>
      <c r="O809" s="2" t="s">
        <v>100</v>
      </c>
      <c r="P809" s="2" t="str">
        <f>"2170583976                    "</f>
        <v xml:space="preserve">2170583976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7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1</v>
      </c>
      <c r="BJ809" s="2">
        <v>3.4</v>
      </c>
      <c r="BK809" s="2">
        <v>3.5</v>
      </c>
      <c r="BL809" s="2">
        <v>72.52</v>
      </c>
      <c r="BM809" s="2">
        <v>10.15</v>
      </c>
      <c r="BN809" s="2">
        <v>82.67</v>
      </c>
      <c r="BO809" s="2">
        <v>82.67</v>
      </c>
      <c r="BP809" s="2" t="s">
        <v>101</v>
      </c>
      <c r="BQ809" s="2" t="s">
        <v>1492</v>
      </c>
      <c r="BR809" s="2" t="s">
        <v>84</v>
      </c>
      <c r="BS809" s="3">
        <v>42957</v>
      </c>
      <c r="BT809" s="4">
        <v>0.44791666666666669</v>
      </c>
      <c r="BU809" s="2" t="s">
        <v>1074</v>
      </c>
      <c r="BV809" s="2" t="s">
        <v>86</v>
      </c>
      <c r="BW809" s="2" t="s">
        <v>115</v>
      </c>
      <c r="BX809" s="2" t="s">
        <v>116</v>
      </c>
      <c r="BY809" s="2">
        <v>17048.72</v>
      </c>
      <c r="BZ809" s="2"/>
      <c r="CA809" s="2" t="s">
        <v>654</v>
      </c>
      <c r="CB809" s="2"/>
      <c r="CC809" s="2" t="s">
        <v>106</v>
      </c>
      <c r="CD809" s="2">
        <v>7490</v>
      </c>
      <c r="CE809" s="2" t="s">
        <v>996</v>
      </c>
      <c r="CF809" s="5">
        <v>42958</v>
      </c>
      <c r="CG809" s="2"/>
      <c r="CH809" s="2"/>
      <c r="CI809" s="2">
        <v>1</v>
      </c>
      <c r="CJ809" s="2">
        <v>2</v>
      </c>
      <c r="CK809" s="2">
        <v>21</v>
      </c>
      <c r="CL809" s="2" t="s">
        <v>86</v>
      </c>
      <c r="CM809" s="2"/>
    </row>
    <row r="810" spans="1:91">
      <c r="A810" s="2" t="s">
        <v>71</v>
      </c>
      <c r="B810" s="2" t="s">
        <v>72</v>
      </c>
      <c r="C810" s="2" t="s">
        <v>73</v>
      </c>
      <c r="D810" s="2"/>
      <c r="E810" s="2" t="str">
        <f>"FES1162567768"</f>
        <v>FES1162567768</v>
      </c>
      <c r="F810" s="3">
        <v>42955</v>
      </c>
      <c r="G810" s="2">
        <v>201802</v>
      </c>
      <c r="H810" s="2" t="s">
        <v>74</v>
      </c>
      <c r="I810" s="2" t="s">
        <v>75</v>
      </c>
      <c r="J810" s="2" t="s">
        <v>76</v>
      </c>
      <c r="K810" s="2" t="s">
        <v>77</v>
      </c>
      <c r="L810" s="2" t="s">
        <v>417</v>
      </c>
      <c r="M810" s="2" t="s">
        <v>417</v>
      </c>
      <c r="N810" s="2" t="s">
        <v>458</v>
      </c>
      <c r="O810" s="2" t="s">
        <v>100</v>
      </c>
      <c r="P810" s="2" t="str">
        <f>"2170583910                    "</f>
        <v xml:space="preserve">2170583910 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5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2.2999999999999998</v>
      </c>
      <c r="BJ810" s="2">
        <v>1.4</v>
      </c>
      <c r="BK810" s="2">
        <v>2.5</v>
      </c>
      <c r="BL810" s="2">
        <v>51.8</v>
      </c>
      <c r="BM810" s="2">
        <v>7.25</v>
      </c>
      <c r="BN810" s="2">
        <v>59.05</v>
      </c>
      <c r="BO810" s="2">
        <v>59.05</v>
      </c>
      <c r="BP810" s="2" t="s">
        <v>101</v>
      </c>
      <c r="BQ810" s="2" t="s">
        <v>83</v>
      </c>
      <c r="BR810" s="2" t="s">
        <v>84</v>
      </c>
      <c r="BS810" s="3">
        <v>42957</v>
      </c>
      <c r="BT810" s="4">
        <v>0.57291666666666663</v>
      </c>
      <c r="BU810" s="2" t="s">
        <v>1082</v>
      </c>
      <c r="BV810" s="2" t="s">
        <v>86</v>
      </c>
      <c r="BW810" s="2" t="s">
        <v>336</v>
      </c>
      <c r="BX810" s="2" t="s">
        <v>116</v>
      </c>
      <c r="BY810" s="2">
        <v>7015.33</v>
      </c>
      <c r="BZ810" s="2"/>
      <c r="CA810" s="2" t="s">
        <v>148</v>
      </c>
      <c r="CB810" s="2"/>
      <c r="CC810" s="2" t="s">
        <v>417</v>
      </c>
      <c r="CD810" s="2">
        <v>7646</v>
      </c>
      <c r="CE810" s="2" t="s">
        <v>89</v>
      </c>
      <c r="CF810" s="5">
        <v>42957</v>
      </c>
      <c r="CG810" s="2"/>
      <c r="CH810" s="2"/>
      <c r="CI810" s="2">
        <v>1</v>
      </c>
      <c r="CJ810" s="2">
        <v>2</v>
      </c>
      <c r="CK810" s="2">
        <v>21</v>
      </c>
      <c r="CL810" s="2" t="s">
        <v>86</v>
      </c>
      <c r="CM810" s="2"/>
    </row>
    <row r="811" spans="1:91">
      <c r="A811" s="2" t="s">
        <v>71</v>
      </c>
      <c r="B811" s="2" t="s">
        <v>72</v>
      </c>
      <c r="C811" s="2" t="s">
        <v>73</v>
      </c>
      <c r="D811" s="2"/>
      <c r="E811" s="2" t="str">
        <f>"FES1162567716"</f>
        <v>FES1162567716</v>
      </c>
      <c r="F811" s="3">
        <v>42955</v>
      </c>
      <c r="G811" s="2">
        <v>201802</v>
      </c>
      <c r="H811" s="2" t="s">
        <v>74</v>
      </c>
      <c r="I811" s="2" t="s">
        <v>75</v>
      </c>
      <c r="J811" s="2" t="s">
        <v>76</v>
      </c>
      <c r="K811" s="2" t="s">
        <v>77</v>
      </c>
      <c r="L811" s="2" t="s">
        <v>201</v>
      </c>
      <c r="M811" s="2" t="s">
        <v>202</v>
      </c>
      <c r="N811" s="2" t="s">
        <v>409</v>
      </c>
      <c r="O811" s="2" t="s">
        <v>100</v>
      </c>
      <c r="P811" s="2" t="str">
        <f>"2170583850                    "</f>
        <v xml:space="preserve">2170583850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9.01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2</v>
      </c>
      <c r="BI811" s="2">
        <v>4.4000000000000004</v>
      </c>
      <c r="BJ811" s="2">
        <v>2.6</v>
      </c>
      <c r="BK811" s="2">
        <v>4.5</v>
      </c>
      <c r="BL811" s="2">
        <v>93.25</v>
      </c>
      <c r="BM811" s="2">
        <v>13.06</v>
      </c>
      <c r="BN811" s="2">
        <v>106.31</v>
      </c>
      <c r="BO811" s="2">
        <v>106.31</v>
      </c>
      <c r="BP811" s="2" t="s">
        <v>101</v>
      </c>
      <c r="BQ811" s="2" t="s">
        <v>485</v>
      </c>
      <c r="BR811" s="2" t="s">
        <v>84</v>
      </c>
      <c r="BS811" s="3">
        <v>42957</v>
      </c>
      <c r="BT811" s="4">
        <v>0.46527777777777773</v>
      </c>
      <c r="BU811" s="2" t="s">
        <v>855</v>
      </c>
      <c r="BV811" s="2" t="s">
        <v>86</v>
      </c>
      <c r="BW811" s="2" t="s">
        <v>110</v>
      </c>
      <c r="BX811" s="2" t="s">
        <v>537</v>
      </c>
      <c r="BY811" s="2">
        <v>13117.2</v>
      </c>
      <c r="BZ811" s="2"/>
      <c r="CA811" s="2" t="s">
        <v>1493</v>
      </c>
      <c r="CB811" s="2"/>
      <c r="CC811" s="2" t="s">
        <v>202</v>
      </c>
      <c r="CD811" s="2">
        <v>7130</v>
      </c>
      <c r="CE811" s="2" t="s">
        <v>89</v>
      </c>
      <c r="CF811" s="5">
        <v>42957</v>
      </c>
      <c r="CG811" s="2"/>
      <c r="CH811" s="2"/>
      <c r="CI811" s="2">
        <v>1</v>
      </c>
      <c r="CJ811" s="2">
        <v>2</v>
      </c>
      <c r="CK811" s="2">
        <v>21</v>
      </c>
      <c r="CL811" s="2" t="s">
        <v>86</v>
      </c>
      <c r="CM811" s="2"/>
    </row>
    <row r="812" spans="1:91">
      <c r="A812" s="2" t="s">
        <v>71</v>
      </c>
      <c r="B812" s="2" t="s">
        <v>72</v>
      </c>
      <c r="C812" s="2" t="s">
        <v>73</v>
      </c>
      <c r="D812" s="2"/>
      <c r="E812" s="2" t="str">
        <f>"FES1162567788"</f>
        <v>FES1162567788</v>
      </c>
      <c r="F812" s="3">
        <v>42955</v>
      </c>
      <c r="G812" s="2">
        <v>201802</v>
      </c>
      <c r="H812" s="2" t="s">
        <v>74</v>
      </c>
      <c r="I812" s="2" t="s">
        <v>75</v>
      </c>
      <c r="J812" s="2" t="s">
        <v>76</v>
      </c>
      <c r="K812" s="2" t="s">
        <v>77</v>
      </c>
      <c r="L812" s="2" t="s">
        <v>170</v>
      </c>
      <c r="M812" s="2" t="s">
        <v>171</v>
      </c>
      <c r="N812" s="2" t="s">
        <v>1126</v>
      </c>
      <c r="O812" s="2" t="s">
        <v>100</v>
      </c>
      <c r="P812" s="2" t="str">
        <f>"2170583934                    "</f>
        <v xml:space="preserve">2170583934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3.13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1</v>
      </c>
      <c r="BJ812" s="2">
        <v>0.2</v>
      </c>
      <c r="BK812" s="2">
        <v>1</v>
      </c>
      <c r="BL812" s="2">
        <v>32.380000000000003</v>
      </c>
      <c r="BM812" s="2">
        <v>4.53</v>
      </c>
      <c r="BN812" s="2">
        <v>36.909999999999997</v>
      </c>
      <c r="BO812" s="2">
        <v>36.909999999999997</v>
      </c>
      <c r="BP812" s="2"/>
      <c r="BQ812" s="2" t="s">
        <v>288</v>
      </c>
      <c r="BR812" s="2" t="s">
        <v>84</v>
      </c>
      <c r="BS812" s="3">
        <v>42957</v>
      </c>
      <c r="BT812" s="4">
        <v>0.41666666666666669</v>
      </c>
      <c r="BU812" s="2" t="s">
        <v>1494</v>
      </c>
      <c r="BV812" s="2" t="s">
        <v>86</v>
      </c>
      <c r="BW812" s="2" t="s">
        <v>124</v>
      </c>
      <c r="BX812" s="2" t="s">
        <v>327</v>
      </c>
      <c r="BY812" s="2">
        <v>1200</v>
      </c>
      <c r="BZ812" s="2"/>
      <c r="CA812" s="2"/>
      <c r="CB812" s="2"/>
      <c r="CC812" s="2" t="s">
        <v>171</v>
      </c>
      <c r="CD812" s="2">
        <v>1422</v>
      </c>
      <c r="CE812" s="2" t="s">
        <v>104</v>
      </c>
      <c r="CF812" s="5">
        <v>42958</v>
      </c>
      <c r="CG812" s="2"/>
      <c r="CH812" s="2"/>
      <c r="CI812" s="2">
        <v>1</v>
      </c>
      <c r="CJ812" s="2">
        <v>2</v>
      </c>
      <c r="CK812" s="2">
        <v>22</v>
      </c>
      <c r="CL812" s="2" t="s">
        <v>86</v>
      </c>
      <c r="CM812" s="2"/>
    </row>
    <row r="813" spans="1:91">
      <c r="A813" s="2" t="s">
        <v>71</v>
      </c>
      <c r="B813" s="2" t="s">
        <v>72</v>
      </c>
      <c r="C813" s="2" t="s">
        <v>73</v>
      </c>
      <c r="D813" s="2"/>
      <c r="E813" s="2" t="str">
        <f>"FES1162567720"</f>
        <v>FES1162567720</v>
      </c>
      <c r="F813" s="3">
        <v>42955</v>
      </c>
      <c r="G813" s="2">
        <v>201802</v>
      </c>
      <c r="H813" s="2" t="s">
        <v>74</v>
      </c>
      <c r="I813" s="2" t="s">
        <v>75</v>
      </c>
      <c r="J813" s="2" t="s">
        <v>76</v>
      </c>
      <c r="K813" s="2" t="s">
        <v>77</v>
      </c>
      <c r="L813" s="2" t="s">
        <v>97</v>
      </c>
      <c r="M813" s="2" t="s">
        <v>98</v>
      </c>
      <c r="N813" s="2" t="s">
        <v>99</v>
      </c>
      <c r="O813" s="2" t="s">
        <v>100</v>
      </c>
      <c r="P813" s="2" t="str">
        <f>"2170583856                    "</f>
        <v xml:space="preserve">2170583856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4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1.4</v>
      </c>
      <c r="BJ813" s="2">
        <v>1</v>
      </c>
      <c r="BK813" s="2">
        <v>1.5</v>
      </c>
      <c r="BL813" s="2">
        <v>41.44</v>
      </c>
      <c r="BM813" s="2">
        <v>5.8</v>
      </c>
      <c r="BN813" s="2">
        <v>47.24</v>
      </c>
      <c r="BO813" s="2">
        <v>47.24</v>
      </c>
      <c r="BP813" s="2" t="s">
        <v>101</v>
      </c>
      <c r="BQ813" s="2" t="s">
        <v>83</v>
      </c>
      <c r="BR813" s="2" t="s">
        <v>84</v>
      </c>
      <c r="BS813" s="3">
        <v>42957</v>
      </c>
      <c r="BT813" s="4">
        <v>0.35138888888888892</v>
      </c>
      <c r="BU813" s="2" t="s">
        <v>102</v>
      </c>
      <c r="BV813" s="2" t="s">
        <v>86</v>
      </c>
      <c r="BW813" s="2"/>
      <c r="BX813" s="2"/>
      <c r="BY813" s="2">
        <v>5137.8999999999996</v>
      </c>
      <c r="BZ813" s="2"/>
      <c r="CA813" s="2" t="s">
        <v>103</v>
      </c>
      <c r="CB813" s="2"/>
      <c r="CC813" s="2" t="s">
        <v>98</v>
      </c>
      <c r="CD813" s="2">
        <v>6210</v>
      </c>
      <c r="CE813" s="2" t="s">
        <v>89</v>
      </c>
      <c r="CF813" s="5">
        <v>42958</v>
      </c>
      <c r="CG813" s="2"/>
      <c r="CH813" s="2"/>
      <c r="CI813" s="2">
        <v>1</v>
      </c>
      <c r="CJ813" s="2">
        <v>2</v>
      </c>
      <c r="CK813" s="2">
        <v>21</v>
      </c>
      <c r="CL813" s="2" t="s">
        <v>86</v>
      </c>
      <c r="CM813" s="2"/>
    </row>
    <row r="814" spans="1:91">
      <c r="A814" s="2" t="s">
        <v>71</v>
      </c>
      <c r="B814" s="2" t="s">
        <v>72</v>
      </c>
      <c r="C814" s="2" t="s">
        <v>73</v>
      </c>
      <c r="D814" s="2"/>
      <c r="E814" s="2" t="str">
        <f>"FES1162567798"</f>
        <v>FES1162567798</v>
      </c>
      <c r="F814" s="3">
        <v>42955</v>
      </c>
      <c r="G814" s="2">
        <v>201802</v>
      </c>
      <c r="H814" s="2" t="s">
        <v>74</v>
      </c>
      <c r="I814" s="2" t="s">
        <v>75</v>
      </c>
      <c r="J814" s="2" t="s">
        <v>76</v>
      </c>
      <c r="K814" s="2" t="s">
        <v>77</v>
      </c>
      <c r="L814" s="2" t="s">
        <v>97</v>
      </c>
      <c r="M814" s="2" t="s">
        <v>98</v>
      </c>
      <c r="N814" s="2" t="s">
        <v>1495</v>
      </c>
      <c r="O814" s="2" t="s">
        <v>100</v>
      </c>
      <c r="P814" s="2" t="str">
        <f>"2170583947                    "</f>
        <v xml:space="preserve">2170583947                 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4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1</v>
      </c>
      <c r="BJ814" s="2">
        <v>0.2</v>
      </c>
      <c r="BK814" s="2">
        <v>1</v>
      </c>
      <c r="BL814" s="2">
        <v>41.44</v>
      </c>
      <c r="BM814" s="2">
        <v>5.8</v>
      </c>
      <c r="BN814" s="2">
        <v>47.24</v>
      </c>
      <c r="BO814" s="2">
        <v>47.24</v>
      </c>
      <c r="BP814" s="2" t="s">
        <v>101</v>
      </c>
      <c r="BQ814" s="2" t="s">
        <v>1496</v>
      </c>
      <c r="BR814" s="2" t="s">
        <v>84</v>
      </c>
      <c r="BS814" s="3">
        <v>42957</v>
      </c>
      <c r="BT814" s="4">
        <v>0.4284722222222222</v>
      </c>
      <c r="BU814" s="2" t="s">
        <v>1497</v>
      </c>
      <c r="BV814" s="2" t="s">
        <v>86</v>
      </c>
      <c r="BW814" s="2"/>
      <c r="BX814" s="2"/>
      <c r="BY814" s="2">
        <v>1200</v>
      </c>
      <c r="BZ814" s="2"/>
      <c r="CA814" s="2" t="s">
        <v>213</v>
      </c>
      <c r="CB814" s="2"/>
      <c r="CC814" s="2" t="s">
        <v>98</v>
      </c>
      <c r="CD814" s="2">
        <v>6001</v>
      </c>
      <c r="CE814" s="2" t="s">
        <v>104</v>
      </c>
      <c r="CF814" s="5">
        <v>42958</v>
      </c>
      <c r="CG814" s="2"/>
      <c r="CH814" s="2"/>
      <c r="CI814" s="2">
        <v>1</v>
      </c>
      <c r="CJ814" s="2">
        <v>2</v>
      </c>
      <c r="CK814" s="2">
        <v>21</v>
      </c>
      <c r="CL814" s="2" t="s">
        <v>86</v>
      </c>
      <c r="CM814" s="2"/>
    </row>
    <row r="815" spans="1:91">
      <c r="A815" s="2" t="s">
        <v>71</v>
      </c>
      <c r="B815" s="2" t="s">
        <v>72</v>
      </c>
      <c r="C815" s="2" t="s">
        <v>73</v>
      </c>
      <c r="D815" s="2"/>
      <c r="E815" s="2" t="str">
        <f>"FES1162567695"</f>
        <v>FES1162567695</v>
      </c>
      <c r="F815" s="3">
        <v>42955</v>
      </c>
      <c r="G815" s="2">
        <v>201802</v>
      </c>
      <c r="H815" s="2" t="s">
        <v>74</v>
      </c>
      <c r="I815" s="2" t="s">
        <v>75</v>
      </c>
      <c r="J815" s="2" t="s">
        <v>76</v>
      </c>
      <c r="K815" s="2" t="s">
        <v>77</v>
      </c>
      <c r="L815" s="2" t="s">
        <v>97</v>
      </c>
      <c r="M815" s="2" t="s">
        <v>98</v>
      </c>
      <c r="N815" s="2" t="s">
        <v>391</v>
      </c>
      <c r="O815" s="2" t="s">
        <v>100</v>
      </c>
      <c r="P815" s="2" t="str">
        <f>"2170580508                    "</f>
        <v xml:space="preserve">2170580508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8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3</v>
      </c>
      <c r="BJ815" s="2">
        <v>3.9</v>
      </c>
      <c r="BK815" s="2">
        <v>4</v>
      </c>
      <c r="BL815" s="2">
        <v>82.88</v>
      </c>
      <c r="BM815" s="2">
        <v>11.6</v>
      </c>
      <c r="BN815" s="2">
        <v>94.48</v>
      </c>
      <c r="BO815" s="2">
        <v>94.48</v>
      </c>
      <c r="BP815" s="2" t="s">
        <v>101</v>
      </c>
      <c r="BQ815" s="2" t="s">
        <v>288</v>
      </c>
      <c r="BR815" s="2" t="s">
        <v>84</v>
      </c>
      <c r="BS815" s="3">
        <v>42957</v>
      </c>
      <c r="BT815" s="4">
        <v>0.38680555555555557</v>
      </c>
      <c r="BU815" s="2" t="s">
        <v>1498</v>
      </c>
      <c r="BV815" s="2" t="s">
        <v>86</v>
      </c>
      <c r="BW815" s="2"/>
      <c r="BX815" s="2"/>
      <c r="BY815" s="2">
        <v>19743.75</v>
      </c>
      <c r="BZ815" s="2"/>
      <c r="CA815" s="2" t="s">
        <v>148</v>
      </c>
      <c r="CB815" s="2"/>
      <c r="CC815" s="2" t="s">
        <v>98</v>
      </c>
      <c r="CD815" s="2">
        <v>6000</v>
      </c>
      <c r="CE815" s="2" t="s">
        <v>89</v>
      </c>
      <c r="CF815" s="5">
        <v>42958</v>
      </c>
      <c r="CG815" s="2"/>
      <c r="CH815" s="2"/>
      <c r="CI815" s="2">
        <v>1</v>
      </c>
      <c r="CJ815" s="2">
        <v>2</v>
      </c>
      <c r="CK815" s="2">
        <v>21</v>
      </c>
      <c r="CL815" s="2" t="s">
        <v>86</v>
      </c>
      <c r="CM815" s="2"/>
    </row>
    <row r="816" spans="1:91">
      <c r="A816" s="2" t="s">
        <v>71</v>
      </c>
      <c r="B816" s="2" t="s">
        <v>72</v>
      </c>
      <c r="C816" s="2" t="s">
        <v>73</v>
      </c>
      <c r="D816" s="2"/>
      <c r="E816" s="2" t="str">
        <f>"FES1162567784"</f>
        <v>FES1162567784</v>
      </c>
      <c r="F816" s="3">
        <v>42955</v>
      </c>
      <c r="G816" s="2">
        <v>201802</v>
      </c>
      <c r="H816" s="2" t="s">
        <v>74</v>
      </c>
      <c r="I816" s="2" t="s">
        <v>75</v>
      </c>
      <c r="J816" s="2" t="s">
        <v>76</v>
      </c>
      <c r="K816" s="2" t="s">
        <v>77</v>
      </c>
      <c r="L816" s="2" t="s">
        <v>170</v>
      </c>
      <c r="M816" s="2" t="s">
        <v>171</v>
      </c>
      <c r="N816" s="2" t="s">
        <v>1126</v>
      </c>
      <c r="O816" s="2" t="s">
        <v>100</v>
      </c>
      <c r="P816" s="2" t="str">
        <f>"2170583926                    "</f>
        <v xml:space="preserve">2170583926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3.13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1</v>
      </c>
      <c r="BJ816" s="2">
        <v>0.2</v>
      </c>
      <c r="BK816" s="2">
        <v>1</v>
      </c>
      <c r="BL816" s="2">
        <v>32.380000000000003</v>
      </c>
      <c r="BM816" s="2">
        <v>4.53</v>
      </c>
      <c r="BN816" s="2">
        <v>36.909999999999997</v>
      </c>
      <c r="BO816" s="2">
        <v>36.909999999999997</v>
      </c>
      <c r="BP816" s="2"/>
      <c r="BQ816" s="2" t="s">
        <v>288</v>
      </c>
      <c r="BR816" s="2" t="s">
        <v>84</v>
      </c>
      <c r="BS816" s="3">
        <v>42957</v>
      </c>
      <c r="BT816" s="4">
        <v>0.42152777777777778</v>
      </c>
      <c r="BU816" s="2" t="s">
        <v>1332</v>
      </c>
      <c r="BV816" s="2" t="s">
        <v>86</v>
      </c>
      <c r="BW816" s="2" t="s">
        <v>124</v>
      </c>
      <c r="BX816" s="2" t="s">
        <v>327</v>
      </c>
      <c r="BY816" s="2">
        <v>1200</v>
      </c>
      <c r="BZ816" s="2"/>
      <c r="CA816" s="2" t="s">
        <v>492</v>
      </c>
      <c r="CB816" s="2"/>
      <c r="CC816" s="2" t="s">
        <v>171</v>
      </c>
      <c r="CD816" s="2">
        <v>1422</v>
      </c>
      <c r="CE816" s="2" t="s">
        <v>104</v>
      </c>
      <c r="CF816" s="5">
        <v>42957</v>
      </c>
      <c r="CG816" s="2"/>
      <c r="CH816" s="2"/>
      <c r="CI816" s="2">
        <v>1</v>
      </c>
      <c r="CJ816" s="2">
        <v>2</v>
      </c>
      <c r="CK816" s="2">
        <v>22</v>
      </c>
      <c r="CL816" s="2" t="s">
        <v>86</v>
      </c>
      <c r="CM816" s="2"/>
    </row>
    <row r="817" spans="1:91">
      <c r="A817" s="2" t="s">
        <v>71</v>
      </c>
      <c r="B817" s="2" t="s">
        <v>72</v>
      </c>
      <c r="C817" s="2" t="s">
        <v>73</v>
      </c>
      <c r="D817" s="2"/>
      <c r="E817" s="2" t="str">
        <f>"FES1162567651"</f>
        <v>FES1162567651</v>
      </c>
      <c r="F817" s="3">
        <v>42955</v>
      </c>
      <c r="G817" s="2">
        <v>201802</v>
      </c>
      <c r="H817" s="2" t="s">
        <v>74</v>
      </c>
      <c r="I817" s="2" t="s">
        <v>75</v>
      </c>
      <c r="J817" s="2" t="s">
        <v>76</v>
      </c>
      <c r="K817" s="2" t="s">
        <v>77</v>
      </c>
      <c r="L817" s="2" t="s">
        <v>149</v>
      </c>
      <c r="M817" s="2" t="s">
        <v>150</v>
      </c>
      <c r="N817" s="2" t="s">
        <v>456</v>
      </c>
      <c r="O817" s="2" t="s">
        <v>100</v>
      </c>
      <c r="P817" s="2" t="str">
        <f>"2170583787                    "</f>
        <v xml:space="preserve">2170583787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4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1</v>
      </c>
      <c r="BJ817" s="2">
        <v>0.2</v>
      </c>
      <c r="BK817" s="2">
        <v>1</v>
      </c>
      <c r="BL817" s="2">
        <v>41.44</v>
      </c>
      <c r="BM817" s="2">
        <v>5.8</v>
      </c>
      <c r="BN817" s="2">
        <v>47.24</v>
      </c>
      <c r="BO817" s="2">
        <v>47.24</v>
      </c>
      <c r="BP817" s="2"/>
      <c r="BQ817" s="2" t="s">
        <v>83</v>
      </c>
      <c r="BR817" s="2" t="s">
        <v>84</v>
      </c>
      <c r="BS817" s="3">
        <v>42957</v>
      </c>
      <c r="BT817" s="4">
        <v>0.4375</v>
      </c>
      <c r="BU817" s="2" t="s">
        <v>1499</v>
      </c>
      <c r="BV817" s="2" t="s">
        <v>86</v>
      </c>
      <c r="BW817" s="2" t="s">
        <v>87</v>
      </c>
      <c r="BX817" s="2" t="s">
        <v>337</v>
      </c>
      <c r="BY817" s="2">
        <v>1200</v>
      </c>
      <c r="BZ817" s="2"/>
      <c r="CA817" s="2" t="s">
        <v>225</v>
      </c>
      <c r="CB817" s="2"/>
      <c r="CC817" s="2" t="s">
        <v>150</v>
      </c>
      <c r="CD817" s="2">
        <v>4068</v>
      </c>
      <c r="CE817" s="2" t="s">
        <v>104</v>
      </c>
      <c r="CF817" s="5">
        <v>42958</v>
      </c>
      <c r="CG817" s="2"/>
      <c r="CH817" s="2"/>
      <c r="CI817" s="2">
        <v>1</v>
      </c>
      <c r="CJ817" s="2">
        <v>2</v>
      </c>
      <c r="CK817" s="2">
        <v>21</v>
      </c>
      <c r="CL817" s="2" t="s">
        <v>86</v>
      </c>
      <c r="CM817" s="2"/>
    </row>
    <row r="818" spans="1:91">
      <c r="A818" s="2" t="s">
        <v>71</v>
      </c>
      <c r="B818" s="2" t="s">
        <v>72</v>
      </c>
      <c r="C818" s="2" t="s">
        <v>73</v>
      </c>
      <c r="D818" s="2"/>
      <c r="E818" s="2" t="str">
        <f>"FES1162567761"</f>
        <v>FES1162567761</v>
      </c>
      <c r="F818" s="3">
        <v>42955</v>
      </c>
      <c r="G818" s="2">
        <v>201802</v>
      </c>
      <c r="H818" s="2" t="s">
        <v>74</v>
      </c>
      <c r="I818" s="2" t="s">
        <v>75</v>
      </c>
      <c r="J818" s="2" t="s">
        <v>76</v>
      </c>
      <c r="K818" s="2" t="s">
        <v>77</v>
      </c>
      <c r="L818" s="2" t="s">
        <v>105</v>
      </c>
      <c r="M818" s="2" t="s">
        <v>106</v>
      </c>
      <c r="N818" s="2" t="s">
        <v>1143</v>
      </c>
      <c r="O818" s="2" t="s">
        <v>100</v>
      </c>
      <c r="P818" s="2" t="str">
        <f>"2170583903                    "</f>
        <v xml:space="preserve">2170583903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5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2.2000000000000002</v>
      </c>
      <c r="BJ818" s="2">
        <v>1.8</v>
      </c>
      <c r="BK818" s="2">
        <v>2.5</v>
      </c>
      <c r="BL818" s="2">
        <v>51.8</v>
      </c>
      <c r="BM818" s="2">
        <v>7.25</v>
      </c>
      <c r="BN818" s="2">
        <v>59.05</v>
      </c>
      <c r="BO818" s="2">
        <v>59.05</v>
      </c>
      <c r="BP818" s="2" t="s">
        <v>101</v>
      </c>
      <c r="BQ818" s="2" t="s">
        <v>108</v>
      </c>
      <c r="BR818" s="2" t="s">
        <v>84</v>
      </c>
      <c r="BS818" s="3">
        <v>42957</v>
      </c>
      <c r="BT818" s="4">
        <v>0.50902777777777775</v>
      </c>
      <c r="BU818" s="2" t="s">
        <v>1144</v>
      </c>
      <c r="BV818" s="2" t="s">
        <v>86</v>
      </c>
      <c r="BW818" s="2" t="s">
        <v>110</v>
      </c>
      <c r="BX818" s="2" t="s">
        <v>111</v>
      </c>
      <c r="BY818" s="2">
        <v>9246.64</v>
      </c>
      <c r="BZ818" s="2"/>
      <c r="CA818" s="2" t="s">
        <v>643</v>
      </c>
      <c r="CB818" s="2"/>
      <c r="CC818" s="2" t="s">
        <v>106</v>
      </c>
      <c r="CD818" s="2">
        <v>7925</v>
      </c>
      <c r="CE818" s="2" t="s">
        <v>89</v>
      </c>
      <c r="CF818" s="5">
        <v>42958</v>
      </c>
      <c r="CG818" s="2"/>
      <c r="CH818" s="2"/>
      <c r="CI818" s="2">
        <v>1</v>
      </c>
      <c r="CJ818" s="2">
        <v>2</v>
      </c>
      <c r="CK818" s="2">
        <v>21</v>
      </c>
      <c r="CL818" s="2" t="s">
        <v>86</v>
      </c>
      <c r="CM818" s="2"/>
    </row>
    <row r="819" spans="1:91">
      <c r="A819" s="2" t="s">
        <v>71</v>
      </c>
      <c r="B819" s="2" t="s">
        <v>72</v>
      </c>
      <c r="C819" s="2" t="s">
        <v>73</v>
      </c>
      <c r="D819" s="2"/>
      <c r="E819" s="2" t="str">
        <f>"FES1162567843"</f>
        <v>FES1162567843</v>
      </c>
      <c r="F819" s="3">
        <v>42955</v>
      </c>
      <c r="G819" s="2">
        <v>201802</v>
      </c>
      <c r="H819" s="2" t="s">
        <v>74</v>
      </c>
      <c r="I819" s="2" t="s">
        <v>75</v>
      </c>
      <c r="J819" s="2" t="s">
        <v>76</v>
      </c>
      <c r="K819" s="2" t="s">
        <v>77</v>
      </c>
      <c r="L819" s="2" t="s">
        <v>244</v>
      </c>
      <c r="M819" s="2" t="s">
        <v>245</v>
      </c>
      <c r="N819" s="2" t="s">
        <v>551</v>
      </c>
      <c r="O819" s="2" t="s">
        <v>100</v>
      </c>
      <c r="P819" s="2" t="str">
        <f>"2170584004                    "</f>
        <v xml:space="preserve">2170584004 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3.13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</v>
      </c>
      <c r="BI819" s="2">
        <v>1</v>
      </c>
      <c r="BJ819" s="2">
        <v>0.2</v>
      </c>
      <c r="BK819" s="2">
        <v>1</v>
      </c>
      <c r="BL819" s="2">
        <v>32.380000000000003</v>
      </c>
      <c r="BM819" s="2">
        <v>4.53</v>
      </c>
      <c r="BN819" s="2">
        <v>36.909999999999997</v>
      </c>
      <c r="BO819" s="2">
        <v>36.909999999999997</v>
      </c>
      <c r="BP819" s="2"/>
      <c r="BQ819" s="2" t="s">
        <v>288</v>
      </c>
      <c r="BR819" s="2" t="s">
        <v>84</v>
      </c>
      <c r="BS819" s="3">
        <v>42957</v>
      </c>
      <c r="BT819" s="4">
        <v>0.3840277777777778</v>
      </c>
      <c r="BU819" s="2" t="s">
        <v>1500</v>
      </c>
      <c r="BV819" s="2" t="s">
        <v>86</v>
      </c>
      <c r="BW819" s="2" t="s">
        <v>124</v>
      </c>
      <c r="BX819" s="2" t="s">
        <v>327</v>
      </c>
      <c r="BY819" s="2">
        <v>1200</v>
      </c>
      <c r="BZ819" s="2"/>
      <c r="CA819" s="2" t="s">
        <v>733</v>
      </c>
      <c r="CB819" s="2"/>
      <c r="CC819" s="2" t="s">
        <v>245</v>
      </c>
      <c r="CD819" s="2">
        <v>1459</v>
      </c>
      <c r="CE819" s="2" t="s">
        <v>104</v>
      </c>
      <c r="CF819" s="5">
        <v>42958</v>
      </c>
      <c r="CG819" s="2"/>
      <c r="CH819" s="2"/>
      <c r="CI819" s="2">
        <v>1</v>
      </c>
      <c r="CJ819" s="2">
        <v>2</v>
      </c>
      <c r="CK819" s="2">
        <v>22</v>
      </c>
      <c r="CL819" s="2" t="s">
        <v>86</v>
      </c>
      <c r="CM819" s="2"/>
    </row>
    <row r="820" spans="1:91">
      <c r="A820" s="2" t="s">
        <v>71</v>
      </c>
      <c r="B820" s="2" t="s">
        <v>72</v>
      </c>
      <c r="C820" s="2" t="s">
        <v>73</v>
      </c>
      <c r="D820" s="2"/>
      <c r="E820" s="2" t="str">
        <f>"FES1162567806"</f>
        <v>FES1162567806</v>
      </c>
      <c r="F820" s="3">
        <v>42955</v>
      </c>
      <c r="G820" s="2">
        <v>201802</v>
      </c>
      <c r="H820" s="2" t="s">
        <v>74</v>
      </c>
      <c r="I820" s="2" t="s">
        <v>75</v>
      </c>
      <c r="J820" s="2" t="s">
        <v>76</v>
      </c>
      <c r="K820" s="2" t="s">
        <v>77</v>
      </c>
      <c r="L820" s="2" t="s">
        <v>417</v>
      </c>
      <c r="M820" s="2" t="s">
        <v>417</v>
      </c>
      <c r="N820" s="2" t="s">
        <v>475</v>
      </c>
      <c r="O820" s="2" t="s">
        <v>100</v>
      </c>
      <c r="P820" s="2" t="str">
        <f>"2170583398                    "</f>
        <v xml:space="preserve">2170583398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7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3.5</v>
      </c>
      <c r="BJ820" s="2">
        <v>1.2</v>
      </c>
      <c r="BK820" s="2">
        <v>3.5</v>
      </c>
      <c r="BL820" s="2">
        <v>72.52</v>
      </c>
      <c r="BM820" s="2">
        <v>10.15</v>
      </c>
      <c r="BN820" s="2">
        <v>82.67</v>
      </c>
      <c r="BO820" s="2">
        <v>82.67</v>
      </c>
      <c r="BP820" s="2" t="s">
        <v>101</v>
      </c>
      <c r="BQ820" s="2" t="s">
        <v>108</v>
      </c>
      <c r="BR820" s="2" t="s">
        <v>84</v>
      </c>
      <c r="BS820" s="3">
        <v>42957</v>
      </c>
      <c r="BT820" s="4">
        <v>0.55138888888888882</v>
      </c>
      <c r="BU820" s="2" t="s">
        <v>866</v>
      </c>
      <c r="BV820" s="2" t="s">
        <v>86</v>
      </c>
      <c r="BW820" s="2" t="s">
        <v>336</v>
      </c>
      <c r="BX820" s="2" t="s">
        <v>116</v>
      </c>
      <c r="BY820" s="2">
        <v>6136.32</v>
      </c>
      <c r="BZ820" s="2"/>
      <c r="CA820" s="2" t="s">
        <v>420</v>
      </c>
      <c r="CB820" s="2"/>
      <c r="CC820" s="2" t="s">
        <v>417</v>
      </c>
      <c r="CD820" s="2">
        <v>7646</v>
      </c>
      <c r="CE820" s="2" t="s">
        <v>89</v>
      </c>
      <c r="CF820" s="5">
        <v>42957</v>
      </c>
      <c r="CG820" s="2"/>
      <c r="CH820" s="2"/>
      <c r="CI820" s="2">
        <v>1</v>
      </c>
      <c r="CJ820" s="2">
        <v>2</v>
      </c>
      <c r="CK820" s="2">
        <v>21</v>
      </c>
      <c r="CL820" s="2" t="s">
        <v>86</v>
      </c>
      <c r="CM820" s="2"/>
    </row>
    <row r="821" spans="1:91">
      <c r="A821" s="2" t="s">
        <v>71</v>
      </c>
      <c r="B821" s="2" t="s">
        <v>72</v>
      </c>
      <c r="C821" s="2" t="s">
        <v>73</v>
      </c>
      <c r="D821" s="2"/>
      <c r="E821" s="2" t="str">
        <f>"FES1162567852"</f>
        <v>FES1162567852</v>
      </c>
      <c r="F821" s="3">
        <v>42955</v>
      </c>
      <c r="G821" s="2">
        <v>201802</v>
      </c>
      <c r="H821" s="2" t="s">
        <v>74</v>
      </c>
      <c r="I821" s="2" t="s">
        <v>75</v>
      </c>
      <c r="J821" s="2" t="s">
        <v>76</v>
      </c>
      <c r="K821" s="2" t="s">
        <v>77</v>
      </c>
      <c r="L821" s="2" t="s">
        <v>216</v>
      </c>
      <c r="M821" s="2" t="s">
        <v>217</v>
      </c>
      <c r="N821" s="2" t="s">
        <v>1501</v>
      </c>
      <c r="O821" s="2" t="s">
        <v>100</v>
      </c>
      <c r="P821" s="2" t="str">
        <f>"2170584015                    "</f>
        <v xml:space="preserve">2170584015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3.13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1</v>
      </c>
      <c r="BJ821" s="2">
        <v>0.2</v>
      </c>
      <c r="BK821" s="2">
        <v>1</v>
      </c>
      <c r="BL821" s="2">
        <v>32.380000000000003</v>
      </c>
      <c r="BM821" s="2">
        <v>4.53</v>
      </c>
      <c r="BN821" s="2">
        <v>36.909999999999997</v>
      </c>
      <c r="BO821" s="2">
        <v>36.909999999999997</v>
      </c>
      <c r="BP821" s="2"/>
      <c r="BQ821" s="2" t="s">
        <v>83</v>
      </c>
      <c r="BR821" s="2" t="s">
        <v>84</v>
      </c>
      <c r="BS821" s="3">
        <v>42957</v>
      </c>
      <c r="BT821" s="4">
        <v>0.38263888888888892</v>
      </c>
      <c r="BU821" s="2" t="s">
        <v>1502</v>
      </c>
      <c r="BV821" s="2" t="s">
        <v>86</v>
      </c>
      <c r="BW821" s="2" t="s">
        <v>124</v>
      </c>
      <c r="BX821" s="2" t="s">
        <v>327</v>
      </c>
      <c r="BY821" s="2">
        <v>1200</v>
      </c>
      <c r="BZ821" s="2"/>
      <c r="CA821" s="2" t="s">
        <v>220</v>
      </c>
      <c r="CB821" s="2"/>
      <c r="CC821" s="2" t="s">
        <v>217</v>
      </c>
      <c r="CD821" s="2">
        <v>1451</v>
      </c>
      <c r="CE821" s="2" t="s">
        <v>104</v>
      </c>
      <c r="CF821" s="5">
        <v>42958</v>
      </c>
      <c r="CG821" s="2"/>
      <c r="CH821" s="2"/>
      <c r="CI821" s="2">
        <v>1</v>
      </c>
      <c r="CJ821" s="2">
        <v>2</v>
      </c>
      <c r="CK821" s="2">
        <v>22</v>
      </c>
      <c r="CL821" s="2" t="s">
        <v>86</v>
      </c>
      <c r="CM821" s="2"/>
    </row>
    <row r="822" spans="1:91">
      <c r="A822" s="2" t="s">
        <v>71</v>
      </c>
      <c r="B822" s="2" t="s">
        <v>72</v>
      </c>
      <c r="C822" s="2" t="s">
        <v>73</v>
      </c>
      <c r="D822" s="2"/>
      <c r="E822" s="2" t="str">
        <f>"FES1162567635"</f>
        <v>FES1162567635</v>
      </c>
      <c r="F822" s="3">
        <v>42955</v>
      </c>
      <c r="G822" s="2">
        <v>201802</v>
      </c>
      <c r="H822" s="2" t="s">
        <v>74</v>
      </c>
      <c r="I822" s="2" t="s">
        <v>75</v>
      </c>
      <c r="J822" s="2" t="s">
        <v>76</v>
      </c>
      <c r="K822" s="2" t="s">
        <v>77</v>
      </c>
      <c r="L822" s="2" t="s">
        <v>97</v>
      </c>
      <c r="M822" s="2" t="s">
        <v>98</v>
      </c>
      <c r="N822" s="2" t="s">
        <v>608</v>
      </c>
      <c r="O822" s="2" t="s">
        <v>100</v>
      </c>
      <c r="P822" s="2" t="str">
        <f>"2170582392                    "</f>
        <v xml:space="preserve">2170582392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7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2.2999999999999998</v>
      </c>
      <c r="BJ822" s="2">
        <v>3.4</v>
      </c>
      <c r="BK822" s="2">
        <v>3.5</v>
      </c>
      <c r="BL822" s="2">
        <v>72.52</v>
      </c>
      <c r="BM822" s="2">
        <v>10.15</v>
      </c>
      <c r="BN822" s="2">
        <v>82.67</v>
      </c>
      <c r="BO822" s="2">
        <v>82.67</v>
      </c>
      <c r="BP822" s="2" t="s">
        <v>1410</v>
      </c>
      <c r="BQ822" s="2" t="s">
        <v>1227</v>
      </c>
      <c r="BR822" s="2" t="s">
        <v>84</v>
      </c>
      <c r="BS822" s="3">
        <v>42957</v>
      </c>
      <c r="BT822" s="4">
        <v>0.3354166666666667</v>
      </c>
      <c r="BU822" s="2" t="s">
        <v>1503</v>
      </c>
      <c r="BV822" s="2" t="s">
        <v>86</v>
      </c>
      <c r="BW822" s="2"/>
      <c r="BX822" s="2"/>
      <c r="BY822" s="2">
        <v>16887.72</v>
      </c>
      <c r="BZ822" s="2"/>
      <c r="CA822" s="2" t="s">
        <v>294</v>
      </c>
      <c r="CB822" s="2"/>
      <c r="CC822" s="2" t="s">
        <v>98</v>
      </c>
      <c r="CD822" s="2">
        <v>6001</v>
      </c>
      <c r="CE822" s="2" t="s">
        <v>89</v>
      </c>
      <c r="CF822" s="5">
        <v>42958</v>
      </c>
      <c r="CG822" s="2"/>
      <c r="CH822" s="2"/>
      <c r="CI822" s="2">
        <v>1</v>
      </c>
      <c r="CJ822" s="2">
        <v>2</v>
      </c>
      <c r="CK822" s="2">
        <v>21</v>
      </c>
      <c r="CL822" s="2" t="s">
        <v>86</v>
      </c>
      <c r="CM822" s="2"/>
    </row>
    <row r="823" spans="1:91">
      <c r="A823" s="2" t="s">
        <v>71</v>
      </c>
      <c r="B823" s="2" t="s">
        <v>72</v>
      </c>
      <c r="C823" s="2" t="s">
        <v>73</v>
      </c>
      <c r="D823" s="2"/>
      <c r="E823" s="2" t="str">
        <f>"FES1162567818"</f>
        <v>FES1162567818</v>
      </c>
      <c r="F823" s="3">
        <v>42955</v>
      </c>
      <c r="G823" s="2">
        <v>201802</v>
      </c>
      <c r="H823" s="2" t="s">
        <v>74</v>
      </c>
      <c r="I823" s="2" t="s">
        <v>75</v>
      </c>
      <c r="J823" s="2" t="s">
        <v>76</v>
      </c>
      <c r="K823" s="2" t="s">
        <v>77</v>
      </c>
      <c r="L823" s="2" t="s">
        <v>510</v>
      </c>
      <c r="M823" s="2" t="s">
        <v>511</v>
      </c>
      <c r="N823" s="2" t="s">
        <v>1504</v>
      </c>
      <c r="O823" s="2" t="s">
        <v>100</v>
      </c>
      <c r="P823" s="2" t="str">
        <f>"2170583686                    "</f>
        <v xml:space="preserve">2170583686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6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</v>
      </c>
      <c r="BI823" s="2">
        <v>2</v>
      </c>
      <c r="BJ823" s="2">
        <v>2.9</v>
      </c>
      <c r="BK823" s="2">
        <v>3</v>
      </c>
      <c r="BL823" s="2">
        <v>62.16</v>
      </c>
      <c r="BM823" s="2">
        <v>8.6999999999999993</v>
      </c>
      <c r="BN823" s="2">
        <v>70.86</v>
      </c>
      <c r="BO823" s="2">
        <v>70.86</v>
      </c>
      <c r="BP823" s="2" t="s">
        <v>101</v>
      </c>
      <c r="BQ823" s="2" t="s">
        <v>108</v>
      </c>
      <c r="BR823" s="2" t="s">
        <v>84</v>
      </c>
      <c r="BS823" s="3">
        <v>42957</v>
      </c>
      <c r="BT823" s="4">
        <v>0.31180555555555556</v>
      </c>
      <c r="BU823" s="2" t="s">
        <v>779</v>
      </c>
      <c r="BV823" s="2" t="s">
        <v>86</v>
      </c>
      <c r="BW823" s="2" t="s">
        <v>115</v>
      </c>
      <c r="BX823" s="2" t="s">
        <v>1028</v>
      </c>
      <c r="BY823" s="2">
        <v>14654.4</v>
      </c>
      <c r="BZ823" s="2"/>
      <c r="CA823" s="2" t="s">
        <v>514</v>
      </c>
      <c r="CB823" s="2"/>
      <c r="CC823" s="2" t="s">
        <v>511</v>
      </c>
      <c r="CD823" s="2">
        <v>6230</v>
      </c>
      <c r="CE823" s="2" t="s">
        <v>89</v>
      </c>
      <c r="CF823" s="5">
        <v>42958</v>
      </c>
      <c r="CG823" s="2"/>
      <c r="CH823" s="2"/>
      <c r="CI823" s="2">
        <v>1</v>
      </c>
      <c r="CJ823" s="2">
        <v>2</v>
      </c>
      <c r="CK823" s="2">
        <v>21</v>
      </c>
      <c r="CL823" s="2" t="s">
        <v>86</v>
      </c>
      <c r="CM823" s="2"/>
    </row>
    <row r="824" spans="1:91">
      <c r="A824" s="2" t="s">
        <v>71</v>
      </c>
      <c r="B824" s="2" t="s">
        <v>72</v>
      </c>
      <c r="C824" s="2" t="s">
        <v>73</v>
      </c>
      <c r="D824" s="2"/>
      <c r="E824" s="2" t="str">
        <f>"FES1162567626"</f>
        <v>FES1162567626</v>
      </c>
      <c r="F824" s="3">
        <v>42955</v>
      </c>
      <c r="G824" s="2">
        <v>201802</v>
      </c>
      <c r="H824" s="2" t="s">
        <v>74</v>
      </c>
      <c r="I824" s="2" t="s">
        <v>75</v>
      </c>
      <c r="J824" s="2" t="s">
        <v>76</v>
      </c>
      <c r="K824" s="2" t="s">
        <v>77</v>
      </c>
      <c r="L824" s="2" t="s">
        <v>510</v>
      </c>
      <c r="M824" s="2" t="s">
        <v>511</v>
      </c>
      <c r="N824" s="2" t="s">
        <v>583</v>
      </c>
      <c r="O824" s="2" t="s">
        <v>100</v>
      </c>
      <c r="P824" s="2" t="str">
        <f>"2170580943                    "</f>
        <v xml:space="preserve">2170580943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5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</v>
      </c>
      <c r="BI824" s="2">
        <v>1.8</v>
      </c>
      <c r="BJ824" s="2">
        <v>2.2999999999999998</v>
      </c>
      <c r="BK824" s="2">
        <v>2.5</v>
      </c>
      <c r="BL824" s="2">
        <v>51.8</v>
      </c>
      <c r="BM824" s="2">
        <v>7.25</v>
      </c>
      <c r="BN824" s="2">
        <v>59.05</v>
      </c>
      <c r="BO824" s="2">
        <v>59.05</v>
      </c>
      <c r="BP824" s="2" t="s">
        <v>101</v>
      </c>
      <c r="BQ824" s="2" t="s">
        <v>1505</v>
      </c>
      <c r="BR824" s="2" t="s">
        <v>84</v>
      </c>
      <c r="BS824" s="3">
        <v>42957</v>
      </c>
      <c r="BT824" s="4">
        <v>0.31388888888888888</v>
      </c>
      <c r="BU824" s="2" t="s">
        <v>584</v>
      </c>
      <c r="BV824" s="2" t="s">
        <v>86</v>
      </c>
      <c r="BW824" s="2" t="s">
        <v>115</v>
      </c>
      <c r="BX824" s="2" t="s">
        <v>1028</v>
      </c>
      <c r="BY824" s="2">
        <v>11686.4</v>
      </c>
      <c r="BZ824" s="2"/>
      <c r="CA824" s="2" t="s">
        <v>514</v>
      </c>
      <c r="CB824" s="2"/>
      <c r="CC824" s="2" t="s">
        <v>511</v>
      </c>
      <c r="CD824" s="2">
        <v>6229</v>
      </c>
      <c r="CE824" s="2" t="s">
        <v>104</v>
      </c>
      <c r="CF824" s="5">
        <v>42958</v>
      </c>
      <c r="CG824" s="2"/>
      <c r="CH824" s="2"/>
      <c r="CI824" s="2">
        <v>1</v>
      </c>
      <c r="CJ824" s="2">
        <v>2</v>
      </c>
      <c r="CK824" s="2">
        <v>21</v>
      </c>
      <c r="CL824" s="2" t="s">
        <v>86</v>
      </c>
      <c r="CM824" s="2"/>
    </row>
    <row r="825" spans="1:91">
      <c r="A825" s="2" t="s">
        <v>71</v>
      </c>
      <c r="B825" s="2" t="s">
        <v>72</v>
      </c>
      <c r="C825" s="2" t="s">
        <v>73</v>
      </c>
      <c r="D825" s="2"/>
      <c r="E825" s="2" t="str">
        <f>"FES1162567853"</f>
        <v>FES1162567853</v>
      </c>
      <c r="F825" s="3">
        <v>42955</v>
      </c>
      <c r="G825" s="2">
        <v>201802</v>
      </c>
      <c r="H825" s="2" t="s">
        <v>74</v>
      </c>
      <c r="I825" s="2" t="s">
        <v>75</v>
      </c>
      <c r="J825" s="2" t="s">
        <v>76</v>
      </c>
      <c r="K825" s="2" t="s">
        <v>77</v>
      </c>
      <c r="L825" s="2" t="s">
        <v>128</v>
      </c>
      <c r="M825" s="2" t="s">
        <v>129</v>
      </c>
      <c r="N825" s="2" t="s">
        <v>857</v>
      </c>
      <c r="O825" s="2" t="s">
        <v>100</v>
      </c>
      <c r="P825" s="2" t="str">
        <f>"2170584016                    "</f>
        <v xml:space="preserve">2170584016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3.13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1</v>
      </c>
      <c r="BJ825" s="2">
        <v>0.2</v>
      </c>
      <c r="BK825" s="2">
        <v>1</v>
      </c>
      <c r="BL825" s="2">
        <v>32.380000000000003</v>
      </c>
      <c r="BM825" s="2">
        <v>4.53</v>
      </c>
      <c r="BN825" s="2">
        <v>36.909999999999997</v>
      </c>
      <c r="BO825" s="2">
        <v>36.909999999999997</v>
      </c>
      <c r="BP825" s="2"/>
      <c r="BQ825" s="2" t="s">
        <v>83</v>
      </c>
      <c r="BR825" s="2" t="s">
        <v>84</v>
      </c>
      <c r="BS825" s="3">
        <v>42957</v>
      </c>
      <c r="BT825" s="4">
        <v>0.38194444444444442</v>
      </c>
      <c r="BU825" s="2" t="s">
        <v>1506</v>
      </c>
      <c r="BV825" s="2" t="s">
        <v>95</v>
      </c>
      <c r="BW825" s="2"/>
      <c r="BX825" s="2"/>
      <c r="BY825" s="2">
        <v>1200</v>
      </c>
      <c r="BZ825" s="2"/>
      <c r="CA825" s="2" t="s">
        <v>923</v>
      </c>
      <c r="CB825" s="2"/>
      <c r="CC825" s="2" t="s">
        <v>129</v>
      </c>
      <c r="CD825" s="2">
        <v>1709</v>
      </c>
      <c r="CE825" s="2" t="s">
        <v>104</v>
      </c>
      <c r="CF825" s="5">
        <v>42958</v>
      </c>
      <c r="CG825" s="2"/>
      <c r="CH825" s="2"/>
      <c r="CI825" s="2">
        <v>1</v>
      </c>
      <c r="CJ825" s="2">
        <v>1</v>
      </c>
      <c r="CK825" s="2">
        <v>22</v>
      </c>
      <c r="CL825" s="2" t="s">
        <v>86</v>
      </c>
      <c r="CM825" s="2"/>
    </row>
    <row r="826" spans="1:91">
      <c r="A826" s="2" t="s">
        <v>71</v>
      </c>
      <c r="B826" s="2" t="s">
        <v>72</v>
      </c>
      <c r="C826" s="2" t="s">
        <v>73</v>
      </c>
      <c r="D826" s="2"/>
      <c r="E826" s="2" t="str">
        <f>"FES1162567673"</f>
        <v>FES1162567673</v>
      </c>
      <c r="F826" s="3">
        <v>42955</v>
      </c>
      <c r="G826" s="2">
        <v>201802</v>
      </c>
      <c r="H826" s="2" t="s">
        <v>74</v>
      </c>
      <c r="I826" s="2" t="s">
        <v>75</v>
      </c>
      <c r="J826" s="2" t="s">
        <v>76</v>
      </c>
      <c r="K826" s="2" t="s">
        <v>77</v>
      </c>
      <c r="L826" s="2" t="s">
        <v>237</v>
      </c>
      <c r="M826" s="2" t="s">
        <v>238</v>
      </c>
      <c r="N826" s="2" t="s">
        <v>769</v>
      </c>
      <c r="O826" s="2" t="s">
        <v>100</v>
      </c>
      <c r="P826" s="2" t="str">
        <f>"2170581320                    "</f>
        <v xml:space="preserve">2170581320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4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1.9</v>
      </c>
      <c r="BJ826" s="2">
        <v>1.7</v>
      </c>
      <c r="BK826" s="2">
        <v>2</v>
      </c>
      <c r="BL826" s="2">
        <v>41.44</v>
      </c>
      <c r="BM826" s="2">
        <v>5.8</v>
      </c>
      <c r="BN826" s="2">
        <v>47.24</v>
      </c>
      <c r="BO826" s="2">
        <v>47.24</v>
      </c>
      <c r="BP826" s="2"/>
      <c r="BQ826" s="2" t="s">
        <v>83</v>
      </c>
      <c r="BR826" s="2" t="s">
        <v>84</v>
      </c>
      <c r="BS826" s="3">
        <v>42957</v>
      </c>
      <c r="BT826" s="4">
        <v>0.4069444444444445</v>
      </c>
      <c r="BU826" s="2" t="s">
        <v>1453</v>
      </c>
      <c r="BV826" s="2" t="s">
        <v>86</v>
      </c>
      <c r="BW826" s="2" t="s">
        <v>87</v>
      </c>
      <c r="BX826" s="2" t="s">
        <v>337</v>
      </c>
      <c r="BY826" s="2">
        <v>8479.25</v>
      </c>
      <c r="BZ826" s="2"/>
      <c r="CA826" s="2" t="s">
        <v>1454</v>
      </c>
      <c r="CB826" s="2"/>
      <c r="CC826" s="2" t="s">
        <v>238</v>
      </c>
      <c r="CD826" s="2">
        <v>3600</v>
      </c>
      <c r="CE826" s="2" t="s">
        <v>89</v>
      </c>
      <c r="CF826" s="5">
        <v>42959</v>
      </c>
      <c r="CG826" s="2"/>
      <c r="CH826" s="2"/>
      <c r="CI826" s="2">
        <v>1</v>
      </c>
      <c r="CJ826" s="2">
        <v>2</v>
      </c>
      <c r="CK826" s="2">
        <v>21</v>
      </c>
      <c r="CL826" s="2" t="s">
        <v>86</v>
      </c>
      <c r="CM826" s="2"/>
    </row>
    <row r="827" spans="1:91">
      <c r="A827" s="2" t="s">
        <v>71</v>
      </c>
      <c r="B827" s="2" t="s">
        <v>72</v>
      </c>
      <c r="C827" s="2" t="s">
        <v>73</v>
      </c>
      <c r="D827" s="2"/>
      <c r="E827" s="2" t="str">
        <f>"FES1162567825"</f>
        <v>FES1162567825</v>
      </c>
      <c r="F827" s="3">
        <v>42955</v>
      </c>
      <c r="G827" s="2">
        <v>201802</v>
      </c>
      <c r="H827" s="2" t="s">
        <v>74</v>
      </c>
      <c r="I827" s="2" t="s">
        <v>75</v>
      </c>
      <c r="J827" s="2" t="s">
        <v>76</v>
      </c>
      <c r="K827" s="2" t="s">
        <v>77</v>
      </c>
      <c r="L827" s="2" t="s">
        <v>944</v>
      </c>
      <c r="M827" s="2" t="s">
        <v>944</v>
      </c>
      <c r="N827" s="2" t="s">
        <v>1137</v>
      </c>
      <c r="O827" s="2" t="s">
        <v>100</v>
      </c>
      <c r="P827" s="2" t="str">
        <f>"2170583986                    "</f>
        <v xml:space="preserve">2170583986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5.63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1</v>
      </c>
      <c r="BJ827" s="2">
        <v>0.2</v>
      </c>
      <c r="BK827" s="2">
        <v>1</v>
      </c>
      <c r="BL827" s="2">
        <v>58.28</v>
      </c>
      <c r="BM827" s="2">
        <v>8.16</v>
      </c>
      <c r="BN827" s="2">
        <v>66.44</v>
      </c>
      <c r="BO827" s="2">
        <v>66.44</v>
      </c>
      <c r="BP827" s="2"/>
      <c r="BQ827" s="2" t="s">
        <v>83</v>
      </c>
      <c r="BR827" s="2" t="s">
        <v>84</v>
      </c>
      <c r="BS827" s="3">
        <v>42957</v>
      </c>
      <c r="BT827" s="4">
        <v>0.43194444444444446</v>
      </c>
      <c r="BU827" s="2" t="s">
        <v>1507</v>
      </c>
      <c r="BV827" s="2" t="s">
        <v>86</v>
      </c>
      <c r="BW827" s="2" t="s">
        <v>124</v>
      </c>
      <c r="BX827" s="2" t="s">
        <v>1150</v>
      </c>
      <c r="BY827" s="2">
        <v>1200</v>
      </c>
      <c r="BZ827" s="2"/>
      <c r="CA827" s="2" t="s">
        <v>960</v>
      </c>
      <c r="CB827" s="2"/>
      <c r="CC827" s="2" t="s">
        <v>944</v>
      </c>
      <c r="CD827" s="2">
        <v>1490</v>
      </c>
      <c r="CE827" s="2" t="s">
        <v>104</v>
      </c>
      <c r="CF827" s="5">
        <v>42958</v>
      </c>
      <c r="CG827" s="2"/>
      <c r="CH827" s="2"/>
      <c r="CI827" s="2">
        <v>1</v>
      </c>
      <c r="CJ827" s="2">
        <v>2</v>
      </c>
      <c r="CK827" s="2">
        <v>24</v>
      </c>
      <c r="CL827" s="2" t="s">
        <v>86</v>
      </c>
      <c r="CM827" s="2"/>
    </row>
    <row r="828" spans="1:91">
      <c r="A828" s="2" t="s">
        <v>71</v>
      </c>
      <c r="B828" s="2" t="s">
        <v>72</v>
      </c>
      <c r="C828" s="2" t="s">
        <v>73</v>
      </c>
      <c r="D828" s="2"/>
      <c r="E828" s="2" t="str">
        <f>"FES1162567655"</f>
        <v>FES1162567655</v>
      </c>
      <c r="F828" s="3">
        <v>42955</v>
      </c>
      <c r="G828" s="2">
        <v>201802</v>
      </c>
      <c r="H828" s="2" t="s">
        <v>74</v>
      </c>
      <c r="I828" s="2" t="s">
        <v>75</v>
      </c>
      <c r="J828" s="2" t="s">
        <v>76</v>
      </c>
      <c r="K828" s="2" t="s">
        <v>77</v>
      </c>
      <c r="L828" s="2" t="s">
        <v>149</v>
      </c>
      <c r="M828" s="2" t="s">
        <v>150</v>
      </c>
      <c r="N828" s="2" t="s">
        <v>435</v>
      </c>
      <c r="O828" s="2" t="s">
        <v>100</v>
      </c>
      <c r="P828" s="2" t="str">
        <f>"2170575444                    "</f>
        <v xml:space="preserve">2170575444 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17.010000000000002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1</v>
      </c>
      <c r="BI828" s="2">
        <v>8.1</v>
      </c>
      <c r="BJ828" s="2">
        <v>2.4</v>
      </c>
      <c r="BK828" s="2">
        <v>8.5</v>
      </c>
      <c r="BL828" s="2">
        <v>176.13</v>
      </c>
      <c r="BM828" s="2">
        <v>24.66</v>
      </c>
      <c r="BN828" s="2">
        <v>200.79</v>
      </c>
      <c r="BO828" s="2">
        <v>200.79</v>
      </c>
      <c r="BP828" s="2" t="s">
        <v>101</v>
      </c>
      <c r="BQ828" s="2" t="s">
        <v>83</v>
      </c>
      <c r="BR828" s="2" t="s">
        <v>84</v>
      </c>
      <c r="BS828" s="3">
        <v>42957</v>
      </c>
      <c r="BT828" s="4">
        <v>0.36319444444444443</v>
      </c>
      <c r="BU828" s="2" t="s">
        <v>1508</v>
      </c>
      <c r="BV828" s="2" t="s">
        <v>86</v>
      </c>
      <c r="BW828" s="2" t="s">
        <v>87</v>
      </c>
      <c r="BX828" s="2" t="s">
        <v>337</v>
      </c>
      <c r="BY828" s="2">
        <v>12030.11</v>
      </c>
      <c r="BZ828" s="2"/>
      <c r="CA828" s="2" t="s">
        <v>429</v>
      </c>
      <c r="CB828" s="2"/>
      <c r="CC828" s="2" t="s">
        <v>150</v>
      </c>
      <c r="CD828" s="2">
        <v>4001</v>
      </c>
      <c r="CE828" s="2" t="s">
        <v>89</v>
      </c>
      <c r="CF828" s="5">
        <v>42958</v>
      </c>
      <c r="CG828" s="2"/>
      <c r="CH828" s="2"/>
      <c r="CI828" s="2">
        <v>1</v>
      </c>
      <c r="CJ828" s="2">
        <v>2</v>
      </c>
      <c r="CK828" s="2">
        <v>21</v>
      </c>
      <c r="CL828" s="2" t="s">
        <v>86</v>
      </c>
      <c r="CM828" s="2"/>
    </row>
    <row r="829" spans="1:91">
      <c r="A829" s="2" t="s">
        <v>71</v>
      </c>
      <c r="B829" s="2" t="s">
        <v>72</v>
      </c>
      <c r="C829" s="2" t="s">
        <v>73</v>
      </c>
      <c r="D829" s="2"/>
      <c r="E829" s="2" t="str">
        <f>"FES1162567618"</f>
        <v>FES1162567618</v>
      </c>
      <c r="F829" s="3">
        <v>42955</v>
      </c>
      <c r="G829" s="2">
        <v>201802</v>
      </c>
      <c r="H829" s="2" t="s">
        <v>74</v>
      </c>
      <c r="I829" s="2" t="s">
        <v>75</v>
      </c>
      <c r="J829" s="2" t="s">
        <v>76</v>
      </c>
      <c r="K829" s="2" t="s">
        <v>77</v>
      </c>
      <c r="L829" s="2" t="s">
        <v>97</v>
      </c>
      <c r="M829" s="2" t="s">
        <v>98</v>
      </c>
      <c r="N829" s="2" t="s">
        <v>99</v>
      </c>
      <c r="O829" s="2" t="s">
        <v>100</v>
      </c>
      <c r="P829" s="2" t="str">
        <f>"2170583767                    "</f>
        <v xml:space="preserve">2170583767  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8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4</v>
      </c>
      <c r="BJ829" s="2">
        <v>1.6</v>
      </c>
      <c r="BK829" s="2">
        <v>4</v>
      </c>
      <c r="BL829" s="2">
        <v>82.88</v>
      </c>
      <c r="BM829" s="2">
        <v>11.6</v>
      </c>
      <c r="BN829" s="2">
        <v>94.48</v>
      </c>
      <c r="BO829" s="2">
        <v>94.48</v>
      </c>
      <c r="BP829" s="2"/>
      <c r="BQ829" s="2" t="s">
        <v>83</v>
      </c>
      <c r="BR829" s="2" t="s">
        <v>84</v>
      </c>
      <c r="BS829" s="3">
        <v>42957</v>
      </c>
      <c r="BT829" s="4">
        <v>0.30138888888888887</v>
      </c>
      <c r="BU829" s="2" t="s">
        <v>102</v>
      </c>
      <c r="BV829" s="2" t="s">
        <v>86</v>
      </c>
      <c r="BW829" s="2"/>
      <c r="BX829" s="2"/>
      <c r="BY829" s="2">
        <v>7961.48</v>
      </c>
      <c r="BZ829" s="2"/>
      <c r="CA829" s="2" t="s">
        <v>103</v>
      </c>
      <c r="CB829" s="2"/>
      <c r="CC829" s="2" t="s">
        <v>98</v>
      </c>
      <c r="CD829" s="2">
        <v>6210</v>
      </c>
      <c r="CE829" s="2" t="s">
        <v>89</v>
      </c>
      <c r="CF829" s="5">
        <v>42958</v>
      </c>
      <c r="CG829" s="2"/>
      <c r="CH829" s="2"/>
      <c r="CI829" s="2">
        <v>1</v>
      </c>
      <c r="CJ829" s="2">
        <v>2</v>
      </c>
      <c r="CK829" s="2">
        <v>21</v>
      </c>
      <c r="CL829" s="2" t="s">
        <v>86</v>
      </c>
      <c r="CM829" s="2"/>
    </row>
    <row r="830" spans="1:91">
      <c r="A830" s="2" t="s">
        <v>71</v>
      </c>
      <c r="B830" s="2" t="s">
        <v>72</v>
      </c>
      <c r="C830" s="2" t="s">
        <v>73</v>
      </c>
      <c r="D830" s="2"/>
      <c r="E830" s="2" t="str">
        <f>"FES1162567827"</f>
        <v>FES1162567827</v>
      </c>
      <c r="F830" s="3">
        <v>42955</v>
      </c>
      <c r="G830" s="2">
        <v>201802</v>
      </c>
      <c r="H830" s="2" t="s">
        <v>74</v>
      </c>
      <c r="I830" s="2" t="s">
        <v>75</v>
      </c>
      <c r="J830" s="2" t="s">
        <v>76</v>
      </c>
      <c r="K830" s="2" t="s">
        <v>77</v>
      </c>
      <c r="L830" s="2" t="s">
        <v>105</v>
      </c>
      <c r="M830" s="2" t="s">
        <v>106</v>
      </c>
      <c r="N830" s="2" t="s">
        <v>287</v>
      </c>
      <c r="O830" s="2" t="s">
        <v>100</v>
      </c>
      <c r="P830" s="2" t="str">
        <f>"2170583989                    "</f>
        <v xml:space="preserve">2170583989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4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1</v>
      </c>
      <c r="BJ830" s="2">
        <v>1.4</v>
      </c>
      <c r="BK830" s="2">
        <v>1.5</v>
      </c>
      <c r="BL830" s="2">
        <v>41.44</v>
      </c>
      <c r="BM830" s="2">
        <v>5.8</v>
      </c>
      <c r="BN830" s="2">
        <v>47.24</v>
      </c>
      <c r="BO830" s="2">
        <v>47.24</v>
      </c>
      <c r="BP830" s="2"/>
      <c r="BQ830" s="2" t="s">
        <v>83</v>
      </c>
      <c r="BR830" s="2" t="s">
        <v>84</v>
      </c>
      <c r="BS830" s="3">
        <v>42957</v>
      </c>
      <c r="BT830" s="4">
        <v>0.41805555555555557</v>
      </c>
      <c r="BU830" s="2" t="s">
        <v>1509</v>
      </c>
      <c r="BV830" s="2" t="s">
        <v>86</v>
      </c>
      <c r="BW830" s="2" t="s">
        <v>115</v>
      </c>
      <c r="BX830" s="2" t="s">
        <v>116</v>
      </c>
      <c r="BY830" s="2">
        <v>6900.32</v>
      </c>
      <c r="BZ830" s="2"/>
      <c r="CA830" s="2" t="s">
        <v>291</v>
      </c>
      <c r="CB830" s="2"/>
      <c r="CC830" s="2" t="s">
        <v>106</v>
      </c>
      <c r="CD830" s="2">
        <v>7441</v>
      </c>
      <c r="CE830" s="2" t="s">
        <v>89</v>
      </c>
      <c r="CF830" s="5">
        <v>42957</v>
      </c>
      <c r="CG830" s="2"/>
      <c r="CH830" s="2"/>
      <c r="CI830" s="2">
        <v>1</v>
      </c>
      <c r="CJ830" s="2">
        <v>2</v>
      </c>
      <c r="CK830" s="2">
        <v>21</v>
      </c>
      <c r="CL830" s="2" t="s">
        <v>86</v>
      </c>
      <c r="CM830" s="2"/>
    </row>
    <row r="831" spans="1:91">
      <c r="A831" s="2" t="s">
        <v>71</v>
      </c>
      <c r="B831" s="2" t="s">
        <v>72</v>
      </c>
      <c r="C831" s="2" t="s">
        <v>73</v>
      </c>
      <c r="D831" s="2"/>
      <c r="E831" s="2" t="str">
        <f>"FES1162567728"</f>
        <v>FES1162567728</v>
      </c>
      <c r="F831" s="3">
        <v>42955</v>
      </c>
      <c r="G831" s="2">
        <v>201802</v>
      </c>
      <c r="H831" s="2" t="s">
        <v>74</v>
      </c>
      <c r="I831" s="2" t="s">
        <v>75</v>
      </c>
      <c r="J831" s="2" t="s">
        <v>76</v>
      </c>
      <c r="K831" s="2" t="s">
        <v>77</v>
      </c>
      <c r="L831" s="2" t="s">
        <v>237</v>
      </c>
      <c r="M831" s="2" t="s">
        <v>238</v>
      </c>
      <c r="N831" s="2" t="s">
        <v>769</v>
      </c>
      <c r="O831" s="2" t="s">
        <v>100</v>
      </c>
      <c r="P831" s="2" t="str">
        <f>"2170581315                    "</f>
        <v xml:space="preserve">2170581315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12.01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5.8</v>
      </c>
      <c r="BJ831" s="2">
        <v>3.4</v>
      </c>
      <c r="BK831" s="2">
        <v>6</v>
      </c>
      <c r="BL831" s="2">
        <v>124.33</v>
      </c>
      <c r="BM831" s="2">
        <v>17.41</v>
      </c>
      <c r="BN831" s="2">
        <v>141.74</v>
      </c>
      <c r="BO831" s="2">
        <v>141.74</v>
      </c>
      <c r="BP831" s="2"/>
      <c r="BQ831" s="2" t="s">
        <v>83</v>
      </c>
      <c r="BR831" s="2" t="s">
        <v>84</v>
      </c>
      <c r="BS831" s="3">
        <v>42957</v>
      </c>
      <c r="BT831" s="4">
        <v>0.4069444444444445</v>
      </c>
      <c r="BU831" s="2" t="s">
        <v>1453</v>
      </c>
      <c r="BV831" s="2" t="s">
        <v>86</v>
      </c>
      <c r="BW831" s="2" t="s">
        <v>87</v>
      </c>
      <c r="BX831" s="2" t="s">
        <v>337</v>
      </c>
      <c r="BY831" s="2">
        <v>17238.759999999998</v>
      </c>
      <c r="BZ831" s="2"/>
      <c r="CA831" s="2" t="s">
        <v>1454</v>
      </c>
      <c r="CB831" s="2"/>
      <c r="CC831" s="2" t="s">
        <v>238</v>
      </c>
      <c r="CD831" s="2">
        <v>3600</v>
      </c>
      <c r="CE831" s="2" t="s">
        <v>89</v>
      </c>
      <c r="CF831" s="5">
        <v>42959</v>
      </c>
      <c r="CG831" s="2"/>
      <c r="CH831" s="2"/>
      <c r="CI831" s="2">
        <v>1</v>
      </c>
      <c r="CJ831" s="2">
        <v>2</v>
      </c>
      <c r="CK831" s="2">
        <v>21</v>
      </c>
      <c r="CL831" s="2" t="s">
        <v>86</v>
      </c>
      <c r="CM831" s="2"/>
    </row>
    <row r="832" spans="1:91">
      <c r="A832" s="2" t="s">
        <v>71</v>
      </c>
      <c r="B832" s="2" t="s">
        <v>72</v>
      </c>
      <c r="C832" s="2" t="s">
        <v>73</v>
      </c>
      <c r="D832" s="2"/>
      <c r="E832" s="2" t="str">
        <f>"FES1162567790"</f>
        <v>FES1162567790</v>
      </c>
      <c r="F832" s="3">
        <v>42955</v>
      </c>
      <c r="G832" s="2">
        <v>201802</v>
      </c>
      <c r="H832" s="2" t="s">
        <v>74</v>
      </c>
      <c r="I832" s="2" t="s">
        <v>75</v>
      </c>
      <c r="J832" s="2" t="s">
        <v>76</v>
      </c>
      <c r="K832" s="2" t="s">
        <v>77</v>
      </c>
      <c r="L832" s="2" t="s">
        <v>105</v>
      </c>
      <c r="M832" s="2" t="s">
        <v>106</v>
      </c>
      <c r="N832" s="2" t="s">
        <v>867</v>
      </c>
      <c r="O832" s="2" t="s">
        <v>100</v>
      </c>
      <c r="P832" s="2" t="str">
        <f>"2170582519                    "</f>
        <v xml:space="preserve">2170582519 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4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1</v>
      </c>
      <c r="BI832" s="2">
        <v>1.9</v>
      </c>
      <c r="BJ832" s="2">
        <v>1.3</v>
      </c>
      <c r="BK832" s="2">
        <v>2</v>
      </c>
      <c r="BL832" s="2">
        <v>41.44</v>
      </c>
      <c r="BM832" s="2">
        <v>5.8</v>
      </c>
      <c r="BN832" s="2">
        <v>47.24</v>
      </c>
      <c r="BO832" s="2">
        <v>47.24</v>
      </c>
      <c r="BP832" s="2"/>
      <c r="BQ832" s="2" t="s">
        <v>83</v>
      </c>
      <c r="BR832" s="2" t="s">
        <v>84</v>
      </c>
      <c r="BS832" s="3">
        <v>42957</v>
      </c>
      <c r="BT832" s="4">
        <v>0.32847222222222222</v>
      </c>
      <c r="BU832" s="2" t="s">
        <v>1510</v>
      </c>
      <c r="BV832" s="2" t="s">
        <v>86</v>
      </c>
      <c r="BW832" s="2" t="s">
        <v>110</v>
      </c>
      <c r="BX832" s="2" t="s">
        <v>111</v>
      </c>
      <c r="BY832" s="2">
        <v>6515.6</v>
      </c>
      <c r="BZ832" s="2"/>
      <c r="CA832" s="2" t="s">
        <v>869</v>
      </c>
      <c r="CB832" s="2"/>
      <c r="CC832" s="2" t="s">
        <v>106</v>
      </c>
      <c r="CD832" s="2">
        <v>7460</v>
      </c>
      <c r="CE832" s="2" t="s">
        <v>89</v>
      </c>
      <c r="CF832" s="5">
        <v>42958</v>
      </c>
      <c r="CG832" s="2"/>
      <c r="CH832" s="2"/>
      <c r="CI832" s="2">
        <v>1</v>
      </c>
      <c r="CJ832" s="2">
        <v>2</v>
      </c>
      <c r="CK832" s="2">
        <v>21</v>
      </c>
      <c r="CL832" s="2" t="s">
        <v>86</v>
      </c>
      <c r="CM832" s="2"/>
    </row>
    <row r="833" spans="1:91">
      <c r="A833" s="2" t="s">
        <v>71</v>
      </c>
      <c r="B833" s="2" t="s">
        <v>72</v>
      </c>
      <c r="C833" s="2" t="s">
        <v>73</v>
      </c>
      <c r="D833" s="2"/>
      <c r="E833" s="2" t="str">
        <f>"FES1162567733"</f>
        <v>FES1162567733</v>
      </c>
      <c r="F833" s="3">
        <v>42955</v>
      </c>
      <c r="G833" s="2">
        <v>201802</v>
      </c>
      <c r="H833" s="2" t="s">
        <v>74</v>
      </c>
      <c r="I833" s="2" t="s">
        <v>75</v>
      </c>
      <c r="J833" s="2" t="s">
        <v>76</v>
      </c>
      <c r="K833" s="2" t="s">
        <v>77</v>
      </c>
      <c r="L833" s="2" t="s">
        <v>149</v>
      </c>
      <c r="M833" s="2" t="s">
        <v>150</v>
      </c>
      <c r="N833" s="2" t="s">
        <v>1511</v>
      </c>
      <c r="O833" s="2" t="s">
        <v>100</v>
      </c>
      <c r="P833" s="2" t="str">
        <f>"2170583868                    "</f>
        <v xml:space="preserve">2170583868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4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1.8</v>
      </c>
      <c r="BJ833" s="2">
        <v>1.7</v>
      </c>
      <c r="BK833" s="2">
        <v>2</v>
      </c>
      <c r="BL833" s="2">
        <v>41.44</v>
      </c>
      <c r="BM833" s="2">
        <v>5.8</v>
      </c>
      <c r="BN833" s="2">
        <v>47.24</v>
      </c>
      <c r="BO833" s="2">
        <v>47.24</v>
      </c>
      <c r="BP833" s="2" t="s">
        <v>101</v>
      </c>
      <c r="BQ833" s="2" t="s">
        <v>288</v>
      </c>
      <c r="BR833" s="2" t="s">
        <v>84</v>
      </c>
      <c r="BS833" s="3">
        <v>42957</v>
      </c>
      <c r="BT833" s="4">
        <v>0.57638888888888895</v>
      </c>
      <c r="BU833" s="2" t="s">
        <v>1512</v>
      </c>
      <c r="BV833" s="2" t="s">
        <v>86</v>
      </c>
      <c r="BW833" s="2" t="s">
        <v>87</v>
      </c>
      <c r="BX833" s="2" t="s">
        <v>337</v>
      </c>
      <c r="BY833" s="2">
        <v>8604.7199999999993</v>
      </c>
      <c r="BZ833" s="2"/>
      <c r="CA833" s="2" t="s">
        <v>189</v>
      </c>
      <c r="CB833" s="2"/>
      <c r="CC833" s="2" t="s">
        <v>150</v>
      </c>
      <c r="CD833" s="2">
        <v>4051</v>
      </c>
      <c r="CE833" s="2" t="s">
        <v>1513</v>
      </c>
      <c r="CF833" s="5">
        <v>42959</v>
      </c>
      <c r="CG833" s="2"/>
      <c r="CH833" s="2"/>
      <c r="CI833" s="2">
        <v>1</v>
      </c>
      <c r="CJ833" s="2">
        <v>2</v>
      </c>
      <c r="CK833" s="2">
        <v>21</v>
      </c>
      <c r="CL833" s="2" t="s">
        <v>86</v>
      </c>
      <c r="CM833" s="2"/>
    </row>
    <row r="834" spans="1:91">
      <c r="A834" s="2" t="s">
        <v>71</v>
      </c>
      <c r="B834" s="2" t="s">
        <v>72</v>
      </c>
      <c r="C834" s="2" t="s">
        <v>73</v>
      </c>
      <c r="D834" s="2"/>
      <c r="E834" s="2" t="str">
        <f>"FES1162567838"</f>
        <v>FES1162567838</v>
      </c>
      <c r="F834" s="3">
        <v>42955</v>
      </c>
      <c r="G834" s="2">
        <v>201802</v>
      </c>
      <c r="H834" s="2" t="s">
        <v>74</v>
      </c>
      <c r="I834" s="2" t="s">
        <v>75</v>
      </c>
      <c r="J834" s="2" t="s">
        <v>76</v>
      </c>
      <c r="K834" s="2" t="s">
        <v>77</v>
      </c>
      <c r="L834" s="2" t="s">
        <v>149</v>
      </c>
      <c r="M834" s="2" t="s">
        <v>150</v>
      </c>
      <c r="N834" s="2" t="s">
        <v>503</v>
      </c>
      <c r="O834" s="2" t="s">
        <v>100</v>
      </c>
      <c r="P834" s="2" t="str">
        <f>"2170583999                    "</f>
        <v xml:space="preserve">2170583999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4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1</v>
      </c>
      <c r="BI834" s="2">
        <v>1</v>
      </c>
      <c r="BJ834" s="2">
        <v>0.2</v>
      </c>
      <c r="BK834" s="2">
        <v>1</v>
      </c>
      <c r="BL834" s="2">
        <v>41.44</v>
      </c>
      <c r="BM834" s="2">
        <v>5.8</v>
      </c>
      <c r="BN834" s="2">
        <v>47.24</v>
      </c>
      <c r="BO834" s="2">
        <v>47.24</v>
      </c>
      <c r="BP834" s="2" t="s">
        <v>101</v>
      </c>
      <c r="BQ834" s="2" t="s">
        <v>504</v>
      </c>
      <c r="BR834" s="2" t="s">
        <v>84</v>
      </c>
      <c r="BS834" s="3">
        <v>42957</v>
      </c>
      <c r="BT834" s="4">
        <v>0.36388888888888887</v>
      </c>
      <c r="BU834" s="2" t="s">
        <v>1514</v>
      </c>
      <c r="BV834" s="2" t="s">
        <v>86</v>
      </c>
      <c r="BW834" s="2" t="s">
        <v>87</v>
      </c>
      <c r="BX834" s="2" t="s">
        <v>337</v>
      </c>
      <c r="BY834" s="2">
        <v>1200</v>
      </c>
      <c r="BZ834" s="2"/>
      <c r="CA834" s="2" t="s">
        <v>682</v>
      </c>
      <c r="CB834" s="2"/>
      <c r="CC834" s="2" t="s">
        <v>150</v>
      </c>
      <c r="CD834" s="2">
        <v>4001</v>
      </c>
      <c r="CE834" s="2" t="s">
        <v>104</v>
      </c>
      <c r="CF834" s="5">
        <v>42958</v>
      </c>
      <c r="CG834" s="2"/>
      <c r="CH834" s="2"/>
      <c r="CI834" s="2">
        <v>1</v>
      </c>
      <c r="CJ834" s="2">
        <v>2</v>
      </c>
      <c r="CK834" s="2">
        <v>21</v>
      </c>
      <c r="CL834" s="2" t="s">
        <v>86</v>
      </c>
      <c r="CM834" s="2"/>
    </row>
    <row r="835" spans="1:91">
      <c r="A835" s="2" t="s">
        <v>71</v>
      </c>
      <c r="B835" s="2" t="s">
        <v>72</v>
      </c>
      <c r="C835" s="2" t="s">
        <v>73</v>
      </c>
      <c r="D835" s="2"/>
      <c r="E835" s="2" t="str">
        <f>"FES1162567619"</f>
        <v>FES1162567619</v>
      </c>
      <c r="F835" s="3">
        <v>42955</v>
      </c>
      <c r="G835" s="2">
        <v>201802</v>
      </c>
      <c r="H835" s="2" t="s">
        <v>74</v>
      </c>
      <c r="I835" s="2" t="s">
        <v>75</v>
      </c>
      <c r="J835" s="2" t="s">
        <v>76</v>
      </c>
      <c r="K835" s="2" t="s">
        <v>77</v>
      </c>
      <c r="L835" s="2" t="s">
        <v>97</v>
      </c>
      <c r="M835" s="2" t="s">
        <v>98</v>
      </c>
      <c r="N835" s="2" t="s">
        <v>99</v>
      </c>
      <c r="O835" s="2" t="s">
        <v>100</v>
      </c>
      <c r="P835" s="2" t="str">
        <f>"2170583768                    "</f>
        <v xml:space="preserve">2170583768           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5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1.3</v>
      </c>
      <c r="BJ835" s="2">
        <v>2.4</v>
      </c>
      <c r="BK835" s="2">
        <v>2.5</v>
      </c>
      <c r="BL835" s="2">
        <v>51.8</v>
      </c>
      <c r="BM835" s="2">
        <v>7.25</v>
      </c>
      <c r="BN835" s="2">
        <v>59.05</v>
      </c>
      <c r="BO835" s="2">
        <v>59.05</v>
      </c>
      <c r="BP835" s="2"/>
      <c r="BQ835" s="2" t="s">
        <v>83</v>
      </c>
      <c r="BR835" s="2" t="s">
        <v>84</v>
      </c>
      <c r="BS835" s="3">
        <v>42957</v>
      </c>
      <c r="BT835" s="4">
        <v>0.3527777777777778</v>
      </c>
      <c r="BU835" s="2" t="s">
        <v>102</v>
      </c>
      <c r="BV835" s="2" t="s">
        <v>86</v>
      </c>
      <c r="BW835" s="2"/>
      <c r="BX835" s="2"/>
      <c r="BY835" s="2">
        <v>11861.93</v>
      </c>
      <c r="BZ835" s="2"/>
      <c r="CA835" s="2"/>
      <c r="CB835" s="2"/>
      <c r="CC835" s="2" t="s">
        <v>98</v>
      </c>
      <c r="CD835" s="2">
        <v>6210</v>
      </c>
      <c r="CE835" s="2" t="s">
        <v>104</v>
      </c>
      <c r="CF835" s="5">
        <v>42958</v>
      </c>
      <c r="CG835" s="2"/>
      <c r="CH835" s="2"/>
      <c r="CI835" s="2">
        <v>1</v>
      </c>
      <c r="CJ835" s="2">
        <v>2</v>
      </c>
      <c r="CK835" s="2">
        <v>21</v>
      </c>
      <c r="CL835" s="2" t="s">
        <v>86</v>
      </c>
      <c r="CM835" s="2"/>
    </row>
    <row r="836" spans="1:91">
      <c r="A836" s="2" t="s">
        <v>71</v>
      </c>
      <c r="B836" s="2" t="s">
        <v>72</v>
      </c>
      <c r="C836" s="2" t="s">
        <v>73</v>
      </c>
      <c r="D836" s="2"/>
      <c r="E836" s="2" t="str">
        <f>"FES1162567422"</f>
        <v>FES1162567422</v>
      </c>
      <c r="F836" s="3">
        <v>42955</v>
      </c>
      <c r="G836" s="2">
        <v>201802</v>
      </c>
      <c r="H836" s="2" t="s">
        <v>74</v>
      </c>
      <c r="I836" s="2" t="s">
        <v>75</v>
      </c>
      <c r="J836" s="2" t="s">
        <v>76</v>
      </c>
      <c r="K836" s="2" t="s">
        <v>77</v>
      </c>
      <c r="L836" s="2" t="s">
        <v>939</v>
      </c>
      <c r="M836" s="2" t="s">
        <v>940</v>
      </c>
      <c r="N836" s="2" t="s">
        <v>941</v>
      </c>
      <c r="O836" s="2" t="s">
        <v>100</v>
      </c>
      <c r="P836" s="2" t="str">
        <f>"2170583268                    "</f>
        <v xml:space="preserve">2170583268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5.63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</v>
      </c>
      <c r="BI836" s="2">
        <v>1</v>
      </c>
      <c r="BJ836" s="2">
        <v>0.2</v>
      </c>
      <c r="BK836" s="2">
        <v>1</v>
      </c>
      <c r="BL836" s="2">
        <v>58.28</v>
      </c>
      <c r="BM836" s="2">
        <v>8.16</v>
      </c>
      <c r="BN836" s="2">
        <v>66.44</v>
      </c>
      <c r="BO836" s="2">
        <v>66.44</v>
      </c>
      <c r="BP836" s="2" t="s">
        <v>101</v>
      </c>
      <c r="BQ836" s="2" t="s">
        <v>108</v>
      </c>
      <c r="BR836" s="2" t="s">
        <v>84</v>
      </c>
      <c r="BS836" s="3">
        <v>42957</v>
      </c>
      <c r="BT836" s="4">
        <v>0.57638888888888895</v>
      </c>
      <c r="BU836" s="2" t="s">
        <v>942</v>
      </c>
      <c r="BV836" s="2" t="s">
        <v>95</v>
      </c>
      <c r="BW836" s="2"/>
      <c r="BX836" s="2"/>
      <c r="BY836" s="2">
        <v>1200</v>
      </c>
      <c r="BZ836" s="2"/>
      <c r="CA836" s="2" t="s">
        <v>943</v>
      </c>
      <c r="CB836" s="2"/>
      <c r="CC836" s="2" t="s">
        <v>940</v>
      </c>
      <c r="CD836" s="2">
        <v>1028</v>
      </c>
      <c r="CE836" s="2" t="s">
        <v>104</v>
      </c>
      <c r="CF836" s="5">
        <v>42958</v>
      </c>
      <c r="CG836" s="2"/>
      <c r="CH836" s="2"/>
      <c r="CI836" s="2">
        <v>2</v>
      </c>
      <c r="CJ836" s="2">
        <v>2</v>
      </c>
      <c r="CK836" s="2">
        <v>24</v>
      </c>
      <c r="CL836" s="2" t="s">
        <v>86</v>
      </c>
      <c r="CM836" s="2"/>
    </row>
    <row r="837" spans="1:91">
      <c r="A837" s="2" t="s">
        <v>71</v>
      </c>
      <c r="B837" s="2" t="s">
        <v>72</v>
      </c>
      <c r="C837" s="2" t="s">
        <v>73</v>
      </c>
      <c r="D837" s="2"/>
      <c r="E837" s="2" t="str">
        <f>"FES1162567617"</f>
        <v>FES1162567617</v>
      </c>
      <c r="F837" s="3">
        <v>42955</v>
      </c>
      <c r="G837" s="2">
        <v>201802</v>
      </c>
      <c r="H837" s="2" t="s">
        <v>74</v>
      </c>
      <c r="I837" s="2" t="s">
        <v>75</v>
      </c>
      <c r="J837" s="2" t="s">
        <v>76</v>
      </c>
      <c r="K837" s="2" t="s">
        <v>77</v>
      </c>
      <c r="L837" s="2" t="s">
        <v>97</v>
      </c>
      <c r="M837" s="2" t="s">
        <v>98</v>
      </c>
      <c r="N837" s="2" t="s">
        <v>99</v>
      </c>
      <c r="O837" s="2" t="s">
        <v>100</v>
      </c>
      <c r="P837" s="2" t="str">
        <f>"2170583766                    "</f>
        <v xml:space="preserve">2170583766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4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</v>
      </c>
      <c r="BI837" s="2">
        <v>2</v>
      </c>
      <c r="BJ837" s="2">
        <v>1.6</v>
      </c>
      <c r="BK837" s="2">
        <v>2</v>
      </c>
      <c r="BL837" s="2">
        <v>41.44</v>
      </c>
      <c r="BM837" s="2">
        <v>5.8</v>
      </c>
      <c r="BN837" s="2">
        <v>47.24</v>
      </c>
      <c r="BO837" s="2">
        <v>47.24</v>
      </c>
      <c r="BP837" s="2"/>
      <c r="BQ837" s="2" t="s">
        <v>83</v>
      </c>
      <c r="BR837" s="2" t="s">
        <v>84</v>
      </c>
      <c r="BS837" s="3">
        <v>42957</v>
      </c>
      <c r="BT837" s="4">
        <v>0.30138888888888887</v>
      </c>
      <c r="BU837" s="2" t="s">
        <v>1515</v>
      </c>
      <c r="BV837" s="2" t="s">
        <v>86</v>
      </c>
      <c r="BW837" s="2"/>
      <c r="BX837" s="2"/>
      <c r="BY837" s="2">
        <v>7837.89</v>
      </c>
      <c r="BZ837" s="2"/>
      <c r="CA837" s="2"/>
      <c r="CB837" s="2"/>
      <c r="CC837" s="2" t="s">
        <v>98</v>
      </c>
      <c r="CD837" s="2">
        <v>6210</v>
      </c>
      <c r="CE837" s="2" t="s">
        <v>104</v>
      </c>
      <c r="CF837" s="5">
        <v>42958</v>
      </c>
      <c r="CG837" s="2"/>
      <c r="CH837" s="2"/>
      <c r="CI837" s="2">
        <v>1</v>
      </c>
      <c r="CJ837" s="2">
        <v>2</v>
      </c>
      <c r="CK837" s="2">
        <v>21</v>
      </c>
      <c r="CL837" s="2" t="s">
        <v>86</v>
      </c>
      <c r="CM837" s="2"/>
    </row>
    <row r="838" spans="1:91">
      <c r="A838" s="2" t="s">
        <v>71</v>
      </c>
      <c r="B838" s="2" t="s">
        <v>72</v>
      </c>
      <c r="C838" s="2" t="s">
        <v>73</v>
      </c>
      <c r="D838" s="2"/>
      <c r="E838" s="2" t="str">
        <f>"FES1162567902"</f>
        <v>FES1162567902</v>
      </c>
      <c r="F838" s="3">
        <v>42955</v>
      </c>
      <c r="G838" s="2">
        <v>201802</v>
      </c>
      <c r="H838" s="2" t="s">
        <v>74</v>
      </c>
      <c r="I838" s="2" t="s">
        <v>75</v>
      </c>
      <c r="J838" s="2" t="s">
        <v>76</v>
      </c>
      <c r="K838" s="2" t="s">
        <v>77</v>
      </c>
      <c r="L838" s="2" t="s">
        <v>417</v>
      </c>
      <c r="M838" s="2" t="s">
        <v>417</v>
      </c>
      <c r="N838" s="2" t="s">
        <v>475</v>
      </c>
      <c r="O838" s="2" t="s">
        <v>100</v>
      </c>
      <c r="P838" s="2" t="str">
        <f>"2170583418                    "</f>
        <v xml:space="preserve">2170583418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7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1</v>
      </c>
      <c r="BI838" s="2">
        <v>3.2</v>
      </c>
      <c r="BJ838" s="2">
        <v>1.5</v>
      </c>
      <c r="BK838" s="2">
        <v>3.5</v>
      </c>
      <c r="BL838" s="2">
        <v>72.52</v>
      </c>
      <c r="BM838" s="2">
        <v>10.15</v>
      </c>
      <c r="BN838" s="2">
        <v>82.67</v>
      </c>
      <c r="BO838" s="2">
        <v>82.67</v>
      </c>
      <c r="BP838" s="2" t="s">
        <v>101</v>
      </c>
      <c r="BQ838" s="2" t="s">
        <v>108</v>
      </c>
      <c r="BR838" s="2" t="s">
        <v>84</v>
      </c>
      <c r="BS838" s="3">
        <v>42957</v>
      </c>
      <c r="BT838" s="4">
        <v>0.55138888888888882</v>
      </c>
      <c r="BU838" s="2" t="s">
        <v>866</v>
      </c>
      <c r="BV838" s="2" t="s">
        <v>86</v>
      </c>
      <c r="BW838" s="2" t="s">
        <v>336</v>
      </c>
      <c r="BX838" s="2" t="s">
        <v>116</v>
      </c>
      <c r="BY838" s="2">
        <v>7630.09</v>
      </c>
      <c r="BZ838" s="2"/>
      <c r="CA838" s="2" t="s">
        <v>420</v>
      </c>
      <c r="CB838" s="2"/>
      <c r="CC838" s="2" t="s">
        <v>417</v>
      </c>
      <c r="CD838" s="2">
        <v>7646</v>
      </c>
      <c r="CE838" s="2" t="s">
        <v>89</v>
      </c>
      <c r="CF838" s="5">
        <v>42957</v>
      </c>
      <c r="CG838" s="2"/>
      <c r="CH838" s="2"/>
      <c r="CI838" s="2">
        <v>1</v>
      </c>
      <c r="CJ838" s="2">
        <v>2</v>
      </c>
      <c r="CK838" s="2">
        <v>21</v>
      </c>
      <c r="CL838" s="2" t="s">
        <v>86</v>
      </c>
      <c r="CM838" s="2"/>
    </row>
    <row r="839" spans="1:91">
      <c r="A839" s="2" t="s">
        <v>71</v>
      </c>
      <c r="B839" s="2" t="s">
        <v>72</v>
      </c>
      <c r="C839" s="2" t="s">
        <v>73</v>
      </c>
      <c r="D839" s="2"/>
      <c r="E839" s="2" t="str">
        <f>"FES1162567712"</f>
        <v>FES1162567712</v>
      </c>
      <c r="F839" s="3">
        <v>42955</v>
      </c>
      <c r="G839" s="2">
        <v>201802</v>
      </c>
      <c r="H839" s="2" t="s">
        <v>74</v>
      </c>
      <c r="I839" s="2" t="s">
        <v>75</v>
      </c>
      <c r="J839" s="2" t="s">
        <v>76</v>
      </c>
      <c r="K839" s="2" t="s">
        <v>77</v>
      </c>
      <c r="L839" s="2" t="s">
        <v>311</v>
      </c>
      <c r="M839" s="2" t="s">
        <v>312</v>
      </c>
      <c r="N839" s="2" t="s">
        <v>590</v>
      </c>
      <c r="O839" s="2" t="s">
        <v>100</v>
      </c>
      <c r="P839" s="2" t="str">
        <f>"2170581497                    "</f>
        <v xml:space="preserve">2170581497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3.13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2.2000000000000002</v>
      </c>
      <c r="BJ839" s="2">
        <v>3.7</v>
      </c>
      <c r="BK839" s="2">
        <v>4</v>
      </c>
      <c r="BL839" s="2">
        <v>32.380000000000003</v>
      </c>
      <c r="BM839" s="2">
        <v>4.53</v>
      </c>
      <c r="BN839" s="2">
        <v>36.909999999999997</v>
      </c>
      <c r="BO839" s="2">
        <v>36.909999999999997</v>
      </c>
      <c r="BP839" s="2" t="s">
        <v>101</v>
      </c>
      <c r="BQ839" s="2" t="s">
        <v>1516</v>
      </c>
      <c r="BR839" s="2" t="s">
        <v>84</v>
      </c>
      <c r="BS839" s="3">
        <v>42957</v>
      </c>
      <c r="BT839" s="4">
        <v>0.4291666666666667</v>
      </c>
      <c r="BU839" s="2" t="s">
        <v>1517</v>
      </c>
      <c r="BV839" s="2" t="s">
        <v>86</v>
      </c>
      <c r="BW839" s="2" t="s">
        <v>124</v>
      </c>
      <c r="BX839" s="2" t="s">
        <v>327</v>
      </c>
      <c r="BY839" s="2">
        <v>18617.46</v>
      </c>
      <c r="BZ839" s="2"/>
      <c r="CA839" s="2" t="s">
        <v>889</v>
      </c>
      <c r="CB839" s="2"/>
      <c r="CC839" s="2" t="s">
        <v>312</v>
      </c>
      <c r="CD839" s="2">
        <v>1559</v>
      </c>
      <c r="CE839" s="2" t="s">
        <v>1518</v>
      </c>
      <c r="CF839" s="5">
        <v>42957</v>
      </c>
      <c r="CG839" s="2"/>
      <c r="CH839" s="2"/>
      <c r="CI839" s="2">
        <v>1</v>
      </c>
      <c r="CJ839" s="2">
        <v>2</v>
      </c>
      <c r="CK839" s="2">
        <v>22</v>
      </c>
      <c r="CL839" s="2" t="s">
        <v>86</v>
      </c>
      <c r="CM839" s="2"/>
    </row>
    <row r="840" spans="1:91">
      <c r="A840" s="2" t="s">
        <v>71</v>
      </c>
      <c r="B840" s="2" t="s">
        <v>72</v>
      </c>
      <c r="C840" s="2" t="s">
        <v>73</v>
      </c>
      <c r="D840" s="2"/>
      <c r="E840" s="2" t="str">
        <f>"FES1162567770"</f>
        <v>FES1162567770</v>
      </c>
      <c r="F840" s="3">
        <v>42955</v>
      </c>
      <c r="G840" s="2">
        <v>201802</v>
      </c>
      <c r="H840" s="2" t="s">
        <v>74</v>
      </c>
      <c r="I840" s="2" t="s">
        <v>75</v>
      </c>
      <c r="J840" s="2" t="s">
        <v>76</v>
      </c>
      <c r="K840" s="2" t="s">
        <v>77</v>
      </c>
      <c r="L840" s="2" t="s">
        <v>231</v>
      </c>
      <c r="M840" s="2" t="s">
        <v>232</v>
      </c>
      <c r="N840" s="2" t="s">
        <v>1519</v>
      </c>
      <c r="O840" s="2" t="s">
        <v>100</v>
      </c>
      <c r="P840" s="2" t="str">
        <f>"2170583915                    "</f>
        <v xml:space="preserve">2170583915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4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1</v>
      </c>
      <c r="BI840" s="2">
        <v>1</v>
      </c>
      <c r="BJ840" s="2">
        <v>0.2</v>
      </c>
      <c r="BK840" s="2">
        <v>1</v>
      </c>
      <c r="BL840" s="2">
        <v>41.44</v>
      </c>
      <c r="BM840" s="2">
        <v>5.8</v>
      </c>
      <c r="BN840" s="2">
        <v>47.24</v>
      </c>
      <c r="BO840" s="2">
        <v>47.24</v>
      </c>
      <c r="BP840" s="2" t="s">
        <v>101</v>
      </c>
      <c r="BQ840" s="2" t="s">
        <v>1520</v>
      </c>
      <c r="BR840" s="2" t="s">
        <v>84</v>
      </c>
      <c r="BS840" s="3">
        <v>42957</v>
      </c>
      <c r="BT840" s="4">
        <v>0.39305555555555555</v>
      </c>
      <c r="BU840" s="2" t="s">
        <v>1521</v>
      </c>
      <c r="BV840" s="2" t="s">
        <v>86</v>
      </c>
      <c r="BW840" s="2" t="s">
        <v>87</v>
      </c>
      <c r="BX840" s="2" t="s">
        <v>337</v>
      </c>
      <c r="BY840" s="2">
        <v>1200</v>
      </c>
      <c r="BZ840" s="2"/>
      <c r="CA840" s="2" t="s">
        <v>235</v>
      </c>
      <c r="CB840" s="2"/>
      <c r="CC840" s="2" t="s">
        <v>232</v>
      </c>
      <c r="CD840" s="2">
        <v>4026</v>
      </c>
      <c r="CE840" s="2" t="s">
        <v>104</v>
      </c>
      <c r="CF840" s="5">
        <v>42958</v>
      </c>
      <c r="CG840" s="2"/>
      <c r="CH840" s="2"/>
      <c r="CI840" s="2">
        <v>1</v>
      </c>
      <c r="CJ840" s="2">
        <v>2</v>
      </c>
      <c r="CK840" s="2">
        <v>21</v>
      </c>
      <c r="CL840" s="2" t="s">
        <v>86</v>
      </c>
      <c r="CM840" s="2"/>
    </row>
    <row r="841" spans="1:91">
      <c r="A841" s="2" t="s">
        <v>71</v>
      </c>
      <c r="B841" s="2" t="s">
        <v>72</v>
      </c>
      <c r="C841" s="2" t="s">
        <v>73</v>
      </c>
      <c r="D841" s="2"/>
      <c r="E841" s="2" t="str">
        <f>"FES1162567668"</f>
        <v>FES1162567668</v>
      </c>
      <c r="F841" s="3">
        <v>42955</v>
      </c>
      <c r="G841" s="2">
        <v>201802</v>
      </c>
      <c r="H841" s="2" t="s">
        <v>74</v>
      </c>
      <c r="I841" s="2" t="s">
        <v>75</v>
      </c>
      <c r="J841" s="2" t="s">
        <v>76</v>
      </c>
      <c r="K841" s="2" t="s">
        <v>77</v>
      </c>
      <c r="L841" s="2" t="s">
        <v>144</v>
      </c>
      <c r="M841" s="2" t="s">
        <v>145</v>
      </c>
      <c r="N841" s="2" t="s">
        <v>295</v>
      </c>
      <c r="O841" s="2" t="s">
        <v>100</v>
      </c>
      <c r="P841" s="2" t="str">
        <f>"2170575281                    "</f>
        <v xml:space="preserve">2170575281 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3.13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4</v>
      </c>
      <c r="BJ841" s="2">
        <v>2.1</v>
      </c>
      <c r="BK841" s="2">
        <v>4</v>
      </c>
      <c r="BL841" s="2">
        <v>32.380000000000003</v>
      </c>
      <c r="BM841" s="2">
        <v>4.53</v>
      </c>
      <c r="BN841" s="2">
        <v>36.909999999999997</v>
      </c>
      <c r="BO841" s="2">
        <v>36.909999999999997</v>
      </c>
      <c r="BP841" s="2" t="s">
        <v>1410</v>
      </c>
      <c r="BQ841" s="2" t="s">
        <v>296</v>
      </c>
      <c r="BR841" s="2" t="s">
        <v>84</v>
      </c>
      <c r="BS841" s="3">
        <v>42957</v>
      </c>
      <c r="BT841" s="4">
        <v>0.4375</v>
      </c>
      <c r="BU841" s="2" t="s">
        <v>1522</v>
      </c>
      <c r="BV841" s="2" t="s">
        <v>86</v>
      </c>
      <c r="BW841" s="2" t="s">
        <v>124</v>
      </c>
      <c r="BX841" s="2" t="s">
        <v>1150</v>
      </c>
      <c r="BY841" s="2">
        <v>10265.280000000001</v>
      </c>
      <c r="BZ841" s="2"/>
      <c r="CA841" s="2" t="s">
        <v>1355</v>
      </c>
      <c r="CB841" s="2"/>
      <c r="CC841" s="2" t="s">
        <v>145</v>
      </c>
      <c r="CD841" s="2">
        <v>2013</v>
      </c>
      <c r="CE841" s="2" t="s">
        <v>89</v>
      </c>
      <c r="CF841" s="5">
        <v>42958</v>
      </c>
      <c r="CG841" s="2"/>
      <c r="CH841" s="2"/>
      <c r="CI841" s="2">
        <v>1</v>
      </c>
      <c r="CJ841" s="2">
        <v>2</v>
      </c>
      <c r="CK841" s="2">
        <v>22</v>
      </c>
      <c r="CL841" s="2" t="s">
        <v>86</v>
      </c>
      <c r="CM841" s="2"/>
    </row>
    <row r="842" spans="1:91">
      <c r="A842" s="2" t="s">
        <v>71</v>
      </c>
      <c r="B842" s="2" t="s">
        <v>72</v>
      </c>
      <c r="C842" s="2" t="s">
        <v>73</v>
      </c>
      <c r="D842" s="2"/>
      <c r="E842" s="2" t="str">
        <f>"FES1162567834"</f>
        <v>FES1162567834</v>
      </c>
      <c r="F842" s="3">
        <v>42955</v>
      </c>
      <c r="G842" s="2">
        <v>201802</v>
      </c>
      <c r="H842" s="2" t="s">
        <v>74</v>
      </c>
      <c r="I842" s="2" t="s">
        <v>75</v>
      </c>
      <c r="J842" s="2" t="s">
        <v>76</v>
      </c>
      <c r="K842" s="2" t="s">
        <v>77</v>
      </c>
      <c r="L842" s="2" t="s">
        <v>237</v>
      </c>
      <c r="M842" s="2" t="s">
        <v>238</v>
      </c>
      <c r="N842" s="2" t="s">
        <v>454</v>
      </c>
      <c r="O842" s="2" t="s">
        <v>100</v>
      </c>
      <c r="P842" s="2" t="str">
        <f>"2170583993                    "</f>
        <v xml:space="preserve">2170583993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4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1</v>
      </c>
      <c r="BJ842" s="2">
        <v>0.2</v>
      </c>
      <c r="BK842" s="2">
        <v>1</v>
      </c>
      <c r="BL842" s="2">
        <v>41.44</v>
      </c>
      <c r="BM842" s="2">
        <v>5.8</v>
      </c>
      <c r="BN842" s="2">
        <v>47.24</v>
      </c>
      <c r="BO842" s="2">
        <v>47.24</v>
      </c>
      <c r="BP842" s="2" t="s">
        <v>101</v>
      </c>
      <c r="BQ842" s="2" t="s">
        <v>1523</v>
      </c>
      <c r="BR842" s="2" t="s">
        <v>84</v>
      </c>
      <c r="BS842" s="3">
        <v>42957</v>
      </c>
      <c r="BT842" s="4">
        <v>0.42152777777777778</v>
      </c>
      <c r="BU842" s="2" t="s">
        <v>1524</v>
      </c>
      <c r="BV842" s="2" t="s">
        <v>86</v>
      </c>
      <c r="BW842" s="2" t="s">
        <v>87</v>
      </c>
      <c r="BX842" s="2" t="s">
        <v>337</v>
      </c>
      <c r="BY842" s="2">
        <v>1200</v>
      </c>
      <c r="BZ842" s="2"/>
      <c r="CA842" s="2" t="s">
        <v>672</v>
      </c>
      <c r="CB842" s="2"/>
      <c r="CC842" s="2" t="s">
        <v>238</v>
      </c>
      <c r="CD842" s="2">
        <v>3610</v>
      </c>
      <c r="CE842" s="2" t="s">
        <v>104</v>
      </c>
      <c r="CF842" s="5">
        <v>42958</v>
      </c>
      <c r="CG842" s="2"/>
      <c r="CH842" s="2"/>
      <c r="CI842" s="2">
        <v>1</v>
      </c>
      <c r="CJ842" s="2">
        <v>2</v>
      </c>
      <c r="CK842" s="2">
        <v>21</v>
      </c>
      <c r="CL842" s="2" t="s">
        <v>86</v>
      </c>
      <c r="CM842" s="2"/>
    </row>
    <row r="843" spans="1:91">
      <c r="A843" s="2" t="s">
        <v>71</v>
      </c>
      <c r="B843" s="2" t="s">
        <v>72</v>
      </c>
      <c r="C843" s="2" t="s">
        <v>73</v>
      </c>
      <c r="D843" s="2"/>
      <c r="E843" s="2" t="str">
        <f>"FES1162567714"</f>
        <v>FES1162567714</v>
      </c>
      <c r="F843" s="3">
        <v>42955</v>
      </c>
      <c r="G843" s="2">
        <v>201802</v>
      </c>
      <c r="H843" s="2" t="s">
        <v>74</v>
      </c>
      <c r="I843" s="2" t="s">
        <v>75</v>
      </c>
      <c r="J843" s="2" t="s">
        <v>76</v>
      </c>
      <c r="K843" s="2" t="s">
        <v>77</v>
      </c>
      <c r="L843" s="2" t="s">
        <v>105</v>
      </c>
      <c r="M843" s="2" t="s">
        <v>106</v>
      </c>
      <c r="N843" s="2" t="s">
        <v>1525</v>
      </c>
      <c r="O843" s="2" t="s">
        <v>100</v>
      </c>
      <c r="P843" s="2" t="str">
        <f>"2170583772                    "</f>
        <v xml:space="preserve">2170583772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7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1.1000000000000001</v>
      </c>
      <c r="BJ843" s="2">
        <v>3.3</v>
      </c>
      <c r="BK843" s="2">
        <v>3.5</v>
      </c>
      <c r="BL843" s="2">
        <v>72.52</v>
      </c>
      <c r="BM843" s="2">
        <v>10.15</v>
      </c>
      <c r="BN843" s="2">
        <v>82.67</v>
      </c>
      <c r="BO843" s="2">
        <v>82.67</v>
      </c>
      <c r="BP843" s="2" t="s">
        <v>101</v>
      </c>
      <c r="BQ843" s="2" t="s">
        <v>83</v>
      </c>
      <c r="BR843" s="2" t="s">
        <v>84</v>
      </c>
      <c r="BS843" s="3">
        <v>42957</v>
      </c>
      <c r="BT843" s="4">
        <v>0.42222222222222222</v>
      </c>
      <c r="BU843" s="2" t="s">
        <v>1526</v>
      </c>
      <c r="BV843" s="2" t="s">
        <v>86</v>
      </c>
      <c r="BW843" s="2" t="s">
        <v>115</v>
      </c>
      <c r="BX843" s="2" t="s">
        <v>116</v>
      </c>
      <c r="BY843" s="2">
        <v>16455.18</v>
      </c>
      <c r="BZ843" s="2"/>
      <c r="CA843" s="2"/>
      <c r="CB843" s="2"/>
      <c r="CC843" s="2" t="s">
        <v>106</v>
      </c>
      <c r="CD843" s="2">
        <v>8000</v>
      </c>
      <c r="CE843" s="2" t="s">
        <v>89</v>
      </c>
      <c r="CF843" s="5">
        <v>42958</v>
      </c>
      <c r="CG843" s="2"/>
      <c r="CH843" s="2"/>
      <c r="CI843" s="2">
        <v>1</v>
      </c>
      <c r="CJ843" s="2">
        <v>2</v>
      </c>
      <c r="CK843" s="2">
        <v>21</v>
      </c>
      <c r="CL843" s="2" t="s">
        <v>86</v>
      </c>
      <c r="CM843" s="2"/>
    </row>
    <row r="844" spans="1:91">
      <c r="A844" s="2" t="s">
        <v>71</v>
      </c>
      <c r="B844" s="2" t="s">
        <v>72</v>
      </c>
      <c r="C844" s="2" t="s">
        <v>73</v>
      </c>
      <c r="D844" s="2"/>
      <c r="E844" s="2" t="str">
        <f>"FES1162567892"</f>
        <v>FES1162567892</v>
      </c>
      <c r="F844" s="3">
        <v>42955</v>
      </c>
      <c r="G844" s="2">
        <v>201802</v>
      </c>
      <c r="H844" s="2" t="s">
        <v>74</v>
      </c>
      <c r="I844" s="2" t="s">
        <v>75</v>
      </c>
      <c r="J844" s="2" t="s">
        <v>76</v>
      </c>
      <c r="K844" s="2" t="s">
        <v>77</v>
      </c>
      <c r="L844" s="2" t="s">
        <v>237</v>
      </c>
      <c r="M844" s="2" t="s">
        <v>238</v>
      </c>
      <c r="N844" s="2" t="s">
        <v>837</v>
      </c>
      <c r="O844" s="2" t="s">
        <v>100</v>
      </c>
      <c r="P844" s="2" t="str">
        <f>"2170583608                    "</f>
        <v xml:space="preserve">2170583608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10.01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1</v>
      </c>
      <c r="BI844" s="2">
        <v>4.7</v>
      </c>
      <c r="BJ844" s="2">
        <v>2</v>
      </c>
      <c r="BK844" s="2">
        <v>5</v>
      </c>
      <c r="BL844" s="2">
        <v>103.61</v>
      </c>
      <c r="BM844" s="2">
        <v>14.51</v>
      </c>
      <c r="BN844" s="2">
        <v>118.12</v>
      </c>
      <c r="BO844" s="2">
        <v>118.12</v>
      </c>
      <c r="BP844" s="2" t="s">
        <v>101</v>
      </c>
      <c r="BQ844" s="2" t="s">
        <v>1527</v>
      </c>
      <c r="BR844" s="2" t="s">
        <v>84</v>
      </c>
      <c r="BS844" s="3">
        <v>42957</v>
      </c>
      <c r="BT844" s="4">
        <v>0.38194444444444442</v>
      </c>
      <c r="BU844" s="2" t="s">
        <v>1528</v>
      </c>
      <c r="BV844" s="2" t="s">
        <v>86</v>
      </c>
      <c r="BW844" s="2" t="s">
        <v>87</v>
      </c>
      <c r="BX844" s="2" t="s">
        <v>337</v>
      </c>
      <c r="BY844" s="2">
        <v>9762.08</v>
      </c>
      <c r="BZ844" s="2"/>
      <c r="CA844" s="2" t="s">
        <v>839</v>
      </c>
      <c r="CB844" s="2"/>
      <c r="CC844" s="2" t="s">
        <v>238</v>
      </c>
      <c r="CD844" s="2">
        <v>4037</v>
      </c>
      <c r="CE844" s="2" t="s">
        <v>948</v>
      </c>
      <c r="CF844" s="5">
        <v>42959</v>
      </c>
      <c r="CG844" s="2"/>
      <c r="CH844" s="2"/>
      <c r="CI844" s="2">
        <v>1</v>
      </c>
      <c r="CJ844" s="2">
        <v>2</v>
      </c>
      <c r="CK844" s="2">
        <v>21</v>
      </c>
      <c r="CL844" s="2" t="s">
        <v>86</v>
      </c>
      <c r="CM844" s="2"/>
    </row>
    <row r="845" spans="1:91">
      <c r="A845" s="2" t="s">
        <v>71</v>
      </c>
      <c r="B845" s="2" t="s">
        <v>72</v>
      </c>
      <c r="C845" s="2" t="s">
        <v>73</v>
      </c>
      <c r="D845" s="2"/>
      <c r="E845" s="2" t="str">
        <f>"FES1162567629"</f>
        <v>FES1162567629</v>
      </c>
      <c r="F845" s="3">
        <v>42955</v>
      </c>
      <c r="G845" s="2">
        <v>201802</v>
      </c>
      <c r="H845" s="2" t="s">
        <v>74</v>
      </c>
      <c r="I845" s="2" t="s">
        <v>75</v>
      </c>
      <c r="J845" s="2" t="s">
        <v>76</v>
      </c>
      <c r="K845" s="2" t="s">
        <v>77</v>
      </c>
      <c r="L845" s="2" t="s">
        <v>144</v>
      </c>
      <c r="M845" s="2" t="s">
        <v>145</v>
      </c>
      <c r="N845" s="2" t="s">
        <v>450</v>
      </c>
      <c r="O845" s="2" t="s">
        <v>100</v>
      </c>
      <c r="P845" s="2" t="str">
        <f>"2170581413                    "</f>
        <v xml:space="preserve">2170581413 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3.13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1</v>
      </c>
      <c r="BI845" s="2">
        <v>3.9</v>
      </c>
      <c r="BJ845" s="2">
        <v>1</v>
      </c>
      <c r="BK845" s="2">
        <v>4</v>
      </c>
      <c r="BL845" s="2">
        <v>32.380000000000003</v>
      </c>
      <c r="BM845" s="2">
        <v>4.53</v>
      </c>
      <c r="BN845" s="2">
        <v>36.909999999999997</v>
      </c>
      <c r="BO845" s="2">
        <v>36.909999999999997</v>
      </c>
      <c r="BP845" s="2" t="s">
        <v>101</v>
      </c>
      <c r="BQ845" s="2" t="s">
        <v>108</v>
      </c>
      <c r="BR845" s="2" t="s">
        <v>84</v>
      </c>
      <c r="BS845" s="3">
        <v>42957</v>
      </c>
      <c r="BT845" s="4">
        <v>0.34513888888888888</v>
      </c>
      <c r="BU845" s="2" t="s">
        <v>1464</v>
      </c>
      <c r="BV845" s="2" t="s">
        <v>86</v>
      </c>
      <c r="BW845" s="2" t="s">
        <v>124</v>
      </c>
      <c r="BX845" s="2" t="s">
        <v>327</v>
      </c>
      <c r="BY845" s="2">
        <v>4859.3999999999996</v>
      </c>
      <c r="BZ845" s="2"/>
      <c r="CA845" s="2" t="s">
        <v>729</v>
      </c>
      <c r="CB845" s="2"/>
      <c r="CC845" s="2" t="s">
        <v>145</v>
      </c>
      <c r="CD845" s="2">
        <v>2011</v>
      </c>
      <c r="CE845" s="2" t="s">
        <v>89</v>
      </c>
      <c r="CF845" s="5">
        <v>42958</v>
      </c>
      <c r="CG845" s="2"/>
      <c r="CH845" s="2"/>
      <c r="CI845" s="2">
        <v>1</v>
      </c>
      <c r="CJ845" s="2">
        <v>2</v>
      </c>
      <c r="CK845" s="2">
        <v>22</v>
      </c>
      <c r="CL845" s="2" t="s">
        <v>86</v>
      </c>
      <c r="CM845" s="2"/>
    </row>
    <row r="846" spans="1:91">
      <c r="A846" s="2" t="s">
        <v>71</v>
      </c>
      <c r="B846" s="2" t="s">
        <v>72</v>
      </c>
      <c r="C846" s="2" t="s">
        <v>73</v>
      </c>
      <c r="D846" s="2"/>
      <c r="E846" s="2" t="str">
        <f>"FES1162567907"</f>
        <v>FES1162567907</v>
      </c>
      <c r="F846" s="3">
        <v>42955</v>
      </c>
      <c r="G846" s="2">
        <v>201802</v>
      </c>
      <c r="H846" s="2" t="s">
        <v>74</v>
      </c>
      <c r="I846" s="2" t="s">
        <v>75</v>
      </c>
      <c r="J846" s="2" t="s">
        <v>76</v>
      </c>
      <c r="K846" s="2" t="s">
        <v>77</v>
      </c>
      <c r="L846" s="2" t="s">
        <v>137</v>
      </c>
      <c r="M846" s="2" t="s">
        <v>138</v>
      </c>
      <c r="N846" s="2" t="s">
        <v>226</v>
      </c>
      <c r="O846" s="2" t="s">
        <v>100</v>
      </c>
      <c r="P846" s="2" t="str">
        <f>"2170584073                    "</f>
        <v xml:space="preserve">2170584073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4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1</v>
      </c>
      <c r="BJ846" s="2">
        <v>0.2</v>
      </c>
      <c r="BK846" s="2">
        <v>1</v>
      </c>
      <c r="BL846" s="2">
        <v>41.44</v>
      </c>
      <c r="BM846" s="2">
        <v>5.8</v>
      </c>
      <c r="BN846" s="2">
        <v>47.24</v>
      </c>
      <c r="BO846" s="2">
        <v>47.24</v>
      </c>
      <c r="BP846" s="2" t="s">
        <v>101</v>
      </c>
      <c r="BQ846" s="2" t="s">
        <v>1155</v>
      </c>
      <c r="BR846" s="2" t="s">
        <v>84</v>
      </c>
      <c r="BS846" s="3">
        <v>42957</v>
      </c>
      <c r="BT846" s="4">
        <v>0.41666666666666669</v>
      </c>
      <c r="BU846" s="2" t="s">
        <v>1529</v>
      </c>
      <c r="BV846" s="2" t="s">
        <v>86</v>
      </c>
      <c r="BW846" s="2"/>
      <c r="BX846" s="2"/>
      <c r="BY846" s="2">
        <v>1200</v>
      </c>
      <c r="BZ846" s="2"/>
      <c r="CA846" s="2" t="s">
        <v>148</v>
      </c>
      <c r="CB846" s="2"/>
      <c r="CC846" s="2" t="s">
        <v>138</v>
      </c>
      <c r="CD846" s="2">
        <v>157</v>
      </c>
      <c r="CE846" s="2" t="s">
        <v>104</v>
      </c>
      <c r="CF846" s="5">
        <v>42958</v>
      </c>
      <c r="CG846" s="2"/>
      <c r="CH846" s="2"/>
      <c r="CI846" s="2">
        <v>1</v>
      </c>
      <c r="CJ846" s="2">
        <v>2</v>
      </c>
      <c r="CK846" s="2">
        <v>21</v>
      </c>
      <c r="CL846" s="2" t="s">
        <v>86</v>
      </c>
      <c r="CM846" s="2"/>
    </row>
    <row r="847" spans="1:91">
      <c r="A847" s="2" t="s">
        <v>71</v>
      </c>
      <c r="B847" s="2" t="s">
        <v>72</v>
      </c>
      <c r="C847" s="2" t="s">
        <v>73</v>
      </c>
      <c r="D847" s="2"/>
      <c r="E847" s="2" t="str">
        <f>"FES1162567644"</f>
        <v>FES1162567644</v>
      </c>
      <c r="F847" s="3">
        <v>42955</v>
      </c>
      <c r="G847" s="2">
        <v>201802</v>
      </c>
      <c r="H847" s="2" t="s">
        <v>74</v>
      </c>
      <c r="I847" s="2" t="s">
        <v>75</v>
      </c>
      <c r="J847" s="2" t="s">
        <v>76</v>
      </c>
      <c r="K847" s="2" t="s">
        <v>77</v>
      </c>
      <c r="L847" s="2" t="s">
        <v>144</v>
      </c>
      <c r="M847" s="2" t="s">
        <v>145</v>
      </c>
      <c r="N847" s="2" t="s">
        <v>295</v>
      </c>
      <c r="O847" s="2" t="s">
        <v>100</v>
      </c>
      <c r="P847" s="2" t="str">
        <f>"2170583751                    "</f>
        <v xml:space="preserve">2170583751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3.13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1</v>
      </c>
      <c r="BJ847" s="2">
        <v>2.7</v>
      </c>
      <c r="BK847" s="2">
        <v>3</v>
      </c>
      <c r="BL847" s="2">
        <v>32.380000000000003</v>
      </c>
      <c r="BM847" s="2">
        <v>4.53</v>
      </c>
      <c r="BN847" s="2">
        <v>36.909999999999997</v>
      </c>
      <c r="BO847" s="2">
        <v>36.909999999999997</v>
      </c>
      <c r="BP847" s="2"/>
      <c r="BQ847" s="2" t="s">
        <v>288</v>
      </c>
      <c r="BR847" s="2" t="s">
        <v>84</v>
      </c>
      <c r="BS847" s="3">
        <v>42957</v>
      </c>
      <c r="BT847" s="4">
        <v>0.4375</v>
      </c>
      <c r="BU847" s="2" t="s">
        <v>1522</v>
      </c>
      <c r="BV847" s="2" t="s">
        <v>86</v>
      </c>
      <c r="BW847" s="2" t="s">
        <v>124</v>
      </c>
      <c r="BX847" s="2" t="s">
        <v>1150</v>
      </c>
      <c r="BY847" s="2">
        <v>13438.66</v>
      </c>
      <c r="BZ847" s="2"/>
      <c r="CA847" s="2" t="s">
        <v>1355</v>
      </c>
      <c r="CB847" s="2"/>
      <c r="CC847" s="2" t="s">
        <v>145</v>
      </c>
      <c r="CD847" s="2">
        <v>2013</v>
      </c>
      <c r="CE847" s="2" t="s">
        <v>104</v>
      </c>
      <c r="CF847" s="5">
        <v>42958</v>
      </c>
      <c r="CG847" s="2"/>
      <c r="CH847" s="2"/>
      <c r="CI847" s="2">
        <v>1</v>
      </c>
      <c r="CJ847" s="2">
        <v>2</v>
      </c>
      <c r="CK847" s="2">
        <v>22</v>
      </c>
      <c r="CL847" s="2" t="s">
        <v>86</v>
      </c>
      <c r="CM847" s="2"/>
    </row>
    <row r="848" spans="1:91">
      <c r="A848" s="2" t="s">
        <v>71</v>
      </c>
      <c r="B848" s="2" t="s">
        <v>72</v>
      </c>
      <c r="C848" s="2" t="s">
        <v>73</v>
      </c>
      <c r="D848" s="2"/>
      <c r="E848" s="2" t="str">
        <f>"FES1162567766"</f>
        <v>FES1162567766</v>
      </c>
      <c r="F848" s="3">
        <v>42955</v>
      </c>
      <c r="G848" s="2">
        <v>201802</v>
      </c>
      <c r="H848" s="2" t="s">
        <v>74</v>
      </c>
      <c r="I848" s="2" t="s">
        <v>75</v>
      </c>
      <c r="J848" s="2" t="s">
        <v>76</v>
      </c>
      <c r="K848" s="2" t="s">
        <v>77</v>
      </c>
      <c r="L848" s="2" t="s">
        <v>237</v>
      </c>
      <c r="M848" s="2" t="s">
        <v>238</v>
      </c>
      <c r="N848" s="2" t="s">
        <v>1530</v>
      </c>
      <c r="O848" s="2" t="s">
        <v>100</v>
      </c>
      <c r="P848" s="2" t="str">
        <f>"2170583907                    "</f>
        <v xml:space="preserve">2170583907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4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1</v>
      </c>
      <c r="BJ848" s="2">
        <v>0.2</v>
      </c>
      <c r="BK848" s="2">
        <v>1</v>
      </c>
      <c r="BL848" s="2">
        <v>41.44</v>
      </c>
      <c r="BM848" s="2">
        <v>5.8</v>
      </c>
      <c r="BN848" s="2">
        <v>47.24</v>
      </c>
      <c r="BO848" s="2">
        <v>47.24</v>
      </c>
      <c r="BP848" s="2" t="s">
        <v>101</v>
      </c>
      <c r="BQ848" s="2" t="s">
        <v>1531</v>
      </c>
      <c r="BR848" s="2" t="s">
        <v>84</v>
      </c>
      <c r="BS848" s="3">
        <v>42957</v>
      </c>
      <c r="BT848" s="4">
        <v>0.4375</v>
      </c>
      <c r="BU848" s="2" t="s">
        <v>1532</v>
      </c>
      <c r="BV848" s="2" t="s">
        <v>86</v>
      </c>
      <c r="BW848" s="2" t="s">
        <v>87</v>
      </c>
      <c r="BX848" s="2" t="s">
        <v>337</v>
      </c>
      <c r="BY848" s="2">
        <v>1200</v>
      </c>
      <c r="BZ848" s="2"/>
      <c r="CA848" s="2" t="s">
        <v>672</v>
      </c>
      <c r="CB848" s="2"/>
      <c r="CC848" s="2" t="s">
        <v>238</v>
      </c>
      <c r="CD848" s="2">
        <v>3610</v>
      </c>
      <c r="CE848" s="2" t="s">
        <v>104</v>
      </c>
      <c r="CF848" s="5">
        <v>42958</v>
      </c>
      <c r="CG848" s="2"/>
      <c r="CH848" s="2"/>
      <c r="CI848" s="2">
        <v>1</v>
      </c>
      <c r="CJ848" s="2">
        <v>2</v>
      </c>
      <c r="CK848" s="2">
        <v>21</v>
      </c>
      <c r="CL848" s="2" t="s">
        <v>86</v>
      </c>
      <c r="CM848" s="2"/>
    </row>
    <row r="849" spans="1:91">
      <c r="A849" s="2" t="s">
        <v>71</v>
      </c>
      <c r="B849" s="2" t="s">
        <v>72</v>
      </c>
      <c r="C849" s="2" t="s">
        <v>73</v>
      </c>
      <c r="D849" s="2"/>
      <c r="E849" s="2" t="str">
        <f>"FES1162567690"</f>
        <v>FES1162567690</v>
      </c>
      <c r="F849" s="3">
        <v>42955</v>
      </c>
      <c r="G849" s="2">
        <v>201802</v>
      </c>
      <c r="H849" s="2" t="s">
        <v>74</v>
      </c>
      <c r="I849" s="2" t="s">
        <v>75</v>
      </c>
      <c r="J849" s="2" t="s">
        <v>76</v>
      </c>
      <c r="K849" s="2" t="s">
        <v>77</v>
      </c>
      <c r="L849" s="2" t="s">
        <v>417</v>
      </c>
      <c r="M849" s="2" t="s">
        <v>417</v>
      </c>
      <c r="N849" s="2" t="s">
        <v>1414</v>
      </c>
      <c r="O849" s="2" t="s">
        <v>100</v>
      </c>
      <c r="P849" s="2" t="str">
        <f>"2170575453                    "</f>
        <v xml:space="preserve">2170575453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6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2.9</v>
      </c>
      <c r="BJ849" s="2">
        <v>1.4</v>
      </c>
      <c r="BK849" s="2">
        <v>3</v>
      </c>
      <c r="BL849" s="2">
        <v>62.16</v>
      </c>
      <c r="BM849" s="2">
        <v>8.6999999999999993</v>
      </c>
      <c r="BN849" s="2">
        <v>70.86</v>
      </c>
      <c r="BO849" s="2">
        <v>70.86</v>
      </c>
      <c r="BP849" s="2"/>
      <c r="BQ849" s="2" t="s">
        <v>108</v>
      </c>
      <c r="BR849" s="2" t="s">
        <v>84</v>
      </c>
      <c r="BS849" s="3">
        <v>42957</v>
      </c>
      <c r="BT849" s="4">
        <v>0.57638888888888895</v>
      </c>
      <c r="BU849" s="2" t="s">
        <v>1533</v>
      </c>
      <c r="BV849" s="2" t="s">
        <v>86</v>
      </c>
      <c r="BW849" s="2" t="s">
        <v>336</v>
      </c>
      <c r="BX849" s="2" t="s">
        <v>116</v>
      </c>
      <c r="BY849" s="2">
        <v>6851.03</v>
      </c>
      <c r="BZ849" s="2"/>
      <c r="CA849" s="2"/>
      <c r="CB849" s="2"/>
      <c r="CC849" s="2" t="s">
        <v>417</v>
      </c>
      <c r="CD849" s="2">
        <v>7646</v>
      </c>
      <c r="CE849" s="2" t="s">
        <v>89</v>
      </c>
      <c r="CF849" s="5">
        <v>42957</v>
      </c>
      <c r="CG849" s="2"/>
      <c r="CH849" s="2"/>
      <c r="CI849" s="2">
        <v>1</v>
      </c>
      <c r="CJ849" s="2">
        <v>2</v>
      </c>
      <c r="CK849" s="2">
        <v>21</v>
      </c>
      <c r="CL849" s="2" t="s">
        <v>86</v>
      </c>
      <c r="CM849" s="2"/>
    </row>
    <row r="850" spans="1:91">
      <c r="A850" s="2" t="s">
        <v>71</v>
      </c>
      <c r="B850" s="2" t="s">
        <v>72</v>
      </c>
      <c r="C850" s="2" t="s">
        <v>73</v>
      </c>
      <c r="D850" s="2"/>
      <c r="E850" s="2" t="str">
        <f>"FES1162567874"</f>
        <v>FES1162567874</v>
      </c>
      <c r="F850" s="3">
        <v>42955</v>
      </c>
      <c r="G850" s="2">
        <v>201802</v>
      </c>
      <c r="H850" s="2" t="s">
        <v>74</v>
      </c>
      <c r="I850" s="2" t="s">
        <v>75</v>
      </c>
      <c r="J850" s="2" t="s">
        <v>76</v>
      </c>
      <c r="K850" s="2" t="s">
        <v>77</v>
      </c>
      <c r="L850" s="2" t="s">
        <v>221</v>
      </c>
      <c r="M850" s="2" t="s">
        <v>222</v>
      </c>
      <c r="N850" s="2" t="s">
        <v>1275</v>
      </c>
      <c r="O850" s="2" t="s">
        <v>100</v>
      </c>
      <c r="P850" s="2" t="str">
        <f>"2170584035                    "</f>
        <v xml:space="preserve">2170584035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4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1</v>
      </c>
      <c r="BJ850" s="2">
        <v>0.2</v>
      </c>
      <c r="BK850" s="2">
        <v>1</v>
      </c>
      <c r="BL850" s="2">
        <v>41.44</v>
      </c>
      <c r="BM850" s="2">
        <v>5.8</v>
      </c>
      <c r="BN850" s="2">
        <v>47.24</v>
      </c>
      <c r="BO850" s="2">
        <v>47.24</v>
      </c>
      <c r="BP850" s="2" t="s">
        <v>101</v>
      </c>
      <c r="BQ850" s="2" t="s">
        <v>1534</v>
      </c>
      <c r="BR850" s="2" t="s">
        <v>84</v>
      </c>
      <c r="BS850" s="3">
        <v>42957</v>
      </c>
      <c r="BT850" s="4">
        <v>0.40625</v>
      </c>
      <c r="BU850" s="2" t="s">
        <v>1535</v>
      </c>
      <c r="BV850" s="2" t="s">
        <v>86</v>
      </c>
      <c r="BW850" s="2" t="s">
        <v>87</v>
      </c>
      <c r="BX850" s="2" t="s">
        <v>337</v>
      </c>
      <c r="BY850" s="2">
        <v>1200</v>
      </c>
      <c r="BZ850" s="2"/>
      <c r="CA850" s="2" t="s">
        <v>1536</v>
      </c>
      <c r="CB850" s="2"/>
      <c r="CC850" s="2" t="s">
        <v>222</v>
      </c>
      <c r="CD850" s="2">
        <v>4300</v>
      </c>
      <c r="CE850" s="2" t="s">
        <v>104</v>
      </c>
      <c r="CF850" s="5">
        <v>42958</v>
      </c>
      <c r="CG850" s="2"/>
      <c r="CH850" s="2"/>
      <c r="CI850" s="2">
        <v>1</v>
      </c>
      <c r="CJ850" s="2">
        <v>2</v>
      </c>
      <c r="CK850" s="2">
        <v>21</v>
      </c>
      <c r="CL850" s="2" t="s">
        <v>86</v>
      </c>
      <c r="CM850" s="2"/>
    </row>
    <row r="851" spans="1:91">
      <c r="A851" s="2" t="s">
        <v>71</v>
      </c>
      <c r="B851" s="2" t="s">
        <v>72</v>
      </c>
      <c r="C851" s="2" t="s">
        <v>73</v>
      </c>
      <c r="D851" s="2"/>
      <c r="E851" s="2" t="str">
        <f>"FES1162567835"</f>
        <v>FES1162567835</v>
      </c>
      <c r="F851" s="3">
        <v>42955</v>
      </c>
      <c r="G851" s="2">
        <v>201802</v>
      </c>
      <c r="H851" s="2" t="s">
        <v>74</v>
      </c>
      <c r="I851" s="2" t="s">
        <v>75</v>
      </c>
      <c r="J851" s="2" t="s">
        <v>76</v>
      </c>
      <c r="K851" s="2" t="s">
        <v>77</v>
      </c>
      <c r="L851" s="2" t="s">
        <v>149</v>
      </c>
      <c r="M851" s="2" t="s">
        <v>150</v>
      </c>
      <c r="N851" s="2" t="s">
        <v>1537</v>
      </c>
      <c r="O851" s="2" t="s">
        <v>100</v>
      </c>
      <c r="P851" s="2" t="str">
        <f>"2170583994                    "</f>
        <v xml:space="preserve">2170583994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4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1</v>
      </c>
      <c r="BI851" s="2">
        <v>1</v>
      </c>
      <c r="BJ851" s="2">
        <v>0.2</v>
      </c>
      <c r="BK851" s="2">
        <v>1</v>
      </c>
      <c r="BL851" s="2">
        <v>41.44</v>
      </c>
      <c r="BM851" s="2">
        <v>5.8</v>
      </c>
      <c r="BN851" s="2">
        <v>47.24</v>
      </c>
      <c r="BO851" s="2">
        <v>47.24</v>
      </c>
      <c r="BP851" s="2" t="s">
        <v>101</v>
      </c>
      <c r="BQ851" s="2" t="s">
        <v>1538</v>
      </c>
      <c r="BR851" s="2" t="s">
        <v>84</v>
      </c>
      <c r="BS851" s="3">
        <v>42957</v>
      </c>
      <c r="BT851" s="4">
        <v>0.42152777777777778</v>
      </c>
      <c r="BU851" s="2" t="s">
        <v>1539</v>
      </c>
      <c r="BV851" s="2" t="s">
        <v>86</v>
      </c>
      <c r="BW851" s="2" t="s">
        <v>87</v>
      </c>
      <c r="BX851" s="2" t="s">
        <v>337</v>
      </c>
      <c r="BY851" s="2">
        <v>1200</v>
      </c>
      <c r="BZ851" s="2"/>
      <c r="CA851" s="2" t="s">
        <v>347</v>
      </c>
      <c r="CB851" s="2"/>
      <c r="CC851" s="2" t="s">
        <v>150</v>
      </c>
      <c r="CD851" s="2">
        <v>4001</v>
      </c>
      <c r="CE851" s="2" t="s">
        <v>104</v>
      </c>
      <c r="CF851" s="5">
        <v>42957</v>
      </c>
      <c r="CG851" s="2"/>
      <c r="CH851" s="2"/>
      <c r="CI851" s="2">
        <v>1</v>
      </c>
      <c r="CJ851" s="2">
        <v>2</v>
      </c>
      <c r="CK851" s="2">
        <v>21</v>
      </c>
      <c r="CL851" s="2" t="s">
        <v>86</v>
      </c>
      <c r="CM851" s="2"/>
    </row>
    <row r="852" spans="1:91">
      <c r="A852" s="2" t="s">
        <v>71</v>
      </c>
      <c r="B852" s="2" t="s">
        <v>72</v>
      </c>
      <c r="C852" s="2" t="s">
        <v>73</v>
      </c>
      <c r="D852" s="2"/>
      <c r="E852" s="2" t="str">
        <f>"FES1162567888"</f>
        <v>FES1162567888</v>
      </c>
      <c r="F852" s="3">
        <v>42955</v>
      </c>
      <c r="G852" s="2">
        <v>201802</v>
      </c>
      <c r="H852" s="2" t="s">
        <v>74</v>
      </c>
      <c r="I852" s="2" t="s">
        <v>75</v>
      </c>
      <c r="J852" s="2" t="s">
        <v>76</v>
      </c>
      <c r="K852" s="2" t="s">
        <v>77</v>
      </c>
      <c r="L852" s="2" t="s">
        <v>604</v>
      </c>
      <c r="M852" s="2" t="s">
        <v>605</v>
      </c>
      <c r="N852" s="2" t="s">
        <v>391</v>
      </c>
      <c r="O852" s="2" t="s">
        <v>100</v>
      </c>
      <c r="P852" s="2" t="str">
        <f>"2170583545                    "</f>
        <v xml:space="preserve">2170583545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7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1</v>
      </c>
      <c r="BI852" s="2">
        <v>3.4</v>
      </c>
      <c r="BJ852" s="2">
        <v>1</v>
      </c>
      <c r="BK852" s="2">
        <v>3.5</v>
      </c>
      <c r="BL852" s="2">
        <v>72.52</v>
      </c>
      <c r="BM852" s="2">
        <v>10.15</v>
      </c>
      <c r="BN852" s="2">
        <v>82.67</v>
      </c>
      <c r="BO852" s="2">
        <v>82.67</v>
      </c>
      <c r="BP852" s="2" t="s">
        <v>101</v>
      </c>
      <c r="BQ852" s="2" t="s">
        <v>1540</v>
      </c>
      <c r="BR852" s="2" t="s">
        <v>84</v>
      </c>
      <c r="BS852" s="3">
        <v>42957</v>
      </c>
      <c r="BT852" s="4">
        <v>0.37152777777777773</v>
      </c>
      <c r="BU852" s="2" t="s">
        <v>215</v>
      </c>
      <c r="BV852" s="2" t="s">
        <v>86</v>
      </c>
      <c r="BW852" s="2" t="s">
        <v>87</v>
      </c>
      <c r="BX852" s="2" t="s">
        <v>337</v>
      </c>
      <c r="BY852" s="2">
        <v>4946.9799999999996</v>
      </c>
      <c r="BZ852" s="2"/>
      <c r="CA852" s="2" t="s">
        <v>607</v>
      </c>
      <c r="CB852" s="2"/>
      <c r="CC852" s="2" t="s">
        <v>605</v>
      </c>
      <c r="CD852" s="2">
        <v>4126</v>
      </c>
      <c r="CE852" s="2" t="s">
        <v>89</v>
      </c>
      <c r="CF852" s="5">
        <v>42957</v>
      </c>
      <c r="CG852" s="2"/>
      <c r="CH852" s="2"/>
      <c r="CI852" s="2">
        <v>1</v>
      </c>
      <c r="CJ852" s="2">
        <v>2</v>
      </c>
      <c r="CK852" s="2">
        <v>21</v>
      </c>
      <c r="CL852" s="2" t="s">
        <v>86</v>
      </c>
      <c r="CM852" s="2"/>
    </row>
    <row r="853" spans="1:91">
      <c r="A853" s="2" t="s">
        <v>71</v>
      </c>
      <c r="B853" s="2" t="s">
        <v>72</v>
      </c>
      <c r="C853" s="2" t="s">
        <v>73</v>
      </c>
      <c r="D853" s="2"/>
      <c r="E853" s="2" t="str">
        <f>"FES1162567822"</f>
        <v>FES1162567822</v>
      </c>
      <c r="F853" s="3">
        <v>42955</v>
      </c>
      <c r="G853" s="2">
        <v>201802</v>
      </c>
      <c r="H853" s="2" t="s">
        <v>74</v>
      </c>
      <c r="I853" s="2" t="s">
        <v>75</v>
      </c>
      <c r="J853" s="2" t="s">
        <v>76</v>
      </c>
      <c r="K853" s="2" t="s">
        <v>77</v>
      </c>
      <c r="L853" s="2" t="s">
        <v>149</v>
      </c>
      <c r="M853" s="2" t="s">
        <v>150</v>
      </c>
      <c r="N853" s="2" t="s">
        <v>1541</v>
      </c>
      <c r="O853" s="2" t="s">
        <v>100</v>
      </c>
      <c r="P853" s="2" t="str">
        <f>"2170583981                    "</f>
        <v xml:space="preserve">2170583981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4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1</v>
      </c>
      <c r="BJ853" s="2">
        <v>0.2</v>
      </c>
      <c r="BK853" s="2">
        <v>1</v>
      </c>
      <c r="BL853" s="2">
        <v>41.44</v>
      </c>
      <c r="BM853" s="2">
        <v>5.8</v>
      </c>
      <c r="BN853" s="2">
        <v>47.24</v>
      </c>
      <c r="BO853" s="2">
        <v>47.24</v>
      </c>
      <c r="BP853" s="2" t="s">
        <v>101</v>
      </c>
      <c r="BQ853" s="2" t="s">
        <v>1542</v>
      </c>
      <c r="BR853" s="2" t="s">
        <v>84</v>
      </c>
      <c r="BS853" s="3">
        <v>42957</v>
      </c>
      <c r="BT853" s="4">
        <v>0.41041666666666665</v>
      </c>
      <c r="BU853" s="2" t="s">
        <v>1543</v>
      </c>
      <c r="BV853" s="2" t="s">
        <v>86</v>
      </c>
      <c r="BW853" s="2" t="s">
        <v>87</v>
      </c>
      <c r="BX853" s="2" t="s">
        <v>337</v>
      </c>
      <c r="BY853" s="2">
        <v>1200</v>
      </c>
      <c r="BZ853" s="2"/>
      <c r="CA853" s="2" t="s">
        <v>235</v>
      </c>
      <c r="CB853" s="2"/>
      <c r="CC853" s="2" t="s">
        <v>150</v>
      </c>
      <c r="CD853" s="2">
        <v>4052</v>
      </c>
      <c r="CE853" s="2" t="s">
        <v>104</v>
      </c>
      <c r="CF853" s="5">
        <v>42958</v>
      </c>
      <c r="CG853" s="2"/>
      <c r="CH853" s="2"/>
      <c r="CI853" s="2">
        <v>1</v>
      </c>
      <c r="CJ853" s="2">
        <v>2</v>
      </c>
      <c r="CK853" s="2">
        <v>21</v>
      </c>
      <c r="CL853" s="2" t="s">
        <v>86</v>
      </c>
      <c r="CM853" s="2"/>
    </row>
    <row r="854" spans="1:91">
      <c r="A854" s="2" t="s">
        <v>71</v>
      </c>
      <c r="B854" s="2" t="s">
        <v>72</v>
      </c>
      <c r="C854" s="2" t="s">
        <v>73</v>
      </c>
      <c r="D854" s="2"/>
      <c r="E854" s="2" t="str">
        <f>"FES1162567859"</f>
        <v>FES1162567859</v>
      </c>
      <c r="F854" s="3">
        <v>42955</v>
      </c>
      <c r="G854" s="2">
        <v>201802</v>
      </c>
      <c r="H854" s="2" t="s">
        <v>74</v>
      </c>
      <c r="I854" s="2" t="s">
        <v>75</v>
      </c>
      <c r="J854" s="2" t="s">
        <v>76</v>
      </c>
      <c r="K854" s="2" t="s">
        <v>77</v>
      </c>
      <c r="L854" s="2" t="s">
        <v>97</v>
      </c>
      <c r="M854" s="2" t="s">
        <v>98</v>
      </c>
      <c r="N854" s="2" t="s">
        <v>1544</v>
      </c>
      <c r="O854" s="2" t="s">
        <v>100</v>
      </c>
      <c r="P854" s="2" t="str">
        <f>"2170582479                    "</f>
        <v xml:space="preserve">2170582479  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4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1</v>
      </c>
      <c r="BJ854" s="2">
        <v>0.2</v>
      </c>
      <c r="BK854" s="2">
        <v>1</v>
      </c>
      <c r="BL854" s="2">
        <v>41.44</v>
      </c>
      <c r="BM854" s="2">
        <v>5.8</v>
      </c>
      <c r="BN854" s="2">
        <v>47.24</v>
      </c>
      <c r="BO854" s="2">
        <v>47.24</v>
      </c>
      <c r="BP854" s="2" t="s">
        <v>101</v>
      </c>
      <c r="BQ854" s="2" t="s">
        <v>1545</v>
      </c>
      <c r="BR854" s="2" t="s">
        <v>84</v>
      </c>
      <c r="BS854" s="3">
        <v>42957</v>
      </c>
      <c r="BT854" s="4">
        <v>0.32083333333333336</v>
      </c>
      <c r="BU854" s="2" t="s">
        <v>1546</v>
      </c>
      <c r="BV854" s="2" t="s">
        <v>86</v>
      </c>
      <c r="BW854" s="2"/>
      <c r="BX854" s="2"/>
      <c r="BY854" s="2">
        <v>1200</v>
      </c>
      <c r="BZ854" s="2"/>
      <c r="CA854" s="2" t="s">
        <v>600</v>
      </c>
      <c r="CB854" s="2"/>
      <c r="CC854" s="2" t="s">
        <v>98</v>
      </c>
      <c r="CD854" s="2">
        <v>6045</v>
      </c>
      <c r="CE854" s="2" t="s">
        <v>104</v>
      </c>
      <c r="CF854" s="5">
        <v>42958</v>
      </c>
      <c r="CG854" s="2"/>
      <c r="CH854" s="2"/>
      <c r="CI854" s="2">
        <v>1</v>
      </c>
      <c r="CJ854" s="2">
        <v>2</v>
      </c>
      <c r="CK854" s="2">
        <v>21</v>
      </c>
      <c r="CL854" s="2" t="s">
        <v>86</v>
      </c>
      <c r="CM854" s="2"/>
    </row>
    <row r="855" spans="1:91">
      <c r="A855" s="2" t="s">
        <v>71</v>
      </c>
      <c r="B855" s="2" t="s">
        <v>72</v>
      </c>
      <c r="C855" s="2" t="s">
        <v>73</v>
      </c>
      <c r="D855" s="2"/>
      <c r="E855" s="2" t="str">
        <f>"FES1162567767"</f>
        <v>FES1162567767</v>
      </c>
      <c r="F855" s="3">
        <v>42955</v>
      </c>
      <c r="G855" s="2">
        <v>201802</v>
      </c>
      <c r="H855" s="2" t="s">
        <v>74</v>
      </c>
      <c r="I855" s="2" t="s">
        <v>75</v>
      </c>
      <c r="J855" s="2" t="s">
        <v>76</v>
      </c>
      <c r="K855" s="2" t="s">
        <v>77</v>
      </c>
      <c r="L855" s="2" t="s">
        <v>237</v>
      </c>
      <c r="M855" s="2" t="s">
        <v>238</v>
      </c>
      <c r="N855" s="2" t="s">
        <v>1547</v>
      </c>
      <c r="O855" s="2" t="s">
        <v>100</v>
      </c>
      <c r="P855" s="2" t="str">
        <f>"2170583908                    "</f>
        <v xml:space="preserve">2170583908 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4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1</v>
      </c>
      <c r="BJ855" s="2">
        <v>0.2</v>
      </c>
      <c r="BK855" s="2">
        <v>1</v>
      </c>
      <c r="BL855" s="2">
        <v>41.44</v>
      </c>
      <c r="BM855" s="2">
        <v>5.8</v>
      </c>
      <c r="BN855" s="2">
        <v>47.24</v>
      </c>
      <c r="BO855" s="2">
        <v>47.24</v>
      </c>
      <c r="BP855" s="2" t="s">
        <v>101</v>
      </c>
      <c r="BQ855" s="2" t="s">
        <v>1548</v>
      </c>
      <c r="BR855" s="2" t="s">
        <v>84</v>
      </c>
      <c r="BS855" s="3">
        <v>42957</v>
      </c>
      <c r="BT855" s="4">
        <v>0.33888888888888885</v>
      </c>
      <c r="BU855" s="2" t="s">
        <v>1549</v>
      </c>
      <c r="BV855" s="2" t="s">
        <v>86</v>
      </c>
      <c r="BW855" s="2" t="s">
        <v>87</v>
      </c>
      <c r="BX855" s="2" t="s">
        <v>337</v>
      </c>
      <c r="BY855" s="2">
        <v>1200</v>
      </c>
      <c r="BZ855" s="2"/>
      <c r="CA855" s="2" t="s">
        <v>672</v>
      </c>
      <c r="CB855" s="2"/>
      <c r="CC855" s="2" t="s">
        <v>238</v>
      </c>
      <c r="CD855" s="2">
        <v>3610</v>
      </c>
      <c r="CE855" s="2" t="s">
        <v>104</v>
      </c>
      <c r="CF855" s="5">
        <v>42958</v>
      </c>
      <c r="CG855" s="2"/>
      <c r="CH855" s="2"/>
      <c r="CI855" s="2">
        <v>1</v>
      </c>
      <c r="CJ855" s="2">
        <v>2</v>
      </c>
      <c r="CK855" s="2">
        <v>21</v>
      </c>
      <c r="CL855" s="2" t="s">
        <v>86</v>
      </c>
      <c r="CM855" s="2"/>
    </row>
    <row r="856" spans="1:91">
      <c r="A856" s="2" t="s">
        <v>71</v>
      </c>
      <c r="B856" s="2" t="s">
        <v>72</v>
      </c>
      <c r="C856" s="2" t="s">
        <v>73</v>
      </c>
      <c r="D856" s="2"/>
      <c r="E856" s="2" t="str">
        <f>"FES1162567877"</f>
        <v>FES1162567877</v>
      </c>
      <c r="F856" s="3">
        <v>42955</v>
      </c>
      <c r="G856" s="2">
        <v>201802</v>
      </c>
      <c r="H856" s="2" t="s">
        <v>74</v>
      </c>
      <c r="I856" s="2" t="s">
        <v>75</v>
      </c>
      <c r="J856" s="2" t="s">
        <v>76</v>
      </c>
      <c r="K856" s="2" t="s">
        <v>77</v>
      </c>
      <c r="L856" s="2" t="s">
        <v>321</v>
      </c>
      <c r="M856" s="2" t="s">
        <v>322</v>
      </c>
      <c r="N856" s="2" t="s">
        <v>1362</v>
      </c>
      <c r="O856" s="2" t="s">
        <v>100</v>
      </c>
      <c r="P856" s="2" t="str">
        <f>"2170567877                    "</f>
        <v xml:space="preserve">2170567877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4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1</v>
      </c>
      <c r="BJ856" s="2">
        <v>0.2</v>
      </c>
      <c r="BK856" s="2">
        <v>1</v>
      </c>
      <c r="BL856" s="2">
        <v>41.44</v>
      </c>
      <c r="BM856" s="2">
        <v>5.8</v>
      </c>
      <c r="BN856" s="2">
        <v>47.24</v>
      </c>
      <c r="BO856" s="2">
        <v>47.24</v>
      </c>
      <c r="BP856" s="2" t="s">
        <v>101</v>
      </c>
      <c r="BQ856" s="2" t="s">
        <v>1550</v>
      </c>
      <c r="BR856" s="2" t="s">
        <v>84</v>
      </c>
      <c r="BS856" s="3">
        <v>42957</v>
      </c>
      <c r="BT856" s="4">
        <v>0.39166666666666666</v>
      </c>
      <c r="BU856" s="2" t="s">
        <v>1551</v>
      </c>
      <c r="BV856" s="2" t="s">
        <v>86</v>
      </c>
      <c r="BW856" s="2"/>
      <c r="BX856" s="2"/>
      <c r="BY856" s="2">
        <v>1200</v>
      </c>
      <c r="BZ856" s="2"/>
      <c r="CA856" s="2" t="s">
        <v>103</v>
      </c>
      <c r="CB856" s="2"/>
      <c r="CC856" s="2" t="s">
        <v>322</v>
      </c>
      <c r="CD856" s="2">
        <v>6220</v>
      </c>
      <c r="CE856" s="2" t="s">
        <v>104</v>
      </c>
      <c r="CF856" s="5">
        <v>42958</v>
      </c>
      <c r="CG856" s="2"/>
      <c r="CH856" s="2"/>
      <c r="CI856" s="2">
        <v>1</v>
      </c>
      <c r="CJ856" s="2">
        <v>2</v>
      </c>
      <c r="CK856" s="2">
        <v>21</v>
      </c>
      <c r="CL856" s="2" t="s">
        <v>86</v>
      </c>
      <c r="CM856" s="2"/>
    </row>
    <row r="857" spans="1:91">
      <c r="A857" s="2" t="s">
        <v>71</v>
      </c>
      <c r="B857" s="2" t="s">
        <v>72</v>
      </c>
      <c r="C857" s="2" t="s">
        <v>73</v>
      </c>
      <c r="D857" s="2"/>
      <c r="E857" s="2" t="str">
        <f>"FES1162567792"</f>
        <v>FES1162567792</v>
      </c>
      <c r="F857" s="3">
        <v>42955</v>
      </c>
      <c r="G857" s="2">
        <v>201802</v>
      </c>
      <c r="H857" s="2" t="s">
        <v>74</v>
      </c>
      <c r="I857" s="2" t="s">
        <v>75</v>
      </c>
      <c r="J857" s="2" t="s">
        <v>76</v>
      </c>
      <c r="K857" s="2" t="s">
        <v>77</v>
      </c>
      <c r="L857" s="2" t="s">
        <v>105</v>
      </c>
      <c r="M857" s="2" t="s">
        <v>106</v>
      </c>
      <c r="N857" s="2" t="s">
        <v>1491</v>
      </c>
      <c r="O857" s="2" t="s">
        <v>100</v>
      </c>
      <c r="P857" s="2" t="str">
        <f>"2170583937                    "</f>
        <v xml:space="preserve">2170583937 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4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1</v>
      </c>
      <c r="BJ857" s="2">
        <v>0.2</v>
      </c>
      <c r="BK857" s="2">
        <v>1</v>
      </c>
      <c r="BL857" s="2">
        <v>41.44</v>
      </c>
      <c r="BM857" s="2">
        <v>5.8</v>
      </c>
      <c r="BN857" s="2">
        <v>47.24</v>
      </c>
      <c r="BO857" s="2">
        <v>47.24</v>
      </c>
      <c r="BP857" s="2" t="s">
        <v>101</v>
      </c>
      <c r="BQ857" s="2" t="s">
        <v>1492</v>
      </c>
      <c r="BR857" s="2" t="s">
        <v>84</v>
      </c>
      <c r="BS857" s="3">
        <v>42957</v>
      </c>
      <c r="BT857" s="4">
        <v>0.44791666666666669</v>
      </c>
      <c r="BU857" s="2" t="s">
        <v>1074</v>
      </c>
      <c r="BV857" s="2" t="s">
        <v>86</v>
      </c>
      <c r="BW857" s="2" t="s">
        <v>115</v>
      </c>
      <c r="BX857" s="2" t="s">
        <v>116</v>
      </c>
      <c r="BY857" s="2">
        <v>1200</v>
      </c>
      <c r="BZ857" s="2"/>
      <c r="CA857" s="2" t="s">
        <v>654</v>
      </c>
      <c r="CB857" s="2"/>
      <c r="CC857" s="2" t="s">
        <v>106</v>
      </c>
      <c r="CD857" s="2">
        <v>7490</v>
      </c>
      <c r="CE857" s="2" t="s">
        <v>104</v>
      </c>
      <c r="CF857" s="5">
        <v>42958</v>
      </c>
      <c r="CG857" s="2"/>
      <c r="CH857" s="2"/>
      <c r="CI857" s="2">
        <v>1</v>
      </c>
      <c r="CJ857" s="2">
        <v>2</v>
      </c>
      <c r="CK857" s="2">
        <v>21</v>
      </c>
      <c r="CL857" s="2" t="s">
        <v>86</v>
      </c>
      <c r="CM857" s="2"/>
    </row>
    <row r="858" spans="1:91">
      <c r="A858" s="2" t="s">
        <v>71</v>
      </c>
      <c r="B858" s="2" t="s">
        <v>72</v>
      </c>
      <c r="C858" s="2" t="s">
        <v>73</v>
      </c>
      <c r="D858" s="2"/>
      <c r="E858" s="2" t="str">
        <f>"FES1162567884"</f>
        <v>FES1162567884</v>
      </c>
      <c r="F858" s="3">
        <v>42955</v>
      </c>
      <c r="G858" s="2">
        <v>201802</v>
      </c>
      <c r="H858" s="2" t="s">
        <v>74</v>
      </c>
      <c r="I858" s="2" t="s">
        <v>75</v>
      </c>
      <c r="J858" s="2" t="s">
        <v>76</v>
      </c>
      <c r="K858" s="2" t="s">
        <v>77</v>
      </c>
      <c r="L858" s="2" t="s">
        <v>417</v>
      </c>
      <c r="M858" s="2" t="s">
        <v>417</v>
      </c>
      <c r="N858" s="2" t="s">
        <v>1309</v>
      </c>
      <c r="O858" s="2" t="s">
        <v>100</v>
      </c>
      <c r="P858" s="2" t="str">
        <f>"2170584044                    "</f>
        <v xml:space="preserve">2170584044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9.01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4.2</v>
      </c>
      <c r="BJ858" s="2">
        <v>1.7</v>
      </c>
      <c r="BK858" s="2">
        <v>4.5</v>
      </c>
      <c r="BL858" s="2">
        <v>93.25</v>
      </c>
      <c r="BM858" s="2">
        <v>13.06</v>
      </c>
      <c r="BN858" s="2">
        <v>106.31</v>
      </c>
      <c r="BO858" s="2">
        <v>106.31</v>
      </c>
      <c r="BP858" s="2" t="s">
        <v>101</v>
      </c>
      <c r="BQ858" s="2" t="s">
        <v>83</v>
      </c>
      <c r="BR858" s="2" t="s">
        <v>84</v>
      </c>
      <c r="BS858" s="3">
        <v>42957</v>
      </c>
      <c r="BT858" s="4">
        <v>0.5444444444444444</v>
      </c>
      <c r="BU858" s="2" t="s">
        <v>1552</v>
      </c>
      <c r="BV858" s="2" t="s">
        <v>86</v>
      </c>
      <c r="BW858" s="2" t="s">
        <v>336</v>
      </c>
      <c r="BX858" s="2" t="s">
        <v>116</v>
      </c>
      <c r="BY858" s="2">
        <v>8294.32</v>
      </c>
      <c r="BZ858" s="2"/>
      <c r="CA858" s="2" t="s">
        <v>420</v>
      </c>
      <c r="CB858" s="2"/>
      <c r="CC858" s="2" t="s">
        <v>417</v>
      </c>
      <c r="CD858" s="2">
        <v>7646</v>
      </c>
      <c r="CE858" s="2" t="s">
        <v>89</v>
      </c>
      <c r="CF858" s="5">
        <v>42957</v>
      </c>
      <c r="CG858" s="2"/>
      <c r="CH858" s="2"/>
      <c r="CI858" s="2">
        <v>1</v>
      </c>
      <c r="CJ858" s="2">
        <v>2</v>
      </c>
      <c r="CK858" s="2">
        <v>21</v>
      </c>
      <c r="CL858" s="2" t="s">
        <v>86</v>
      </c>
      <c r="CM858" s="2"/>
    </row>
    <row r="859" spans="1:91">
      <c r="A859" s="2" t="s">
        <v>71</v>
      </c>
      <c r="B859" s="2" t="s">
        <v>72</v>
      </c>
      <c r="C859" s="2" t="s">
        <v>73</v>
      </c>
      <c r="D859" s="2"/>
      <c r="E859" s="2" t="str">
        <f>"FES1162567861"</f>
        <v>FES1162567861</v>
      </c>
      <c r="F859" s="3">
        <v>42955</v>
      </c>
      <c r="G859" s="2">
        <v>201802</v>
      </c>
      <c r="H859" s="2" t="s">
        <v>74</v>
      </c>
      <c r="I859" s="2" t="s">
        <v>75</v>
      </c>
      <c r="J859" s="2" t="s">
        <v>76</v>
      </c>
      <c r="K859" s="2" t="s">
        <v>77</v>
      </c>
      <c r="L859" s="2" t="s">
        <v>174</v>
      </c>
      <c r="M859" s="2" t="s">
        <v>175</v>
      </c>
      <c r="N859" s="2" t="s">
        <v>930</v>
      </c>
      <c r="O859" s="2" t="s">
        <v>100</v>
      </c>
      <c r="P859" s="2" t="str">
        <f>"2170582987                    "</f>
        <v xml:space="preserve">2170582987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4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</v>
      </c>
      <c r="BI859" s="2">
        <v>1</v>
      </c>
      <c r="BJ859" s="2">
        <v>0.2</v>
      </c>
      <c r="BK859" s="2">
        <v>1</v>
      </c>
      <c r="BL859" s="2">
        <v>41.44</v>
      </c>
      <c r="BM859" s="2">
        <v>5.8</v>
      </c>
      <c r="BN859" s="2">
        <v>47.24</v>
      </c>
      <c r="BO859" s="2">
        <v>47.24</v>
      </c>
      <c r="BP859" s="2" t="s">
        <v>101</v>
      </c>
      <c r="BQ859" s="2" t="s">
        <v>83</v>
      </c>
      <c r="BR859" s="2" t="s">
        <v>84</v>
      </c>
      <c r="BS859" s="3">
        <v>42957</v>
      </c>
      <c r="BT859" s="4">
        <v>0.3611111111111111</v>
      </c>
      <c r="BU859" s="2" t="s">
        <v>1553</v>
      </c>
      <c r="BV859" s="2" t="s">
        <v>86</v>
      </c>
      <c r="BW859" s="2" t="s">
        <v>110</v>
      </c>
      <c r="BX859" s="2" t="s">
        <v>592</v>
      </c>
      <c r="BY859" s="2">
        <v>1200</v>
      </c>
      <c r="BZ859" s="2"/>
      <c r="CA859" s="2"/>
      <c r="CB859" s="2"/>
      <c r="CC859" s="2" t="s">
        <v>175</v>
      </c>
      <c r="CD859" s="2">
        <v>5201</v>
      </c>
      <c r="CE859" s="2" t="s">
        <v>104</v>
      </c>
      <c r="CF859" s="5">
        <v>42958</v>
      </c>
      <c r="CG859" s="2"/>
      <c r="CH859" s="2"/>
      <c r="CI859" s="2">
        <v>1</v>
      </c>
      <c r="CJ859" s="2">
        <v>2</v>
      </c>
      <c r="CK859" s="2">
        <v>21</v>
      </c>
      <c r="CL859" s="2" t="s">
        <v>86</v>
      </c>
      <c r="CM859" s="2"/>
    </row>
    <row r="860" spans="1:91">
      <c r="A860" s="2" t="s">
        <v>71</v>
      </c>
      <c r="B860" s="2" t="s">
        <v>72</v>
      </c>
      <c r="C860" s="2" t="s">
        <v>73</v>
      </c>
      <c r="D860" s="2"/>
      <c r="E860" s="2" t="str">
        <f>"FES1162567810"</f>
        <v>FES1162567810</v>
      </c>
      <c r="F860" s="3">
        <v>42955</v>
      </c>
      <c r="G860" s="2">
        <v>201802</v>
      </c>
      <c r="H860" s="2" t="s">
        <v>74</v>
      </c>
      <c r="I860" s="2" t="s">
        <v>75</v>
      </c>
      <c r="J860" s="2" t="s">
        <v>76</v>
      </c>
      <c r="K860" s="2" t="s">
        <v>77</v>
      </c>
      <c r="L860" s="2" t="s">
        <v>97</v>
      </c>
      <c r="M860" s="2" t="s">
        <v>98</v>
      </c>
      <c r="N860" s="2" t="s">
        <v>119</v>
      </c>
      <c r="O860" s="2" t="s">
        <v>100</v>
      </c>
      <c r="P860" s="2" t="str">
        <f>"2170583687                    "</f>
        <v xml:space="preserve">2170583687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7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3.1</v>
      </c>
      <c r="BJ860" s="2">
        <v>2</v>
      </c>
      <c r="BK860" s="2">
        <v>3.5</v>
      </c>
      <c r="BL860" s="2">
        <v>72.52</v>
      </c>
      <c r="BM860" s="2">
        <v>10.15</v>
      </c>
      <c r="BN860" s="2">
        <v>82.67</v>
      </c>
      <c r="BO860" s="2">
        <v>82.67</v>
      </c>
      <c r="BP860" s="2" t="s">
        <v>101</v>
      </c>
      <c r="BQ860" s="2" t="s">
        <v>108</v>
      </c>
      <c r="BR860" s="2" t="s">
        <v>84</v>
      </c>
      <c r="BS860" s="3">
        <v>42957</v>
      </c>
      <c r="BT860" s="4">
        <v>0.33749999999999997</v>
      </c>
      <c r="BU860" s="2" t="s">
        <v>1554</v>
      </c>
      <c r="BV860" s="2" t="s">
        <v>86</v>
      </c>
      <c r="BW860" s="2"/>
      <c r="BX860" s="2"/>
      <c r="BY860" s="2">
        <v>10101.86</v>
      </c>
      <c r="BZ860" s="2"/>
      <c r="CA860" s="2" t="s">
        <v>213</v>
      </c>
      <c r="CB860" s="2"/>
      <c r="CC860" s="2" t="s">
        <v>98</v>
      </c>
      <c r="CD860" s="2">
        <v>6001</v>
      </c>
      <c r="CE860" s="2" t="s">
        <v>948</v>
      </c>
      <c r="CF860" s="5">
        <v>42958</v>
      </c>
      <c r="CG860" s="2"/>
      <c r="CH860" s="2"/>
      <c r="CI860" s="2">
        <v>1</v>
      </c>
      <c r="CJ860" s="2">
        <v>2</v>
      </c>
      <c r="CK860" s="2">
        <v>21</v>
      </c>
      <c r="CL860" s="2" t="s">
        <v>86</v>
      </c>
      <c r="CM860" s="2"/>
    </row>
    <row r="861" spans="1:91">
      <c r="A861" s="2" t="s">
        <v>71</v>
      </c>
      <c r="B861" s="2" t="s">
        <v>72</v>
      </c>
      <c r="C861" s="2" t="s">
        <v>73</v>
      </c>
      <c r="D861" s="2"/>
      <c r="E861" s="2" t="str">
        <f>"FES1162567872"</f>
        <v>FES1162567872</v>
      </c>
      <c r="F861" s="3">
        <v>42955</v>
      </c>
      <c r="G861" s="2">
        <v>201802</v>
      </c>
      <c r="H861" s="2" t="s">
        <v>74</v>
      </c>
      <c r="I861" s="2" t="s">
        <v>75</v>
      </c>
      <c r="J861" s="2" t="s">
        <v>76</v>
      </c>
      <c r="K861" s="2" t="s">
        <v>77</v>
      </c>
      <c r="L861" s="2" t="s">
        <v>417</v>
      </c>
      <c r="M861" s="2" t="s">
        <v>417</v>
      </c>
      <c r="N861" s="2" t="s">
        <v>458</v>
      </c>
      <c r="O861" s="2" t="s">
        <v>100</v>
      </c>
      <c r="P861" s="2" t="str">
        <f>"2170584031                    "</f>
        <v xml:space="preserve">2170584031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4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1</v>
      </c>
      <c r="BJ861" s="2">
        <v>0.2</v>
      </c>
      <c r="BK861" s="2">
        <v>1</v>
      </c>
      <c r="BL861" s="2">
        <v>41.44</v>
      </c>
      <c r="BM861" s="2">
        <v>5.8</v>
      </c>
      <c r="BN861" s="2">
        <v>47.24</v>
      </c>
      <c r="BO861" s="2">
        <v>47.24</v>
      </c>
      <c r="BP861" s="2" t="s">
        <v>101</v>
      </c>
      <c r="BQ861" s="2" t="s">
        <v>83</v>
      </c>
      <c r="BR861" s="2" t="s">
        <v>84</v>
      </c>
      <c r="BS861" s="3">
        <v>42957</v>
      </c>
      <c r="BT861" s="4">
        <v>0.57291666666666663</v>
      </c>
      <c r="BU861" s="2" t="s">
        <v>1082</v>
      </c>
      <c r="BV861" s="2" t="s">
        <v>86</v>
      </c>
      <c r="BW861" s="2" t="s">
        <v>336</v>
      </c>
      <c r="BX861" s="2" t="s">
        <v>116</v>
      </c>
      <c r="BY861" s="2">
        <v>1200</v>
      </c>
      <c r="BZ861" s="2"/>
      <c r="CA861" s="2" t="s">
        <v>148</v>
      </c>
      <c r="CB861" s="2"/>
      <c r="CC861" s="2" t="s">
        <v>417</v>
      </c>
      <c r="CD861" s="2">
        <v>7646</v>
      </c>
      <c r="CE861" s="2" t="s">
        <v>104</v>
      </c>
      <c r="CF861" s="5">
        <v>42957</v>
      </c>
      <c r="CG861" s="2"/>
      <c r="CH861" s="2"/>
      <c r="CI861" s="2">
        <v>1</v>
      </c>
      <c r="CJ861" s="2">
        <v>2</v>
      </c>
      <c r="CK861" s="2">
        <v>21</v>
      </c>
      <c r="CL861" s="2" t="s">
        <v>86</v>
      </c>
      <c r="CM861" s="2"/>
    </row>
    <row r="862" spans="1:91">
      <c r="A862" s="2" t="s">
        <v>71</v>
      </c>
      <c r="B862" s="2" t="s">
        <v>72</v>
      </c>
      <c r="C862" s="2" t="s">
        <v>73</v>
      </c>
      <c r="D862" s="2"/>
      <c r="E862" s="2" t="str">
        <f>"FES1162567494"</f>
        <v>FES1162567494</v>
      </c>
      <c r="F862" s="3">
        <v>42955</v>
      </c>
      <c r="G862" s="2">
        <v>201802</v>
      </c>
      <c r="H862" s="2" t="s">
        <v>74</v>
      </c>
      <c r="I862" s="2" t="s">
        <v>75</v>
      </c>
      <c r="J862" s="2" t="s">
        <v>76</v>
      </c>
      <c r="K862" s="2" t="s">
        <v>77</v>
      </c>
      <c r="L862" s="2" t="s">
        <v>237</v>
      </c>
      <c r="M862" s="2" t="s">
        <v>238</v>
      </c>
      <c r="N862" s="2" t="s">
        <v>669</v>
      </c>
      <c r="O862" s="2" t="s">
        <v>100</v>
      </c>
      <c r="P862" s="2" t="str">
        <f>"2170583631                    "</f>
        <v xml:space="preserve">2170583631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4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1</v>
      </c>
      <c r="BI862" s="2">
        <v>1</v>
      </c>
      <c r="BJ862" s="2">
        <v>0.2</v>
      </c>
      <c r="BK862" s="2">
        <v>1</v>
      </c>
      <c r="BL862" s="2">
        <v>41.44</v>
      </c>
      <c r="BM862" s="2">
        <v>5.8</v>
      </c>
      <c r="BN862" s="2">
        <v>47.24</v>
      </c>
      <c r="BO862" s="2">
        <v>47.24</v>
      </c>
      <c r="BP862" s="2" t="s">
        <v>101</v>
      </c>
      <c r="BQ862" s="2" t="s">
        <v>670</v>
      </c>
      <c r="BR862" s="2" t="s">
        <v>84</v>
      </c>
      <c r="BS862" s="3">
        <v>42957</v>
      </c>
      <c r="BT862" s="4">
        <v>0.4055555555555555</v>
      </c>
      <c r="BU862" s="2" t="s">
        <v>671</v>
      </c>
      <c r="BV862" s="2" t="s">
        <v>86</v>
      </c>
      <c r="BW862" s="2" t="s">
        <v>87</v>
      </c>
      <c r="BX862" s="2" t="s">
        <v>337</v>
      </c>
      <c r="BY862" s="2">
        <v>1200</v>
      </c>
      <c r="BZ862" s="2"/>
      <c r="CA862" s="2" t="s">
        <v>672</v>
      </c>
      <c r="CB862" s="2"/>
      <c r="CC862" s="2" t="s">
        <v>238</v>
      </c>
      <c r="CD862" s="2">
        <v>3610</v>
      </c>
      <c r="CE862" s="2" t="s">
        <v>104</v>
      </c>
      <c r="CF862" s="5">
        <v>42958</v>
      </c>
      <c r="CG862" s="2"/>
      <c r="CH862" s="2"/>
      <c r="CI862" s="2">
        <v>1</v>
      </c>
      <c r="CJ862" s="2">
        <v>2</v>
      </c>
      <c r="CK862" s="2">
        <v>21</v>
      </c>
      <c r="CL862" s="2" t="s">
        <v>86</v>
      </c>
      <c r="CM862" s="2"/>
    </row>
    <row r="863" spans="1:91">
      <c r="A863" s="2" t="s">
        <v>71</v>
      </c>
      <c r="B863" s="2" t="s">
        <v>72</v>
      </c>
      <c r="C863" s="2" t="s">
        <v>73</v>
      </c>
      <c r="D863" s="2"/>
      <c r="E863" s="2" t="str">
        <f>"FES1162567881"</f>
        <v>FES1162567881</v>
      </c>
      <c r="F863" s="3">
        <v>42955</v>
      </c>
      <c r="G863" s="2">
        <v>201802</v>
      </c>
      <c r="H863" s="2" t="s">
        <v>74</v>
      </c>
      <c r="I863" s="2" t="s">
        <v>75</v>
      </c>
      <c r="J863" s="2" t="s">
        <v>76</v>
      </c>
      <c r="K863" s="2" t="s">
        <v>77</v>
      </c>
      <c r="L863" s="2" t="s">
        <v>174</v>
      </c>
      <c r="M863" s="2" t="s">
        <v>175</v>
      </c>
      <c r="N863" s="2" t="s">
        <v>1555</v>
      </c>
      <c r="O863" s="2" t="s">
        <v>100</v>
      </c>
      <c r="P863" s="2" t="str">
        <f>"2170583355                    "</f>
        <v xml:space="preserve">2170583355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4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1</v>
      </c>
      <c r="BJ863" s="2">
        <v>0.2</v>
      </c>
      <c r="BK863" s="2">
        <v>1</v>
      </c>
      <c r="BL863" s="2">
        <v>41.44</v>
      </c>
      <c r="BM863" s="2">
        <v>5.8</v>
      </c>
      <c r="BN863" s="2">
        <v>47.24</v>
      </c>
      <c r="BO863" s="2">
        <v>47.24</v>
      </c>
      <c r="BP863" s="2" t="s">
        <v>101</v>
      </c>
      <c r="BQ863" s="2" t="s">
        <v>288</v>
      </c>
      <c r="BR863" s="2" t="s">
        <v>84</v>
      </c>
      <c r="BS863" s="3">
        <v>42957</v>
      </c>
      <c r="BT863" s="4">
        <v>0.41041666666666665</v>
      </c>
      <c r="BU863" s="2" t="s">
        <v>1556</v>
      </c>
      <c r="BV863" s="2" t="s">
        <v>86</v>
      </c>
      <c r="BW863" s="2" t="s">
        <v>110</v>
      </c>
      <c r="BX863" s="2" t="s">
        <v>592</v>
      </c>
      <c r="BY863" s="2">
        <v>1200</v>
      </c>
      <c r="BZ863" s="2"/>
      <c r="CA863" s="2" t="s">
        <v>1420</v>
      </c>
      <c r="CB863" s="2"/>
      <c r="CC863" s="2" t="s">
        <v>175</v>
      </c>
      <c r="CD863" s="2">
        <v>5201</v>
      </c>
      <c r="CE863" s="2" t="s">
        <v>104</v>
      </c>
      <c r="CF863" s="5">
        <v>42958</v>
      </c>
      <c r="CG863" s="2"/>
      <c r="CH863" s="2"/>
      <c r="CI863" s="2">
        <v>1</v>
      </c>
      <c r="CJ863" s="2">
        <v>2</v>
      </c>
      <c r="CK863" s="2">
        <v>21</v>
      </c>
      <c r="CL863" s="2" t="s">
        <v>86</v>
      </c>
      <c r="CM863" s="2"/>
    </row>
    <row r="864" spans="1:91">
      <c r="A864" s="2" t="s">
        <v>71</v>
      </c>
      <c r="B864" s="2" t="s">
        <v>72</v>
      </c>
      <c r="C864" s="2" t="s">
        <v>73</v>
      </c>
      <c r="D864" s="2"/>
      <c r="E864" s="2" t="str">
        <f>"FES1162567832"</f>
        <v>FES1162567832</v>
      </c>
      <c r="F864" s="3">
        <v>42955</v>
      </c>
      <c r="G864" s="2">
        <v>201802</v>
      </c>
      <c r="H864" s="2" t="s">
        <v>74</v>
      </c>
      <c r="I864" s="2" t="s">
        <v>75</v>
      </c>
      <c r="J864" s="2" t="s">
        <v>76</v>
      </c>
      <c r="K864" s="2" t="s">
        <v>77</v>
      </c>
      <c r="L864" s="2" t="s">
        <v>231</v>
      </c>
      <c r="M864" s="2" t="s">
        <v>232</v>
      </c>
      <c r="N864" s="2" t="s">
        <v>233</v>
      </c>
      <c r="O864" s="2" t="s">
        <v>100</v>
      </c>
      <c r="P864" s="2" t="str">
        <f>"2170583978                    "</f>
        <v xml:space="preserve">2170583978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4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1</v>
      </c>
      <c r="BI864" s="2">
        <v>1</v>
      </c>
      <c r="BJ864" s="2">
        <v>0.2</v>
      </c>
      <c r="BK864" s="2">
        <v>1</v>
      </c>
      <c r="BL864" s="2">
        <v>41.44</v>
      </c>
      <c r="BM864" s="2">
        <v>5.8</v>
      </c>
      <c r="BN864" s="2">
        <v>47.24</v>
      </c>
      <c r="BO864" s="2">
        <v>47.24</v>
      </c>
      <c r="BP864" s="2" t="s">
        <v>101</v>
      </c>
      <c r="BQ864" s="2" t="s">
        <v>83</v>
      </c>
      <c r="BR864" s="2" t="s">
        <v>84</v>
      </c>
      <c r="BS864" s="3">
        <v>42957</v>
      </c>
      <c r="BT864" s="4">
        <v>0.36736111111111108</v>
      </c>
      <c r="BU864" s="2" t="s">
        <v>1557</v>
      </c>
      <c r="BV864" s="2" t="s">
        <v>86</v>
      </c>
      <c r="BW864" s="2" t="s">
        <v>87</v>
      </c>
      <c r="BX864" s="2" t="s">
        <v>337</v>
      </c>
      <c r="BY864" s="2">
        <v>1200</v>
      </c>
      <c r="BZ864" s="2"/>
      <c r="CA864" s="2" t="s">
        <v>235</v>
      </c>
      <c r="CB864" s="2"/>
      <c r="CC864" s="2" t="s">
        <v>232</v>
      </c>
      <c r="CD864" s="2">
        <v>4026</v>
      </c>
      <c r="CE864" s="2" t="s">
        <v>104</v>
      </c>
      <c r="CF864" s="5">
        <v>42958</v>
      </c>
      <c r="CG864" s="2"/>
      <c r="CH864" s="2"/>
      <c r="CI864" s="2">
        <v>1</v>
      </c>
      <c r="CJ864" s="2">
        <v>2</v>
      </c>
      <c r="CK864" s="2">
        <v>21</v>
      </c>
      <c r="CL864" s="2" t="s">
        <v>86</v>
      </c>
      <c r="CM864" s="2"/>
    </row>
    <row r="865" spans="1:91">
      <c r="A865" s="2" t="s">
        <v>71</v>
      </c>
      <c r="B865" s="2" t="s">
        <v>72</v>
      </c>
      <c r="C865" s="2" t="s">
        <v>73</v>
      </c>
      <c r="D865" s="2"/>
      <c r="E865" s="2" t="str">
        <f>"FES1162567849"</f>
        <v>FES1162567849</v>
      </c>
      <c r="F865" s="3">
        <v>42955</v>
      </c>
      <c r="G865" s="2">
        <v>201802</v>
      </c>
      <c r="H865" s="2" t="s">
        <v>74</v>
      </c>
      <c r="I865" s="2" t="s">
        <v>75</v>
      </c>
      <c r="J865" s="2" t="s">
        <v>76</v>
      </c>
      <c r="K865" s="2" t="s">
        <v>77</v>
      </c>
      <c r="L865" s="2" t="s">
        <v>237</v>
      </c>
      <c r="M865" s="2" t="s">
        <v>238</v>
      </c>
      <c r="N865" s="2" t="s">
        <v>695</v>
      </c>
      <c r="O865" s="2" t="s">
        <v>100</v>
      </c>
      <c r="P865" s="2" t="str">
        <f>"2170584011                    "</f>
        <v xml:space="preserve">2170584011                 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9.01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4.4000000000000004</v>
      </c>
      <c r="BJ865" s="2">
        <v>3.8</v>
      </c>
      <c r="BK865" s="2">
        <v>4.5</v>
      </c>
      <c r="BL865" s="2">
        <v>93.25</v>
      </c>
      <c r="BM865" s="2">
        <v>13.06</v>
      </c>
      <c r="BN865" s="2">
        <v>106.31</v>
      </c>
      <c r="BO865" s="2">
        <v>106.31</v>
      </c>
      <c r="BP865" s="2" t="s">
        <v>101</v>
      </c>
      <c r="BQ865" s="2" t="s">
        <v>209</v>
      </c>
      <c r="BR865" s="2" t="s">
        <v>84</v>
      </c>
      <c r="BS865" s="3">
        <v>42957</v>
      </c>
      <c r="BT865" s="4">
        <v>0.4055555555555555</v>
      </c>
      <c r="BU865" s="2" t="s">
        <v>855</v>
      </c>
      <c r="BV865" s="2" t="s">
        <v>86</v>
      </c>
      <c r="BW865" s="2" t="s">
        <v>87</v>
      </c>
      <c r="BX865" s="2" t="s">
        <v>337</v>
      </c>
      <c r="BY865" s="2">
        <v>19145.560000000001</v>
      </c>
      <c r="BZ865" s="2"/>
      <c r="CA865" s="2" t="s">
        <v>1454</v>
      </c>
      <c r="CB865" s="2"/>
      <c r="CC865" s="2" t="s">
        <v>238</v>
      </c>
      <c r="CD865" s="2">
        <v>3600</v>
      </c>
      <c r="CE865" s="2" t="s">
        <v>89</v>
      </c>
      <c r="CF865" s="5">
        <v>42959</v>
      </c>
      <c r="CG865" s="2"/>
      <c r="CH865" s="2"/>
      <c r="CI865" s="2">
        <v>1</v>
      </c>
      <c r="CJ865" s="2">
        <v>2</v>
      </c>
      <c r="CK865" s="2">
        <v>21</v>
      </c>
      <c r="CL865" s="2" t="s">
        <v>86</v>
      </c>
      <c r="CM865" s="2"/>
    </row>
    <row r="866" spans="1:91">
      <c r="A866" s="2" t="s">
        <v>71</v>
      </c>
      <c r="B866" s="2" t="s">
        <v>72</v>
      </c>
      <c r="C866" s="2" t="s">
        <v>73</v>
      </c>
      <c r="D866" s="2"/>
      <c r="E866" s="2" t="str">
        <f>"FES1162567730"</f>
        <v>FES1162567730</v>
      </c>
      <c r="F866" s="3">
        <v>42955</v>
      </c>
      <c r="G866" s="2">
        <v>201802</v>
      </c>
      <c r="H866" s="2" t="s">
        <v>74</v>
      </c>
      <c r="I866" s="2" t="s">
        <v>75</v>
      </c>
      <c r="J866" s="2" t="s">
        <v>76</v>
      </c>
      <c r="K866" s="2" t="s">
        <v>77</v>
      </c>
      <c r="L866" s="2" t="s">
        <v>97</v>
      </c>
      <c r="M866" s="2" t="s">
        <v>98</v>
      </c>
      <c r="N866" s="2" t="s">
        <v>99</v>
      </c>
      <c r="O866" s="2" t="s">
        <v>100</v>
      </c>
      <c r="P866" s="2" t="str">
        <f>"2170583864                    "</f>
        <v xml:space="preserve">2170583864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4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1</v>
      </c>
      <c r="BJ866" s="2">
        <v>0.2</v>
      </c>
      <c r="BK866" s="2">
        <v>1</v>
      </c>
      <c r="BL866" s="2">
        <v>41.44</v>
      </c>
      <c r="BM866" s="2">
        <v>5.8</v>
      </c>
      <c r="BN866" s="2">
        <v>47.24</v>
      </c>
      <c r="BO866" s="2">
        <v>47.24</v>
      </c>
      <c r="BP866" s="2" t="s">
        <v>101</v>
      </c>
      <c r="BQ866" s="2" t="s">
        <v>83</v>
      </c>
      <c r="BR866" s="2" t="s">
        <v>84</v>
      </c>
      <c r="BS866" s="3">
        <v>42957</v>
      </c>
      <c r="BT866" s="4">
        <v>0.36319444444444443</v>
      </c>
      <c r="BU866" s="2" t="s">
        <v>102</v>
      </c>
      <c r="BV866" s="2" t="s">
        <v>86</v>
      </c>
      <c r="BW866" s="2"/>
      <c r="BX866" s="2"/>
      <c r="BY866" s="2">
        <v>1200</v>
      </c>
      <c r="BZ866" s="2"/>
      <c r="CA866" s="2" t="s">
        <v>103</v>
      </c>
      <c r="CB866" s="2"/>
      <c r="CC866" s="2" t="s">
        <v>98</v>
      </c>
      <c r="CD866" s="2">
        <v>6210</v>
      </c>
      <c r="CE866" s="2" t="s">
        <v>104</v>
      </c>
      <c r="CF866" s="5">
        <v>42958</v>
      </c>
      <c r="CG866" s="2"/>
      <c r="CH866" s="2"/>
      <c r="CI866" s="2">
        <v>1</v>
      </c>
      <c r="CJ866" s="2">
        <v>2</v>
      </c>
      <c r="CK866" s="2">
        <v>21</v>
      </c>
      <c r="CL866" s="2" t="s">
        <v>86</v>
      </c>
      <c r="CM866" s="2"/>
    </row>
    <row r="867" spans="1:91">
      <c r="A867" s="2" t="s">
        <v>71</v>
      </c>
      <c r="B867" s="2" t="s">
        <v>72</v>
      </c>
      <c r="C867" s="2" t="s">
        <v>73</v>
      </c>
      <c r="D867" s="2"/>
      <c r="E867" s="2" t="str">
        <f>"FES1162567758"</f>
        <v>FES1162567758</v>
      </c>
      <c r="F867" s="3">
        <v>42955</v>
      </c>
      <c r="G867" s="2">
        <v>201802</v>
      </c>
      <c r="H867" s="2" t="s">
        <v>74</v>
      </c>
      <c r="I867" s="2" t="s">
        <v>75</v>
      </c>
      <c r="J867" s="2" t="s">
        <v>76</v>
      </c>
      <c r="K867" s="2" t="s">
        <v>77</v>
      </c>
      <c r="L867" s="2" t="s">
        <v>1558</v>
      </c>
      <c r="M867" s="2" t="s">
        <v>1559</v>
      </c>
      <c r="N867" s="2" t="s">
        <v>1560</v>
      </c>
      <c r="O867" s="2" t="s">
        <v>100</v>
      </c>
      <c r="P867" s="2" t="str">
        <f>"2170583899                    "</f>
        <v xml:space="preserve">2170583899       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6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1.3</v>
      </c>
      <c r="BJ867" s="2">
        <v>3</v>
      </c>
      <c r="BK867" s="2">
        <v>3</v>
      </c>
      <c r="BL867" s="2">
        <v>62.16</v>
      </c>
      <c r="BM867" s="2">
        <v>8.6999999999999993</v>
      </c>
      <c r="BN867" s="2">
        <v>70.86</v>
      </c>
      <c r="BO867" s="2">
        <v>70.86</v>
      </c>
      <c r="BP867" s="2" t="s">
        <v>101</v>
      </c>
      <c r="BQ867" s="2" t="s">
        <v>288</v>
      </c>
      <c r="BR867" s="2" t="s">
        <v>84</v>
      </c>
      <c r="BS867" s="3">
        <v>42957</v>
      </c>
      <c r="BT867" s="4">
        <v>0.41666666666666669</v>
      </c>
      <c r="BU867" s="2" t="s">
        <v>1561</v>
      </c>
      <c r="BV867" s="2" t="s">
        <v>86</v>
      </c>
      <c r="BW867" s="2" t="s">
        <v>124</v>
      </c>
      <c r="BX867" s="2" t="s">
        <v>1562</v>
      </c>
      <c r="BY867" s="2">
        <v>14750.32</v>
      </c>
      <c r="BZ867" s="2"/>
      <c r="CA867" s="2" t="s">
        <v>1563</v>
      </c>
      <c r="CB867" s="2"/>
      <c r="CC867" s="2" t="s">
        <v>1559</v>
      </c>
      <c r="CD867" s="2">
        <v>8390</v>
      </c>
      <c r="CE867" s="2" t="s">
        <v>996</v>
      </c>
      <c r="CF867" s="5">
        <v>42963</v>
      </c>
      <c r="CG867" s="2"/>
      <c r="CH867" s="2"/>
      <c r="CI867" s="2">
        <v>1</v>
      </c>
      <c r="CJ867" s="2">
        <v>2</v>
      </c>
      <c r="CK867" s="2">
        <v>21</v>
      </c>
      <c r="CL867" s="2" t="s">
        <v>86</v>
      </c>
      <c r="CM867" s="2"/>
    </row>
    <row r="868" spans="1:91">
      <c r="A868" s="2" t="s">
        <v>71</v>
      </c>
      <c r="B868" s="2" t="s">
        <v>72</v>
      </c>
      <c r="C868" s="2" t="s">
        <v>73</v>
      </c>
      <c r="D868" s="2"/>
      <c r="E868" s="2" t="str">
        <f>"FES1162567864"</f>
        <v>FES1162567864</v>
      </c>
      <c r="F868" s="3">
        <v>42955</v>
      </c>
      <c r="G868" s="2">
        <v>201802</v>
      </c>
      <c r="H868" s="2" t="s">
        <v>74</v>
      </c>
      <c r="I868" s="2" t="s">
        <v>75</v>
      </c>
      <c r="J868" s="2" t="s">
        <v>76</v>
      </c>
      <c r="K868" s="2" t="s">
        <v>77</v>
      </c>
      <c r="L868" s="2" t="s">
        <v>128</v>
      </c>
      <c r="M868" s="2" t="s">
        <v>129</v>
      </c>
      <c r="N868" s="2" t="s">
        <v>412</v>
      </c>
      <c r="O868" s="2" t="s">
        <v>358</v>
      </c>
      <c r="P868" s="2" t="str">
        <f>"2170584021                    "</f>
        <v xml:space="preserve">2170584021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5.93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9.3000000000000007</v>
      </c>
      <c r="BJ868" s="2">
        <v>15.4</v>
      </c>
      <c r="BK868" s="2">
        <v>16</v>
      </c>
      <c r="BL868" s="2">
        <v>61.42</v>
      </c>
      <c r="BM868" s="2">
        <v>8.6</v>
      </c>
      <c r="BN868" s="2">
        <v>70.02</v>
      </c>
      <c r="BO868" s="2">
        <v>70.02</v>
      </c>
      <c r="BP868" s="2" t="s">
        <v>101</v>
      </c>
      <c r="BQ868" s="2" t="s">
        <v>209</v>
      </c>
      <c r="BR868" s="2" t="s">
        <v>84</v>
      </c>
      <c r="BS868" s="3">
        <v>42957</v>
      </c>
      <c r="BT868" s="4">
        <v>0.35069444444444442</v>
      </c>
      <c r="BU868" s="2" t="s">
        <v>1459</v>
      </c>
      <c r="BV868" s="2" t="s">
        <v>86</v>
      </c>
      <c r="BW868" s="2" t="s">
        <v>124</v>
      </c>
      <c r="BX868" s="2" t="s">
        <v>327</v>
      </c>
      <c r="BY868" s="2">
        <v>76908</v>
      </c>
      <c r="BZ868" s="2"/>
      <c r="CA868" s="2" t="s">
        <v>923</v>
      </c>
      <c r="CB868" s="2"/>
      <c r="CC868" s="2" t="s">
        <v>129</v>
      </c>
      <c r="CD868" s="2">
        <v>1709</v>
      </c>
      <c r="CE868" s="2" t="s">
        <v>948</v>
      </c>
      <c r="CF868" s="5">
        <v>42958</v>
      </c>
      <c r="CG868" s="2"/>
      <c r="CH868" s="2"/>
      <c r="CI868" s="2">
        <v>1</v>
      </c>
      <c r="CJ868" s="2">
        <v>2</v>
      </c>
      <c r="CK868" s="2">
        <v>32</v>
      </c>
      <c r="CL868" s="2" t="s">
        <v>86</v>
      </c>
      <c r="CM868" s="2"/>
    </row>
    <row r="869" spans="1:91">
      <c r="A869" s="2" t="s">
        <v>71</v>
      </c>
      <c r="B869" s="2" t="s">
        <v>72</v>
      </c>
      <c r="C869" s="2" t="s">
        <v>73</v>
      </c>
      <c r="D869" s="2"/>
      <c r="E869" s="2" t="str">
        <f>"FES1162567837"</f>
        <v>FES1162567837</v>
      </c>
      <c r="F869" s="3">
        <v>42955</v>
      </c>
      <c r="G869" s="2">
        <v>201802</v>
      </c>
      <c r="H869" s="2" t="s">
        <v>74</v>
      </c>
      <c r="I869" s="2" t="s">
        <v>75</v>
      </c>
      <c r="J869" s="2" t="s">
        <v>76</v>
      </c>
      <c r="K869" s="2" t="s">
        <v>77</v>
      </c>
      <c r="L869" s="2" t="s">
        <v>149</v>
      </c>
      <c r="M869" s="2" t="s">
        <v>150</v>
      </c>
      <c r="N869" s="2" t="s">
        <v>1564</v>
      </c>
      <c r="O869" s="2" t="s">
        <v>100</v>
      </c>
      <c r="P869" s="2" t="str">
        <f>"2170583999                    "</f>
        <v xml:space="preserve">2170583999  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9.01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4.4000000000000004</v>
      </c>
      <c r="BJ869" s="2">
        <v>1.6</v>
      </c>
      <c r="BK869" s="2">
        <v>4.5</v>
      </c>
      <c r="BL869" s="2">
        <v>93.25</v>
      </c>
      <c r="BM869" s="2">
        <v>13.06</v>
      </c>
      <c r="BN869" s="2">
        <v>106.31</v>
      </c>
      <c r="BO869" s="2">
        <v>106.31</v>
      </c>
      <c r="BP869" s="2" t="s">
        <v>101</v>
      </c>
      <c r="BQ869" s="2" t="s">
        <v>365</v>
      </c>
      <c r="BR869" s="2" t="s">
        <v>84</v>
      </c>
      <c r="BS869" s="3">
        <v>42957</v>
      </c>
      <c r="BT869" s="4">
        <v>0.36458333333333331</v>
      </c>
      <c r="BU869" s="2" t="s">
        <v>1514</v>
      </c>
      <c r="BV869" s="2" t="s">
        <v>86</v>
      </c>
      <c r="BW869" s="2" t="s">
        <v>87</v>
      </c>
      <c r="BX869" s="2" t="s">
        <v>337</v>
      </c>
      <c r="BY869" s="2">
        <v>8211.5300000000007</v>
      </c>
      <c r="BZ869" s="2"/>
      <c r="CA869" s="2" t="s">
        <v>682</v>
      </c>
      <c r="CB869" s="2"/>
      <c r="CC869" s="2" t="s">
        <v>150</v>
      </c>
      <c r="CD869" s="2">
        <v>4001</v>
      </c>
      <c r="CE869" s="2" t="s">
        <v>89</v>
      </c>
      <c r="CF869" s="5">
        <v>42958</v>
      </c>
      <c r="CG869" s="2"/>
      <c r="CH869" s="2"/>
      <c r="CI869" s="2">
        <v>1</v>
      </c>
      <c r="CJ869" s="2">
        <v>2</v>
      </c>
      <c r="CK869" s="2">
        <v>21</v>
      </c>
      <c r="CL869" s="2" t="s">
        <v>86</v>
      </c>
      <c r="CM869" s="2"/>
    </row>
    <row r="870" spans="1:91">
      <c r="A870" s="2" t="s">
        <v>71</v>
      </c>
      <c r="B870" s="2" t="s">
        <v>72</v>
      </c>
      <c r="C870" s="2" t="s">
        <v>73</v>
      </c>
      <c r="D870" s="2"/>
      <c r="E870" s="2" t="str">
        <f>"FES1162567157"</f>
        <v>FES1162567157</v>
      </c>
      <c r="F870" s="3">
        <v>42955</v>
      </c>
      <c r="G870" s="2">
        <v>201802</v>
      </c>
      <c r="H870" s="2" t="s">
        <v>74</v>
      </c>
      <c r="I870" s="2" t="s">
        <v>75</v>
      </c>
      <c r="J870" s="2" t="s">
        <v>76</v>
      </c>
      <c r="K870" s="2" t="s">
        <v>77</v>
      </c>
      <c r="L870" s="2" t="s">
        <v>231</v>
      </c>
      <c r="M870" s="2" t="s">
        <v>232</v>
      </c>
      <c r="N870" s="2" t="s">
        <v>233</v>
      </c>
      <c r="O870" s="2" t="s">
        <v>100</v>
      </c>
      <c r="P870" s="2" t="str">
        <f>"2170582851                    "</f>
        <v xml:space="preserve">2170582851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16.010000000000002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7.9</v>
      </c>
      <c r="BJ870" s="2">
        <v>6.7</v>
      </c>
      <c r="BK870" s="2">
        <v>8</v>
      </c>
      <c r="BL870" s="2">
        <v>165.77</v>
      </c>
      <c r="BM870" s="2">
        <v>23.21</v>
      </c>
      <c r="BN870" s="2">
        <v>188.98</v>
      </c>
      <c r="BO870" s="2">
        <v>188.98</v>
      </c>
      <c r="BP870" s="2" t="s">
        <v>101</v>
      </c>
      <c r="BQ870" s="2" t="s">
        <v>83</v>
      </c>
      <c r="BR870" s="2" t="s">
        <v>84</v>
      </c>
      <c r="BS870" s="3">
        <v>42957</v>
      </c>
      <c r="BT870" s="4">
        <v>0.3666666666666667</v>
      </c>
      <c r="BU870" s="2" t="s">
        <v>1557</v>
      </c>
      <c r="BV870" s="2" t="s">
        <v>86</v>
      </c>
      <c r="BW870" s="2" t="s">
        <v>87</v>
      </c>
      <c r="BX870" s="2" t="s">
        <v>337</v>
      </c>
      <c r="BY870" s="2">
        <v>33440.69</v>
      </c>
      <c r="BZ870" s="2"/>
      <c r="CA870" s="2" t="s">
        <v>235</v>
      </c>
      <c r="CB870" s="2"/>
      <c r="CC870" s="2" t="s">
        <v>232</v>
      </c>
      <c r="CD870" s="2">
        <v>4026</v>
      </c>
      <c r="CE870" s="2" t="s">
        <v>948</v>
      </c>
      <c r="CF870" s="5">
        <v>42958</v>
      </c>
      <c r="CG870" s="2"/>
      <c r="CH870" s="2"/>
      <c r="CI870" s="2">
        <v>1</v>
      </c>
      <c r="CJ870" s="2">
        <v>2</v>
      </c>
      <c r="CK870" s="2">
        <v>21</v>
      </c>
      <c r="CL870" s="2" t="s">
        <v>86</v>
      </c>
      <c r="CM870" s="2"/>
    </row>
    <row r="871" spans="1:91">
      <c r="A871" s="2" t="s">
        <v>71</v>
      </c>
      <c r="B871" s="2" t="s">
        <v>72</v>
      </c>
      <c r="C871" s="2" t="s">
        <v>73</v>
      </c>
      <c r="D871" s="2"/>
      <c r="E871" s="2" t="str">
        <f>"FES1162567687"</f>
        <v>FES1162567687</v>
      </c>
      <c r="F871" s="3">
        <v>42955</v>
      </c>
      <c r="G871" s="2">
        <v>201802</v>
      </c>
      <c r="H871" s="2" t="s">
        <v>74</v>
      </c>
      <c r="I871" s="2" t="s">
        <v>75</v>
      </c>
      <c r="J871" s="2" t="s">
        <v>76</v>
      </c>
      <c r="K871" s="2" t="s">
        <v>77</v>
      </c>
      <c r="L871" s="2" t="s">
        <v>78</v>
      </c>
      <c r="M871" s="2" t="s">
        <v>79</v>
      </c>
      <c r="N871" s="2" t="s">
        <v>1565</v>
      </c>
      <c r="O871" s="2" t="s">
        <v>100</v>
      </c>
      <c r="P871" s="2" t="str">
        <f>"2170583826                    "</f>
        <v xml:space="preserve">2170583826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4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1</v>
      </c>
      <c r="BJ871" s="2">
        <v>0.2</v>
      </c>
      <c r="BK871" s="2">
        <v>1</v>
      </c>
      <c r="BL871" s="2">
        <v>41.44</v>
      </c>
      <c r="BM871" s="2">
        <v>5.8</v>
      </c>
      <c r="BN871" s="2">
        <v>47.24</v>
      </c>
      <c r="BO871" s="2">
        <v>47.24</v>
      </c>
      <c r="BP871" s="2"/>
      <c r="BQ871" s="2" t="s">
        <v>83</v>
      </c>
      <c r="BR871" s="2" t="s">
        <v>84</v>
      </c>
      <c r="BS871" s="3">
        <v>42957</v>
      </c>
      <c r="BT871" s="4">
        <v>0.53125</v>
      </c>
      <c r="BU871" s="2" t="s">
        <v>1566</v>
      </c>
      <c r="BV871" s="2" t="s">
        <v>86</v>
      </c>
      <c r="BW871" s="2" t="s">
        <v>124</v>
      </c>
      <c r="BX871" s="2" t="s">
        <v>88</v>
      </c>
      <c r="BY871" s="2">
        <v>1200</v>
      </c>
      <c r="BZ871" s="2"/>
      <c r="CA871" s="2"/>
      <c r="CB871" s="2"/>
      <c r="CC871" s="2" t="s">
        <v>79</v>
      </c>
      <c r="CD871" s="2">
        <v>9300</v>
      </c>
      <c r="CE871" s="2" t="s">
        <v>104</v>
      </c>
      <c r="CF871" s="5">
        <v>42959</v>
      </c>
      <c r="CG871" s="2"/>
      <c r="CH871" s="2"/>
      <c r="CI871" s="2">
        <v>1</v>
      </c>
      <c r="CJ871" s="2">
        <v>2</v>
      </c>
      <c r="CK871" s="2">
        <v>21</v>
      </c>
      <c r="CL871" s="2" t="s">
        <v>86</v>
      </c>
      <c r="CM871" s="2"/>
    </row>
    <row r="872" spans="1:91">
      <c r="A872" s="2" t="s">
        <v>71</v>
      </c>
      <c r="B872" s="2" t="s">
        <v>72</v>
      </c>
      <c r="C872" s="2" t="s">
        <v>73</v>
      </c>
      <c r="D872" s="2"/>
      <c r="E872" s="2" t="str">
        <f>"FES1162567699"</f>
        <v>FES1162567699</v>
      </c>
      <c r="F872" s="3">
        <v>42955</v>
      </c>
      <c r="G872" s="2">
        <v>201802</v>
      </c>
      <c r="H872" s="2" t="s">
        <v>74</v>
      </c>
      <c r="I872" s="2" t="s">
        <v>75</v>
      </c>
      <c r="J872" s="2" t="s">
        <v>76</v>
      </c>
      <c r="K872" s="2" t="s">
        <v>77</v>
      </c>
      <c r="L872" s="2" t="s">
        <v>105</v>
      </c>
      <c r="M872" s="2" t="s">
        <v>106</v>
      </c>
      <c r="N872" s="2" t="s">
        <v>377</v>
      </c>
      <c r="O872" s="2" t="s">
        <v>100</v>
      </c>
      <c r="P872" s="2" t="str">
        <f>"2170581344                    "</f>
        <v xml:space="preserve">2170581344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4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1</v>
      </c>
      <c r="BJ872" s="2">
        <v>0.2</v>
      </c>
      <c r="BK872" s="2">
        <v>1</v>
      </c>
      <c r="BL872" s="2">
        <v>41.44</v>
      </c>
      <c r="BM872" s="2">
        <v>5.8</v>
      </c>
      <c r="BN872" s="2">
        <v>47.24</v>
      </c>
      <c r="BO872" s="2">
        <v>47.24</v>
      </c>
      <c r="BP872" s="2"/>
      <c r="BQ872" s="2" t="s">
        <v>288</v>
      </c>
      <c r="BR872" s="2" t="s">
        <v>84</v>
      </c>
      <c r="BS872" s="3">
        <v>42957</v>
      </c>
      <c r="BT872" s="4">
        <v>0.44027777777777777</v>
      </c>
      <c r="BU872" s="2" t="s">
        <v>1326</v>
      </c>
      <c r="BV872" s="2" t="s">
        <v>86</v>
      </c>
      <c r="BW872" s="2" t="s">
        <v>115</v>
      </c>
      <c r="BX872" s="2" t="s">
        <v>116</v>
      </c>
      <c r="BY872" s="2">
        <v>1200</v>
      </c>
      <c r="BZ872" s="2"/>
      <c r="CA872" s="2" t="s">
        <v>117</v>
      </c>
      <c r="CB872" s="2"/>
      <c r="CC872" s="2" t="s">
        <v>106</v>
      </c>
      <c r="CD872" s="2">
        <v>8000</v>
      </c>
      <c r="CE872" s="2" t="s">
        <v>104</v>
      </c>
      <c r="CF872" s="5">
        <v>42958</v>
      </c>
      <c r="CG872" s="2"/>
      <c r="CH872" s="2"/>
      <c r="CI872" s="2">
        <v>1</v>
      </c>
      <c r="CJ872" s="2">
        <v>2</v>
      </c>
      <c r="CK872" s="2">
        <v>21</v>
      </c>
      <c r="CL872" s="2" t="s">
        <v>86</v>
      </c>
      <c r="CM872" s="2"/>
    </row>
    <row r="873" spans="1:91">
      <c r="A873" s="2" t="s">
        <v>71</v>
      </c>
      <c r="B873" s="2" t="s">
        <v>72</v>
      </c>
      <c r="C873" s="2" t="s">
        <v>73</v>
      </c>
      <c r="D873" s="2"/>
      <c r="E873" s="2" t="str">
        <f>"FES1162567679"</f>
        <v>FES1162567679</v>
      </c>
      <c r="F873" s="3">
        <v>42955</v>
      </c>
      <c r="G873" s="2">
        <v>201802</v>
      </c>
      <c r="H873" s="2" t="s">
        <v>74</v>
      </c>
      <c r="I873" s="2" t="s">
        <v>75</v>
      </c>
      <c r="J873" s="2" t="s">
        <v>76</v>
      </c>
      <c r="K873" s="2" t="s">
        <v>77</v>
      </c>
      <c r="L873" s="2" t="s">
        <v>841</v>
      </c>
      <c r="M873" s="2" t="s">
        <v>842</v>
      </c>
      <c r="N873" s="2" t="s">
        <v>843</v>
      </c>
      <c r="O873" s="2" t="s">
        <v>100</v>
      </c>
      <c r="P873" s="2" t="str">
        <f>"2170583810                    "</f>
        <v xml:space="preserve">2170583810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7.75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1</v>
      </c>
      <c r="BJ873" s="2">
        <v>0.2</v>
      </c>
      <c r="BK873" s="2">
        <v>1</v>
      </c>
      <c r="BL873" s="2">
        <v>80.290000000000006</v>
      </c>
      <c r="BM873" s="2">
        <v>11.24</v>
      </c>
      <c r="BN873" s="2">
        <v>91.53</v>
      </c>
      <c r="BO873" s="2">
        <v>91.53</v>
      </c>
      <c r="BP873" s="2"/>
      <c r="BQ873" s="2" t="s">
        <v>83</v>
      </c>
      <c r="BR873" s="2" t="s">
        <v>84</v>
      </c>
      <c r="BS873" s="3">
        <v>42957</v>
      </c>
      <c r="BT873" s="4">
        <v>0.44930555555555557</v>
      </c>
      <c r="BU873" s="2" t="s">
        <v>844</v>
      </c>
      <c r="BV873" s="2" t="s">
        <v>95</v>
      </c>
      <c r="BW873" s="2"/>
      <c r="BX873" s="2"/>
      <c r="BY873" s="2">
        <v>1200</v>
      </c>
      <c r="BZ873" s="2"/>
      <c r="CA873" s="2" t="s">
        <v>845</v>
      </c>
      <c r="CB873" s="2"/>
      <c r="CC873" s="2" t="s">
        <v>842</v>
      </c>
      <c r="CD873" s="2">
        <v>3370</v>
      </c>
      <c r="CE873" s="2" t="s">
        <v>104</v>
      </c>
      <c r="CF873" s="5">
        <v>42961</v>
      </c>
      <c r="CG873" s="2"/>
      <c r="CH873" s="2"/>
      <c r="CI873" s="2">
        <v>3</v>
      </c>
      <c r="CJ873" s="2">
        <v>2</v>
      </c>
      <c r="CK873" s="2">
        <v>23</v>
      </c>
      <c r="CL873" s="2" t="s">
        <v>86</v>
      </c>
      <c r="CM873" s="2"/>
    </row>
    <row r="874" spans="1:91">
      <c r="A874" s="2" t="s">
        <v>71</v>
      </c>
      <c r="B874" s="2" t="s">
        <v>72</v>
      </c>
      <c r="C874" s="2" t="s">
        <v>73</v>
      </c>
      <c r="D874" s="2"/>
      <c r="E874" s="2" t="str">
        <f>"FES1162567803"</f>
        <v>FES1162567803</v>
      </c>
      <c r="F874" s="3">
        <v>42955</v>
      </c>
      <c r="G874" s="2">
        <v>201802</v>
      </c>
      <c r="H874" s="2" t="s">
        <v>74</v>
      </c>
      <c r="I874" s="2" t="s">
        <v>75</v>
      </c>
      <c r="J874" s="2" t="s">
        <v>76</v>
      </c>
      <c r="K874" s="2" t="s">
        <v>77</v>
      </c>
      <c r="L874" s="2" t="s">
        <v>321</v>
      </c>
      <c r="M874" s="2" t="s">
        <v>322</v>
      </c>
      <c r="N874" s="2" t="s">
        <v>323</v>
      </c>
      <c r="O874" s="2" t="s">
        <v>100</v>
      </c>
      <c r="P874" s="2" t="str">
        <f>"2170583955                    "</f>
        <v xml:space="preserve">2170583955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4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1</v>
      </c>
      <c r="BJ874" s="2">
        <v>0.2</v>
      </c>
      <c r="BK874" s="2">
        <v>1</v>
      </c>
      <c r="BL874" s="2">
        <v>41.44</v>
      </c>
      <c r="BM874" s="2">
        <v>5.8</v>
      </c>
      <c r="BN874" s="2">
        <v>47.24</v>
      </c>
      <c r="BO874" s="2">
        <v>47.24</v>
      </c>
      <c r="BP874" s="2" t="s">
        <v>101</v>
      </c>
      <c r="BQ874" s="2" t="s">
        <v>83</v>
      </c>
      <c r="BR874" s="2" t="s">
        <v>84</v>
      </c>
      <c r="BS874" s="3">
        <v>42957</v>
      </c>
      <c r="BT874" s="4">
        <v>0.38750000000000001</v>
      </c>
      <c r="BU874" s="2" t="s">
        <v>324</v>
      </c>
      <c r="BV874" s="2" t="s">
        <v>86</v>
      </c>
      <c r="BW874" s="2"/>
      <c r="BX874" s="2"/>
      <c r="BY874" s="2">
        <v>1200</v>
      </c>
      <c r="BZ874" s="2"/>
      <c r="CA874" s="2" t="s">
        <v>103</v>
      </c>
      <c r="CB874" s="2"/>
      <c r="CC874" s="2" t="s">
        <v>322</v>
      </c>
      <c r="CD874" s="2">
        <v>6220</v>
      </c>
      <c r="CE874" s="2" t="s">
        <v>104</v>
      </c>
      <c r="CF874" s="5">
        <v>42958</v>
      </c>
      <c r="CG874" s="2"/>
      <c r="CH874" s="2"/>
      <c r="CI874" s="2">
        <v>1</v>
      </c>
      <c r="CJ874" s="2">
        <v>2</v>
      </c>
      <c r="CK874" s="2">
        <v>21</v>
      </c>
      <c r="CL874" s="2" t="s">
        <v>86</v>
      </c>
      <c r="CM874" s="2"/>
    </row>
    <row r="875" spans="1:91">
      <c r="A875" s="2" t="s">
        <v>71</v>
      </c>
      <c r="B875" s="2" t="s">
        <v>72</v>
      </c>
      <c r="C875" s="2" t="s">
        <v>73</v>
      </c>
      <c r="D875" s="2"/>
      <c r="E875" s="2" t="str">
        <f>"FES1162567732"</f>
        <v>FES1162567732</v>
      </c>
      <c r="F875" s="3">
        <v>42955</v>
      </c>
      <c r="G875" s="2">
        <v>201802</v>
      </c>
      <c r="H875" s="2" t="s">
        <v>74</v>
      </c>
      <c r="I875" s="2" t="s">
        <v>75</v>
      </c>
      <c r="J875" s="2" t="s">
        <v>76</v>
      </c>
      <c r="K875" s="2" t="s">
        <v>77</v>
      </c>
      <c r="L875" s="2" t="s">
        <v>97</v>
      </c>
      <c r="M875" s="2" t="s">
        <v>98</v>
      </c>
      <c r="N875" s="2" t="s">
        <v>119</v>
      </c>
      <c r="O875" s="2" t="s">
        <v>100</v>
      </c>
      <c r="P875" s="2" t="str">
        <f>"2170583867                    "</f>
        <v xml:space="preserve">2170583867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4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1</v>
      </c>
      <c r="BJ875" s="2">
        <v>0.2</v>
      </c>
      <c r="BK875" s="2">
        <v>1</v>
      </c>
      <c r="BL875" s="2">
        <v>41.44</v>
      </c>
      <c r="BM875" s="2">
        <v>5.8</v>
      </c>
      <c r="BN875" s="2">
        <v>47.24</v>
      </c>
      <c r="BO875" s="2">
        <v>47.24</v>
      </c>
      <c r="BP875" s="2" t="s">
        <v>101</v>
      </c>
      <c r="BQ875" s="2" t="s">
        <v>108</v>
      </c>
      <c r="BR875" s="2" t="s">
        <v>84</v>
      </c>
      <c r="BS875" s="3">
        <v>42957</v>
      </c>
      <c r="BT875" s="4">
        <v>0.33958333333333335</v>
      </c>
      <c r="BU875" s="2" t="s">
        <v>1554</v>
      </c>
      <c r="BV875" s="2" t="s">
        <v>86</v>
      </c>
      <c r="BW875" s="2"/>
      <c r="BX875" s="2"/>
      <c r="BY875" s="2">
        <v>1200</v>
      </c>
      <c r="BZ875" s="2"/>
      <c r="CA875" s="2" t="s">
        <v>213</v>
      </c>
      <c r="CB875" s="2"/>
      <c r="CC875" s="2" t="s">
        <v>98</v>
      </c>
      <c r="CD875" s="2">
        <v>6001</v>
      </c>
      <c r="CE875" s="2" t="s">
        <v>104</v>
      </c>
      <c r="CF875" s="5">
        <v>42958</v>
      </c>
      <c r="CG875" s="2"/>
      <c r="CH875" s="2"/>
      <c r="CI875" s="2">
        <v>1</v>
      </c>
      <c r="CJ875" s="2">
        <v>2</v>
      </c>
      <c r="CK875" s="2">
        <v>21</v>
      </c>
      <c r="CL875" s="2" t="s">
        <v>86</v>
      </c>
      <c r="CM875" s="2"/>
    </row>
    <row r="876" spans="1:91">
      <c r="A876" s="2" t="s">
        <v>71</v>
      </c>
      <c r="B876" s="2" t="s">
        <v>72</v>
      </c>
      <c r="C876" s="2" t="s">
        <v>73</v>
      </c>
      <c r="D876" s="2"/>
      <c r="E876" s="2" t="str">
        <f>"FES1162567882"</f>
        <v>FES1162567882</v>
      </c>
      <c r="F876" s="3">
        <v>42955</v>
      </c>
      <c r="G876" s="2">
        <v>201802</v>
      </c>
      <c r="H876" s="2" t="s">
        <v>74</v>
      </c>
      <c r="I876" s="2" t="s">
        <v>75</v>
      </c>
      <c r="J876" s="2" t="s">
        <v>76</v>
      </c>
      <c r="K876" s="2" t="s">
        <v>77</v>
      </c>
      <c r="L876" s="2" t="s">
        <v>97</v>
      </c>
      <c r="M876" s="2" t="s">
        <v>98</v>
      </c>
      <c r="N876" s="2" t="s">
        <v>1460</v>
      </c>
      <c r="O876" s="2" t="s">
        <v>100</v>
      </c>
      <c r="P876" s="2" t="str">
        <f>"2170583358                    "</f>
        <v xml:space="preserve">2170583358           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4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1</v>
      </c>
      <c r="BJ876" s="2">
        <v>0.2</v>
      </c>
      <c r="BK876" s="2">
        <v>1</v>
      </c>
      <c r="BL876" s="2">
        <v>41.44</v>
      </c>
      <c r="BM876" s="2">
        <v>5.8</v>
      </c>
      <c r="BN876" s="2">
        <v>47.24</v>
      </c>
      <c r="BO876" s="2">
        <v>47.24</v>
      </c>
      <c r="BP876" s="2"/>
      <c r="BQ876" s="2" t="s">
        <v>1567</v>
      </c>
      <c r="BR876" s="2" t="s">
        <v>84</v>
      </c>
      <c r="BS876" s="3">
        <v>42957</v>
      </c>
      <c r="BT876" s="4">
        <v>0.39374999999999999</v>
      </c>
      <c r="BU876" s="2" t="s">
        <v>1568</v>
      </c>
      <c r="BV876" s="2" t="s">
        <v>86</v>
      </c>
      <c r="BW876" s="2"/>
      <c r="BX876" s="2"/>
      <c r="BY876" s="2">
        <v>1200</v>
      </c>
      <c r="BZ876" s="2"/>
      <c r="CA876" s="2"/>
      <c r="CB876" s="2"/>
      <c r="CC876" s="2" t="s">
        <v>98</v>
      </c>
      <c r="CD876" s="2">
        <v>6001</v>
      </c>
      <c r="CE876" s="2" t="s">
        <v>104</v>
      </c>
      <c r="CF876" s="5">
        <v>42957</v>
      </c>
      <c r="CG876" s="2"/>
      <c r="CH876" s="2"/>
      <c r="CI876" s="2">
        <v>1</v>
      </c>
      <c r="CJ876" s="2">
        <v>2</v>
      </c>
      <c r="CK876" s="2">
        <v>21</v>
      </c>
      <c r="CL876" s="2" t="s">
        <v>86</v>
      </c>
      <c r="CM876" s="2"/>
    </row>
    <row r="877" spans="1:91">
      <c r="A877" s="2" t="s">
        <v>71</v>
      </c>
      <c r="B877" s="2" t="s">
        <v>72</v>
      </c>
      <c r="C877" s="2" t="s">
        <v>73</v>
      </c>
      <c r="D877" s="2"/>
      <c r="E877" s="2" t="str">
        <f>"FES1162567785"</f>
        <v>FES1162567785</v>
      </c>
      <c r="F877" s="3">
        <v>42955</v>
      </c>
      <c r="G877" s="2">
        <v>201802</v>
      </c>
      <c r="H877" s="2" t="s">
        <v>74</v>
      </c>
      <c r="I877" s="2" t="s">
        <v>75</v>
      </c>
      <c r="J877" s="2" t="s">
        <v>76</v>
      </c>
      <c r="K877" s="2" t="s">
        <v>77</v>
      </c>
      <c r="L877" s="2" t="s">
        <v>97</v>
      </c>
      <c r="M877" s="2" t="s">
        <v>98</v>
      </c>
      <c r="N877" s="2" t="s">
        <v>119</v>
      </c>
      <c r="O877" s="2" t="s">
        <v>100</v>
      </c>
      <c r="P877" s="2" t="str">
        <f>"2170583927                    "</f>
        <v xml:space="preserve">2170583927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4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1</v>
      </c>
      <c r="BJ877" s="2">
        <v>0.2</v>
      </c>
      <c r="BK877" s="2">
        <v>1</v>
      </c>
      <c r="BL877" s="2">
        <v>41.44</v>
      </c>
      <c r="BM877" s="2">
        <v>5.8</v>
      </c>
      <c r="BN877" s="2">
        <v>47.24</v>
      </c>
      <c r="BO877" s="2">
        <v>47.24</v>
      </c>
      <c r="BP877" s="2" t="s">
        <v>101</v>
      </c>
      <c r="BQ877" s="2" t="s">
        <v>108</v>
      </c>
      <c r="BR877" s="2" t="s">
        <v>84</v>
      </c>
      <c r="BS877" s="3">
        <v>42957</v>
      </c>
      <c r="BT877" s="4">
        <v>0.33888888888888885</v>
      </c>
      <c r="BU877" s="2" t="s">
        <v>1569</v>
      </c>
      <c r="BV877" s="2" t="s">
        <v>86</v>
      </c>
      <c r="BW877" s="2"/>
      <c r="BX877" s="2"/>
      <c r="BY877" s="2">
        <v>1200</v>
      </c>
      <c r="BZ877" s="2"/>
      <c r="CA877" s="2" t="s">
        <v>213</v>
      </c>
      <c r="CB877" s="2"/>
      <c r="CC877" s="2" t="s">
        <v>98</v>
      </c>
      <c r="CD877" s="2">
        <v>6001</v>
      </c>
      <c r="CE877" s="2" t="s">
        <v>104</v>
      </c>
      <c r="CF877" s="5">
        <v>42958</v>
      </c>
      <c r="CG877" s="2"/>
      <c r="CH877" s="2"/>
      <c r="CI877" s="2">
        <v>1</v>
      </c>
      <c r="CJ877" s="2">
        <v>2</v>
      </c>
      <c r="CK877" s="2">
        <v>21</v>
      </c>
      <c r="CL877" s="2" t="s">
        <v>86</v>
      </c>
      <c r="CM877" s="2"/>
    </row>
    <row r="878" spans="1:91">
      <c r="A878" s="2" t="s">
        <v>71</v>
      </c>
      <c r="B878" s="2" t="s">
        <v>72</v>
      </c>
      <c r="C878" s="2" t="s">
        <v>73</v>
      </c>
      <c r="D878" s="2"/>
      <c r="E878" s="2" t="str">
        <f>"FES1162567752"</f>
        <v>FES1162567752</v>
      </c>
      <c r="F878" s="3">
        <v>42955</v>
      </c>
      <c r="G878" s="2">
        <v>201802</v>
      </c>
      <c r="H878" s="2" t="s">
        <v>74</v>
      </c>
      <c r="I878" s="2" t="s">
        <v>75</v>
      </c>
      <c r="J878" s="2" t="s">
        <v>76</v>
      </c>
      <c r="K878" s="2" t="s">
        <v>77</v>
      </c>
      <c r="L878" s="2" t="s">
        <v>268</v>
      </c>
      <c r="M878" s="2" t="s">
        <v>269</v>
      </c>
      <c r="N878" s="2" t="s">
        <v>493</v>
      </c>
      <c r="O878" s="2" t="s">
        <v>100</v>
      </c>
      <c r="P878" s="2" t="str">
        <f>"2170583889                    "</f>
        <v xml:space="preserve">2170583889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4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1</v>
      </c>
      <c r="BJ878" s="2">
        <v>0.2</v>
      </c>
      <c r="BK878" s="2">
        <v>1</v>
      </c>
      <c r="BL878" s="2">
        <v>41.44</v>
      </c>
      <c r="BM878" s="2">
        <v>5.8</v>
      </c>
      <c r="BN878" s="2">
        <v>47.24</v>
      </c>
      <c r="BO878" s="2">
        <v>47.24</v>
      </c>
      <c r="BP878" s="2" t="s">
        <v>101</v>
      </c>
      <c r="BQ878" s="2" t="s">
        <v>494</v>
      </c>
      <c r="BR878" s="2" t="s">
        <v>84</v>
      </c>
      <c r="BS878" s="3">
        <v>42957</v>
      </c>
      <c r="BT878" s="4">
        <v>0.46111111111111108</v>
      </c>
      <c r="BU878" s="2" t="s">
        <v>1012</v>
      </c>
      <c r="BV878" s="2" t="s">
        <v>86</v>
      </c>
      <c r="BW878" s="2"/>
      <c r="BX878" s="2"/>
      <c r="BY878" s="2">
        <v>1200</v>
      </c>
      <c r="BZ878" s="2"/>
      <c r="CA878" s="2" t="s">
        <v>272</v>
      </c>
      <c r="CB878" s="2"/>
      <c r="CC878" s="2" t="s">
        <v>269</v>
      </c>
      <c r="CD878" s="2">
        <v>200</v>
      </c>
      <c r="CE878" s="2" t="s">
        <v>104</v>
      </c>
      <c r="CF878" s="5">
        <v>42958</v>
      </c>
      <c r="CG878" s="2"/>
      <c r="CH878" s="2"/>
      <c r="CI878" s="2">
        <v>1</v>
      </c>
      <c r="CJ878" s="2">
        <v>2</v>
      </c>
      <c r="CK878" s="2">
        <v>21</v>
      </c>
      <c r="CL878" s="2" t="s">
        <v>86</v>
      </c>
      <c r="CM878" s="2"/>
    </row>
    <row r="879" spans="1:91">
      <c r="A879" s="2" t="s">
        <v>71</v>
      </c>
      <c r="B879" s="2" t="s">
        <v>72</v>
      </c>
      <c r="C879" s="2" t="s">
        <v>73</v>
      </c>
      <c r="D879" s="2"/>
      <c r="E879" s="2" t="str">
        <f>"FES1162567876"</f>
        <v>FES1162567876</v>
      </c>
      <c r="F879" s="3">
        <v>42955</v>
      </c>
      <c r="G879" s="2">
        <v>201802</v>
      </c>
      <c r="H879" s="2" t="s">
        <v>74</v>
      </c>
      <c r="I879" s="2" t="s">
        <v>75</v>
      </c>
      <c r="J879" s="2" t="s">
        <v>76</v>
      </c>
      <c r="K879" s="2" t="s">
        <v>77</v>
      </c>
      <c r="L879" s="2" t="s">
        <v>105</v>
      </c>
      <c r="M879" s="2" t="s">
        <v>106</v>
      </c>
      <c r="N879" s="2" t="s">
        <v>107</v>
      </c>
      <c r="O879" s="2" t="s">
        <v>100</v>
      </c>
      <c r="P879" s="2" t="str">
        <f>"2170584039                    "</f>
        <v xml:space="preserve">2170584039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7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1.6</v>
      </c>
      <c r="BJ879" s="2">
        <v>3.3</v>
      </c>
      <c r="BK879" s="2">
        <v>3.5</v>
      </c>
      <c r="BL879" s="2">
        <v>72.52</v>
      </c>
      <c r="BM879" s="2">
        <v>10.15</v>
      </c>
      <c r="BN879" s="2">
        <v>82.67</v>
      </c>
      <c r="BO879" s="2">
        <v>82.67</v>
      </c>
      <c r="BP879" s="2" t="s">
        <v>101</v>
      </c>
      <c r="BQ879" s="2" t="s">
        <v>108</v>
      </c>
      <c r="BR879" s="2" t="s">
        <v>84</v>
      </c>
      <c r="BS879" s="3">
        <v>42957</v>
      </c>
      <c r="BT879" s="4">
        <v>0.39374999999999999</v>
      </c>
      <c r="BU879" s="2" t="s">
        <v>109</v>
      </c>
      <c r="BV879" s="2" t="s">
        <v>86</v>
      </c>
      <c r="BW879" s="2" t="s">
        <v>110</v>
      </c>
      <c r="BX879" s="2" t="s">
        <v>111</v>
      </c>
      <c r="BY879" s="2">
        <v>16435.3</v>
      </c>
      <c r="BZ879" s="2"/>
      <c r="CA879" s="2" t="s">
        <v>112</v>
      </c>
      <c r="CB879" s="2"/>
      <c r="CC879" s="2" t="s">
        <v>106</v>
      </c>
      <c r="CD879" s="2">
        <v>7405</v>
      </c>
      <c r="CE879" s="2" t="s">
        <v>89</v>
      </c>
      <c r="CF879" s="5">
        <v>42958</v>
      </c>
      <c r="CG879" s="2"/>
      <c r="CH879" s="2"/>
      <c r="CI879" s="2">
        <v>1</v>
      </c>
      <c r="CJ879" s="2">
        <v>2</v>
      </c>
      <c r="CK879" s="2">
        <v>21</v>
      </c>
      <c r="CL879" s="2" t="s">
        <v>86</v>
      </c>
      <c r="CM879" s="2"/>
    </row>
    <row r="880" spans="1:91">
      <c r="A880" s="2" t="s">
        <v>71</v>
      </c>
      <c r="B880" s="2" t="s">
        <v>72</v>
      </c>
      <c r="C880" s="2" t="s">
        <v>73</v>
      </c>
      <c r="D880" s="2"/>
      <c r="E880" s="2" t="str">
        <f>"FES1162567729"</f>
        <v>FES1162567729</v>
      </c>
      <c r="F880" s="3">
        <v>42955</v>
      </c>
      <c r="G880" s="2">
        <v>201802</v>
      </c>
      <c r="H880" s="2" t="s">
        <v>74</v>
      </c>
      <c r="I880" s="2" t="s">
        <v>75</v>
      </c>
      <c r="J880" s="2" t="s">
        <v>76</v>
      </c>
      <c r="K880" s="2" t="s">
        <v>77</v>
      </c>
      <c r="L880" s="2" t="s">
        <v>97</v>
      </c>
      <c r="M880" s="2" t="s">
        <v>98</v>
      </c>
      <c r="N880" s="2" t="s">
        <v>99</v>
      </c>
      <c r="O880" s="2" t="s">
        <v>100</v>
      </c>
      <c r="P880" s="2" t="str">
        <f>"2170583863                    "</f>
        <v xml:space="preserve">2170583863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4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</v>
      </c>
      <c r="BJ880" s="2">
        <v>0.2</v>
      </c>
      <c r="BK880" s="2">
        <v>1</v>
      </c>
      <c r="BL880" s="2">
        <v>41.44</v>
      </c>
      <c r="BM880" s="2">
        <v>5.8</v>
      </c>
      <c r="BN880" s="2">
        <v>47.24</v>
      </c>
      <c r="BO880" s="2">
        <v>47.24</v>
      </c>
      <c r="BP880" s="2" t="s">
        <v>101</v>
      </c>
      <c r="BQ880" s="2" t="s">
        <v>83</v>
      </c>
      <c r="BR880" s="2" t="s">
        <v>84</v>
      </c>
      <c r="BS880" s="3">
        <v>42957</v>
      </c>
      <c r="BT880" s="4">
        <v>0.36527777777777781</v>
      </c>
      <c r="BU880" s="2" t="s">
        <v>102</v>
      </c>
      <c r="BV880" s="2" t="s">
        <v>86</v>
      </c>
      <c r="BW880" s="2"/>
      <c r="BX880" s="2"/>
      <c r="BY880" s="2">
        <v>1200</v>
      </c>
      <c r="BZ880" s="2"/>
      <c r="CA880" s="2" t="s">
        <v>103</v>
      </c>
      <c r="CB880" s="2"/>
      <c r="CC880" s="2" t="s">
        <v>98</v>
      </c>
      <c r="CD880" s="2">
        <v>6210</v>
      </c>
      <c r="CE880" s="2" t="s">
        <v>104</v>
      </c>
      <c r="CF880" s="5">
        <v>42958</v>
      </c>
      <c r="CG880" s="2"/>
      <c r="CH880" s="2"/>
      <c r="CI880" s="2">
        <v>1</v>
      </c>
      <c r="CJ880" s="2">
        <v>2</v>
      </c>
      <c r="CK880" s="2">
        <v>21</v>
      </c>
      <c r="CL880" s="2" t="s">
        <v>86</v>
      </c>
      <c r="CM880" s="2"/>
    </row>
    <row r="881" spans="1:91">
      <c r="A881" s="2" t="s">
        <v>71</v>
      </c>
      <c r="B881" s="2" t="s">
        <v>72</v>
      </c>
      <c r="C881" s="2" t="s">
        <v>73</v>
      </c>
      <c r="D881" s="2"/>
      <c r="E881" s="2" t="str">
        <f>"FES1162567865"</f>
        <v>FES1162567865</v>
      </c>
      <c r="F881" s="3">
        <v>42955</v>
      </c>
      <c r="G881" s="2">
        <v>201802</v>
      </c>
      <c r="H881" s="2" t="s">
        <v>74</v>
      </c>
      <c r="I881" s="2" t="s">
        <v>75</v>
      </c>
      <c r="J881" s="2" t="s">
        <v>76</v>
      </c>
      <c r="K881" s="2" t="s">
        <v>77</v>
      </c>
      <c r="L881" s="2" t="s">
        <v>206</v>
      </c>
      <c r="M881" s="2" t="s">
        <v>207</v>
      </c>
      <c r="N881" s="2" t="s">
        <v>1570</v>
      </c>
      <c r="O881" s="2" t="s">
        <v>100</v>
      </c>
      <c r="P881" s="2" t="str">
        <f>"2170584023                    "</f>
        <v xml:space="preserve">2170584023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5.63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1</v>
      </c>
      <c r="BJ881" s="2">
        <v>0.2</v>
      </c>
      <c r="BK881" s="2">
        <v>1</v>
      </c>
      <c r="BL881" s="2">
        <v>58.28</v>
      </c>
      <c r="BM881" s="2">
        <v>8.16</v>
      </c>
      <c r="BN881" s="2">
        <v>66.44</v>
      </c>
      <c r="BO881" s="2">
        <v>66.44</v>
      </c>
      <c r="BP881" s="2" t="s">
        <v>101</v>
      </c>
      <c r="BQ881" s="2" t="s">
        <v>1571</v>
      </c>
      <c r="BR881" s="2" t="s">
        <v>84</v>
      </c>
      <c r="BS881" s="3">
        <v>42957</v>
      </c>
      <c r="BT881" s="4">
        <v>0.46875</v>
      </c>
      <c r="BU881" s="2" t="s">
        <v>1572</v>
      </c>
      <c r="BV881" s="2" t="s">
        <v>86</v>
      </c>
      <c r="BW881" s="2" t="s">
        <v>124</v>
      </c>
      <c r="BX881" s="2" t="s">
        <v>1001</v>
      </c>
      <c r="BY881" s="2">
        <v>1200</v>
      </c>
      <c r="BZ881" s="2"/>
      <c r="CA881" s="2" t="s">
        <v>211</v>
      </c>
      <c r="CB881" s="2"/>
      <c r="CC881" s="2" t="s">
        <v>207</v>
      </c>
      <c r="CD881" s="2">
        <v>250</v>
      </c>
      <c r="CE881" s="2" t="s">
        <v>104</v>
      </c>
      <c r="CF881" s="5">
        <v>42961</v>
      </c>
      <c r="CG881" s="2"/>
      <c r="CH881" s="2"/>
      <c r="CI881" s="2">
        <v>1</v>
      </c>
      <c r="CJ881" s="2">
        <v>2</v>
      </c>
      <c r="CK881" s="2">
        <v>24</v>
      </c>
      <c r="CL881" s="2" t="s">
        <v>86</v>
      </c>
      <c r="CM881" s="2"/>
    </row>
    <row r="882" spans="1:91">
      <c r="A882" s="2" t="s">
        <v>71</v>
      </c>
      <c r="B882" s="2" t="s">
        <v>72</v>
      </c>
      <c r="C882" s="2" t="s">
        <v>73</v>
      </c>
      <c r="D882" s="2"/>
      <c r="E882" s="2" t="str">
        <f>"FES1162567863"</f>
        <v>FES1162567863</v>
      </c>
      <c r="F882" s="3">
        <v>42955</v>
      </c>
      <c r="G882" s="2">
        <v>201802</v>
      </c>
      <c r="H882" s="2" t="s">
        <v>74</v>
      </c>
      <c r="I882" s="2" t="s">
        <v>75</v>
      </c>
      <c r="J882" s="2" t="s">
        <v>76</v>
      </c>
      <c r="K882" s="2" t="s">
        <v>77</v>
      </c>
      <c r="L882" s="2" t="s">
        <v>306</v>
      </c>
      <c r="M882" s="2" t="s">
        <v>307</v>
      </c>
      <c r="N882" s="2" t="s">
        <v>1573</v>
      </c>
      <c r="O882" s="2" t="s">
        <v>100</v>
      </c>
      <c r="P882" s="2" t="str">
        <f>"2170584020                    "</f>
        <v xml:space="preserve">2170584020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4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1</v>
      </c>
      <c r="BJ882" s="2">
        <v>0.2</v>
      </c>
      <c r="BK882" s="2">
        <v>1</v>
      </c>
      <c r="BL882" s="2">
        <v>41.44</v>
      </c>
      <c r="BM882" s="2">
        <v>5.8</v>
      </c>
      <c r="BN882" s="2">
        <v>47.24</v>
      </c>
      <c r="BO882" s="2">
        <v>47.24</v>
      </c>
      <c r="BP882" s="2" t="s">
        <v>101</v>
      </c>
      <c r="BQ882" s="2" t="s">
        <v>83</v>
      </c>
      <c r="BR882" s="2" t="s">
        <v>84</v>
      </c>
      <c r="BS882" s="3">
        <v>42957</v>
      </c>
      <c r="BT882" s="4">
        <v>0.44305555555555554</v>
      </c>
      <c r="BU882" s="2" t="s">
        <v>1574</v>
      </c>
      <c r="BV882" s="2" t="s">
        <v>86</v>
      </c>
      <c r="BW882" s="2"/>
      <c r="BX882" s="2"/>
      <c r="BY882" s="2">
        <v>1200</v>
      </c>
      <c r="BZ882" s="2"/>
      <c r="CA882" s="2" t="s">
        <v>1575</v>
      </c>
      <c r="CB882" s="2"/>
      <c r="CC882" s="2" t="s">
        <v>307</v>
      </c>
      <c r="CD882" s="2">
        <v>1939</v>
      </c>
      <c r="CE882" s="2" t="s">
        <v>104</v>
      </c>
      <c r="CF882" s="5">
        <v>42961</v>
      </c>
      <c r="CG882" s="2"/>
      <c r="CH882" s="2"/>
      <c r="CI882" s="2">
        <v>1</v>
      </c>
      <c r="CJ882" s="2">
        <v>2</v>
      </c>
      <c r="CK882" s="2">
        <v>21</v>
      </c>
      <c r="CL882" s="2" t="s">
        <v>86</v>
      </c>
      <c r="CM882" s="2"/>
    </row>
    <row r="883" spans="1:91">
      <c r="A883" s="2" t="s">
        <v>71</v>
      </c>
      <c r="B883" s="2" t="s">
        <v>72</v>
      </c>
      <c r="C883" s="2" t="s">
        <v>73</v>
      </c>
      <c r="D883" s="2"/>
      <c r="E883" s="2" t="str">
        <f>"FES1162567780"</f>
        <v>FES1162567780</v>
      </c>
      <c r="F883" s="3">
        <v>42955</v>
      </c>
      <c r="G883" s="2">
        <v>201802</v>
      </c>
      <c r="H883" s="2" t="s">
        <v>74</v>
      </c>
      <c r="I883" s="2" t="s">
        <v>75</v>
      </c>
      <c r="J883" s="2" t="s">
        <v>76</v>
      </c>
      <c r="K883" s="2" t="s">
        <v>77</v>
      </c>
      <c r="L883" s="2" t="s">
        <v>105</v>
      </c>
      <c r="M883" s="2" t="s">
        <v>106</v>
      </c>
      <c r="N883" s="2" t="s">
        <v>1576</v>
      </c>
      <c r="O883" s="2" t="s">
        <v>100</v>
      </c>
      <c r="P883" s="2" t="str">
        <f>"2170583920                    "</f>
        <v xml:space="preserve">2170583920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4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1</v>
      </c>
      <c r="BJ883" s="2">
        <v>0.2</v>
      </c>
      <c r="BK883" s="2">
        <v>1</v>
      </c>
      <c r="BL883" s="2">
        <v>41.44</v>
      </c>
      <c r="BM883" s="2">
        <v>5.8</v>
      </c>
      <c r="BN883" s="2">
        <v>47.24</v>
      </c>
      <c r="BO883" s="2">
        <v>47.24</v>
      </c>
      <c r="BP883" s="2" t="s">
        <v>101</v>
      </c>
      <c r="BQ883" s="2" t="s">
        <v>83</v>
      </c>
      <c r="BR883" s="2" t="s">
        <v>84</v>
      </c>
      <c r="BS883" s="3">
        <v>42957</v>
      </c>
      <c r="BT883" s="4">
        <v>0.42569444444444443</v>
      </c>
      <c r="BU883" s="2" t="s">
        <v>1577</v>
      </c>
      <c r="BV883" s="2" t="s">
        <v>86</v>
      </c>
      <c r="BW883" s="2" t="s">
        <v>110</v>
      </c>
      <c r="BX883" s="2" t="s">
        <v>111</v>
      </c>
      <c r="BY883" s="2">
        <v>1200</v>
      </c>
      <c r="BZ883" s="2"/>
      <c r="CA883" s="2" t="s">
        <v>869</v>
      </c>
      <c r="CB883" s="2"/>
      <c r="CC883" s="2" t="s">
        <v>106</v>
      </c>
      <c r="CD883" s="2">
        <v>7460</v>
      </c>
      <c r="CE883" s="2" t="s">
        <v>104</v>
      </c>
      <c r="CF883" s="5">
        <v>42958</v>
      </c>
      <c r="CG883" s="2"/>
      <c r="CH883" s="2"/>
      <c r="CI883" s="2">
        <v>1</v>
      </c>
      <c r="CJ883" s="2">
        <v>2</v>
      </c>
      <c r="CK883" s="2">
        <v>21</v>
      </c>
      <c r="CL883" s="2" t="s">
        <v>86</v>
      </c>
      <c r="CM883" s="2"/>
    </row>
    <row r="884" spans="1:91">
      <c r="A884" s="2" t="s">
        <v>71</v>
      </c>
      <c r="B884" s="2" t="s">
        <v>72</v>
      </c>
      <c r="C884" s="2" t="s">
        <v>73</v>
      </c>
      <c r="D884" s="2"/>
      <c r="E884" s="2" t="str">
        <f>"FES1162567887"</f>
        <v>FES1162567887</v>
      </c>
      <c r="F884" s="3">
        <v>42955</v>
      </c>
      <c r="G884" s="2">
        <v>201802</v>
      </c>
      <c r="H884" s="2" t="s">
        <v>74</v>
      </c>
      <c r="I884" s="2" t="s">
        <v>75</v>
      </c>
      <c r="J884" s="2" t="s">
        <v>76</v>
      </c>
      <c r="K884" s="2" t="s">
        <v>77</v>
      </c>
      <c r="L884" s="2" t="s">
        <v>144</v>
      </c>
      <c r="M884" s="2" t="s">
        <v>145</v>
      </c>
      <c r="N884" s="2" t="s">
        <v>1578</v>
      </c>
      <c r="O884" s="2" t="s">
        <v>100</v>
      </c>
      <c r="P884" s="2" t="str">
        <f>"2170584048                    "</f>
        <v xml:space="preserve">2170584048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3.13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1</v>
      </c>
      <c r="BJ884" s="2">
        <v>0.2</v>
      </c>
      <c r="BK884" s="2">
        <v>1</v>
      </c>
      <c r="BL884" s="2">
        <v>32.380000000000003</v>
      </c>
      <c r="BM884" s="2">
        <v>4.53</v>
      </c>
      <c r="BN884" s="2">
        <v>36.909999999999997</v>
      </c>
      <c r="BO884" s="2">
        <v>36.909999999999997</v>
      </c>
      <c r="BP884" s="2" t="s">
        <v>101</v>
      </c>
      <c r="BQ884" s="2" t="s">
        <v>108</v>
      </c>
      <c r="BR884" s="2" t="s">
        <v>84</v>
      </c>
      <c r="BS884" s="3">
        <v>42957</v>
      </c>
      <c r="BT884" s="4">
        <v>0.41666666666666669</v>
      </c>
      <c r="BU884" s="2" t="s">
        <v>1579</v>
      </c>
      <c r="BV884" s="2" t="s">
        <v>86</v>
      </c>
      <c r="BW884" s="2" t="s">
        <v>124</v>
      </c>
      <c r="BX884" s="2" t="s">
        <v>327</v>
      </c>
      <c r="BY884" s="2">
        <v>1200</v>
      </c>
      <c r="BZ884" s="2"/>
      <c r="CA884" s="2" t="s">
        <v>729</v>
      </c>
      <c r="CB884" s="2"/>
      <c r="CC884" s="2" t="s">
        <v>145</v>
      </c>
      <c r="CD884" s="2">
        <v>2197</v>
      </c>
      <c r="CE884" s="2" t="s">
        <v>104</v>
      </c>
      <c r="CF884" s="5">
        <v>42958</v>
      </c>
      <c r="CG884" s="2"/>
      <c r="CH884" s="2"/>
      <c r="CI884" s="2">
        <v>1</v>
      </c>
      <c r="CJ884" s="2">
        <v>2</v>
      </c>
      <c r="CK884" s="2">
        <v>22</v>
      </c>
      <c r="CL884" s="2" t="s">
        <v>86</v>
      </c>
      <c r="CM884" s="2"/>
    </row>
    <row r="885" spans="1:91">
      <c r="A885" s="2" t="s">
        <v>71</v>
      </c>
      <c r="B885" s="2" t="s">
        <v>72</v>
      </c>
      <c r="C885" s="2" t="s">
        <v>73</v>
      </c>
      <c r="D885" s="2"/>
      <c r="E885" s="2" t="str">
        <f>"FES1162567844"</f>
        <v>FES1162567844</v>
      </c>
      <c r="F885" s="3">
        <v>42955</v>
      </c>
      <c r="G885" s="2">
        <v>201802</v>
      </c>
      <c r="H885" s="2" t="s">
        <v>74</v>
      </c>
      <c r="I885" s="2" t="s">
        <v>75</v>
      </c>
      <c r="J885" s="2" t="s">
        <v>76</v>
      </c>
      <c r="K885" s="2" t="s">
        <v>77</v>
      </c>
      <c r="L885" s="2" t="s">
        <v>170</v>
      </c>
      <c r="M885" s="2" t="s">
        <v>171</v>
      </c>
      <c r="N885" s="2" t="s">
        <v>1580</v>
      </c>
      <c r="O885" s="2" t="s">
        <v>100</v>
      </c>
      <c r="P885" s="2" t="str">
        <f>"2170581731                    "</f>
        <v xml:space="preserve">2170581731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3.13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1</v>
      </c>
      <c r="BJ885" s="2">
        <v>0.2</v>
      </c>
      <c r="BK885" s="2">
        <v>1</v>
      </c>
      <c r="BL885" s="2">
        <v>32.380000000000003</v>
      </c>
      <c r="BM885" s="2">
        <v>4.53</v>
      </c>
      <c r="BN885" s="2">
        <v>36.909999999999997</v>
      </c>
      <c r="BO885" s="2">
        <v>36.909999999999997</v>
      </c>
      <c r="BP885" s="2" t="s">
        <v>101</v>
      </c>
      <c r="BQ885" s="2"/>
      <c r="BR885" s="2" t="s">
        <v>84</v>
      </c>
      <c r="BS885" s="3">
        <v>42957</v>
      </c>
      <c r="BT885" s="4">
        <v>0.41666666666666669</v>
      </c>
      <c r="BU885" s="2" t="s">
        <v>1581</v>
      </c>
      <c r="BV885" s="2" t="s">
        <v>86</v>
      </c>
      <c r="BW885" s="2" t="s">
        <v>124</v>
      </c>
      <c r="BX885" s="2" t="s">
        <v>327</v>
      </c>
      <c r="BY885" s="2">
        <v>1200</v>
      </c>
      <c r="BZ885" s="2"/>
      <c r="CA885" s="2"/>
      <c r="CB885" s="2"/>
      <c r="CC885" s="2" t="s">
        <v>171</v>
      </c>
      <c r="CD885" s="2">
        <v>1428</v>
      </c>
      <c r="CE885" s="2" t="s">
        <v>104</v>
      </c>
      <c r="CF885" s="5">
        <v>42958</v>
      </c>
      <c r="CG885" s="2"/>
      <c r="CH885" s="2"/>
      <c r="CI885" s="2">
        <v>1</v>
      </c>
      <c r="CJ885" s="2">
        <v>2</v>
      </c>
      <c r="CK885" s="2">
        <v>22</v>
      </c>
      <c r="CL885" s="2" t="s">
        <v>86</v>
      </c>
      <c r="CM885" s="2"/>
    </row>
    <row r="886" spans="1:91">
      <c r="A886" s="2" t="s">
        <v>71</v>
      </c>
      <c r="B886" s="2" t="s">
        <v>72</v>
      </c>
      <c r="C886" s="2" t="s">
        <v>73</v>
      </c>
      <c r="D886" s="2"/>
      <c r="E886" s="2" t="str">
        <f>"FES1162567889"</f>
        <v>FES1162567889</v>
      </c>
      <c r="F886" s="3">
        <v>42955</v>
      </c>
      <c r="G886" s="2">
        <v>201802</v>
      </c>
      <c r="H886" s="2" t="s">
        <v>74</v>
      </c>
      <c r="I886" s="2" t="s">
        <v>75</v>
      </c>
      <c r="J886" s="2" t="s">
        <v>76</v>
      </c>
      <c r="K886" s="2" t="s">
        <v>77</v>
      </c>
      <c r="L886" s="2" t="s">
        <v>343</v>
      </c>
      <c r="M886" s="2" t="s">
        <v>344</v>
      </c>
      <c r="N886" s="2" t="s">
        <v>351</v>
      </c>
      <c r="O886" s="2" t="s">
        <v>100</v>
      </c>
      <c r="P886" s="2" t="str">
        <f>"2170583300                    "</f>
        <v xml:space="preserve">2170583300 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4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1</v>
      </c>
      <c r="BJ886" s="2">
        <v>0.2</v>
      </c>
      <c r="BK886" s="2">
        <v>1</v>
      </c>
      <c r="BL886" s="2">
        <v>41.44</v>
      </c>
      <c r="BM886" s="2">
        <v>5.8</v>
      </c>
      <c r="BN886" s="2">
        <v>47.24</v>
      </c>
      <c r="BO886" s="2">
        <v>47.24</v>
      </c>
      <c r="BP886" s="2" t="s">
        <v>101</v>
      </c>
      <c r="BQ886" s="2" t="s">
        <v>1582</v>
      </c>
      <c r="BR886" s="2" t="s">
        <v>84</v>
      </c>
      <c r="BS886" s="3">
        <v>42957</v>
      </c>
      <c r="BT886" s="4">
        <v>0.3979166666666667</v>
      </c>
      <c r="BU886" s="2" t="s">
        <v>352</v>
      </c>
      <c r="BV886" s="2" t="s">
        <v>86</v>
      </c>
      <c r="BW886" s="2" t="s">
        <v>87</v>
      </c>
      <c r="BX886" s="2" t="s">
        <v>337</v>
      </c>
      <c r="BY886" s="2">
        <v>1200</v>
      </c>
      <c r="BZ886" s="2"/>
      <c r="CA886" s="2" t="s">
        <v>347</v>
      </c>
      <c r="CB886" s="2"/>
      <c r="CC886" s="2" t="s">
        <v>344</v>
      </c>
      <c r="CD886" s="2">
        <v>4133</v>
      </c>
      <c r="CE886" s="2" t="s">
        <v>104</v>
      </c>
      <c r="CF886" s="5">
        <v>42958</v>
      </c>
      <c r="CG886" s="2"/>
      <c r="CH886" s="2"/>
      <c r="CI886" s="2">
        <v>1</v>
      </c>
      <c r="CJ886" s="2">
        <v>2</v>
      </c>
      <c r="CK886" s="2">
        <v>21</v>
      </c>
      <c r="CL886" s="2" t="s">
        <v>86</v>
      </c>
      <c r="CM886" s="2"/>
    </row>
    <row r="887" spans="1:91">
      <c r="A887" s="2" t="s">
        <v>71</v>
      </c>
      <c r="B887" s="2" t="s">
        <v>72</v>
      </c>
      <c r="C887" s="2" t="s">
        <v>73</v>
      </c>
      <c r="D887" s="2"/>
      <c r="E887" s="2" t="str">
        <f>"FES1162567850"</f>
        <v>FES1162567850</v>
      </c>
      <c r="F887" s="3">
        <v>42955</v>
      </c>
      <c r="G887" s="2">
        <v>201802</v>
      </c>
      <c r="H887" s="2" t="s">
        <v>74</v>
      </c>
      <c r="I887" s="2" t="s">
        <v>75</v>
      </c>
      <c r="J887" s="2" t="s">
        <v>76</v>
      </c>
      <c r="K887" s="2" t="s">
        <v>77</v>
      </c>
      <c r="L887" s="2" t="s">
        <v>144</v>
      </c>
      <c r="M887" s="2" t="s">
        <v>145</v>
      </c>
      <c r="N887" s="2" t="s">
        <v>1583</v>
      </c>
      <c r="O887" s="2" t="s">
        <v>100</v>
      </c>
      <c r="P887" s="2" t="str">
        <f>"2170584013                    "</f>
        <v xml:space="preserve">2170584013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3.13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1</v>
      </c>
      <c r="BI887" s="2">
        <v>1</v>
      </c>
      <c r="BJ887" s="2">
        <v>0.2</v>
      </c>
      <c r="BK887" s="2">
        <v>1</v>
      </c>
      <c r="BL887" s="2">
        <v>32.380000000000003</v>
      </c>
      <c r="BM887" s="2">
        <v>4.53</v>
      </c>
      <c r="BN887" s="2">
        <v>36.909999999999997</v>
      </c>
      <c r="BO887" s="2">
        <v>36.909999999999997</v>
      </c>
      <c r="BP887" s="2" t="s">
        <v>101</v>
      </c>
      <c r="BQ887" s="2" t="s">
        <v>1584</v>
      </c>
      <c r="BR887" s="2" t="s">
        <v>84</v>
      </c>
      <c r="BS887" s="3">
        <v>42957</v>
      </c>
      <c r="BT887" s="4">
        <v>0.36805555555555558</v>
      </c>
      <c r="BU887" s="2" t="s">
        <v>1585</v>
      </c>
      <c r="BV887" s="2" t="s">
        <v>86</v>
      </c>
      <c r="BW887" s="2" t="s">
        <v>124</v>
      </c>
      <c r="BX887" s="2" t="s">
        <v>327</v>
      </c>
      <c r="BY887" s="2">
        <v>1200</v>
      </c>
      <c r="BZ887" s="2"/>
      <c r="CA887" s="2" t="s">
        <v>1368</v>
      </c>
      <c r="CB887" s="2"/>
      <c r="CC887" s="2" t="s">
        <v>145</v>
      </c>
      <c r="CD887" s="2">
        <v>2196</v>
      </c>
      <c r="CE887" s="2" t="s">
        <v>104</v>
      </c>
      <c r="CF887" s="5">
        <v>42958</v>
      </c>
      <c r="CG887" s="2"/>
      <c r="CH887" s="2"/>
      <c r="CI887" s="2">
        <v>1</v>
      </c>
      <c r="CJ887" s="2">
        <v>2</v>
      </c>
      <c r="CK887" s="2">
        <v>22</v>
      </c>
      <c r="CL887" s="2" t="s">
        <v>86</v>
      </c>
      <c r="CM887" s="2"/>
    </row>
    <row r="888" spans="1:91">
      <c r="A888" s="2" t="s">
        <v>71</v>
      </c>
      <c r="B888" s="2" t="s">
        <v>72</v>
      </c>
      <c r="C888" s="2" t="s">
        <v>73</v>
      </c>
      <c r="D888" s="2"/>
      <c r="E888" s="2" t="str">
        <f>"FES1162567860"</f>
        <v>FES1162567860</v>
      </c>
      <c r="F888" s="3">
        <v>42955</v>
      </c>
      <c r="G888" s="2">
        <v>201802</v>
      </c>
      <c r="H888" s="2" t="s">
        <v>74</v>
      </c>
      <c r="I888" s="2" t="s">
        <v>75</v>
      </c>
      <c r="J888" s="2" t="s">
        <v>76</v>
      </c>
      <c r="K888" s="2" t="s">
        <v>77</v>
      </c>
      <c r="L888" s="2" t="s">
        <v>237</v>
      </c>
      <c r="M888" s="2" t="s">
        <v>238</v>
      </c>
      <c r="N888" s="2" t="s">
        <v>765</v>
      </c>
      <c r="O888" s="2" t="s">
        <v>100</v>
      </c>
      <c r="P888" s="2" t="str">
        <f>"2170582881                    "</f>
        <v xml:space="preserve">2170582881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4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1</v>
      </c>
      <c r="BI888" s="2">
        <v>1</v>
      </c>
      <c r="BJ888" s="2">
        <v>0.2</v>
      </c>
      <c r="BK888" s="2">
        <v>1</v>
      </c>
      <c r="BL888" s="2">
        <v>41.44</v>
      </c>
      <c r="BM888" s="2">
        <v>5.8</v>
      </c>
      <c r="BN888" s="2">
        <v>47.24</v>
      </c>
      <c r="BO888" s="2">
        <v>47.24</v>
      </c>
      <c r="BP888" s="2" t="s">
        <v>101</v>
      </c>
      <c r="BQ888" s="2" t="s">
        <v>108</v>
      </c>
      <c r="BR888" s="2" t="s">
        <v>84</v>
      </c>
      <c r="BS888" s="3">
        <v>42957</v>
      </c>
      <c r="BT888" s="4">
        <v>0.31944444444444448</v>
      </c>
      <c r="BU888" s="2" t="s">
        <v>766</v>
      </c>
      <c r="BV888" s="2" t="s">
        <v>86</v>
      </c>
      <c r="BW888" s="2" t="s">
        <v>87</v>
      </c>
      <c r="BX888" s="2" t="s">
        <v>337</v>
      </c>
      <c r="BY888" s="2">
        <v>1200</v>
      </c>
      <c r="BZ888" s="2"/>
      <c r="CA888" s="2" t="s">
        <v>401</v>
      </c>
      <c r="CB888" s="2"/>
      <c r="CC888" s="2" t="s">
        <v>238</v>
      </c>
      <c r="CD888" s="2">
        <v>3610</v>
      </c>
      <c r="CE888" s="2" t="s">
        <v>104</v>
      </c>
      <c r="CF888" s="5">
        <v>42958</v>
      </c>
      <c r="CG888" s="2"/>
      <c r="CH888" s="2"/>
      <c r="CI888" s="2">
        <v>1</v>
      </c>
      <c r="CJ888" s="2">
        <v>2</v>
      </c>
      <c r="CK888" s="2">
        <v>21</v>
      </c>
      <c r="CL888" s="2" t="s">
        <v>86</v>
      </c>
      <c r="CM888" s="2"/>
    </row>
    <row r="889" spans="1:91">
      <c r="A889" s="2" t="s">
        <v>71</v>
      </c>
      <c r="B889" s="2" t="s">
        <v>72</v>
      </c>
      <c r="C889" s="2" t="s">
        <v>73</v>
      </c>
      <c r="D889" s="2"/>
      <c r="E889" s="2" t="str">
        <f>"FES1162567869"</f>
        <v>FES1162567869</v>
      </c>
      <c r="F889" s="3">
        <v>42955</v>
      </c>
      <c r="G889" s="2">
        <v>201802</v>
      </c>
      <c r="H889" s="2" t="s">
        <v>74</v>
      </c>
      <c r="I889" s="2" t="s">
        <v>75</v>
      </c>
      <c r="J889" s="2" t="s">
        <v>76</v>
      </c>
      <c r="K889" s="2" t="s">
        <v>77</v>
      </c>
      <c r="L889" s="2" t="s">
        <v>149</v>
      </c>
      <c r="M889" s="2" t="s">
        <v>150</v>
      </c>
      <c r="N889" s="2" t="s">
        <v>435</v>
      </c>
      <c r="O889" s="2" t="s">
        <v>100</v>
      </c>
      <c r="P889" s="2" t="str">
        <f>"2170575444                    "</f>
        <v xml:space="preserve">2170575444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4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1</v>
      </c>
      <c r="BJ889" s="2">
        <v>0.2</v>
      </c>
      <c r="BK889" s="2">
        <v>1</v>
      </c>
      <c r="BL889" s="2">
        <v>41.44</v>
      </c>
      <c r="BM889" s="2">
        <v>5.8</v>
      </c>
      <c r="BN889" s="2">
        <v>47.24</v>
      </c>
      <c r="BO889" s="2">
        <v>47.24</v>
      </c>
      <c r="BP889" s="2" t="s">
        <v>101</v>
      </c>
      <c r="BQ889" s="2" t="s">
        <v>83</v>
      </c>
      <c r="BR889" s="2" t="s">
        <v>84</v>
      </c>
      <c r="BS889" s="3">
        <v>42957</v>
      </c>
      <c r="BT889" s="4">
        <v>0.36388888888888887</v>
      </c>
      <c r="BU889" s="2" t="s">
        <v>436</v>
      </c>
      <c r="BV889" s="2" t="s">
        <v>86</v>
      </c>
      <c r="BW889" s="2" t="s">
        <v>87</v>
      </c>
      <c r="BX889" s="2" t="s">
        <v>337</v>
      </c>
      <c r="BY889" s="2">
        <v>1200</v>
      </c>
      <c r="BZ889" s="2"/>
      <c r="CA889" s="2" t="s">
        <v>429</v>
      </c>
      <c r="CB889" s="2"/>
      <c r="CC889" s="2" t="s">
        <v>150</v>
      </c>
      <c r="CD889" s="2">
        <v>4001</v>
      </c>
      <c r="CE889" s="2" t="s">
        <v>104</v>
      </c>
      <c r="CF889" s="5">
        <v>42958</v>
      </c>
      <c r="CG889" s="2"/>
      <c r="CH889" s="2"/>
      <c r="CI889" s="2">
        <v>1</v>
      </c>
      <c r="CJ889" s="2">
        <v>2</v>
      </c>
      <c r="CK889" s="2">
        <v>21</v>
      </c>
      <c r="CL889" s="2" t="s">
        <v>86</v>
      </c>
      <c r="CM889" s="2"/>
    </row>
    <row r="890" spans="1:91">
      <c r="A890" s="2" t="s">
        <v>71</v>
      </c>
      <c r="B890" s="2" t="s">
        <v>72</v>
      </c>
      <c r="C890" s="2" t="s">
        <v>73</v>
      </c>
      <c r="D890" s="2"/>
      <c r="E890" s="2" t="str">
        <f>"FES1162567880"</f>
        <v>FES1162567880</v>
      </c>
      <c r="F890" s="3">
        <v>42955</v>
      </c>
      <c r="G890" s="2">
        <v>201802</v>
      </c>
      <c r="H890" s="2" t="s">
        <v>74</v>
      </c>
      <c r="I890" s="2" t="s">
        <v>75</v>
      </c>
      <c r="J890" s="2" t="s">
        <v>76</v>
      </c>
      <c r="K890" s="2" t="s">
        <v>77</v>
      </c>
      <c r="L890" s="2" t="s">
        <v>149</v>
      </c>
      <c r="M890" s="2" t="s">
        <v>150</v>
      </c>
      <c r="N890" s="2" t="s">
        <v>482</v>
      </c>
      <c r="O890" s="2" t="s">
        <v>100</v>
      </c>
      <c r="P890" s="2" t="str">
        <f>"2170583962                    "</f>
        <v xml:space="preserve">2170583962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4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1</v>
      </c>
      <c r="BJ890" s="2">
        <v>0.2</v>
      </c>
      <c r="BK890" s="2">
        <v>1</v>
      </c>
      <c r="BL890" s="2">
        <v>41.44</v>
      </c>
      <c r="BM890" s="2">
        <v>5.8</v>
      </c>
      <c r="BN890" s="2">
        <v>47.24</v>
      </c>
      <c r="BO890" s="2">
        <v>47.24</v>
      </c>
      <c r="BP890" s="2" t="s">
        <v>101</v>
      </c>
      <c r="BQ890" s="2" t="s">
        <v>83</v>
      </c>
      <c r="BR890" s="2" t="s">
        <v>84</v>
      </c>
      <c r="BS890" s="3">
        <v>42957</v>
      </c>
      <c r="BT890" s="4">
        <v>0.44375000000000003</v>
      </c>
      <c r="BU890" s="2" t="s">
        <v>1586</v>
      </c>
      <c r="BV890" s="2" t="s">
        <v>86</v>
      </c>
      <c r="BW890" s="2" t="s">
        <v>87</v>
      </c>
      <c r="BX890" s="2" t="s">
        <v>337</v>
      </c>
      <c r="BY890" s="2">
        <v>1200</v>
      </c>
      <c r="BZ890" s="2"/>
      <c r="CA890" s="2" t="s">
        <v>682</v>
      </c>
      <c r="CB890" s="2"/>
      <c r="CC890" s="2" t="s">
        <v>150</v>
      </c>
      <c r="CD890" s="2">
        <v>4001</v>
      </c>
      <c r="CE890" s="2" t="s">
        <v>104</v>
      </c>
      <c r="CF890" s="5">
        <v>42958</v>
      </c>
      <c r="CG890" s="2"/>
      <c r="CH890" s="2"/>
      <c r="CI890" s="2">
        <v>1</v>
      </c>
      <c r="CJ890" s="2">
        <v>2</v>
      </c>
      <c r="CK890" s="2">
        <v>21</v>
      </c>
      <c r="CL890" s="2" t="s">
        <v>86</v>
      </c>
      <c r="CM890" s="2"/>
    </row>
    <row r="891" spans="1:91">
      <c r="A891" s="2" t="s">
        <v>71</v>
      </c>
      <c r="B891" s="2" t="s">
        <v>72</v>
      </c>
      <c r="C891" s="2" t="s">
        <v>73</v>
      </c>
      <c r="D891" s="2"/>
      <c r="E891" s="2" t="str">
        <f>"FES1162567800"</f>
        <v>FES1162567800</v>
      </c>
      <c r="F891" s="3">
        <v>42955</v>
      </c>
      <c r="G891" s="2">
        <v>201802</v>
      </c>
      <c r="H891" s="2" t="s">
        <v>74</v>
      </c>
      <c r="I891" s="2" t="s">
        <v>75</v>
      </c>
      <c r="J891" s="2" t="s">
        <v>76</v>
      </c>
      <c r="K891" s="2" t="s">
        <v>77</v>
      </c>
      <c r="L891" s="2" t="s">
        <v>446</v>
      </c>
      <c r="M891" s="2" t="s">
        <v>447</v>
      </c>
      <c r="N891" s="2" t="s">
        <v>897</v>
      </c>
      <c r="O891" s="2" t="s">
        <v>100</v>
      </c>
      <c r="P891" s="2" t="str">
        <f>"2170583949                    "</f>
        <v xml:space="preserve">2170583949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5.63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1</v>
      </c>
      <c r="BJ891" s="2">
        <v>0.2</v>
      </c>
      <c r="BK891" s="2">
        <v>1</v>
      </c>
      <c r="BL891" s="2">
        <v>58.28</v>
      </c>
      <c r="BM891" s="2">
        <v>8.16</v>
      </c>
      <c r="BN891" s="2">
        <v>66.44</v>
      </c>
      <c r="BO891" s="2">
        <v>66.44</v>
      </c>
      <c r="BP891" s="2" t="s">
        <v>101</v>
      </c>
      <c r="BQ891" s="2" t="s">
        <v>83</v>
      </c>
      <c r="BR891" s="2" t="s">
        <v>84</v>
      </c>
      <c r="BS891" s="3">
        <v>42957</v>
      </c>
      <c r="BT891" s="4">
        <v>0.62291666666666667</v>
      </c>
      <c r="BU891" s="2" t="s">
        <v>1587</v>
      </c>
      <c r="BV891" s="2" t="s">
        <v>86</v>
      </c>
      <c r="BW891" s="2" t="s">
        <v>1007</v>
      </c>
      <c r="BX891" s="2" t="s">
        <v>1113</v>
      </c>
      <c r="BY891" s="2">
        <v>1200</v>
      </c>
      <c r="BZ891" s="2"/>
      <c r="CA891" s="2"/>
      <c r="CB891" s="2"/>
      <c r="CC891" s="2" t="s">
        <v>447</v>
      </c>
      <c r="CD891" s="2">
        <v>1759</v>
      </c>
      <c r="CE891" s="2" t="s">
        <v>104</v>
      </c>
      <c r="CF891" s="5">
        <v>42958</v>
      </c>
      <c r="CG891" s="2"/>
      <c r="CH891" s="2"/>
      <c r="CI891" s="2">
        <v>1</v>
      </c>
      <c r="CJ891" s="2">
        <v>2</v>
      </c>
      <c r="CK891" s="2">
        <v>24</v>
      </c>
      <c r="CL891" s="2" t="s">
        <v>86</v>
      </c>
      <c r="CM891" s="2"/>
    </row>
    <row r="892" spans="1:91">
      <c r="A892" s="2" t="s">
        <v>71</v>
      </c>
      <c r="B892" s="2" t="s">
        <v>72</v>
      </c>
      <c r="C892" s="2" t="s">
        <v>73</v>
      </c>
      <c r="D892" s="2"/>
      <c r="E892" s="2" t="str">
        <f>"FES1162567896"</f>
        <v>FES1162567896</v>
      </c>
      <c r="F892" s="3">
        <v>42955</v>
      </c>
      <c r="G892" s="2">
        <v>201802</v>
      </c>
      <c r="H892" s="2" t="s">
        <v>74</v>
      </c>
      <c r="I892" s="2" t="s">
        <v>75</v>
      </c>
      <c r="J892" s="2" t="s">
        <v>76</v>
      </c>
      <c r="K892" s="2" t="s">
        <v>77</v>
      </c>
      <c r="L892" s="2" t="s">
        <v>216</v>
      </c>
      <c r="M892" s="2" t="s">
        <v>217</v>
      </c>
      <c r="N892" s="2" t="s">
        <v>1588</v>
      </c>
      <c r="O892" s="2" t="s">
        <v>100</v>
      </c>
      <c r="P892" s="2" t="str">
        <f>"2170583561                    "</f>
        <v xml:space="preserve">2170583561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3.5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8.6</v>
      </c>
      <c r="BJ892" s="2">
        <v>2.5</v>
      </c>
      <c r="BK892" s="2">
        <v>9</v>
      </c>
      <c r="BL892" s="2">
        <v>36.26</v>
      </c>
      <c r="BM892" s="2">
        <v>5.08</v>
      </c>
      <c r="BN892" s="2">
        <v>41.34</v>
      </c>
      <c r="BO892" s="2">
        <v>41.34</v>
      </c>
      <c r="BP892" s="2" t="s">
        <v>101</v>
      </c>
      <c r="BQ892" s="2" t="s">
        <v>1589</v>
      </c>
      <c r="BR892" s="2" t="s">
        <v>84</v>
      </c>
      <c r="BS892" s="3">
        <v>42957</v>
      </c>
      <c r="BT892" s="4">
        <v>0.4055555555555555</v>
      </c>
      <c r="BU892" s="2" t="s">
        <v>1590</v>
      </c>
      <c r="BV892" s="2" t="s">
        <v>86</v>
      </c>
      <c r="BW892" s="2" t="s">
        <v>124</v>
      </c>
      <c r="BX892" s="2" t="s">
        <v>327</v>
      </c>
      <c r="BY892" s="2">
        <v>12730.3</v>
      </c>
      <c r="BZ892" s="2"/>
      <c r="CA892" s="2" t="s">
        <v>220</v>
      </c>
      <c r="CB892" s="2"/>
      <c r="CC892" s="2" t="s">
        <v>217</v>
      </c>
      <c r="CD892" s="2">
        <v>1451</v>
      </c>
      <c r="CE892" s="2" t="s">
        <v>948</v>
      </c>
      <c r="CF892" s="5">
        <v>42958</v>
      </c>
      <c r="CG892" s="2"/>
      <c r="CH892" s="2"/>
      <c r="CI892" s="2">
        <v>1</v>
      </c>
      <c r="CJ892" s="2">
        <v>2</v>
      </c>
      <c r="CK892" s="2">
        <v>22</v>
      </c>
      <c r="CL892" s="2" t="s">
        <v>86</v>
      </c>
      <c r="CM892" s="2"/>
    </row>
    <row r="893" spans="1:91">
      <c r="A893" s="2" t="s">
        <v>71</v>
      </c>
      <c r="B893" s="2" t="s">
        <v>72</v>
      </c>
      <c r="C893" s="2" t="s">
        <v>73</v>
      </c>
      <c r="D893" s="2"/>
      <c r="E893" s="2" t="str">
        <f>"FES1162567854"</f>
        <v>FES1162567854</v>
      </c>
      <c r="F893" s="3">
        <v>42955</v>
      </c>
      <c r="G893" s="2">
        <v>201802</v>
      </c>
      <c r="H893" s="2" t="s">
        <v>74</v>
      </c>
      <c r="I893" s="2" t="s">
        <v>75</v>
      </c>
      <c r="J893" s="2" t="s">
        <v>76</v>
      </c>
      <c r="K893" s="2" t="s">
        <v>77</v>
      </c>
      <c r="L893" s="2" t="s">
        <v>604</v>
      </c>
      <c r="M893" s="2" t="s">
        <v>605</v>
      </c>
      <c r="N893" s="2" t="s">
        <v>391</v>
      </c>
      <c r="O893" s="2" t="s">
        <v>100</v>
      </c>
      <c r="P893" s="2" t="str">
        <f>"2170581620                    "</f>
        <v xml:space="preserve">2170581620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6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2.9</v>
      </c>
      <c r="BJ893" s="2">
        <v>0.7</v>
      </c>
      <c r="BK893" s="2">
        <v>3</v>
      </c>
      <c r="BL893" s="2">
        <v>62.16</v>
      </c>
      <c r="BM893" s="2">
        <v>8.6999999999999993</v>
      </c>
      <c r="BN893" s="2">
        <v>70.86</v>
      </c>
      <c r="BO893" s="2">
        <v>70.86</v>
      </c>
      <c r="BP893" s="2" t="s">
        <v>101</v>
      </c>
      <c r="BQ893" s="2" t="s">
        <v>1540</v>
      </c>
      <c r="BR893" s="2" t="s">
        <v>84</v>
      </c>
      <c r="BS893" s="3">
        <v>42957</v>
      </c>
      <c r="BT893" s="4">
        <v>0.37152777777777773</v>
      </c>
      <c r="BU893" s="2" t="s">
        <v>215</v>
      </c>
      <c r="BV893" s="2" t="s">
        <v>86</v>
      </c>
      <c r="BW893" s="2" t="s">
        <v>87</v>
      </c>
      <c r="BX893" s="2" t="s">
        <v>337</v>
      </c>
      <c r="BY893" s="2">
        <v>3406.59</v>
      </c>
      <c r="BZ893" s="2"/>
      <c r="CA893" s="2" t="s">
        <v>607</v>
      </c>
      <c r="CB893" s="2"/>
      <c r="CC893" s="2" t="s">
        <v>605</v>
      </c>
      <c r="CD893" s="2">
        <v>4126</v>
      </c>
      <c r="CE893" s="2" t="s">
        <v>948</v>
      </c>
      <c r="CF893" s="5">
        <v>42958</v>
      </c>
      <c r="CG893" s="2"/>
      <c r="CH893" s="2"/>
      <c r="CI893" s="2">
        <v>1</v>
      </c>
      <c r="CJ893" s="2">
        <v>2</v>
      </c>
      <c r="CK893" s="2">
        <v>21</v>
      </c>
      <c r="CL893" s="2" t="s">
        <v>86</v>
      </c>
      <c r="CM893" s="2"/>
    </row>
    <row r="894" spans="1:91">
      <c r="A894" s="2" t="s">
        <v>71</v>
      </c>
      <c r="B894" s="2" t="s">
        <v>72</v>
      </c>
      <c r="C894" s="2" t="s">
        <v>73</v>
      </c>
      <c r="D894" s="2"/>
      <c r="E894" s="2" t="str">
        <f>"FES1162567899"</f>
        <v>FES1162567899</v>
      </c>
      <c r="F894" s="3">
        <v>42955</v>
      </c>
      <c r="G894" s="2">
        <v>201802</v>
      </c>
      <c r="H894" s="2" t="s">
        <v>74</v>
      </c>
      <c r="I894" s="2" t="s">
        <v>75</v>
      </c>
      <c r="J894" s="2" t="s">
        <v>76</v>
      </c>
      <c r="K894" s="2" t="s">
        <v>77</v>
      </c>
      <c r="L894" s="2" t="s">
        <v>105</v>
      </c>
      <c r="M894" s="2" t="s">
        <v>106</v>
      </c>
      <c r="N894" s="2" t="s">
        <v>824</v>
      </c>
      <c r="O894" s="2" t="s">
        <v>100</v>
      </c>
      <c r="P894" s="2" t="str">
        <f>"2170583703                    "</f>
        <v xml:space="preserve">2170583703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4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2</v>
      </c>
      <c r="BJ894" s="2">
        <v>1.6</v>
      </c>
      <c r="BK894" s="2">
        <v>2</v>
      </c>
      <c r="BL894" s="2">
        <v>41.44</v>
      </c>
      <c r="BM894" s="2">
        <v>5.8</v>
      </c>
      <c r="BN894" s="2">
        <v>47.24</v>
      </c>
      <c r="BO894" s="2">
        <v>47.24</v>
      </c>
      <c r="BP894" s="2" t="s">
        <v>101</v>
      </c>
      <c r="BQ894" s="2" t="s">
        <v>83</v>
      </c>
      <c r="BR894" s="2" t="s">
        <v>84</v>
      </c>
      <c r="BS894" s="3">
        <v>42957</v>
      </c>
      <c r="BT894" s="4">
        <v>0.44375000000000003</v>
      </c>
      <c r="BU894" s="2" t="s">
        <v>825</v>
      </c>
      <c r="BV894" s="2" t="s">
        <v>86</v>
      </c>
      <c r="BW894" s="2" t="s">
        <v>110</v>
      </c>
      <c r="BX894" s="2" t="s">
        <v>537</v>
      </c>
      <c r="BY894" s="2">
        <v>8054.94</v>
      </c>
      <c r="BZ894" s="2"/>
      <c r="CA894" s="2" t="s">
        <v>1591</v>
      </c>
      <c r="CB894" s="2"/>
      <c r="CC894" s="2" t="s">
        <v>106</v>
      </c>
      <c r="CD894" s="2">
        <v>7800</v>
      </c>
      <c r="CE894" s="2" t="s">
        <v>89</v>
      </c>
      <c r="CF894" s="5">
        <v>42957</v>
      </c>
      <c r="CG894" s="2"/>
      <c r="CH894" s="2"/>
      <c r="CI894" s="2">
        <v>1</v>
      </c>
      <c r="CJ894" s="2">
        <v>2</v>
      </c>
      <c r="CK894" s="2">
        <v>21</v>
      </c>
      <c r="CL894" s="2" t="s">
        <v>86</v>
      </c>
      <c r="CM894" s="2"/>
    </row>
    <row r="895" spans="1:91">
      <c r="A895" s="2" t="s">
        <v>71</v>
      </c>
      <c r="B895" s="2" t="s">
        <v>72</v>
      </c>
      <c r="C895" s="2" t="s">
        <v>73</v>
      </c>
      <c r="D895" s="2"/>
      <c r="E895" s="2" t="str">
        <f>"FES1162567901"</f>
        <v>FES1162567901</v>
      </c>
      <c r="F895" s="3">
        <v>42955</v>
      </c>
      <c r="G895" s="2">
        <v>201802</v>
      </c>
      <c r="H895" s="2" t="s">
        <v>74</v>
      </c>
      <c r="I895" s="2" t="s">
        <v>75</v>
      </c>
      <c r="J895" s="2" t="s">
        <v>76</v>
      </c>
      <c r="K895" s="2" t="s">
        <v>77</v>
      </c>
      <c r="L895" s="2" t="s">
        <v>105</v>
      </c>
      <c r="M895" s="2" t="s">
        <v>106</v>
      </c>
      <c r="N895" s="2" t="s">
        <v>705</v>
      </c>
      <c r="O895" s="2" t="s">
        <v>100</v>
      </c>
      <c r="P895" s="2" t="str">
        <f>"2170584064                    "</f>
        <v xml:space="preserve">2170584064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4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1</v>
      </c>
      <c r="BI895" s="2">
        <v>1.5</v>
      </c>
      <c r="BJ895" s="2">
        <v>1.4</v>
      </c>
      <c r="BK895" s="2">
        <v>1.5</v>
      </c>
      <c r="BL895" s="2">
        <v>41.44</v>
      </c>
      <c r="BM895" s="2">
        <v>5.8</v>
      </c>
      <c r="BN895" s="2">
        <v>47.24</v>
      </c>
      <c r="BO895" s="2">
        <v>47.24</v>
      </c>
      <c r="BP895" s="2" t="s">
        <v>101</v>
      </c>
      <c r="BQ895" s="2" t="s">
        <v>108</v>
      </c>
      <c r="BR895" s="2" t="s">
        <v>84</v>
      </c>
      <c r="BS895" s="3">
        <v>42957</v>
      </c>
      <c r="BT895" s="4">
        <v>0.37013888888888885</v>
      </c>
      <c r="BU895" s="2" t="s">
        <v>706</v>
      </c>
      <c r="BV895" s="2" t="s">
        <v>86</v>
      </c>
      <c r="BW895" s="2" t="s">
        <v>115</v>
      </c>
      <c r="BX895" s="2" t="s">
        <v>116</v>
      </c>
      <c r="BY895" s="2">
        <v>7130.66</v>
      </c>
      <c r="BZ895" s="2"/>
      <c r="CA895" s="2" t="s">
        <v>291</v>
      </c>
      <c r="CB895" s="2"/>
      <c r="CC895" s="2" t="s">
        <v>106</v>
      </c>
      <c r="CD895" s="2">
        <v>7441</v>
      </c>
      <c r="CE895" s="2" t="s">
        <v>89</v>
      </c>
      <c r="CF895" s="5">
        <v>42958</v>
      </c>
      <c r="CG895" s="2"/>
      <c r="CH895" s="2"/>
      <c r="CI895" s="2">
        <v>1</v>
      </c>
      <c r="CJ895" s="2">
        <v>2</v>
      </c>
      <c r="CK895" s="2">
        <v>21</v>
      </c>
      <c r="CL895" s="2" t="s">
        <v>86</v>
      </c>
      <c r="CM895" s="2"/>
    </row>
    <row r="896" spans="1:91">
      <c r="A896" s="2" t="s">
        <v>71</v>
      </c>
      <c r="B896" s="2" t="s">
        <v>72</v>
      </c>
      <c r="C896" s="2" t="s">
        <v>73</v>
      </c>
      <c r="D896" s="2"/>
      <c r="E896" s="2" t="str">
        <f>"FES1162567891"</f>
        <v>FES1162567891</v>
      </c>
      <c r="F896" s="3">
        <v>42955</v>
      </c>
      <c r="G896" s="2">
        <v>201802</v>
      </c>
      <c r="H896" s="2" t="s">
        <v>74</v>
      </c>
      <c r="I896" s="2" t="s">
        <v>75</v>
      </c>
      <c r="J896" s="2" t="s">
        <v>76</v>
      </c>
      <c r="K896" s="2" t="s">
        <v>77</v>
      </c>
      <c r="L896" s="2" t="s">
        <v>149</v>
      </c>
      <c r="M896" s="2" t="s">
        <v>150</v>
      </c>
      <c r="N896" s="2" t="s">
        <v>1592</v>
      </c>
      <c r="O896" s="2" t="s">
        <v>100</v>
      </c>
      <c r="P896" s="2" t="str">
        <f>"2170583543                    "</f>
        <v xml:space="preserve">2170583543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4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1</v>
      </c>
      <c r="BJ896" s="2">
        <v>0.2</v>
      </c>
      <c r="BK896" s="2">
        <v>1</v>
      </c>
      <c r="BL896" s="2">
        <v>41.44</v>
      </c>
      <c r="BM896" s="2">
        <v>5.8</v>
      </c>
      <c r="BN896" s="2">
        <v>47.24</v>
      </c>
      <c r="BO896" s="2">
        <v>47.24</v>
      </c>
      <c r="BP896" s="2" t="s">
        <v>101</v>
      </c>
      <c r="BQ896" s="2" t="s">
        <v>83</v>
      </c>
      <c r="BR896" s="2" t="s">
        <v>84</v>
      </c>
      <c r="BS896" s="3">
        <v>42957</v>
      </c>
      <c r="BT896" s="4">
        <v>0.39305555555555555</v>
      </c>
      <c r="BU896" s="2" t="s">
        <v>1593</v>
      </c>
      <c r="BV896" s="2" t="s">
        <v>86</v>
      </c>
      <c r="BW896" s="2" t="s">
        <v>87</v>
      </c>
      <c r="BX896" s="2" t="s">
        <v>337</v>
      </c>
      <c r="BY896" s="2">
        <v>1200</v>
      </c>
      <c r="BZ896" s="2"/>
      <c r="CA896" s="2" t="s">
        <v>1163</v>
      </c>
      <c r="CB896" s="2"/>
      <c r="CC896" s="2" t="s">
        <v>150</v>
      </c>
      <c r="CD896" s="2">
        <v>4094</v>
      </c>
      <c r="CE896" s="2" t="s">
        <v>104</v>
      </c>
      <c r="CF896" s="5">
        <v>42958</v>
      </c>
      <c r="CG896" s="2"/>
      <c r="CH896" s="2"/>
      <c r="CI896" s="2">
        <v>1</v>
      </c>
      <c r="CJ896" s="2">
        <v>2</v>
      </c>
      <c r="CK896" s="2">
        <v>21</v>
      </c>
      <c r="CL896" s="2" t="s">
        <v>86</v>
      </c>
      <c r="CM896" s="2"/>
    </row>
    <row r="897" spans="1:91">
      <c r="A897" s="2" t="s">
        <v>71</v>
      </c>
      <c r="B897" s="2" t="s">
        <v>72</v>
      </c>
      <c r="C897" s="2" t="s">
        <v>73</v>
      </c>
      <c r="D897" s="2"/>
      <c r="E897" s="2" t="str">
        <f>"FES1162567893"</f>
        <v>FES1162567893</v>
      </c>
      <c r="F897" s="3">
        <v>42955</v>
      </c>
      <c r="G897" s="2">
        <v>201802</v>
      </c>
      <c r="H897" s="2" t="s">
        <v>74</v>
      </c>
      <c r="I897" s="2" t="s">
        <v>75</v>
      </c>
      <c r="J897" s="2" t="s">
        <v>76</v>
      </c>
      <c r="K897" s="2" t="s">
        <v>77</v>
      </c>
      <c r="L897" s="2" t="s">
        <v>237</v>
      </c>
      <c r="M897" s="2" t="s">
        <v>238</v>
      </c>
      <c r="N897" s="2" t="s">
        <v>673</v>
      </c>
      <c r="O897" s="2" t="s">
        <v>100</v>
      </c>
      <c r="P897" s="2" t="str">
        <f>"2170583737                    "</f>
        <v xml:space="preserve">2170583737 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4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1</v>
      </c>
      <c r="BJ897" s="2">
        <v>0.2</v>
      </c>
      <c r="BK897" s="2">
        <v>1</v>
      </c>
      <c r="BL897" s="2">
        <v>41.44</v>
      </c>
      <c r="BM897" s="2">
        <v>5.8</v>
      </c>
      <c r="BN897" s="2">
        <v>47.24</v>
      </c>
      <c r="BO897" s="2">
        <v>47.24</v>
      </c>
      <c r="BP897" s="2" t="s">
        <v>101</v>
      </c>
      <c r="BQ897" s="2" t="s">
        <v>83</v>
      </c>
      <c r="BR897" s="2" t="s">
        <v>84</v>
      </c>
      <c r="BS897" s="3">
        <v>42957</v>
      </c>
      <c r="BT897" s="4">
        <v>0.41875000000000001</v>
      </c>
      <c r="BU897" s="2" t="s">
        <v>1594</v>
      </c>
      <c r="BV897" s="2" t="s">
        <v>86</v>
      </c>
      <c r="BW897" s="2" t="s">
        <v>87</v>
      </c>
      <c r="BX897" s="2" t="s">
        <v>337</v>
      </c>
      <c r="BY897" s="2">
        <v>1200</v>
      </c>
      <c r="BZ897" s="2"/>
      <c r="CA897" s="2" t="s">
        <v>401</v>
      </c>
      <c r="CB897" s="2"/>
      <c r="CC897" s="2" t="s">
        <v>238</v>
      </c>
      <c r="CD897" s="2">
        <v>3610</v>
      </c>
      <c r="CE897" s="2" t="s">
        <v>104</v>
      </c>
      <c r="CF897" s="5">
        <v>42958</v>
      </c>
      <c r="CG897" s="2"/>
      <c r="CH897" s="2"/>
      <c r="CI897" s="2">
        <v>1</v>
      </c>
      <c r="CJ897" s="2">
        <v>2</v>
      </c>
      <c r="CK897" s="2">
        <v>21</v>
      </c>
      <c r="CL897" s="2" t="s">
        <v>86</v>
      </c>
      <c r="CM897" s="2"/>
    </row>
    <row r="898" spans="1:91">
      <c r="A898" s="2" t="s">
        <v>71</v>
      </c>
      <c r="B898" s="2" t="s">
        <v>72</v>
      </c>
      <c r="C898" s="2" t="s">
        <v>73</v>
      </c>
      <c r="D898" s="2"/>
      <c r="E898" s="2" t="str">
        <f>"FES1162567778"</f>
        <v>FES1162567778</v>
      </c>
      <c r="F898" s="3">
        <v>42955</v>
      </c>
      <c r="G898" s="2">
        <v>201802</v>
      </c>
      <c r="H898" s="2" t="s">
        <v>74</v>
      </c>
      <c r="I898" s="2" t="s">
        <v>75</v>
      </c>
      <c r="J898" s="2" t="s">
        <v>76</v>
      </c>
      <c r="K898" s="2" t="s">
        <v>77</v>
      </c>
      <c r="L898" s="2" t="s">
        <v>237</v>
      </c>
      <c r="M898" s="2" t="s">
        <v>238</v>
      </c>
      <c r="N898" s="2" t="s">
        <v>1595</v>
      </c>
      <c r="O898" s="2" t="s">
        <v>100</v>
      </c>
      <c r="P898" s="2" t="str">
        <f>"2170583918                    "</f>
        <v xml:space="preserve">2170583918 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4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1</v>
      </c>
      <c r="BI898" s="2">
        <v>1</v>
      </c>
      <c r="BJ898" s="2">
        <v>0.2</v>
      </c>
      <c r="BK898" s="2">
        <v>1</v>
      </c>
      <c r="BL898" s="2">
        <v>41.44</v>
      </c>
      <c r="BM898" s="2">
        <v>5.8</v>
      </c>
      <c r="BN898" s="2">
        <v>47.24</v>
      </c>
      <c r="BO898" s="2">
        <v>47.24</v>
      </c>
      <c r="BP898" s="2" t="s">
        <v>101</v>
      </c>
      <c r="BQ898" s="2" t="s">
        <v>83</v>
      </c>
      <c r="BR898" s="2" t="s">
        <v>84</v>
      </c>
      <c r="BS898" s="3">
        <v>42957</v>
      </c>
      <c r="BT898" s="4">
        <v>0.41597222222222219</v>
      </c>
      <c r="BU898" s="2" t="s">
        <v>1596</v>
      </c>
      <c r="BV898" s="2" t="s">
        <v>86</v>
      </c>
      <c r="BW898" s="2" t="s">
        <v>87</v>
      </c>
      <c r="BX898" s="2" t="s">
        <v>337</v>
      </c>
      <c r="BY898" s="2">
        <v>1200</v>
      </c>
      <c r="BZ898" s="2"/>
      <c r="CA898" s="2" t="s">
        <v>672</v>
      </c>
      <c r="CB898" s="2"/>
      <c r="CC898" s="2" t="s">
        <v>238</v>
      </c>
      <c r="CD898" s="2">
        <v>3610</v>
      </c>
      <c r="CE898" s="2" t="s">
        <v>104</v>
      </c>
      <c r="CF898" s="5">
        <v>42958</v>
      </c>
      <c r="CG898" s="2"/>
      <c r="CH898" s="2"/>
      <c r="CI898" s="2">
        <v>1</v>
      </c>
      <c r="CJ898" s="2">
        <v>2</v>
      </c>
      <c r="CK898" s="2">
        <v>21</v>
      </c>
      <c r="CL898" s="2" t="s">
        <v>86</v>
      </c>
      <c r="CM898" s="2"/>
    </row>
    <row r="899" spans="1:91">
      <c r="A899" s="2" t="s">
        <v>71</v>
      </c>
      <c r="B899" s="2" t="s">
        <v>72</v>
      </c>
      <c r="C899" s="2" t="s">
        <v>73</v>
      </c>
      <c r="D899" s="2"/>
      <c r="E899" s="2" t="str">
        <f>"FES1162567783"</f>
        <v>FES1162567783</v>
      </c>
      <c r="F899" s="3">
        <v>42955</v>
      </c>
      <c r="G899" s="2">
        <v>201802</v>
      </c>
      <c r="H899" s="2" t="s">
        <v>74</v>
      </c>
      <c r="I899" s="2" t="s">
        <v>75</v>
      </c>
      <c r="J899" s="2" t="s">
        <v>76</v>
      </c>
      <c r="K899" s="2" t="s">
        <v>77</v>
      </c>
      <c r="L899" s="2" t="s">
        <v>353</v>
      </c>
      <c r="M899" s="2" t="s">
        <v>354</v>
      </c>
      <c r="N899" s="2" t="s">
        <v>1597</v>
      </c>
      <c r="O899" s="2" t="s">
        <v>100</v>
      </c>
      <c r="P899" s="2" t="str">
        <f>"2170583924                    "</f>
        <v xml:space="preserve">2170583924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4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2</v>
      </c>
      <c r="BJ899" s="2">
        <v>1</v>
      </c>
      <c r="BK899" s="2">
        <v>2</v>
      </c>
      <c r="BL899" s="2">
        <v>41.44</v>
      </c>
      <c r="BM899" s="2">
        <v>5.8</v>
      </c>
      <c r="BN899" s="2">
        <v>47.24</v>
      </c>
      <c r="BO899" s="2">
        <v>47.24</v>
      </c>
      <c r="BP899" s="2" t="s">
        <v>101</v>
      </c>
      <c r="BQ899" s="2" t="s">
        <v>1598</v>
      </c>
      <c r="BR899" s="2" t="s">
        <v>84</v>
      </c>
      <c r="BS899" s="3">
        <v>42957</v>
      </c>
      <c r="BT899" s="4">
        <v>0.4375</v>
      </c>
      <c r="BU899" s="2" t="s">
        <v>1599</v>
      </c>
      <c r="BV899" s="2" t="s">
        <v>86</v>
      </c>
      <c r="BW899" s="2" t="s">
        <v>336</v>
      </c>
      <c r="BX899" s="2" t="s">
        <v>549</v>
      </c>
      <c r="BY899" s="2">
        <v>4932.12</v>
      </c>
      <c r="BZ899" s="2"/>
      <c r="CA899" s="2" t="s">
        <v>668</v>
      </c>
      <c r="CB899" s="2"/>
      <c r="CC899" s="2" t="s">
        <v>354</v>
      </c>
      <c r="CD899" s="2">
        <v>3699</v>
      </c>
      <c r="CE899" s="2" t="s">
        <v>89</v>
      </c>
      <c r="CF899" s="5">
        <v>42959</v>
      </c>
      <c r="CG899" s="2"/>
      <c r="CH899" s="2"/>
      <c r="CI899" s="2">
        <v>1</v>
      </c>
      <c r="CJ899" s="2">
        <v>2</v>
      </c>
      <c r="CK899" s="2">
        <v>21</v>
      </c>
      <c r="CL899" s="2" t="s">
        <v>86</v>
      </c>
      <c r="CM899" s="2"/>
    </row>
    <row r="900" spans="1:91">
      <c r="A900" s="2" t="s">
        <v>71</v>
      </c>
      <c r="B900" s="2" t="s">
        <v>72</v>
      </c>
      <c r="C900" s="2" t="s">
        <v>73</v>
      </c>
      <c r="D900" s="2"/>
      <c r="E900" s="2" t="str">
        <f>"FES1162567649"</f>
        <v>FES1162567649</v>
      </c>
      <c r="F900" s="3">
        <v>42955</v>
      </c>
      <c r="G900" s="2">
        <v>201802</v>
      </c>
      <c r="H900" s="2" t="s">
        <v>74</v>
      </c>
      <c r="I900" s="2" t="s">
        <v>75</v>
      </c>
      <c r="J900" s="2" t="s">
        <v>76</v>
      </c>
      <c r="K900" s="2" t="s">
        <v>77</v>
      </c>
      <c r="L900" s="2" t="s">
        <v>97</v>
      </c>
      <c r="M900" s="2" t="s">
        <v>98</v>
      </c>
      <c r="N900" s="2" t="s">
        <v>292</v>
      </c>
      <c r="O900" s="2" t="s">
        <v>100</v>
      </c>
      <c r="P900" s="2" t="str">
        <f>"2170583786                    "</f>
        <v xml:space="preserve">2170583786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11.01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4</v>
      </c>
      <c r="BJ900" s="2">
        <v>5.0999999999999996</v>
      </c>
      <c r="BK900" s="2">
        <v>5.5</v>
      </c>
      <c r="BL900" s="2">
        <v>113.97</v>
      </c>
      <c r="BM900" s="2">
        <v>15.96</v>
      </c>
      <c r="BN900" s="2">
        <v>129.93</v>
      </c>
      <c r="BO900" s="2">
        <v>129.93</v>
      </c>
      <c r="BP900" s="2" t="s">
        <v>101</v>
      </c>
      <c r="BQ900" s="2" t="s">
        <v>83</v>
      </c>
      <c r="BR900" s="2" t="s">
        <v>84</v>
      </c>
      <c r="BS900" s="3">
        <v>42957</v>
      </c>
      <c r="BT900" s="4">
        <v>0.32083333333333336</v>
      </c>
      <c r="BU900" s="2" t="s">
        <v>293</v>
      </c>
      <c r="BV900" s="2" t="s">
        <v>86</v>
      </c>
      <c r="BW900" s="2"/>
      <c r="BX900" s="2"/>
      <c r="BY900" s="2">
        <v>25432</v>
      </c>
      <c r="BZ900" s="2"/>
      <c r="CA900" s="2" t="s">
        <v>294</v>
      </c>
      <c r="CB900" s="2"/>
      <c r="CC900" s="2" t="s">
        <v>98</v>
      </c>
      <c r="CD900" s="2">
        <v>6001</v>
      </c>
      <c r="CE900" s="2" t="s">
        <v>996</v>
      </c>
      <c r="CF900" s="5">
        <v>42958</v>
      </c>
      <c r="CG900" s="2"/>
      <c r="CH900" s="2"/>
      <c r="CI900" s="2">
        <v>1</v>
      </c>
      <c r="CJ900" s="2">
        <v>2</v>
      </c>
      <c r="CK900" s="2">
        <v>21</v>
      </c>
      <c r="CL900" s="2" t="s">
        <v>86</v>
      </c>
      <c r="CM900" s="2"/>
    </row>
    <row r="901" spans="1:91">
      <c r="A901" s="2" t="s">
        <v>71</v>
      </c>
      <c r="B901" s="2" t="s">
        <v>72</v>
      </c>
      <c r="C901" s="2" t="s">
        <v>73</v>
      </c>
      <c r="D901" s="2"/>
      <c r="E901" s="2" t="str">
        <f>"FES1162567842"</f>
        <v>FES1162567842</v>
      </c>
      <c r="F901" s="3">
        <v>42955</v>
      </c>
      <c r="G901" s="2">
        <v>201802</v>
      </c>
      <c r="H901" s="2" t="s">
        <v>74</v>
      </c>
      <c r="I901" s="2" t="s">
        <v>75</v>
      </c>
      <c r="J901" s="2" t="s">
        <v>76</v>
      </c>
      <c r="K901" s="2" t="s">
        <v>77</v>
      </c>
      <c r="L901" s="2" t="s">
        <v>174</v>
      </c>
      <c r="M901" s="2" t="s">
        <v>175</v>
      </c>
      <c r="N901" s="2" t="s">
        <v>1600</v>
      </c>
      <c r="O901" s="2" t="s">
        <v>100</v>
      </c>
      <c r="P901" s="2" t="str">
        <f>"2170584001                    "</f>
        <v xml:space="preserve">2170584001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4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1</v>
      </c>
      <c r="BJ901" s="2">
        <v>0.2</v>
      </c>
      <c r="BK901" s="2">
        <v>1</v>
      </c>
      <c r="BL901" s="2">
        <v>41.44</v>
      </c>
      <c r="BM901" s="2">
        <v>5.8</v>
      </c>
      <c r="BN901" s="2">
        <v>47.24</v>
      </c>
      <c r="BO901" s="2">
        <v>47.24</v>
      </c>
      <c r="BP901" s="2" t="s">
        <v>101</v>
      </c>
      <c r="BQ901" s="2" t="s">
        <v>1601</v>
      </c>
      <c r="BR901" s="2" t="s">
        <v>84</v>
      </c>
      <c r="BS901" s="3">
        <v>42957</v>
      </c>
      <c r="BT901" s="4">
        <v>0.36458333333333331</v>
      </c>
      <c r="BU901" s="2" t="s">
        <v>1602</v>
      </c>
      <c r="BV901" s="2" t="s">
        <v>86</v>
      </c>
      <c r="BW901" s="2" t="s">
        <v>110</v>
      </c>
      <c r="BX901" s="2" t="s">
        <v>592</v>
      </c>
      <c r="BY901" s="2">
        <v>1200</v>
      </c>
      <c r="BZ901" s="2"/>
      <c r="CA901" s="2" t="s">
        <v>1420</v>
      </c>
      <c r="CB901" s="2"/>
      <c r="CC901" s="2" t="s">
        <v>175</v>
      </c>
      <c r="CD901" s="2">
        <v>5201</v>
      </c>
      <c r="CE901" s="2" t="s">
        <v>104</v>
      </c>
      <c r="CF901" s="5">
        <v>42958</v>
      </c>
      <c r="CG901" s="2"/>
      <c r="CH901" s="2"/>
      <c r="CI901" s="2">
        <v>1</v>
      </c>
      <c r="CJ901" s="2">
        <v>2</v>
      </c>
      <c r="CK901" s="2">
        <v>21</v>
      </c>
      <c r="CL901" s="2" t="s">
        <v>86</v>
      </c>
      <c r="CM901" s="2"/>
    </row>
    <row r="902" spans="1:91">
      <c r="A902" s="2" t="s">
        <v>71</v>
      </c>
      <c r="B902" s="2" t="s">
        <v>72</v>
      </c>
      <c r="C902" s="2" t="s">
        <v>73</v>
      </c>
      <c r="D902" s="2"/>
      <c r="E902" s="2" t="str">
        <f>"FES1162567846"</f>
        <v>FES1162567846</v>
      </c>
      <c r="F902" s="3">
        <v>42955</v>
      </c>
      <c r="G902" s="2">
        <v>201802</v>
      </c>
      <c r="H902" s="2" t="s">
        <v>74</v>
      </c>
      <c r="I902" s="2" t="s">
        <v>75</v>
      </c>
      <c r="J902" s="2" t="s">
        <v>76</v>
      </c>
      <c r="K902" s="2" t="s">
        <v>77</v>
      </c>
      <c r="L902" s="2" t="s">
        <v>97</v>
      </c>
      <c r="M902" s="2" t="s">
        <v>98</v>
      </c>
      <c r="N902" s="2" t="s">
        <v>119</v>
      </c>
      <c r="O902" s="2" t="s">
        <v>100</v>
      </c>
      <c r="P902" s="2" t="str">
        <f>"2170584007                    "</f>
        <v xml:space="preserve">2170584007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4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1</v>
      </c>
      <c r="BJ902" s="2">
        <v>0.2</v>
      </c>
      <c r="BK902" s="2">
        <v>1</v>
      </c>
      <c r="BL902" s="2">
        <v>41.44</v>
      </c>
      <c r="BM902" s="2">
        <v>5.8</v>
      </c>
      <c r="BN902" s="2">
        <v>47.24</v>
      </c>
      <c r="BO902" s="2">
        <v>47.24</v>
      </c>
      <c r="BP902" s="2" t="s">
        <v>101</v>
      </c>
      <c r="BQ902" s="2" t="s">
        <v>108</v>
      </c>
      <c r="BR902" s="2" t="s">
        <v>84</v>
      </c>
      <c r="BS902" s="3">
        <v>42957</v>
      </c>
      <c r="BT902" s="4">
        <v>0.33958333333333335</v>
      </c>
      <c r="BU902" s="2" t="s">
        <v>798</v>
      </c>
      <c r="BV902" s="2" t="s">
        <v>86</v>
      </c>
      <c r="BW902" s="2"/>
      <c r="BX902" s="2"/>
      <c r="BY902" s="2">
        <v>1200</v>
      </c>
      <c r="BZ902" s="2"/>
      <c r="CA902" s="2" t="s">
        <v>213</v>
      </c>
      <c r="CB902" s="2"/>
      <c r="CC902" s="2" t="s">
        <v>98</v>
      </c>
      <c r="CD902" s="2">
        <v>6001</v>
      </c>
      <c r="CE902" s="2" t="s">
        <v>104</v>
      </c>
      <c r="CF902" s="5">
        <v>42958</v>
      </c>
      <c r="CG902" s="2"/>
      <c r="CH902" s="2"/>
      <c r="CI902" s="2">
        <v>1</v>
      </c>
      <c r="CJ902" s="2">
        <v>2</v>
      </c>
      <c r="CK902" s="2">
        <v>21</v>
      </c>
      <c r="CL902" s="2" t="s">
        <v>86</v>
      </c>
      <c r="CM902" s="2"/>
    </row>
    <row r="903" spans="1:91">
      <c r="A903" s="2" t="s">
        <v>71</v>
      </c>
      <c r="B903" s="2" t="s">
        <v>72</v>
      </c>
      <c r="C903" s="2" t="s">
        <v>73</v>
      </c>
      <c r="D903" s="2"/>
      <c r="E903" s="2" t="str">
        <f>"FES1162567640"</f>
        <v>FES1162567640</v>
      </c>
      <c r="F903" s="3">
        <v>42955</v>
      </c>
      <c r="G903" s="2">
        <v>201802</v>
      </c>
      <c r="H903" s="2" t="s">
        <v>74</v>
      </c>
      <c r="I903" s="2" t="s">
        <v>75</v>
      </c>
      <c r="J903" s="2" t="s">
        <v>76</v>
      </c>
      <c r="K903" s="2" t="s">
        <v>77</v>
      </c>
      <c r="L903" s="2" t="s">
        <v>353</v>
      </c>
      <c r="M903" s="2" t="s">
        <v>354</v>
      </c>
      <c r="N903" s="2" t="s">
        <v>1603</v>
      </c>
      <c r="O903" s="2" t="s">
        <v>100</v>
      </c>
      <c r="P903" s="2" t="str">
        <f>"2170583290                    "</f>
        <v xml:space="preserve">2170583290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4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1</v>
      </c>
      <c r="BJ903" s="2">
        <v>0.2</v>
      </c>
      <c r="BK903" s="2">
        <v>1</v>
      </c>
      <c r="BL903" s="2">
        <v>41.44</v>
      </c>
      <c r="BM903" s="2">
        <v>5.8</v>
      </c>
      <c r="BN903" s="2">
        <v>47.24</v>
      </c>
      <c r="BO903" s="2">
        <v>47.24</v>
      </c>
      <c r="BP903" s="2"/>
      <c r="BQ903" s="2" t="s">
        <v>83</v>
      </c>
      <c r="BR903" s="2" t="s">
        <v>84</v>
      </c>
      <c r="BS903" s="3">
        <v>42957</v>
      </c>
      <c r="BT903" s="4">
        <v>0.43055555555555558</v>
      </c>
      <c r="BU903" s="2" t="s">
        <v>1604</v>
      </c>
      <c r="BV903" s="2" t="s">
        <v>86</v>
      </c>
      <c r="BW903" s="2" t="s">
        <v>336</v>
      </c>
      <c r="BX903" s="2" t="s">
        <v>549</v>
      </c>
      <c r="BY903" s="2">
        <v>1200</v>
      </c>
      <c r="BZ903" s="2"/>
      <c r="CA903" s="2" t="s">
        <v>668</v>
      </c>
      <c r="CB903" s="2"/>
      <c r="CC903" s="2" t="s">
        <v>354</v>
      </c>
      <c r="CD903" s="2">
        <v>3700</v>
      </c>
      <c r="CE903" s="2" t="s">
        <v>104</v>
      </c>
      <c r="CF903" s="5">
        <v>42959</v>
      </c>
      <c r="CG903" s="2"/>
      <c r="CH903" s="2"/>
      <c r="CI903" s="2">
        <v>1</v>
      </c>
      <c r="CJ903" s="2">
        <v>2</v>
      </c>
      <c r="CK903" s="2">
        <v>21</v>
      </c>
      <c r="CL903" s="2" t="s">
        <v>86</v>
      </c>
      <c r="CM903" s="2"/>
    </row>
    <row r="904" spans="1:91">
      <c r="A904" s="2" t="s">
        <v>71</v>
      </c>
      <c r="B904" s="2" t="s">
        <v>72</v>
      </c>
      <c r="C904" s="2" t="s">
        <v>73</v>
      </c>
      <c r="D904" s="2"/>
      <c r="E904" s="2" t="str">
        <f>"FES1162567743"</f>
        <v>FES1162567743</v>
      </c>
      <c r="F904" s="3">
        <v>42955</v>
      </c>
      <c r="G904" s="2">
        <v>201802</v>
      </c>
      <c r="H904" s="2" t="s">
        <v>74</v>
      </c>
      <c r="I904" s="2" t="s">
        <v>75</v>
      </c>
      <c r="J904" s="2" t="s">
        <v>76</v>
      </c>
      <c r="K904" s="2" t="s">
        <v>77</v>
      </c>
      <c r="L904" s="2" t="s">
        <v>237</v>
      </c>
      <c r="M904" s="2" t="s">
        <v>238</v>
      </c>
      <c r="N904" s="2" t="s">
        <v>239</v>
      </c>
      <c r="O904" s="2" t="s">
        <v>100</v>
      </c>
      <c r="P904" s="2" t="str">
        <f>"2170583882                    "</f>
        <v xml:space="preserve">2170583882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4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1</v>
      </c>
      <c r="BJ904" s="2">
        <v>0.2</v>
      </c>
      <c r="BK904" s="2">
        <v>1</v>
      </c>
      <c r="BL904" s="2">
        <v>41.44</v>
      </c>
      <c r="BM904" s="2">
        <v>5.8</v>
      </c>
      <c r="BN904" s="2">
        <v>47.24</v>
      </c>
      <c r="BO904" s="2">
        <v>47.24</v>
      </c>
      <c r="BP904" s="2"/>
      <c r="BQ904" s="2" t="s">
        <v>83</v>
      </c>
      <c r="BR904" s="2" t="s">
        <v>84</v>
      </c>
      <c r="BS904" s="3">
        <v>42957</v>
      </c>
      <c r="BT904" s="4">
        <v>0.46249999999999997</v>
      </c>
      <c r="BU904" s="2" t="s">
        <v>1605</v>
      </c>
      <c r="BV904" s="2" t="s">
        <v>86</v>
      </c>
      <c r="BW904" s="2" t="s">
        <v>87</v>
      </c>
      <c r="BX904" s="2" t="s">
        <v>337</v>
      </c>
      <c r="BY904" s="2">
        <v>1200</v>
      </c>
      <c r="BZ904" s="2"/>
      <c r="CA904" s="2" t="s">
        <v>672</v>
      </c>
      <c r="CB904" s="2"/>
      <c r="CC904" s="2" t="s">
        <v>238</v>
      </c>
      <c r="CD904" s="2">
        <v>3610</v>
      </c>
      <c r="CE904" s="2" t="s">
        <v>104</v>
      </c>
      <c r="CF904" s="5">
        <v>42958</v>
      </c>
      <c r="CG904" s="2"/>
      <c r="CH904" s="2"/>
      <c r="CI904" s="2">
        <v>1</v>
      </c>
      <c r="CJ904" s="2">
        <v>2</v>
      </c>
      <c r="CK904" s="2">
        <v>21</v>
      </c>
      <c r="CL904" s="2" t="s">
        <v>86</v>
      </c>
      <c r="CM904" s="2"/>
    </row>
    <row r="905" spans="1:91">
      <c r="A905" s="2" t="s">
        <v>71</v>
      </c>
      <c r="B905" s="2" t="s">
        <v>72</v>
      </c>
      <c r="C905" s="2" t="s">
        <v>73</v>
      </c>
      <c r="D905" s="2"/>
      <c r="E905" s="2" t="str">
        <f>"FES1162567715"</f>
        <v>FES1162567715</v>
      </c>
      <c r="F905" s="3">
        <v>42955</v>
      </c>
      <c r="G905" s="2">
        <v>201802</v>
      </c>
      <c r="H905" s="2" t="s">
        <v>74</v>
      </c>
      <c r="I905" s="2" t="s">
        <v>75</v>
      </c>
      <c r="J905" s="2" t="s">
        <v>76</v>
      </c>
      <c r="K905" s="2" t="s">
        <v>77</v>
      </c>
      <c r="L905" s="2" t="s">
        <v>97</v>
      </c>
      <c r="M905" s="2" t="s">
        <v>98</v>
      </c>
      <c r="N905" s="2" t="s">
        <v>99</v>
      </c>
      <c r="O905" s="2" t="s">
        <v>100</v>
      </c>
      <c r="P905" s="2" t="str">
        <f>"2170583845                    "</f>
        <v xml:space="preserve">2170583845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4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1</v>
      </c>
      <c r="BJ905" s="2">
        <v>0.2</v>
      </c>
      <c r="BK905" s="2">
        <v>1</v>
      </c>
      <c r="BL905" s="2">
        <v>41.44</v>
      </c>
      <c r="BM905" s="2">
        <v>5.8</v>
      </c>
      <c r="BN905" s="2">
        <v>47.24</v>
      </c>
      <c r="BO905" s="2">
        <v>47.24</v>
      </c>
      <c r="BP905" s="2"/>
      <c r="BQ905" s="2" t="s">
        <v>83</v>
      </c>
      <c r="BR905" s="2" t="s">
        <v>84</v>
      </c>
      <c r="BS905" s="3">
        <v>42957</v>
      </c>
      <c r="BT905" s="4">
        <v>0.3520833333333333</v>
      </c>
      <c r="BU905" s="2" t="s">
        <v>1606</v>
      </c>
      <c r="BV905" s="2" t="s">
        <v>86</v>
      </c>
      <c r="BW905" s="2"/>
      <c r="BX905" s="2"/>
      <c r="BY905" s="2">
        <v>1200</v>
      </c>
      <c r="BZ905" s="2"/>
      <c r="CA905" s="2" t="s">
        <v>103</v>
      </c>
      <c r="CB905" s="2"/>
      <c r="CC905" s="2" t="s">
        <v>98</v>
      </c>
      <c r="CD905" s="2">
        <v>6210</v>
      </c>
      <c r="CE905" s="2" t="s">
        <v>104</v>
      </c>
      <c r="CF905" s="5">
        <v>42958</v>
      </c>
      <c r="CG905" s="2"/>
      <c r="CH905" s="2"/>
      <c r="CI905" s="2">
        <v>1</v>
      </c>
      <c r="CJ905" s="2">
        <v>2</v>
      </c>
      <c r="CK905" s="2">
        <v>21</v>
      </c>
      <c r="CL905" s="2" t="s">
        <v>86</v>
      </c>
      <c r="CM905" s="2"/>
    </row>
    <row r="906" spans="1:91">
      <c r="A906" s="2" t="s">
        <v>71</v>
      </c>
      <c r="B906" s="2" t="s">
        <v>72</v>
      </c>
      <c r="C906" s="2" t="s">
        <v>73</v>
      </c>
      <c r="D906" s="2"/>
      <c r="E906" s="2" t="str">
        <f>"FES1162567841"</f>
        <v>FES1162567841</v>
      </c>
      <c r="F906" s="3">
        <v>42955</v>
      </c>
      <c r="G906" s="2">
        <v>201802</v>
      </c>
      <c r="H906" s="2" t="s">
        <v>74</v>
      </c>
      <c r="I906" s="2" t="s">
        <v>75</v>
      </c>
      <c r="J906" s="2" t="s">
        <v>76</v>
      </c>
      <c r="K906" s="2" t="s">
        <v>77</v>
      </c>
      <c r="L906" s="2" t="s">
        <v>174</v>
      </c>
      <c r="M906" s="2" t="s">
        <v>175</v>
      </c>
      <c r="N906" s="2" t="s">
        <v>851</v>
      </c>
      <c r="O906" s="2" t="s">
        <v>100</v>
      </c>
      <c r="P906" s="2" t="str">
        <f>"2170583997                    "</f>
        <v xml:space="preserve">2170583997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4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1</v>
      </c>
      <c r="BJ906" s="2">
        <v>0.2</v>
      </c>
      <c r="BK906" s="2">
        <v>1</v>
      </c>
      <c r="BL906" s="2">
        <v>41.44</v>
      </c>
      <c r="BM906" s="2">
        <v>5.8</v>
      </c>
      <c r="BN906" s="2">
        <v>47.24</v>
      </c>
      <c r="BO906" s="2">
        <v>47.24</v>
      </c>
      <c r="BP906" s="2" t="s">
        <v>101</v>
      </c>
      <c r="BQ906" s="2" t="s">
        <v>83</v>
      </c>
      <c r="BR906" s="2" t="s">
        <v>84</v>
      </c>
      <c r="BS906" s="3">
        <v>42957</v>
      </c>
      <c r="BT906" s="4">
        <v>0.33819444444444446</v>
      </c>
      <c r="BU906" s="2" t="s">
        <v>1607</v>
      </c>
      <c r="BV906" s="2" t="s">
        <v>86</v>
      </c>
      <c r="BW906" s="2" t="s">
        <v>110</v>
      </c>
      <c r="BX906" s="2" t="s">
        <v>592</v>
      </c>
      <c r="BY906" s="2">
        <v>1200</v>
      </c>
      <c r="BZ906" s="2"/>
      <c r="CA906" s="2" t="s">
        <v>1420</v>
      </c>
      <c r="CB906" s="2"/>
      <c r="CC906" s="2" t="s">
        <v>175</v>
      </c>
      <c r="CD906" s="2">
        <v>5201</v>
      </c>
      <c r="CE906" s="2" t="s">
        <v>104</v>
      </c>
      <c r="CF906" s="5">
        <v>42958</v>
      </c>
      <c r="CG906" s="2"/>
      <c r="CH906" s="2"/>
      <c r="CI906" s="2">
        <v>1</v>
      </c>
      <c r="CJ906" s="2">
        <v>2</v>
      </c>
      <c r="CK906" s="2">
        <v>21</v>
      </c>
      <c r="CL906" s="2" t="s">
        <v>86</v>
      </c>
      <c r="CM906" s="2"/>
    </row>
    <row r="907" spans="1:91">
      <c r="A907" s="2" t="s">
        <v>71</v>
      </c>
      <c r="B907" s="2" t="s">
        <v>72</v>
      </c>
      <c r="C907" s="2" t="s">
        <v>73</v>
      </c>
      <c r="D907" s="2"/>
      <c r="E907" s="2" t="str">
        <f>"019910765591"</f>
        <v>019910765591</v>
      </c>
      <c r="F907" s="3">
        <v>42955</v>
      </c>
      <c r="G907" s="2">
        <v>201802</v>
      </c>
      <c r="H907" s="2" t="s">
        <v>105</v>
      </c>
      <c r="I907" s="2" t="s">
        <v>106</v>
      </c>
      <c r="J907" s="2" t="s">
        <v>1608</v>
      </c>
      <c r="K907" s="2" t="s">
        <v>77</v>
      </c>
      <c r="L907" s="2" t="s">
        <v>74</v>
      </c>
      <c r="M907" s="2" t="s">
        <v>75</v>
      </c>
      <c r="N907" s="2" t="s">
        <v>1609</v>
      </c>
      <c r="O907" s="2" t="s">
        <v>81</v>
      </c>
      <c r="P907" s="2" t="str">
        <f>"                              "</f>
        <v xml:space="preserve">          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8.19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3</v>
      </c>
      <c r="BJ907" s="2">
        <v>0.2</v>
      </c>
      <c r="BK907" s="2">
        <v>1</v>
      </c>
      <c r="BL907" s="2">
        <v>89.83</v>
      </c>
      <c r="BM907" s="2">
        <v>12.58</v>
      </c>
      <c r="BN907" s="2">
        <v>102.41</v>
      </c>
      <c r="BO907" s="2">
        <v>102.41</v>
      </c>
      <c r="BP907" s="2"/>
      <c r="BQ907" s="2"/>
      <c r="BR907" s="2" t="s">
        <v>1492</v>
      </c>
      <c r="BS907" s="3">
        <v>42961</v>
      </c>
      <c r="BT907" s="4">
        <v>0.45902777777777781</v>
      </c>
      <c r="BU907" s="2" t="s">
        <v>157</v>
      </c>
      <c r="BV907" s="2"/>
      <c r="BW907" s="2"/>
      <c r="BX907" s="2"/>
      <c r="BY907" s="2">
        <v>2560</v>
      </c>
      <c r="BZ907" s="2"/>
      <c r="CA907" s="2" t="s">
        <v>158</v>
      </c>
      <c r="CB907" s="2"/>
      <c r="CC907" s="2" t="s">
        <v>75</v>
      </c>
      <c r="CD907" s="2">
        <v>1600</v>
      </c>
      <c r="CE907" s="2" t="s">
        <v>89</v>
      </c>
      <c r="CF907" s="5">
        <v>42962</v>
      </c>
      <c r="CG907" s="2"/>
      <c r="CH907" s="2"/>
      <c r="CI907" s="2">
        <v>0</v>
      </c>
      <c r="CJ907" s="2">
        <v>0</v>
      </c>
      <c r="CK907" s="2" t="s">
        <v>136</v>
      </c>
      <c r="CL907" s="2" t="s">
        <v>86</v>
      </c>
      <c r="CM907" s="2"/>
    </row>
    <row r="908" spans="1:91">
      <c r="A908" s="2" t="s">
        <v>71</v>
      </c>
      <c r="B908" s="2" t="s">
        <v>72</v>
      </c>
      <c r="C908" s="2" t="s">
        <v>73</v>
      </c>
      <c r="D908" s="2"/>
      <c r="E908" s="2" t="str">
        <f>"FES1162568027"</f>
        <v>FES1162568027</v>
      </c>
      <c r="F908" s="3">
        <v>42957</v>
      </c>
      <c r="G908" s="2">
        <v>201802</v>
      </c>
      <c r="H908" s="2" t="s">
        <v>74</v>
      </c>
      <c r="I908" s="2" t="s">
        <v>75</v>
      </c>
      <c r="J908" s="2" t="s">
        <v>76</v>
      </c>
      <c r="K908" s="2" t="s">
        <v>77</v>
      </c>
      <c r="L908" s="2" t="s">
        <v>688</v>
      </c>
      <c r="M908" s="2" t="s">
        <v>689</v>
      </c>
      <c r="N908" s="2" t="s">
        <v>690</v>
      </c>
      <c r="O908" s="2" t="s">
        <v>100</v>
      </c>
      <c r="P908" s="2" t="str">
        <f>"2170583170                    "</f>
        <v xml:space="preserve">2170583170  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7.75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1</v>
      </c>
      <c r="BJ908" s="2">
        <v>0.2</v>
      </c>
      <c r="BK908" s="2">
        <v>1</v>
      </c>
      <c r="BL908" s="2">
        <v>80.290000000000006</v>
      </c>
      <c r="BM908" s="2">
        <v>11.24</v>
      </c>
      <c r="BN908" s="2">
        <v>91.53</v>
      </c>
      <c r="BO908" s="2">
        <v>91.53</v>
      </c>
      <c r="BP908" s="2"/>
      <c r="BQ908" s="2" t="s">
        <v>83</v>
      </c>
      <c r="BR908" s="2" t="s">
        <v>84</v>
      </c>
      <c r="BS908" s="3">
        <v>42959</v>
      </c>
      <c r="BT908" s="4">
        <v>0.39583333333333331</v>
      </c>
      <c r="BU908" s="2" t="s">
        <v>1610</v>
      </c>
      <c r="BV908" s="2" t="s">
        <v>95</v>
      </c>
      <c r="BW908" s="2"/>
      <c r="BX908" s="2"/>
      <c r="BY908" s="2">
        <v>1200</v>
      </c>
      <c r="BZ908" s="2" t="s">
        <v>27</v>
      </c>
      <c r="CA908" s="2" t="s">
        <v>1611</v>
      </c>
      <c r="CB908" s="2"/>
      <c r="CC908" s="2" t="s">
        <v>689</v>
      </c>
      <c r="CD908" s="2">
        <v>9880</v>
      </c>
      <c r="CE908" s="2" t="s">
        <v>104</v>
      </c>
      <c r="CF908" s="5">
        <v>42963</v>
      </c>
      <c r="CG908" s="2"/>
      <c r="CH908" s="2"/>
      <c r="CI908" s="2">
        <v>1</v>
      </c>
      <c r="CJ908" s="2">
        <v>1</v>
      </c>
      <c r="CK908" s="2">
        <v>23</v>
      </c>
      <c r="CL908" s="2" t="s">
        <v>86</v>
      </c>
      <c r="CM908" s="2"/>
    </row>
    <row r="909" spans="1:91">
      <c r="A909" s="2" t="s">
        <v>71</v>
      </c>
      <c r="B909" s="2" t="s">
        <v>72</v>
      </c>
      <c r="C909" s="2" t="s">
        <v>73</v>
      </c>
      <c r="D909" s="2"/>
      <c r="E909" s="2" t="str">
        <f>"FES1162567912"</f>
        <v>FES1162567912</v>
      </c>
      <c r="F909" s="3">
        <v>42957</v>
      </c>
      <c r="G909" s="2">
        <v>201802</v>
      </c>
      <c r="H909" s="2" t="s">
        <v>74</v>
      </c>
      <c r="I909" s="2" t="s">
        <v>75</v>
      </c>
      <c r="J909" s="2" t="s">
        <v>76</v>
      </c>
      <c r="K909" s="2" t="s">
        <v>77</v>
      </c>
      <c r="L909" s="2" t="s">
        <v>715</v>
      </c>
      <c r="M909" s="2" t="s">
        <v>716</v>
      </c>
      <c r="N909" s="2" t="s">
        <v>762</v>
      </c>
      <c r="O909" s="2" t="s">
        <v>100</v>
      </c>
      <c r="P909" s="2" t="str">
        <f>"2170584086                    "</f>
        <v xml:space="preserve">2170584086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5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2.5</v>
      </c>
      <c r="BJ909" s="2">
        <v>2</v>
      </c>
      <c r="BK909" s="2">
        <v>2.5</v>
      </c>
      <c r="BL909" s="2">
        <v>51.8</v>
      </c>
      <c r="BM909" s="2">
        <v>7.25</v>
      </c>
      <c r="BN909" s="2">
        <v>59.05</v>
      </c>
      <c r="BO909" s="2">
        <v>59.05</v>
      </c>
      <c r="BP909" s="2"/>
      <c r="BQ909" s="2" t="s">
        <v>108</v>
      </c>
      <c r="BR909" s="2" t="s">
        <v>84</v>
      </c>
      <c r="BS909" s="3">
        <v>42958</v>
      </c>
      <c r="BT909" s="4">
        <v>0.4513888888888889</v>
      </c>
      <c r="BU909" s="2" t="s">
        <v>1612</v>
      </c>
      <c r="BV909" s="2" t="s">
        <v>95</v>
      </c>
      <c r="BW909" s="2"/>
      <c r="BX909" s="2"/>
      <c r="BY909" s="2">
        <v>9869.5300000000007</v>
      </c>
      <c r="BZ909" s="2" t="s">
        <v>27</v>
      </c>
      <c r="CA909" s="2" t="s">
        <v>566</v>
      </c>
      <c r="CB909" s="2"/>
      <c r="CC909" s="2" t="s">
        <v>716</v>
      </c>
      <c r="CD909" s="2">
        <v>3290</v>
      </c>
      <c r="CE909" s="2" t="s">
        <v>104</v>
      </c>
      <c r="CF909" s="5">
        <v>42962</v>
      </c>
      <c r="CG909" s="2"/>
      <c r="CH909" s="2"/>
      <c r="CI909" s="2">
        <v>1</v>
      </c>
      <c r="CJ909" s="2">
        <v>1</v>
      </c>
      <c r="CK909" s="2">
        <v>21</v>
      </c>
      <c r="CL909" s="2" t="s">
        <v>86</v>
      </c>
      <c r="CM909" s="2"/>
    </row>
    <row r="910" spans="1:91">
      <c r="A910" s="2" t="s">
        <v>71</v>
      </c>
      <c r="B910" s="2" t="s">
        <v>72</v>
      </c>
      <c r="C910" s="2" t="s">
        <v>73</v>
      </c>
      <c r="D910" s="2"/>
      <c r="E910" s="2" t="str">
        <f>"FES1162567999"</f>
        <v>FES1162567999</v>
      </c>
      <c r="F910" s="3">
        <v>42957</v>
      </c>
      <c r="G910" s="2">
        <v>201802</v>
      </c>
      <c r="H910" s="2" t="s">
        <v>74</v>
      </c>
      <c r="I910" s="2" t="s">
        <v>75</v>
      </c>
      <c r="J910" s="2" t="s">
        <v>76</v>
      </c>
      <c r="K910" s="2" t="s">
        <v>77</v>
      </c>
      <c r="L910" s="2" t="s">
        <v>149</v>
      </c>
      <c r="M910" s="2" t="s">
        <v>150</v>
      </c>
      <c r="N910" s="2" t="s">
        <v>758</v>
      </c>
      <c r="O910" s="2" t="s">
        <v>100</v>
      </c>
      <c r="P910" s="2" t="str">
        <f>"2170584132                    "</f>
        <v xml:space="preserve">2170584132 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6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2.6</v>
      </c>
      <c r="BJ910" s="2">
        <v>1</v>
      </c>
      <c r="BK910" s="2">
        <v>3</v>
      </c>
      <c r="BL910" s="2">
        <v>62.16</v>
      </c>
      <c r="BM910" s="2">
        <v>8.6999999999999993</v>
      </c>
      <c r="BN910" s="2">
        <v>70.86</v>
      </c>
      <c r="BO910" s="2">
        <v>70.86</v>
      </c>
      <c r="BP910" s="2"/>
      <c r="BQ910" s="2" t="s">
        <v>108</v>
      </c>
      <c r="BR910" s="2" t="s">
        <v>84</v>
      </c>
      <c r="BS910" s="3">
        <v>42958</v>
      </c>
      <c r="BT910" s="4">
        <v>0.38055555555555554</v>
      </c>
      <c r="BU910" s="2" t="s">
        <v>1613</v>
      </c>
      <c r="BV910" s="2" t="s">
        <v>95</v>
      </c>
      <c r="BW910" s="2"/>
      <c r="BX910" s="2"/>
      <c r="BY910" s="2">
        <v>5023.87</v>
      </c>
      <c r="BZ910" s="2" t="s">
        <v>27</v>
      </c>
      <c r="CA910" s="2" t="s">
        <v>1163</v>
      </c>
      <c r="CB910" s="2"/>
      <c r="CC910" s="2" t="s">
        <v>150</v>
      </c>
      <c r="CD910" s="2">
        <v>4052</v>
      </c>
      <c r="CE910" s="2" t="s">
        <v>89</v>
      </c>
      <c r="CF910" s="5">
        <v>42961</v>
      </c>
      <c r="CG910" s="2"/>
      <c r="CH910" s="2"/>
      <c r="CI910" s="2">
        <v>1</v>
      </c>
      <c r="CJ910" s="2">
        <v>1</v>
      </c>
      <c r="CK910" s="2">
        <v>21</v>
      </c>
      <c r="CL910" s="2" t="s">
        <v>86</v>
      </c>
      <c r="CM910" s="2"/>
    </row>
    <row r="911" spans="1:91">
      <c r="A911" s="2" t="s">
        <v>71</v>
      </c>
      <c r="B911" s="2" t="s">
        <v>72</v>
      </c>
      <c r="C911" s="2" t="s">
        <v>73</v>
      </c>
      <c r="D911" s="2"/>
      <c r="E911" s="2" t="str">
        <f>"FES1162568165"</f>
        <v>FES1162568165</v>
      </c>
      <c r="F911" s="3">
        <v>42957</v>
      </c>
      <c r="G911" s="2">
        <v>201802</v>
      </c>
      <c r="H911" s="2" t="s">
        <v>74</v>
      </c>
      <c r="I911" s="2" t="s">
        <v>75</v>
      </c>
      <c r="J911" s="2" t="s">
        <v>76</v>
      </c>
      <c r="K911" s="2" t="s">
        <v>77</v>
      </c>
      <c r="L911" s="2" t="s">
        <v>97</v>
      </c>
      <c r="M911" s="2" t="s">
        <v>98</v>
      </c>
      <c r="N911" s="2" t="s">
        <v>500</v>
      </c>
      <c r="O911" s="2" t="s">
        <v>100</v>
      </c>
      <c r="P911" s="2" t="str">
        <f>"2170584272                    "</f>
        <v xml:space="preserve">2170584272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5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2.4</v>
      </c>
      <c r="BJ911" s="2">
        <v>1.8</v>
      </c>
      <c r="BK911" s="2">
        <v>2.5</v>
      </c>
      <c r="BL911" s="2">
        <v>51.8</v>
      </c>
      <c r="BM911" s="2">
        <v>7.25</v>
      </c>
      <c r="BN911" s="2">
        <v>59.05</v>
      </c>
      <c r="BO911" s="2">
        <v>59.05</v>
      </c>
      <c r="BP911" s="2"/>
      <c r="BQ911" s="2" t="s">
        <v>108</v>
      </c>
      <c r="BR911" s="2" t="s">
        <v>84</v>
      </c>
      <c r="BS911" s="3">
        <v>42958</v>
      </c>
      <c r="BT911" s="4">
        <v>0.36944444444444446</v>
      </c>
      <c r="BU911" s="2" t="s">
        <v>501</v>
      </c>
      <c r="BV911" s="2" t="s">
        <v>95</v>
      </c>
      <c r="BW911" s="2"/>
      <c r="BX911" s="2"/>
      <c r="BY911" s="2">
        <v>8800.66</v>
      </c>
      <c r="BZ911" s="2" t="s">
        <v>27</v>
      </c>
      <c r="CA911" s="2" t="s">
        <v>294</v>
      </c>
      <c r="CB911" s="2"/>
      <c r="CC911" s="2" t="s">
        <v>98</v>
      </c>
      <c r="CD911" s="2">
        <v>6001</v>
      </c>
      <c r="CE911" s="2" t="s">
        <v>89</v>
      </c>
      <c r="CF911" s="5">
        <v>42961</v>
      </c>
      <c r="CG911" s="2"/>
      <c r="CH911" s="2"/>
      <c r="CI911" s="2">
        <v>1</v>
      </c>
      <c r="CJ911" s="2">
        <v>1</v>
      </c>
      <c r="CK911" s="2">
        <v>21</v>
      </c>
      <c r="CL911" s="2" t="s">
        <v>86</v>
      </c>
      <c r="CM911" s="2"/>
    </row>
    <row r="912" spans="1:91">
      <c r="A912" s="2" t="s">
        <v>71</v>
      </c>
      <c r="B912" s="2" t="s">
        <v>72</v>
      </c>
      <c r="C912" s="2" t="s">
        <v>73</v>
      </c>
      <c r="D912" s="2"/>
      <c r="E912" s="2" t="str">
        <f>"FES1162567831"</f>
        <v>FES1162567831</v>
      </c>
      <c r="F912" s="3">
        <v>42955</v>
      </c>
      <c r="G912" s="2">
        <v>201802</v>
      </c>
      <c r="H912" s="2" t="s">
        <v>74</v>
      </c>
      <c r="I912" s="2" t="s">
        <v>75</v>
      </c>
      <c r="J912" s="2" t="s">
        <v>76</v>
      </c>
      <c r="K912" s="2" t="s">
        <v>77</v>
      </c>
      <c r="L912" s="2" t="s">
        <v>105</v>
      </c>
      <c r="M912" s="2" t="s">
        <v>106</v>
      </c>
      <c r="N912" s="2" t="s">
        <v>870</v>
      </c>
      <c r="O912" s="2" t="s">
        <v>100</v>
      </c>
      <c r="P912" s="2" t="str">
        <f>"2170581428                    "</f>
        <v xml:space="preserve">2170581428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4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1</v>
      </c>
      <c r="BJ912" s="2">
        <v>0.2</v>
      </c>
      <c r="BK912" s="2">
        <v>1</v>
      </c>
      <c r="BL912" s="2">
        <v>41.44</v>
      </c>
      <c r="BM912" s="2">
        <v>5.8</v>
      </c>
      <c r="BN912" s="2">
        <v>47.24</v>
      </c>
      <c r="BO912" s="2">
        <v>47.24</v>
      </c>
      <c r="BP912" s="2" t="s">
        <v>101</v>
      </c>
      <c r="BQ912" s="2" t="s">
        <v>288</v>
      </c>
      <c r="BR912" s="2" t="s">
        <v>84</v>
      </c>
      <c r="BS912" s="3">
        <v>42958</v>
      </c>
      <c r="BT912" s="4">
        <v>0.40069444444444446</v>
      </c>
      <c r="BU912" s="2" t="s">
        <v>1614</v>
      </c>
      <c r="BV912" s="2" t="s">
        <v>86</v>
      </c>
      <c r="BW912" s="2" t="s">
        <v>110</v>
      </c>
      <c r="BX912" s="2" t="s">
        <v>111</v>
      </c>
      <c r="BY912" s="2">
        <v>1200</v>
      </c>
      <c r="BZ912" s="2"/>
      <c r="CA912" s="2" t="s">
        <v>350</v>
      </c>
      <c r="CB912" s="2"/>
      <c r="CC912" s="2" t="s">
        <v>106</v>
      </c>
      <c r="CD912" s="2">
        <v>8001</v>
      </c>
      <c r="CE912" s="2" t="s">
        <v>104</v>
      </c>
      <c r="CF912" s="5">
        <v>42961</v>
      </c>
      <c r="CG912" s="2"/>
      <c r="CH912" s="2"/>
      <c r="CI912" s="2">
        <v>1</v>
      </c>
      <c r="CJ912" s="2">
        <v>3</v>
      </c>
      <c r="CK912" s="2">
        <v>21</v>
      </c>
      <c r="CL912" s="2" t="s">
        <v>86</v>
      </c>
      <c r="CM912" s="2"/>
    </row>
    <row r="913" spans="1:91">
      <c r="A913" s="2" t="s">
        <v>71</v>
      </c>
      <c r="B913" s="2" t="s">
        <v>72</v>
      </c>
      <c r="C913" s="2" t="s">
        <v>73</v>
      </c>
      <c r="D913" s="2"/>
      <c r="E913" s="2" t="str">
        <f>"FES1162568010"</f>
        <v>FES1162568010</v>
      </c>
      <c r="F913" s="3">
        <v>42957</v>
      </c>
      <c r="G913" s="2">
        <v>201802</v>
      </c>
      <c r="H913" s="2" t="s">
        <v>74</v>
      </c>
      <c r="I913" s="2" t="s">
        <v>75</v>
      </c>
      <c r="J913" s="2" t="s">
        <v>76</v>
      </c>
      <c r="K913" s="2" t="s">
        <v>77</v>
      </c>
      <c r="L913" s="2" t="s">
        <v>437</v>
      </c>
      <c r="M913" s="2" t="s">
        <v>438</v>
      </c>
      <c r="N913" s="2" t="s">
        <v>439</v>
      </c>
      <c r="O913" s="2" t="s">
        <v>100</v>
      </c>
      <c r="P913" s="2" t="str">
        <f>"2170584153                    "</f>
        <v xml:space="preserve">2170584153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22.01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2</v>
      </c>
      <c r="BI913" s="2">
        <v>10.8</v>
      </c>
      <c r="BJ913" s="2">
        <v>5</v>
      </c>
      <c r="BK913" s="2">
        <v>11</v>
      </c>
      <c r="BL913" s="2">
        <v>227.93</v>
      </c>
      <c r="BM913" s="2">
        <v>31.91</v>
      </c>
      <c r="BN913" s="2">
        <v>259.83999999999997</v>
      </c>
      <c r="BO913" s="2">
        <v>259.83999999999997</v>
      </c>
      <c r="BP913" s="2"/>
      <c r="BQ913" s="2" t="s">
        <v>108</v>
      </c>
      <c r="BR913" s="2" t="s">
        <v>84</v>
      </c>
      <c r="BS913" s="3">
        <v>42958</v>
      </c>
      <c r="BT913" s="4">
        <v>0.4236111111111111</v>
      </c>
      <c r="BU913" s="2" t="s">
        <v>440</v>
      </c>
      <c r="BV913" s="2" t="s">
        <v>95</v>
      </c>
      <c r="BW913" s="2"/>
      <c r="BX913" s="2"/>
      <c r="BY913" s="2">
        <v>25175.5</v>
      </c>
      <c r="BZ913" s="2" t="s">
        <v>27</v>
      </c>
      <c r="CA913" s="2" t="s">
        <v>441</v>
      </c>
      <c r="CB913" s="2"/>
      <c r="CC913" s="2" t="s">
        <v>438</v>
      </c>
      <c r="CD913" s="2">
        <v>6536</v>
      </c>
      <c r="CE913" s="2" t="s">
        <v>89</v>
      </c>
      <c r="CF913" s="5">
        <v>42961</v>
      </c>
      <c r="CG913" s="2"/>
      <c r="CH913" s="2"/>
      <c r="CI913" s="2">
        <v>1</v>
      </c>
      <c r="CJ913" s="2">
        <v>1</v>
      </c>
      <c r="CK913" s="2">
        <v>21</v>
      </c>
      <c r="CL913" s="2" t="s">
        <v>86</v>
      </c>
      <c r="CM913" s="2"/>
    </row>
    <row r="914" spans="1:91">
      <c r="A914" s="2" t="s">
        <v>71</v>
      </c>
      <c r="B914" s="2" t="s">
        <v>72</v>
      </c>
      <c r="C914" s="2" t="s">
        <v>73</v>
      </c>
      <c r="D914" s="2"/>
      <c r="E914" s="2" t="str">
        <f>"FES1162567276"</f>
        <v>FES1162567276</v>
      </c>
      <c r="F914" s="3">
        <v>42954</v>
      </c>
      <c r="G914" s="2">
        <v>201802</v>
      </c>
      <c r="H914" s="2" t="s">
        <v>74</v>
      </c>
      <c r="I914" s="2" t="s">
        <v>75</v>
      </c>
      <c r="J914" s="2" t="s">
        <v>76</v>
      </c>
      <c r="K914" s="2" t="s">
        <v>77</v>
      </c>
      <c r="L914" s="2" t="s">
        <v>144</v>
      </c>
      <c r="M914" s="2" t="s">
        <v>145</v>
      </c>
      <c r="N914" s="2" t="s">
        <v>1615</v>
      </c>
      <c r="O914" s="2" t="s">
        <v>100</v>
      </c>
      <c r="P914" s="2" t="str">
        <f>"2170579844                    "</f>
        <v xml:space="preserve">2170579844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3.13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7</v>
      </c>
      <c r="BJ914" s="2">
        <v>6.8</v>
      </c>
      <c r="BK914" s="2">
        <v>7</v>
      </c>
      <c r="BL914" s="2">
        <v>32.380000000000003</v>
      </c>
      <c r="BM914" s="2">
        <v>4.53</v>
      </c>
      <c r="BN914" s="2">
        <v>36.909999999999997</v>
      </c>
      <c r="BO914" s="2">
        <v>36.909999999999997</v>
      </c>
      <c r="BP914" s="2"/>
      <c r="BQ914" s="2" t="s">
        <v>288</v>
      </c>
      <c r="BR914" s="2" t="s">
        <v>84</v>
      </c>
      <c r="BS914" s="3">
        <v>42957</v>
      </c>
      <c r="BT914" s="4">
        <v>0.4375</v>
      </c>
      <c r="BU914" s="2" t="s">
        <v>1616</v>
      </c>
      <c r="BV914" s="2" t="s">
        <v>86</v>
      </c>
      <c r="BW914" s="2" t="s">
        <v>1007</v>
      </c>
      <c r="BX914" s="2" t="s">
        <v>1452</v>
      </c>
      <c r="BY914" s="2">
        <v>33819.24</v>
      </c>
      <c r="BZ914" s="2"/>
      <c r="CA914" s="2" t="s">
        <v>1617</v>
      </c>
      <c r="CB914" s="2"/>
      <c r="CC914" s="2" t="s">
        <v>145</v>
      </c>
      <c r="CD914" s="2">
        <v>2154</v>
      </c>
      <c r="CE914" s="2" t="s">
        <v>89</v>
      </c>
      <c r="CF914" s="5">
        <v>42958</v>
      </c>
      <c r="CG914" s="2"/>
      <c r="CH914" s="2"/>
      <c r="CI914" s="2">
        <v>1</v>
      </c>
      <c r="CJ914" s="2">
        <v>3</v>
      </c>
      <c r="CK914" s="2">
        <v>22</v>
      </c>
      <c r="CL914" s="2" t="s">
        <v>86</v>
      </c>
      <c r="CM914" s="2"/>
    </row>
    <row r="915" spans="1:91">
      <c r="A915" s="2" t="s">
        <v>71</v>
      </c>
      <c r="B915" s="2" t="s">
        <v>72</v>
      </c>
      <c r="C915" s="2" t="s">
        <v>73</v>
      </c>
      <c r="D915" s="2"/>
      <c r="E915" s="2" t="str">
        <f>"FES1162567911"</f>
        <v>FES1162567911</v>
      </c>
      <c r="F915" s="3">
        <v>42957</v>
      </c>
      <c r="G915" s="2">
        <v>201802</v>
      </c>
      <c r="H915" s="2" t="s">
        <v>74</v>
      </c>
      <c r="I915" s="2" t="s">
        <v>75</v>
      </c>
      <c r="J915" s="2" t="s">
        <v>76</v>
      </c>
      <c r="K915" s="2" t="s">
        <v>77</v>
      </c>
      <c r="L915" s="2" t="s">
        <v>437</v>
      </c>
      <c r="M915" s="2" t="s">
        <v>438</v>
      </c>
      <c r="N915" s="2" t="s">
        <v>749</v>
      </c>
      <c r="O915" s="2" t="s">
        <v>100</v>
      </c>
      <c r="P915" s="2" t="str">
        <f>"2170584085                    "</f>
        <v xml:space="preserve">2170584085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22.01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2</v>
      </c>
      <c r="BI915" s="2">
        <v>4.7</v>
      </c>
      <c r="BJ915" s="2">
        <v>10.9</v>
      </c>
      <c r="BK915" s="2">
        <v>11</v>
      </c>
      <c r="BL915" s="2">
        <v>227.93</v>
      </c>
      <c r="BM915" s="2">
        <v>31.91</v>
      </c>
      <c r="BN915" s="2">
        <v>259.83999999999997</v>
      </c>
      <c r="BO915" s="2">
        <v>259.83999999999997</v>
      </c>
      <c r="BP915" s="2"/>
      <c r="BQ915" s="2" t="s">
        <v>108</v>
      </c>
      <c r="BR915" s="2" t="s">
        <v>84</v>
      </c>
      <c r="BS915" s="3">
        <v>42958</v>
      </c>
      <c r="BT915" s="4">
        <v>0.39027777777777778</v>
      </c>
      <c r="BU915" s="2" t="s">
        <v>1408</v>
      </c>
      <c r="BV915" s="2" t="s">
        <v>95</v>
      </c>
      <c r="BW915" s="2"/>
      <c r="BX915" s="2"/>
      <c r="BY915" s="2">
        <v>54564.93</v>
      </c>
      <c r="BZ915" s="2" t="s">
        <v>27</v>
      </c>
      <c r="CA915" s="2" t="s">
        <v>441</v>
      </c>
      <c r="CB915" s="2"/>
      <c r="CC915" s="2" t="s">
        <v>438</v>
      </c>
      <c r="CD915" s="2">
        <v>6536</v>
      </c>
      <c r="CE915" s="2" t="s">
        <v>1618</v>
      </c>
      <c r="CF915" s="5">
        <v>42961</v>
      </c>
      <c r="CG915" s="2"/>
      <c r="CH915" s="2"/>
      <c r="CI915" s="2">
        <v>1</v>
      </c>
      <c r="CJ915" s="2">
        <v>1</v>
      </c>
      <c r="CK915" s="2">
        <v>21</v>
      </c>
      <c r="CL915" s="2" t="s">
        <v>86</v>
      </c>
      <c r="CM915" s="2"/>
    </row>
    <row r="916" spans="1:91">
      <c r="A916" s="2" t="s">
        <v>71</v>
      </c>
      <c r="B916" s="2" t="s">
        <v>72</v>
      </c>
      <c r="C916" s="2" t="s">
        <v>73</v>
      </c>
      <c r="D916" s="2"/>
      <c r="E916" s="2" t="str">
        <f>"FES1162568106"</f>
        <v>FES1162568106</v>
      </c>
      <c r="F916" s="3">
        <v>42957</v>
      </c>
      <c r="G916" s="2">
        <v>201802</v>
      </c>
      <c r="H916" s="2" t="s">
        <v>74</v>
      </c>
      <c r="I916" s="2" t="s">
        <v>75</v>
      </c>
      <c r="J916" s="2" t="s">
        <v>76</v>
      </c>
      <c r="K916" s="2" t="s">
        <v>77</v>
      </c>
      <c r="L916" s="2" t="s">
        <v>105</v>
      </c>
      <c r="M916" s="2" t="s">
        <v>106</v>
      </c>
      <c r="N916" s="2" t="s">
        <v>397</v>
      </c>
      <c r="O916" s="2" t="s">
        <v>100</v>
      </c>
      <c r="P916" s="2" t="str">
        <f>"2170584210                    "</f>
        <v xml:space="preserve">2170584210   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9.01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4.3</v>
      </c>
      <c r="BJ916" s="2">
        <v>1.4</v>
      </c>
      <c r="BK916" s="2">
        <v>4.5</v>
      </c>
      <c r="BL916" s="2">
        <v>93.25</v>
      </c>
      <c r="BM916" s="2">
        <v>13.06</v>
      </c>
      <c r="BN916" s="2">
        <v>106.31</v>
      </c>
      <c r="BO916" s="2">
        <v>106.31</v>
      </c>
      <c r="BP916" s="2">
        <v>1</v>
      </c>
      <c r="BQ916" s="2">
        <v>1162568106</v>
      </c>
      <c r="BR916" s="2" t="s">
        <v>84</v>
      </c>
      <c r="BS916" s="3">
        <v>42958</v>
      </c>
      <c r="BT916" s="4">
        <v>0.40416666666666662</v>
      </c>
      <c r="BU916" s="2" t="s">
        <v>779</v>
      </c>
      <c r="BV916" s="2" t="s">
        <v>95</v>
      </c>
      <c r="BW916" s="2"/>
      <c r="BX916" s="2"/>
      <c r="BY916" s="2">
        <v>7156.91</v>
      </c>
      <c r="BZ916" s="2" t="s">
        <v>27</v>
      </c>
      <c r="CA916" s="2" t="s">
        <v>112</v>
      </c>
      <c r="CB916" s="2"/>
      <c r="CC916" s="2" t="s">
        <v>106</v>
      </c>
      <c r="CD916" s="2">
        <v>7405</v>
      </c>
      <c r="CE916" s="2" t="s">
        <v>89</v>
      </c>
      <c r="CF916" s="5">
        <v>42961</v>
      </c>
      <c r="CG916" s="2"/>
      <c r="CH916" s="2"/>
      <c r="CI916" s="2">
        <v>1</v>
      </c>
      <c r="CJ916" s="2">
        <v>1</v>
      </c>
      <c r="CK916" s="2">
        <v>21</v>
      </c>
      <c r="CL916" s="2" t="s">
        <v>86</v>
      </c>
      <c r="CM916" s="2"/>
    </row>
    <row r="917" spans="1:91">
      <c r="A917" s="2" t="s">
        <v>71</v>
      </c>
      <c r="B917" s="2" t="s">
        <v>72</v>
      </c>
      <c r="C917" s="2" t="s">
        <v>73</v>
      </c>
      <c r="D917" s="2"/>
      <c r="E917" s="2" t="str">
        <f>"FES1162567924"</f>
        <v>FES1162567924</v>
      </c>
      <c r="F917" s="3">
        <v>42957</v>
      </c>
      <c r="G917" s="2">
        <v>201802</v>
      </c>
      <c r="H917" s="2" t="s">
        <v>74</v>
      </c>
      <c r="I917" s="2" t="s">
        <v>75</v>
      </c>
      <c r="J917" s="2" t="s">
        <v>76</v>
      </c>
      <c r="K917" s="2" t="s">
        <v>77</v>
      </c>
      <c r="L917" s="2" t="s">
        <v>362</v>
      </c>
      <c r="M917" s="2" t="s">
        <v>363</v>
      </c>
      <c r="N917" s="2" t="s">
        <v>683</v>
      </c>
      <c r="O917" s="2" t="s">
        <v>100</v>
      </c>
      <c r="P917" s="2" t="str">
        <f>"2170579401                    "</f>
        <v xml:space="preserve">2170579401 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12.01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5.6</v>
      </c>
      <c r="BJ917" s="2">
        <v>1.4</v>
      </c>
      <c r="BK917" s="2">
        <v>6</v>
      </c>
      <c r="BL917" s="2">
        <v>124.33</v>
      </c>
      <c r="BM917" s="2">
        <v>17.41</v>
      </c>
      <c r="BN917" s="2">
        <v>141.74</v>
      </c>
      <c r="BO917" s="2">
        <v>141.74</v>
      </c>
      <c r="BP917" s="2"/>
      <c r="BQ917" s="2" t="s">
        <v>108</v>
      </c>
      <c r="BR917" s="2" t="s">
        <v>84</v>
      </c>
      <c r="BS917" s="3">
        <v>42958</v>
      </c>
      <c r="BT917" s="4">
        <v>0.41666666666666669</v>
      </c>
      <c r="BU917" s="2" t="s">
        <v>1619</v>
      </c>
      <c r="BV917" s="2" t="s">
        <v>95</v>
      </c>
      <c r="BW917" s="2"/>
      <c r="BX917" s="2"/>
      <c r="BY917" s="2">
        <v>6760.64</v>
      </c>
      <c r="BZ917" s="2" t="s">
        <v>27</v>
      </c>
      <c r="CA917" s="2"/>
      <c r="CB917" s="2"/>
      <c r="CC917" s="2" t="s">
        <v>363</v>
      </c>
      <c r="CD917" s="2">
        <v>3201</v>
      </c>
      <c r="CE917" s="2" t="s">
        <v>89</v>
      </c>
      <c r="CF917" s="5">
        <v>42961</v>
      </c>
      <c r="CG917" s="2"/>
      <c r="CH917" s="2"/>
      <c r="CI917" s="2">
        <v>1</v>
      </c>
      <c r="CJ917" s="2">
        <v>1</v>
      </c>
      <c r="CK917" s="2">
        <v>21</v>
      </c>
      <c r="CL917" s="2" t="s">
        <v>86</v>
      </c>
      <c r="CM917" s="2"/>
    </row>
    <row r="918" spans="1:91">
      <c r="A918" s="2" t="s">
        <v>71</v>
      </c>
      <c r="B918" s="2" t="s">
        <v>72</v>
      </c>
      <c r="C918" s="2" t="s">
        <v>73</v>
      </c>
      <c r="D918" s="2"/>
      <c r="E918" s="2" t="str">
        <f>"FES1162568099"</f>
        <v>FES1162568099</v>
      </c>
      <c r="F918" s="3">
        <v>42957</v>
      </c>
      <c r="G918" s="2">
        <v>201802</v>
      </c>
      <c r="H918" s="2" t="s">
        <v>74</v>
      </c>
      <c r="I918" s="2" t="s">
        <v>75</v>
      </c>
      <c r="J918" s="2" t="s">
        <v>76</v>
      </c>
      <c r="K918" s="2" t="s">
        <v>77</v>
      </c>
      <c r="L918" s="2" t="s">
        <v>237</v>
      </c>
      <c r="M918" s="2" t="s">
        <v>238</v>
      </c>
      <c r="N918" s="2" t="s">
        <v>1530</v>
      </c>
      <c r="O918" s="2" t="s">
        <v>100</v>
      </c>
      <c r="P918" s="2" t="str">
        <f>"2170584199                    "</f>
        <v xml:space="preserve">2170584199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4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1</v>
      </c>
      <c r="BJ918" s="2">
        <v>0.2</v>
      </c>
      <c r="BK918" s="2">
        <v>1</v>
      </c>
      <c r="BL918" s="2">
        <v>41.44</v>
      </c>
      <c r="BM918" s="2">
        <v>5.8</v>
      </c>
      <c r="BN918" s="2">
        <v>47.24</v>
      </c>
      <c r="BO918" s="2">
        <v>47.24</v>
      </c>
      <c r="BP918" s="2"/>
      <c r="BQ918" s="2" t="s">
        <v>108</v>
      </c>
      <c r="BR918" s="2" t="s">
        <v>84</v>
      </c>
      <c r="BS918" s="3">
        <v>42958</v>
      </c>
      <c r="BT918" s="4">
        <v>0.47986111111111113</v>
      </c>
      <c r="BU918" s="2" t="s">
        <v>1620</v>
      </c>
      <c r="BV918" s="2" t="s">
        <v>95</v>
      </c>
      <c r="BW918" s="2"/>
      <c r="BX918" s="2"/>
      <c r="BY918" s="2">
        <v>1200</v>
      </c>
      <c r="BZ918" s="2" t="s">
        <v>27</v>
      </c>
      <c r="CA918" s="2" t="s">
        <v>672</v>
      </c>
      <c r="CB918" s="2"/>
      <c r="CC918" s="2" t="s">
        <v>238</v>
      </c>
      <c r="CD918" s="2">
        <v>3610</v>
      </c>
      <c r="CE918" s="2" t="s">
        <v>104</v>
      </c>
      <c r="CF918" s="5">
        <v>42961</v>
      </c>
      <c r="CG918" s="2"/>
      <c r="CH918" s="2"/>
      <c r="CI918" s="2">
        <v>1</v>
      </c>
      <c r="CJ918" s="2">
        <v>1</v>
      </c>
      <c r="CK918" s="2">
        <v>21</v>
      </c>
      <c r="CL918" s="2" t="s">
        <v>86</v>
      </c>
      <c r="CM918" s="2"/>
    </row>
    <row r="919" spans="1:91">
      <c r="A919" s="2" t="s">
        <v>71</v>
      </c>
      <c r="B919" s="2" t="s">
        <v>72</v>
      </c>
      <c r="C919" s="2" t="s">
        <v>73</v>
      </c>
      <c r="D919" s="2"/>
      <c r="E919" s="2" t="str">
        <f>"FES1162567959"</f>
        <v>FES1162567959</v>
      </c>
      <c r="F919" s="3">
        <v>42957</v>
      </c>
      <c r="G919" s="2">
        <v>201802</v>
      </c>
      <c r="H919" s="2" t="s">
        <v>74</v>
      </c>
      <c r="I919" s="2" t="s">
        <v>75</v>
      </c>
      <c r="J919" s="2" t="s">
        <v>76</v>
      </c>
      <c r="K919" s="2" t="s">
        <v>77</v>
      </c>
      <c r="L919" s="2" t="s">
        <v>97</v>
      </c>
      <c r="M919" s="2" t="s">
        <v>98</v>
      </c>
      <c r="N919" s="2" t="s">
        <v>1210</v>
      </c>
      <c r="O919" s="2" t="s">
        <v>100</v>
      </c>
      <c r="P919" s="2" t="str">
        <f>"2170584098                    "</f>
        <v xml:space="preserve">2170584098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7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3.3</v>
      </c>
      <c r="BJ919" s="2">
        <v>1.9</v>
      </c>
      <c r="BK919" s="2">
        <v>3.5</v>
      </c>
      <c r="BL919" s="2">
        <v>72.52</v>
      </c>
      <c r="BM919" s="2">
        <v>10.15</v>
      </c>
      <c r="BN919" s="2">
        <v>82.67</v>
      </c>
      <c r="BO919" s="2">
        <v>82.67</v>
      </c>
      <c r="BP919" s="2">
        <v>1</v>
      </c>
      <c r="BQ919" s="2" t="s">
        <v>1621</v>
      </c>
      <c r="BR919" s="2" t="s">
        <v>84</v>
      </c>
      <c r="BS919" s="3">
        <v>42958</v>
      </c>
      <c r="BT919" s="4">
        <v>0.29930555555555555</v>
      </c>
      <c r="BU919" s="2" t="s">
        <v>1622</v>
      </c>
      <c r="BV919" s="2" t="s">
        <v>95</v>
      </c>
      <c r="BW919" s="2"/>
      <c r="BX919" s="2"/>
      <c r="BY919" s="2">
        <v>9637.81</v>
      </c>
      <c r="BZ919" s="2" t="s">
        <v>27</v>
      </c>
      <c r="CA919" s="2" t="s">
        <v>294</v>
      </c>
      <c r="CB919" s="2"/>
      <c r="CC919" s="2" t="s">
        <v>98</v>
      </c>
      <c r="CD919" s="2">
        <v>6012</v>
      </c>
      <c r="CE919" s="2" t="s">
        <v>1623</v>
      </c>
      <c r="CF919" s="5">
        <v>42961</v>
      </c>
      <c r="CG919" s="2"/>
      <c r="CH919" s="2"/>
      <c r="CI919" s="2">
        <v>1</v>
      </c>
      <c r="CJ919" s="2">
        <v>1</v>
      </c>
      <c r="CK919" s="2">
        <v>21</v>
      </c>
      <c r="CL919" s="2" t="s">
        <v>86</v>
      </c>
      <c r="CM919" s="2"/>
    </row>
    <row r="920" spans="1:91">
      <c r="A920" s="2" t="s">
        <v>71</v>
      </c>
      <c r="B920" s="2" t="s">
        <v>72</v>
      </c>
      <c r="C920" s="2" t="s">
        <v>73</v>
      </c>
      <c r="D920" s="2"/>
      <c r="E920" s="2" t="str">
        <f>"FES1162568105"</f>
        <v>FES1162568105</v>
      </c>
      <c r="F920" s="3">
        <v>42957</v>
      </c>
      <c r="G920" s="2">
        <v>201802</v>
      </c>
      <c r="H920" s="2" t="s">
        <v>74</v>
      </c>
      <c r="I920" s="2" t="s">
        <v>75</v>
      </c>
      <c r="J920" s="2" t="s">
        <v>76</v>
      </c>
      <c r="K920" s="2" t="s">
        <v>77</v>
      </c>
      <c r="L920" s="2" t="s">
        <v>128</v>
      </c>
      <c r="M920" s="2" t="s">
        <v>129</v>
      </c>
      <c r="N920" s="2" t="s">
        <v>857</v>
      </c>
      <c r="O920" s="2" t="s">
        <v>100</v>
      </c>
      <c r="P920" s="2" t="str">
        <f>"2170584207                    "</f>
        <v xml:space="preserve">2170584207 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3.13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1</v>
      </c>
      <c r="BJ920" s="2">
        <v>0.2</v>
      </c>
      <c r="BK920" s="2">
        <v>1</v>
      </c>
      <c r="BL920" s="2">
        <v>32.380000000000003</v>
      </c>
      <c r="BM920" s="2">
        <v>4.53</v>
      </c>
      <c r="BN920" s="2">
        <v>36.909999999999997</v>
      </c>
      <c r="BO920" s="2">
        <v>36.909999999999997</v>
      </c>
      <c r="BP920" s="2">
        <v>1</v>
      </c>
      <c r="BQ920" s="2" t="s">
        <v>1624</v>
      </c>
      <c r="BR920" s="2" t="s">
        <v>84</v>
      </c>
      <c r="BS920" s="3">
        <v>42958</v>
      </c>
      <c r="BT920" s="4">
        <v>0.3888888888888889</v>
      </c>
      <c r="BU920" s="2" t="s">
        <v>1625</v>
      </c>
      <c r="BV920" s="2" t="s">
        <v>95</v>
      </c>
      <c r="BW920" s="2"/>
      <c r="BX920" s="2"/>
      <c r="BY920" s="2">
        <v>1200</v>
      </c>
      <c r="BZ920" s="2" t="s">
        <v>27</v>
      </c>
      <c r="CA920" s="2" t="s">
        <v>923</v>
      </c>
      <c r="CB920" s="2"/>
      <c r="CC920" s="2" t="s">
        <v>129</v>
      </c>
      <c r="CD920" s="2">
        <v>1709</v>
      </c>
      <c r="CE920" s="2" t="s">
        <v>104</v>
      </c>
      <c r="CF920" s="5">
        <v>42961</v>
      </c>
      <c r="CG920" s="2"/>
      <c r="CH920" s="2"/>
      <c r="CI920" s="2">
        <v>1</v>
      </c>
      <c r="CJ920" s="2">
        <v>1</v>
      </c>
      <c r="CK920" s="2">
        <v>22</v>
      </c>
      <c r="CL920" s="2" t="s">
        <v>86</v>
      </c>
      <c r="CM920" s="2"/>
    </row>
    <row r="921" spans="1:91">
      <c r="A921" s="2" t="s">
        <v>71</v>
      </c>
      <c r="B921" s="2" t="s">
        <v>72</v>
      </c>
      <c r="C921" s="2" t="s">
        <v>73</v>
      </c>
      <c r="D921" s="2"/>
      <c r="E921" s="2" t="str">
        <f>"FES1162568125"</f>
        <v>FES1162568125</v>
      </c>
      <c r="F921" s="3">
        <v>42957</v>
      </c>
      <c r="G921" s="2">
        <v>201802</v>
      </c>
      <c r="H921" s="2" t="s">
        <v>74</v>
      </c>
      <c r="I921" s="2" t="s">
        <v>75</v>
      </c>
      <c r="J921" s="2" t="s">
        <v>76</v>
      </c>
      <c r="K921" s="2" t="s">
        <v>77</v>
      </c>
      <c r="L921" s="2" t="s">
        <v>97</v>
      </c>
      <c r="M921" s="2" t="s">
        <v>98</v>
      </c>
      <c r="N921" s="2" t="s">
        <v>1626</v>
      </c>
      <c r="O921" s="2" t="s">
        <v>100</v>
      </c>
      <c r="P921" s="2" t="str">
        <f>"2170584224                    "</f>
        <v xml:space="preserve">2170584224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11.01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1.4</v>
      </c>
      <c r="BJ921" s="2">
        <v>5.0999999999999996</v>
      </c>
      <c r="BK921" s="2">
        <v>5.5</v>
      </c>
      <c r="BL921" s="2">
        <v>113.97</v>
      </c>
      <c r="BM921" s="2">
        <v>15.96</v>
      </c>
      <c r="BN921" s="2">
        <v>129.93</v>
      </c>
      <c r="BO921" s="2">
        <v>129.93</v>
      </c>
      <c r="BP921" s="2">
        <v>1</v>
      </c>
      <c r="BQ921" s="2"/>
      <c r="BR921" s="2" t="s">
        <v>84</v>
      </c>
      <c r="BS921" s="3">
        <v>42958</v>
      </c>
      <c r="BT921" s="4">
        <v>0.4993055555555555</v>
      </c>
      <c r="BU921" s="2" t="s">
        <v>1378</v>
      </c>
      <c r="BV921" s="2" t="s">
        <v>86</v>
      </c>
      <c r="BW921" s="2" t="s">
        <v>1007</v>
      </c>
      <c r="BX921" s="2" t="s">
        <v>1627</v>
      </c>
      <c r="BY921" s="2">
        <v>25507.119999999999</v>
      </c>
      <c r="BZ921" s="2" t="s">
        <v>27</v>
      </c>
      <c r="CA921" s="2" t="s">
        <v>1628</v>
      </c>
      <c r="CB921" s="2"/>
      <c r="CC921" s="2" t="s">
        <v>98</v>
      </c>
      <c r="CD921" s="2">
        <v>6012</v>
      </c>
      <c r="CE921" s="2" t="s">
        <v>104</v>
      </c>
      <c r="CF921" s="5">
        <v>42961</v>
      </c>
      <c r="CG921" s="2"/>
      <c r="CH921" s="2"/>
      <c r="CI921" s="2">
        <v>1</v>
      </c>
      <c r="CJ921" s="2">
        <v>1</v>
      </c>
      <c r="CK921" s="2">
        <v>21</v>
      </c>
      <c r="CL921" s="2" t="s">
        <v>86</v>
      </c>
      <c r="CM921" s="2"/>
    </row>
    <row r="922" spans="1:91">
      <c r="A922" s="2" t="s">
        <v>71</v>
      </c>
      <c r="B922" s="2" t="s">
        <v>72</v>
      </c>
      <c r="C922" s="2" t="s">
        <v>73</v>
      </c>
      <c r="D922" s="2"/>
      <c r="E922" s="2" t="str">
        <f>"FES1162568137"</f>
        <v>FES1162568137</v>
      </c>
      <c r="F922" s="3">
        <v>42957</v>
      </c>
      <c r="G922" s="2">
        <v>201802</v>
      </c>
      <c r="H922" s="2" t="s">
        <v>74</v>
      </c>
      <c r="I922" s="2" t="s">
        <v>75</v>
      </c>
      <c r="J922" s="2" t="s">
        <v>76</v>
      </c>
      <c r="K922" s="2" t="s">
        <v>77</v>
      </c>
      <c r="L922" s="2" t="s">
        <v>510</v>
      </c>
      <c r="M922" s="2" t="s">
        <v>511</v>
      </c>
      <c r="N922" s="2" t="s">
        <v>512</v>
      </c>
      <c r="O922" s="2" t="s">
        <v>100</v>
      </c>
      <c r="P922" s="2" t="str">
        <f>"2170584238                    "</f>
        <v xml:space="preserve">2170584238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4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1</v>
      </c>
      <c r="BJ922" s="2">
        <v>0.2</v>
      </c>
      <c r="BK922" s="2">
        <v>1</v>
      </c>
      <c r="BL922" s="2">
        <v>41.44</v>
      </c>
      <c r="BM922" s="2">
        <v>5.8</v>
      </c>
      <c r="BN922" s="2">
        <v>47.24</v>
      </c>
      <c r="BO922" s="2">
        <v>47.24</v>
      </c>
      <c r="BP922" s="2">
        <v>1</v>
      </c>
      <c r="BQ922" s="2" t="s">
        <v>1629</v>
      </c>
      <c r="BR922" s="2" t="s">
        <v>84</v>
      </c>
      <c r="BS922" s="3">
        <v>42958</v>
      </c>
      <c r="BT922" s="4">
        <v>0.39374999999999999</v>
      </c>
      <c r="BU922" s="2" t="s">
        <v>704</v>
      </c>
      <c r="BV922" s="2" t="s">
        <v>95</v>
      </c>
      <c r="BW922" s="2"/>
      <c r="BX922" s="2"/>
      <c r="BY922" s="2">
        <v>1200</v>
      </c>
      <c r="BZ922" s="2" t="s">
        <v>27</v>
      </c>
      <c r="CA922" s="2" t="s">
        <v>514</v>
      </c>
      <c r="CB922" s="2"/>
      <c r="CC922" s="2" t="s">
        <v>511</v>
      </c>
      <c r="CD922" s="2">
        <v>6229</v>
      </c>
      <c r="CE922" s="2" t="s">
        <v>104</v>
      </c>
      <c r="CF922" s="5">
        <v>42961</v>
      </c>
      <c r="CG922" s="2"/>
      <c r="CH922" s="2"/>
      <c r="CI922" s="2">
        <v>1</v>
      </c>
      <c r="CJ922" s="2">
        <v>1</v>
      </c>
      <c r="CK922" s="2">
        <v>21</v>
      </c>
      <c r="CL922" s="2" t="s">
        <v>86</v>
      </c>
      <c r="CM922" s="2"/>
    </row>
    <row r="923" spans="1:91">
      <c r="A923" s="2" t="s">
        <v>71</v>
      </c>
      <c r="B923" s="2" t="s">
        <v>72</v>
      </c>
      <c r="C923" s="2" t="s">
        <v>73</v>
      </c>
      <c r="D923" s="2"/>
      <c r="E923" s="2" t="str">
        <f>"FES1162568074"</f>
        <v>FES1162568074</v>
      </c>
      <c r="F923" s="3">
        <v>42957</v>
      </c>
      <c r="G923" s="2">
        <v>201802</v>
      </c>
      <c r="H923" s="2" t="s">
        <v>74</v>
      </c>
      <c r="I923" s="2" t="s">
        <v>75</v>
      </c>
      <c r="J923" s="2" t="s">
        <v>76</v>
      </c>
      <c r="K923" s="2" t="s">
        <v>77</v>
      </c>
      <c r="L923" s="2" t="s">
        <v>144</v>
      </c>
      <c r="M923" s="2" t="s">
        <v>145</v>
      </c>
      <c r="N923" s="2" t="s">
        <v>1630</v>
      </c>
      <c r="O923" s="2" t="s">
        <v>100</v>
      </c>
      <c r="P923" s="2" t="str">
        <f>"2170582900                    "</f>
        <v xml:space="preserve">2170582900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3.13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1</v>
      </c>
      <c r="BJ923" s="2">
        <v>0.2</v>
      </c>
      <c r="BK923" s="2">
        <v>1</v>
      </c>
      <c r="BL923" s="2">
        <v>32.380000000000003</v>
      </c>
      <c r="BM923" s="2">
        <v>4.53</v>
      </c>
      <c r="BN923" s="2">
        <v>36.909999999999997</v>
      </c>
      <c r="BO923" s="2">
        <v>36.909999999999997</v>
      </c>
      <c r="BP923" s="2"/>
      <c r="BQ923" s="2" t="s">
        <v>83</v>
      </c>
      <c r="BR923" s="2" t="s">
        <v>84</v>
      </c>
      <c r="BS923" s="3">
        <v>42958</v>
      </c>
      <c r="BT923" s="4">
        <v>0.45763888888888887</v>
      </c>
      <c r="BU923" s="2" t="s">
        <v>1631</v>
      </c>
      <c r="BV923" s="2" t="s">
        <v>95</v>
      </c>
      <c r="BW923" s="2"/>
      <c r="BX923" s="2"/>
      <c r="BY923" s="2">
        <v>1200</v>
      </c>
      <c r="BZ923" s="2" t="s">
        <v>27</v>
      </c>
      <c r="CA923" s="2" t="s">
        <v>729</v>
      </c>
      <c r="CB923" s="2"/>
      <c r="CC923" s="2" t="s">
        <v>145</v>
      </c>
      <c r="CD923" s="2">
        <v>2001</v>
      </c>
      <c r="CE923" s="2" t="s">
        <v>104</v>
      </c>
      <c r="CF923" s="5">
        <v>42961</v>
      </c>
      <c r="CG923" s="2"/>
      <c r="CH923" s="2"/>
      <c r="CI923" s="2">
        <v>1</v>
      </c>
      <c r="CJ923" s="2">
        <v>1</v>
      </c>
      <c r="CK923" s="2">
        <v>22</v>
      </c>
      <c r="CL923" s="2" t="s">
        <v>86</v>
      </c>
      <c r="CM923" s="2"/>
    </row>
    <row r="924" spans="1:91">
      <c r="A924" s="2" t="s">
        <v>71</v>
      </c>
      <c r="B924" s="2" t="s">
        <v>72</v>
      </c>
      <c r="C924" s="2" t="s">
        <v>73</v>
      </c>
      <c r="D924" s="2"/>
      <c r="E924" s="2" t="str">
        <f>"FES1162568114"</f>
        <v>FES1162568114</v>
      </c>
      <c r="F924" s="3">
        <v>42957</v>
      </c>
      <c r="G924" s="2">
        <v>201802</v>
      </c>
      <c r="H924" s="2" t="s">
        <v>74</v>
      </c>
      <c r="I924" s="2" t="s">
        <v>75</v>
      </c>
      <c r="J924" s="2" t="s">
        <v>76</v>
      </c>
      <c r="K924" s="2" t="s">
        <v>77</v>
      </c>
      <c r="L924" s="2" t="s">
        <v>105</v>
      </c>
      <c r="M924" s="2" t="s">
        <v>106</v>
      </c>
      <c r="N924" s="2" t="s">
        <v>397</v>
      </c>
      <c r="O924" s="2" t="s">
        <v>100</v>
      </c>
      <c r="P924" s="2" t="str">
        <f>"2170584216                    "</f>
        <v xml:space="preserve">2170584216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4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2</v>
      </c>
      <c r="BJ924" s="2">
        <v>0.9</v>
      </c>
      <c r="BK924" s="2">
        <v>2</v>
      </c>
      <c r="BL924" s="2">
        <v>41.44</v>
      </c>
      <c r="BM924" s="2">
        <v>5.8</v>
      </c>
      <c r="BN924" s="2">
        <v>47.24</v>
      </c>
      <c r="BO924" s="2">
        <v>47.24</v>
      </c>
      <c r="BP924" s="2">
        <v>1</v>
      </c>
      <c r="BQ924" s="2" t="s">
        <v>108</v>
      </c>
      <c r="BR924" s="2" t="s">
        <v>84</v>
      </c>
      <c r="BS924" s="3">
        <v>42958</v>
      </c>
      <c r="BT924" s="4">
        <v>0.44166666666666665</v>
      </c>
      <c r="BU924" s="2" t="s">
        <v>1226</v>
      </c>
      <c r="BV924" s="2" t="s">
        <v>95</v>
      </c>
      <c r="BW924" s="2"/>
      <c r="BX924" s="2"/>
      <c r="BY924" s="2">
        <v>4604.59</v>
      </c>
      <c r="BZ924" s="2" t="s">
        <v>27</v>
      </c>
      <c r="CA924" s="2" t="s">
        <v>302</v>
      </c>
      <c r="CB924" s="2"/>
      <c r="CC924" s="2" t="s">
        <v>106</v>
      </c>
      <c r="CD924" s="2">
        <v>7530</v>
      </c>
      <c r="CE924" s="2" t="s">
        <v>1623</v>
      </c>
      <c r="CF924" s="5">
        <v>42961</v>
      </c>
      <c r="CG924" s="2"/>
      <c r="CH924" s="2"/>
      <c r="CI924" s="2">
        <v>1</v>
      </c>
      <c r="CJ924" s="2">
        <v>1</v>
      </c>
      <c r="CK924" s="2">
        <v>21</v>
      </c>
      <c r="CL924" s="2" t="s">
        <v>86</v>
      </c>
      <c r="CM924" s="2"/>
    </row>
    <row r="925" spans="1:91">
      <c r="A925" s="2" t="s">
        <v>71</v>
      </c>
      <c r="B925" s="2" t="s">
        <v>72</v>
      </c>
      <c r="C925" s="2" t="s">
        <v>73</v>
      </c>
      <c r="D925" s="2"/>
      <c r="E925" s="2" t="str">
        <f>"FES1162568053"</f>
        <v>FES1162568053</v>
      </c>
      <c r="F925" s="3">
        <v>42957</v>
      </c>
      <c r="G925" s="2">
        <v>201802</v>
      </c>
      <c r="H925" s="2" t="s">
        <v>74</v>
      </c>
      <c r="I925" s="2" t="s">
        <v>75</v>
      </c>
      <c r="J925" s="2" t="s">
        <v>76</v>
      </c>
      <c r="K925" s="2" t="s">
        <v>77</v>
      </c>
      <c r="L925" s="2" t="s">
        <v>144</v>
      </c>
      <c r="M925" s="2" t="s">
        <v>145</v>
      </c>
      <c r="N925" s="2" t="s">
        <v>146</v>
      </c>
      <c r="O925" s="2" t="s">
        <v>100</v>
      </c>
      <c r="P925" s="2" t="str">
        <f>"2170584171                    "</f>
        <v xml:space="preserve">2170584171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3.13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1</v>
      </c>
      <c r="BJ925" s="2">
        <v>0.2</v>
      </c>
      <c r="BK925" s="2">
        <v>1</v>
      </c>
      <c r="BL925" s="2">
        <v>32.380000000000003</v>
      </c>
      <c r="BM925" s="2">
        <v>4.53</v>
      </c>
      <c r="BN925" s="2">
        <v>36.909999999999997</v>
      </c>
      <c r="BO925" s="2">
        <v>36.909999999999997</v>
      </c>
      <c r="BP925" s="2"/>
      <c r="BQ925" s="2" t="s">
        <v>83</v>
      </c>
      <c r="BR925" s="2" t="s">
        <v>84</v>
      </c>
      <c r="BS925" s="3">
        <v>42958</v>
      </c>
      <c r="BT925" s="4">
        <v>0.4513888888888889</v>
      </c>
      <c r="BU925" s="2" t="s">
        <v>1632</v>
      </c>
      <c r="BV925" s="2" t="s">
        <v>95</v>
      </c>
      <c r="BW925" s="2"/>
      <c r="BX925" s="2"/>
      <c r="BY925" s="2">
        <v>1200</v>
      </c>
      <c r="BZ925" s="2" t="s">
        <v>27</v>
      </c>
      <c r="CA925" s="2" t="s">
        <v>729</v>
      </c>
      <c r="CB925" s="2"/>
      <c r="CC925" s="2" t="s">
        <v>145</v>
      </c>
      <c r="CD925" s="2">
        <v>2094</v>
      </c>
      <c r="CE925" s="2" t="s">
        <v>104</v>
      </c>
      <c r="CF925" s="5">
        <v>42961</v>
      </c>
      <c r="CG925" s="2"/>
      <c r="CH925" s="2"/>
      <c r="CI925" s="2">
        <v>1</v>
      </c>
      <c r="CJ925" s="2">
        <v>1</v>
      </c>
      <c r="CK925" s="2">
        <v>22</v>
      </c>
      <c r="CL925" s="2" t="s">
        <v>86</v>
      </c>
      <c r="CM925" s="2"/>
    </row>
    <row r="926" spans="1:91">
      <c r="A926" s="2" t="s">
        <v>71</v>
      </c>
      <c r="B926" s="2" t="s">
        <v>72</v>
      </c>
      <c r="C926" s="2" t="s">
        <v>73</v>
      </c>
      <c r="D926" s="2"/>
      <c r="E926" s="2" t="str">
        <f>"FES1162568048"</f>
        <v>FES1162568048</v>
      </c>
      <c r="F926" s="3">
        <v>42957</v>
      </c>
      <c r="G926" s="2">
        <v>201802</v>
      </c>
      <c r="H926" s="2" t="s">
        <v>74</v>
      </c>
      <c r="I926" s="2" t="s">
        <v>75</v>
      </c>
      <c r="J926" s="2" t="s">
        <v>76</v>
      </c>
      <c r="K926" s="2" t="s">
        <v>77</v>
      </c>
      <c r="L926" s="2" t="s">
        <v>144</v>
      </c>
      <c r="M926" s="2" t="s">
        <v>145</v>
      </c>
      <c r="N926" s="2" t="s">
        <v>295</v>
      </c>
      <c r="O926" s="2" t="s">
        <v>100</v>
      </c>
      <c r="P926" s="2" t="str">
        <f>"2170584157                    "</f>
        <v xml:space="preserve">2170584157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3.13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2</v>
      </c>
      <c r="BJ926" s="2">
        <v>0.2</v>
      </c>
      <c r="BK926" s="2">
        <v>2</v>
      </c>
      <c r="BL926" s="2">
        <v>32.380000000000003</v>
      </c>
      <c r="BM926" s="2">
        <v>4.53</v>
      </c>
      <c r="BN926" s="2">
        <v>36.909999999999997</v>
      </c>
      <c r="BO926" s="2">
        <v>36.909999999999997</v>
      </c>
      <c r="BP926" s="2"/>
      <c r="BQ926" s="2" t="s">
        <v>83</v>
      </c>
      <c r="BR926" s="2" t="s">
        <v>84</v>
      </c>
      <c r="BS926" s="3">
        <v>42958</v>
      </c>
      <c r="BT926" s="4">
        <v>0.41666666666666669</v>
      </c>
      <c r="BU926" s="2" t="s">
        <v>330</v>
      </c>
      <c r="BV926" s="2" t="s">
        <v>95</v>
      </c>
      <c r="BW926" s="2"/>
      <c r="BX926" s="2"/>
      <c r="BY926" s="2">
        <v>1200</v>
      </c>
      <c r="BZ926" s="2" t="s">
        <v>27</v>
      </c>
      <c r="CA926" s="2"/>
      <c r="CB926" s="2"/>
      <c r="CC926" s="2" t="s">
        <v>145</v>
      </c>
      <c r="CD926" s="2">
        <v>2013</v>
      </c>
      <c r="CE926" s="2" t="s">
        <v>104</v>
      </c>
      <c r="CF926" s="5">
        <v>42961</v>
      </c>
      <c r="CG926" s="2"/>
      <c r="CH926" s="2"/>
      <c r="CI926" s="2">
        <v>1</v>
      </c>
      <c r="CJ926" s="2">
        <v>1</v>
      </c>
      <c r="CK926" s="2">
        <v>22</v>
      </c>
      <c r="CL926" s="2" t="s">
        <v>86</v>
      </c>
      <c r="CM926" s="2"/>
    </row>
    <row r="927" spans="1:91">
      <c r="A927" s="2" t="s">
        <v>71</v>
      </c>
      <c r="B927" s="2" t="s">
        <v>72</v>
      </c>
      <c r="C927" s="2" t="s">
        <v>73</v>
      </c>
      <c r="D927" s="2"/>
      <c r="E927" s="2" t="str">
        <f>"FES1162568065"</f>
        <v>FES1162568065</v>
      </c>
      <c r="F927" s="3">
        <v>42957</v>
      </c>
      <c r="G927" s="2">
        <v>201802</v>
      </c>
      <c r="H927" s="2" t="s">
        <v>74</v>
      </c>
      <c r="I927" s="2" t="s">
        <v>75</v>
      </c>
      <c r="J927" s="2" t="s">
        <v>76</v>
      </c>
      <c r="K927" s="2" t="s">
        <v>77</v>
      </c>
      <c r="L927" s="2" t="s">
        <v>539</v>
      </c>
      <c r="M927" s="2" t="s">
        <v>540</v>
      </c>
      <c r="N927" s="2" t="s">
        <v>1633</v>
      </c>
      <c r="O927" s="2" t="s">
        <v>100</v>
      </c>
      <c r="P927" s="2" t="str">
        <f>"2170581384                    "</f>
        <v xml:space="preserve">2170581384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3.13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1</v>
      </c>
      <c r="BI927" s="2">
        <v>6</v>
      </c>
      <c r="BJ927" s="2">
        <v>4.0999999999999996</v>
      </c>
      <c r="BK927" s="2">
        <v>6</v>
      </c>
      <c r="BL927" s="2">
        <v>32.380000000000003</v>
      </c>
      <c r="BM927" s="2">
        <v>4.53</v>
      </c>
      <c r="BN927" s="2">
        <v>36.909999999999997</v>
      </c>
      <c r="BO927" s="2">
        <v>36.909999999999997</v>
      </c>
      <c r="BP927" s="2"/>
      <c r="BQ927" s="2" t="s">
        <v>83</v>
      </c>
      <c r="BR927" s="2" t="s">
        <v>84</v>
      </c>
      <c r="BS927" s="3">
        <v>42958</v>
      </c>
      <c r="BT927" s="4">
        <v>0.46388888888888885</v>
      </c>
      <c r="BU927" s="2" t="s">
        <v>1634</v>
      </c>
      <c r="BV927" s="2" t="s">
        <v>86</v>
      </c>
      <c r="BW927" s="2" t="s">
        <v>110</v>
      </c>
      <c r="BX927" s="2" t="s">
        <v>327</v>
      </c>
      <c r="BY927" s="2">
        <v>20358</v>
      </c>
      <c r="BZ927" s="2" t="s">
        <v>27</v>
      </c>
      <c r="CA927" s="2" t="s">
        <v>722</v>
      </c>
      <c r="CB927" s="2"/>
      <c r="CC927" s="2" t="s">
        <v>540</v>
      </c>
      <c r="CD927" s="2">
        <v>2170</v>
      </c>
      <c r="CE927" s="2" t="s">
        <v>89</v>
      </c>
      <c r="CF927" s="5">
        <v>42961</v>
      </c>
      <c r="CG927" s="2"/>
      <c r="CH927" s="2"/>
      <c r="CI927" s="2">
        <v>1</v>
      </c>
      <c r="CJ927" s="2">
        <v>1</v>
      </c>
      <c r="CK927" s="2">
        <v>22</v>
      </c>
      <c r="CL927" s="2" t="s">
        <v>86</v>
      </c>
      <c r="CM927" s="2"/>
    </row>
    <row r="928" spans="1:91">
      <c r="A928" s="2" t="s">
        <v>71</v>
      </c>
      <c r="B928" s="2" t="s">
        <v>72</v>
      </c>
      <c r="C928" s="2" t="s">
        <v>73</v>
      </c>
      <c r="D928" s="2"/>
      <c r="E928" s="2" t="str">
        <f>"FES1162567950"</f>
        <v>FES1162567950</v>
      </c>
      <c r="F928" s="3">
        <v>42957</v>
      </c>
      <c r="G928" s="2">
        <v>201802</v>
      </c>
      <c r="H928" s="2" t="s">
        <v>74</v>
      </c>
      <c r="I928" s="2" t="s">
        <v>75</v>
      </c>
      <c r="J928" s="2" t="s">
        <v>76</v>
      </c>
      <c r="K928" s="2" t="s">
        <v>77</v>
      </c>
      <c r="L928" s="2" t="s">
        <v>268</v>
      </c>
      <c r="M928" s="2" t="s">
        <v>269</v>
      </c>
      <c r="N928" s="2" t="s">
        <v>635</v>
      </c>
      <c r="O928" s="2" t="s">
        <v>100</v>
      </c>
      <c r="P928" s="2" t="str">
        <f>"2170583821                    "</f>
        <v xml:space="preserve">2170583821 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4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1</v>
      </c>
      <c r="BJ928" s="2">
        <v>0.2</v>
      </c>
      <c r="BK928" s="2">
        <v>1</v>
      </c>
      <c r="BL928" s="2">
        <v>41.44</v>
      </c>
      <c r="BM928" s="2">
        <v>5.8</v>
      </c>
      <c r="BN928" s="2">
        <v>47.24</v>
      </c>
      <c r="BO928" s="2">
        <v>47.24</v>
      </c>
      <c r="BP928" s="2">
        <v>1</v>
      </c>
      <c r="BQ928" s="2" t="s">
        <v>636</v>
      </c>
      <c r="BR928" s="2" t="s">
        <v>84</v>
      </c>
      <c r="BS928" s="3">
        <v>42958</v>
      </c>
      <c r="BT928" s="4">
        <v>0.40277777777777773</v>
      </c>
      <c r="BU928" s="2" t="s">
        <v>1318</v>
      </c>
      <c r="BV928" s="2" t="s">
        <v>95</v>
      </c>
      <c r="BW928" s="2"/>
      <c r="BX928" s="2"/>
      <c r="BY928" s="2">
        <v>1200</v>
      </c>
      <c r="BZ928" s="2" t="s">
        <v>27</v>
      </c>
      <c r="CA928" s="2" t="s">
        <v>638</v>
      </c>
      <c r="CB928" s="2"/>
      <c r="CC928" s="2" t="s">
        <v>269</v>
      </c>
      <c r="CD928" s="2">
        <v>184</v>
      </c>
      <c r="CE928" s="2" t="s">
        <v>104</v>
      </c>
      <c r="CF928" s="5">
        <v>42961</v>
      </c>
      <c r="CG928" s="2"/>
      <c r="CH928" s="2"/>
      <c r="CI928" s="2">
        <v>1</v>
      </c>
      <c r="CJ928" s="2">
        <v>1</v>
      </c>
      <c r="CK928" s="2">
        <v>21</v>
      </c>
      <c r="CL928" s="2" t="s">
        <v>86</v>
      </c>
      <c r="CM928" s="2"/>
    </row>
    <row r="929" spans="1:91">
      <c r="A929" s="2" t="s">
        <v>71</v>
      </c>
      <c r="B929" s="2" t="s">
        <v>72</v>
      </c>
      <c r="C929" s="2" t="s">
        <v>73</v>
      </c>
      <c r="D929" s="2"/>
      <c r="E929" s="2" t="str">
        <f>"FES1162568011"</f>
        <v>FES1162568011</v>
      </c>
      <c r="F929" s="3">
        <v>42957</v>
      </c>
      <c r="G929" s="2">
        <v>201802</v>
      </c>
      <c r="H929" s="2" t="s">
        <v>74</v>
      </c>
      <c r="I929" s="2" t="s">
        <v>75</v>
      </c>
      <c r="J929" s="2" t="s">
        <v>76</v>
      </c>
      <c r="K929" s="2" t="s">
        <v>77</v>
      </c>
      <c r="L929" s="2" t="s">
        <v>170</v>
      </c>
      <c r="M929" s="2" t="s">
        <v>171</v>
      </c>
      <c r="N929" s="2" t="s">
        <v>172</v>
      </c>
      <c r="O929" s="2" t="s">
        <v>100</v>
      </c>
      <c r="P929" s="2" t="str">
        <f>"2170582394                    "</f>
        <v xml:space="preserve">2170582394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3.13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3.1</v>
      </c>
      <c r="BJ929" s="2">
        <v>1.4</v>
      </c>
      <c r="BK929" s="2">
        <v>4</v>
      </c>
      <c r="BL929" s="2">
        <v>32.380000000000003</v>
      </c>
      <c r="BM929" s="2">
        <v>4.53</v>
      </c>
      <c r="BN929" s="2">
        <v>36.909999999999997</v>
      </c>
      <c r="BO929" s="2">
        <v>36.909999999999997</v>
      </c>
      <c r="BP929" s="2"/>
      <c r="BQ929" s="2" t="s">
        <v>83</v>
      </c>
      <c r="BR929" s="2" t="s">
        <v>84</v>
      </c>
      <c r="BS929" s="3">
        <v>42958</v>
      </c>
      <c r="BT929" s="4">
        <v>0.4375</v>
      </c>
      <c r="BU929" s="2" t="s">
        <v>1635</v>
      </c>
      <c r="BV929" s="2" t="s">
        <v>95</v>
      </c>
      <c r="BW929" s="2"/>
      <c r="BX929" s="2"/>
      <c r="BY929" s="2">
        <v>7088.05</v>
      </c>
      <c r="BZ929" s="2" t="s">
        <v>27</v>
      </c>
      <c r="CA929" s="2" t="s">
        <v>492</v>
      </c>
      <c r="CB929" s="2"/>
      <c r="CC929" s="2" t="s">
        <v>171</v>
      </c>
      <c r="CD929" s="2">
        <v>1401</v>
      </c>
      <c r="CE929" s="2" t="s">
        <v>89</v>
      </c>
      <c r="CF929" s="5">
        <v>42961</v>
      </c>
      <c r="CG929" s="2"/>
      <c r="CH929" s="2"/>
      <c r="CI929" s="2">
        <v>1</v>
      </c>
      <c r="CJ929" s="2">
        <v>1</v>
      </c>
      <c r="CK929" s="2">
        <v>22</v>
      </c>
      <c r="CL929" s="2" t="s">
        <v>86</v>
      </c>
      <c r="CM929" s="2"/>
    </row>
    <row r="930" spans="1:91">
      <c r="A930" s="2" t="s">
        <v>71</v>
      </c>
      <c r="B930" s="2" t="s">
        <v>72</v>
      </c>
      <c r="C930" s="2" t="s">
        <v>73</v>
      </c>
      <c r="D930" s="2"/>
      <c r="E930" s="2" t="str">
        <f>"FES1162567955"</f>
        <v>FES1162567955</v>
      </c>
      <c r="F930" s="3">
        <v>42957</v>
      </c>
      <c r="G930" s="2">
        <v>201802</v>
      </c>
      <c r="H930" s="2" t="s">
        <v>74</v>
      </c>
      <c r="I930" s="2" t="s">
        <v>75</v>
      </c>
      <c r="J930" s="2" t="s">
        <v>76</v>
      </c>
      <c r="K930" s="2" t="s">
        <v>77</v>
      </c>
      <c r="L930" s="2" t="s">
        <v>268</v>
      </c>
      <c r="M930" s="2" t="s">
        <v>269</v>
      </c>
      <c r="N930" s="2" t="s">
        <v>635</v>
      </c>
      <c r="O930" s="2" t="s">
        <v>100</v>
      </c>
      <c r="P930" s="2" t="str">
        <f>"2170583875                    "</f>
        <v xml:space="preserve">2170583875 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4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1</v>
      </c>
      <c r="BJ930" s="2">
        <v>0.2</v>
      </c>
      <c r="BK930" s="2">
        <v>1</v>
      </c>
      <c r="BL930" s="2">
        <v>41.44</v>
      </c>
      <c r="BM930" s="2">
        <v>5.8</v>
      </c>
      <c r="BN930" s="2">
        <v>47.24</v>
      </c>
      <c r="BO930" s="2">
        <v>47.24</v>
      </c>
      <c r="BP930" s="2">
        <v>1</v>
      </c>
      <c r="BQ930" s="2" t="s">
        <v>636</v>
      </c>
      <c r="BR930" s="2" t="s">
        <v>84</v>
      </c>
      <c r="BS930" s="3">
        <v>42958</v>
      </c>
      <c r="BT930" s="4">
        <v>0.40277777777777773</v>
      </c>
      <c r="BU930" s="2" t="s">
        <v>1318</v>
      </c>
      <c r="BV930" s="2" t="s">
        <v>95</v>
      </c>
      <c r="BW930" s="2"/>
      <c r="BX930" s="2"/>
      <c r="BY930" s="2">
        <v>1200</v>
      </c>
      <c r="BZ930" s="2" t="s">
        <v>27</v>
      </c>
      <c r="CA930" s="2" t="s">
        <v>638</v>
      </c>
      <c r="CB930" s="2"/>
      <c r="CC930" s="2" t="s">
        <v>269</v>
      </c>
      <c r="CD930" s="2">
        <v>184</v>
      </c>
      <c r="CE930" s="2" t="s">
        <v>104</v>
      </c>
      <c r="CF930" s="5">
        <v>42961</v>
      </c>
      <c r="CG930" s="2"/>
      <c r="CH930" s="2"/>
      <c r="CI930" s="2">
        <v>1</v>
      </c>
      <c r="CJ930" s="2">
        <v>1</v>
      </c>
      <c r="CK930" s="2">
        <v>21</v>
      </c>
      <c r="CL930" s="2" t="s">
        <v>86</v>
      </c>
      <c r="CM930" s="2"/>
    </row>
    <row r="931" spans="1:91">
      <c r="A931" s="2" t="s">
        <v>71</v>
      </c>
      <c r="B931" s="2" t="s">
        <v>72</v>
      </c>
      <c r="C931" s="2" t="s">
        <v>73</v>
      </c>
      <c r="D931" s="2"/>
      <c r="E931" s="2" t="str">
        <f>"FES1162567966"</f>
        <v>FES1162567966</v>
      </c>
      <c r="F931" s="3">
        <v>42957</v>
      </c>
      <c r="G931" s="2">
        <v>201802</v>
      </c>
      <c r="H931" s="2" t="s">
        <v>74</v>
      </c>
      <c r="I931" s="2" t="s">
        <v>75</v>
      </c>
      <c r="J931" s="2" t="s">
        <v>76</v>
      </c>
      <c r="K931" s="2" t="s">
        <v>77</v>
      </c>
      <c r="L931" s="2" t="s">
        <v>997</v>
      </c>
      <c r="M931" s="2" t="s">
        <v>998</v>
      </c>
      <c r="N931" s="2" t="s">
        <v>1636</v>
      </c>
      <c r="O931" s="2" t="s">
        <v>100</v>
      </c>
      <c r="P931" s="2" t="str">
        <f>"2170584116                    "</f>
        <v xml:space="preserve">2170584116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5.63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1</v>
      </c>
      <c r="BJ931" s="2">
        <v>0.2</v>
      </c>
      <c r="BK931" s="2">
        <v>1</v>
      </c>
      <c r="BL931" s="2">
        <v>58.28</v>
      </c>
      <c r="BM931" s="2">
        <v>8.16</v>
      </c>
      <c r="BN931" s="2">
        <v>66.44</v>
      </c>
      <c r="BO931" s="2">
        <v>66.44</v>
      </c>
      <c r="BP931" s="2">
        <v>1</v>
      </c>
      <c r="BQ931" s="2" t="s">
        <v>1637</v>
      </c>
      <c r="BR931" s="2" t="s">
        <v>84</v>
      </c>
      <c r="BS931" s="3">
        <v>42958</v>
      </c>
      <c r="BT931" s="4">
        <v>0.37152777777777773</v>
      </c>
      <c r="BU931" s="2" t="s">
        <v>1638</v>
      </c>
      <c r="BV931" s="2" t="s">
        <v>95</v>
      </c>
      <c r="BW931" s="2"/>
      <c r="BX931" s="2"/>
      <c r="BY931" s="2">
        <v>1200</v>
      </c>
      <c r="BZ931" s="2" t="s">
        <v>27</v>
      </c>
      <c r="CA931" s="2" t="s">
        <v>1639</v>
      </c>
      <c r="CB931" s="2"/>
      <c r="CC931" s="2" t="s">
        <v>998</v>
      </c>
      <c r="CD931" s="2">
        <v>299</v>
      </c>
      <c r="CE931" s="2" t="s">
        <v>104</v>
      </c>
      <c r="CF931" s="5">
        <v>42962</v>
      </c>
      <c r="CG931" s="2"/>
      <c r="CH931" s="2"/>
      <c r="CI931" s="2">
        <v>1</v>
      </c>
      <c r="CJ931" s="2">
        <v>1</v>
      </c>
      <c r="CK931" s="2">
        <v>24</v>
      </c>
      <c r="CL931" s="2" t="s">
        <v>86</v>
      </c>
      <c r="CM931" s="2"/>
    </row>
    <row r="932" spans="1:91">
      <c r="A932" s="2" t="s">
        <v>71</v>
      </c>
      <c r="B932" s="2" t="s">
        <v>72</v>
      </c>
      <c r="C932" s="2" t="s">
        <v>73</v>
      </c>
      <c r="D932" s="2"/>
      <c r="E932" s="2" t="str">
        <f>"FES1162567954"</f>
        <v>FES1162567954</v>
      </c>
      <c r="F932" s="3">
        <v>42957</v>
      </c>
      <c r="G932" s="2">
        <v>201802</v>
      </c>
      <c r="H932" s="2" t="s">
        <v>74</v>
      </c>
      <c r="I932" s="2" t="s">
        <v>75</v>
      </c>
      <c r="J932" s="2" t="s">
        <v>76</v>
      </c>
      <c r="K932" s="2" t="s">
        <v>77</v>
      </c>
      <c r="L932" s="2" t="s">
        <v>268</v>
      </c>
      <c r="M932" s="2" t="s">
        <v>269</v>
      </c>
      <c r="N932" s="2" t="s">
        <v>635</v>
      </c>
      <c r="O932" s="2" t="s">
        <v>100</v>
      </c>
      <c r="P932" s="2" t="str">
        <f>"2170583872                    "</f>
        <v xml:space="preserve">2170583872 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4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1</v>
      </c>
      <c r="BJ932" s="2">
        <v>0.2</v>
      </c>
      <c r="BK932" s="2">
        <v>1</v>
      </c>
      <c r="BL932" s="2">
        <v>41.44</v>
      </c>
      <c r="BM932" s="2">
        <v>5.8</v>
      </c>
      <c r="BN932" s="2">
        <v>47.24</v>
      </c>
      <c r="BO932" s="2">
        <v>47.24</v>
      </c>
      <c r="BP932" s="2">
        <v>1</v>
      </c>
      <c r="BQ932" s="2" t="s">
        <v>636</v>
      </c>
      <c r="BR932" s="2" t="s">
        <v>84</v>
      </c>
      <c r="BS932" s="3">
        <v>42958</v>
      </c>
      <c r="BT932" s="4">
        <v>0.40277777777777773</v>
      </c>
      <c r="BU932" s="2" t="s">
        <v>1318</v>
      </c>
      <c r="BV932" s="2" t="s">
        <v>95</v>
      </c>
      <c r="BW932" s="2"/>
      <c r="BX932" s="2"/>
      <c r="BY932" s="2">
        <v>1200</v>
      </c>
      <c r="BZ932" s="2" t="s">
        <v>27</v>
      </c>
      <c r="CA932" s="2" t="s">
        <v>638</v>
      </c>
      <c r="CB932" s="2"/>
      <c r="CC932" s="2" t="s">
        <v>269</v>
      </c>
      <c r="CD932" s="2">
        <v>184</v>
      </c>
      <c r="CE932" s="2" t="s">
        <v>104</v>
      </c>
      <c r="CF932" s="5">
        <v>42961</v>
      </c>
      <c r="CG932" s="2"/>
      <c r="CH932" s="2"/>
      <c r="CI932" s="2">
        <v>1</v>
      </c>
      <c r="CJ932" s="2">
        <v>1</v>
      </c>
      <c r="CK932" s="2">
        <v>21</v>
      </c>
      <c r="CL932" s="2" t="s">
        <v>86</v>
      </c>
      <c r="CM932" s="2"/>
    </row>
    <row r="933" spans="1:91">
      <c r="A933" s="2" t="s">
        <v>71</v>
      </c>
      <c r="B933" s="2" t="s">
        <v>72</v>
      </c>
      <c r="C933" s="2" t="s">
        <v>73</v>
      </c>
      <c r="D933" s="2"/>
      <c r="E933" s="2" t="str">
        <f>"FES1162568081"</f>
        <v>FES1162568081</v>
      </c>
      <c r="F933" s="3">
        <v>42957</v>
      </c>
      <c r="G933" s="2">
        <v>201802</v>
      </c>
      <c r="H933" s="2" t="s">
        <v>74</v>
      </c>
      <c r="I933" s="2" t="s">
        <v>75</v>
      </c>
      <c r="J933" s="2" t="s">
        <v>76</v>
      </c>
      <c r="K933" s="2" t="s">
        <v>77</v>
      </c>
      <c r="L933" s="2" t="s">
        <v>306</v>
      </c>
      <c r="M933" s="2" t="s">
        <v>307</v>
      </c>
      <c r="N933" s="2" t="s">
        <v>1640</v>
      </c>
      <c r="O933" s="2" t="s">
        <v>100</v>
      </c>
      <c r="P933" s="2" t="str">
        <f>"2170584179                    "</f>
        <v xml:space="preserve">2170584179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4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1.1000000000000001</v>
      </c>
      <c r="BJ933" s="2">
        <v>1.6</v>
      </c>
      <c r="BK933" s="2">
        <v>2</v>
      </c>
      <c r="BL933" s="2">
        <v>41.44</v>
      </c>
      <c r="BM933" s="2">
        <v>5.8</v>
      </c>
      <c r="BN933" s="2">
        <v>47.24</v>
      </c>
      <c r="BO933" s="2">
        <v>47.24</v>
      </c>
      <c r="BP933" s="2">
        <v>1</v>
      </c>
      <c r="BQ933" s="2" t="s">
        <v>83</v>
      </c>
      <c r="BR933" s="2" t="s">
        <v>84</v>
      </c>
      <c r="BS933" s="3">
        <v>42958</v>
      </c>
      <c r="BT933" s="4">
        <v>0.55555555555555558</v>
      </c>
      <c r="BU933" s="2" t="s">
        <v>1641</v>
      </c>
      <c r="BV933" s="2" t="s">
        <v>86</v>
      </c>
      <c r="BW933" s="2"/>
      <c r="BX933" s="2"/>
      <c r="BY933" s="2">
        <v>7923.82</v>
      </c>
      <c r="BZ933" s="2" t="s">
        <v>27</v>
      </c>
      <c r="CA933" s="2"/>
      <c r="CB933" s="2"/>
      <c r="CC933" s="2" t="s">
        <v>307</v>
      </c>
      <c r="CD933" s="2">
        <v>1939</v>
      </c>
      <c r="CE933" s="2" t="s">
        <v>104</v>
      </c>
      <c r="CF933" s="5">
        <v>42961</v>
      </c>
      <c r="CG933" s="2"/>
      <c r="CH933" s="2"/>
      <c r="CI933" s="2">
        <v>1</v>
      </c>
      <c r="CJ933" s="2">
        <v>1</v>
      </c>
      <c r="CK933" s="2">
        <v>21</v>
      </c>
      <c r="CL933" s="2" t="s">
        <v>86</v>
      </c>
      <c r="CM933" s="2"/>
    </row>
    <row r="934" spans="1:91">
      <c r="A934" s="2" t="s">
        <v>71</v>
      </c>
      <c r="B934" s="2" t="s">
        <v>72</v>
      </c>
      <c r="C934" s="2" t="s">
        <v>73</v>
      </c>
      <c r="D934" s="2"/>
      <c r="E934" s="2" t="str">
        <f>"FES1162568044"</f>
        <v>FES1162568044</v>
      </c>
      <c r="F934" s="3">
        <v>42957</v>
      </c>
      <c r="G934" s="2">
        <v>201802</v>
      </c>
      <c r="H934" s="2" t="s">
        <v>74</v>
      </c>
      <c r="I934" s="2" t="s">
        <v>75</v>
      </c>
      <c r="J934" s="2" t="s">
        <v>76</v>
      </c>
      <c r="K934" s="2" t="s">
        <v>77</v>
      </c>
      <c r="L934" s="2" t="s">
        <v>105</v>
      </c>
      <c r="M934" s="2" t="s">
        <v>106</v>
      </c>
      <c r="N934" s="2" t="s">
        <v>1642</v>
      </c>
      <c r="O934" s="2" t="s">
        <v>100</v>
      </c>
      <c r="P934" s="2" t="str">
        <f>"2170584156                    "</f>
        <v xml:space="preserve">2170584156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9.01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2</v>
      </c>
      <c r="BJ934" s="2">
        <v>4.0999999999999996</v>
      </c>
      <c r="BK934" s="2">
        <v>4.5</v>
      </c>
      <c r="BL934" s="2">
        <v>93.25</v>
      </c>
      <c r="BM934" s="2">
        <v>13.06</v>
      </c>
      <c r="BN934" s="2">
        <v>106.31</v>
      </c>
      <c r="BO934" s="2">
        <v>106.31</v>
      </c>
      <c r="BP934" s="2"/>
      <c r="BQ934" s="2" t="s">
        <v>83</v>
      </c>
      <c r="BR934" s="2" t="s">
        <v>84</v>
      </c>
      <c r="BS934" s="3">
        <v>42958</v>
      </c>
      <c r="BT934" s="4">
        <v>0.56944444444444442</v>
      </c>
      <c r="BU934" s="2" t="s">
        <v>1643</v>
      </c>
      <c r="BV934" s="2" t="s">
        <v>86</v>
      </c>
      <c r="BW934" s="2" t="s">
        <v>110</v>
      </c>
      <c r="BX934" s="2" t="s">
        <v>111</v>
      </c>
      <c r="BY934" s="2">
        <v>20358</v>
      </c>
      <c r="BZ934" s="2" t="s">
        <v>27</v>
      </c>
      <c r="CA934" s="2" t="s">
        <v>1644</v>
      </c>
      <c r="CB934" s="2"/>
      <c r="CC934" s="2" t="s">
        <v>106</v>
      </c>
      <c r="CD934" s="2">
        <v>7580</v>
      </c>
      <c r="CE934" s="2" t="s">
        <v>89</v>
      </c>
      <c r="CF934" s="5">
        <v>42961</v>
      </c>
      <c r="CG934" s="2"/>
      <c r="CH934" s="2"/>
      <c r="CI934" s="2">
        <v>1</v>
      </c>
      <c r="CJ934" s="2">
        <v>1</v>
      </c>
      <c r="CK934" s="2">
        <v>21</v>
      </c>
      <c r="CL934" s="2" t="s">
        <v>86</v>
      </c>
      <c r="CM934" s="2"/>
    </row>
    <row r="935" spans="1:91">
      <c r="A935" s="2" t="s">
        <v>71</v>
      </c>
      <c r="B935" s="2" t="s">
        <v>72</v>
      </c>
      <c r="C935" s="2" t="s">
        <v>73</v>
      </c>
      <c r="D935" s="2"/>
      <c r="E935" s="2" t="str">
        <f>"FES1162567997"</f>
        <v>FES1162567997</v>
      </c>
      <c r="F935" s="3">
        <v>42957</v>
      </c>
      <c r="G935" s="2">
        <v>201802</v>
      </c>
      <c r="H935" s="2" t="s">
        <v>74</v>
      </c>
      <c r="I935" s="2" t="s">
        <v>75</v>
      </c>
      <c r="J935" s="2" t="s">
        <v>76</v>
      </c>
      <c r="K935" s="2" t="s">
        <v>77</v>
      </c>
      <c r="L935" s="2" t="s">
        <v>1645</v>
      </c>
      <c r="M935" s="2" t="s">
        <v>1646</v>
      </c>
      <c r="N935" s="2" t="s">
        <v>1647</v>
      </c>
      <c r="O935" s="2" t="s">
        <v>100</v>
      </c>
      <c r="P935" s="2" t="str">
        <f>"2170584128                    "</f>
        <v xml:space="preserve">2170584128 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9.01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2.2999999999999998</v>
      </c>
      <c r="BJ935" s="2">
        <v>4.0999999999999996</v>
      </c>
      <c r="BK935" s="2">
        <v>4.5</v>
      </c>
      <c r="BL935" s="2">
        <v>93.25</v>
      </c>
      <c r="BM935" s="2">
        <v>13.06</v>
      </c>
      <c r="BN935" s="2">
        <v>106.31</v>
      </c>
      <c r="BO935" s="2">
        <v>106.31</v>
      </c>
      <c r="BP935" s="2">
        <v>1</v>
      </c>
      <c r="BQ935" s="2" t="s">
        <v>227</v>
      </c>
      <c r="BR935" s="2" t="s">
        <v>84</v>
      </c>
      <c r="BS935" s="3">
        <v>42963</v>
      </c>
      <c r="BT935" s="4">
        <v>0.33333333333333331</v>
      </c>
      <c r="BU935" s="2" t="s">
        <v>1648</v>
      </c>
      <c r="BV935" s="2" t="s">
        <v>95</v>
      </c>
      <c r="BW935" s="2"/>
      <c r="BX935" s="2"/>
      <c r="BY935" s="2">
        <v>20372.939999999999</v>
      </c>
      <c r="BZ935" s="2" t="s">
        <v>27</v>
      </c>
      <c r="CA935" s="2"/>
      <c r="CB935" s="2"/>
      <c r="CC935" s="2" t="s">
        <v>1646</v>
      </c>
      <c r="CD935" s="2">
        <v>699</v>
      </c>
      <c r="CE935" s="2" t="s">
        <v>104</v>
      </c>
      <c r="CF935" s="5">
        <v>42965</v>
      </c>
      <c r="CG935" s="2"/>
      <c r="CH935" s="2"/>
      <c r="CI935" s="2">
        <v>4</v>
      </c>
      <c r="CJ935" s="2">
        <v>4</v>
      </c>
      <c r="CK935" s="2">
        <v>21</v>
      </c>
      <c r="CL935" s="2" t="s">
        <v>86</v>
      </c>
      <c r="CM935" s="2"/>
    </row>
    <row r="936" spans="1:91">
      <c r="A936" s="2" t="s">
        <v>71</v>
      </c>
      <c r="B936" s="2" t="s">
        <v>72</v>
      </c>
      <c r="C936" s="2" t="s">
        <v>73</v>
      </c>
      <c r="D936" s="2"/>
      <c r="E936" s="2" t="str">
        <f>"FES1162568075"</f>
        <v>FES1162568075</v>
      </c>
      <c r="F936" s="3">
        <v>42957</v>
      </c>
      <c r="G936" s="2">
        <v>201802</v>
      </c>
      <c r="H936" s="2" t="s">
        <v>74</v>
      </c>
      <c r="I936" s="2" t="s">
        <v>75</v>
      </c>
      <c r="J936" s="2" t="s">
        <v>76</v>
      </c>
      <c r="K936" s="2" t="s">
        <v>77</v>
      </c>
      <c r="L936" s="2" t="s">
        <v>604</v>
      </c>
      <c r="M936" s="2" t="s">
        <v>605</v>
      </c>
      <c r="N936" s="2" t="s">
        <v>391</v>
      </c>
      <c r="O936" s="2" t="s">
        <v>100</v>
      </c>
      <c r="P936" s="2" t="str">
        <f>"2170592998                    "</f>
        <v xml:space="preserve">2170592998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4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1</v>
      </c>
      <c r="BJ936" s="2">
        <v>0.2</v>
      </c>
      <c r="BK936" s="2">
        <v>1</v>
      </c>
      <c r="BL936" s="2">
        <v>41.44</v>
      </c>
      <c r="BM936" s="2">
        <v>5.8</v>
      </c>
      <c r="BN936" s="2">
        <v>47.24</v>
      </c>
      <c r="BO936" s="2">
        <v>47.24</v>
      </c>
      <c r="BP936" s="2">
        <v>1</v>
      </c>
      <c r="BQ936" s="2" t="s">
        <v>1540</v>
      </c>
      <c r="BR936" s="2" t="s">
        <v>84</v>
      </c>
      <c r="BS936" s="3">
        <v>42958</v>
      </c>
      <c r="BT936" s="4">
        <v>0.375</v>
      </c>
      <c r="BU936" s="2" t="s">
        <v>1649</v>
      </c>
      <c r="BV936" s="2" t="s">
        <v>95</v>
      </c>
      <c r="BW936" s="2"/>
      <c r="BX936" s="2"/>
      <c r="BY936" s="2">
        <v>1200</v>
      </c>
      <c r="BZ936" s="2" t="s">
        <v>27</v>
      </c>
      <c r="CA936" s="2" t="s">
        <v>607</v>
      </c>
      <c r="CB936" s="2"/>
      <c r="CC936" s="2" t="s">
        <v>605</v>
      </c>
      <c r="CD936" s="2">
        <v>4126</v>
      </c>
      <c r="CE936" s="2" t="s">
        <v>104</v>
      </c>
      <c r="CF936" s="5">
        <v>42961</v>
      </c>
      <c r="CG936" s="2"/>
      <c r="CH936" s="2"/>
      <c r="CI936" s="2">
        <v>1</v>
      </c>
      <c r="CJ936" s="2">
        <v>1</v>
      </c>
      <c r="CK936" s="2">
        <v>21</v>
      </c>
      <c r="CL936" s="2" t="s">
        <v>86</v>
      </c>
      <c r="CM936" s="2"/>
    </row>
    <row r="937" spans="1:91">
      <c r="A937" s="2" t="s">
        <v>71</v>
      </c>
      <c r="B937" s="2" t="s">
        <v>72</v>
      </c>
      <c r="C937" s="2" t="s">
        <v>73</v>
      </c>
      <c r="D937" s="2"/>
      <c r="E937" s="2" t="str">
        <f>"FES1162567961"</f>
        <v>FES1162567961</v>
      </c>
      <c r="F937" s="3">
        <v>42957</v>
      </c>
      <c r="G937" s="2">
        <v>201802</v>
      </c>
      <c r="H937" s="2" t="s">
        <v>74</v>
      </c>
      <c r="I937" s="2" t="s">
        <v>75</v>
      </c>
      <c r="J937" s="2" t="s">
        <v>76</v>
      </c>
      <c r="K937" s="2" t="s">
        <v>77</v>
      </c>
      <c r="L937" s="2" t="s">
        <v>417</v>
      </c>
      <c r="M937" s="2" t="s">
        <v>417</v>
      </c>
      <c r="N937" s="2" t="s">
        <v>1309</v>
      </c>
      <c r="O937" s="2" t="s">
        <v>100</v>
      </c>
      <c r="P937" s="2" t="str">
        <f>"2170584100                    "</f>
        <v xml:space="preserve">2170584100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4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0.7</v>
      </c>
      <c r="BJ937" s="2">
        <v>0.9</v>
      </c>
      <c r="BK937" s="2">
        <v>1</v>
      </c>
      <c r="BL937" s="2">
        <v>41.44</v>
      </c>
      <c r="BM937" s="2">
        <v>5.8</v>
      </c>
      <c r="BN937" s="2">
        <v>47.24</v>
      </c>
      <c r="BO937" s="2">
        <v>47.24</v>
      </c>
      <c r="BP937" s="2"/>
      <c r="BQ937" s="2" t="s">
        <v>83</v>
      </c>
      <c r="BR937" s="2" t="s">
        <v>84</v>
      </c>
      <c r="BS937" s="3">
        <v>42958</v>
      </c>
      <c r="BT937" s="4">
        <v>0.45277777777777778</v>
      </c>
      <c r="BU937" s="2" t="s">
        <v>1650</v>
      </c>
      <c r="BV937" s="2" t="s">
        <v>95</v>
      </c>
      <c r="BW937" s="2"/>
      <c r="BX937" s="2"/>
      <c r="BY937" s="2">
        <v>4650.28</v>
      </c>
      <c r="BZ937" s="2" t="s">
        <v>27</v>
      </c>
      <c r="CA937" s="2"/>
      <c r="CB937" s="2"/>
      <c r="CC937" s="2" t="s">
        <v>417</v>
      </c>
      <c r="CD937" s="2">
        <v>7646</v>
      </c>
      <c r="CE937" s="2" t="s">
        <v>89</v>
      </c>
      <c r="CF937" s="5">
        <v>42961</v>
      </c>
      <c r="CG937" s="2"/>
      <c r="CH937" s="2"/>
      <c r="CI937" s="2">
        <v>1</v>
      </c>
      <c r="CJ937" s="2">
        <v>1</v>
      </c>
      <c r="CK937" s="2">
        <v>21</v>
      </c>
      <c r="CL937" s="2" t="s">
        <v>86</v>
      </c>
      <c r="CM937" s="2"/>
    </row>
    <row r="938" spans="1:91">
      <c r="A938" s="2" t="s">
        <v>71</v>
      </c>
      <c r="B938" s="2" t="s">
        <v>72</v>
      </c>
      <c r="C938" s="2" t="s">
        <v>73</v>
      </c>
      <c r="D938" s="2"/>
      <c r="E938" s="2" t="str">
        <f>"FES1162567811"</f>
        <v>FES1162567811</v>
      </c>
      <c r="F938" s="3">
        <v>42957</v>
      </c>
      <c r="G938" s="2">
        <v>201802</v>
      </c>
      <c r="H938" s="2" t="s">
        <v>74</v>
      </c>
      <c r="I938" s="2" t="s">
        <v>75</v>
      </c>
      <c r="J938" s="2" t="s">
        <v>76</v>
      </c>
      <c r="K938" s="2" t="s">
        <v>77</v>
      </c>
      <c r="L938" s="2" t="s">
        <v>688</v>
      </c>
      <c r="M938" s="2" t="s">
        <v>689</v>
      </c>
      <c r="N938" s="2" t="s">
        <v>690</v>
      </c>
      <c r="O938" s="2" t="s">
        <v>100</v>
      </c>
      <c r="P938" s="2" t="str">
        <f>"2170583885                    "</f>
        <v xml:space="preserve">2170583885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7.75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0.3</v>
      </c>
      <c r="BJ938" s="2">
        <v>1.7</v>
      </c>
      <c r="BK938" s="2">
        <v>2</v>
      </c>
      <c r="BL938" s="2">
        <v>80.290000000000006</v>
      </c>
      <c r="BM938" s="2">
        <v>11.24</v>
      </c>
      <c r="BN938" s="2">
        <v>91.53</v>
      </c>
      <c r="BO938" s="2">
        <v>91.53</v>
      </c>
      <c r="BP938" s="2">
        <v>1</v>
      </c>
      <c r="BQ938" s="2" t="s">
        <v>83</v>
      </c>
      <c r="BR938" s="2" t="s">
        <v>84</v>
      </c>
      <c r="BS938" s="3">
        <v>42959</v>
      </c>
      <c r="BT938" s="4">
        <v>0.39583333333333331</v>
      </c>
      <c r="BU938" s="2" t="s">
        <v>1610</v>
      </c>
      <c r="BV938" s="2" t="s">
        <v>95</v>
      </c>
      <c r="BW938" s="2"/>
      <c r="BX938" s="2"/>
      <c r="BY938" s="2">
        <v>8366</v>
      </c>
      <c r="BZ938" s="2" t="s">
        <v>27</v>
      </c>
      <c r="CA938" s="2" t="s">
        <v>1611</v>
      </c>
      <c r="CB938" s="2"/>
      <c r="CC938" s="2" t="s">
        <v>689</v>
      </c>
      <c r="CD938" s="2">
        <v>9880</v>
      </c>
      <c r="CE938" s="2" t="s">
        <v>104</v>
      </c>
      <c r="CF938" s="5">
        <v>42963</v>
      </c>
      <c r="CG938" s="2"/>
      <c r="CH938" s="2"/>
      <c r="CI938" s="2">
        <v>1</v>
      </c>
      <c r="CJ938" s="2">
        <v>1</v>
      </c>
      <c r="CK938" s="2">
        <v>23</v>
      </c>
      <c r="CL938" s="2" t="s">
        <v>86</v>
      </c>
      <c r="CM938" s="2"/>
    </row>
    <row r="939" spans="1:91">
      <c r="A939" s="2" t="s">
        <v>71</v>
      </c>
      <c r="B939" s="2" t="s">
        <v>72</v>
      </c>
      <c r="C939" s="2" t="s">
        <v>73</v>
      </c>
      <c r="D939" s="2"/>
      <c r="E939" s="2" t="str">
        <f>"FES1162568003"</f>
        <v>FES1162568003</v>
      </c>
      <c r="F939" s="3">
        <v>42957</v>
      </c>
      <c r="G939" s="2">
        <v>201802</v>
      </c>
      <c r="H939" s="2" t="s">
        <v>74</v>
      </c>
      <c r="I939" s="2" t="s">
        <v>75</v>
      </c>
      <c r="J939" s="2" t="s">
        <v>76</v>
      </c>
      <c r="K939" s="2" t="s">
        <v>77</v>
      </c>
      <c r="L939" s="2" t="s">
        <v>237</v>
      </c>
      <c r="M939" s="2" t="s">
        <v>238</v>
      </c>
      <c r="N939" s="2" t="s">
        <v>571</v>
      </c>
      <c r="O939" s="2" t="s">
        <v>100</v>
      </c>
      <c r="P939" s="2" t="str">
        <f>"2170584140                    "</f>
        <v xml:space="preserve">2170584140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4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1</v>
      </c>
      <c r="BJ939" s="2">
        <v>0.2</v>
      </c>
      <c r="BK939" s="2">
        <v>1</v>
      </c>
      <c r="BL939" s="2">
        <v>41.44</v>
      </c>
      <c r="BM939" s="2">
        <v>5.8</v>
      </c>
      <c r="BN939" s="2">
        <v>47.24</v>
      </c>
      <c r="BO939" s="2">
        <v>47.24</v>
      </c>
      <c r="BP939" s="2">
        <v>1</v>
      </c>
      <c r="BQ939" s="2" t="s">
        <v>572</v>
      </c>
      <c r="BR939" s="2" t="s">
        <v>84</v>
      </c>
      <c r="BS939" s="3">
        <v>42958</v>
      </c>
      <c r="BT939" s="4">
        <v>0.39374999999999999</v>
      </c>
      <c r="BU939" s="2" t="s">
        <v>1651</v>
      </c>
      <c r="BV939" s="2" t="s">
        <v>95</v>
      </c>
      <c r="BW939" s="2"/>
      <c r="BX939" s="2"/>
      <c r="BY939" s="2">
        <v>1200</v>
      </c>
      <c r="BZ939" s="2" t="s">
        <v>27</v>
      </c>
      <c r="CA939" s="2" t="s">
        <v>401</v>
      </c>
      <c r="CB939" s="2"/>
      <c r="CC939" s="2" t="s">
        <v>238</v>
      </c>
      <c r="CD939" s="2">
        <v>3610</v>
      </c>
      <c r="CE939" s="2" t="s">
        <v>104</v>
      </c>
      <c r="CF939" s="5">
        <v>42961</v>
      </c>
      <c r="CG939" s="2"/>
      <c r="CH939" s="2"/>
      <c r="CI939" s="2">
        <v>1</v>
      </c>
      <c r="CJ939" s="2">
        <v>1</v>
      </c>
      <c r="CK939" s="2">
        <v>21</v>
      </c>
      <c r="CL939" s="2" t="s">
        <v>86</v>
      </c>
      <c r="CM939" s="2"/>
    </row>
    <row r="940" spans="1:91">
      <c r="A940" s="2" t="s">
        <v>71</v>
      </c>
      <c r="B940" s="2" t="s">
        <v>72</v>
      </c>
      <c r="C940" s="2" t="s">
        <v>73</v>
      </c>
      <c r="D940" s="2"/>
      <c r="E940" s="2" t="str">
        <f>"FES1162568076"</f>
        <v>FES1162568076</v>
      </c>
      <c r="F940" s="3">
        <v>42957</v>
      </c>
      <c r="G940" s="2">
        <v>201802</v>
      </c>
      <c r="H940" s="2" t="s">
        <v>74</v>
      </c>
      <c r="I940" s="2" t="s">
        <v>75</v>
      </c>
      <c r="J940" s="2" t="s">
        <v>76</v>
      </c>
      <c r="K940" s="2" t="s">
        <v>77</v>
      </c>
      <c r="L940" s="2" t="s">
        <v>715</v>
      </c>
      <c r="M940" s="2" t="s">
        <v>716</v>
      </c>
      <c r="N940" s="2" t="s">
        <v>717</v>
      </c>
      <c r="O940" s="2" t="s">
        <v>100</v>
      </c>
      <c r="P940" s="2" t="str">
        <f>"2170583533                    "</f>
        <v xml:space="preserve">2170583533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4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1</v>
      </c>
      <c r="BJ940" s="2">
        <v>0.2</v>
      </c>
      <c r="BK940" s="2">
        <v>1</v>
      </c>
      <c r="BL940" s="2">
        <v>41.44</v>
      </c>
      <c r="BM940" s="2">
        <v>5.8</v>
      </c>
      <c r="BN940" s="2">
        <v>47.24</v>
      </c>
      <c r="BO940" s="2">
        <v>47.24</v>
      </c>
      <c r="BP940" s="2">
        <v>1</v>
      </c>
      <c r="BQ940" s="2" t="s">
        <v>108</v>
      </c>
      <c r="BR940" s="2" t="s">
        <v>84</v>
      </c>
      <c r="BS940" s="3">
        <v>42958</v>
      </c>
      <c r="BT940" s="4">
        <v>0.44444444444444442</v>
      </c>
      <c r="BU940" s="2" t="s">
        <v>718</v>
      </c>
      <c r="BV940" s="2" t="s">
        <v>95</v>
      </c>
      <c r="BW940" s="2"/>
      <c r="BX940" s="2"/>
      <c r="BY940" s="2">
        <v>1200</v>
      </c>
      <c r="BZ940" s="2" t="s">
        <v>27</v>
      </c>
      <c r="CA940" s="2" t="s">
        <v>566</v>
      </c>
      <c r="CB940" s="2"/>
      <c r="CC940" s="2" t="s">
        <v>716</v>
      </c>
      <c r="CD940" s="2">
        <v>3290</v>
      </c>
      <c r="CE940" s="2" t="s">
        <v>104</v>
      </c>
      <c r="CF940" s="5">
        <v>42962</v>
      </c>
      <c r="CG940" s="2"/>
      <c r="CH940" s="2"/>
      <c r="CI940" s="2">
        <v>1</v>
      </c>
      <c r="CJ940" s="2">
        <v>1</v>
      </c>
      <c r="CK940" s="2">
        <v>21</v>
      </c>
      <c r="CL940" s="2" t="s">
        <v>86</v>
      </c>
      <c r="CM940" s="2"/>
    </row>
    <row r="941" spans="1:91">
      <c r="A941" s="2" t="s">
        <v>71</v>
      </c>
      <c r="B941" s="2" t="s">
        <v>72</v>
      </c>
      <c r="C941" s="2" t="s">
        <v>73</v>
      </c>
      <c r="D941" s="2"/>
      <c r="E941" s="2" t="str">
        <f>"FES1162568061"</f>
        <v>FES1162568061</v>
      </c>
      <c r="F941" s="3">
        <v>42957</v>
      </c>
      <c r="G941" s="2">
        <v>201802</v>
      </c>
      <c r="H941" s="2" t="s">
        <v>74</v>
      </c>
      <c r="I941" s="2" t="s">
        <v>75</v>
      </c>
      <c r="J941" s="2" t="s">
        <v>76</v>
      </c>
      <c r="K941" s="2" t="s">
        <v>77</v>
      </c>
      <c r="L941" s="2" t="s">
        <v>149</v>
      </c>
      <c r="M941" s="2" t="s">
        <v>150</v>
      </c>
      <c r="N941" s="2" t="s">
        <v>1652</v>
      </c>
      <c r="O941" s="2" t="s">
        <v>100</v>
      </c>
      <c r="P941" s="2" t="str">
        <f>"2170581292                    "</f>
        <v xml:space="preserve">2170581292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4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1</v>
      </c>
      <c r="BJ941" s="2">
        <v>0.2</v>
      </c>
      <c r="BK941" s="2">
        <v>1</v>
      </c>
      <c r="BL941" s="2">
        <v>41.44</v>
      </c>
      <c r="BM941" s="2">
        <v>5.8</v>
      </c>
      <c r="BN941" s="2">
        <v>47.24</v>
      </c>
      <c r="BO941" s="2">
        <v>47.24</v>
      </c>
      <c r="BP941" s="2">
        <v>1</v>
      </c>
      <c r="BQ941" s="2" t="s">
        <v>1653</v>
      </c>
      <c r="BR941" s="2" t="s">
        <v>84</v>
      </c>
      <c r="BS941" s="3">
        <v>42958</v>
      </c>
      <c r="BT941" s="4">
        <v>0.3444444444444445</v>
      </c>
      <c r="BU941" s="2" t="s">
        <v>1654</v>
      </c>
      <c r="BV941" s="2" t="s">
        <v>95</v>
      </c>
      <c r="BW941" s="2"/>
      <c r="BX941" s="2"/>
      <c r="BY941" s="2">
        <v>1200</v>
      </c>
      <c r="BZ941" s="2" t="s">
        <v>27</v>
      </c>
      <c r="CA941" s="2" t="s">
        <v>774</v>
      </c>
      <c r="CB941" s="2"/>
      <c r="CC941" s="2" t="s">
        <v>150</v>
      </c>
      <c r="CD941" s="2">
        <v>4001</v>
      </c>
      <c r="CE941" s="2" t="s">
        <v>104</v>
      </c>
      <c r="CF941" s="5">
        <v>42961</v>
      </c>
      <c r="CG941" s="2"/>
      <c r="CH941" s="2"/>
      <c r="CI941" s="2">
        <v>1</v>
      </c>
      <c r="CJ941" s="2">
        <v>1</v>
      </c>
      <c r="CK941" s="2">
        <v>21</v>
      </c>
      <c r="CL941" s="2" t="s">
        <v>86</v>
      </c>
      <c r="CM941" s="2"/>
    </row>
    <row r="942" spans="1:91">
      <c r="A942" s="2" t="s">
        <v>71</v>
      </c>
      <c r="B942" s="2" t="s">
        <v>72</v>
      </c>
      <c r="C942" s="2" t="s">
        <v>73</v>
      </c>
      <c r="D942" s="2"/>
      <c r="E942" s="2" t="str">
        <f>"FES1162567915"</f>
        <v>FES1162567915</v>
      </c>
      <c r="F942" s="3">
        <v>42957</v>
      </c>
      <c r="G942" s="2">
        <v>201802</v>
      </c>
      <c r="H942" s="2" t="s">
        <v>74</v>
      </c>
      <c r="I942" s="2" t="s">
        <v>75</v>
      </c>
      <c r="J942" s="2" t="s">
        <v>76</v>
      </c>
      <c r="K942" s="2" t="s">
        <v>77</v>
      </c>
      <c r="L942" s="2" t="s">
        <v>149</v>
      </c>
      <c r="M942" s="2" t="s">
        <v>150</v>
      </c>
      <c r="N942" s="2" t="s">
        <v>1655</v>
      </c>
      <c r="O942" s="2" t="s">
        <v>100</v>
      </c>
      <c r="P942" s="2" t="str">
        <f>"2170584089                    "</f>
        <v xml:space="preserve">2170584089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7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0.3</v>
      </c>
      <c r="BJ942" s="2">
        <v>3.5</v>
      </c>
      <c r="BK942" s="2">
        <v>3.5</v>
      </c>
      <c r="BL942" s="2">
        <v>72.52</v>
      </c>
      <c r="BM942" s="2">
        <v>10.15</v>
      </c>
      <c r="BN942" s="2">
        <v>82.67</v>
      </c>
      <c r="BO942" s="2">
        <v>82.67</v>
      </c>
      <c r="BP942" s="2">
        <v>1</v>
      </c>
      <c r="BQ942" s="2" t="s">
        <v>1656</v>
      </c>
      <c r="BR942" s="2" t="s">
        <v>84</v>
      </c>
      <c r="BS942" s="3">
        <v>42958</v>
      </c>
      <c r="BT942" s="4">
        <v>0.43263888888888885</v>
      </c>
      <c r="BU942" s="2" t="s">
        <v>1657</v>
      </c>
      <c r="BV942" s="2" t="s">
        <v>95</v>
      </c>
      <c r="BW942" s="2"/>
      <c r="BX942" s="2"/>
      <c r="BY942" s="2">
        <v>17341.3</v>
      </c>
      <c r="BZ942" s="2" t="s">
        <v>27</v>
      </c>
      <c r="CA942" s="2" t="s">
        <v>774</v>
      </c>
      <c r="CB942" s="2"/>
      <c r="CC942" s="2" t="s">
        <v>150</v>
      </c>
      <c r="CD942" s="2">
        <v>4051</v>
      </c>
      <c r="CE942" s="2" t="s">
        <v>104</v>
      </c>
      <c r="CF942" s="5">
        <v>42961</v>
      </c>
      <c r="CG942" s="2"/>
      <c r="CH942" s="2"/>
      <c r="CI942" s="2">
        <v>1</v>
      </c>
      <c r="CJ942" s="2">
        <v>1</v>
      </c>
      <c r="CK942" s="2">
        <v>21</v>
      </c>
      <c r="CL942" s="2" t="s">
        <v>86</v>
      </c>
      <c r="CM942" s="2"/>
    </row>
    <row r="943" spans="1:91">
      <c r="A943" s="2" t="s">
        <v>71</v>
      </c>
      <c r="B943" s="2" t="s">
        <v>72</v>
      </c>
      <c r="C943" s="2" t="s">
        <v>73</v>
      </c>
      <c r="D943" s="2"/>
      <c r="E943" s="2" t="str">
        <f>"FES1162567794"</f>
        <v>FES1162567794</v>
      </c>
      <c r="F943" s="3">
        <v>42957</v>
      </c>
      <c r="G943" s="2">
        <v>201802</v>
      </c>
      <c r="H943" s="2" t="s">
        <v>74</v>
      </c>
      <c r="I943" s="2" t="s">
        <v>75</v>
      </c>
      <c r="J943" s="2" t="s">
        <v>76</v>
      </c>
      <c r="K943" s="2" t="s">
        <v>77</v>
      </c>
      <c r="L943" s="2" t="s">
        <v>105</v>
      </c>
      <c r="M943" s="2" t="s">
        <v>106</v>
      </c>
      <c r="N943" s="2" t="s">
        <v>655</v>
      </c>
      <c r="O943" s="2" t="s">
        <v>100</v>
      </c>
      <c r="P943" s="2" t="str">
        <f>"2170583941                    "</f>
        <v xml:space="preserve">2170583941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4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1</v>
      </c>
      <c r="BJ943" s="2">
        <v>0.2</v>
      </c>
      <c r="BK943" s="2">
        <v>1</v>
      </c>
      <c r="BL943" s="2">
        <v>41.44</v>
      </c>
      <c r="BM943" s="2">
        <v>5.8</v>
      </c>
      <c r="BN943" s="2">
        <v>47.24</v>
      </c>
      <c r="BO943" s="2">
        <v>47.24</v>
      </c>
      <c r="BP943" s="2">
        <v>1</v>
      </c>
      <c r="BQ943" s="2" t="s">
        <v>209</v>
      </c>
      <c r="BR943" s="2" t="s">
        <v>84</v>
      </c>
      <c r="BS943" s="3">
        <v>42958</v>
      </c>
      <c r="BT943" s="4">
        <v>0.46319444444444446</v>
      </c>
      <c r="BU943" s="2" t="s">
        <v>656</v>
      </c>
      <c r="BV943" s="2" t="s">
        <v>86</v>
      </c>
      <c r="BW943" s="2" t="s">
        <v>110</v>
      </c>
      <c r="BX943" s="2" t="s">
        <v>111</v>
      </c>
      <c r="BY943" s="2">
        <v>1200</v>
      </c>
      <c r="BZ943" s="2" t="s">
        <v>27</v>
      </c>
      <c r="CA943" s="2" t="s">
        <v>350</v>
      </c>
      <c r="CB943" s="2"/>
      <c r="CC943" s="2" t="s">
        <v>106</v>
      </c>
      <c r="CD943" s="2">
        <v>7945</v>
      </c>
      <c r="CE943" s="2" t="s">
        <v>104</v>
      </c>
      <c r="CF943" s="5">
        <v>42961</v>
      </c>
      <c r="CG943" s="2"/>
      <c r="CH943" s="2"/>
      <c r="CI943" s="2">
        <v>1</v>
      </c>
      <c r="CJ943" s="2">
        <v>1</v>
      </c>
      <c r="CK943" s="2">
        <v>21</v>
      </c>
      <c r="CL943" s="2" t="s">
        <v>86</v>
      </c>
      <c r="CM943" s="2"/>
    </row>
    <row r="944" spans="1:91">
      <c r="A944" s="2" t="s">
        <v>71</v>
      </c>
      <c r="B944" s="2" t="s">
        <v>72</v>
      </c>
      <c r="C944" s="2" t="s">
        <v>73</v>
      </c>
      <c r="D944" s="2"/>
      <c r="E944" s="2" t="str">
        <f>"FES1162567931"</f>
        <v>FES1162567931</v>
      </c>
      <c r="F944" s="3">
        <v>42957</v>
      </c>
      <c r="G944" s="2">
        <v>201802</v>
      </c>
      <c r="H944" s="2" t="s">
        <v>74</v>
      </c>
      <c r="I944" s="2" t="s">
        <v>75</v>
      </c>
      <c r="J944" s="2" t="s">
        <v>76</v>
      </c>
      <c r="K944" s="2" t="s">
        <v>77</v>
      </c>
      <c r="L944" s="2" t="s">
        <v>604</v>
      </c>
      <c r="M944" s="2" t="s">
        <v>605</v>
      </c>
      <c r="N944" s="2" t="s">
        <v>391</v>
      </c>
      <c r="O944" s="2" t="s">
        <v>100</v>
      </c>
      <c r="P944" s="2" t="str">
        <f>"2170581298                    "</f>
        <v xml:space="preserve">2170581298 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27.02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13.4</v>
      </c>
      <c r="BJ944" s="2">
        <v>1.6</v>
      </c>
      <c r="BK944" s="2">
        <v>13.5</v>
      </c>
      <c r="BL944" s="2">
        <v>279.74</v>
      </c>
      <c r="BM944" s="2">
        <v>39.159999999999997</v>
      </c>
      <c r="BN944" s="2">
        <v>318.89999999999998</v>
      </c>
      <c r="BO944" s="2">
        <v>318.89999999999998</v>
      </c>
      <c r="BP944" s="2"/>
      <c r="BQ944" s="2" t="s">
        <v>83</v>
      </c>
      <c r="BR944" s="2" t="s">
        <v>84</v>
      </c>
      <c r="BS944" s="3">
        <v>42958</v>
      </c>
      <c r="BT944" s="4">
        <v>0.375</v>
      </c>
      <c r="BU944" s="2" t="s">
        <v>1649</v>
      </c>
      <c r="BV944" s="2" t="s">
        <v>95</v>
      </c>
      <c r="BW944" s="2"/>
      <c r="BX944" s="2"/>
      <c r="BY944" s="2">
        <v>8195.9</v>
      </c>
      <c r="BZ944" s="2" t="s">
        <v>27</v>
      </c>
      <c r="CA944" s="2" t="s">
        <v>607</v>
      </c>
      <c r="CB944" s="2"/>
      <c r="CC944" s="2" t="s">
        <v>605</v>
      </c>
      <c r="CD944" s="2">
        <v>4126</v>
      </c>
      <c r="CE944" s="2" t="s">
        <v>89</v>
      </c>
      <c r="CF944" s="5">
        <v>42961</v>
      </c>
      <c r="CG944" s="2"/>
      <c r="CH944" s="2"/>
      <c r="CI944" s="2">
        <v>1</v>
      </c>
      <c r="CJ944" s="2">
        <v>1</v>
      </c>
      <c r="CK944" s="2">
        <v>21</v>
      </c>
      <c r="CL944" s="2" t="s">
        <v>86</v>
      </c>
      <c r="CM944" s="2"/>
    </row>
    <row r="945" spans="1:91">
      <c r="A945" s="2" t="s">
        <v>71</v>
      </c>
      <c r="B945" s="2" t="s">
        <v>72</v>
      </c>
      <c r="C945" s="2" t="s">
        <v>73</v>
      </c>
      <c r="D945" s="2"/>
      <c r="E945" s="2" t="str">
        <f>"FES1162568131"</f>
        <v>FES1162568131</v>
      </c>
      <c r="F945" s="3">
        <v>42957</v>
      </c>
      <c r="G945" s="2">
        <v>201802</v>
      </c>
      <c r="H945" s="2" t="s">
        <v>74</v>
      </c>
      <c r="I945" s="2" t="s">
        <v>75</v>
      </c>
      <c r="J945" s="2" t="s">
        <v>76</v>
      </c>
      <c r="K945" s="2" t="s">
        <v>77</v>
      </c>
      <c r="L945" s="2" t="s">
        <v>74</v>
      </c>
      <c r="M945" s="2" t="s">
        <v>75</v>
      </c>
      <c r="N945" s="2" t="s">
        <v>1658</v>
      </c>
      <c r="O945" s="2" t="s">
        <v>100</v>
      </c>
      <c r="P945" s="2" t="str">
        <f>"2170584233                    "</f>
        <v xml:space="preserve">2170584233 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3.13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1</v>
      </c>
      <c r="BJ945" s="2">
        <v>0.2</v>
      </c>
      <c r="BK945" s="2">
        <v>1</v>
      </c>
      <c r="BL945" s="2">
        <v>32.380000000000003</v>
      </c>
      <c r="BM945" s="2">
        <v>4.53</v>
      </c>
      <c r="BN945" s="2">
        <v>36.909999999999997</v>
      </c>
      <c r="BO945" s="2">
        <v>36.909999999999997</v>
      </c>
      <c r="BP945" s="2">
        <v>1</v>
      </c>
      <c r="BQ945" s="2" t="s">
        <v>209</v>
      </c>
      <c r="BR945" s="2" t="s">
        <v>84</v>
      </c>
      <c r="BS945" s="3">
        <v>42958</v>
      </c>
      <c r="BT945" s="4">
        <v>0.41111111111111115</v>
      </c>
      <c r="BU945" s="2" t="s">
        <v>1659</v>
      </c>
      <c r="BV945" s="2" t="s">
        <v>95</v>
      </c>
      <c r="BW945" s="2"/>
      <c r="BX945" s="2"/>
      <c r="BY945" s="2">
        <v>1200</v>
      </c>
      <c r="BZ945" s="2" t="s">
        <v>27</v>
      </c>
      <c r="CA945" s="2" t="s">
        <v>328</v>
      </c>
      <c r="CB945" s="2"/>
      <c r="CC945" s="2" t="s">
        <v>75</v>
      </c>
      <c r="CD945" s="2">
        <v>1600</v>
      </c>
      <c r="CE945" s="2" t="s">
        <v>104</v>
      </c>
      <c r="CF945" s="5">
        <v>42961</v>
      </c>
      <c r="CG945" s="2"/>
      <c r="CH945" s="2"/>
      <c r="CI945" s="2">
        <v>1</v>
      </c>
      <c r="CJ945" s="2">
        <v>1</v>
      </c>
      <c r="CK945" s="2">
        <v>22</v>
      </c>
      <c r="CL945" s="2" t="s">
        <v>86</v>
      </c>
      <c r="CM945" s="2"/>
    </row>
    <row r="946" spans="1:91">
      <c r="A946" s="2" t="s">
        <v>71</v>
      </c>
      <c r="B946" s="2" t="s">
        <v>72</v>
      </c>
      <c r="C946" s="2" t="s">
        <v>73</v>
      </c>
      <c r="D946" s="2"/>
      <c r="E946" s="2" t="str">
        <f>"FES1162567916"</f>
        <v>FES1162567916</v>
      </c>
      <c r="F946" s="3">
        <v>42957</v>
      </c>
      <c r="G946" s="2">
        <v>201802</v>
      </c>
      <c r="H946" s="2" t="s">
        <v>74</v>
      </c>
      <c r="I946" s="2" t="s">
        <v>75</v>
      </c>
      <c r="J946" s="2" t="s">
        <v>76</v>
      </c>
      <c r="K946" s="2" t="s">
        <v>77</v>
      </c>
      <c r="L946" s="2" t="s">
        <v>149</v>
      </c>
      <c r="M946" s="2" t="s">
        <v>150</v>
      </c>
      <c r="N946" s="2" t="s">
        <v>1660</v>
      </c>
      <c r="O946" s="2" t="s">
        <v>100</v>
      </c>
      <c r="P946" s="2" t="str">
        <f>"2170584090                    "</f>
        <v xml:space="preserve">2170584090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4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1</v>
      </c>
      <c r="BJ946" s="2">
        <v>0.2</v>
      </c>
      <c r="BK946" s="2">
        <v>1</v>
      </c>
      <c r="BL946" s="2">
        <v>41.44</v>
      </c>
      <c r="BM946" s="2">
        <v>5.8</v>
      </c>
      <c r="BN946" s="2">
        <v>47.24</v>
      </c>
      <c r="BO946" s="2">
        <v>47.24</v>
      </c>
      <c r="BP946" s="2">
        <v>1</v>
      </c>
      <c r="BQ946" s="2" t="s">
        <v>1661</v>
      </c>
      <c r="BR946" s="2" t="s">
        <v>84</v>
      </c>
      <c r="BS946" s="3">
        <v>42958</v>
      </c>
      <c r="BT946" s="4">
        <v>0.41736111111111113</v>
      </c>
      <c r="BU946" s="2" t="s">
        <v>1662</v>
      </c>
      <c r="BV946" s="2" t="s">
        <v>95</v>
      </c>
      <c r="BW946" s="2"/>
      <c r="BX946" s="2"/>
      <c r="BY946" s="2">
        <v>1200</v>
      </c>
      <c r="BZ946" s="2" t="s">
        <v>27</v>
      </c>
      <c r="CA946" s="2" t="s">
        <v>235</v>
      </c>
      <c r="CB946" s="2"/>
      <c r="CC946" s="2" t="s">
        <v>150</v>
      </c>
      <c r="CD946" s="2">
        <v>4060</v>
      </c>
      <c r="CE946" s="2" t="s">
        <v>104</v>
      </c>
      <c r="CF946" s="5">
        <v>42961</v>
      </c>
      <c r="CG946" s="2"/>
      <c r="CH946" s="2"/>
      <c r="CI946" s="2">
        <v>1</v>
      </c>
      <c r="CJ946" s="2">
        <v>1</v>
      </c>
      <c r="CK946" s="2">
        <v>21</v>
      </c>
      <c r="CL946" s="2" t="s">
        <v>86</v>
      </c>
      <c r="CM946" s="2"/>
    </row>
    <row r="947" spans="1:91">
      <c r="A947" s="2" t="s">
        <v>71</v>
      </c>
      <c r="B947" s="2" t="s">
        <v>72</v>
      </c>
      <c r="C947" s="2" t="s">
        <v>73</v>
      </c>
      <c r="D947" s="2"/>
      <c r="E947" s="2" t="str">
        <f>"FES1162568059"</f>
        <v>FES1162568059</v>
      </c>
      <c r="F947" s="3">
        <v>42957</v>
      </c>
      <c r="G947" s="2">
        <v>201802</v>
      </c>
      <c r="H947" s="2" t="s">
        <v>74</v>
      </c>
      <c r="I947" s="2" t="s">
        <v>75</v>
      </c>
      <c r="J947" s="2" t="s">
        <v>76</v>
      </c>
      <c r="K947" s="2" t="s">
        <v>77</v>
      </c>
      <c r="L947" s="2" t="s">
        <v>1663</v>
      </c>
      <c r="M947" s="2" t="s">
        <v>1664</v>
      </c>
      <c r="N947" s="2" t="s">
        <v>1665</v>
      </c>
      <c r="O947" s="2" t="s">
        <v>100</v>
      </c>
      <c r="P947" s="2" t="str">
        <f>"2170581286                    "</f>
        <v xml:space="preserve">2170581286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4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1</v>
      </c>
      <c r="BJ947" s="2">
        <v>0.2</v>
      </c>
      <c r="BK947" s="2">
        <v>1</v>
      </c>
      <c r="BL947" s="2">
        <v>41.44</v>
      </c>
      <c r="BM947" s="2">
        <v>5.8</v>
      </c>
      <c r="BN947" s="2">
        <v>47.24</v>
      </c>
      <c r="BO947" s="2">
        <v>47.24</v>
      </c>
      <c r="BP947" s="2">
        <v>1</v>
      </c>
      <c r="BQ947" s="2" t="s">
        <v>1666</v>
      </c>
      <c r="BR947" s="2" t="s">
        <v>84</v>
      </c>
      <c r="BS947" s="3">
        <v>42958</v>
      </c>
      <c r="BT947" s="4">
        <v>0.42569444444444443</v>
      </c>
      <c r="BU947" s="2" t="s">
        <v>1667</v>
      </c>
      <c r="BV947" s="2" t="s">
        <v>95</v>
      </c>
      <c r="BW947" s="2"/>
      <c r="BX947" s="2"/>
      <c r="BY947" s="2">
        <v>1200</v>
      </c>
      <c r="BZ947" s="2" t="s">
        <v>27</v>
      </c>
      <c r="CA947" s="2" t="s">
        <v>1668</v>
      </c>
      <c r="CB947" s="2"/>
      <c r="CC947" s="2" t="s">
        <v>1664</v>
      </c>
      <c r="CD947" s="2">
        <v>3310</v>
      </c>
      <c r="CE947" s="2" t="s">
        <v>104</v>
      </c>
      <c r="CF947" s="5">
        <v>42962</v>
      </c>
      <c r="CG947" s="2"/>
      <c r="CH947" s="2"/>
      <c r="CI947" s="2">
        <v>1</v>
      </c>
      <c r="CJ947" s="2">
        <v>1</v>
      </c>
      <c r="CK947" s="2">
        <v>21</v>
      </c>
      <c r="CL947" s="2" t="s">
        <v>86</v>
      </c>
      <c r="CM947" s="2"/>
    </row>
    <row r="948" spans="1:91">
      <c r="A948" s="2" t="s">
        <v>71</v>
      </c>
      <c r="B948" s="2" t="s">
        <v>72</v>
      </c>
      <c r="C948" s="2" t="s">
        <v>73</v>
      </c>
      <c r="D948" s="2"/>
      <c r="E948" s="2" t="str">
        <f>"FES1162568016"</f>
        <v>FES1162568016</v>
      </c>
      <c r="F948" s="3">
        <v>42957</v>
      </c>
      <c r="G948" s="2">
        <v>201802</v>
      </c>
      <c r="H948" s="2" t="s">
        <v>74</v>
      </c>
      <c r="I948" s="2" t="s">
        <v>75</v>
      </c>
      <c r="J948" s="2" t="s">
        <v>76</v>
      </c>
      <c r="K948" s="2" t="s">
        <v>77</v>
      </c>
      <c r="L948" s="2" t="s">
        <v>105</v>
      </c>
      <c r="M948" s="2" t="s">
        <v>106</v>
      </c>
      <c r="N948" s="2" t="s">
        <v>1669</v>
      </c>
      <c r="O948" s="2" t="s">
        <v>100</v>
      </c>
      <c r="P948" s="2" t="str">
        <f>"2170582808                    "</f>
        <v xml:space="preserve">2170582808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4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0.8</v>
      </c>
      <c r="BJ948" s="2">
        <v>1</v>
      </c>
      <c r="BK948" s="2">
        <v>1</v>
      </c>
      <c r="BL948" s="2">
        <v>41.44</v>
      </c>
      <c r="BM948" s="2">
        <v>5.8</v>
      </c>
      <c r="BN948" s="2">
        <v>47.24</v>
      </c>
      <c r="BO948" s="2">
        <v>47.24</v>
      </c>
      <c r="BP948" s="2"/>
      <c r="BQ948" s="2" t="s">
        <v>83</v>
      </c>
      <c r="BR948" s="2" t="s">
        <v>84</v>
      </c>
      <c r="BS948" s="3">
        <v>42958</v>
      </c>
      <c r="BT948" s="4">
        <v>0.3743055555555555</v>
      </c>
      <c r="BU948" s="2" t="s">
        <v>1670</v>
      </c>
      <c r="BV948" s="2" t="s">
        <v>95</v>
      </c>
      <c r="BW948" s="2"/>
      <c r="BX948" s="2"/>
      <c r="BY948" s="2">
        <v>5105.1099999999997</v>
      </c>
      <c r="BZ948" s="2" t="s">
        <v>27</v>
      </c>
      <c r="CA948" s="2" t="s">
        <v>302</v>
      </c>
      <c r="CB948" s="2"/>
      <c r="CC948" s="2" t="s">
        <v>106</v>
      </c>
      <c r="CD948" s="2">
        <v>7493</v>
      </c>
      <c r="CE948" s="2" t="s">
        <v>89</v>
      </c>
      <c r="CF948" s="5">
        <v>42961</v>
      </c>
      <c r="CG948" s="2"/>
      <c r="CH948" s="2"/>
      <c r="CI948" s="2">
        <v>1</v>
      </c>
      <c r="CJ948" s="2">
        <v>1</v>
      </c>
      <c r="CK948" s="2">
        <v>21</v>
      </c>
      <c r="CL948" s="2" t="s">
        <v>86</v>
      </c>
      <c r="CM948" s="2"/>
    </row>
    <row r="949" spans="1:91">
      <c r="A949" s="2" t="s">
        <v>71</v>
      </c>
      <c r="B949" s="2" t="s">
        <v>72</v>
      </c>
      <c r="C949" s="2" t="s">
        <v>73</v>
      </c>
      <c r="D949" s="2"/>
      <c r="E949" s="2" t="str">
        <f>"FES1162567923"</f>
        <v>FES1162567923</v>
      </c>
      <c r="F949" s="3">
        <v>42957</v>
      </c>
      <c r="G949" s="2">
        <v>201802</v>
      </c>
      <c r="H949" s="2" t="s">
        <v>74</v>
      </c>
      <c r="I949" s="2" t="s">
        <v>75</v>
      </c>
      <c r="J949" s="2" t="s">
        <v>76</v>
      </c>
      <c r="K949" s="2" t="s">
        <v>77</v>
      </c>
      <c r="L949" s="2" t="s">
        <v>362</v>
      </c>
      <c r="M949" s="2" t="s">
        <v>363</v>
      </c>
      <c r="N949" s="2" t="s">
        <v>683</v>
      </c>
      <c r="O949" s="2" t="s">
        <v>100</v>
      </c>
      <c r="P949" s="2" t="str">
        <f>"2170579354                    "</f>
        <v xml:space="preserve">2170579354 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4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1</v>
      </c>
      <c r="BJ949" s="2">
        <v>0.2</v>
      </c>
      <c r="BK949" s="2">
        <v>1</v>
      </c>
      <c r="BL949" s="2">
        <v>41.44</v>
      </c>
      <c r="BM949" s="2">
        <v>5.8</v>
      </c>
      <c r="BN949" s="2">
        <v>47.24</v>
      </c>
      <c r="BO949" s="2">
        <v>47.24</v>
      </c>
      <c r="BP949" s="2">
        <v>1</v>
      </c>
      <c r="BQ949" s="2" t="s">
        <v>108</v>
      </c>
      <c r="BR949" s="2" t="s">
        <v>84</v>
      </c>
      <c r="BS949" s="3">
        <v>42958</v>
      </c>
      <c r="BT949" s="4">
        <v>0.40625</v>
      </c>
      <c r="BU949" s="2" t="s">
        <v>1619</v>
      </c>
      <c r="BV949" s="2" t="s">
        <v>95</v>
      </c>
      <c r="BW949" s="2"/>
      <c r="BX949" s="2"/>
      <c r="BY949" s="2">
        <v>1200</v>
      </c>
      <c r="BZ949" s="2" t="s">
        <v>27</v>
      </c>
      <c r="CA949" s="2" t="s">
        <v>367</v>
      </c>
      <c r="CB949" s="2"/>
      <c r="CC949" s="2" t="s">
        <v>363</v>
      </c>
      <c r="CD949" s="2">
        <v>3201</v>
      </c>
      <c r="CE949" s="2" t="s">
        <v>104</v>
      </c>
      <c r="CF949" s="5">
        <v>42961</v>
      </c>
      <c r="CG949" s="2"/>
      <c r="CH949" s="2"/>
      <c r="CI949" s="2">
        <v>1</v>
      </c>
      <c r="CJ949" s="2">
        <v>1</v>
      </c>
      <c r="CK949" s="2">
        <v>21</v>
      </c>
      <c r="CL949" s="2" t="s">
        <v>86</v>
      </c>
      <c r="CM949" s="2"/>
    </row>
    <row r="950" spans="1:91">
      <c r="A950" s="2" t="s">
        <v>71</v>
      </c>
      <c r="B950" s="2" t="s">
        <v>72</v>
      </c>
      <c r="C950" s="2" t="s">
        <v>73</v>
      </c>
      <c r="D950" s="2"/>
      <c r="E950" s="2" t="str">
        <f>"FES1162567953"</f>
        <v>FES1162567953</v>
      </c>
      <c r="F950" s="3">
        <v>42957</v>
      </c>
      <c r="G950" s="2">
        <v>201802</v>
      </c>
      <c r="H950" s="2" t="s">
        <v>74</v>
      </c>
      <c r="I950" s="2" t="s">
        <v>75</v>
      </c>
      <c r="J950" s="2" t="s">
        <v>76</v>
      </c>
      <c r="K950" s="2" t="s">
        <v>77</v>
      </c>
      <c r="L950" s="2" t="s">
        <v>268</v>
      </c>
      <c r="M950" s="2" t="s">
        <v>269</v>
      </c>
      <c r="N950" s="2" t="s">
        <v>635</v>
      </c>
      <c r="O950" s="2" t="s">
        <v>100</v>
      </c>
      <c r="P950" s="2" t="str">
        <f>"2170583832                    "</f>
        <v xml:space="preserve">2170583832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4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1</v>
      </c>
      <c r="BJ950" s="2">
        <v>0.2</v>
      </c>
      <c r="BK950" s="2">
        <v>1</v>
      </c>
      <c r="BL950" s="2">
        <v>41.44</v>
      </c>
      <c r="BM950" s="2">
        <v>5.8</v>
      </c>
      <c r="BN950" s="2">
        <v>47.24</v>
      </c>
      <c r="BO950" s="2">
        <v>47.24</v>
      </c>
      <c r="BP950" s="2">
        <v>1</v>
      </c>
      <c r="BQ950" s="2" t="s">
        <v>636</v>
      </c>
      <c r="BR950" s="2" t="s">
        <v>84</v>
      </c>
      <c r="BS950" s="3">
        <v>42958</v>
      </c>
      <c r="BT950" s="4">
        <v>0.40277777777777773</v>
      </c>
      <c r="BU950" s="2" t="s">
        <v>1318</v>
      </c>
      <c r="BV950" s="2" t="s">
        <v>95</v>
      </c>
      <c r="BW950" s="2"/>
      <c r="BX950" s="2"/>
      <c r="BY950" s="2">
        <v>1200</v>
      </c>
      <c r="BZ950" s="2" t="s">
        <v>27</v>
      </c>
      <c r="CA950" s="2" t="s">
        <v>638</v>
      </c>
      <c r="CB950" s="2"/>
      <c r="CC950" s="2" t="s">
        <v>269</v>
      </c>
      <c r="CD950" s="2">
        <v>184</v>
      </c>
      <c r="CE950" s="2" t="s">
        <v>104</v>
      </c>
      <c r="CF950" s="5">
        <v>42961</v>
      </c>
      <c r="CG950" s="2"/>
      <c r="CH950" s="2"/>
      <c r="CI950" s="2">
        <v>1</v>
      </c>
      <c r="CJ950" s="2">
        <v>1</v>
      </c>
      <c r="CK950" s="2">
        <v>21</v>
      </c>
      <c r="CL950" s="2" t="s">
        <v>86</v>
      </c>
      <c r="CM950" s="2"/>
    </row>
    <row r="951" spans="1:91">
      <c r="A951" s="2" t="s">
        <v>71</v>
      </c>
      <c r="B951" s="2" t="s">
        <v>72</v>
      </c>
      <c r="C951" s="2" t="s">
        <v>73</v>
      </c>
      <c r="D951" s="2"/>
      <c r="E951" s="2" t="str">
        <f>"FES1162567956"</f>
        <v>FES1162567956</v>
      </c>
      <c r="F951" s="3">
        <v>42957</v>
      </c>
      <c r="G951" s="2">
        <v>201802</v>
      </c>
      <c r="H951" s="2" t="s">
        <v>74</v>
      </c>
      <c r="I951" s="2" t="s">
        <v>75</v>
      </c>
      <c r="J951" s="2" t="s">
        <v>76</v>
      </c>
      <c r="K951" s="2" t="s">
        <v>77</v>
      </c>
      <c r="L951" s="2" t="s">
        <v>268</v>
      </c>
      <c r="M951" s="2" t="s">
        <v>269</v>
      </c>
      <c r="N951" s="2" t="s">
        <v>635</v>
      </c>
      <c r="O951" s="2" t="s">
        <v>100</v>
      </c>
      <c r="P951" s="2" t="str">
        <f>"2170583880                    "</f>
        <v xml:space="preserve">2170583880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4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1</v>
      </c>
      <c r="BJ951" s="2">
        <v>0.2</v>
      </c>
      <c r="BK951" s="2">
        <v>1</v>
      </c>
      <c r="BL951" s="2">
        <v>41.44</v>
      </c>
      <c r="BM951" s="2">
        <v>5.8</v>
      </c>
      <c r="BN951" s="2">
        <v>47.24</v>
      </c>
      <c r="BO951" s="2">
        <v>47.24</v>
      </c>
      <c r="BP951" s="2">
        <v>1</v>
      </c>
      <c r="BQ951" s="2" t="s">
        <v>636</v>
      </c>
      <c r="BR951" s="2" t="s">
        <v>84</v>
      </c>
      <c r="BS951" s="3">
        <v>42958</v>
      </c>
      <c r="BT951" s="4">
        <v>0.40277777777777773</v>
      </c>
      <c r="BU951" s="2" t="s">
        <v>1318</v>
      </c>
      <c r="BV951" s="2" t="s">
        <v>95</v>
      </c>
      <c r="BW951" s="2"/>
      <c r="BX951" s="2"/>
      <c r="BY951" s="2">
        <v>1200</v>
      </c>
      <c r="BZ951" s="2" t="s">
        <v>27</v>
      </c>
      <c r="CA951" s="2" t="s">
        <v>638</v>
      </c>
      <c r="CB951" s="2"/>
      <c r="CC951" s="2" t="s">
        <v>269</v>
      </c>
      <c r="CD951" s="2">
        <v>184</v>
      </c>
      <c r="CE951" s="2" t="s">
        <v>104</v>
      </c>
      <c r="CF951" s="5">
        <v>42961</v>
      </c>
      <c r="CG951" s="2"/>
      <c r="CH951" s="2"/>
      <c r="CI951" s="2">
        <v>1</v>
      </c>
      <c r="CJ951" s="2">
        <v>1</v>
      </c>
      <c r="CK951" s="2">
        <v>21</v>
      </c>
      <c r="CL951" s="2" t="s">
        <v>86</v>
      </c>
      <c r="CM951" s="2"/>
    </row>
    <row r="952" spans="1:91">
      <c r="A952" s="2" t="s">
        <v>71</v>
      </c>
      <c r="B952" s="2" t="s">
        <v>72</v>
      </c>
      <c r="C952" s="2" t="s">
        <v>73</v>
      </c>
      <c r="D952" s="2"/>
      <c r="E952" s="2" t="str">
        <f>"FES1162567974"</f>
        <v>FES1162567974</v>
      </c>
      <c r="F952" s="3">
        <v>42957</v>
      </c>
      <c r="G952" s="2">
        <v>201802</v>
      </c>
      <c r="H952" s="2" t="s">
        <v>74</v>
      </c>
      <c r="I952" s="2" t="s">
        <v>75</v>
      </c>
      <c r="J952" s="2" t="s">
        <v>76</v>
      </c>
      <c r="K952" s="2" t="s">
        <v>77</v>
      </c>
      <c r="L952" s="2" t="s">
        <v>268</v>
      </c>
      <c r="M952" s="2" t="s">
        <v>269</v>
      </c>
      <c r="N952" s="2" t="s">
        <v>351</v>
      </c>
      <c r="O952" s="2" t="s">
        <v>100</v>
      </c>
      <c r="P952" s="2" t="str">
        <f>"2170579664                    "</f>
        <v xml:space="preserve">2170579664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4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1</v>
      </c>
      <c r="BJ952" s="2">
        <v>0.2</v>
      </c>
      <c r="BK952" s="2">
        <v>1</v>
      </c>
      <c r="BL952" s="2">
        <v>41.44</v>
      </c>
      <c r="BM952" s="2">
        <v>5.8</v>
      </c>
      <c r="BN952" s="2">
        <v>47.24</v>
      </c>
      <c r="BO952" s="2">
        <v>47.24</v>
      </c>
      <c r="BP952" s="2"/>
      <c r="BQ952" s="2" t="s">
        <v>108</v>
      </c>
      <c r="BR952" s="2" t="s">
        <v>84</v>
      </c>
      <c r="BS952" s="3">
        <v>42958</v>
      </c>
      <c r="BT952" s="4">
        <v>0.4201388888888889</v>
      </c>
      <c r="BU952" s="2" t="s">
        <v>1671</v>
      </c>
      <c r="BV952" s="2" t="s">
        <v>95</v>
      </c>
      <c r="BW952" s="2"/>
      <c r="BX952" s="2"/>
      <c r="BY952" s="2">
        <v>1200</v>
      </c>
      <c r="BZ952" s="2" t="s">
        <v>27</v>
      </c>
      <c r="CA952" s="2"/>
      <c r="CB952" s="2"/>
      <c r="CC952" s="2" t="s">
        <v>269</v>
      </c>
      <c r="CD952" s="2">
        <v>200</v>
      </c>
      <c r="CE952" s="2" t="s">
        <v>104</v>
      </c>
      <c r="CF952" s="5">
        <v>42961</v>
      </c>
      <c r="CG952" s="2"/>
      <c r="CH952" s="2"/>
      <c r="CI952" s="2">
        <v>1</v>
      </c>
      <c r="CJ952" s="2">
        <v>1</v>
      </c>
      <c r="CK952" s="2">
        <v>21</v>
      </c>
      <c r="CL952" s="2" t="s">
        <v>86</v>
      </c>
      <c r="CM952" s="2"/>
    </row>
    <row r="953" spans="1:91">
      <c r="A953" s="2" t="s">
        <v>71</v>
      </c>
      <c r="B953" s="2" t="s">
        <v>72</v>
      </c>
      <c r="C953" s="2" t="s">
        <v>73</v>
      </c>
      <c r="D953" s="2"/>
      <c r="E953" s="2" t="str">
        <f>"FES1162568033"</f>
        <v>FES1162568033</v>
      </c>
      <c r="F953" s="3">
        <v>42957</v>
      </c>
      <c r="G953" s="2">
        <v>201802</v>
      </c>
      <c r="H953" s="2" t="s">
        <v>74</v>
      </c>
      <c r="I953" s="2" t="s">
        <v>75</v>
      </c>
      <c r="J953" s="2" t="s">
        <v>76</v>
      </c>
      <c r="K953" s="2" t="s">
        <v>77</v>
      </c>
      <c r="L953" s="2" t="s">
        <v>206</v>
      </c>
      <c r="M953" s="2" t="s">
        <v>207</v>
      </c>
      <c r="N953" s="2" t="s">
        <v>1672</v>
      </c>
      <c r="O953" s="2" t="s">
        <v>100</v>
      </c>
      <c r="P953" s="2" t="str">
        <f>"2170583657                    "</f>
        <v xml:space="preserve">2170583657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5.63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</v>
      </c>
      <c r="BJ953" s="2">
        <v>0.2</v>
      </c>
      <c r="BK953" s="2">
        <v>1</v>
      </c>
      <c r="BL953" s="2">
        <v>58.28</v>
      </c>
      <c r="BM953" s="2">
        <v>8.16</v>
      </c>
      <c r="BN953" s="2">
        <v>66.44</v>
      </c>
      <c r="BO953" s="2">
        <v>66.44</v>
      </c>
      <c r="BP953" s="2"/>
      <c r="BQ953" s="2" t="s">
        <v>83</v>
      </c>
      <c r="BR953" s="2" t="s">
        <v>84</v>
      </c>
      <c r="BS953" s="3">
        <v>42958</v>
      </c>
      <c r="BT953" s="4">
        <v>0.53749999999999998</v>
      </c>
      <c r="BU953" s="2" t="s">
        <v>1673</v>
      </c>
      <c r="BV953" s="2" t="s">
        <v>95</v>
      </c>
      <c r="BW953" s="2"/>
      <c r="BX953" s="2"/>
      <c r="BY953" s="2">
        <v>1200</v>
      </c>
      <c r="BZ953" s="2" t="s">
        <v>27</v>
      </c>
      <c r="CA953" s="2" t="s">
        <v>640</v>
      </c>
      <c r="CB953" s="2"/>
      <c r="CC953" s="2" t="s">
        <v>207</v>
      </c>
      <c r="CD953" s="2">
        <v>250</v>
      </c>
      <c r="CE953" s="2" t="s">
        <v>104</v>
      </c>
      <c r="CF953" s="5">
        <v>42962</v>
      </c>
      <c r="CG953" s="2"/>
      <c r="CH953" s="2"/>
      <c r="CI953" s="2">
        <v>1</v>
      </c>
      <c r="CJ953" s="2">
        <v>1</v>
      </c>
      <c r="CK953" s="2">
        <v>24</v>
      </c>
      <c r="CL953" s="2" t="s">
        <v>86</v>
      </c>
      <c r="CM953" s="2"/>
    </row>
    <row r="954" spans="1:91">
      <c r="A954" s="2" t="s">
        <v>71</v>
      </c>
      <c r="B954" s="2" t="s">
        <v>72</v>
      </c>
      <c r="C954" s="2" t="s">
        <v>73</v>
      </c>
      <c r="D954" s="2"/>
      <c r="E954" s="2" t="str">
        <f>"FES1162567952"</f>
        <v>FES1162567952</v>
      </c>
      <c r="F954" s="3">
        <v>42957</v>
      </c>
      <c r="G954" s="2">
        <v>201802</v>
      </c>
      <c r="H954" s="2" t="s">
        <v>74</v>
      </c>
      <c r="I954" s="2" t="s">
        <v>75</v>
      </c>
      <c r="J954" s="2" t="s">
        <v>76</v>
      </c>
      <c r="K954" s="2" t="s">
        <v>77</v>
      </c>
      <c r="L954" s="2" t="s">
        <v>268</v>
      </c>
      <c r="M954" s="2" t="s">
        <v>269</v>
      </c>
      <c r="N954" s="2" t="s">
        <v>635</v>
      </c>
      <c r="O954" s="2" t="s">
        <v>100</v>
      </c>
      <c r="P954" s="2" t="str">
        <f>"2170583830                    "</f>
        <v xml:space="preserve">2170583830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4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</v>
      </c>
      <c r="BJ954" s="2">
        <v>0.2</v>
      </c>
      <c r="BK954" s="2">
        <v>1</v>
      </c>
      <c r="BL954" s="2">
        <v>41.44</v>
      </c>
      <c r="BM954" s="2">
        <v>5.8</v>
      </c>
      <c r="BN954" s="2">
        <v>47.24</v>
      </c>
      <c r="BO954" s="2">
        <v>47.24</v>
      </c>
      <c r="BP954" s="2"/>
      <c r="BQ954" s="2" t="s">
        <v>83</v>
      </c>
      <c r="BR954" s="2" t="s">
        <v>84</v>
      </c>
      <c r="BS954" s="3">
        <v>42958</v>
      </c>
      <c r="BT954" s="4">
        <v>0.40277777777777773</v>
      </c>
      <c r="BU954" s="2" t="s">
        <v>1318</v>
      </c>
      <c r="BV954" s="2" t="s">
        <v>95</v>
      </c>
      <c r="BW954" s="2"/>
      <c r="BX954" s="2"/>
      <c r="BY954" s="2">
        <v>1200</v>
      </c>
      <c r="BZ954" s="2" t="s">
        <v>27</v>
      </c>
      <c r="CA954" s="2" t="s">
        <v>638</v>
      </c>
      <c r="CB954" s="2"/>
      <c r="CC954" s="2" t="s">
        <v>269</v>
      </c>
      <c r="CD954" s="2">
        <v>184</v>
      </c>
      <c r="CE954" s="2" t="s">
        <v>104</v>
      </c>
      <c r="CF954" s="5">
        <v>42961</v>
      </c>
      <c r="CG954" s="2"/>
      <c r="CH954" s="2"/>
      <c r="CI954" s="2">
        <v>1</v>
      </c>
      <c r="CJ954" s="2">
        <v>1</v>
      </c>
      <c r="CK954" s="2">
        <v>21</v>
      </c>
      <c r="CL954" s="2" t="s">
        <v>86</v>
      </c>
      <c r="CM954" s="2"/>
    </row>
    <row r="955" spans="1:91">
      <c r="A955" s="2" t="s">
        <v>71</v>
      </c>
      <c r="B955" s="2" t="s">
        <v>72</v>
      </c>
      <c r="C955" s="2" t="s">
        <v>73</v>
      </c>
      <c r="D955" s="2"/>
      <c r="E955" s="2" t="str">
        <f>"FES1162568012"</f>
        <v>FES1162568012</v>
      </c>
      <c r="F955" s="3">
        <v>42957</v>
      </c>
      <c r="G955" s="2">
        <v>201802</v>
      </c>
      <c r="H955" s="2" t="s">
        <v>74</v>
      </c>
      <c r="I955" s="2" t="s">
        <v>75</v>
      </c>
      <c r="J955" s="2" t="s">
        <v>76</v>
      </c>
      <c r="K955" s="2" t="s">
        <v>77</v>
      </c>
      <c r="L955" s="2" t="s">
        <v>268</v>
      </c>
      <c r="M955" s="2" t="s">
        <v>269</v>
      </c>
      <c r="N955" s="2" t="s">
        <v>991</v>
      </c>
      <c r="O955" s="2" t="s">
        <v>100</v>
      </c>
      <c r="P955" s="2" t="str">
        <f>"2170582578                    "</f>
        <v xml:space="preserve">2170582578 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4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1</v>
      </c>
      <c r="BJ955" s="2">
        <v>0.2</v>
      </c>
      <c r="BK955" s="2">
        <v>1</v>
      </c>
      <c r="BL955" s="2">
        <v>41.44</v>
      </c>
      <c r="BM955" s="2">
        <v>5.8</v>
      </c>
      <c r="BN955" s="2">
        <v>47.24</v>
      </c>
      <c r="BO955" s="2">
        <v>47.24</v>
      </c>
      <c r="BP955" s="2"/>
      <c r="BQ955" s="2" t="s">
        <v>108</v>
      </c>
      <c r="BR955" s="2" t="s">
        <v>84</v>
      </c>
      <c r="BS955" s="3">
        <v>42958</v>
      </c>
      <c r="BT955" s="4">
        <v>0.38541666666666669</v>
      </c>
      <c r="BU955" s="2" t="s">
        <v>85</v>
      </c>
      <c r="BV955" s="2" t="s">
        <v>95</v>
      </c>
      <c r="BW955" s="2"/>
      <c r="BX955" s="2"/>
      <c r="BY955" s="2">
        <v>1200</v>
      </c>
      <c r="BZ955" s="2" t="s">
        <v>27</v>
      </c>
      <c r="CA955" s="2"/>
      <c r="CB955" s="2"/>
      <c r="CC955" s="2" t="s">
        <v>269</v>
      </c>
      <c r="CD955" s="2">
        <v>182</v>
      </c>
      <c r="CE955" s="2" t="s">
        <v>104</v>
      </c>
      <c r="CF955" s="5">
        <v>42961</v>
      </c>
      <c r="CG955" s="2"/>
      <c r="CH955" s="2"/>
      <c r="CI955" s="2">
        <v>1</v>
      </c>
      <c r="CJ955" s="2">
        <v>1</v>
      </c>
      <c r="CK955" s="2">
        <v>21</v>
      </c>
      <c r="CL955" s="2" t="s">
        <v>86</v>
      </c>
      <c r="CM955" s="2"/>
    </row>
    <row r="956" spans="1:91">
      <c r="A956" s="2" t="s">
        <v>71</v>
      </c>
      <c r="B956" s="2" t="s">
        <v>72</v>
      </c>
      <c r="C956" s="2" t="s">
        <v>73</v>
      </c>
      <c r="D956" s="2"/>
      <c r="E956" s="2" t="str">
        <f>"FES1162567944"</f>
        <v>FES1162567944</v>
      </c>
      <c r="F956" s="3">
        <v>42957</v>
      </c>
      <c r="G956" s="2">
        <v>201802</v>
      </c>
      <c r="H956" s="2" t="s">
        <v>74</v>
      </c>
      <c r="I956" s="2" t="s">
        <v>75</v>
      </c>
      <c r="J956" s="2" t="s">
        <v>76</v>
      </c>
      <c r="K956" s="2" t="s">
        <v>77</v>
      </c>
      <c r="L956" s="2" t="s">
        <v>268</v>
      </c>
      <c r="M956" s="2" t="s">
        <v>269</v>
      </c>
      <c r="N956" s="2" t="s">
        <v>351</v>
      </c>
      <c r="O956" s="2" t="s">
        <v>100</v>
      </c>
      <c r="P956" s="2" t="str">
        <f>"2170583257                    "</f>
        <v xml:space="preserve">2170583257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4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1</v>
      </c>
      <c r="BJ956" s="2">
        <v>0.2</v>
      </c>
      <c r="BK956" s="2">
        <v>1</v>
      </c>
      <c r="BL956" s="2">
        <v>41.44</v>
      </c>
      <c r="BM956" s="2">
        <v>5.8</v>
      </c>
      <c r="BN956" s="2">
        <v>47.24</v>
      </c>
      <c r="BO956" s="2">
        <v>47.24</v>
      </c>
      <c r="BP956" s="2"/>
      <c r="BQ956" s="2" t="s">
        <v>108</v>
      </c>
      <c r="BR956" s="2" t="s">
        <v>84</v>
      </c>
      <c r="BS956" s="3">
        <v>42958</v>
      </c>
      <c r="BT956" s="4">
        <v>0.4201388888888889</v>
      </c>
      <c r="BU956" s="2" t="s">
        <v>1671</v>
      </c>
      <c r="BV956" s="2" t="s">
        <v>95</v>
      </c>
      <c r="BW956" s="2"/>
      <c r="BX956" s="2"/>
      <c r="BY956" s="2">
        <v>1200</v>
      </c>
      <c r="BZ956" s="2" t="s">
        <v>27</v>
      </c>
      <c r="CA956" s="2"/>
      <c r="CB956" s="2"/>
      <c r="CC956" s="2" t="s">
        <v>269</v>
      </c>
      <c r="CD956" s="2">
        <v>200</v>
      </c>
      <c r="CE956" s="2" t="s">
        <v>104</v>
      </c>
      <c r="CF956" s="5">
        <v>42961</v>
      </c>
      <c r="CG956" s="2"/>
      <c r="CH956" s="2"/>
      <c r="CI956" s="2">
        <v>1</v>
      </c>
      <c r="CJ956" s="2">
        <v>1</v>
      </c>
      <c r="CK956" s="2">
        <v>21</v>
      </c>
      <c r="CL956" s="2" t="s">
        <v>86</v>
      </c>
      <c r="CM956" s="2"/>
    </row>
    <row r="957" spans="1:91">
      <c r="A957" s="2" t="s">
        <v>71</v>
      </c>
      <c r="B957" s="2" t="s">
        <v>72</v>
      </c>
      <c r="C957" s="2" t="s">
        <v>73</v>
      </c>
      <c r="D957" s="2"/>
      <c r="E957" s="2" t="str">
        <f>"FES1162568034"</f>
        <v>FES1162568034</v>
      </c>
      <c r="F957" s="3">
        <v>42957</v>
      </c>
      <c r="G957" s="2">
        <v>201802</v>
      </c>
      <c r="H957" s="2" t="s">
        <v>74</v>
      </c>
      <c r="I957" s="2" t="s">
        <v>75</v>
      </c>
      <c r="J957" s="2" t="s">
        <v>76</v>
      </c>
      <c r="K957" s="2" t="s">
        <v>77</v>
      </c>
      <c r="L957" s="2" t="s">
        <v>446</v>
      </c>
      <c r="M957" s="2" t="s">
        <v>447</v>
      </c>
      <c r="N957" s="2" t="s">
        <v>961</v>
      </c>
      <c r="O957" s="2" t="s">
        <v>100</v>
      </c>
      <c r="P957" s="2" t="str">
        <f>"2170583679                    "</f>
        <v xml:space="preserve">2170583679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5.63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1</v>
      </c>
      <c r="BJ957" s="2">
        <v>0.2</v>
      </c>
      <c r="BK957" s="2">
        <v>1</v>
      </c>
      <c r="BL957" s="2">
        <v>58.28</v>
      </c>
      <c r="BM957" s="2">
        <v>8.16</v>
      </c>
      <c r="BN957" s="2">
        <v>66.44</v>
      </c>
      <c r="BO957" s="2">
        <v>66.44</v>
      </c>
      <c r="BP957" s="2"/>
      <c r="BQ957" s="2" t="s">
        <v>108</v>
      </c>
      <c r="BR957" s="2" t="s">
        <v>84</v>
      </c>
      <c r="BS957" s="3">
        <v>42958</v>
      </c>
      <c r="BT957" s="4">
        <v>0.43333333333333335</v>
      </c>
      <c r="BU957" s="2" t="s">
        <v>1674</v>
      </c>
      <c r="BV957" s="2" t="s">
        <v>95</v>
      </c>
      <c r="BW957" s="2"/>
      <c r="BX957" s="2"/>
      <c r="BY957" s="2">
        <v>1200</v>
      </c>
      <c r="BZ957" s="2" t="s">
        <v>27</v>
      </c>
      <c r="CA957" s="2"/>
      <c r="CB957" s="2"/>
      <c r="CC957" s="2" t="s">
        <v>447</v>
      </c>
      <c r="CD957" s="2">
        <v>1759</v>
      </c>
      <c r="CE957" s="2" t="s">
        <v>104</v>
      </c>
      <c r="CF957" s="5">
        <v>42961</v>
      </c>
      <c r="CG957" s="2"/>
      <c r="CH957" s="2"/>
      <c r="CI957" s="2">
        <v>1</v>
      </c>
      <c r="CJ957" s="2">
        <v>1</v>
      </c>
      <c r="CK957" s="2">
        <v>24</v>
      </c>
      <c r="CL957" s="2" t="s">
        <v>86</v>
      </c>
      <c r="CM957" s="2"/>
    </row>
    <row r="958" spans="1:91">
      <c r="A958" s="2" t="s">
        <v>71</v>
      </c>
      <c r="B958" s="2" t="s">
        <v>72</v>
      </c>
      <c r="C958" s="2" t="s">
        <v>73</v>
      </c>
      <c r="D958" s="2"/>
      <c r="E958" s="2" t="str">
        <f>"FES1162568055"</f>
        <v>FES1162568055</v>
      </c>
      <c r="F958" s="3">
        <v>42957</v>
      </c>
      <c r="G958" s="2">
        <v>201802</v>
      </c>
      <c r="H958" s="2" t="s">
        <v>74</v>
      </c>
      <c r="I958" s="2" t="s">
        <v>75</v>
      </c>
      <c r="J958" s="2" t="s">
        <v>76</v>
      </c>
      <c r="K958" s="2" t="s">
        <v>77</v>
      </c>
      <c r="L958" s="2" t="s">
        <v>971</v>
      </c>
      <c r="M958" s="2" t="s">
        <v>972</v>
      </c>
      <c r="N958" s="2" t="s">
        <v>973</v>
      </c>
      <c r="O958" s="2" t="s">
        <v>100</v>
      </c>
      <c r="P958" s="2" t="str">
        <f>"2170580391                    "</f>
        <v xml:space="preserve">2170580391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5.63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1</v>
      </c>
      <c r="BI958" s="2">
        <v>1</v>
      </c>
      <c r="BJ958" s="2">
        <v>0.2</v>
      </c>
      <c r="BK958" s="2">
        <v>1</v>
      </c>
      <c r="BL958" s="2">
        <v>58.28</v>
      </c>
      <c r="BM958" s="2">
        <v>8.16</v>
      </c>
      <c r="BN958" s="2">
        <v>66.44</v>
      </c>
      <c r="BO958" s="2">
        <v>66.44</v>
      </c>
      <c r="BP958" s="2"/>
      <c r="BQ958" s="2" t="s">
        <v>108</v>
      </c>
      <c r="BR958" s="2" t="s">
        <v>84</v>
      </c>
      <c r="BS958" s="3">
        <v>42958</v>
      </c>
      <c r="BT958" s="4">
        <v>0.41666666666666669</v>
      </c>
      <c r="BU958" s="2" t="s">
        <v>974</v>
      </c>
      <c r="BV958" s="2" t="s">
        <v>95</v>
      </c>
      <c r="BW958" s="2"/>
      <c r="BX958" s="2"/>
      <c r="BY958" s="2">
        <v>1200</v>
      </c>
      <c r="BZ958" s="2" t="s">
        <v>27</v>
      </c>
      <c r="CA958" s="2" t="s">
        <v>960</v>
      </c>
      <c r="CB958" s="2"/>
      <c r="CC958" s="2" t="s">
        <v>972</v>
      </c>
      <c r="CD958" s="2">
        <v>1441</v>
      </c>
      <c r="CE958" s="2" t="s">
        <v>104</v>
      </c>
      <c r="CF958" s="5">
        <v>42961</v>
      </c>
      <c r="CG958" s="2"/>
      <c r="CH958" s="2"/>
      <c r="CI958" s="2">
        <v>1</v>
      </c>
      <c r="CJ958" s="2">
        <v>1</v>
      </c>
      <c r="CK958" s="2">
        <v>24</v>
      </c>
      <c r="CL958" s="2" t="s">
        <v>86</v>
      </c>
      <c r="CM958" s="2"/>
    </row>
    <row r="959" spans="1:91">
      <c r="A959" s="2" t="s">
        <v>71</v>
      </c>
      <c r="B959" s="2" t="s">
        <v>72</v>
      </c>
      <c r="C959" s="2" t="s">
        <v>73</v>
      </c>
      <c r="D959" s="2"/>
      <c r="E959" s="2" t="str">
        <f>"FES1162567949"</f>
        <v>FES1162567949</v>
      </c>
      <c r="F959" s="3">
        <v>42957</v>
      </c>
      <c r="G959" s="2">
        <v>201802</v>
      </c>
      <c r="H959" s="2" t="s">
        <v>74</v>
      </c>
      <c r="I959" s="2" t="s">
        <v>75</v>
      </c>
      <c r="J959" s="2" t="s">
        <v>76</v>
      </c>
      <c r="K959" s="2" t="s">
        <v>77</v>
      </c>
      <c r="L959" s="2" t="s">
        <v>268</v>
      </c>
      <c r="M959" s="2" t="s">
        <v>269</v>
      </c>
      <c r="N959" s="2" t="s">
        <v>635</v>
      </c>
      <c r="O959" s="2" t="s">
        <v>100</v>
      </c>
      <c r="P959" s="2" t="str">
        <f>"2170583819                    "</f>
        <v xml:space="preserve">2170583819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4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1</v>
      </c>
      <c r="BI959" s="2">
        <v>1</v>
      </c>
      <c r="BJ959" s="2">
        <v>0.2</v>
      </c>
      <c r="BK959" s="2">
        <v>1</v>
      </c>
      <c r="BL959" s="2">
        <v>41.44</v>
      </c>
      <c r="BM959" s="2">
        <v>5.8</v>
      </c>
      <c r="BN959" s="2">
        <v>47.24</v>
      </c>
      <c r="BO959" s="2">
        <v>47.24</v>
      </c>
      <c r="BP959" s="2"/>
      <c r="BQ959" s="2" t="s">
        <v>108</v>
      </c>
      <c r="BR959" s="2" t="s">
        <v>84</v>
      </c>
      <c r="BS959" s="3">
        <v>42958</v>
      </c>
      <c r="BT959" s="4">
        <v>0.40277777777777773</v>
      </c>
      <c r="BU959" s="2" t="s">
        <v>637</v>
      </c>
      <c r="BV959" s="2" t="s">
        <v>95</v>
      </c>
      <c r="BW959" s="2"/>
      <c r="BX959" s="2"/>
      <c r="BY959" s="2">
        <v>1200</v>
      </c>
      <c r="BZ959" s="2" t="s">
        <v>27</v>
      </c>
      <c r="CA959" s="2" t="s">
        <v>638</v>
      </c>
      <c r="CB959" s="2"/>
      <c r="CC959" s="2" t="s">
        <v>269</v>
      </c>
      <c r="CD959" s="2">
        <v>184</v>
      </c>
      <c r="CE959" s="2" t="s">
        <v>104</v>
      </c>
      <c r="CF959" s="5">
        <v>42961</v>
      </c>
      <c r="CG959" s="2"/>
      <c r="CH959" s="2"/>
      <c r="CI959" s="2">
        <v>1</v>
      </c>
      <c r="CJ959" s="2">
        <v>1</v>
      </c>
      <c r="CK959" s="2">
        <v>21</v>
      </c>
      <c r="CL959" s="2" t="s">
        <v>86</v>
      </c>
      <c r="CM959" s="2"/>
    </row>
    <row r="960" spans="1:91">
      <c r="A960" s="2" t="s">
        <v>71</v>
      </c>
      <c r="B960" s="2" t="s">
        <v>72</v>
      </c>
      <c r="C960" s="2" t="s">
        <v>73</v>
      </c>
      <c r="D960" s="2"/>
      <c r="E960" s="2" t="str">
        <f>"FES1162567989"</f>
        <v>FES1162567989</v>
      </c>
      <c r="F960" s="3">
        <v>42957</v>
      </c>
      <c r="G960" s="2">
        <v>201802</v>
      </c>
      <c r="H960" s="2" t="s">
        <v>74</v>
      </c>
      <c r="I960" s="2" t="s">
        <v>75</v>
      </c>
      <c r="J960" s="2" t="s">
        <v>76</v>
      </c>
      <c r="K960" s="2" t="s">
        <v>77</v>
      </c>
      <c r="L960" s="2" t="s">
        <v>268</v>
      </c>
      <c r="M960" s="2" t="s">
        <v>269</v>
      </c>
      <c r="N960" s="2" t="s">
        <v>1675</v>
      </c>
      <c r="O960" s="2" t="s">
        <v>100</v>
      </c>
      <c r="P960" s="2" t="str">
        <f>"2170583215                    "</f>
        <v xml:space="preserve">2170583215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4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1</v>
      </c>
      <c r="BJ960" s="2">
        <v>0.2</v>
      </c>
      <c r="BK960" s="2">
        <v>1</v>
      </c>
      <c r="BL960" s="2">
        <v>41.44</v>
      </c>
      <c r="BM960" s="2">
        <v>5.8</v>
      </c>
      <c r="BN960" s="2">
        <v>47.24</v>
      </c>
      <c r="BO960" s="2">
        <v>47.24</v>
      </c>
      <c r="BP960" s="2"/>
      <c r="BQ960" s="2" t="s">
        <v>108</v>
      </c>
      <c r="BR960" s="2" t="s">
        <v>84</v>
      </c>
      <c r="BS960" s="3">
        <v>42958</v>
      </c>
      <c r="BT960" s="4">
        <v>0.52708333333333335</v>
      </c>
      <c r="BU960" s="2" t="s">
        <v>1676</v>
      </c>
      <c r="BV960" s="2" t="s">
        <v>86</v>
      </c>
      <c r="BW960" s="2" t="s">
        <v>110</v>
      </c>
      <c r="BX960" s="2" t="s">
        <v>444</v>
      </c>
      <c r="BY960" s="2">
        <v>1200</v>
      </c>
      <c r="BZ960" s="2" t="s">
        <v>27</v>
      </c>
      <c r="CA960" s="2" t="s">
        <v>878</v>
      </c>
      <c r="CB960" s="2"/>
      <c r="CC960" s="2" t="s">
        <v>269</v>
      </c>
      <c r="CD960" s="2">
        <v>186</v>
      </c>
      <c r="CE960" s="2" t="s">
        <v>104</v>
      </c>
      <c r="CF960" s="5">
        <v>42961</v>
      </c>
      <c r="CG960" s="2"/>
      <c r="CH960" s="2"/>
      <c r="CI960" s="2">
        <v>1</v>
      </c>
      <c r="CJ960" s="2">
        <v>1</v>
      </c>
      <c r="CK960" s="2">
        <v>21</v>
      </c>
      <c r="CL960" s="2" t="s">
        <v>86</v>
      </c>
      <c r="CM960" s="2"/>
    </row>
    <row r="961" spans="1:91">
      <c r="A961" s="2" t="s">
        <v>71</v>
      </c>
      <c r="B961" s="2" t="s">
        <v>72</v>
      </c>
      <c r="C961" s="2" t="s">
        <v>73</v>
      </c>
      <c r="D961" s="2"/>
      <c r="E961" s="2" t="str">
        <f>"FES1162568030"</f>
        <v>FES1162568030</v>
      </c>
      <c r="F961" s="3">
        <v>42957</v>
      </c>
      <c r="G961" s="2">
        <v>201802</v>
      </c>
      <c r="H961" s="2" t="s">
        <v>74</v>
      </c>
      <c r="I961" s="2" t="s">
        <v>75</v>
      </c>
      <c r="J961" s="2" t="s">
        <v>76</v>
      </c>
      <c r="K961" s="2" t="s">
        <v>77</v>
      </c>
      <c r="L961" s="2" t="s">
        <v>939</v>
      </c>
      <c r="M961" s="2" t="s">
        <v>940</v>
      </c>
      <c r="N961" s="2" t="s">
        <v>941</v>
      </c>
      <c r="O961" s="2" t="s">
        <v>100</v>
      </c>
      <c r="P961" s="2" t="str">
        <f>"2170583268                    "</f>
        <v xml:space="preserve">2170583268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5.63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1</v>
      </c>
      <c r="BJ961" s="2">
        <v>0.2</v>
      </c>
      <c r="BK961" s="2">
        <v>1</v>
      </c>
      <c r="BL961" s="2">
        <v>58.28</v>
      </c>
      <c r="BM961" s="2">
        <v>8.16</v>
      </c>
      <c r="BN961" s="2">
        <v>66.44</v>
      </c>
      <c r="BO961" s="2">
        <v>66.44</v>
      </c>
      <c r="BP961" s="2"/>
      <c r="BQ961" s="2" t="s">
        <v>108</v>
      </c>
      <c r="BR961" s="2" t="s">
        <v>84</v>
      </c>
      <c r="BS961" s="3">
        <v>42961</v>
      </c>
      <c r="BT961" s="4">
        <v>0.59722222222222221</v>
      </c>
      <c r="BU961" s="2" t="s">
        <v>1677</v>
      </c>
      <c r="BV961" s="2" t="s">
        <v>95</v>
      </c>
      <c r="BW961" s="2"/>
      <c r="BX961" s="2"/>
      <c r="BY961" s="2">
        <v>1200</v>
      </c>
      <c r="BZ961" s="2" t="s">
        <v>27</v>
      </c>
      <c r="CA961" s="2" t="s">
        <v>943</v>
      </c>
      <c r="CB961" s="2"/>
      <c r="CC961" s="2" t="s">
        <v>940</v>
      </c>
      <c r="CD961" s="2">
        <v>1028</v>
      </c>
      <c r="CE961" s="2" t="s">
        <v>104</v>
      </c>
      <c r="CF961" s="5">
        <v>42962</v>
      </c>
      <c r="CG961" s="2"/>
      <c r="CH961" s="2"/>
      <c r="CI961" s="2">
        <v>2</v>
      </c>
      <c r="CJ961" s="2">
        <v>2</v>
      </c>
      <c r="CK961" s="2">
        <v>24</v>
      </c>
      <c r="CL961" s="2" t="s">
        <v>86</v>
      </c>
      <c r="CM961" s="2"/>
    </row>
    <row r="962" spans="1:91">
      <c r="A962" s="2" t="s">
        <v>71</v>
      </c>
      <c r="B962" s="2" t="s">
        <v>72</v>
      </c>
      <c r="C962" s="2" t="s">
        <v>73</v>
      </c>
      <c r="D962" s="2"/>
      <c r="E962" s="2" t="str">
        <f>"FES1162568015"</f>
        <v>FES1162568015</v>
      </c>
      <c r="F962" s="3">
        <v>42957</v>
      </c>
      <c r="G962" s="2">
        <v>201802</v>
      </c>
      <c r="H962" s="2" t="s">
        <v>74</v>
      </c>
      <c r="I962" s="2" t="s">
        <v>75</v>
      </c>
      <c r="J962" s="2" t="s">
        <v>76</v>
      </c>
      <c r="K962" s="2" t="s">
        <v>77</v>
      </c>
      <c r="L962" s="2" t="s">
        <v>268</v>
      </c>
      <c r="M962" s="2" t="s">
        <v>269</v>
      </c>
      <c r="N962" s="2" t="s">
        <v>1678</v>
      </c>
      <c r="O962" s="2" t="s">
        <v>100</v>
      </c>
      <c r="P962" s="2" t="str">
        <f>"2170582742                    "</f>
        <v xml:space="preserve">2170582742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4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1</v>
      </c>
      <c r="BJ962" s="2">
        <v>0.2</v>
      </c>
      <c r="BK962" s="2">
        <v>1</v>
      </c>
      <c r="BL962" s="2">
        <v>41.44</v>
      </c>
      <c r="BM962" s="2">
        <v>5.8</v>
      </c>
      <c r="BN962" s="2">
        <v>47.24</v>
      </c>
      <c r="BO962" s="2">
        <v>47.24</v>
      </c>
      <c r="BP962" s="2"/>
      <c r="BQ962" s="2" t="s">
        <v>108</v>
      </c>
      <c r="BR962" s="2" t="s">
        <v>84</v>
      </c>
      <c r="BS962" s="3">
        <v>42958</v>
      </c>
      <c r="BT962" s="4">
        <v>0.53472222222222221</v>
      </c>
      <c r="BU962" s="2" t="s">
        <v>1679</v>
      </c>
      <c r="BV962" s="2" t="s">
        <v>86</v>
      </c>
      <c r="BW962" s="2" t="s">
        <v>110</v>
      </c>
      <c r="BX962" s="2" t="s">
        <v>623</v>
      </c>
      <c r="BY962" s="2">
        <v>1200</v>
      </c>
      <c r="BZ962" s="2" t="s">
        <v>27</v>
      </c>
      <c r="CA962" s="2" t="s">
        <v>1680</v>
      </c>
      <c r="CB962" s="2"/>
      <c r="CC962" s="2" t="s">
        <v>269</v>
      </c>
      <c r="CD962" s="2">
        <v>182</v>
      </c>
      <c r="CE962" s="2" t="s">
        <v>104</v>
      </c>
      <c r="CF962" s="5">
        <v>42961</v>
      </c>
      <c r="CG962" s="2"/>
      <c r="CH962" s="2"/>
      <c r="CI962" s="2">
        <v>1</v>
      </c>
      <c r="CJ962" s="2">
        <v>1</v>
      </c>
      <c r="CK962" s="2">
        <v>21</v>
      </c>
      <c r="CL962" s="2" t="s">
        <v>86</v>
      </c>
      <c r="CM962" s="2"/>
    </row>
    <row r="963" spans="1:91">
      <c r="A963" s="2" t="s">
        <v>71</v>
      </c>
      <c r="B963" s="2" t="s">
        <v>72</v>
      </c>
      <c r="C963" s="2" t="s">
        <v>73</v>
      </c>
      <c r="D963" s="2"/>
      <c r="E963" s="2" t="str">
        <f>"FES1162567990"</f>
        <v>FES1162567990</v>
      </c>
      <c r="F963" s="3">
        <v>42957</v>
      </c>
      <c r="G963" s="2">
        <v>201802</v>
      </c>
      <c r="H963" s="2" t="s">
        <v>74</v>
      </c>
      <c r="I963" s="2" t="s">
        <v>75</v>
      </c>
      <c r="J963" s="2" t="s">
        <v>76</v>
      </c>
      <c r="K963" s="2" t="s">
        <v>77</v>
      </c>
      <c r="L963" s="2" t="s">
        <v>339</v>
      </c>
      <c r="M963" s="2" t="s">
        <v>340</v>
      </c>
      <c r="N963" s="2" t="s">
        <v>341</v>
      </c>
      <c r="O963" s="2" t="s">
        <v>100</v>
      </c>
      <c r="P963" s="2" t="str">
        <f>"2170583485                    "</f>
        <v xml:space="preserve">2170583485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4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1</v>
      </c>
      <c r="BJ963" s="2">
        <v>0.2</v>
      </c>
      <c r="BK963" s="2">
        <v>1</v>
      </c>
      <c r="BL963" s="2">
        <v>41.44</v>
      </c>
      <c r="BM963" s="2">
        <v>5.8</v>
      </c>
      <c r="BN963" s="2">
        <v>47.24</v>
      </c>
      <c r="BO963" s="2">
        <v>47.24</v>
      </c>
      <c r="BP963" s="2"/>
      <c r="BQ963" s="2" t="s">
        <v>108</v>
      </c>
      <c r="BR963" s="2" t="s">
        <v>84</v>
      </c>
      <c r="BS963" s="3">
        <v>42958</v>
      </c>
      <c r="BT963" s="4">
        <v>0.52083333333333337</v>
      </c>
      <c r="BU963" s="2" t="s">
        <v>1681</v>
      </c>
      <c r="BV963" s="2" t="s">
        <v>86</v>
      </c>
      <c r="BW963" s="2"/>
      <c r="BX963" s="2"/>
      <c r="BY963" s="2">
        <v>1200</v>
      </c>
      <c r="BZ963" s="2" t="s">
        <v>27</v>
      </c>
      <c r="CA963" s="2"/>
      <c r="CB963" s="2"/>
      <c r="CC963" s="2" t="s">
        <v>340</v>
      </c>
      <c r="CD963" s="2">
        <v>1949</v>
      </c>
      <c r="CE963" s="2" t="s">
        <v>104</v>
      </c>
      <c r="CF963" s="5">
        <v>42961</v>
      </c>
      <c r="CG963" s="2"/>
      <c r="CH963" s="2"/>
      <c r="CI963" s="2">
        <v>1</v>
      </c>
      <c r="CJ963" s="2">
        <v>1</v>
      </c>
      <c r="CK963" s="2">
        <v>21</v>
      </c>
      <c r="CL963" s="2" t="s">
        <v>86</v>
      </c>
      <c r="CM963" s="2"/>
    </row>
    <row r="964" spans="1:91">
      <c r="A964" s="2" t="s">
        <v>71</v>
      </c>
      <c r="B964" s="2" t="s">
        <v>72</v>
      </c>
      <c r="C964" s="2" t="s">
        <v>73</v>
      </c>
      <c r="D964" s="2"/>
      <c r="E964" s="2" t="str">
        <f>"FES1162567958"</f>
        <v>FES1162567958</v>
      </c>
      <c r="F964" s="3">
        <v>42957</v>
      </c>
      <c r="G964" s="2">
        <v>201802</v>
      </c>
      <c r="H964" s="2" t="s">
        <v>74</v>
      </c>
      <c r="I964" s="2" t="s">
        <v>75</v>
      </c>
      <c r="J964" s="2" t="s">
        <v>76</v>
      </c>
      <c r="K964" s="2" t="s">
        <v>77</v>
      </c>
      <c r="L964" s="2" t="s">
        <v>164</v>
      </c>
      <c r="M964" s="2" t="s">
        <v>165</v>
      </c>
      <c r="N964" s="2" t="s">
        <v>1682</v>
      </c>
      <c r="O964" s="2" t="s">
        <v>100</v>
      </c>
      <c r="P964" s="2" t="str">
        <f>"2170584070                    "</f>
        <v xml:space="preserve">2170584070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4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1</v>
      </c>
      <c r="BJ964" s="2">
        <v>0.2</v>
      </c>
      <c r="BK964" s="2">
        <v>1</v>
      </c>
      <c r="BL964" s="2">
        <v>41.44</v>
      </c>
      <c r="BM964" s="2">
        <v>5.8</v>
      </c>
      <c r="BN964" s="2">
        <v>47.24</v>
      </c>
      <c r="BO964" s="2">
        <v>47.24</v>
      </c>
      <c r="BP964" s="2">
        <v>1</v>
      </c>
      <c r="BQ964" s="2" t="s">
        <v>83</v>
      </c>
      <c r="BR964" s="2" t="s">
        <v>84</v>
      </c>
      <c r="BS964" s="3">
        <v>42958</v>
      </c>
      <c r="BT964" s="4">
        <v>0.45069444444444445</v>
      </c>
      <c r="BU964" s="2" t="s">
        <v>1683</v>
      </c>
      <c r="BV964" s="2" t="s">
        <v>95</v>
      </c>
      <c r="BW964" s="2"/>
      <c r="BX964" s="2"/>
      <c r="BY964" s="2">
        <v>1200</v>
      </c>
      <c r="BZ964" s="2" t="s">
        <v>27</v>
      </c>
      <c r="CA964" s="2" t="s">
        <v>1193</v>
      </c>
      <c r="CB964" s="2"/>
      <c r="CC964" s="2" t="s">
        <v>165</v>
      </c>
      <c r="CD964" s="2">
        <v>6850</v>
      </c>
      <c r="CE964" s="2" t="s">
        <v>104</v>
      </c>
      <c r="CF964" s="5">
        <v>42961</v>
      </c>
      <c r="CG964" s="2"/>
      <c r="CH964" s="2"/>
      <c r="CI964" s="2">
        <v>3</v>
      </c>
      <c r="CJ964" s="2">
        <v>1</v>
      </c>
      <c r="CK964" s="2">
        <v>21</v>
      </c>
      <c r="CL964" s="2" t="s">
        <v>86</v>
      </c>
      <c r="CM964" s="2"/>
    </row>
    <row r="965" spans="1:91">
      <c r="A965" s="2" t="s">
        <v>71</v>
      </c>
      <c r="B965" s="2" t="s">
        <v>72</v>
      </c>
      <c r="C965" s="2" t="s">
        <v>73</v>
      </c>
      <c r="D965" s="2"/>
      <c r="E965" s="2" t="str">
        <f>"FES1162568028"</f>
        <v>FES1162568028</v>
      </c>
      <c r="F965" s="3">
        <v>42957</v>
      </c>
      <c r="G965" s="2">
        <v>201802</v>
      </c>
      <c r="H965" s="2" t="s">
        <v>74</v>
      </c>
      <c r="I965" s="2" t="s">
        <v>75</v>
      </c>
      <c r="J965" s="2" t="s">
        <v>76</v>
      </c>
      <c r="K965" s="2" t="s">
        <v>77</v>
      </c>
      <c r="L965" s="2" t="s">
        <v>924</v>
      </c>
      <c r="M965" s="2" t="s">
        <v>925</v>
      </c>
      <c r="N965" s="2" t="s">
        <v>1684</v>
      </c>
      <c r="O965" s="2" t="s">
        <v>100</v>
      </c>
      <c r="P965" s="2" t="str">
        <f>"2170583192                    "</f>
        <v xml:space="preserve">2170583192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4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1</v>
      </c>
      <c r="BJ965" s="2">
        <v>0.2</v>
      </c>
      <c r="BK965" s="2">
        <v>1</v>
      </c>
      <c r="BL965" s="2">
        <v>41.44</v>
      </c>
      <c r="BM965" s="2">
        <v>5.8</v>
      </c>
      <c r="BN965" s="2">
        <v>47.24</v>
      </c>
      <c r="BO965" s="2">
        <v>47.24</v>
      </c>
      <c r="BP965" s="2">
        <v>1</v>
      </c>
      <c r="BQ965" s="2" t="s">
        <v>83</v>
      </c>
      <c r="BR965" s="2" t="s">
        <v>84</v>
      </c>
      <c r="BS965" s="3">
        <v>42958</v>
      </c>
      <c r="BT965" s="4">
        <v>0.38541666666666669</v>
      </c>
      <c r="BU965" s="2" t="s">
        <v>1685</v>
      </c>
      <c r="BV965" s="2" t="s">
        <v>95</v>
      </c>
      <c r="BW965" s="2"/>
      <c r="BX965" s="2"/>
      <c r="BY965" s="2">
        <v>1200</v>
      </c>
      <c r="BZ965" s="2" t="s">
        <v>27</v>
      </c>
      <c r="CA965" s="2" t="s">
        <v>205</v>
      </c>
      <c r="CB965" s="2"/>
      <c r="CC965" s="2" t="s">
        <v>925</v>
      </c>
      <c r="CD965" s="2">
        <v>7600</v>
      </c>
      <c r="CE965" s="2" t="s">
        <v>104</v>
      </c>
      <c r="CF965" s="5">
        <v>42961</v>
      </c>
      <c r="CG965" s="2"/>
      <c r="CH965" s="2"/>
      <c r="CI965" s="2">
        <v>1</v>
      </c>
      <c r="CJ965" s="2">
        <v>1</v>
      </c>
      <c r="CK965" s="2">
        <v>21</v>
      </c>
      <c r="CL965" s="2" t="s">
        <v>86</v>
      </c>
      <c r="CM965" s="2"/>
    </row>
    <row r="966" spans="1:91">
      <c r="A966" s="2" t="s">
        <v>71</v>
      </c>
      <c r="B966" s="2" t="s">
        <v>72</v>
      </c>
      <c r="C966" s="2" t="s">
        <v>73</v>
      </c>
      <c r="D966" s="2"/>
      <c r="E966" s="2" t="str">
        <f>"FES1162568086"</f>
        <v>FES1162568086</v>
      </c>
      <c r="F966" s="3">
        <v>42957</v>
      </c>
      <c r="G966" s="2">
        <v>201802</v>
      </c>
      <c r="H966" s="2" t="s">
        <v>74</v>
      </c>
      <c r="I966" s="2" t="s">
        <v>75</v>
      </c>
      <c r="J966" s="2" t="s">
        <v>76</v>
      </c>
      <c r="K966" s="2" t="s">
        <v>77</v>
      </c>
      <c r="L966" s="2" t="s">
        <v>105</v>
      </c>
      <c r="M966" s="2" t="s">
        <v>106</v>
      </c>
      <c r="N966" s="2" t="s">
        <v>1686</v>
      </c>
      <c r="O966" s="2" t="s">
        <v>100</v>
      </c>
      <c r="P966" s="2" t="str">
        <f>"2170583718                    "</f>
        <v xml:space="preserve">2170583718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4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1</v>
      </c>
      <c r="BJ966" s="2">
        <v>0.2</v>
      </c>
      <c r="BK966" s="2">
        <v>1</v>
      </c>
      <c r="BL966" s="2">
        <v>41.44</v>
      </c>
      <c r="BM966" s="2">
        <v>5.8</v>
      </c>
      <c r="BN966" s="2">
        <v>47.24</v>
      </c>
      <c r="BO966" s="2">
        <v>47.24</v>
      </c>
      <c r="BP966" s="2">
        <v>1</v>
      </c>
      <c r="BQ966" s="2" t="s">
        <v>1687</v>
      </c>
      <c r="BR966" s="2" t="s">
        <v>84</v>
      </c>
      <c r="BS966" s="3">
        <v>42958</v>
      </c>
      <c r="BT966" s="4">
        <v>0.40763888888888888</v>
      </c>
      <c r="BU966" s="2" t="s">
        <v>1688</v>
      </c>
      <c r="BV966" s="2" t="s">
        <v>95</v>
      </c>
      <c r="BW966" s="2"/>
      <c r="BX966" s="2"/>
      <c r="BY966" s="2">
        <v>1200</v>
      </c>
      <c r="BZ966" s="2" t="s">
        <v>27</v>
      </c>
      <c r="CA966" s="2" t="s">
        <v>869</v>
      </c>
      <c r="CB966" s="2"/>
      <c r="CC966" s="2" t="s">
        <v>106</v>
      </c>
      <c r="CD966" s="2">
        <v>7460</v>
      </c>
      <c r="CE966" s="2" t="s">
        <v>104</v>
      </c>
      <c r="CF966" s="5">
        <v>42961</v>
      </c>
      <c r="CG966" s="2"/>
      <c r="CH966" s="2"/>
      <c r="CI966" s="2">
        <v>1</v>
      </c>
      <c r="CJ966" s="2">
        <v>1</v>
      </c>
      <c r="CK966" s="2">
        <v>21</v>
      </c>
      <c r="CL966" s="2" t="s">
        <v>86</v>
      </c>
      <c r="CM966" s="2"/>
    </row>
    <row r="967" spans="1:91">
      <c r="A967" s="2" t="s">
        <v>71</v>
      </c>
      <c r="B967" s="2" t="s">
        <v>72</v>
      </c>
      <c r="C967" s="2" t="s">
        <v>73</v>
      </c>
      <c r="D967" s="2"/>
      <c r="E967" s="2" t="str">
        <f>"FES1162568050"</f>
        <v>FES1162568050</v>
      </c>
      <c r="F967" s="3">
        <v>42957</v>
      </c>
      <c r="G967" s="2">
        <v>201802</v>
      </c>
      <c r="H967" s="2" t="s">
        <v>74</v>
      </c>
      <c r="I967" s="2" t="s">
        <v>75</v>
      </c>
      <c r="J967" s="2" t="s">
        <v>76</v>
      </c>
      <c r="K967" s="2" t="s">
        <v>77</v>
      </c>
      <c r="L967" s="2" t="s">
        <v>206</v>
      </c>
      <c r="M967" s="2" t="s">
        <v>207</v>
      </c>
      <c r="N967" s="2" t="s">
        <v>208</v>
      </c>
      <c r="O967" s="2" t="s">
        <v>100</v>
      </c>
      <c r="P967" s="2" t="str">
        <f>"2170584160                    "</f>
        <v xml:space="preserve">2170584160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5.63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1</v>
      </c>
      <c r="BJ967" s="2">
        <v>0.2</v>
      </c>
      <c r="BK967" s="2">
        <v>1</v>
      </c>
      <c r="BL967" s="2">
        <v>58.28</v>
      </c>
      <c r="BM967" s="2">
        <v>8.16</v>
      </c>
      <c r="BN967" s="2">
        <v>66.44</v>
      </c>
      <c r="BO967" s="2">
        <v>66.44</v>
      </c>
      <c r="BP967" s="2"/>
      <c r="BQ967" s="2" t="s">
        <v>83</v>
      </c>
      <c r="BR967" s="2" t="s">
        <v>84</v>
      </c>
      <c r="BS967" s="3">
        <v>42958</v>
      </c>
      <c r="BT967" s="4">
        <v>0.54583333333333328</v>
      </c>
      <c r="BU967" s="2" t="s">
        <v>1689</v>
      </c>
      <c r="BV967" s="2" t="s">
        <v>95</v>
      </c>
      <c r="BW967" s="2"/>
      <c r="BX967" s="2"/>
      <c r="BY967" s="2">
        <v>1200</v>
      </c>
      <c r="BZ967" s="2" t="s">
        <v>27</v>
      </c>
      <c r="CA967" s="2" t="s">
        <v>640</v>
      </c>
      <c r="CB967" s="2"/>
      <c r="CC967" s="2" t="s">
        <v>207</v>
      </c>
      <c r="CD967" s="2">
        <v>250</v>
      </c>
      <c r="CE967" s="2" t="s">
        <v>104</v>
      </c>
      <c r="CF967" s="5">
        <v>42962</v>
      </c>
      <c r="CG967" s="2"/>
      <c r="CH967" s="2"/>
      <c r="CI967" s="2">
        <v>1</v>
      </c>
      <c r="CJ967" s="2">
        <v>1</v>
      </c>
      <c r="CK967" s="2">
        <v>24</v>
      </c>
      <c r="CL967" s="2" t="s">
        <v>86</v>
      </c>
      <c r="CM967" s="2"/>
    </row>
    <row r="968" spans="1:91">
      <c r="A968" s="2" t="s">
        <v>71</v>
      </c>
      <c r="B968" s="2" t="s">
        <v>72</v>
      </c>
      <c r="C968" s="2" t="s">
        <v>73</v>
      </c>
      <c r="D968" s="2"/>
      <c r="E968" s="2" t="str">
        <f>"FES1162568035"</f>
        <v>FES1162568035</v>
      </c>
      <c r="F968" s="3">
        <v>42957</v>
      </c>
      <c r="G968" s="2">
        <v>201802</v>
      </c>
      <c r="H968" s="2" t="s">
        <v>74</v>
      </c>
      <c r="I968" s="2" t="s">
        <v>75</v>
      </c>
      <c r="J968" s="2" t="s">
        <v>76</v>
      </c>
      <c r="K968" s="2" t="s">
        <v>77</v>
      </c>
      <c r="L968" s="2" t="s">
        <v>105</v>
      </c>
      <c r="M968" s="2" t="s">
        <v>106</v>
      </c>
      <c r="N968" s="2" t="s">
        <v>705</v>
      </c>
      <c r="O968" s="2" t="s">
        <v>100</v>
      </c>
      <c r="P968" s="2" t="str">
        <f>"2170583684                    "</f>
        <v xml:space="preserve">2170583684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4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</v>
      </c>
      <c r="BI968" s="2">
        <v>1</v>
      </c>
      <c r="BJ968" s="2">
        <v>0.2</v>
      </c>
      <c r="BK968" s="2">
        <v>1</v>
      </c>
      <c r="BL968" s="2">
        <v>41.44</v>
      </c>
      <c r="BM968" s="2">
        <v>5.8</v>
      </c>
      <c r="BN968" s="2">
        <v>47.24</v>
      </c>
      <c r="BO968" s="2">
        <v>47.24</v>
      </c>
      <c r="BP968" s="2">
        <v>1</v>
      </c>
      <c r="BQ968" s="2" t="s">
        <v>108</v>
      </c>
      <c r="BR968" s="2" t="s">
        <v>84</v>
      </c>
      <c r="BS968" s="3">
        <v>42958</v>
      </c>
      <c r="BT968" s="4">
        <v>0.43194444444444446</v>
      </c>
      <c r="BU968" s="2" t="s">
        <v>1690</v>
      </c>
      <c r="BV968" s="2" t="s">
        <v>95</v>
      </c>
      <c r="BW968" s="2"/>
      <c r="BX968" s="2"/>
      <c r="BY968" s="2">
        <v>1200</v>
      </c>
      <c r="BZ968" s="2" t="s">
        <v>27</v>
      </c>
      <c r="CA968" s="2" t="s">
        <v>488</v>
      </c>
      <c r="CB968" s="2"/>
      <c r="CC968" s="2" t="s">
        <v>106</v>
      </c>
      <c r="CD968" s="2">
        <v>7441</v>
      </c>
      <c r="CE968" s="2" t="s">
        <v>104</v>
      </c>
      <c r="CF968" s="5">
        <v>42961</v>
      </c>
      <c r="CG968" s="2"/>
      <c r="CH968" s="2"/>
      <c r="CI968" s="2">
        <v>1</v>
      </c>
      <c r="CJ968" s="2">
        <v>1</v>
      </c>
      <c r="CK968" s="2">
        <v>21</v>
      </c>
      <c r="CL968" s="2" t="s">
        <v>86</v>
      </c>
      <c r="CM968" s="2"/>
    </row>
    <row r="969" spans="1:91">
      <c r="A969" s="2" t="s">
        <v>71</v>
      </c>
      <c r="B969" s="2" t="s">
        <v>72</v>
      </c>
      <c r="C969" s="2" t="s">
        <v>73</v>
      </c>
      <c r="D969" s="2"/>
      <c r="E969" s="2" t="str">
        <f>"FES1162567945"</f>
        <v>FES1162567945</v>
      </c>
      <c r="F969" s="3">
        <v>42957</v>
      </c>
      <c r="G969" s="2">
        <v>201802</v>
      </c>
      <c r="H969" s="2" t="s">
        <v>74</v>
      </c>
      <c r="I969" s="2" t="s">
        <v>75</v>
      </c>
      <c r="J969" s="2" t="s">
        <v>76</v>
      </c>
      <c r="K969" s="2" t="s">
        <v>77</v>
      </c>
      <c r="L969" s="2" t="s">
        <v>105</v>
      </c>
      <c r="M969" s="2" t="s">
        <v>106</v>
      </c>
      <c r="N969" s="2" t="s">
        <v>107</v>
      </c>
      <c r="O969" s="2" t="s">
        <v>100</v>
      </c>
      <c r="P969" s="2" t="str">
        <f>"2170583339                    "</f>
        <v xml:space="preserve">2170583339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4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1</v>
      </c>
      <c r="BJ969" s="2">
        <v>0.2</v>
      </c>
      <c r="BK969" s="2">
        <v>1</v>
      </c>
      <c r="BL969" s="2">
        <v>41.44</v>
      </c>
      <c r="BM969" s="2">
        <v>5.8</v>
      </c>
      <c r="BN969" s="2">
        <v>47.24</v>
      </c>
      <c r="BO969" s="2">
        <v>47.24</v>
      </c>
      <c r="BP969" s="2">
        <v>1</v>
      </c>
      <c r="BQ969" s="2" t="s">
        <v>108</v>
      </c>
      <c r="BR969" s="2" t="s">
        <v>84</v>
      </c>
      <c r="BS969" s="3">
        <v>42958</v>
      </c>
      <c r="BT969" s="4">
        <v>0.42430555555555555</v>
      </c>
      <c r="BU969" s="2" t="s">
        <v>1691</v>
      </c>
      <c r="BV969" s="2" t="s">
        <v>95</v>
      </c>
      <c r="BW969" s="2"/>
      <c r="BX969" s="2"/>
      <c r="BY969" s="2">
        <v>1200</v>
      </c>
      <c r="BZ969" s="2" t="s">
        <v>27</v>
      </c>
      <c r="CA969" s="2" t="s">
        <v>112</v>
      </c>
      <c r="CB969" s="2"/>
      <c r="CC969" s="2" t="s">
        <v>106</v>
      </c>
      <c r="CD969" s="2">
        <v>7405</v>
      </c>
      <c r="CE969" s="2" t="s">
        <v>104</v>
      </c>
      <c r="CF969" s="5">
        <v>42961</v>
      </c>
      <c r="CG969" s="2"/>
      <c r="CH969" s="2"/>
      <c r="CI969" s="2">
        <v>1</v>
      </c>
      <c r="CJ969" s="2">
        <v>1</v>
      </c>
      <c r="CK969" s="2">
        <v>21</v>
      </c>
      <c r="CL969" s="2" t="s">
        <v>86</v>
      </c>
      <c r="CM969" s="2"/>
    </row>
    <row r="970" spans="1:91">
      <c r="A970" s="2" t="s">
        <v>71</v>
      </c>
      <c r="B970" s="2" t="s">
        <v>72</v>
      </c>
      <c r="C970" s="2" t="s">
        <v>73</v>
      </c>
      <c r="D970" s="2"/>
      <c r="E970" s="2" t="str">
        <f>"FES1162568041"</f>
        <v>FES1162568041</v>
      </c>
      <c r="F970" s="3">
        <v>42957</v>
      </c>
      <c r="G970" s="2">
        <v>201802</v>
      </c>
      <c r="H970" s="2" t="s">
        <v>74</v>
      </c>
      <c r="I970" s="2" t="s">
        <v>75</v>
      </c>
      <c r="J970" s="2" t="s">
        <v>76</v>
      </c>
      <c r="K970" s="2" t="s">
        <v>77</v>
      </c>
      <c r="L970" s="2" t="s">
        <v>105</v>
      </c>
      <c r="M970" s="2" t="s">
        <v>106</v>
      </c>
      <c r="N970" s="2" t="s">
        <v>705</v>
      </c>
      <c r="O970" s="2" t="s">
        <v>100</v>
      </c>
      <c r="P970" s="2" t="str">
        <f>"2170584064                    "</f>
        <v xml:space="preserve">2170584064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4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1</v>
      </c>
      <c r="BJ970" s="2">
        <v>0.2</v>
      </c>
      <c r="BK970" s="2">
        <v>1</v>
      </c>
      <c r="BL970" s="2">
        <v>41.44</v>
      </c>
      <c r="BM970" s="2">
        <v>5.8</v>
      </c>
      <c r="BN970" s="2">
        <v>47.24</v>
      </c>
      <c r="BO970" s="2">
        <v>47.24</v>
      </c>
      <c r="BP970" s="2">
        <v>1</v>
      </c>
      <c r="BQ970" s="2" t="s">
        <v>108</v>
      </c>
      <c r="BR970" s="2" t="s">
        <v>84</v>
      </c>
      <c r="BS970" s="3">
        <v>42958</v>
      </c>
      <c r="BT970" s="4">
        <v>0.43124999999999997</v>
      </c>
      <c r="BU970" s="2" t="s">
        <v>1690</v>
      </c>
      <c r="BV970" s="2" t="s">
        <v>95</v>
      </c>
      <c r="BW970" s="2"/>
      <c r="BX970" s="2"/>
      <c r="BY970" s="2">
        <v>1200</v>
      </c>
      <c r="BZ970" s="2" t="s">
        <v>27</v>
      </c>
      <c r="CA970" s="2" t="s">
        <v>488</v>
      </c>
      <c r="CB970" s="2"/>
      <c r="CC970" s="2" t="s">
        <v>106</v>
      </c>
      <c r="CD970" s="2">
        <v>7441</v>
      </c>
      <c r="CE970" s="2" t="s">
        <v>104</v>
      </c>
      <c r="CF970" s="5">
        <v>42961</v>
      </c>
      <c r="CG970" s="2"/>
      <c r="CH970" s="2"/>
      <c r="CI970" s="2">
        <v>1</v>
      </c>
      <c r="CJ970" s="2">
        <v>1</v>
      </c>
      <c r="CK970" s="2">
        <v>21</v>
      </c>
      <c r="CL970" s="2" t="s">
        <v>86</v>
      </c>
      <c r="CM970" s="2"/>
    </row>
    <row r="971" spans="1:91">
      <c r="A971" s="2" t="s">
        <v>71</v>
      </c>
      <c r="B971" s="2" t="s">
        <v>72</v>
      </c>
      <c r="C971" s="2" t="s">
        <v>73</v>
      </c>
      <c r="D971" s="2"/>
      <c r="E971" s="2" t="str">
        <f>"FES1162568047"</f>
        <v>FES1162568047</v>
      </c>
      <c r="F971" s="3">
        <v>42957</v>
      </c>
      <c r="G971" s="2">
        <v>201802</v>
      </c>
      <c r="H971" s="2" t="s">
        <v>74</v>
      </c>
      <c r="I971" s="2" t="s">
        <v>75</v>
      </c>
      <c r="J971" s="2" t="s">
        <v>76</v>
      </c>
      <c r="K971" s="2" t="s">
        <v>77</v>
      </c>
      <c r="L971" s="2" t="s">
        <v>105</v>
      </c>
      <c r="M971" s="2" t="s">
        <v>106</v>
      </c>
      <c r="N971" s="2" t="s">
        <v>655</v>
      </c>
      <c r="O971" s="2" t="s">
        <v>100</v>
      </c>
      <c r="P971" s="2" t="str">
        <f>"2170583941                    "</f>
        <v xml:space="preserve">2170583941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4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1</v>
      </c>
      <c r="BJ971" s="2">
        <v>0.2</v>
      </c>
      <c r="BK971" s="2">
        <v>1</v>
      </c>
      <c r="BL971" s="2">
        <v>41.44</v>
      </c>
      <c r="BM971" s="2">
        <v>5.8</v>
      </c>
      <c r="BN971" s="2">
        <v>47.24</v>
      </c>
      <c r="BO971" s="2">
        <v>47.24</v>
      </c>
      <c r="BP971" s="2">
        <v>1</v>
      </c>
      <c r="BQ971" s="2" t="s">
        <v>209</v>
      </c>
      <c r="BR971" s="2" t="s">
        <v>84</v>
      </c>
      <c r="BS971" s="3">
        <v>42958</v>
      </c>
      <c r="BT971" s="4">
        <v>0.46249999999999997</v>
      </c>
      <c r="BU971" s="2" t="s">
        <v>1692</v>
      </c>
      <c r="BV971" s="2" t="s">
        <v>86</v>
      </c>
      <c r="BW971" s="2" t="s">
        <v>110</v>
      </c>
      <c r="BX971" s="2" t="s">
        <v>111</v>
      </c>
      <c r="BY971" s="2">
        <v>1200</v>
      </c>
      <c r="BZ971" s="2" t="s">
        <v>27</v>
      </c>
      <c r="CA971" s="2" t="s">
        <v>350</v>
      </c>
      <c r="CB971" s="2"/>
      <c r="CC971" s="2" t="s">
        <v>106</v>
      </c>
      <c r="CD971" s="2">
        <v>7945</v>
      </c>
      <c r="CE971" s="2" t="s">
        <v>104</v>
      </c>
      <c r="CF971" s="5">
        <v>42961</v>
      </c>
      <c r="CG971" s="2"/>
      <c r="CH971" s="2"/>
      <c r="CI971" s="2">
        <v>1</v>
      </c>
      <c r="CJ971" s="2">
        <v>1</v>
      </c>
      <c r="CK971" s="2">
        <v>21</v>
      </c>
      <c r="CL971" s="2" t="s">
        <v>86</v>
      </c>
      <c r="CM971" s="2"/>
    </row>
    <row r="972" spans="1:91">
      <c r="A972" s="2" t="s">
        <v>71</v>
      </c>
      <c r="B972" s="2" t="s">
        <v>72</v>
      </c>
      <c r="C972" s="2" t="s">
        <v>73</v>
      </c>
      <c r="D972" s="2"/>
      <c r="E972" s="2" t="str">
        <f>"FES1162568103"</f>
        <v>FES1162568103</v>
      </c>
      <c r="F972" s="3">
        <v>42957</v>
      </c>
      <c r="G972" s="2">
        <v>201802</v>
      </c>
      <c r="H972" s="2" t="s">
        <v>74</v>
      </c>
      <c r="I972" s="2" t="s">
        <v>75</v>
      </c>
      <c r="J972" s="2" t="s">
        <v>76</v>
      </c>
      <c r="K972" s="2" t="s">
        <v>77</v>
      </c>
      <c r="L972" s="2" t="s">
        <v>105</v>
      </c>
      <c r="M972" s="2" t="s">
        <v>106</v>
      </c>
      <c r="N972" s="2" t="s">
        <v>705</v>
      </c>
      <c r="O972" s="2" t="s">
        <v>100</v>
      </c>
      <c r="P972" s="2" t="str">
        <f>"2170584204                    "</f>
        <v xml:space="preserve">2170584204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4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1</v>
      </c>
      <c r="BJ972" s="2">
        <v>0.2</v>
      </c>
      <c r="BK972" s="2">
        <v>1</v>
      </c>
      <c r="BL972" s="2">
        <v>41.44</v>
      </c>
      <c r="BM972" s="2">
        <v>5.8</v>
      </c>
      <c r="BN972" s="2">
        <v>47.24</v>
      </c>
      <c r="BO972" s="2">
        <v>47.24</v>
      </c>
      <c r="BP972" s="2">
        <v>1</v>
      </c>
      <c r="BQ972" s="2" t="s">
        <v>108</v>
      </c>
      <c r="BR972" s="2" t="s">
        <v>84</v>
      </c>
      <c r="BS972" s="3">
        <v>42958</v>
      </c>
      <c r="BT972" s="4">
        <v>0.43124999999999997</v>
      </c>
      <c r="BU972" s="2" t="s">
        <v>1690</v>
      </c>
      <c r="BV972" s="2" t="s">
        <v>95</v>
      </c>
      <c r="BW972" s="2"/>
      <c r="BX972" s="2"/>
      <c r="BY972" s="2">
        <v>1200</v>
      </c>
      <c r="BZ972" s="2" t="s">
        <v>27</v>
      </c>
      <c r="CA972" s="2" t="s">
        <v>488</v>
      </c>
      <c r="CB972" s="2"/>
      <c r="CC972" s="2" t="s">
        <v>106</v>
      </c>
      <c r="CD972" s="2">
        <v>7441</v>
      </c>
      <c r="CE972" s="2" t="s">
        <v>104</v>
      </c>
      <c r="CF972" s="5">
        <v>42961</v>
      </c>
      <c r="CG972" s="2"/>
      <c r="CH972" s="2"/>
      <c r="CI972" s="2">
        <v>1</v>
      </c>
      <c r="CJ972" s="2">
        <v>1</v>
      </c>
      <c r="CK972" s="2">
        <v>21</v>
      </c>
      <c r="CL972" s="2" t="s">
        <v>86</v>
      </c>
      <c r="CM972" s="2"/>
    </row>
    <row r="973" spans="1:91">
      <c r="A973" s="2" t="s">
        <v>71</v>
      </c>
      <c r="B973" s="2" t="s">
        <v>72</v>
      </c>
      <c r="C973" s="2" t="s">
        <v>73</v>
      </c>
      <c r="D973" s="2"/>
      <c r="E973" s="2" t="str">
        <f>"FES1162567975"</f>
        <v>FES1162567975</v>
      </c>
      <c r="F973" s="3">
        <v>42957</v>
      </c>
      <c r="G973" s="2">
        <v>201802</v>
      </c>
      <c r="H973" s="2" t="s">
        <v>74</v>
      </c>
      <c r="I973" s="2" t="s">
        <v>75</v>
      </c>
      <c r="J973" s="2" t="s">
        <v>76</v>
      </c>
      <c r="K973" s="2" t="s">
        <v>77</v>
      </c>
      <c r="L973" s="2" t="s">
        <v>105</v>
      </c>
      <c r="M973" s="2" t="s">
        <v>106</v>
      </c>
      <c r="N973" s="2" t="s">
        <v>1491</v>
      </c>
      <c r="O973" s="2" t="s">
        <v>100</v>
      </c>
      <c r="P973" s="2" t="str">
        <f>"2170580201                    "</f>
        <v xml:space="preserve">2170580201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4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1</v>
      </c>
      <c r="BJ973" s="2">
        <v>0.2</v>
      </c>
      <c r="BK973" s="2">
        <v>1</v>
      </c>
      <c r="BL973" s="2">
        <v>41.44</v>
      </c>
      <c r="BM973" s="2">
        <v>5.8</v>
      </c>
      <c r="BN973" s="2">
        <v>47.24</v>
      </c>
      <c r="BO973" s="2">
        <v>47.24</v>
      </c>
      <c r="BP973" s="2">
        <v>1</v>
      </c>
      <c r="BQ973" s="2" t="s">
        <v>1492</v>
      </c>
      <c r="BR973" s="2" t="s">
        <v>84</v>
      </c>
      <c r="BS973" s="3">
        <v>42958</v>
      </c>
      <c r="BT973" s="4">
        <v>0.43194444444444446</v>
      </c>
      <c r="BU973" s="2" t="s">
        <v>1074</v>
      </c>
      <c r="BV973" s="2" t="s">
        <v>95</v>
      </c>
      <c r="BW973" s="2"/>
      <c r="BX973" s="2"/>
      <c r="BY973" s="2">
        <v>1200</v>
      </c>
      <c r="BZ973" s="2" t="s">
        <v>27</v>
      </c>
      <c r="CA973" s="2" t="s">
        <v>654</v>
      </c>
      <c r="CB973" s="2"/>
      <c r="CC973" s="2" t="s">
        <v>106</v>
      </c>
      <c r="CD973" s="2">
        <v>7490</v>
      </c>
      <c r="CE973" s="2" t="s">
        <v>104</v>
      </c>
      <c r="CF973" s="5">
        <v>42961</v>
      </c>
      <c r="CG973" s="2"/>
      <c r="CH973" s="2"/>
      <c r="CI973" s="2">
        <v>1</v>
      </c>
      <c r="CJ973" s="2">
        <v>1</v>
      </c>
      <c r="CK973" s="2">
        <v>21</v>
      </c>
      <c r="CL973" s="2" t="s">
        <v>86</v>
      </c>
      <c r="CM973" s="2"/>
    </row>
    <row r="974" spans="1:91">
      <c r="A974" s="2" t="s">
        <v>71</v>
      </c>
      <c r="B974" s="2" t="s">
        <v>72</v>
      </c>
      <c r="C974" s="2" t="s">
        <v>73</v>
      </c>
      <c r="D974" s="2"/>
      <c r="E974" s="2" t="str">
        <f>"FES1162568022"</f>
        <v>FES1162568022</v>
      </c>
      <c r="F974" s="3">
        <v>42957</v>
      </c>
      <c r="G974" s="2">
        <v>201802</v>
      </c>
      <c r="H974" s="2" t="s">
        <v>74</v>
      </c>
      <c r="I974" s="2" t="s">
        <v>75</v>
      </c>
      <c r="J974" s="2" t="s">
        <v>76</v>
      </c>
      <c r="K974" s="2" t="s">
        <v>77</v>
      </c>
      <c r="L974" s="2" t="s">
        <v>105</v>
      </c>
      <c r="M974" s="2" t="s">
        <v>106</v>
      </c>
      <c r="N974" s="2" t="s">
        <v>657</v>
      </c>
      <c r="O974" s="2" t="s">
        <v>100</v>
      </c>
      <c r="P974" s="2" t="str">
        <f>"2170583018                    "</f>
        <v xml:space="preserve">2170583018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4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1</v>
      </c>
      <c r="BJ974" s="2">
        <v>0.2</v>
      </c>
      <c r="BK974" s="2">
        <v>1</v>
      </c>
      <c r="BL974" s="2">
        <v>41.44</v>
      </c>
      <c r="BM974" s="2">
        <v>5.8</v>
      </c>
      <c r="BN974" s="2">
        <v>47.24</v>
      </c>
      <c r="BO974" s="2">
        <v>47.24</v>
      </c>
      <c r="BP974" s="2">
        <v>1</v>
      </c>
      <c r="BQ974" s="2" t="s">
        <v>658</v>
      </c>
      <c r="BR974" s="2" t="s">
        <v>84</v>
      </c>
      <c r="BS974" s="3">
        <v>42958</v>
      </c>
      <c r="BT974" s="4">
        <v>0.53263888888888888</v>
      </c>
      <c r="BU974" s="2" t="s">
        <v>826</v>
      </c>
      <c r="BV974" s="2" t="s">
        <v>86</v>
      </c>
      <c r="BW974" s="2" t="s">
        <v>110</v>
      </c>
      <c r="BX974" s="2" t="s">
        <v>111</v>
      </c>
      <c r="BY974" s="2">
        <v>1200</v>
      </c>
      <c r="BZ974" s="2" t="s">
        <v>27</v>
      </c>
      <c r="CA974" s="2" t="s">
        <v>350</v>
      </c>
      <c r="CB974" s="2"/>
      <c r="CC974" s="2" t="s">
        <v>106</v>
      </c>
      <c r="CD974" s="2">
        <v>7945</v>
      </c>
      <c r="CE974" s="2" t="s">
        <v>104</v>
      </c>
      <c r="CF974" s="5">
        <v>42961</v>
      </c>
      <c r="CG974" s="2"/>
      <c r="CH974" s="2"/>
      <c r="CI974" s="2">
        <v>1</v>
      </c>
      <c r="CJ974" s="2">
        <v>1</v>
      </c>
      <c r="CK974" s="2">
        <v>21</v>
      </c>
      <c r="CL974" s="2" t="s">
        <v>86</v>
      </c>
      <c r="CM974" s="2"/>
    </row>
    <row r="975" spans="1:91">
      <c r="A975" s="2" t="s">
        <v>71</v>
      </c>
      <c r="B975" s="2" t="s">
        <v>72</v>
      </c>
      <c r="C975" s="2" t="s">
        <v>73</v>
      </c>
      <c r="D975" s="2"/>
      <c r="E975" s="2" t="str">
        <f>"FES1162567938"</f>
        <v>FES1162567938</v>
      </c>
      <c r="F975" s="3">
        <v>42957</v>
      </c>
      <c r="G975" s="2">
        <v>201802</v>
      </c>
      <c r="H975" s="2" t="s">
        <v>74</v>
      </c>
      <c r="I975" s="2" t="s">
        <v>75</v>
      </c>
      <c r="J975" s="2" t="s">
        <v>76</v>
      </c>
      <c r="K975" s="2" t="s">
        <v>77</v>
      </c>
      <c r="L975" s="2" t="s">
        <v>105</v>
      </c>
      <c r="M975" s="2" t="s">
        <v>106</v>
      </c>
      <c r="N975" s="2" t="s">
        <v>299</v>
      </c>
      <c r="O975" s="2" t="s">
        <v>100</v>
      </c>
      <c r="P975" s="2" t="str">
        <f>"2170581958                    "</f>
        <v xml:space="preserve">2170581958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4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1</v>
      </c>
      <c r="BJ975" s="2">
        <v>0.2</v>
      </c>
      <c r="BK975" s="2">
        <v>1</v>
      </c>
      <c r="BL975" s="2">
        <v>41.44</v>
      </c>
      <c r="BM975" s="2">
        <v>5.8</v>
      </c>
      <c r="BN975" s="2">
        <v>47.24</v>
      </c>
      <c r="BO975" s="2">
        <v>47.24</v>
      </c>
      <c r="BP975" s="2">
        <v>1</v>
      </c>
      <c r="BQ975" s="2" t="s">
        <v>300</v>
      </c>
      <c r="BR975" s="2" t="s">
        <v>84</v>
      </c>
      <c r="BS975" s="3">
        <v>42958</v>
      </c>
      <c r="BT975" s="4">
        <v>0.37847222222222227</v>
      </c>
      <c r="BU975" s="2" t="s">
        <v>301</v>
      </c>
      <c r="BV975" s="2" t="s">
        <v>95</v>
      </c>
      <c r="BW975" s="2"/>
      <c r="BX975" s="2"/>
      <c r="BY975" s="2">
        <v>1200</v>
      </c>
      <c r="BZ975" s="2" t="s">
        <v>27</v>
      </c>
      <c r="CA975" s="2" t="s">
        <v>302</v>
      </c>
      <c r="CB975" s="2"/>
      <c r="CC975" s="2" t="s">
        <v>106</v>
      </c>
      <c r="CD975" s="2">
        <v>7500</v>
      </c>
      <c r="CE975" s="2" t="s">
        <v>104</v>
      </c>
      <c r="CF975" s="5">
        <v>42961</v>
      </c>
      <c r="CG975" s="2"/>
      <c r="CH975" s="2"/>
      <c r="CI975" s="2">
        <v>1</v>
      </c>
      <c r="CJ975" s="2">
        <v>1</v>
      </c>
      <c r="CK975" s="2">
        <v>21</v>
      </c>
      <c r="CL975" s="2" t="s">
        <v>86</v>
      </c>
      <c r="CM975" s="2"/>
    </row>
    <row r="976" spans="1:91">
      <c r="A976" s="2" t="s">
        <v>71</v>
      </c>
      <c r="B976" s="2" t="s">
        <v>72</v>
      </c>
      <c r="C976" s="2" t="s">
        <v>73</v>
      </c>
      <c r="D976" s="2"/>
      <c r="E976" s="2" t="str">
        <f>"FES1162567921"</f>
        <v>FES1162567921</v>
      </c>
      <c r="F976" s="3">
        <v>42957</v>
      </c>
      <c r="G976" s="2">
        <v>201802</v>
      </c>
      <c r="H976" s="2" t="s">
        <v>74</v>
      </c>
      <c r="I976" s="2" t="s">
        <v>75</v>
      </c>
      <c r="J976" s="2" t="s">
        <v>76</v>
      </c>
      <c r="K976" s="2" t="s">
        <v>77</v>
      </c>
      <c r="L976" s="2" t="s">
        <v>105</v>
      </c>
      <c r="M976" s="2" t="s">
        <v>106</v>
      </c>
      <c r="N976" s="2" t="s">
        <v>1093</v>
      </c>
      <c r="O976" s="2" t="s">
        <v>100</v>
      </c>
      <c r="P976" s="2" t="str">
        <f>"2170584097                    "</f>
        <v xml:space="preserve">2170584097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4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1</v>
      </c>
      <c r="BI976" s="2">
        <v>1</v>
      </c>
      <c r="BJ976" s="2">
        <v>0.2</v>
      </c>
      <c r="BK976" s="2">
        <v>1</v>
      </c>
      <c r="BL976" s="2">
        <v>41.44</v>
      </c>
      <c r="BM976" s="2">
        <v>5.8</v>
      </c>
      <c r="BN976" s="2">
        <v>47.24</v>
      </c>
      <c r="BO976" s="2">
        <v>47.24</v>
      </c>
      <c r="BP976" s="2">
        <v>1</v>
      </c>
      <c r="BQ976" s="2" t="s">
        <v>83</v>
      </c>
      <c r="BR976" s="2" t="s">
        <v>84</v>
      </c>
      <c r="BS976" s="3">
        <v>42958</v>
      </c>
      <c r="BT976" s="4">
        <v>0.42430555555555555</v>
      </c>
      <c r="BU976" s="2" t="s">
        <v>1693</v>
      </c>
      <c r="BV976" s="2" t="s">
        <v>95</v>
      </c>
      <c r="BW976" s="2"/>
      <c r="BX976" s="2"/>
      <c r="BY976" s="2">
        <v>1200</v>
      </c>
      <c r="BZ976" s="2" t="s">
        <v>27</v>
      </c>
      <c r="CA976" s="2" t="s">
        <v>1694</v>
      </c>
      <c r="CB976" s="2"/>
      <c r="CC976" s="2" t="s">
        <v>106</v>
      </c>
      <c r="CD976" s="2">
        <v>7975</v>
      </c>
      <c r="CE976" s="2" t="s">
        <v>104</v>
      </c>
      <c r="CF976" s="5">
        <v>42961</v>
      </c>
      <c r="CG976" s="2"/>
      <c r="CH976" s="2"/>
      <c r="CI976" s="2">
        <v>1</v>
      </c>
      <c r="CJ976" s="2">
        <v>1</v>
      </c>
      <c r="CK976" s="2">
        <v>21</v>
      </c>
      <c r="CL976" s="2" t="s">
        <v>86</v>
      </c>
      <c r="CM976" s="2"/>
    </row>
    <row r="977" spans="1:91">
      <c r="A977" s="2" t="s">
        <v>71</v>
      </c>
      <c r="B977" s="2" t="s">
        <v>72</v>
      </c>
      <c r="C977" s="2" t="s">
        <v>73</v>
      </c>
      <c r="D977" s="2"/>
      <c r="E977" s="2" t="str">
        <f>"FES1162568026"</f>
        <v>FES1162568026</v>
      </c>
      <c r="F977" s="3">
        <v>42957</v>
      </c>
      <c r="G977" s="2">
        <v>201802</v>
      </c>
      <c r="H977" s="2" t="s">
        <v>74</v>
      </c>
      <c r="I977" s="2" t="s">
        <v>75</v>
      </c>
      <c r="J977" s="2" t="s">
        <v>76</v>
      </c>
      <c r="K977" s="2" t="s">
        <v>77</v>
      </c>
      <c r="L977" s="2" t="s">
        <v>268</v>
      </c>
      <c r="M977" s="2" t="s">
        <v>269</v>
      </c>
      <c r="N977" s="2" t="s">
        <v>1003</v>
      </c>
      <c r="O977" s="2" t="s">
        <v>100</v>
      </c>
      <c r="P977" s="2" t="str">
        <f>"2170583137                    "</f>
        <v xml:space="preserve">2170583137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4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1</v>
      </c>
      <c r="BJ977" s="2">
        <v>0.2</v>
      </c>
      <c r="BK977" s="2">
        <v>1</v>
      </c>
      <c r="BL977" s="2">
        <v>41.44</v>
      </c>
      <c r="BM977" s="2">
        <v>5.8</v>
      </c>
      <c r="BN977" s="2">
        <v>47.24</v>
      </c>
      <c r="BO977" s="2">
        <v>47.24</v>
      </c>
      <c r="BP977" s="2"/>
      <c r="BQ977" s="2" t="s">
        <v>83</v>
      </c>
      <c r="BR977" s="2" t="s">
        <v>84</v>
      </c>
      <c r="BS977" s="3">
        <v>42958</v>
      </c>
      <c r="BT977" s="4">
        <v>0.41666666666666669</v>
      </c>
      <c r="BU977" s="2" t="s">
        <v>1695</v>
      </c>
      <c r="BV977" s="2" t="s">
        <v>95</v>
      </c>
      <c r="BW977" s="2"/>
      <c r="BX977" s="2"/>
      <c r="BY977" s="2">
        <v>1200</v>
      </c>
      <c r="BZ977" s="2" t="s">
        <v>27</v>
      </c>
      <c r="CA977" s="2"/>
      <c r="CB977" s="2"/>
      <c r="CC977" s="2" t="s">
        <v>269</v>
      </c>
      <c r="CD977" s="2">
        <v>117</v>
      </c>
      <c r="CE977" s="2" t="s">
        <v>104</v>
      </c>
      <c r="CF977" s="5">
        <v>42961</v>
      </c>
      <c r="CG977" s="2"/>
      <c r="CH977" s="2"/>
      <c r="CI977" s="2">
        <v>1</v>
      </c>
      <c r="CJ977" s="2">
        <v>1</v>
      </c>
      <c r="CK977" s="2">
        <v>21</v>
      </c>
      <c r="CL977" s="2" t="s">
        <v>86</v>
      </c>
      <c r="CM977" s="2"/>
    </row>
    <row r="978" spans="1:91">
      <c r="A978" s="2" t="s">
        <v>71</v>
      </c>
      <c r="B978" s="2" t="s">
        <v>72</v>
      </c>
      <c r="C978" s="2" t="s">
        <v>73</v>
      </c>
      <c r="D978" s="2"/>
      <c r="E978" s="2" t="str">
        <f>"FES1162568083"</f>
        <v>FES1162568083</v>
      </c>
      <c r="F978" s="3">
        <v>42957</v>
      </c>
      <c r="G978" s="2">
        <v>201802</v>
      </c>
      <c r="H978" s="2" t="s">
        <v>74</v>
      </c>
      <c r="I978" s="2" t="s">
        <v>75</v>
      </c>
      <c r="J978" s="2" t="s">
        <v>76</v>
      </c>
      <c r="K978" s="2" t="s">
        <v>77</v>
      </c>
      <c r="L978" s="2" t="s">
        <v>174</v>
      </c>
      <c r="M978" s="2" t="s">
        <v>175</v>
      </c>
      <c r="N978" s="2" t="s">
        <v>1696</v>
      </c>
      <c r="O978" s="2" t="s">
        <v>100</v>
      </c>
      <c r="P978" s="2" t="str">
        <f>"2170584182                    "</f>
        <v xml:space="preserve">2170584182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20.010000000000002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7.1</v>
      </c>
      <c r="BJ978" s="2">
        <v>10</v>
      </c>
      <c r="BK978" s="2">
        <v>10</v>
      </c>
      <c r="BL978" s="2">
        <v>207.21</v>
      </c>
      <c r="BM978" s="2">
        <v>29.01</v>
      </c>
      <c r="BN978" s="2">
        <v>236.22</v>
      </c>
      <c r="BO978" s="2">
        <v>236.22</v>
      </c>
      <c r="BP978" s="2"/>
      <c r="BQ978" s="2" t="s">
        <v>83</v>
      </c>
      <c r="BR978" s="2" t="s">
        <v>84</v>
      </c>
      <c r="BS978" s="3">
        <v>42958</v>
      </c>
      <c r="BT978" s="4">
        <v>0.39097222222222222</v>
      </c>
      <c r="BU978" s="2" t="s">
        <v>1697</v>
      </c>
      <c r="BV978" s="2" t="s">
        <v>95</v>
      </c>
      <c r="BW978" s="2"/>
      <c r="BX978" s="2"/>
      <c r="BY978" s="2">
        <v>50115.3</v>
      </c>
      <c r="BZ978" s="2" t="s">
        <v>27</v>
      </c>
      <c r="CA978" s="2" t="s">
        <v>1698</v>
      </c>
      <c r="CB978" s="2"/>
      <c r="CC978" s="2" t="s">
        <v>175</v>
      </c>
      <c r="CD978" s="2">
        <v>5201</v>
      </c>
      <c r="CE978" s="2" t="s">
        <v>89</v>
      </c>
      <c r="CF978" s="5">
        <v>42961</v>
      </c>
      <c r="CG978" s="2"/>
      <c r="CH978" s="2"/>
      <c r="CI978" s="2">
        <v>1</v>
      </c>
      <c r="CJ978" s="2">
        <v>1</v>
      </c>
      <c r="CK978" s="2">
        <v>21</v>
      </c>
      <c r="CL978" s="2" t="s">
        <v>86</v>
      </c>
      <c r="CM978" s="2"/>
    </row>
    <row r="979" spans="1:91">
      <c r="A979" s="2" t="s">
        <v>71</v>
      </c>
      <c r="B979" s="2" t="s">
        <v>72</v>
      </c>
      <c r="C979" s="2" t="s">
        <v>73</v>
      </c>
      <c r="D979" s="2"/>
      <c r="E979" s="2" t="str">
        <f>"FES1162568113"</f>
        <v>FES1162568113</v>
      </c>
      <c r="F979" s="3">
        <v>42957</v>
      </c>
      <c r="G979" s="2">
        <v>201802</v>
      </c>
      <c r="H979" s="2" t="s">
        <v>74</v>
      </c>
      <c r="I979" s="2" t="s">
        <v>75</v>
      </c>
      <c r="J979" s="2" t="s">
        <v>76</v>
      </c>
      <c r="K979" s="2" t="s">
        <v>77</v>
      </c>
      <c r="L979" s="2" t="s">
        <v>1699</v>
      </c>
      <c r="M979" s="2" t="s">
        <v>1700</v>
      </c>
      <c r="N979" s="2" t="s">
        <v>1701</v>
      </c>
      <c r="O979" s="2" t="s">
        <v>100</v>
      </c>
      <c r="P979" s="2" t="str">
        <f>"2170584215                    "</f>
        <v xml:space="preserve">2170584215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7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2.2999999999999998</v>
      </c>
      <c r="BJ979" s="2">
        <v>3.4</v>
      </c>
      <c r="BK979" s="2">
        <v>3.5</v>
      </c>
      <c r="BL979" s="2">
        <v>72.52</v>
      </c>
      <c r="BM979" s="2">
        <v>10.15</v>
      </c>
      <c r="BN979" s="2">
        <v>82.67</v>
      </c>
      <c r="BO979" s="2">
        <v>82.67</v>
      </c>
      <c r="BP979" s="2"/>
      <c r="BQ979" s="2" t="s">
        <v>83</v>
      </c>
      <c r="BR979" s="2" t="s">
        <v>84</v>
      </c>
      <c r="BS979" s="3">
        <v>42961</v>
      </c>
      <c r="BT979" s="4">
        <v>0.41666666666666669</v>
      </c>
      <c r="BU979" s="2" t="s">
        <v>1702</v>
      </c>
      <c r="BV979" s="2" t="s">
        <v>95</v>
      </c>
      <c r="BW979" s="2"/>
      <c r="BX979" s="2"/>
      <c r="BY979" s="2">
        <v>16838.36</v>
      </c>
      <c r="BZ979" s="2" t="s">
        <v>27</v>
      </c>
      <c r="CA979" s="2" t="s">
        <v>1703</v>
      </c>
      <c r="CB979" s="2"/>
      <c r="CC979" s="2" t="s">
        <v>1700</v>
      </c>
      <c r="CD979" s="2">
        <v>8405</v>
      </c>
      <c r="CE979" s="2" t="s">
        <v>89</v>
      </c>
      <c r="CF979" s="5">
        <v>42964</v>
      </c>
      <c r="CG979" s="2"/>
      <c r="CH979" s="2"/>
      <c r="CI979" s="2">
        <v>3</v>
      </c>
      <c r="CJ979" s="2">
        <v>2</v>
      </c>
      <c r="CK979" s="2">
        <v>21</v>
      </c>
      <c r="CL979" s="2" t="s">
        <v>86</v>
      </c>
      <c r="CM979" s="2"/>
    </row>
    <row r="980" spans="1:91">
      <c r="A980" s="2" t="s">
        <v>71</v>
      </c>
      <c r="B980" s="2" t="s">
        <v>72</v>
      </c>
      <c r="C980" s="2" t="s">
        <v>73</v>
      </c>
      <c r="D980" s="2"/>
      <c r="E980" s="2" t="str">
        <f>"FES1162568115"</f>
        <v>FES1162568115</v>
      </c>
      <c r="F980" s="3">
        <v>42957</v>
      </c>
      <c r="G980" s="2">
        <v>201802</v>
      </c>
      <c r="H980" s="2" t="s">
        <v>74</v>
      </c>
      <c r="I980" s="2" t="s">
        <v>75</v>
      </c>
      <c r="J980" s="2" t="s">
        <v>76</v>
      </c>
      <c r="K980" s="2" t="s">
        <v>77</v>
      </c>
      <c r="L980" s="2" t="s">
        <v>321</v>
      </c>
      <c r="M980" s="2" t="s">
        <v>322</v>
      </c>
      <c r="N980" s="2" t="s">
        <v>1362</v>
      </c>
      <c r="O980" s="2" t="s">
        <v>100</v>
      </c>
      <c r="P980" s="2" t="str">
        <f>"2170584217                    "</f>
        <v xml:space="preserve">2170584217 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5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0.8</v>
      </c>
      <c r="BJ980" s="2">
        <v>2.4</v>
      </c>
      <c r="BK980" s="2">
        <v>2.5</v>
      </c>
      <c r="BL980" s="2">
        <v>51.8</v>
      </c>
      <c r="BM980" s="2">
        <v>7.25</v>
      </c>
      <c r="BN980" s="2">
        <v>59.05</v>
      </c>
      <c r="BO980" s="2">
        <v>59.05</v>
      </c>
      <c r="BP980" s="2">
        <v>1</v>
      </c>
      <c r="BQ980" s="2" t="s">
        <v>1550</v>
      </c>
      <c r="BR980" s="2" t="s">
        <v>84</v>
      </c>
      <c r="BS980" s="3">
        <v>42958</v>
      </c>
      <c r="BT980" s="4">
        <v>0.38263888888888892</v>
      </c>
      <c r="BU980" s="2" t="s">
        <v>1551</v>
      </c>
      <c r="BV980" s="2" t="s">
        <v>95</v>
      </c>
      <c r="BW980" s="2"/>
      <c r="BX980" s="2"/>
      <c r="BY980" s="2">
        <v>12219.09</v>
      </c>
      <c r="BZ980" s="2" t="s">
        <v>27</v>
      </c>
      <c r="CA980" s="2" t="s">
        <v>103</v>
      </c>
      <c r="CB980" s="2"/>
      <c r="CC980" s="2" t="s">
        <v>322</v>
      </c>
      <c r="CD980" s="2">
        <v>6220</v>
      </c>
      <c r="CE980" s="2" t="s">
        <v>104</v>
      </c>
      <c r="CF980" s="5">
        <v>42961</v>
      </c>
      <c r="CG980" s="2"/>
      <c r="CH980" s="2"/>
      <c r="CI980" s="2">
        <v>1</v>
      </c>
      <c r="CJ980" s="2">
        <v>1</v>
      </c>
      <c r="CK980" s="2">
        <v>21</v>
      </c>
      <c r="CL980" s="2" t="s">
        <v>86</v>
      </c>
      <c r="CM980" s="2"/>
    </row>
    <row r="981" spans="1:91">
      <c r="A981" s="2" t="s">
        <v>71</v>
      </c>
      <c r="B981" s="2" t="s">
        <v>72</v>
      </c>
      <c r="C981" s="2" t="s">
        <v>73</v>
      </c>
      <c r="D981" s="2"/>
      <c r="E981" s="2" t="str">
        <f>"FES1162567979"</f>
        <v>FES1162567979</v>
      </c>
      <c r="F981" s="3">
        <v>42957</v>
      </c>
      <c r="G981" s="2">
        <v>201802</v>
      </c>
      <c r="H981" s="2" t="s">
        <v>74</v>
      </c>
      <c r="I981" s="2" t="s">
        <v>75</v>
      </c>
      <c r="J981" s="2" t="s">
        <v>76</v>
      </c>
      <c r="K981" s="2" t="s">
        <v>77</v>
      </c>
      <c r="L981" s="2" t="s">
        <v>97</v>
      </c>
      <c r="M981" s="2" t="s">
        <v>98</v>
      </c>
      <c r="N981" s="2" t="s">
        <v>292</v>
      </c>
      <c r="O981" s="2" t="s">
        <v>100</v>
      </c>
      <c r="P981" s="2" t="str">
        <f>"2170582054                    "</f>
        <v xml:space="preserve">2170582054 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14.01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6.7</v>
      </c>
      <c r="BJ981" s="2">
        <v>3.3</v>
      </c>
      <c r="BK981" s="2">
        <v>7</v>
      </c>
      <c r="BL981" s="2">
        <v>145.05000000000001</v>
      </c>
      <c r="BM981" s="2">
        <v>20.309999999999999</v>
      </c>
      <c r="BN981" s="2">
        <v>165.36</v>
      </c>
      <c r="BO981" s="2">
        <v>165.36</v>
      </c>
      <c r="BP981" s="2"/>
      <c r="BQ981" s="2" t="s">
        <v>83</v>
      </c>
      <c r="BR981" s="2" t="s">
        <v>84</v>
      </c>
      <c r="BS981" s="3">
        <v>42958</v>
      </c>
      <c r="BT981" s="4">
        <v>0.32777777777777778</v>
      </c>
      <c r="BU981" s="2" t="s">
        <v>293</v>
      </c>
      <c r="BV981" s="2" t="s">
        <v>95</v>
      </c>
      <c r="BW981" s="2"/>
      <c r="BX981" s="2"/>
      <c r="BY981" s="2">
        <v>16436.650000000001</v>
      </c>
      <c r="BZ981" s="2" t="s">
        <v>27</v>
      </c>
      <c r="CA981" s="2" t="s">
        <v>294</v>
      </c>
      <c r="CB981" s="2"/>
      <c r="CC981" s="2" t="s">
        <v>98</v>
      </c>
      <c r="CD981" s="2">
        <v>6001</v>
      </c>
      <c r="CE981" s="2" t="s">
        <v>89</v>
      </c>
      <c r="CF981" s="5">
        <v>42961</v>
      </c>
      <c r="CG981" s="2"/>
      <c r="CH981" s="2"/>
      <c r="CI981" s="2">
        <v>1</v>
      </c>
      <c r="CJ981" s="2">
        <v>1</v>
      </c>
      <c r="CK981" s="2">
        <v>21</v>
      </c>
      <c r="CL981" s="2" t="s">
        <v>86</v>
      </c>
      <c r="CM981" s="2"/>
    </row>
    <row r="982" spans="1:91">
      <c r="A982" s="2" t="s">
        <v>71</v>
      </c>
      <c r="B982" s="2" t="s">
        <v>72</v>
      </c>
      <c r="C982" s="2" t="s">
        <v>73</v>
      </c>
      <c r="D982" s="2"/>
      <c r="E982" s="2" t="str">
        <f>"FES1162567987"</f>
        <v>FES1162567987</v>
      </c>
      <c r="F982" s="3">
        <v>42957</v>
      </c>
      <c r="G982" s="2">
        <v>201802</v>
      </c>
      <c r="H982" s="2" t="s">
        <v>74</v>
      </c>
      <c r="I982" s="2" t="s">
        <v>75</v>
      </c>
      <c r="J982" s="2" t="s">
        <v>76</v>
      </c>
      <c r="K982" s="2" t="s">
        <v>77</v>
      </c>
      <c r="L982" s="2" t="s">
        <v>97</v>
      </c>
      <c r="M982" s="2" t="s">
        <v>98</v>
      </c>
      <c r="N982" s="2" t="s">
        <v>1704</v>
      </c>
      <c r="O982" s="2" t="s">
        <v>100</v>
      </c>
      <c r="P982" s="2" t="str">
        <f>"2170583049                    "</f>
        <v xml:space="preserve">2170583049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4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1</v>
      </c>
      <c r="BJ982" s="2">
        <v>0.2</v>
      </c>
      <c r="BK982" s="2">
        <v>1</v>
      </c>
      <c r="BL982" s="2">
        <v>41.44</v>
      </c>
      <c r="BM982" s="2">
        <v>5.8</v>
      </c>
      <c r="BN982" s="2">
        <v>47.24</v>
      </c>
      <c r="BO982" s="2">
        <v>47.24</v>
      </c>
      <c r="BP982" s="2">
        <v>1</v>
      </c>
      <c r="BQ982" s="2" t="s">
        <v>108</v>
      </c>
      <c r="BR982" s="2" t="s">
        <v>84</v>
      </c>
      <c r="BS982" s="3">
        <v>42958</v>
      </c>
      <c r="BT982" s="4">
        <v>0.34513888888888888</v>
      </c>
      <c r="BU982" s="2" t="s">
        <v>1705</v>
      </c>
      <c r="BV982" s="2" t="s">
        <v>95</v>
      </c>
      <c r="BW982" s="2"/>
      <c r="BX982" s="2"/>
      <c r="BY982" s="2">
        <v>1200</v>
      </c>
      <c r="BZ982" s="2" t="s">
        <v>27</v>
      </c>
      <c r="CA982" s="2" t="s">
        <v>294</v>
      </c>
      <c r="CB982" s="2"/>
      <c r="CC982" s="2" t="s">
        <v>98</v>
      </c>
      <c r="CD982" s="2">
        <v>6001</v>
      </c>
      <c r="CE982" s="2" t="s">
        <v>104</v>
      </c>
      <c r="CF982" s="5">
        <v>42961</v>
      </c>
      <c r="CG982" s="2"/>
      <c r="CH982" s="2"/>
      <c r="CI982" s="2">
        <v>1</v>
      </c>
      <c r="CJ982" s="2">
        <v>1</v>
      </c>
      <c r="CK982" s="2">
        <v>21</v>
      </c>
      <c r="CL982" s="2" t="s">
        <v>86</v>
      </c>
      <c r="CM982" s="2"/>
    </row>
    <row r="983" spans="1:91">
      <c r="A983" s="2" t="s">
        <v>71</v>
      </c>
      <c r="B983" s="2" t="s">
        <v>72</v>
      </c>
      <c r="C983" s="2" t="s">
        <v>73</v>
      </c>
      <c r="D983" s="2"/>
      <c r="E983" s="2" t="str">
        <f>"FES1162567926"</f>
        <v>FES1162567926</v>
      </c>
      <c r="F983" s="3">
        <v>42957</v>
      </c>
      <c r="G983" s="2">
        <v>201802</v>
      </c>
      <c r="H983" s="2" t="s">
        <v>74</v>
      </c>
      <c r="I983" s="2" t="s">
        <v>75</v>
      </c>
      <c r="J983" s="2" t="s">
        <v>76</v>
      </c>
      <c r="K983" s="2" t="s">
        <v>77</v>
      </c>
      <c r="L983" s="2" t="s">
        <v>97</v>
      </c>
      <c r="M983" s="2" t="s">
        <v>98</v>
      </c>
      <c r="N983" s="2" t="s">
        <v>250</v>
      </c>
      <c r="O983" s="2" t="s">
        <v>100</v>
      </c>
      <c r="P983" s="2" t="str">
        <f>"2170580822                    "</f>
        <v xml:space="preserve">2170580822 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32.020000000000003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16</v>
      </c>
      <c r="BJ983" s="2">
        <v>3.7</v>
      </c>
      <c r="BK983" s="2">
        <v>16</v>
      </c>
      <c r="BL983" s="2">
        <v>331.54</v>
      </c>
      <c r="BM983" s="2">
        <v>46.42</v>
      </c>
      <c r="BN983" s="2">
        <v>377.96</v>
      </c>
      <c r="BO983" s="2">
        <v>377.96</v>
      </c>
      <c r="BP983" s="2"/>
      <c r="BQ983" s="2" t="s">
        <v>108</v>
      </c>
      <c r="BR983" s="2" t="s">
        <v>84</v>
      </c>
      <c r="BS983" s="3">
        <v>42958</v>
      </c>
      <c r="BT983" s="4">
        <v>0.39583333333333331</v>
      </c>
      <c r="BU983" s="2" t="s">
        <v>251</v>
      </c>
      <c r="BV983" s="2" t="s">
        <v>95</v>
      </c>
      <c r="BW983" s="2"/>
      <c r="BX983" s="2"/>
      <c r="BY983" s="2">
        <v>18564.78</v>
      </c>
      <c r="BZ983" s="2" t="s">
        <v>27</v>
      </c>
      <c r="CA983" s="2" t="s">
        <v>294</v>
      </c>
      <c r="CB983" s="2"/>
      <c r="CC983" s="2" t="s">
        <v>98</v>
      </c>
      <c r="CD983" s="2">
        <v>6012</v>
      </c>
      <c r="CE983" s="2" t="s">
        <v>89</v>
      </c>
      <c r="CF983" s="5">
        <v>42961</v>
      </c>
      <c r="CG983" s="2"/>
      <c r="CH983" s="2"/>
      <c r="CI983" s="2">
        <v>1</v>
      </c>
      <c r="CJ983" s="2">
        <v>1</v>
      </c>
      <c r="CK983" s="2">
        <v>21</v>
      </c>
      <c r="CL983" s="2" t="s">
        <v>86</v>
      </c>
      <c r="CM983" s="2"/>
    </row>
    <row r="984" spans="1:91">
      <c r="A984" s="2" t="s">
        <v>71</v>
      </c>
      <c r="B984" s="2" t="s">
        <v>72</v>
      </c>
      <c r="C984" s="2" t="s">
        <v>73</v>
      </c>
      <c r="D984" s="2"/>
      <c r="E984" s="2" t="str">
        <f>"FES1162568178"</f>
        <v>FES1162568178</v>
      </c>
      <c r="F984" s="3">
        <v>42957</v>
      </c>
      <c r="G984" s="2">
        <v>201802</v>
      </c>
      <c r="H984" s="2" t="s">
        <v>74</v>
      </c>
      <c r="I984" s="2" t="s">
        <v>75</v>
      </c>
      <c r="J984" s="2" t="s">
        <v>76</v>
      </c>
      <c r="K984" s="2" t="s">
        <v>77</v>
      </c>
      <c r="L984" s="2" t="s">
        <v>97</v>
      </c>
      <c r="M984" s="2" t="s">
        <v>98</v>
      </c>
      <c r="N984" s="2" t="s">
        <v>229</v>
      </c>
      <c r="O984" s="2" t="s">
        <v>100</v>
      </c>
      <c r="P984" s="2" t="str">
        <f>"2170584298                    "</f>
        <v xml:space="preserve">2170584298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4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1</v>
      </c>
      <c r="BJ984" s="2">
        <v>0.2</v>
      </c>
      <c r="BK984" s="2">
        <v>1</v>
      </c>
      <c r="BL984" s="2">
        <v>41.44</v>
      </c>
      <c r="BM984" s="2">
        <v>5.8</v>
      </c>
      <c r="BN984" s="2">
        <v>47.24</v>
      </c>
      <c r="BO984" s="2">
        <v>47.24</v>
      </c>
      <c r="BP984" s="2">
        <v>1</v>
      </c>
      <c r="BQ984" s="2" t="s">
        <v>1706</v>
      </c>
      <c r="BR984" s="2" t="s">
        <v>84</v>
      </c>
      <c r="BS984" s="3">
        <v>42958</v>
      </c>
      <c r="BT984" s="4">
        <v>0.46319444444444446</v>
      </c>
      <c r="BU984" s="2" t="s">
        <v>1251</v>
      </c>
      <c r="BV984" s="2" t="s">
        <v>86</v>
      </c>
      <c r="BW984" s="2" t="s">
        <v>1007</v>
      </c>
      <c r="BX984" s="2" t="s">
        <v>1627</v>
      </c>
      <c r="BY984" s="2">
        <v>1200</v>
      </c>
      <c r="BZ984" s="2" t="s">
        <v>27</v>
      </c>
      <c r="CA984" s="2" t="s">
        <v>103</v>
      </c>
      <c r="CB984" s="2"/>
      <c r="CC984" s="2" t="s">
        <v>98</v>
      </c>
      <c r="CD984" s="2">
        <v>6001</v>
      </c>
      <c r="CE984" s="2" t="s">
        <v>104</v>
      </c>
      <c r="CF984" s="5">
        <v>42961</v>
      </c>
      <c r="CG984" s="2"/>
      <c r="CH984" s="2"/>
      <c r="CI984" s="2">
        <v>1</v>
      </c>
      <c r="CJ984" s="2">
        <v>1</v>
      </c>
      <c r="CK984" s="2">
        <v>21</v>
      </c>
      <c r="CL984" s="2" t="s">
        <v>86</v>
      </c>
      <c r="CM984" s="2"/>
    </row>
    <row r="985" spans="1:91">
      <c r="A985" s="2" t="s">
        <v>71</v>
      </c>
      <c r="B985" s="2" t="s">
        <v>72</v>
      </c>
      <c r="C985" s="2" t="s">
        <v>73</v>
      </c>
      <c r="D985" s="2"/>
      <c r="E985" s="2" t="str">
        <f>"FES1162567941"</f>
        <v>FES1162567941</v>
      </c>
      <c r="F985" s="3">
        <v>42957</v>
      </c>
      <c r="G985" s="2">
        <v>201802</v>
      </c>
      <c r="H985" s="2" t="s">
        <v>74</v>
      </c>
      <c r="I985" s="2" t="s">
        <v>75</v>
      </c>
      <c r="J985" s="2" t="s">
        <v>76</v>
      </c>
      <c r="K985" s="2" t="s">
        <v>77</v>
      </c>
      <c r="L985" s="2" t="s">
        <v>74</v>
      </c>
      <c r="M985" s="2" t="s">
        <v>75</v>
      </c>
      <c r="N985" s="2" t="s">
        <v>1707</v>
      </c>
      <c r="O985" s="2" t="s">
        <v>100</v>
      </c>
      <c r="P985" s="2" t="str">
        <f>"2170582806                    "</f>
        <v xml:space="preserve">2170582806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3.13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4.4000000000000004</v>
      </c>
      <c r="BJ985" s="2">
        <v>3.2</v>
      </c>
      <c r="BK985" s="2">
        <v>5</v>
      </c>
      <c r="BL985" s="2">
        <v>32.380000000000003</v>
      </c>
      <c r="BM985" s="2">
        <v>4.53</v>
      </c>
      <c r="BN985" s="2">
        <v>36.909999999999997</v>
      </c>
      <c r="BO985" s="2">
        <v>36.909999999999997</v>
      </c>
      <c r="BP985" s="2"/>
      <c r="BQ985" s="2" t="s">
        <v>108</v>
      </c>
      <c r="BR985" s="2" t="s">
        <v>84</v>
      </c>
      <c r="BS985" s="3">
        <v>42958</v>
      </c>
      <c r="BT985" s="4">
        <v>0.4284722222222222</v>
      </c>
      <c r="BU985" s="2" t="s">
        <v>1708</v>
      </c>
      <c r="BV985" s="2" t="s">
        <v>95</v>
      </c>
      <c r="BW985" s="2"/>
      <c r="BX985" s="2"/>
      <c r="BY985" s="2">
        <v>16068.36</v>
      </c>
      <c r="BZ985" s="2" t="s">
        <v>27</v>
      </c>
      <c r="CA985" s="2" t="s">
        <v>194</v>
      </c>
      <c r="CB985" s="2"/>
      <c r="CC985" s="2" t="s">
        <v>75</v>
      </c>
      <c r="CD985" s="2">
        <v>1666</v>
      </c>
      <c r="CE985" s="2" t="s">
        <v>89</v>
      </c>
      <c r="CF985" s="5">
        <v>42961</v>
      </c>
      <c r="CG985" s="2"/>
      <c r="CH985" s="2"/>
      <c r="CI985" s="2">
        <v>1</v>
      </c>
      <c r="CJ985" s="2">
        <v>1</v>
      </c>
      <c r="CK985" s="2">
        <v>22</v>
      </c>
      <c r="CL985" s="2" t="s">
        <v>86</v>
      </c>
      <c r="CM985" s="2"/>
    </row>
    <row r="986" spans="1:91">
      <c r="A986" s="2" t="s">
        <v>71</v>
      </c>
      <c r="B986" s="2" t="s">
        <v>72</v>
      </c>
      <c r="C986" s="2" t="s">
        <v>73</v>
      </c>
      <c r="D986" s="2"/>
      <c r="E986" s="2" t="str">
        <f>"FES1162568066"</f>
        <v>FES1162568066</v>
      </c>
      <c r="F986" s="3">
        <v>42957</v>
      </c>
      <c r="G986" s="2">
        <v>201802</v>
      </c>
      <c r="H986" s="2" t="s">
        <v>74</v>
      </c>
      <c r="I986" s="2" t="s">
        <v>75</v>
      </c>
      <c r="J986" s="2" t="s">
        <v>76</v>
      </c>
      <c r="K986" s="2" t="s">
        <v>77</v>
      </c>
      <c r="L986" s="2" t="s">
        <v>144</v>
      </c>
      <c r="M986" s="2" t="s">
        <v>145</v>
      </c>
      <c r="N986" s="2" t="s">
        <v>450</v>
      </c>
      <c r="O986" s="2" t="s">
        <v>358</v>
      </c>
      <c r="P986" s="2" t="str">
        <f>"2170581413                    "</f>
        <v xml:space="preserve">2170581413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4.53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1</v>
      </c>
      <c r="BI986" s="2">
        <v>11.6</v>
      </c>
      <c r="BJ986" s="2">
        <v>8.9</v>
      </c>
      <c r="BK986" s="2">
        <v>12</v>
      </c>
      <c r="BL986" s="2">
        <v>46.9</v>
      </c>
      <c r="BM986" s="2">
        <v>6.57</v>
      </c>
      <c r="BN986" s="2">
        <v>53.47</v>
      </c>
      <c r="BO986" s="2">
        <v>53.47</v>
      </c>
      <c r="BP986" s="2"/>
      <c r="BQ986" s="2" t="s">
        <v>108</v>
      </c>
      <c r="BR986" s="2" t="s">
        <v>84</v>
      </c>
      <c r="BS986" s="3">
        <v>42958</v>
      </c>
      <c r="BT986" s="4">
        <v>0.40347222222222223</v>
      </c>
      <c r="BU986" s="2" t="s">
        <v>1709</v>
      </c>
      <c r="BV986" s="2" t="s">
        <v>95</v>
      </c>
      <c r="BW986" s="2"/>
      <c r="BX986" s="2"/>
      <c r="BY986" s="2">
        <v>44544.639999999999</v>
      </c>
      <c r="BZ986" s="2" t="s">
        <v>27</v>
      </c>
      <c r="CA986" s="2" t="s">
        <v>729</v>
      </c>
      <c r="CB986" s="2"/>
      <c r="CC986" s="2" t="s">
        <v>145</v>
      </c>
      <c r="CD986" s="2">
        <v>2011</v>
      </c>
      <c r="CE986" s="2" t="s">
        <v>89</v>
      </c>
      <c r="CF986" s="5">
        <v>42961</v>
      </c>
      <c r="CG986" s="2"/>
      <c r="CH986" s="2"/>
      <c r="CI986" s="2">
        <v>1</v>
      </c>
      <c r="CJ986" s="2">
        <v>1</v>
      </c>
      <c r="CK986" s="2">
        <v>32</v>
      </c>
      <c r="CL986" s="2" t="s">
        <v>86</v>
      </c>
      <c r="CM986" s="2"/>
    </row>
    <row r="987" spans="1:91">
      <c r="A987" s="2" t="s">
        <v>71</v>
      </c>
      <c r="B987" s="2" t="s">
        <v>72</v>
      </c>
      <c r="C987" s="2" t="s">
        <v>73</v>
      </c>
      <c r="D987" s="2"/>
      <c r="E987" s="2" t="str">
        <f>"FES1162567933"</f>
        <v>FES1162567933</v>
      </c>
      <c r="F987" s="3">
        <v>42957</v>
      </c>
      <c r="G987" s="2">
        <v>201802</v>
      </c>
      <c r="H987" s="2" t="s">
        <v>74</v>
      </c>
      <c r="I987" s="2" t="s">
        <v>75</v>
      </c>
      <c r="J987" s="2" t="s">
        <v>76</v>
      </c>
      <c r="K987" s="2" t="s">
        <v>77</v>
      </c>
      <c r="L987" s="2" t="s">
        <v>144</v>
      </c>
      <c r="M987" s="2" t="s">
        <v>145</v>
      </c>
      <c r="N987" s="2" t="s">
        <v>146</v>
      </c>
      <c r="O987" s="2" t="s">
        <v>100</v>
      </c>
      <c r="P987" s="2" t="str">
        <f>"2170581645                    "</f>
        <v xml:space="preserve">2170581645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3.13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1.3</v>
      </c>
      <c r="BJ987" s="2">
        <v>0.9</v>
      </c>
      <c r="BK987" s="2">
        <v>2</v>
      </c>
      <c r="BL987" s="2">
        <v>32.380000000000003</v>
      </c>
      <c r="BM987" s="2">
        <v>4.53</v>
      </c>
      <c r="BN987" s="2">
        <v>36.909999999999997</v>
      </c>
      <c r="BO987" s="2">
        <v>36.909999999999997</v>
      </c>
      <c r="BP987" s="2"/>
      <c r="BQ987" s="2" t="s">
        <v>83</v>
      </c>
      <c r="BR987" s="2" t="s">
        <v>84</v>
      </c>
      <c r="BS987" s="3">
        <v>42958</v>
      </c>
      <c r="BT987" s="4">
        <v>0.4513888888888889</v>
      </c>
      <c r="BU987" s="2" t="s">
        <v>1632</v>
      </c>
      <c r="BV987" s="2" t="s">
        <v>95</v>
      </c>
      <c r="BW987" s="2"/>
      <c r="BX987" s="2"/>
      <c r="BY987" s="2">
        <v>4582.66</v>
      </c>
      <c r="BZ987" s="2" t="s">
        <v>27</v>
      </c>
      <c r="CA987" s="2" t="s">
        <v>729</v>
      </c>
      <c r="CB987" s="2"/>
      <c r="CC987" s="2" t="s">
        <v>145</v>
      </c>
      <c r="CD987" s="2">
        <v>2094</v>
      </c>
      <c r="CE987" s="2" t="s">
        <v>135</v>
      </c>
      <c r="CF987" s="5">
        <v>42961</v>
      </c>
      <c r="CG987" s="2"/>
      <c r="CH987" s="2"/>
      <c r="CI987" s="2">
        <v>1</v>
      </c>
      <c r="CJ987" s="2">
        <v>1</v>
      </c>
      <c r="CK987" s="2">
        <v>22</v>
      </c>
      <c r="CL987" s="2" t="s">
        <v>86</v>
      </c>
      <c r="CM987" s="2"/>
    </row>
    <row r="988" spans="1:91">
      <c r="A988" s="2" t="s">
        <v>71</v>
      </c>
      <c r="B988" s="2" t="s">
        <v>72</v>
      </c>
      <c r="C988" s="2" t="s">
        <v>73</v>
      </c>
      <c r="D988" s="2"/>
      <c r="E988" s="2" t="str">
        <f>"FES1162567917"</f>
        <v>FES1162567917</v>
      </c>
      <c r="F988" s="3">
        <v>42957</v>
      </c>
      <c r="G988" s="2">
        <v>201802</v>
      </c>
      <c r="H988" s="2" t="s">
        <v>74</v>
      </c>
      <c r="I988" s="2" t="s">
        <v>75</v>
      </c>
      <c r="J988" s="2" t="s">
        <v>76</v>
      </c>
      <c r="K988" s="2" t="s">
        <v>77</v>
      </c>
      <c r="L988" s="2" t="s">
        <v>97</v>
      </c>
      <c r="M988" s="2" t="s">
        <v>98</v>
      </c>
      <c r="N988" s="2" t="s">
        <v>1041</v>
      </c>
      <c r="O988" s="2" t="s">
        <v>100</v>
      </c>
      <c r="P988" s="2" t="str">
        <f>"2170584093                    "</f>
        <v xml:space="preserve">2170584093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4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1</v>
      </c>
      <c r="BJ988" s="2">
        <v>0.2</v>
      </c>
      <c r="BK988" s="2">
        <v>1</v>
      </c>
      <c r="BL988" s="2">
        <v>41.44</v>
      </c>
      <c r="BM988" s="2">
        <v>5.8</v>
      </c>
      <c r="BN988" s="2">
        <v>47.24</v>
      </c>
      <c r="BO988" s="2">
        <v>47.24</v>
      </c>
      <c r="BP988" s="2">
        <v>1</v>
      </c>
      <c r="BQ988" s="2" t="s">
        <v>108</v>
      </c>
      <c r="BR988" s="2" t="s">
        <v>84</v>
      </c>
      <c r="BS988" s="3">
        <v>42958</v>
      </c>
      <c r="BT988" s="4">
        <v>0.30624999999999997</v>
      </c>
      <c r="BU988" s="2" t="s">
        <v>1710</v>
      </c>
      <c r="BV988" s="2" t="s">
        <v>95</v>
      </c>
      <c r="BW988" s="2"/>
      <c r="BX988" s="2"/>
      <c r="BY988" s="2">
        <v>1200</v>
      </c>
      <c r="BZ988" s="2" t="s">
        <v>27</v>
      </c>
      <c r="CA988" s="2" t="s">
        <v>294</v>
      </c>
      <c r="CB988" s="2"/>
      <c r="CC988" s="2" t="s">
        <v>98</v>
      </c>
      <c r="CD988" s="2">
        <v>6012</v>
      </c>
      <c r="CE988" s="2" t="s">
        <v>104</v>
      </c>
      <c r="CF988" s="5">
        <v>42961</v>
      </c>
      <c r="CG988" s="2"/>
      <c r="CH988" s="2"/>
      <c r="CI988" s="2">
        <v>1</v>
      </c>
      <c r="CJ988" s="2">
        <v>1</v>
      </c>
      <c r="CK988" s="2">
        <v>21</v>
      </c>
      <c r="CL988" s="2" t="s">
        <v>86</v>
      </c>
      <c r="CM988" s="2"/>
    </row>
    <row r="989" spans="1:91">
      <c r="A989" s="2" t="s">
        <v>71</v>
      </c>
      <c r="B989" s="2" t="s">
        <v>72</v>
      </c>
      <c r="C989" s="2" t="s">
        <v>73</v>
      </c>
      <c r="D989" s="2"/>
      <c r="E989" s="2" t="str">
        <f>"FES1162567980"</f>
        <v>FES1162567980</v>
      </c>
      <c r="F989" s="3">
        <v>42957</v>
      </c>
      <c r="G989" s="2">
        <v>201802</v>
      </c>
      <c r="H989" s="2" t="s">
        <v>74</v>
      </c>
      <c r="I989" s="2" t="s">
        <v>75</v>
      </c>
      <c r="J989" s="2" t="s">
        <v>76</v>
      </c>
      <c r="K989" s="2" t="s">
        <v>77</v>
      </c>
      <c r="L989" s="2" t="s">
        <v>78</v>
      </c>
      <c r="M989" s="2" t="s">
        <v>79</v>
      </c>
      <c r="N989" s="2" t="s">
        <v>450</v>
      </c>
      <c r="O989" s="2" t="s">
        <v>100</v>
      </c>
      <c r="P989" s="2" t="str">
        <f>"2170582089                    "</f>
        <v xml:space="preserve">2170582089 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4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1</v>
      </c>
      <c r="BJ989" s="2">
        <v>0.2</v>
      </c>
      <c r="BK989" s="2">
        <v>1</v>
      </c>
      <c r="BL989" s="2">
        <v>41.44</v>
      </c>
      <c r="BM989" s="2">
        <v>5.8</v>
      </c>
      <c r="BN989" s="2">
        <v>47.24</v>
      </c>
      <c r="BO989" s="2">
        <v>47.24</v>
      </c>
      <c r="BP989" s="2">
        <v>1</v>
      </c>
      <c r="BQ989" s="2" t="s">
        <v>451</v>
      </c>
      <c r="BR989" s="2" t="s">
        <v>84</v>
      </c>
      <c r="BS989" s="3">
        <v>42958</v>
      </c>
      <c r="BT989" s="4">
        <v>0.37708333333333338</v>
      </c>
      <c r="BU989" s="2" t="s">
        <v>236</v>
      </c>
      <c r="BV989" s="2" t="s">
        <v>95</v>
      </c>
      <c r="BW989" s="2"/>
      <c r="BX989" s="2"/>
      <c r="BY989" s="2">
        <v>1200</v>
      </c>
      <c r="BZ989" s="2" t="s">
        <v>27</v>
      </c>
      <c r="CA989" s="2" t="s">
        <v>518</v>
      </c>
      <c r="CB989" s="2"/>
      <c r="CC989" s="2" t="s">
        <v>79</v>
      </c>
      <c r="CD989" s="2">
        <v>9300</v>
      </c>
      <c r="CE989" s="2" t="s">
        <v>104</v>
      </c>
      <c r="CF989" s="5">
        <v>42961</v>
      </c>
      <c r="CG989" s="2"/>
      <c r="CH989" s="2"/>
      <c r="CI989" s="2">
        <v>1</v>
      </c>
      <c r="CJ989" s="2">
        <v>1</v>
      </c>
      <c r="CK989" s="2">
        <v>21</v>
      </c>
      <c r="CL989" s="2" t="s">
        <v>86</v>
      </c>
      <c r="CM989" s="2"/>
    </row>
    <row r="990" spans="1:91">
      <c r="A990" s="2" t="s">
        <v>71</v>
      </c>
      <c r="B990" s="2" t="s">
        <v>72</v>
      </c>
      <c r="C990" s="2" t="s">
        <v>73</v>
      </c>
      <c r="D990" s="2"/>
      <c r="E990" s="2" t="str">
        <f>"FES1162567985"</f>
        <v>FES1162567985</v>
      </c>
      <c r="F990" s="3">
        <v>42957</v>
      </c>
      <c r="G990" s="2">
        <v>201802</v>
      </c>
      <c r="H990" s="2" t="s">
        <v>74</v>
      </c>
      <c r="I990" s="2" t="s">
        <v>75</v>
      </c>
      <c r="J990" s="2" t="s">
        <v>76</v>
      </c>
      <c r="K990" s="2" t="s">
        <v>77</v>
      </c>
      <c r="L990" s="2" t="s">
        <v>144</v>
      </c>
      <c r="M990" s="2" t="s">
        <v>145</v>
      </c>
      <c r="N990" s="2" t="s">
        <v>1711</v>
      </c>
      <c r="O990" s="2" t="s">
        <v>100</v>
      </c>
      <c r="P990" s="2" t="str">
        <f>"2170582460                    "</f>
        <v xml:space="preserve">2170582460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3.13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0.3</v>
      </c>
      <c r="BJ990" s="2">
        <v>0.7</v>
      </c>
      <c r="BK990" s="2">
        <v>1</v>
      </c>
      <c r="BL990" s="2">
        <v>32.380000000000003</v>
      </c>
      <c r="BM990" s="2">
        <v>4.53</v>
      </c>
      <c r="BN990" s="2">
        <v>36.909999999999997</v>
      </c>
      <c r="BO990" s="2">
        <v>36.909999999999997</v>
      </c>
      <c r="BP990" s="2"/>
      <c r="BQ990" s="2" t="s">
        <v>108</v>
      </c>
      <c r="BR990" s="2" t="s">
        <v>84</v>
      </c>
      <c r="BS990" s="3">
        <v>42958</v>
      </c>
      <c r="BT990" s="4">
        <v>0.41666666666666669</v>
      </c>
      <c r="BU990" s="2" t="s">
        <v>1712</v>
      </c>
      <c r="BV990" s="2" t="s">
        <v>95</v>
      </c>
      <c r="BW990" s="2"/>
      <c r="BX990" s="2"/>
      <c r="BY990" s="2">
        <v>3480.42</v>
      </c>
      <c r="BZ990" s="2" t="s">
        <v>27</v>
      </c>
      <c r="CA990" s="2" t="s">
        <v>1296</v>
      </c>
      <c r="CB990" s="2"/>
      <c r="CC990" s="2" t="s">
        <v>145</v>
      </c>
      <c r="CD990" s="2">
        <v>2091</v>
      </c>
      <c r="CE990" s="2" t="s">
        <v>135</v>
      </c>
      <c r="CF990" s="5">
        <v>42961</v>
      </c>
      <c r="CG990" s="2"/>
      <c r="CH990" s="2"/>
      <c r="CI990" s="2">
        <v>1</v>
      </c>
      <c r="CJ990" s="2">
        <v>1</v>
      </c>
      <c r="CK990" s="2">
        <v>22</v>
      </c>
      <c r="CL990" s="2" t="s">
        <v>86</v>
      </c>
      <c r="CM990" s="2"/>
    </row>
    <row r="991" spans="1:91">
      <c r="A991" s="2" t="s">
        <v>71</v>
      </c>
      <c r="B991" s="2" t="s">
        <v>72</v>
      </c>
      <c r="C991" s="2" t="s">
        <v>73</v>
      </c>
      <c r="D991" s="2"/>
      <c r="E991" s="2" t="str">
        <f>"FES1162568009"</f>
        <v>FES1162568009</v>
      </c>
      <c r="F991" s="3">
        <v>42957</v>
      </c>
      <c r="G991" s="2">
        <v>201802</v>
      </c>
      <c r="H991" s="2" t="s">
        <v>74</v>
      </c>
      <c r="I991" s="2" t="s">
        <v>75</v>
      </c>
      <c r="J991" s="2" t="s">
        <v>76</v>
      </c>
      <c r="K991" s="2" t="s">
        <v>77</v>
      </c>
      <c r="L991" s="2" t="s">
        <v>144</v>
      </c>
      <c r="M991" s="2" t="s">
        <v>145</v>
      </c>
      <c r="N991" s="2" t="s">
        <v>146</v>
      </c>
      <c r="O991" s="2" t="s">
        <v>100</v>
      </c>
      <c r="P991" s="2" t="str">
        <f>"2170584151                    "</f>
        <v xml:space="preserve">2170584151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3.13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1</v>
      </c>
      <c r="BJ991" s="2">
        <v>0.2</v>
      </c>
      <c r="BK991" s="2">
        <v>1</v>
      </c>
      <c r="BL991" s="2">
        <v>32.380000000000003</v>
      </c>
      <c r="BM991" s="2">
        <v>4.53</v>
      </c>
      <c r="BN991" s="2">
        <v>36.909999999999997</v>
      </c>
      <c r="BO991" s="2">
        <v>36.909999999999997</v>
      </c>
      <c r="BP991" s="2">
        <v>1</v>
      </c>
      <c r="BQ991" s="2" t="s">
        <v>83</v>
      </c>
      <c r="BR991" s="2" t="s">
        <v>84</v>
      </c>
      <c r="BS991" s="3">
        <v>42958</v>
      </c>
      <c r="BT991" s="4">
        <v>0.4513888888888889</v>
      </c>
      <c r="BU991" s="2" t="s">
        <v>1632</v>
      </c>
      <c r="BV991" s="2" t="s">
        <v>95</v>
      </c>
      <c r="BW991" s="2"/>
      <c r="BX991" s="2"/>
      <c r="BY991" s="2">
        <v>1200</v>
      </c>
      <c r="BZ991" s="2" t="s">
        <v>27</v>
      </c>
      <c r="CA991" s="2" t="s">
        <v>729</v>
      </c>
      <c r="CB991" s="2"/>
      <c r="CC991" s="2" t="s">
        <v>145</v>
      </c>
      <c r="CD991" s="2">
        <v>2094</v>
      </c>
      <c r="CE991" s="2" t="s">
        <v>104</v>
      </c>
      <c r="CF991" s="5">
        <v>42961</v>
      </c>
      <c r="CG991" s="2"/>
      <c r="CH991" s="2"/>
      <c r="CI991" s="2">
        <v>1</v>
      </c>
      <c r="CJ991" s="2">
        <v>1</v>
      </c>
      <c r="CK991" s="2">
        <v>22</v>
      </c>
      <c r="CL991" s="2" t="s">
        <v>86</v>
      </c>
      <c r="CM991" s="2"/>
    </row>
    <row r="992" spans="1:91">
      <c r="A992" s="2" t="s">
        <v>71</v>
      </c>
      <c r="B992" s="2" t="s">
        <v>72</v>
      </c>
      <c r="C992" s="2" t="s">
        <v>73</v>
      </c>
      <c r="D992" s="2"/>
      <c r="E992" s="2" t="str">
        <f>"FES1162568018"</f>
        <v>FES1162568018</v>
      </c>
      <c r="F992" s="3">
        <v>42957</v>
      </c>
      <c r="G992" s="2">
        <v>201802</v>
      </c>
      <c r="H992" s="2" t="s">
        <v>74</v>
      </c>
      <c r="I992" s="2" t="s">
        <v>75</v>
      </c>
      <c r="J992" s="2" t="s">
        <v>76</v>
      </c>
      <c r="K992" s="2" t="s">
        <v>77</v>
      </c>
      <c r="L992" s="2" t="s">
        <v>144</v>
      </c>
      <c r="M992" s="2" t="s">
        <v>145</v>
      </c>
      <c r="N992" s="2" t="s">
        <v>1713</v>
      </c>
      <c r="O992" s="2" t="s">
        <v>100</v>
      </c>
      <c r="P992" s="2" t="str">
        <f>"2170582910                    "</f>
        <v xml:space="preserve">2170582910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3.13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1</v>
      </c>
      <c r="BJ992" s="2">
        <v>0.2</v>
      </c>
      <c r="BK992" s="2">
        <v>1</v>
      </c>
      <c r="BL992" s="2">
        <v>32.380000000000003</v>
      </c>
      <c r="BM992" s="2">
        <v>4.53</v>
      </c>
      <c r="BN992" s="2">
        <v>36.909999999999997</v>
      </c>
      <c r="BO992" s="2">
        <v>36.909999999999997</v>
      </c>
      <c r="BP992" s="2">
        <v>1</v>
      </c>
      <c r="BQ992" s="2" t="s">
        <v>209</v>
      </c>
      <c r="BR992" s="2" t="s">
        <v>84</v>
      </c>
      <c r="BS992" s="3">
        <v>42958</v>
      </c>
      <c r="BT992" s="4">
        <v>0.45833333333333331</v>
      </c>
      <c r="BU992" s="2" t="s">
        <v>1674</v>
      </c>
      <c r="BV992" s="2" t="s">
        <v>86</v>
      </c>
      <c r="BW992" s="2" t="s">
        <v>110</v>
      </c>
      <c r="BX992" s="2" t="s">
        <v>327</v>
      </c>
      <c r="BY992" s="2">
        <v>1200</v>
      </c>
      <c r="BZ992" s="2" t="s">
        <v>27</v>
      </c>
      <c r="CA992" s="2" t="s">
        <v>1714</v>
      </c>
      <c r="CB992" s="2"/>
      <c r="CC992" s="2" t="s">
        <v>145</v>
      </c>
      <c r="CD992" s="2">
        <v>2090</v>
      </c>
      <c r="CE992" s="2" t="s">
        <v>104</v>
      </c>
      <c r="CF992" s="5">
        <v>42961</v>
      </c>
      <c r="CG992" s="2"/>
      <c r="CH992" s="2"/>
      <c r="CI992" s="2">
        <v>1</v>
      </c>
      <c r="CJ992" s="2">
        <v>1</v>
      </c>
      <c r="CK992" s="2">
        <v>22</v>
      </c>
      <c r="CL992" s="2" t="s">
        <v>86</v>
      </c>
      <c r="CM992" s="2"/>
    </row>
    <row r="993" spans="1:91">
      <c r="A993" s="2" t="s">
        <v>71</v>
      </c>
      <c r="B993" s="2" t="s">
        <v>72</v>
      </c>
      <c r="C993" s="2" t="s">
        <v>73</v>
      </c>
      <c r="D993" s="2"/>
      <c r="E993" s="2" t="str">
        <f>"FES1162567930"</f>
        <v>FES1162567930</v>
      </c>
      <c r="F993" s="3">
        <v>42957</v>
      </c>
      <c r="G993" s="2">
        <v>201802</v>
      </c>
      <c r="H993" s="2" t="s">
        <v>74</v>
      </c>
      <c r="I993" s="2" t="s">
        <v>75</v>
      </c>
      <c r="J993" s="2" t="s">
        <v>76</v>
      </c>
      <c r="K993" s="2" t="s">
        <v>77</v>
      </c>
      <c r="L993" s="2" t="s">
        <v>74</v>
      </c>
      <c r="M993" s="2" t="s">
        <v>75</v>
      </c>
      <c r="N993" s="2" t="s">
        <v>402</v>
      </c>
      <c r="O993" s="2" t="s">
        <v>100</v>
      </c>
      <c r="P993" s="2" t="str">
        <f>"2170581280                    "</f>
        <v xml:space="preserve">2170581280 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3.13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1</v>
      </c>
      <c r="BJ993" s="2">
        <v>0.2</v>
      </c>
      <c r="BK993" s="2">
        <v>1</v>
      </c>
      <c r="BL993" s="2">
        <v>32.380000000000003</v>
      </c>
      <c r="BM993" s="2">
        <v>4.53</v>
      </c>
      <c r="BN993" s="2">
        <v>36.909999999999997</v>
      </c>
      <c r="BO993" s="2">
        <v>36.909999999999997</v>
      </c>
      <c r="BP993" s="2">
        <v>1</v>
      </c>
      <c r="BQ993" s="2" t="s">
        <v>403</v>
      </c>
      <c r="BR993" s="2" t="s">
        <v>84</v>
      </c>
      <c r="BS993" s="3">
        <v>42958</v>
      </c>
      <c r="BT993" s="4">
        <v>0.42986111111111108</v>
      </c>
      <c r="BU993" s="2" t="s">
        <v>1715</v>
      </c>
      <c r="BV993" s="2" t="s">
        <v>95</v>
      </c>
      <c r="BW993" s="2"/>
      <c r="BX993" s="2"/>
      <c r="BY993" s="2">
        <v>1200</v>
      </c>
      <c r="BZ993" s="2" t="s">
        <v>27</v>
      </c>
      <c r="CA993" s="2" t="s">
        <v>194</v>
      </c>
      <c r="CB993" s="2"/>
      <c r="CC993" s="2" t="s">
        <v>75</v>
      </c>
      <c r="CD993" s="2">
        <v>1665</v>
      </c>
      <c r="CE993" s="2" t="s">
        <v>104</v>
      </c>
      <c r="CF993" s="5">
        <v>42961</v>
      </c>
      <c r="CG993" s="2"/>
      <c r="CH993" s="2"/>
      <c r="CI993" s="2">
        <v>1</v>
      </c>
      <c r="CJ993" s="2">
        <v>1</v>
      </c>
      <c r="CK993" s="2">
        <v>22</v>
      </c>
      <c r="CL993" s="2" t="s">
        <v>86</v>
      </c>
      <c r="CM993" s="2"/>
    </row>
    <row r="994" spans="1:91">
      <c r="A994" s="2" t="s">
        <v>71</v>
      </c>
      <c r="B994" s="2" t="s">
        <v>72</v>
      </c>
      <c r="C994" s="2" t="s">
        <v>73</v>
      </c>
      <c r="D994" s="2"/>
      <c r="E994" s="2" t="str">
        <f>"FES1162567964"</f>
        <v>FES1162567964</v>
      </c>
      <c r="F994" s="3">
        <v>42957</v>
      </c>
      <c r="G994" s="2">
        <v>201802</v>
      </c>
      <c r="H994" s="2" t="s">
        <v>74</v>
      </c>
      <c r="I994" s="2" t="s">
        <v>75</v>
      </c>
      <c r="J994" s="2" t="s">
        <v>76</v>
      </c>
      <c r="K994" s="2" t="s">
        <v>77</v>
      </c>
      <c r="L994" s="2" t="s">
        <v>170</v>
      </c>
      <c r="M994" s="2" t="s">
        <v>171</v>
      </c>
      <c r="N994" s="2" t="s">
        <v>730</v>
      </c>
      <c r="O994" s="2" t="s">
        <v>100</v>
      </c>
      <c r="P994" s="2" t="str">
        <f>"2170584106                    "</f>
        <v xml:space="preserve">2170584106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3.13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1</v>
      </c>
      <c r="BJ994" s="2">
        <v>0.2</v>
      </c>
      <c r="BK994" s="2">
        <v>1</v>
      </c>
      <c r="BL994" s="2">
        <v>32.380000000000003</v>
      </c>
      <c r="BM994" s="2">
        <v>4.53</v>
      </c>
      <c r="BN994" s="2">
        <v>36.909999999999997</v>
      </c>
      <c r="BO994" s="2">
        <v>36.909999999999997</v>
      </c>
      <c r="BP994" s="2">
        <v>1</v>
      </c>
      <c r="BQ994" s="2" t="s">
        <v>108</v>
      </c>
      <c r="BR994" s="2" t="s">
        <v>84</v>
      </c>
      <c r="BS994" s="3">
        <v>42958</v>
      </c>
      <c r="BT994" s="4">
        <v>0.4375</v>
      </c>
      <c r="BU994" s="2" t="s">
        <v>1360</v>
      </c>
      <c r="BV994" s="2" t="s">
        <v>95</v>
      </c>
      <c r="BW994" s="2"/>
      <c r="BX994" s="2"/>
      <c r="BY994" s="2">
        <v>1200</v>
      </c>
      <c r="BZ994" s="2" t="s">
        <v>27</v>
      </c>
      <c r="CA994" s="2"/>
      <c r="CB994" s="2"/>
      <c r="CC994" s="2" t="s">
        <v>171</v>
      </c>
      <c r="CD994" s="2">
        <v>1428</v>
      </c>
      <c r="CE994" s="2" t="s">
        <v>104</v>
      </c>
      <c r="CF994" s="5">
        <v>42961</v>
      </c>
      <c r="CG994" s="2"/>
      <c r="CH994" s="2"/>
      <c r="CI994" s="2">
        <v>1</v>
      </c>
      <c r="CJ994" s="2">
        <v>1</v>
      </c>
      <c r="CK994" s="2">
        <v>22</v>
      </c>
      <c r="CL994" s="2" t="s">
        <v>86</v>
      </c>
      <c r="CM994" s="2"/>
    </row>
    <row r="995" spans="1:91">
      <c r="A995" s="2" t="s">
        <v>71</v>
      </c>
      <c r="B995" s="2" t="s">
        <v>72</v>
      </c>
      <c r="C995" s="2" t="s">
        <v>73</v>
      </c>
      <c r="D995" s="2"/>
      <c r="E995" s="2" t="str">
        <f>"FES1162567991"</f>
        <v>FES1162567991</v>
      </c>
      <c r="F995" s="3">
        <v>42957</v>
      </c>
      <c r="G995" s="2">
        <v>201802</v>
      </c>
      <c r="H995" s="2" t="s">
        <v>74</v>
      </c>
      <c r="I995" s="2" t="s">
        <v>75</v>
      </c>
      <c r="J995" s="2" t="s">
        <v>76</v>
      </c>
      <c r="K995" s="2" t="s">
        <v>77</v>
      </c>
      <c r="L995" s="2" t="s">
        <v>170</v>
      </c>
      <c r="M995" s="2" t="s">
        <v>171</v>
      </c>
      <c r="N995" s="2" t="s">
        <v>1716</v>
      </c>
      <c r="O995" s="2" t="s">
        <v>100</v>
      </c>
      <c r="P995" s="2" t="str">
        <f>"2170583615                    "</f>
        <v xml:space="preserve">2170583615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3.13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2</v>
      </c>
      <c r="BJ995" s="2">
        <v>0.2</v>
      </c>
      <c r="BK995" s="2">
        <v>2</v>
      </c>
      <c r="BL995" s="2">
        <v>32.380000000000003</v>
      </c>
      <c r="BM995" s="2">
        <v>4.53</v>
      </c>
      <c r="BN995" s="2">
        <v>36.909999999999997</v>
      </c>
      <c r="BO995" s="2">
        <v>36.909999999999997</v>
      </c>
      <c r="BP995" s="2"/>
      <c r="BQ995" s="2" t="s">
        <v>108</v>
      </c>
      <c r="BR995" s="2" t="s">
        <v>84</v>
      </c>
      <c r="BS995" s="3">
        <v>42958</v>
      </c>
      <c r="BT995" s="4">
        <v>0.40069444444444446</v>
      </c>
      <c r="BU995" s="2" t="s">
        <v>1717</v>
      </c>
      <c r="BV995" s="2" t="s">
        <v>95</v>
      </c>
      <c r="BW995" s="2"/>
      <c r="BX995" s="2"/>
      <c r="BY995" s="2">
        <v>1200</v>
      </c>
      <c r="BZ995" s="2" t="s">
        <v>27</v>
      </c>
      <c r="CA995" s="2" t="s">
        <v>1718</v>
      </c>
      <c r="CB995" s="2"/>
      <c r="CC995" s="2" t="s">
        <v>171</v>
      </c>
      <c r="CD995" s="2">
        <v>1401</v>
      </c>
      <c r="CE995" s="2" t="s">
        <v>104</v>
      </c>
      <c r="CF995" s="5">
        <v>42961</v>
      </c>
      <c r="CG995" s="2"/>
      <c r="CH995" s="2"/>
      <c r="CI995" s="2">
        <v>1</v>
      </c>
      <c r="CJ995" s="2">
        <v>1</v>
      </c>
      <c r="CK995" s="2">
        <v>22</v>
      </c>
      <c r="CL995" s="2" t="s">
        <v>86</v>
      </c>
      <c r="CM995" s="2"/>
    </row>
    <row r="996" spans="1:91">
      <c r="A996" s="2" t="s">
        <v>71</v>
      </c>
      <c r="B996" s="2" t="s">
        <v>72</v>
      </c>
      <c r="C996" s="2" t="s">
        <v>73</v>
      </c>
      <c r="D996" s="2"/>
      <c r="E996" s="2" t="str">
        <f>"FES1162568031"</f>
        <v>FES1162568031</v>
      </c>
      <c r="F996" s="3">
        <v>42957</v>
      </c>
      <c r="G996" s="2">
        <v>201802</v>
      </c>
      <c r="H996" s="2" t="s">
        <v>74</v>
      </c>
      <c r="I996" s="2" t="s">
        <v>75</v>
      </c>
      <c r="J996" s="2" t="s">
        <v>76</v>
      </c>
      <c r="K996" s="2" t="s">
        <v>77</v>
      </c>
      <c r="L996" s="2" t="s">
        <v>723</v>
      </c>
      <c r="M996" s="2" t="s">
        <v>724</v>
      </c>
      <c r="N996" s="2" t="s">
        <v>1719</v>
      </c>
      <c r="O996" s="2" t="s">
        <v>100</v>
      </c>
      <c r="P996" s="2" t="str">
        <f>"2170583319                    "</f>
        <v xml:space="preserve">2170583319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5.63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1</v>
      </c>
      <c r="BJ996" s="2">
        <v>0.2</v>
      </c>
      <c r="BK996" s="2">
        <v>1</v>
      </c>
      <c r="BL996" s="2">
        <v>58.28</v>
      </c>
      <c r="BM996" s="2">
        <v>8.16</v>
      </c>
      <c r="BN996" s="2">
        <v>66.44</v>
      </c>
      <c r="BO996" s="2">
        <v>66.44</v>
      </c>
      <c r="BP996" s="2">
        <v>1</v>
      </c>
      <c r="BQ996" s="2" t="s">
        <v>1720</v>
      </c>
      <c r="BR996" s="2" t="s">
        <v>84</v>
      </c>
      <c r="BS996" s="3">
        <v>42958</v>
      </c>
      <c r="BT996" s="4">
        <v>0.37638888888888888</v>
      </c>
      <c r="BU996" s="2" t="s">
        <v>798</v>
      </c>
      <c r="BV996" s="2" t="s">
        <v>95</v>
      </c>
      <c r="BW996" s="2"/>
      <c r="BX996" s="2"/>
      <c r="BY996" s="2">
        <v>1200</v>
      </c>
      <c r="BZ996" s="2" t="s">
        <v>27</v>
      </c>
      <c r="CA996" s="2" t="s">
        <v>414</v>
      </c>
      <c r="CB996" s="2"/>
      <c r="CC996" s="2" t="s">
        <v>724</v>
      </c>
      <c r="CD996" s="2">
        <v>1739</v>
      </c>
      <c r="CE996" s="2" t="s">
        <v>104</v>
      </c>
      <c r="CF996" s="5">
        <v>42961</v>
      </c>
      <c r="CG996" s="2"/>
      <c r="CH996" s="2"/>
      <c r="CI996" s="2">
        <v>1</v>
      </c>
      <c r="CJ996" s="2">
        <v>1</v>
      </c>
      <c r="CK996" s="2">
        <v>24</v>
      </c>
      <c r="CL996" s="2" t="s">
        <v>86</v>
      </c>
      <c r="CM996" s="2"/>
    </row>
    <row r="997" spans="1:91">
      <c r="A997" s="2" t="s">
        <v>71</v>
      </c>
      <c r="B997" s="2" t="s">
        <v>72</v>
      </c>
      <c r="C997" s="2" t="s">
        <v>73</v>
      </c>
      <c r="D997" s="2"/>
      <c r="E997" s="2" t="str">
        <f>"FES1162567906"</f>
        <v>FES1162567906</v>
      </c>
      <c r="F997" s="3">
        <v>42957</v>
      </c>
      <c r="G997" s="2">
        <v>201802</v>
      </c>
      <c r="H997" s="2" t="s">
        <v>74</v>
      </c>
      <c r="I997" s="2" t="s">
        <v>75</v>
      </c>
      <c r="J997" s="2" t="s">
        <v>76</v>
      </c>
      <c r="K997" s="2" t="s">
        <v>77</v>
      </c>
      <c r="L997" s="2" t="s">
        <v>149</v>
      </c>
      <c r="M997" s="2" t="s">
        <v>150</v>
      </c>
      <c r="N997" s="2" t="s">
        <v>456</v>
      </c>
      <c r="O997" s="2" t="s">
        <v>100</v>
      </c>
      <c r="P997" s="2" t="str">
        <f>"2170584071                    "</f>
        <v xml:space="preserve">2170584071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14.01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4.7</v>
      </c>
      <c r="BJ997" s="2">
        <v>6.8</v>
      </c>
      <c r="BK997" s="2">
        <v>7</v>
      </c>
      <c r="BL997" s="2">
        <v>145.05000000000001</v>
      </c>
      <c r="BM997" s="2">
        <v>20.309999999999999</v>
      </c>
      <c r="BN997" s="2">
        <v>165.36</v>
      </c>
      <c r="BO997" s="2">
        <v>165.36</v>
      </c>
      <c r="BP997" s="2"/>
      <c r="BQ997" s="2" t="s">
        <v>83</v>
      </c>
      <c r="BR997" s="2" t="s">
        <v>84</v>
      </c>
      <c r="BS997" s="3">
        <v>42958</v>
      </c>
      <c r="BT997" s="4">
        <v>0.3888888888888889</v>
      </c>
      <c r="BU997" s="2" t="s">
        <v>1721</v>
      </c>
      <c r="BV997" s="2" t="s">
        <v>95</v>
      </c>
      <c r="BW997" s="2"/>
      <c r="BX997" s="2"/>
      <c r="BY997" s="2">
        <v>34122.949999999997</v>
      </c>
      <c r="BZ997" s="2" t="s">
        <v>27</v>
      </c>
      <c r="CA997" s="2" t="s">
        <v>225</v>
      </c>
      <c r="CB997" s="2"/>
      <c r="CC997" s="2" t="s">
        <v>150</v>
      </c>
      <c r="CD997" s="2">
        <v>4068</v>
      </c>
      <c r="CE997" s="2" t="s">
        <v>135</v>
      </c>
      <c r="CF997" s="5">
        <v>42961</v>
      </c>
      <c r="CG997" s="2"/>
      <c r="CH997" s="2"/>
      <c r="CI997" s="2">
        <v>1</v>
      </c>
      <c r="CJ997" s="2">
        <v>1</v>
      </c>
      <c r="CK997" s="2">
        <v>21</v>
      </c>
      <c r="CL997" s="2" t="s">
        <v>86</v>
      </c>
      <c r="CM997" s="2"/>
    </row>
    <row r="998" spans="1:91">
      <c r="A998" s="2" t="s">
        <v>71</v>
      </c>
      <c r="B998" s="2" t="s">
        <v>72</v>
      </c>
      <c r="C998" s="2" t="s">
        <v>73</v>
      </c>
      <c r="D998" s="2"/>
      <c r="E998" s="2" t="str">
        <f>"FES1162567920"</f>
        <v>FES1162567920</v>
      </c>
      <c r="F998" s="3">
        <v>42957</v>
      </c>
      <c r="G998" s="2">
        <v>201802</v>
      </c>
      <c r="H998" s="2" t="s">
        <v>74</v>
      </c>
      <c r="I998" s="2" t="s">
        <v>75</v>
      </c>
      <c r="J998" s="2" t="s">
        <v>76</v>
      </c>
      <c r="K998" s="2" t="s">
        <v>77</v>
      </c>
      <c r="L998" s="2" t="s">
        <v>97</v>
      </c>
      <c r="M998" s="2" t="s">
        <v>98</v>
      </c>
      <c r="N998" s="2" t="s">
        <v>1041</v>
      </c>
      <c r="O998" s="2" t="s">
        <v>100</v>
      </c>
      <c r="P998" s="2" t="str">
        <f>"2170584096                    "</f>
        <v xml:space="preserve">2170584096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4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1</v>
      </c>
      <c r="BJ998" s="2">
        <v>0.2</v>
      </c>
      <c r="BK998" s="2">
        <v>1</v>
      </c>
      <c r="BL998" s="2">
        <v>41.44</v>
      </c>
      <c r="BM998" s="2">
        <v>5.8</v>
      </c>
      <c r="BN998" s="2">
        <v>47.24</v>
      </c>
      <c r="BO998" s="2">
        <v>47.24</v>
      </c>
      <c r="BP998" s="2">
        <v>1</v>
      </c>
      <c r="BQ998" s="2" t="s">
        <v>108</v>
      </c>
      <c r="BR998" s="2" t="s">
        <v>84</v>
      </c>
      <c r="BS998" s="3">
        <v>42958</v>
      </c>
      <c r="BT998" s="4">
        <v>0.30416666666666664</v>
      </c>
      <c r="BU998" s="2" t="s">
        <v>1710</v>
      </c>
      <c r="BV998" s="2" t="s">
        <v>95</v>
      </c>
      <c r="BW998" s="2"/>
      <c r="BX998" s="2"/>
      <c r="BY998" s="2">
        <v>1200</v>
      </c>
      <c r="BZ998" s="2" t="s">
        <v>27</v>
      </c>
      <c r="CA998" s="2" t="s">
        <v>294</v>
      </c>
      <c r="CB998" s="2"/>
      <c r="CC998" s="2" t="s">
        <v>98</v>
      </c>
      <c r="CD998" s="2">
        <v>6012</v>
      </c>
      <c r="CE998" s="2" t="s">
        <v>104</v>
      </c>
      <c r="CF998" s="5">
        <v>42961</v>
      </c>
      <c r="CG998" s="2"/>
      <c r="CH998" s="2"/>
      <c r="CI998" s="2">
        <v>1</v>
      </c>
      <c r="CJ998" s="2">
        <v>1</v>
      </c>
      <c r="CK998" s="2">
        <v>21</v>
      </c>
      <c r="CL998" s="2" t="s">
        <v>86</v>
      </c>
      <c r="CM998" s="2"/>
    </row>
    <row r="999" spans="1:91">
      <c r="A999" s="2" t="s">
        <v>71</v>
      </c>
      <c r="B999" s="2" t="s">
        <v>72</v>
      </c>
      <c r="C999" s="2" t="s">
        <v>73</v>
      </c>
      <c r="D999" s="2"/>
      <c r="E999" s="2" t="str">
        <f>"FES1162568100"</f>
        <v>FES1162568100</v>
      </c>
      <c r="F999" s="3">
        <v>42957</v>
      </c>
      <c r="G999" s="2">
        <v>201802</v>
      </c>
      <c r="H999" s="2" t="s">
        <v>74</v>
      </c>
      <c r="I999" s="2" t="s">
        <v>75</v>
      </c>
      <c r="J999" s="2" t="s">
        <v>76</v>
      </c>
      <c r="K999" s="2" t="s">
        <v>77</v>
      </c>
      <c r="L999" s="2" t="s">
        <v>216</v>
      </c>
      <c r="M999" s="2" t="s">
        <v>217</v>
      </c>
      <c r="N999" s="2" t="s">
        <v>1722</v>
      </c>
      <c r="O999" s="2" t="s">
        <v>100</v>
      </c>
      <c r="P999" s="2" t="str">
        <f>"2170584202                    "</f>
        <v xml:space="preserve">2170584202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3.13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2.4</v>
      </c>
      <c r="BJ999" s="2">
        <v>0.9</v>
      </c>
      <c r="BK999" s="2">
        <v>3</v>
      </c>
      <c r="BL999" s="2">
        <v>32.380000000000003</v>
      </c>
      <c r="BM999" s="2">
        <v>4.53</v>
      </c>
      <c r="BN999" s="2">
        <v>36.909999999999997</v>
      </c>
      <c r="BO999" s="2">
        <v>36.909999999999997</v>
      </c>
      <c r="BP999" s="2"/>
      <c r="BQ999" s="2" t="s">
        <v>108</v>
      </c>
      <c r="BR999" s="2" t="s">
        <v>84</v>
      </c>
      <c r="BS999" s="3">
        <v>42958</v>
      </c>
      <c r="BT999" s="4">
        <v>0.35069444444444442</v>
      </c>
      <c r="BU999" s="2" t="s">
        <v>1723</v>
      </c>
      <c r="BV999" s="2" t="s">
        <v>95</v>
      </c>
      <c r="BW999" s="2"/>
      <c r="BX999" s="2"/>
      <c r="BY999" s="2">
        <v>4716.1000000000004</v>
      </c>
      <c r="BZ999" s="2" t="s">
        <v>27</v>
      </c>
      <c r="CA999" s="2" t="s">
        <v>220</v>
      </c>
      <c r="CB999" s="2"/>
      <c r="CC999" s="2" t="s">
        <v>217</v>
      </c>
      <c r="CD999" s="2">
        <v>1451</v>
      </c>
      <c r="CE999" s="2" t="s">
        <v>135</v>
      </c>
      <c r="CF999" s="5">
        <v>42961</v>
      </c>
      <c r="CG999" s="2"/>
      <c r="CH999" s="2"/>
      <c r="CI999" s="2">
        <v>1</v>
      </c>
      <c r="CJ999" s="2">
        <v>1</v>
      </c>
      <c r="CK999" s="2">
        <v>22</v>
      </c>
      <c r="CL999" s="2" t="s">
        <v>86</v>
      </c>
      <c r="CM999" s="2"/>
    </row>
    <row r="1000" spans="1:91">
      <c r="A1000" s="2" t="s">
        <v>71</v>
      </c>
      <c r="B1000" s="2" t="s">
        <v>72</v>
      </c>
      <c r="C1000" s="2" t="s">
        <v>73</v>
      </c>
      <c r="D1000" s="2"/>
      <c r="E1000" s="2" t="str">
        <f>"FES1162566665"</f>
        <v>FES1162566665</v>
      </c>
      <c r="F1000" s="3">
        <v>42957</v>
      </c>
      <c r="G1000" s="2">
        <v>201802</v>
      </c>
      <c r="H1000" s="2" t="s">
        <v>74</v>
      </c>
      <c r="I1000" s="2" t="s">
        <v>75</v>
      </c>
      <c r="J1000" s="2" t="s">
        <v>76</v>
      </c>
      <c r="K1000" s="2" t="s">
        <v>77</v>
      </c>
      <c r="L1000" s="2" t="s">
        <v>74</v>
      </c>
      <c r="M1000" s="2" t="s">
        <v>75</v>
      </c>
      <c r="N1000" s="2" t="s">
        <v>1724</v>
      </c>
      <c r="O1000" s="2" t="s">
        <v>100</v>
      </c>
      <c r="P1000" s="2" t="str">
        <f>"2170579592                    "</f>
        <v xml:space="preserve">2170579592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3.13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32.380000000000003</v>
      </c>
      <c r="BM1000" s="2">
        <v>4.53</v>
      </c>
      <c r="BN1000" s="2">
        <v>36.909999999999997</v>
      </c>
      <c r="BO1000" s="2">
        <v>36.909999999999997</v>
      </c>
      <c r="BP1000" s="2"/>
      <c r="BQ1000" s="2" t="s">
        <v>83</v>
      </c>
      <c r="BR1000" s="2" t="s">
        <v>84</v>
      </c>
      <c r="BS1000" s="3">
        <v>42958</v>
      </c>
      <c r="BT1000" s="4">
        <v>0.33819444444444446</v>
      </c>
      <c r="BU1000" s="2" t="s">
        <v>1725</v>
      </c>
      <c r="BV1000" s="2" t="s">
        <v>95</v>
      </c>
      <c r="BW1000" s="2"/>
      <c r="BX1000" s="2"/>
      <c r="BY1000" s="2">
        <v>1200</v>
      </c>
      <c r="BZ1000" s="2" t="s">
        <v>27</v>
      </c>
      <c r="CA1000" s="2" t="s">
        <v>1441</v>
      </c>
      <c r="CB1000" s="2"/>
      <c r="CC1000" s="2" t="s">
        <v>75</v>
      </c>
      <c r="CD1000" s="2">
        <v>1614</v>
      </c>
      <c r="CE1000" s="2" t="s">
        <v>104</v>
      </c>
      <c r="CF1000" s="5">
        <v>42961</v>
      </c>
      <c r="CG1000" s="2"/>
      <c r="CH1000" s="2"/>
      <c r="CI1000" s="2">
        <v>1</v>
      </c>
      <c r="CJ1000" s="2">
        <v>1</v>
      </c>
      <c r="CK1000" s="2">
        <v>22</v>
      </c>
      <c r="CL1000" s="2" t="s">
        <v>86</v>
      </c>
      <c r="CM1000" s="2"/>
    </row>
    <row r="1001" spans="1:91">
      <c r="A1001" s="2" t="s">
        <v>71</v>
      </c>
      <c r="B1001" s="2" t="s">
        <v>72</v>
      </c>
      <c r="C1001" s="2" t="s">
        <v>73</v>
      </c>
      <c r="D1001" s="2"/>
      <c r="E1001" s="2" t="str">
        <f>"FES1162568069"</f>
        <v>FES1162568069</v>
      </c>
      <c r="F1001" s="3">
        <v>42957</v>
      </c>
      <c r="G1001" s="2">
        <v>201802</v>
      </c>
      <c r="H1001" s="2" t="s">
        <v>74</v>
      </c>
      <c r="I1001" s="2" t="s">
        <v>75</v>
      </c>
      <c r="J1001" s="2" t="s">
        <v>76</v>
      </c>
      <c r="K1001" s="2" t="s">
        <v>77</v>
      </c>
      <c r="L1001" s="2" t="s">
        <v>74</v>
      </c>
      <c r="M1001" s="2" t="s">
        <v>75</v>
      </c>
      <c r="N1001" s="2" t="s">
        <v>1726</v>
      </c>
      <c r="O1001" s="2" t="s">
        <v>100</v>
      </c>
      <c r="P1001" s="2" t="str">
        <f>"2170581547                    "</f>
        <v xml:space="preserve">2170581547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3.13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1</v>
      </c>
      <c r="BJ1001" s="2">
        <v>0.2</v>
      </c>
      <c r="BK1001" s="2">
        <v>1</v>
      </c>
      <c r="BL1001" s="2">
        <v>32.380000000000003</v>
      </c>
      <c r="BM1001" s="2">
        <v>4.53</v>
      </c>
      <c r="BN1001" s="2">
        <v>36.909999999999997</v>
      </c>
      <c r="BO1001" s="2">
        <v>36.909999999999997</v>
      </c>
      <c r="BP1001" s="2">
        <v>1</v>
      </c>
      <c r="BQ1001" s="2" t="s">
        <v>1727</v>
      </c>
      <c r="BR1001" s="2" t="s">
        <v>84</v>
      </c>
      <c r="BS1001" s="3">
        <v>42958</v>
      </c>
      <c r="BT1001" s="4">
        <v>0.3666666666666667</v>
      </c>
      <c r="BU1001" s="2" t="s">
        <v>1728</v>
      </c>
      <c r="BV1001" s="2" t="s">
        <v>95</v>
      </c>
      <c r="BW1001" s="2"/>
      <c r="BX1001" s="2"/>
      <c r="BY1001" s="2">
        <v>1200</v>
      </c>
      <c r="BZ1001" s="2" t="s">
        <v>27</v>
      </c>
      <c r="CA1001" s="2" t="s">
        <v>148</v>
      </c>
      <c r="CB1001" s="2"/>
      <c r="CC1001" s="2" t="s">
        <v>75</v>
      </c>
      <c r="CD1001" s="2">
        <v>1600</v>
      </c>
      <c r="CE1001" s="2" t="s">
        <v>104</v>
      </c>
      <c r="CF1001" s="5">
        <v>42961</v>
      </c>
      <c r="CG1001" s="2"/>
      <c r="CH1001" s="2"/>
      <c r="CI1001" s="2">
        <v>1</v>
      </c>
      <c r="CJ1001" s="2">
        <v>1</v>
      </c>
      <c r="CK1001" s="2">
        <v>22</v>
      </c>
      <c r="CL1001" s="2" t="s">
        <v>86</v>
      </c>
      <c r="CM1001" s="2"/>
    </row>
    <row r="1002" spans="1:91">
      <c r="A1002" s="2" t="s">
        <v>71</v>
      </c>
      <c r="B1002" s="2" t="s">
        <v>72</v>
      </c>
      <c r="C1002" s="2" t="s">
        <v>73</v>
      </c>
      <c r="D1002" s="2"/>
      <c r="E1002" s="2" t="str">
        <f>"FES1162568019"</f>
        <v>FES1162568019</v>
      </c>
      <c r="F1002" s="3">
        <v>42957</v>
      </c>
      <c r="G1002" s="2">
        <v>201802</v>
      </c>
      <c r="H1002" s="2" t="s">
        <v>74</v>
      </c>
      <c r="I1002" s="2" t="s">
        <v>75</v>
      </c>
      <c r="J1002" s="2" t="s">
        <v>76</v>
      </c>
      <c r="K1002" s="2" t="s">
        <v>77</v>
      </c>
      <c r="L1002" s="2" t="s">
        <v>74</v>
      </c>
      <c r="M1002" s="2" t="s">
        <v>75</v>
      </c>
      <c r="N1002" s="2" t="s">
        <v>1729</v>
      </c>
      <c r="O1002" s="2" t="s">
        <v>100</v>
      </c>
      <c r="P1002" s="2" t="str">
        <f>"2170582632                    "</f>
        <v xml:space="preserve">2170582632 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3.13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</v>
      </c>
      <c r="BJ1002" s="2">
        <v>0.2</v>
      </c>
      <c r="BK1002" s="2">
        <v>1</v>
      </c>
      <c r="BL1002" s="2">
        <v>32.380000000000003</v>
      </c>
      <c r="BM1002" s="2">
        <v>4.53</v>
      </c>
      <c r="BN1002" s="2">
        <v>36.909999999999997</v>
      </c>
      <c r="BO1002" s="2">
        <v>36.909999999999997</v>
      </c>
      <c r="BP1002" s="2"/>
      <c r="BQ1002" s="2" t="s">
        <v>108</v>
      </c>
      <c r="BR1002" s="2" t="s">
        <v>84</v>
      </c>
      <c r="BS1002" s="3">
        <v>42958</v>
      </c>
      <c r="BT1002" s="4">
        <v>0.4375</v>
      </c>
      <c r="BU1002" s="2" t="s">
        <v>1730</v>
      </c>
      <c r="BV1002" s="2" t="s">
        <v>95</v>
      </c>
      <c r="BW1002" s="2"/>
      <c r="BX1002" s="2"/>
      <c r="BY1002" s="2">
        <v>1200</v>
      </c>
      <c r="BZ1002" s="2" t="s">
        <v>27</v>
      </c>
      <c r="CA1002" s="2" t="s">
        <v>1448</v>
      </c>
      <c r="CB1002" s="2"/>
      <c r="CC1002" s="2" t="s">
        <v>75</v>
      </c>
      <c r="CD1002" s="2">
        <v>1609</v>
      </c>
      <c r="CE1002" s="2" t="s">
        <v>104</v>
      </c>
      <c r="CF1002" s="5">
        <v>42961</v>
      </c>
      <c r="CG1002" s="2"/>
      <c r="CH1002" s="2"/>
      <c r="CI1002" s="2">
        <v>1</v>
      </c>
      <c r="CJ1002" s="2">
        <v>1</v>
      </c>
      <c r="CK1002" s="2">
        <v>22</v>
      </c>
      <c r="CL1002" s="2" t="s">
        <v>86</v>
      </c>
      <c r="CM1002" s="2"/>
    </row>
    <row r="1003" spans="1:91">
      <c r="A1003" s="2" t="s">
        <v>71</v>
      </c>
      <c r="B1003" s="2" t="s">
        <v>72</v>
      </c>
      <c r="C1003" s="2" t="s">
        <v>73</v>
      </c>
      <c r="D1003" s="2"/>
      <c r="E1003" s="2" t="str">
        <f>"FES1162567946"</f>
        <v>FES1162567946</v>
      </c>
      <c r="F1003" s="3">
        <v>42957</v>
      </c>
      <c r="G1003" s="2">
        <v>201802</v>
      </c>
      <c r="H1003" s="2" t="s">
        <v>74</v>
      </c>
      <c r="I1003" s="2" t="s">
        <v>75</v>
      </c>
      <c r="J1003" s="2" t="s">
        <v>76</v>
      </c>
      <c r="K1003" s="2" t="s">
        <v>77</v>
      </c>
      <c r="L1003" s="2" t="s">
        <v>74</v>
      </c>
      <c r="M1003" s="2" t="s">
        <v>75</v>
      </c>
      <c r="N1003" s="2" t="s">
        <v>1731</v>
      </c>
      <c r="O1003" s="2" t="s">
        <v>100</v>
      </c>
      <c r="P1003" s="2" t="str">
        <f>"2170583343                    "</f>
        <v xml:space="preserve">2170583343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3.13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1</v>
      </c>
      <c r="BJ1003" s="2">
        <v>0.2</v>
      </c>
      <c r="BK1003" s="2">
        <v>1</v>
      </c>
      <c r="BL1003" s="2">
        <v>32.380000000000003</v>
      </c>
      <c r="BM1003" s="2">
        <v>4.53</v>
      </c>
      <c r="BN1003" s="2">
        <v>36.909999999999997</v>
      </c>
      <c r="BO1003" s="2">
        <v>36.909999999999997</v>
      </c>
      <c r="BP1003" s="2">
        <v>1</v>
      </c>
      <c r="BQ1003" s="2" t="s">
        <v>1732</v>
      </c>
      <c r="BR1003" s="2" t="s">
        <v>84</v>
      </c>
      <c r="BS1003" s="3">
        <v>42961</v>
      </c>
      <c r="BT1003" s="4">
        <v>0.34652777777777777</v>
      </c>
      <c r="BU1003" s="2" t="s">
        <v>404</v>
      </c>
      <c r="BV1003" s="2" t="s">
        <v>86</v>
      </c>
      <c r="BW1003" s="2" t="s">
        <v>124</v>
      </c>
      <c r="BX1003" s="2" t="s">
        <v>327</v>
      </c>
      <c r="BY1003" s="2">
        <v>1200</v>
      </c>
      <c r="BZ1003" s="2" t="s">
        <v>27</v>
      </c>
      <c r="CA1003" s="2" t="s">
        <v>1733</v>
      </c>
      <c r="CB1003" s="2"/>
      <c r="CC1003" s="2" t="s">
        <v>75</v>
      </c>
      <c r="CD1003" s="2">
        <v>1609</v>
      </c>
      <c r="CE1003" s="2" t="s">
        <v>104</v>
      </c>
      <c r="CF1003" s="5">
        <v>42961</v>
      </c>
      <c r="CG1003" s="2"/>
      <c r="CH1003" s="2"/>
      <c r="CI1003" s="2">
        <v>1</v>
      </c>
      <c r="CJ1003" s="2">
        <v>2</v>
      </c>
      <c r="CK1003" s="2">
        <v>22</v>
      </c>
      <c r="CL1003" s="2" t="s">
        <v>86</v>
      </c>
      <c r="CM1003" s="2"/>
    </row>
    <row r="1004" spans="1:91">
      <c r="A1004" s="2" t="s">
        <v>71</v>
      </c>
      <c r="B1004" s="2" t="s">
        <v>72</v>
      </c>
      <c r="C1004" s="2" t="s">
        <v>73</v>
      </c>
      <c r="D1004" s="2"/>
      <c r="E1004" s="2" t="str">
        <f>"FES1162567957"</f>
        <v>FES1162567957</v>
      </c>
      <c r="F1004" s="3">
        <v>42957</v>
      </c>
      <c r="G1004" s="2">
        <v>201802</v>
      </c>
      <c r="H1004" s="2" t="s">
        <v>74</v>
      </c>
      <c r="I1004" s="2" t="s">
        <v>75</v>
      </c>
      <c r="J1004" s="2" t="s">
        <v>76</v>
      </c>
      <c r="K1004" s="2" t="s">
        <v>77</v>
      </c>
      <c r="L1004" s="2" t="s">
        <v>97</v>
      </c>
      <c r="M1004" s="2" t="s">
        <v>98</v>
      </c>
      <c r="N1004" s="2" t="s">
        <v>229</v>
      </c>
      <c r="O1004" s="2" t="s">
        <v>100</v>
      </c>
      <c r="P1004" s="2" t="str">
        <f>"2170584037                    "</f>
        <v xml:space="preserve">2170584037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4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</v>
      </c>
      <c r="BJ1004" s="2">
        <v>0.2</v>
      </c>
      <c r="BK1004" s="2">
        <v>1</v>
      </c>
      <c r="BL1004" s="2">
        <v>41.44</v>
      </c>
      <c r="BM1004" s="2">
        <v>5.8</v>
      </c>
      <c r="BN1004" s="2">
        <v>47.24</v>
      </c>
      <c r="BO1004" s="2">
        <v>47.24</v>
      </c>
      <c r="BP1004" s="2">
        <v>1</v>
      </c>
      <c r="BQ1004" s="2" t="s">
        <v>1706</v>
      </c>
      <c r="BR1004" s="2" t="s">
        <v>84</v>
      </c>
      <c r="BS1004" s="3">
        <v>42958</v>
      </c>
      <c r="BT1004" s="4">
        <v>0.4291666666666667</v>
      </c>
      <c r="BU1004" s="2" t="s">
        <v>1251</v>
      </c>
      <c r="BV1004" s="2" t="s">
        <v>95</v>
      </c>
      <c r="BW1004" s="2"/>
      <c r="BX1004" s="2"/>
      <c r="BY1004" s="2">
        <v>1200</v>
      </c>
      <c r="BZ1004" s="2" t="s">
        <v>27</v>
      </c>
      <c r="CA1004" s="2" t="s">
        <v>103</v>
      </c>
      <c r="CB1004" s="2"/>
      <c r="CC1004" s="2" t="s">
        <v>98</v>
      </c>
      <c r="CD1004" s="2">
        <v>6001</v>
      </c>
      <c r="CE1004" s="2" t="s">
        <v>104</v>
      </c>
      <c r="CF1004" s="5">
        <v>42961</v>
      </c>
      <c r="CG1004" s="2"/>
      <c r="CH1004" s="2"/>
      <c r="CI1004" s="2">
        <v>1</v>
      </c>
      <c r="CJ1004" s="2">
        <v>1</v>
      </c>
      <c r="CK1004" s="2">
        <v>21</v>
      </c>
      <c r="CL1004" s="2" t="s">
        <v>86</v>
      </c>
      <c r="CM1004" s="2"/>
    </row>
    <row r="1005" spans="1:91">
      <c r="A1005" s="2" t="s">
        <v>71</v>
      </c>
      <c r="B1005" s="2" t="s">
        <v>72</v>
      </c>
      <c r="C1005" s="2" t="s">
        <v>73</v>
      </c>
      <c r="D1005" s="2"/>
      <c r="E1005" s="2" t="str">
        <f>"FES1162567928"</f>
        <v>FES1162567928</v>
      </c>
      <c r="F1005" s="3">
        <v>42957</v>
      </c>
      <c r="G1005" s="2">
        <v>201802</v>
      </c>
      <c r="H1005" s="2" t="s">
        <v>74</v>
      </c>
      <c r="I1005" s="2" t="s">
        <v>75</v>
      </c>
      <c r="J1005" s="2" t="s">
        <v>76</v>
      </c>
      <c r="K1005" s="2" t="s">
        <v>77</v>
      </c>
      <c r="L1005" s="2" t="s">
        <v>321</v>
      </c>
      <c r="M1005" s="2" t="s">
        <v>322</v>
      </c>
      <c r="N1005" s="2" t="s">
        <v>351</v>
      </c>
      <c r="O1005" s="2" t="s">
        <v>100</v>
      </c>
      <c r="P1005" s="2" t="str">
        <f>"2170581219                    "</f>
        <v xml:space="preserve">2170581219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4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1</v>
      </c>
      <c r="BJ1005" s="2">
        <v>0.2</v>
      </c>
      <c r="BK1005" s="2">
        <v>1</v>
      </c>
      <c r="BL1005" s="2">
        <v>41.44</v>
      </c>
      <c r="BM1005" s="2">
        <v>5.8</v>
      </c>
      <c r="BN1005" s="2">
        <v>47.24</v>
      </c>
      <c r="BO1005" s="2">
        <v>47.24</v>
      </c>
      <c r="BP1005" s="2">
        <v>1</v>
      </c>
      <c r="BQ1005" s="2" t="s">
        <v>1734</v>
      </c>
      <c r="BR1005" s="2" t="s">
        <v>84</v>
      </c>
      <c r="BS1005" s="3">
        <v>42958</v>
      </c>
      <c r="BT1005" s="4">
        <v>0.39652777777777781</v>
      </c>
      <c r="BU1005" s="2" t="s">
        <v>1068</v>
      </c>
      <c r="BV1005" s="2" t="s">
        <v>95</v>
      </c>
      <c r="BW1005" s="2"/>
      <c r="BX1005" s="2"/>
      <c r="BY1005" s="2">
        <v>1200</v>
      </c>
      <c r="BZ1005" s="2" t="s">
        <v>27</v>
      </c>
      <c r="CA1005" s="2" t="s">
        <v>103</v>
      </c>
      <c r="CB1005" s="2"/>
      <c r="CC1005" s="2" t="s">
        <v>322</v>
      </c>
      <c r="CD1005" s="2">
        <v>6220</v>
      </c>
      <c r="CE1005" s="2" t="s">
        <v>104</v>
      </c>
      <c r="CF1005" s="5">
        <v>42961</v>
      </c>
      <c r="CG1005" s="2"/>
      <c r="CH1005" s="2"/>
      <c r="CI1005" s="2">
        <v>1</v>
      </c>
      <c r="CJ1005" s="2">
        <v>1</v>
      </c>
      <c r="CK1005" s="2">
        <v>21</v>
      </c>
      <c r="CL1005" s="2" t="s">
        <v>86</v>
      </c>
      <c r="CM1005" s="2"/>
    </row>
    <row r="1006" spans="1:91">
      <c r="A1006" s="2" t="s">
        <v>71</v>
      </c>
      <c r="B1006" s="2" t="s">
        <v>72</v>
      </c>
      <c r="C1006" s="2" t="s">
        <v>73</v>
      </c>
      <c r="D1006" s="2"/>
      <c r="E1006" s="2" t="str">
        <f>"FES1162567993"</f>
        <v>FES1162567993</v>
      </c>
      <c r="F1006" s="3">
        <v>42957</v>
      </c>
      <c r="G1006" s="2">
        <v>201802</v>
      </c>
      <c r="H1006" s="2" t="s">
        <v>74</v>
      </c>
      <c r="I1006" s="2" t="s">
        <v>75</v>
      </c>
      <c r="J1006" s="2" t="s">
        <v>76</v>
      </c>
      <c r="K1006" s="2" t="s">
        <v>77</v>
      </c>
      <c r="L1006" s="2" t="s">
        <v>144</v>
      </c>
      <c r="M1006" s="2" t="s">
        <v>145</v>
      </c>
      <c r="N1006" s="2" t="s">
        <v>146</v>
      </c>
      <c r="O1006" s="2" t="s">
        <v>100</v>
      </c>
      <c r="P1006" s="2" t="str">
        <f>"2170583725                    "</f>
        <v xml:space="preserve">2170583725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3.13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1</v>
      </c>
      <c r="BJ1006" s="2">
        <v>0.2</v>
      </c>
      <c r="BK1006" s="2">
        <v>1</v>
      </c>
      <c r="BL1006" s="2">
        <v>32.380000000000003</v>
      </c>
      <c r="BM1006" s="2">
        <v>4.53</v>
      </c>
      <c r="BN1006" s="2">
        <v>36.909999999999997</v>
      </c>
      <c r="BO1006" s="2">
        <v>36.909999999999997</v>
      </c>
      <c r="BP1006" s="2"/>
      <c r="BQ1006" s="2" t="s">
        <v>83</v>
      </c>
      <c r="BR1006" s="2" t="s">
        <v>84</v>
      </c>
      <c r="BS1006" s="3">
        <v>42958</v>
      </c>
      <c r="BT1006" s="4">
        <v>0.4513888888888889</v>
      </c>
      <c r="BU1006" s="2" t="s">
        <v>1632</v>
      </c>
      <c r="BV1006" s="2" t="s">
        <v>95</v>
      </c>
      <c r="BW1006" s="2"/>
      <c r="BX1006" s="2"/>
      <c r="BY1006" s="2">
        <v>1200</v>
      </c>
      <c r="BZ1006" s="2" t="s">
        <v>27</v>
      </c>
      <c r="CA1006" s="2" t="s">
        <v>729</v>
      </c>
      <c r="CB1006" s="2"/>
      <c r="CC1006" s="2" t="s">
        <v>145</v>
      </c>
      <c r="CD1006" s="2">
        <v>2094</v>
      </c>
      <c r="CE1006" s="2" t="s">
        <v>104</v>
      </c>
      <c r="CF1006" s="5">
        <v>42961</v>
      </c>
      <c r="CG1006" s="2"/>
      <c r="CH1006" s="2"/>
      <c r="CI1006" s="2">
        <v>1</v>
      </c>
      <c r="CJ1006" s="2">
        <v>1</v>
      </c>
      <c r="CK1006" s="2">
        <v>22</v>
      </c>
      <c r="CL1006" s="2" t="s">
        <v>86</v>
      </c>
      <c r="CM1006" s="2"/>
    </row>
    <row r="1007" spans="1:91">
      <c r="A1007" s="2" t="s">
        <v>71</v>
      </c>
      <c r="B1007" s="2" t="s">
        <v>72</v>
      </c>
      <c r="C1007" s="2" t="s">
        <v>73</v>
      </c>
      <c r="D1007" s="2"/>
      <c r="E1007" s="2" t="str">
        <f>"FES1162567922"</f>
        <v>FES1162567922</v>
      </c>
      <c r="F1007" s="3">
        <v>42957</v>
      </c>
      <c r="G1007" s="2">
        <v>201802</v>
      </c>
      <c r="H1007" s="2" t="s">
        <v>74</v>
      </c>
      <c r="I1007" s="2" t="s">
        <v>75</v>
      </c>
      <c r="J1007" s="2" t="s">
        <v>76</v>
      </c>
      <c r="K1007" s="2" t="s">
        <v>77</v>
      </c>
      <c r="L1007" s="2" t="s">
        <v>97</v>
      </c>
      <c r="M1007" s="2" t="s">
        <v>98</v>
      </c>
      <c r="N1007" s="2" t="s">
        <v>248</v>
      </c>
      <c r="O1007" s="2" t="s">
        <v>100</v>
      </c>
      <c r="P1007" s="2" t="str">
        <f>"2170573593                    "</f>
        <v xml:space="preserve">2170573593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4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1</v>
      </c>
      <c r="BJ1007" s="2">
        <v>0.2</v>
      </c>
      <c r="BK1007" s="2">
        <v>1</v>
      </c>
      <c r="BL1007" s="2">
        <v>41.44</v>
      </c>
      <c r="BM1007" s="2">
        <v>5.8</v>
      </c>
      <c r="BN1007" s="2">
        <v>47.24</v>
      </c>
      <c r="BO1007" s="2">
        <v>47.24</v>
      </c>
      <c r="BP1007" s="2">
        <v>1</v>
      </c>
      <c r="BQ1007" s="2" t="s">
        <v>83</v>
      </c>
      <c r="BR1007" s="2" t="s">
        <v>84</v>
      </c>
      <c r="BS1007" s="3">
        <v>42958</v>
      </c>
      <c r="BT1007" s="4">
        <v>0.33749999999999997</v>
      </c>
      <c r="BU1007" s="2" t="s">
        <v>390</v>
      </c>
      <c r="BV1007" s="2" t="s">
        <v>95</v>
      </c>
      <c r="BW1007" s="2"/>
      <c r="BX1007" s="2"/>
      <c r="BY1007" s="2">
        <v>1200</v>
      </c>
      <c r="BZ1007" s="2" t="s">
        <v>27</v>
      </c>
      <c r="CA1007" s="2" t="s">
        <v>294</v>
      </c>
      <c r="CB1007" s="2"/>
      <c r="CC1007" s="2" t="s">
        <v>98</v>
      </c>
      <c r="CD1007" s="2">
        <v>6001</v>
      </c>
      <c r="CE1007" s="2" t="s">
        <v>104</v>
      </c>
      <c r="CF1007" s="5">
        <v>42961</v>
      </c>
      <c r="CG1007" s="2"/>
      <c r="CH1007" s="2"/>
      <c r="CI1007" s="2">
        <v>1</v>
      </c>
      <c r="CJ1007" s="2">
        <v>1</v>
      </c>
      <c r="CK1007" s="2">
        <v>21</v>
      </c>
      <c r="CL1007" s="2" t="s">
        <v>86</v>
      </c>
      <c r="CM1007" s="2"/>
    </row>
    <row r="1008" spans="1:91">
      <c r="A1008" s="2" t="s">
        <v>71</v>
      </c>
      <c r="B1008" s="2" t="s">
        <v>72</v>
      </c>
      <c r="C1008" s="2" t="s">
        <v>73</v>
      </c>
      <c r="D1008" s="2"/>
      <c r="E1008" s="2" t="str">
        <f>"FES1162567925"</f>
        <v>FES1162567925</v>
      </c>
      <c r="F1008" s="3">
        <v>42957</v>
      </c>
      <c r="G1008" s="2">
        <v>201802</v>
      </c>
      <c r="H1008" s="2" t="s">
        <v>74</v>
      </c>
      <c r="I1008" s="2" t="s">
        <v>75</v>
      </c>
      <c r="J1008" s="2" t="s">
        <v>76</v>
      </c>
      <c r="K1008" s="2" t="s">
        <v>77</v>
      </c>
      <c r="L1008" s="2" t="s">
        <v>97</v>
      </c>
      <c r="M1008" s="2" t="s">
        <v>98</v>
      </c>
      <c r="N1008" s="2" t="s">
        <v>214</v>
      </c>
      <c r="O1008" s="2" t="s">
        <v>100</v>
      </c>
      <c r="P1008" s="2" t="str">
        <f>"2170579828                    "</f>
        <v xml:space="preserve">2170579828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4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1</v>
      </c>
      <c r="BJ1008" s="2">
        <v>0.2</v>
      </c>
      <c r="BK1008" s="2">
        <v>1</v>
      </c>
      <c r="BL1008" s="2">
        <v>41.44</v>
      </c>
      <c r="BM1008" s="2">
        <v>5.8</v>
      </c>
      <c r="BN1008" s="2">
        <v>47.24</v>
      </c>
      <c r="BO1008" s="2">
        <v>47.24</v>
      </c>
      <c r="BP1008" s="2">
        <v>1</v>
      </c>
      <c r="BQ1008" s="2" t="s">
        <v>108</v>
      </c>
      <c r="BR1008" s="2" t="s">
        <v>84</v>
      </c>
      <c r="BS1008" s="3">
        <v>42958</v>
      </c>
      <c r="BT1008" s="4">
        <v>0.30208333333333331</v>
      </c>
      <c r="BU1008" s="2" t="s">
        <v>1131</v>
      </c>
      <c r="BV1008" s="2" t="s">
        <v>95</v>
      </c>
      <c r="BW1008" s="2"/>
      <c r="BX1008" s="2"/>
      <c r="BY1008" s="2">
        <v>1200</v>
      </c>
      <c r="BZ1008" s="2" t="s">
        <v>27</v>
      </c>
      <c r="CA1008" s="2" t="s">
        <v>213</v>
      </c>
      <c r="CB1008" s="2"/>
      <c r="CC1008" s="2" t="s">
        <v>98</v>
      </c>
      <c r="CD1008" s="2">
        <v>6001</v>
      </c>
      <c r="CE1008" s="2" t="s">
        <v>104</v>
      </c>
      <c r="CF1008" s="5">
        <v>42961</v>
      </c>
      <c r="CG1008" s="2"/>
      <c r="CH1008" s="2"/>
      <c r="CI1008" s="2">
        <v>1</v>
      </c>
      <c r="CJ1008" s="2">
        <v>1</v>
      </c>
      <c r="CK1008" s="2">
        <v>21</v>
      </c>
      <c r="CL1008" s="2" t="s">
        <v>86</v>
      </c>
      <c r="CM1008" s="2"/>
    </row>
    <row r="1009" spans="1:91">
      <c r="A1009" s="2" t="s">
        <v>71</v>
      </c>
      <c r="B1009" s="2" t="s">
        <v>72</v>
      </c>
      <c r="C1009" s="2" t="s">
        <v>73</v>
      </c>
      <c r="D1009" s="2"/>
      <c r="E1009" s="2" t="str">
        <f>"FES1162567890"</f>
        <v>FES1162567890</v>
      </c>
      <c r="F1009" s="3">
        <v>42957</v>
      </c>
      <c r="G1009" s="2">
        <v>201802</v>
      </c>
      <c r="H1009" s="2" t="s">
        <v>74</v>
      </c>
      <c r="I1009" s="2" t="s">
        <v>75</v>
      </c>
      <c r="J1009" s="2" t="s">
        <v>76</v>
      </c>
      <c r="K1009" s="2" t="s">
        <v>77</v>
      </c>
      <c r="L1009" s="2" t="s">
        <v>97</v>
      </c>
      <c r="M1009" s="2" t="s">
        <v>98</v>
      </c>
      <c r="N1009" s="2" t="s">
        <v>1544</v>
      </c>
      <c r="O1009" s="2" t="s">
        <v>100</v>
      </c>
      <c r="P1009" s="2" t="str">
        <f>"2170582479                    "</f>
        <v xml:space="preserve">2170582479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4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1</v>
      </c>
      <c r="BI1009" s="2">
        <v>1</v>
      </c>
      <c r="BJ1009" s="2">
        <v>0.2</v>
      </c>
      <c r="BK1009" s="2">
        <v>1</v>
      </c>
      <c r="BL1009" s="2">
        <v>41.44</v>
      </c>
      <c r="BM1009" s="2">
        <v>5.8</v>
      </c>
      <c r="BN1009" s="2">
        <v>47.24</v>
      </c>
      <c r="BO1009" s="2">
        <v>47.24</v>
      </c>
      <c r="BP1009" s="2">
        <v>1</v>
      </c>
      <c r="BQ1009" s="2" t="s">
        <v>1545</v>
      </c>
      <c r="BR1009" s="2" t="s">
        <v>84</v>
      </c>
      <c r="BS1009" s="3">
        <v>42958</v>
      </c>
      <c r="BT1009" s="4">
        <v>0.32083333333333336</v>
      </c>
      <c r="BU1009" s="2" t="s">
        <v>1546</v>
      </c>
      <c r="BV1009" s="2" t="s">
        <v>95</v>
      </c>
      <c r="BW1009" s="2"/>
      <c r="BX1009" s="2"/>
      <c r="BY1009" s="2">
        <v>1200</v>
      </c>
      <c r="BZ1009" s="2" t="s">
        <v>27</v>
      </c>
      <c r="CA1009" s="2" t="s">
        <v>600</v>
      </c>
      <c r="CB1009" s="2"/>
      <c r="CC1009" s="2" t="s">
        <v>98</v>
      </c>
      <c r="CD1009" s="2">
        <v>6045</v>
      </c>
      <c r="CE1009" s="2" t="s">
        <v>104</v>
      </c>
      <c r="CF1009" s="5">
        <v>42961</v>
      </c>
      <c r="CG1009" s="2"/>
      <c r="CH1009" s="2"/>
      <c r="CI1009" s="2">
        <v>1</v>
      </c>
      <c r="CJ1009" s="2">
        <v>1</v>
      </c>
      <c r="CK1009" s="2">
        <v>21</v>
      </c>
      <c r="CL1009" s="2" t="s">
        <v>86</v>
      </c>
      <c r="CM1009" s="2"/>
    </row>
    <row r="1010" spans="1:91">
      <c r="A1010" s="2" t="s">
        <v>71</v>
      </c>
      <c r="B1010" s="2" t="s">
        <v>72</v>
      </c>
      <c r="C1010" s="2" t="s">
        <v>73</v>
      </c>
      <c r="D1010" s="2"/>
      <c r="E1010" s="2" t="str">
        <f>"FES1162567947"</f>
        <v>FES1162567947</v>
      </c>
      <c r="F1010" s="3">
        <v>42957</v>
      </c>
      <c r="G1010" s="2">
        <v>201802</v>
      </c>
      <c r="H1010" s="2" t="s">
        <v>74</v>
      </c>
      <c r="I1010" s="2" t="s">
        <v>75</v>
      </c>
      <c r="J1010" s="2" t="s">
        <v>76</v>
      </c>
      <c r="K1010" s="2" t="s">
        <v>77</v>
      </c>
      <c r="L1010" s="2" t="s">
        <v>174</v>
      </c>
      <c r="M1010" s="2" t="s">
        <v>175</v>
      </c>
      <c r="N1010" s="2" t="s">
        <v>920</v>
      </c>
      <c r="O1010" s="2" t="s">
        <v>100</v>
      </c>
      <c r="P1010" s="2" t="str">
        <f>"2170583570                    "</f>
        <v xml:space="preserve">2170583570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12.01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1</v>
      </c>
      <c r="BI1010" s="2">
        <v>0.5</v>
      </c>
      <c r="BJ1010" s="2">
        <v>5.9</v>
      </c>
      <c r="BK1010" s="2">
        <v>6</v>
      </c>
      <c r="BL1010" s="2">
        <v>124.33</v>
      </c>
      <c r="BM1010" s="2">
        <v>17.41</v>
      </c>
      <c r="BN1010" s="2">
        <v>141.74</v>
      </c>
      <c r="BO1010" s="2">
        <v>141.74</v>
      </c>
      <c r="BP1010" s="2">
        <v>1</v>
      </c>
      <c r="BQ1010" s="2" t="s">
        <v>108</v>
      </c>
      <c r="BR1010" s="2" t="s">
        <v>84</v>
      </c>
      <c r="BS1010" s="3">
        <v>42958</v>
      </c>
      <c r="BT1010" s="4">
        <v>0.40277777777777773</v>
      </c>
      <c r="BU1010" s="2" t="s">
        <v>1735</v>
      </c>
      <c r="BV1010" s="2" t="s">
        <v>95</v>
      </c>
      <c r="BW1010" s="2"/>
      <c r="BX1010" s="2"/>
      <c r="BY1010" s="2">
        <v>29620.799999999999</v>
      </c>
      <c r="BZ1010" s="2" t="s">
        <v>27</v>
      </c>
      <c r="CA1010" s="2"/>
      <c r="CB1010" s="2"/>
      <c r="CC1010" s="2" t="s">
        <v>175</v>
      </c>
      <c r="CD1010" s="2">
        <v>5201</v>
      </c>
      <c r="CE1010" s="2" t="s">
        <v>104</v>
      </c>
      <c r="CF1010" s="5">
        <v>42961</v>
      </c>
      <c r="CG1010" s="2"/>
      <c r="CH1010" s="2"/>
      <c r="CI1010" s="2">
        <v>1</v>
      </c>
      <c r="CJ1010" s="2">
        <v>1</v>
      </c>
      <c r="CK1010" s="2">
        <v>21</v>
      </c>
      <c r="CL1010" s="2" t="s">
        <v>86</v>
      </c>
      <c r="CM1010" s="2"/>
    </row>
    <row r="1011" spans="1:91">
      <c r="A1011" s="2" t="s">
        <v>71</v>
      </c>
      <c r="B1011" s="2" t="s">
        <v>72</v>
      </c>
      <c r="C1011" s="2" t="s">
        <v>73</v>
      </c>
      <c r="D1011" s="2"/>
      <c r="E1011" s="2" t="str">
        <f>"FES1162567994"</f>
        <v>FES1162567994</v>
      </c>
      <c r="F1011" s="3">
        <v>42957</v>
      </c>
      <c r="G1011" s="2">
        <v>201802</v>
      </c>
      <c r="H1011" s="2" t="s">
        <v>74</v>
      </c>
      <c r="I1011" s="2" t="s">
        <v>75</v>
      </c>
      <c r="J1011" s="2" t="s">
        <v>76</v>
      </c>
      <c r="K1011" s="2" t="s">
        <v>77</v>
      </c>
      <c r="L1011" s="2" t="s">
        <v>944</v>
      </c>
      <c r="M1011" s="2" t="s">
        <v>944</v>
      </c>
      <c r="N1011" s="2" t="s">
        <v>821</v>
      </c>
      <c r="O1011" s="2" t="s">
        <v>100</v>
      </c>
      <c r="P1011" s="2" t="str">
        <f>"2170584000                    "</f>
        <v xml:space="preserve">2170584000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5.63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1</v>
      </c>
      <c r="BJ1011" s="2">
        <v>0.2</v>
      </c>
      <c r="BK1011" s="2">
        <v>1</v>
      </c>
      <c r="BL1011" s="2">
        <v>58.28</v>
      </c>
      <c r="BM1011" s="2">
        <v>8.16</v>
      </c>
      <c r="BN1011" s="2">
        <v>66.44</v>
      </c>
      <c r="BO1011" s="2">
        <v>66.44</v>
      </c>
      <c r="BP1011" s="2"/>
      <c r="BQ1011" s="2" t="s">
        <v>108</v>
      </c>
      <c r="BR1011" s="2" t="s">
        <v>84</v>
      </c>
      <c r="BS1011" s="3">
        <v>42958</v>
      </c>
      <c r="BT1011" s="4">
        <v>0.41666666666666669</v>
      </c>
      <c r="BU1011" s="2" t="s">
        <v>1736</v>
      </c>
      <c r="BV1011" s="2" t="s">
        <v>95</v>
      </c>
      <c r="BW1011" s="2"/>
      <c r="BX1011" s="2"/>
      <c r="BY1011" s="2">
        <v>1200</v>
      </c>
      <c r="BZ1011" s="2" t="s">
        <v>27</v>
      </c>
      <c r="CA1011" s="2" t="s">
        <v>960</v>
      </c>
      <c r="CB1011" s="2"/>
      <c r="CC1011" s="2" t="s">
        <v>944</v>
      </c>
      <c r="CD1011" s="2">
        <v>1491</v>
      </c>
      <c r="CE1011" s="2" t="s">
        <v>104</v>
      </c>
      <c r="CF1011" s="5">
        <v>42961</v>
      </c>
      <c r="CG1011" s="2"/>
      <c r="CH1011" s="2"/>
      <c r="CI1011" s="2">
        <v>1</v>
      </c>
      <c r="CJ1011" s="2">
        <v>1</v>
      </c>
      <c r="CK1011" s="2">
        <v>24</v>
      </c>
      <c r="CL1011" s="2" t="s">
        <v>86</v>
      </c>
      <c r="CM1011" s="2"/>
    </row>
    <row r="1012" spans="1:91">
      <c r="A1012" s="2" t="s">
        <v>71</v>
      </c>
      <c r="B1012" s="2" t="s">
        <v>72</v>
      </c>
      <c r="C1012" s="2" t="s">
        <v>73</v>
      </c>
      <c r="D1012" s="2"/>
      <c r="E1012" s="2" t="str">
        <f>"FES1162567978"</f>
        <v>FES1162567978</v>
      </c>
      <c r="F1012" s="3">
        <v>42957</v>
      </c>
      <c r="G1012" s="2">
        <v>201802</v>
      </c>
      <c r="H1012" s="2" t="s">
        <v>74</v>
      </c>
      <c r="I1012" s="2" t="s">
        <v>75</v>
      </c>
      <c r="J1012" s="2" t="s">
        <v>76</v>
      </c>
      <c r="K1012" s="2" t="s">
        <v>77</v>
      </c>
      <c r="L1012" s="2" t="s">
        <v>144</v>
      </c>
      <c r="M1012" s="2" t="s">
        <v>145</v>
      </c>
      <c r="N1012" s="2" t="s">
        <v>146</v>
      </c>
      <c r="O1012" s="2" t="s">
        <v>100</v>
      </c>
      <c r="P1012" s="2" t="str">
        <f>"2170581991                    "</f>
        <v xml:space="preserve">2170581991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3.13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1</v>
      </c>
      <c r="BJ1012" s="2">
        <v>0.2</v>
      </c>
      <c r="BK1012" s="2">
        <v>1</v>
      </c>
      <c r="BL1012" s="2">
        <v>32.380000000000003</v>
      </c>
      <c r="BM1012" s="2">
        <v>4.53</v>
      </c>
      <c r="BN1012" s="2">
        <v>36.909999999999997</v>
      </c>
      <c r="BO1012" s="2">
        <v>36.909999999999997</v>
      </c>
      <c r="BP1012" s="2"/>
      <c r="BQ1012" s="2" t="s">
        <v>83</v>
      </c>
      <c r="BR1012" s="2" t="s">
        <v>84</v>
      </c>
      <c r="BS1012" s="3">
        <v>42958</v>
      </c>
      <c r="BT1012" s="4">
        <v>0.4513888888888889</v>
      </c>
      <c r="BU1012" s="2" t="s">
        <v>1737</v>
      </c>
      <c r="BV1012" s="2" t="s">
        <v>95</v>
      </c>
      <c r="BW1012" s="2"/>
      <c r="BX1012" s="2"/>
      <c r="BY1012" s="2">
        <v>1200</v>
      </c>
      <c r="BZ1012" s="2" t="s">
        <v>27</v>
      </c>
      <c r="CA1012" s="2" t="s">
        <v>729</v>
      </c>
      <c r="CB1012" s="2"/>
      <c r="CC1012" s="2" t="s">
        <v>145</v>
      </c>
      <c r="CD1012" s="2">
        <v>2094</v>
      </c>
      <c r="CE1012" s="2" t="s">
        <v>104</v>
      </c>
      <c r="CF1012" s="5">
        <v>42961</v>
      </c>
      <c r="CG1012" s="2"/>
      <c r="CH1012" s="2"/>
      <c r="CI1012" s="2">
        <v>1</v>
      </c>
      <c r="CJ1012" s="2">
        <v>1</v>
      </c>
      <c r="CK1012" s="2">
        <v>22</v>
      </c>
      <c r="CL1012" s="2" t="s">
        <v>86</v>
      </c>
      <c r="CM1012" s="2"/>
    </row>
    <row r="1013" spans="1:91">
      <c r="A1013" s="2" t="s">
        <v>71</v>
      </c>
      <c r="B1013" s="2" t="s">
        <v>72</v>
      </c>
      <c r="C1013" s="2" t="s">
        <v>73</v>
      </c>
      <c r="D1013" s="2"/>
      <c r="E1013" s="2" t="str">
        <f>"FES1162568077"</f>
        <v>FES1162568077</v>
      </c>
      <c r="F1013" s="3">
        <v>42957</v>
      </c>
      <c r="G1013" s="2">
        <v>201802</v>
      </c>
      <c r="H1013" s="2" t="s">
        <v>74</v>
      </c>
      <c r="I1013" s="2" t="s">
        <v>75</v>
      </c>
      <c r="J1013" s="2" t="s">
        <v>76</v>
      </c>
      <c r="K1013" s="2" t="s">
        <v>77</v>
      </c>
      <c r="L1013" s="2" t="s">
        <v>1229</v>
      </c>
      <c r="M1013" s="2" t="s">
        <v>1230</v>
      </c>
      <c r="N1013" s="2" t="s">
        <v>1231</v>
      </c>
      <c r="O1013" s="2" t="s">
        <v>100</v>
      </c>
      <c r="P1013" s="2" t="str">
        <f>"2170584129                    "</f>
        <v xml:space="preserve">2170584129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3.13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1.2</v>
      </c>
      <c r="BJ1013" s="2">
        <v>4.5999999999999996</v>
      </c>
      <c r="BK1013" s="2">
        <v>5</v>
      </c>
      <c r="BL1013" s="2">
        <v>32.380000000000003</v>
      </c>
      <c r="BM1013" s="2">
        <v>4.53</v>
      </c>
      <c r="BN1013" s="2">
        <v>36.909999999999997</v>
      </c>
      <c r="BO1013" s="2">
        <v>36.909999999999997</v>
      </c>
      <c r="BP1013" s="2">
        <v>1</v>
      </c>
      <c r="BQ1013" s="2" t="s">
        <v>1232</v>
      </c>
      <c r="BR1013" s="2" t="s">
        <v>84</v>
      </c>
      <c r="BS1013" s="3">
        <v>42958</v>
      </c>
      <c r="BT1013" s="4">
        <v>0.46666666666666662</v>
      </c>
      <c r="BU1013" s="2" t="s">
        <v>1232</v>
      </c>
      <c r="BV1013" s="2" t="s">
        <v>86</v>
      </c>
      <c r="BW1013" s="2" t="s">
        <v>124</v>
      </c>
      <c r="BX1013" s="2" t="s">
        <v>327</v>
      </c>
      <c r="BY1013" s="2">
        <v>23083.01</v>
      </c>
      <c r="BZ1013" s="2" t="s">
        <v>27</v>
      </c>
      <c r="CA1013" s="2" t="s">
        <v>1738</v>
      </c>
      <c r="CB1013" s="2"/>
      <c r="CC1013" s="2" t="s">
        <v>1230</v>
      </c>
      <c r="CD1013" s="2">
        <v>1449</v>
      </c>
      <c r="CE1013" s="2" t="s">
        <v>104</v>
      </c>
      <c r="CF1013" s="5">
        <v>42961</v>
      </c>
      <c r="CG1013" s="2"/>
      <c r="CH1013" s="2"/>
      <c r="CI1013" s="2">
        <v>1</v>
      </c>
      <c r="CJ1013" s="2">
        <v>1</v>
      </c>
      <c r="CK1013" s="2">
        <v>22</v>
      </c>
      <c r="CL1013" s="2" t="s">
        <v>86</v>
      </c>
      <c r="CM1013" s="2"/>
    </row>
    <row r="1014" spans="1:91">
      <c r="A1014" s="2" t="s">
        <v>71</v>
      </c>
      <c r="B1014" s="2" t="s">
        <v>72</v>
      </c>
      <c r="C1014" s="2" t="s">
        <v>73</v>
      </c>
      <c r="D1014" s="2"/>
      <c r="E1014" s="2" t="str">
        <f>"FES1162568064"</f>
        <v>FES1162568064</v>
      </c>
      <c r="F1014" s="3">
        <v>42957</v>
      </c>
      <c r="G1014" s="2">
        <v>201802</v>
      </c>
      <c r="H1014" s="2" t="s">
        <v>74</v>
      </c>
      <c r="I1014" s="2" t="s">
        <v>75</v>
      </c>
      <c r="J1014" s="2" t="s">
        <v>76</v>
      </c>
      <c r="K1014" s="2" t="s">
        <v>77</v>
      </c>
      <c r="L1014" s="2" t="s">
        <v>170</v>
      </c>
      <c r="M1014" s="2" t="s">
        <v>171</v>
      </c>
      <c r="N1014" s="2" t="s">
        <v>585</v>
      </c>
      <c r="O1014" s="2" t="s">
        <v>100</v>
      </c>
      <c r="P1014" s="2" t="str">
        <f>"2170581371                    "</f>
        <v xml:space="preserve">2170581371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3.13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1</v>
      </c>
      <c r="BJ1014" s="2">
        <v>0.2</v>
      </c>
      <c r="BK1014" s="2">
        <v>1</v>
      </c>
      <c r="BL1014" s="2">
        <v>32.380000000000003</v>
      </c>
      <c r="BM1014" s="2">
        <v>4.53</v>
      </c>
      <c r="BN1014" s="2">
        <v>36.909999999999997</v>
      </c>
      <c r="BO1014" s="2">
        <v>36.909999999999997</v>
      </c>
      <c r="BP1014" s="2">
        <v>1</v>
      </c>
      <c r="BQ1014" s="2" t="s">
        <v>586</v>
      </c>
      <c r="BR1014" s="2" t="s">
        <v>84</v>
      </c>
      <c r="BS1014" s="3">
        <v>42958</v>
      </c>
      <c r="BT1014" s="4">
        <v>0.36874999999999997</v>
      </c>
      <c r="BU1014" s="2" t="s">
        <v>1739</v>
      </c>
      <c r="BV1014" s="2" t="s">
        <v>95</v>
      </c>
      <c r="BW1014" s="2"/>
      <c r="BX1014" s="2"/>
      <c r="BY1014" s="2">
        <v>1200</v>
      </c>
      <c r="BZ1014" s="2" t="s">
        <v>27</v>
      </c>
      <c r="CA1014" s="2" t="s">
        <v>1441</v>
      </c>
      <c r="CB1014" s="2"/>
      <c r="CC1014" s="2" t="s">
        <v>171</v>
      </c>
      <c r="CD1014" s="2">
        <v>1406</v>
      </c>
      <c r="CE1014" s="2" t="s">
        <v>104</v>
      </c>
      <c r="CF1014" s="5">
        <v>42961</v>
      </c>
      <c r="CG1014" s="2"/>
      <c r="CH1014" s="2"/>
      <c r="CI1014" s="2">
        <v>1</v>
      </c>
      <c r="CJ1014" s="2">
        <v>1</v>
      </c>
      <c r="CK1014" s="2">
        <v>22</v>
      </c>
      <c r="CL1014" s="2" t="s">
        <v>86</v>
      </c>
      <c r="CM1014" s="2"/>
    </row>
    <row r="1015" spans="1:91">
      <c r="A1015" s="2" t="s">
        <v>71</v>
      </c>
      <c r="B1015" s="2" t="s">
        <v>72</v>
      </c>
      <c r="C1015" s="2" t="s">
        <v>73</v>
      </c>
      <c r="D1015" s="2"/>
      <c r="E1015" s="2" t="str">
        <f>"FES1162568080"</f>
        <v>FES1162568080</v>
      </c>
      <c r="F1015" s="3">
        <v>42957</v>
      </c>
      <c r="G1015" s="2">
        <v>201802</v>
      </c>
      <c r="H1015" s="2" t="s">
        <v>74</v>
      </c>
      <c r="I1015" s="2" t="s">
        <v>75</v>
      </c>
      <c r="J1015" s="2" t="s">
        <v>76</v>
      </c>
      <c r="K1015" s="2" t="s">
        <v>77</v>
      </c>
      <c r="L1015" s="2" t="s">
        <v>144</v>
      </c>
      <c r="M1015" s="2" t="s">
        <v>145</v>
      </c>
      <c r="N1015" s="2" t="s">
        <v>146</v>
      </c>
      <c r="O1015" s="2" t="s">
        <v>100</v>
      </c>
      <c r="P1015" s="2" t="str">
        <f>"2170584177                    "</f>
        <v xml:space="preserve">2170584177  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3.13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1</v>
      </c>
      <c r="BJ1015" s="2">
        <v>0.2</v>
      </c>
      <c r="BK1015" s="2">
        <v>1</v>
      </c>
      <c r="BL1015" s="2">
        <v>32.380000000000003</v>
      </c>
      <c r="BM1015" s="2">
        <v>4.53</v>
      </c>
      <c r="BN1015" s="2">
        <v>36.909999999999997</v>
      </c>
      <c r="BO1015" s="2">
        <v>36.909999999999997</v>
      </c>
      <c r="BP1015" s="2">
        <v>1</v>
      </c>
      <c r="BQ1015" s="2" t="s">
        <v>83</v>
      </c>
      <c r="BR1015" s="2" t="s">
        <v>84</v>
      </c>
      <c r="BS1015" s="3">
        <v>42958</v>
      </c>
      <c r="BT1015" s="4">
        <v>0.4513888888888889</v>
      </c>
      <c r="BU1015" s="2" t="s">
        <v>1737</v>
      </c>
      <c r="BV1015" s="2" t="s">
        <v>95</v>
      </c>
      <c r="BW1015" s="2"/>
      <c r="BX1015" s="2"/>
      <c r="BY1015" s="2">
        <v>1200</v>
      </c>
      <c r="BZ1015" s="2" t="s">
        <v>27</v>
      </c>
      <c r="CA1015" s="2" t="s">
        <v>729</v>
      </c>
      <c r="CB1015" s="2"/>
      <c r="CC1015" s="2" t="s">
        <v>145</v>
      </c>
      <c r="CD1015" s="2">
        <v>2094</v>
      </c>
      <c r="CE1015" s="2" t="s">
        <v>104</v>
      </c>
      <c r="CF1015" s="5">
        <v>42961</v>
      </c>
      <c r="CG1015" s="2"/>
      <c r="CH1015" s="2"/>
      <c r="CI1015" s="2">
        <v>1</v>
      </c>
      <c r="CJ1015" s="2">
        <v>1</v>
      </c>
      <c r="CK1015" s="2">
        <v>22</v>
      </c>
      <c r="CL1015" s="2" t="s">
        <v>86</v>
      </c>
      <c r="CM1015" s="2"/>
    </row>
    <row r="1016" spans="1:91">
      <c r="A1016" s="2" t="s">
        <v>71</v>
      </c>
      <c r="B1016" s="2" t="s">
        <v>72</v>
      </c>
      <c r="C1016" s="2" t="s">
        <v>73</v>
      </c>
      <c r="D1016" s="2"/>
      <c r="E1016" s="2" t="str">
        <f>"FES1162567951"</f>
        <v>FES1162567951</v>
      </c>
      <c r="F1016" s="3">
        <v>42957</v>
      </c>
      <c r="G1016" s="2">
        <v>201802</v>
      </c>
      <c r="H1016" s="2" t="s">
        <v>74</v>
      </c>
      <c r="I1016" s="2" t="s">
        <v>75</v>
      </c>
      <c r="J1016" s="2" t="s">
        <v>76</v>
      </c>
      <c r="K1016" s="2" t="s">
        <v>77</v>
      </c>
      <c r="L1016" s="2" t="s">
        <v>268</v>
      </c>
      <c r="M1016" s="2" t="s">
        <v>269</v>
      </c>
      <c r="N1016" s="2" t="s">
        <v>635</v>
      </c>
      <c r="O1016" s="2" t="s">
        <v>100</v>
      </c>
      <c r="P1016" s="2" t="str">
        <f>"2170583829                    "</f>
        <v xml:space="preserve">2170583829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4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1</v>
      </c>
      <c r="BJ1016" s="2">
        <v>0.2</v>
      </c>
      <c r="BK1016" s="2">
        <v>1</v>
      </c>
      <c r="BL1016" s="2">
        <v>41.44</v>
      </c>
      <c r="BM1016" s="2">
        <v>5.8</v>
      </c>
      <c r="BN1016" s="2">
        <v>47.24</v>
      </c>
      <c r="BO1016" s="2">
        <v>47.24</v>
      </c>
      <c r="BP1016" s="2">
        <v>1</v>
      </c>
      <c r="BQ1016" s="2" t="s">
        <v>636</v>
      </c>
      <c r="BR1016" s="2" t="s">
        <v>84</v>
      </c>
      <c r="BS1016" s="3">
        <v>42958</v>
      </c>
      <c r="BT1016" s="4">
        <v>0.40277777777777773</v>
      </c>
      <c r="BU1016" s="2" t="s">
        <v>1318</v>
      </c>
      <c r="BV1016" s="2" t="s">
        <v>95</v>
      </c>
      <c r="BW1016" s="2"/>
      <c r="BX1016" s="2"/>
      <c r="BY1016" s="2">
        <v>1200</v>
      </c>
      <c r="BZ1016" s="2" t="s">
        <v>27</v>
      </c>
      <c r="CA1016" s="2" t="s">
        <v>638</v>
      </c>
      <c r="CB1016" s="2"/>
      <c r="CC1016" s="2" t="s">
        <v>269</v>
      </c>
      <c r="CD1016" s="2">
        <v>184</v>
      </c>
      <c r="CE1016" s="2" t="s">
        <v>104</v>
      </c>
      <c r="CF1016" s="5">
        <v>42961</v>
      </c>
      <c r="CG1016" s="2"/>
      <c r="CH1016" s="2"/>
      <c r="CI1016" s="2">
        <v>1</v>
      </c>
      <c r="CJ1016" s="2">
        <v>1</v>
      </c>
      <c r="CK1016" s="2">
        <v>21</v>
      </c>
      <c r="CL1016" s="2" t="s">
        <v>86</v>
      </c>
      <c r="CM1016" s="2"/>
    </row>
    <row r="1017" spans="1:91">
      <c r="A1017" s="2" t="s">
        <v>71</v>
      </c>
      <c r="B1017" s="2" t="s">
        <v>72</v>
      </c>
      <c r="C1017" s="2" t="s">
        <v>73</v>
      </c>
      <c r="D1017" s="2"/>
      <c r="E1017" s="2" t="str">
        <f>"FES1162568000"</f>
        <v>FES1162568000</v>
      </c>
      <c r="F1017" s="3">
        <v>42957</v>
      </c>
      <c r="G1017" s="2">
        <v>201802</v>
      </c>
      <c r="H1017" s="2" t="s">
        <v>74</v>
      </c>
      <c r="I1017" s="2" t="s">
        <v>75</v>
      </c>
      <c r="J1017" s="2" t="s">
        <v>76</v>
      </c>
      <c r="K1017" s="2" t="s">
        <v>77</v>
      </c>
      <c r="L1017" s="2" t="s">
        <v>539</v>
      </c>
      <c r="M1017" s="2" t="s">
        <v>540</v>
      </c>
      <c r="N1017" s="2" t="s">
        <v>1740</v>
      </c>
      <c r="O1017" s="2" t="s">
        <v>100</v>
      </c>
      <c r="P1017" s="2" t="str">
        <f>"2170584134                    "</f>
        <v xml:space="preserve">2170584134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3.13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1</v>
      </c>
      <c r="BJ1017" s="2">
        <v>0.2</v>
      </c>
      <c r="BK1017" s="2">
        <v>1</v>
      </c>
      <c r="BL1017" s="2">
        <v>32.380000000000003</v>
      </c>
      <c r="BM1017" s="2">
        <v>4.53</v>
      </c>
      <c r="BN1017" s="2">
        <v>36.909999999999997</v>
      </c>
      <c r="BO1017" s="2">
        <v>36.909999999999997</v>
      </c>
      <c r="BP1017" s="2"/>
      <c r="BQ1017" s="2" t="s">
        <v>108</v>
      </c>
      <c r="BR1017" s="2" t="s">
        <v>84</v>
      </c>
      <c r="BS1017" s="3">
        <v>42958</v>
      </c>
      <c r="BT1017" s="4">
        <v>0.42777777777777781</v>
      </c>
      <c r="BU1017" s="2" t="s">
        <v>330</v>
      </c>
      <c r="BV1017" s="2" t="s">
        <v>95</v>
      </c>
      <c r="BW1017" s="2"/>
      <c r="BX1017" s="2"/>
      <c r="BY1017" s="2">
        <v>1200</v>
      </c>
      <c r="BZ1017" s="2" t="s">
        <v>27</v>
      </c>
      <c r="CA1017" s="2" t="s">
        <v>722</v>
      </c>
      <c r="CB1017" s="2"/>
      <c r="CC1017" s="2" t="s">
        <v>540</v>
      </c>
      <c r="CD1017" s="2">
        <v>2163</v>
      </c>
      <c r="CE1017" s="2" t="s">
        <v>104</v>
      </c>
      <c r="CF1017" s="5">
        <v>42961</v>
      </c>
      <c r="CG1017" s="2"/>
      <c r="CH1017" s="2"/>
      <c r="CI1017" s="2">
        <v>1</v>
      </c>
      <c r="CJ1017" s="2">
        <v>1</v>
      </c>
      <c r="CK1017" s="2">
        <v>22</v>
      </c>
      <c r="CL1017" s="2" t="s">
        <v>86</v>
      </c>
      <c r="CM1017" s="2"/>
    </row>
    <row r="1018" spans="1:91">
      <c r="A1018" s="2" t="s">
        <v>71</v>
      </c>
      <c r="B1018" s="2" t="s">
        <v>72</v>
      </c>
      <c r="C1018" s="2" t="s">
        <v>73</v>
      </c>
      <c r="D1018" s="2"/>
      <c r="E1018" s="2" t="str">
        <f>"FES1162568013"</f>
        <v>FES1162568013</v>
      </c>
      <c r="F1018" s="3">
        <v>42957</v>
      </c>
      <c r="G1018" s="2">
        <v>201802</v>
      </c>
      <c r="H1018" s="2" t="s">
        <v>74</v>
      </c>
      <c r="I1018" s="2" t="s">
        <v>75</v>
      </c>
      <c r="J1018" s="2" t="s">
        <v>76</v>
      </c>
      <c r="K1018" s="2" t="s">
        <v>77</v>
      </c>
      <c r="L1018" s="2" t="s">
        <v>144</v>
      </c>
      <c r="M1018" s="2" t="s">
        <v>145</v>
      </c>
      <c r="N1018" s="2" t="s">
        <v>1259</v>
      </c>
      <c r="O1018" s="2" t="s">
        <v>100</v>
      </c>
      <c r="P1018" s="2" t="str">
        <f>"2170582620                    "</f>
        <v xml:space="preserve">2170582620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3.13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1</v>
      </c>
      <c r="BJ1018" s="2">
        <v>0.2</v>
      </c>
      <c r="BK1018" s="2">
        <v>1</v>
      </c>
      <c r="BL1018" s="2">
        <v>32.380000000000003</v>
      </c>
      <c r="BM1018" s="2">
        <v>4.53</v>
      </c>
      <c r="BN1018" s="2">
        <v>36.909999999999997</v>
      </c>
      <c r="BO1018" s="2">
        <v>36.909999999999997</v>
      </c>
      <c r="BP1018" s="2"/>
      <c r="BQ1018" s="2" t="s">
        <v>108</v>
      </c>
      <c r="BR1018" s="2" t="s">
        <v>84</v>
      </c>
      <c r="BS1018" s="3">
        <v>42958</v>
      </c>
      <c r="BT1018" s="4">
        <v>0.4236111111111111</v>
      </c>
      <c r="BU1018" s="2" t="s">
        <v>1741</v>
      </c>
      <c r="BV1018" s="2" t="s">
        <v>95</v>
      </c>
      <c r="BW1018" s="2"/>
      <c r="BX1018" s="2"/>
      <c r="BY1018" s="2">
        <v>1200</v>
      </c>
      <c r="BZ1018" s="2" t="s">
        <v>27</v>
      </c>
      <c r="CA1018" s="2" t="s">
        <v>1261</v>
      </c>
      <c r="CB1018" s="2"/>
      <c r="CC1018" s="2" t="s">
        <v>145</v>
      </c>
      <c r="CD1018" s="2">
        <v>1723</v>
      </c>
      <c r="CE1018" s="2" t="s">
        <v>104</v>
      </c>
      <c r="CF1018" s="5">
        <v>42961</v>
      </c>
      <c r="CG1018" s="2"/>
      <c r="CH1018" s="2"/>
      <c r="CI1018" s="2">
        <v>1</v>
      </c>
      <c r="CJ1018" s="2">
        <v>1</v>
      </c>
      <c r="CK1018" s="2">
        <v>22</v>
      </c>
      <c r="CL1018" s="2" t="s">
        <v>86</v>
      </c>
      <c r="CM1018" s="2"/>
    </row>
    <row r="1019" spans="1:91">
      <c r="A1019" s="2" t="s">
        <v>71</v>
      </c>
      <c r="B1019" s="2" t="s">
        <v>72</v>
      </c>
      <c r="C1019" s="2" t="s">
        <v>73</v>
      </c>
      <c r="D1019" s="2"/>
      <c r="E1019" s="2" t="str">
        <f>"FES1162568097"</f>
        <v>FES1162568097</v>
      </c>
      <c r="F1019" s="3">
        <v>42957</v>
      </c>
      <c r="G1019" s="2">
        <v>201802</v>
      </c>
      <c r="H1019" s="2" t="s">
        <v>74</v>
      </c>
      <c r="I1019" s="2" t="s">
        <v>75</v>
      </c>
      <c r="J1019" s="2" t="s">
        <v>76</v>
      </c>
      <c r="K1019" s="2" t="s">
        <v>77</v>
      </c>
      <c r="L1019" s="2" t="s">
        <v>362</v>
      </c>
      <c r="M1019" s="2" t="s">
        <v>363</v>
      </c>
      <c r="N1019" s="2" t="s">
        <v>683</v>
      </c>
      <c r="O1019" s="2" t="s">
        <v>100</v>
      </c>
      <c r="P1019" s="2" t="str">
        <f>"2170584196                    "</f>
        <v xml:space="preserve">2170584196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4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1</v>
      </c>
      <c r="BI1019" s="2">
        <v>1</v>
      </c>
      <c r="BJ1019" s="2">
        <v>0.2</v>
      </c>
      <c r="BK1019" s="2">
        <v>1</v>
      </c>
      <c r="BL1019" s="2">
        <v>41.44</v>
      </c>
      <c r="BM1019" s="2">
        <v>5.8</v>
      </c>
      <c r="BN1019" s="2">
        <v>47.24</v>
      </c>
      <c r="BO1019" s="2">
        <v>47.24</v>
      </c>
      <c r="BP1019" s="2"/>
      <c r="BQ1019" s="2" t="s">
        <v>108</v>
      </c>
      <c r="BR1019" s="2" t="s">
        <v>84</v>
      </c>
      <c r="BS1019" s="3">
        <v>42958</v>
      </c>
      <c r="BT1019" s="4">
        <v>0.4069444444444445</v>
      </c>
      <c r="BU1019" s="2" t="s">
        <v>1619</v>
      </c>
      <c r="BV1019" s="2" t="s">
        <v>95</v>
      </c>
      <c r="BW1019" s="2"/>
      <c r="BX1019" s="2"/>
      <c r="BY1019" s="2">
        <v>1200</v>
      </c>
      <c r="BZ1019" s="2" t="s">
        <v>27</v>
      </c>
      <c r="CA1019" s="2" t="s">
        <v>367</v>
      </c>
      <c r="CB1019" s="2"/>
      <c r="CC1019" s="2" t="s">
        <v>363</v>
      </c>
      <c r="CD1019" s="2">
        <v>3201</v>
      </c>
      <c r="CE1019" s="2" t="s">
        <v>104</v>
      </c>
      <c r="CF1019" s="5">
        <v>42961</v>
      </c>
      <c r="CG1019" s="2"/>
      <c r="CH1019" s="2"/>
      <c r="CI1019" s="2">
        <v>1</v>
      </c>
      <c r="CJ1019" s="2">
        <v>1</v>
      </c>
      <c r="CK1019" s="2">
        <v>21</v>
      </c>
      <c r="CL1019" s="2" t="s">
        <v>86</v>
      </c>
      <c r="CM1019" s="2"/>
    </row>
    <row r="1020" spans="1:91">
      <c r="A1020" s="2" t="s">
        <v>71</v>
      </c>
      <c r="B1020" s="2" t="s">
        <v>72</v>
      </c>
      <c r="C1020" s="2" t="s">
        <v>73</v>
      </c>
      <c r="D1020" s="2"/>
      <c r="E1020" s="2" t="str">
        <f>"FES1162568057"</f>
        <v>FES1162568057</v>
      </c>
      <c r="F1020" s="3">
        <v>42957</v>
      </c>
      <c r="G1020" s="2">
        <v>201802</v>
      </c>
      <c r="H1020" s="2" t="s">
        <v>74</v>
      </c>
      <c r="I1020" s="2" t="s">
        <v>75</v>
      </c>
      <c r="J1020" s="2" t="s">
        <v>76</v>
      </c>
      <c r="K1020" s="2" t="s">
        <v>77</v>
      </c>
      <c r="L1020" s="2" t="s">
        <v>170</v>
      </c>
      <c r="M1020" s="2" t="s">
        <v>171</v>
      </c>
      <c r="N1020" s="2" t="s">
        <v>821</v>
      </c>
      <c r="O1020" s="2" t="s">
        <v>100</v>
      </c>
      <c r="P1020" s="2" t="str">
        <f>"2170580853                    "</f>
        <v xml:space="preserve">2170580853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3.13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1</v>
      </c>
      <c r="BJ1020" s="2">
        <v>0.2</v>
      </c>
      <c r="BK1020" s="2">
        <v>1</v>
      </c>
      <c r="BL1020" s="2">
        <v>32.380000000000003</v>
      </c>
      <c r="BM1020" s="2">
        <v>4.53</v>
      </c>
      <c r="BN1020" s="2">
        <v>36.909999999999997</v>
      </c>
      <c r="BO1020" s="2">
        <v>36.909999999999997</v>
      </c>
      <c r="BP1020" s="2">
        <v>1</v>
      </c>
      <c r="BQ1020" s="2" t="s">
        <v>1216</v>
      </c>
      <c r="BR1020" s="2" t="s">
        <v>84</v>
      </c>
      <c r="BS1020" s="3">
        <v>42958</v>
      </c>
      <c r="BT1020" s="4">
        <v>0.4375</v>
      </c>
      <c r="BU1020" s="2" t="s">
        <v>1742</v>
      </c>
      <c r="BV1020" s="2" t="s">
        <v>95</v>
      </c>
      <c r="BW1020" s="2"/>
      <c r="BX1020" s="2"/>
      <c r="BY1020" s="2">
        <v>1200</v>
      </c>
      <c r="BZ1020" s="2" t="s">
        <v>27</v>
      </c>
      <c r="CA1020" s="2" t="s">
        <v>492</v>
      </c>
      <c r="CB1020" s="2"/>
      <c r="CC1020" s="2" t="s">
        <v>171</v>
      </c>
      <c r="CD1020" s="2">
        <v>1422</v>
      </c>
      <c r="CE1020" s="2" t="s">
        <v>104</v>
      </c>
      <c r="CF1020" s="5">
        <v>42961</v>
      </c>
      <c r="CG1020" s="2"/>
      <c r="CH1020" s="2"/>
      <c r="CI1020" s="2">
        <v>1</v>
      </c>
      <c r="CJ1020" s="2">
        <v>1</v>
      </c>
      <c r="CK1020" s="2">
        <v>22</v>
      </c>
      <c r="CL1020" s="2" t="s">
        <v>86</v>
      </c>
      <c r="CM1020" s="2"/>
    </row>
    <row r="1021" spans="1:91">
      <c r="A1021" s="2" t="s">
        <v>71</v>
      </c>
      <c r="B1021" s="2" t="s">
        <v>72</v>
      </c>
      <c r="C1021" s="2" t="s">
        <v>73</v>
      </c>
      <c r="D1021" s="2"/>
      <c r="E1021" s="2" t="str">
        <f>"FES1162568093"</f>
        <v>FES1162568093</v>
      </c>
      <c r="F1021" s="3">
        <v>42957</v>
      </c>
      <c r="G1021" s="2">
        <v>201802</v>
      </c>
      <c r="H1021" s="2" t="s">
        <v>74</v>
      </c>
      <c r="I1021" s="2" t="s">
        <v>75</v>
      </c>
      <c r="J1021" s="2" t="s">
        <v>76</v>
      </c>
      <c r="K1021" s="2" t="s">
        <v>77</v>
      </c>
      <c r="L1021" s="2" t="s">
        <v>144</v>
      </c>
      <c r="M1021" s="2" t="s">
        <v>145</v>
      </c>
      <c r="N1021" s="2" t="s">
        <v>1462</v>
      </c>
      <c r="O1021" s="2" t="s">
        <v>100</v>
      </c>
      <c r="P1021" s="2" t="str">
        <f>"2170584191                    "</f>
        <v xml:space="preserve">2170584191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3.13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1</v>
      </c>
      <c r="BJ1021" s="2">
        <v>0.2</v>
      </c>
      <c r="BK1021" s="2">
        <v>1</v>
      </c>
      <c r="BL1021" s="2">
        <v>32.380000000000003</v>
      </c>
      <c r="BM1021" s="2">
        <v>4.53</v>
      </c>
      <c r="BN1021" s="2">
        <v>36.909999999999997</v>
      </c>
      <c r="BO1021" s="2">
        <v>36.909999999999997</v>
      </c>
      <c r="BP1021" s="2">
        <v>1</v>
      </c>
      <c r="BQ1021" s="2" t="s">
        <v>209</v>
      </c>
      <c r="BR1021" s="2" t="s">
        <v>84</v>
      </c>
      <c r="BS1021" s="3">
        <v>42958</v>
      </c>
      <c r="BT1021" s="4">
        <v>0.43055555555555558</v>
      </c>
      <c r="BU1021" s="2" t="s">
        <v>1743</v>
      </c>
      <c r="BV1021" s="2" t="s">
        <v>95</v>
      </c>
      <c r="BW1021" s="2"/>
      <c r="BX1021" s="2"/>
      <c r="BY1021" s="2">
        <v>1200</v>
      </c>
      <c r="BZ1021" s="2" t="s">
        <v>27</v>
      </c>
      <c r="CA1021" s="2" t="s">
        <v>729</v>
      </c>
      <c r="CB1021" s="2"/>
      <c r="CC1021" s="2" t="s">
        <v>145</v>
      </c>
      <c r="CD1021" s="2">
        <v>2094</v>
      </c>
      <c r="CE1021" s="2" t="s">
        <v>104</v>
      </c>
      <c r="CF1021" s="5">
        <v>42961</v>
      </c>
      <c r="CG1021" s="2"/>
      <c r="CH1021" s="2"/>
      <c r="CI1021" s="2">
        <v>1</v>
      </c>
      <c r="CJ1021" s="2">
        <v>1</v>
      </c>
      <c r="CK1021" s="2">
        <v>22</v>
      </c>
      <c r="CL1021" s="2" t="s">
        <v>86</v>
      </c>
      <c r="CM1021" s="2"/>
    </row>
    <row r="1022" spans="1:91">
      <c r="A1022" s="2" t="s">
        <v>71</v>
      </c>
      <c r="B1022" s="2" t="s">
        <v>72</v>
      </c>
      <c r="C1022" s="2" t="s">
        <v>73</v>
      </c>
      <c r="D1022" s="2"/>
      <c r="E1022" s="2" t="str">
        <f>"FES1162568170"</f>
        <v>FES1162568170</v>
      </c>
      <c r="F1022" s="3">
        <v>42957</v>
      </c>
      <c r="G1022" s="2">
        <v>201802</v>
      </c>
      <c r="H1022" s="2" t="s">
        <v>74</v>
      </c>
      <c r="I1022" s="2" t="s">
        <v>75</v>
      </c>
      <c r="J1022" s="2" t="s">
        <v>76</v>
      </c>
      <c r="K1022" s="2" t="s">
        <v>77</v>
      </c>
      <c r="L1022" s="2" t="s">
        <v>105</v>
      </c>
      <c r="M1022" s="2" t="s">
        <v>106</v>
      </c>
      <c r="N1022" s="2" t="s">
        <v>1080</v>
      </c>
      <c r="O1022" s="2" t="s">
        <v>100</v>
      </c>
      <c r="P1022" s="2" t="str">
        <f>"2170584277                    "</f>
        <v xml:space="preserve">2170584277 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4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1</v>
      </c>
      <c r="BJ1022" s="2">
        <v>0.2</v>
      </c>
      <c r="BK1022" s="2">
        <v>1</v>
      </c>
      <c r="BL1022" s="2">
        <v>41.44</v>
      </c>
      <c r="BM1022" s="2">
        <v>5.8</v>
      </c>
      <c r="BN1022" s="2">
        <v>47.24</v>
      </c>
      <c r="BO1022" s="2">
        <v>47.24</v>
      </c>
      <c r="BP1022" s="2">
        <v>1</v>
      </c>
      <c r="BQ1022" s="2" t="s">
        <v>1744</v>
      </c>
      <c r="BR1022" s="2" t="s">
        <v>84</v>
      </c>
      <c r="BS1022" s="3">
        <v>42958</v>
      </c>
      <c r="BT1022" s="4">
        <v>0.41666666666666669</v>
      </c>
      <c r="BU1022" s="2" t="s">
        <v>1745</v>
      </c>
      <c r="BV1022" s="2" t="s">
        <v>95</v>
      </c>
      <c r="BW1022" s="2"/>
      <c r="BX1022" s="2"/>
      <c r="BY1022" s="2">
        <v>1200</v>
      </c>
      <c r="BZ1022" s="2" t="s">
        <v>27</v>
      </c>
      <c r="CA1022" s="2" t="s">
        <v>148</v>
      </c>
      <c r="CB1022" s="2"/>
      <c r="CC1022" s="2" t="s">
        <v>106</v>
      </c>
      <c r="CD1022" s="2">
        <v>7441</v>
      </c>
      <c r="CE1022" s="2" t="s">
        <v>104</v>
      </c>
      <c r="CF1022" s="5">
        <v>42961</v>
      </c>
      <c r="CG1022" s="2"/>
      <c r="CH1022" s="2"/>
      <c r="CI1022" s="2">
        <v>1</v>
      </c>
      <c r="CJ1022" s="2">
        <v>1</v>
      </c>
      <c r="CK1022" s="2">
        <v>21</v>
      </c>
      <c r="CL1022" s="2" t="s">
        <v>86</v>
      </c>
      <c r="CM1022" s="2"/>
    </row>
    <row r="1023" spans="1:91">
      <c r="A1023" s="2" t="s">
        <v>71</v>
      </c>
      <c r="B1023" s="2" t="s">
        <v>72</v>
      </c>
      <c r="C1023" s="2" t="s">
        <v>73</v>
      </c>
      <c r="D1023" s="2"/>
      <c r="E1023" s="2" t="str">
        <f>"FES1162568169"</f>
        <v>FES1162568169</v>
      </c>
      <c r="F1023" s="3">
        <v>42957</v>
      </c>
      <c r="G1023" s="2">
        <v>201802</v>
      </c>
      <c r="H1023" s="2" t="s">
        <v>74</v>
      </c>
      <c r="I1023" s="2" t="s">
        <v>75</v>
      </c>
      <c r="J1023" s="2" t="s">
        <v>76</v>
      </c>
      <c r="K1023" s="2" t="s">
        <v>77</v>
      </c>
      <c r="L1023" s="2" t="s">
        <v>174</v>
      </c>
      <c r="M1023" s="2" t="s">
        <v>175</v>
      </c>
      <c r="N1023" s="2" t="s">
        <v>1746</v>
      </c>
      <c r="O1023" s="2" t="s">
        <v>100</v>
      </c>
      <c r="P1023" s="2" t="str">
        <f>"2170584276                    "</f>
        <v xml:space="preserve">2170584276 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4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1</v>
      </c>
      <c r="BJ1023" s="2">
        <v>0.2</v>
      </c>
      <c r="BK1023" s="2">
        <v>1</v>
      </c>
      <c r="BL1023" s="2">
        <v>41.44</v>
      </c>
      <c r="BM1023" s="2">
        <v>5.8</v>
      </c>
      <c r="BN1023" s="2">
        <v>47.24</v>
      </c>
      <c r="BO1023" s="2">
        <v>47.24</v>
      </c>
      <c r="BP1023" s="2"/>
      <c r="BQ1023" s="2" t="s">
        <v>83</v>
      </c>
      <c r="BR1023" s="2" t="s">
        <v>84</v>
      </c>
      <c r="BS1023" s="3">
        <v>42958</v>
      </c>
      <c r="BT1023" s="4">
        <v>0.39027777777777778</v>
      </c>
      <c r="BU1023" s="2" t="s">
        <v>1747</v>
      </c>
      <c r="BV1023" s="2" t="s">
        <v>95</v>
      </c>
      <c r="BW1023" s="2"/>
      <c r="BX1023" s="2"/>
      <c r="BY1023" s="2">
        <v>1200</v>
      </c>
      <c r="BZ1023" s="2" t="s">
        <v>27</v>
      </c>
      <c r="CA1023" s="2" t="s">
        <v>1373</v>
      </c>
      <c r="CB1023" s="2"/>
      <c r="CC1023" s="2" t="s">
        <v>175</v>
      </c>
      <c r="CD1023" s="2">
        <v>5201</v>
      </c>
      <c r="CE1023" s="2" t="s">
        <v>104</v>
      </c>
      <c r="CF1023" s="5">
        <v>42961</v>
      </c>
      <c r="CG1023" s="2"/>
      <c r="CH1023" s="2"/>
      <c r="CI1023" s="2">
        <v>1</v>
      </c>
      <c r="CJ1023" s="2">
        <v>1</v>
      </c>
      <c r="CK1023" s="2">
        <v>21</v>
      </c>
      <c r="CL1023" s="2" t="s">
        <v>86</v>
      </c>
      <c r="CM1023" s="2"/>
    </row>
    <row r="1024" spans="1:91">
      <c r="A1024" s="2" t="s">
        <v>71</v>
      </c>
      <c r="B1024" s="2" t="s">
        <v>72</v>
      </c>
      <c r="C1024" s="2" t="s">
        <v>73</v>
      </c>
      <c r="D1024" s="2"/>
      <c r="E1024" s="2" t="str">
        <f>"FES1162568157"</f>
        <v>FES1162568157</v>
      </c>
      <c r="F1024" s="3">
        <v>42957</v>
      </c>
      <c r="G1024" s="2">
        <v>201802</v>
      </c>
      <c r="H1024" s="2" t="s">
        <v>74</v>
      </c>
      <c r="I1024" s="2" t="s">
        <v>75</v>
      </c>
      <c r="J1024" s="2" t="s">
        <v>76</v>
      </c>
      <c r="K1024" s="2" t="s">
        <v>77</v>
      </c>
      <c r="L1024" s="2" t="s">
        <v>105</v>
      </c>
      <c r="M1024" s="2" t="s">
        <v>106</v>
      </c>
      <c r="N1024" s="2" t="s">
        <v>644</v>
      </c>
      <c r="O1024" s="2" t="s">
        <v>100</v>
      </c>
      <c r="P1024" s="2" t="str">
        <f>"2170584261                    "</f>
        <v xml:space="preserve">2170584261 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7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1.2</v>
      </c>
      <c r="BJ1024" s="2">
        <v>3.1</v>
      </c>
      <c r="BK1024" s="2">
        <v>3.5</v>
      </c>
      <c r="BL1024" s="2">
        <v>72.52</v>
      </c>
      <c r="BM1024" s="2">
        <v>10.15</v>
      </c>
      <c r="BN1024" s="2">
        <v>82.67</v>
      </c>
      <c r="BO1024" s="2">
        <v>82.67</v>
      </c>
      <c r="BP1024" s="2">
        <v>1</v>
      </c>
      <c r="BQ1024" s="2" t="s">
        <v>108</v>
      </c>
      <c r="BR1024" s="2" t="s">
        <v>84</v>
      </c>
      <c r="BS1024" s="3">
        <v>42958</v>
      </c>
      <c r="BT1024" s="4">
        <v>0.45694444444444443</v>
      </c>
      <c r="BU1024" s="2" t="s">
        <v>1369</v>
      </c>
      <c r="BV1024" s="2" t="s">
        <v>95</v>
      </c>
      <c r="BW1024" s="2"/>
      <c r="BX1024" s="2"/>
      <c r="BY1024" s="2">
        <v>15567.55</v>
      </c>
      <c r="BZ1024" s="2" t="s">
        <v>27</v>
      </c>
      <c r="CA1024" s="2" t="s">
        <v>112</v>
      </c>
      <c r="CB1024" s="2"/>
      <c r="CC1024" s="2" t="s">
        <v>106</v>
      </c>
      <c r="CD1024" s="2">
        <v>7441</v>
      </c>
      <c r="CE1024" s="2" t="s">
        <v>104</v>
      </c>
      <c r="CF1024" s="5">
        <v>42961</v>
      </c>
      <c r="CG1024" s="2"/>
      <c r="CH1024" s="2"/>
      <c r="CI1024" s="2">
        <v>1</v>
      </c>
      <c r="CJ1024" s="2">
        <v>1</v>
      </c>
      <c r="CK1024" s="2">
        <v>21</v>
      </c>
      <c r="CL1024" s="2" t="s">
        <v>86</v>
      </c>
      <c r="CM1024" s="2"/>
    </row>
    <row r="1025" spans="1:91">
      <c r="A1025" s="2" t="s">
        <v>71</v>
      </c>
      <c r="B1025" s="2" t="s">
        <v>72</v>
      </c>
      <c r="C1025" s="2" t="s">
        <v>73</v>
      </c>
      <c r="D1025" s="2"/>
      <c r="E1025" s="2" t="str">
        <f>"FES1162568130"</f>
        <v>FES1162568130</v>
      </c>
      <c r="F1025" s="3">
        <v>42957</v>
      </c>
      <c r="G1025" s="2">
        <v>201802</v>
      </c>
      <c r="H1025" s="2" t="s">
        <v>74</v>
      </c>
      <c r="I1025" s="2" t="s">
        <v>75</v>
      </c>
      <c r="J1025" s="2" t="s">
        <v>76</v>
      </c>
      <c r="K1025" s="2" t="s">
        <v>77</v>
      </c>
      <c r="L1025" s="2" t="s">
        <v>216</v>
      </c>
      <c r="M1025" s="2" t="s">
        <v>217</v>
      </c>
      <c r="N1025" s="2" t="s">
        <v>1748</v>
      </c>
      <c r="O1025" s="2" t="s">
        <v>100</v>
      </c>
      <c r="P1025" s="2" t="str">
        <f>"2170584231                    "</f>
        <v xml:space="preserve">2170584231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3.13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1</v>
      </c>
      <c r="BJ1025" s="2">
        <v>0.2</v>
      </c>
      <c r="BK1025" s="2">
        <v>1</v>
      </c>
      <c r="BL1025" s="2">
        <v>32.380000000000003</v>
      </c>
      <c r="BM1025" s="2">
        <v>4.53</v>
      </c>
      <c r="BN1025" s="2">
        <v>36.909999999999997</v>
      </c>
      <c r="BO1025" s="2">
        <v>36.909999999999997</v>
      </c>
      <c r="BP1025" s="2">
        <v>1</v>
      </c>
      <c r="BQ1025" s="2" t="s">
        <v>1749</v>
      </c>
      <c r="BR1025" s="2" t="s">
        <v>84</v>
      </c>
      <c r="BS1025" s="3">
        <v>42958</v>
      </c>
      <c r="BT1025" s="4">
        <v>0.36736111111111108</v>
      </c>
      <c r="BU1025" s="2" t="s">
        <v>1750</v>
      </c>
      <c r="BV1025" s="2" t="s">
        <v>95</v>
      </c>
      <c r="BW1025" s="2"/>
      <c r="BX1025" s="2"/>
      <c r="BY1025" s="2">
        <v>1200</v>
      </c>
      <c r="BZ1025" s="2" t="s">
        <v>27</v>
      </c>
      <c r="CA1025" s="2" t="s">
        <v>220</v>
      </c>
      <c r="CB1025" s="2"/>
      <c r="CC1025" s="2" t="s">
        <v>217</v>
      </c>
      <c r="CD1025" s="2">
        <v>1451</v>
      </c>
      <c r="CE1025" s="2" t="s">
        <v>104</v>
      </c>
      <c r="CF1025" s="5">
        <v>42961</v>
      </c>
      <c r="CG1025" s="2"/>
      <c r="CH1025" s="2"/>
      <c r="CI1025" s="2">
        <v>1</v>
      </c>
      <c r="CJ1025" s="2">
        <v>1</v>
      </c>
      <c r="CK1025" s="2">
        <v>22</v>
      </c>
      <c r="CL1025" s="2" t="s">
        <v>86</v>
      </c>
      <c r="CM1025" s="2"/>
    </row>
    <row r="1026" spans="1:91">
      <c r="A1026" s="2" t="s">
        <v>71</v>
      </c>
      <c r="B1026" s="2" t="s">
        <v>72</v>
      </c>
      <c r="C1026" s="2" t="s">
        <v>73</v>
      </c>
      <c r="D1026" s="2"/>
      <c r="E1026" s="2" t="str">
        <f>"FES1162568098"</f>
        <v>FES1162568098</v>
      </c>
      <c r="F1026" s="3">
        <v>42957</v>
      </c>
      <c r="G1026" s="2">
        <v>201802</v>
      </c>
      <c r="H1026" s="2" t="s">
        <v>74</v>
      </c>
      <c r="I1026" s="2" t="s">
        <v>75</v>
      </c>
      <c r="J1026" s="2" t="s">
        <v>76</v>
      </c>
      <c r="K1026" s="2" t="s">
        <v>77</v>
      </c>
      <c r="L1026" s="2" t="s">
        <v>149</v>
      </c>
      <c r="M1026" s="2" t="s">
        <v>150</v>
      </c>
      <c r="N1026" s="2" t="s">
        <v>1751</v>
      </c>
      <c r="O1026" s="2" t="s">
        <v>100</v>
      </c>
      <c r="P1026" s="2" t="str">
        <f>"2170584197                    "</f>
        <v xml:space="preserve">2170584197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4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1</v>
      </c>
      <c r="BJ1026" s="2">
        <v>0.2</v>
      </c>
      <c r="BK1026" s="2">
        <v>1</v>
      </c>
      <c r="BL1026" s="2">
        <v>41.44</v>
      </c>
      <c r="BM1026" s="2">
        <v>5.8</v>
      </c>
      <c r="BN1026" s="2">
        <v>47.24</v>
      </c>
      <c r="BO1026" s="2">
        <v>47.24</v>
      </c>
      <c r="BP1026" s="2"/>
      <c r="BQ1026" s="2" t="s">
        <v>83</v>
      </c>
      <c r="BR1026" s="2" t="s">
        <v>84</v>
      </c>
      <c r="BS1026" s="3">
        <v>42958</v>
      </c>
      <c r="BT1026" s="4">
        <v>0.41666666666666669</v>
      </c>
      <c r="BU1026" s="2" t="s">
        <v>1752</v>
      </c>
      <c r="BV1026" s="2" t="s">
        <v>95</v>
      </c>
      <c r="BW1026" s="2"/>
      <c r="BX1026" s="2"/>
      <c r="BY1026" s="2">
        <v>1200</v>
      </c>
      <c r="BZ1026" s="2" t="s">
        <v>27</v>
      </c>
      <c r="CA1026" s="2" t="s">
        <v>682</v>
      </c>
      <c r="CB1026" s="2"/>
      <c r="CC1026" s="2" t="s">
        <v>150</v>
      </c>
      <c r="CD1026" s="2">
        <v>4001</v>
      </c>
      <c r="CE1026" s="2" t="s">
        <v>104</v>
      </c>
      <c r="CF1026" s="5">
        <v>42961</v>
      </c>
      <c r="CG1026" s="2"/>
      <c r="CH1026" s="2"/>
      <c r="CI1026" s="2">
        <v>1</v>
      </c>
      <c r="CJ1026" s="2">
        <v>1</v>
      </c>
      <c r="CK1026" s="2">
        <v>21</v>
      </c>
      <c r="CL1026" s="2" t="s">
        <v>86</v>
      </c>
      <c r="CM1026" s="2"/>
    </row>
    <row r="1027" spans="1:91">
      <c r="A1027" s="2" t="s">
        <v>71</v>
      </c>
      <c r="B1027" s="2" t="s">
        <v>72</v>
      </c>
      <c r="C1027" s="2" t="s">
        <v>73</v>
      </c>
      <c r="D1027" s="2"/>
      <c r="E1027" s="2" t="str">
        <f>"FES1162568014"</f>
        <v>FES1162568014</v>
      </c>
      <c r="F1027" s="3">
        <v>42957</v>
      </c>
      <c r="G1027" s="2">
        <v>201802</v>
      </c>
      <c r="H1027" s="2" t="s">
        <v>74</v>
      </c>
      <c r="I1027" s="2" t="s">
        <v>75</v>
      </c>
      <c r="J1027" s="2" t="s">
        <v>76</v>
      </c>
      <c r="K1027" s="2" t="s">
        <v>77</v>
      </c>
      <c r="L1027" s="2" t="s">
        <v>539</v>
      </c>
      <c r="M1027" s="2" t="s">
        <v>540</v>
      </c>
      <c r="N1027" s="2" t="s">
        <v>1753</v>
      </c>
      <c r="O1027" s="2" t="s">
        <v>100</v>
      </c>
      <c r="P1027" s="2" t="str">
        <f>"2170582735                    "</f>
        <v xml:space="preserve">2170582735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3.13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1</v>
      </c>
      <c r="BI1027" s="2">
        <v>1</v>
      </c>
      <c r="BJ1027" s="2">
        <v>0.2</v>
      </c>
      <c r="BK1027" s="2">
        <v>1</v>
      </c>
      <c r="BL1027" s="2">
        <v>32.380000000000003</v>
      </c>
      <c r="BM1027" s="2">
        <v>4.53</v>
      </c>
      <c r="BN1027" s="2">
        <v>36.909999999999997</v>
      </c>
      <c r="BO1027" s="2">
        <v>36.909999999999997</v>
      </c>
      <c r="BP1027" s="2">
        <v>1</v>
      </c>
      <c r="BQ1027" s="2" t="s">
        <v>209</v>
      </c>
      <c r="BR1027" s="2" t="s">
        <v>84</v>
      </c>
      <c r="BS1027" s="3">
        <v>42958</v>
      </c>
      <c r="BT1027" s="4">
        <v>0.43402777777777773</v>
      </c>
      <c r="BU1027" s="2" t="s">
        <v>1754</v>
      </c>
      <c r="BV1027" s="2" t="s">
        <v>95</v>
      </c>
      <c r="BW1027" s="2"/>
      <c r="BX1027" s="2"/>
      <c r="BY1027" s="2">
        <v>1200</v>
      </c>
      <c r="BZ1027" s="2" t="s">
        <v>27</v>
      </c>
      <c r="CA1027" s="2" t="s">
        <v>722</v>
      </c>
      <c r="CB1027" s="2"/>
      <c r="CC1027" s="2" t="s">
        <v>540</v>
      </c>
      <c r="CD1027" s="2">
        <v>2163</v>
      </c>
      <c r="CE1027" s="2" t="s">
        <v>104</v>
      </c>
      <c r="CF1027" s="5">
        <v>42961</v>
      </c>
      <c r="CG1027" s="2"/>
      <c r="CH1027" s="2"/>
      <c r="CI1027" s="2">
        <v>1</v>
      </c>
      <c r="CJ1027" s="2">
        <v>1</v>
      </c>
      <c r="CK1027" s="2">
        <v>22</v>
      </c>
      <c r="CL1027" s="2" t="s">
        <v>86</v>
      </c>
      <c r="CM1027" s="2"/>
    </row>
    <row r="1028" spans="1:91">
      <c r="A1028" s="2" t="s">
        <v>71</v>
      </c>
      <c r="B1028" s="2" t="s">
        <v>72</v>
      </c>
      <c r="C1028" s="2" t="s">
        <v>73</v>
      </c>
      <c r="D1028" s="2"/>
      <c r="E1028" s="2" t="str">
        <f>"FES1162567962"</f>
        <v>FES1162567962</v>
      </c>
      <c r="F1028" s="3">
        <v>42957</v>
      </c>
      <c r="G1028" s="2">
        <v>201802</v>
      </c>
      <c r="H1028" s="2" t="s">
        <v>74</v>
      </c>
      <c r="I1028" s="2" t="s">
        <v>75</v>
      </c>
      <c r="J1028" s="2" t="s">
        <v>76</v>
      </c>
      <c r="K1028" s="2" t="s">
        <v>77</v>
      </c>
      <c r="L1028" s="2" t="s">
        <v>362</v>
      </c>
      <c r="M1028" s="2" t="s">
        <v>363</v>
      </c>
      <c r="N1028" s="2" t="s">
        <v>936</v>
      </c>
      <c r="O1028" s="2" t="s">
        <v>100</v>
      </c>
      <c r="P1028" s="2" t="str">
        <f>"2170584102                    "</f>
        <v xml:space="preserve">2170584102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4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1</v>
      </c>
      <c r="BI1028" s="2">
        <v>1</v>
      </c>
      <c r="BJ1028" s="2">
        <v>0.2</v>
      </c>
      <c r="BK1028" s="2">
        <v>1</v>
      </c>
      <c r="BL1028" s="2">
        <v>41.44</v>
      </c>
      <c r="BM1028" s="2">
        <v>5.8</v>
      </c>
      <c r="BN1028" s="2">
        <v>47.24</v>
      </c>
      <c r="BO1028" s="2">
        <v>47.24</v>
      </c>
      <c r="BP1028" s="2"/>
      <c r="BQ1028" s="2" t="s">
        <v>108</v>
      </c>
      <c r="BR1028" s="2" t="s">
        <v>84</v>
      </c>
      <c r="BS1028" s="3">
        <v>42958</v>
      </c>
      <c r="BT1028" s="4">
        <v>0.3576388888888889</v>
      </c>
      <c r="BU1028" s="2" t="s">
        <v>1755</v>
      </c>
      <c r="BV1028" s="2" t="s">
        <v>95</v>
      </c>
      <c r="BW1028" s="2"/>
      <c r="BX1028" s="2"/>
      <c r="BY1028" s="2">
        <v>1200</v>
      </c>
      <c r="BZ1028" s="2" t="s">
        <v>27</v>
      </c>
      <c r="CA1028" s="2" t="s">
        <v>379</v>
      </c>
      <c r="CB1028" s="2"/>
      <c r="CC1028" s="2" t="s">
        <v>363</v>
      </c>
      <c r="CD1028" s="2">
        <v>3200</v>
      </c>
      <c r="CE1028" s="2" t="s">
        <v>104</v>
      </c>
      <c r="CF1028" s="5">
        <v>42961</v>
      </c>
      <c r="CG1028" s="2"/>
      <c r="CH1028" s="2"/>
      <c r="CI1028" s="2">
        <v>1</v>
      </c>
      <c r="CJ1028" s="2">
        <v>1</v>
      </c>
      <c r="CK1028" s="2">
        <v>21</v>
      </c>
      <c r="CL1028" s="2" t="s">
        <v>86</v>
      </c>
      <c r="CM1028" s="2"/>
    </row>
    <row r="1029" spans="1:91">
      <c r="A1029" s="2" t="s">
        <v>71</v>
      </c>
      <c r="B1029" s="2" t="s">
        <v>72</v>
      </c>
      <c r="C1029" s="2" t="s">
        <v>73</v>
      </c>
      <c r="D1029" s="2"/>
      <c r="E1029" s="2" t="str">
        <f>"FES1162568021"</f>
        <v>FES1162568021</v>
      </c>
      <c r="F1029" s="3">
        <v>42957</v>
      </c>
      <c r="G1029" s="2">
        <v>201802</v>
      </c>
      <c r="H1029" s="2" t="s">
        <v>74</v>
      </c>
      <c r="I1029" s="2" t="s">
        <v>75</v>
      </c>
      <c r="J1029" s="2" t="s">
        <v>76</v>
      </c>
      <c r="K1029" s="2" t="s">
        <v>77</v>
      </c>
      <c r="L1029" s="2" t="s">
        <v>149</v>
      </c>
      <c r="M1029" s="2" t="s">
        <v>150</v>
      </c>
      <c r="N1029" s="2" t="s">
        <v>1652</v>
      </c>
      <c r="O1029" s="2" t="s">
        <v>100</v>
      </c>
      <c r="P1029" s="2" t="str">
        <f>"2170583002                    "</f>
        <v xml:space="preserve">2170583002                  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4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1</v>
      </c>
      <c r="BI1029" s="2">
        <v>1</v>
      </c>
      <c r="BJ1029" s="2">
        <v>0.2</v>
      </c>
      <c r="BK1029" s="2">
        <v>1</v>
      </c>
      <c r="BL1029" s="2">
        <v>41.44</v>
      </c>
      <c r="BM1029" s="2">
        <v>5.8</v>
      </c>
      <c r="BN1029" s="2">
        <v>47.24</v>
      </c>
      <c r="BO1029" s="2">
        <v>47.24</v>
      </c>
      <c r="BP1029" s="2"/>
      <c r="BQ1029" s="2" t="s">
        <v>1653</v>
      </c>
      <c r="BR1029" s="2" t="s">
        <v>84</v>
      </c>
      <c r="BS1029" s="3">
        <v>42958</v>
      </c>
      <c r="BT1029" s="4">
        <v>0.3444444444444445</v>
      </c>
      <c r="BU1029" s="2" t="s">
        <v>1654</v>
      </c>
      <c r="BV1029" s="2" t="s">
        <v>95</v>
      </c>
      <c r="BW1029" s="2"/>
      <c r="BX1029" s="2"/>
      <c r="BY1029" s="2">
        <v>1200</v>
      </c>
      <c r="BZ1029" s="2" t="s">
        <v>27</v>
      </c>
      <c r="CA1029" s="2" t="s">
        <v>774</v>
      </c>
      <c r="CB1029" s="2"/>
      <c r="CC1029" s="2" t="s">
        <v>150</v>
      </c>
      <c r="CD1029" s="2">
        <v>4001</v>
      </c>
      <c r="CE1029" s="2" t="s">
        <v>104</v>
      </c>
      <c r="CF1029" s="5">
        <v>42961</v>
      </c>
      <c r="CG1029" s="2"/>
      <c r="CH1029" s="2"/>
      <c r="CI1029" s="2">
        <v>1</v>
      </c>
      <c r="CJ1029" s="2">
        <v>1</v>
      </c>
      <c r="CK1029" s="2">
        <v>21</v>
      </c>
      <c r="CL1029" s="2" t="s">
        <v>86</v>
      </c>
      <c r="CM1029" s="2"/>
    </row>
    <row r="1030" spans="1:91">
      <c r="A1030" s="2" t="s">
        <v>71</v>
      </c>
      <c r="B1030" s="2" t="s">
        <v>72</v>
      </c>
      <c r="C1030" s="2" t="s">
        <v>73</v>
      </c>
      <c r="D1030" s="2"/>
      <c r="E1030" s="2" t="str">
        <f>"FES1162568025"</f>
        <v>FES1162568025</v>
      </c>
      <c r="F1030" s="3">
        <v>42957</v>
      </c>
      <c r="G1030" s="2">
        <v>201802</v>
      </c>
      <c r="H1030" s="2" t="s">
        <v>74</v>
      </c>
      <c r="I1030" s="2" t="s">
        <v>75</v>
      </c>
      <c r="J1030" s="2" t="s">
        <v>76</v>
      </c>
      <c r="K1030" s="2" t="s">
        <v>77</v>
      </c>
      <c r="L1030" s="2" t="s">
        <v>144</v>
      </c>
      <c r="M1030" s="2" t="s">
        <v>145</v>
      </c>
      <c r="N1030" s="2" t="s">
        <v>146</v>
      </c>
      <c r="O1030" s="2" t="s">
        <v>100</v>
      </c>
      <c r="P1030" s="2" t="str">
        <f>"2170583104                    "</f>
        <v xml:space="preserve">2170583104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3.13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1</v>
      </c>
      <c r="BI1030" s="2">
        <v>1</v>
      </c>
      <c r="BJ1030" s="2">
        <v>0.2</v>
      </c>
      <c r="BK1030" s="2">
        <v>1</v>
      </c>
      <c r="BL1030" s="2">
        <v>32.380000000000003</v>
      </c>
      <c r="BM1030" s="2">
        <v>4.53</v>
      </c>
      <c r="BN1030" s="2">
        <v>36.909999999999997</v>
      </c>
      <c r="BO1030" s="2">
        <v>36.909999999999997</v>
      </c>
      <c r="BP1030" s="2">
        <v>1</v>
      </c>
      <c r="BQ1030" s="2" t="s">
        <v>83</v>
      </c>
      <c r="BR1030" s="2" t="s">
        <v>84</v>
      </c>
      <c r="BS1030" s="3">
        <v>42958</v>
      </c>
      <c r="BT1030" s="4">
        <v>0.4513888888888889</v>
      </c>
      <c r="BU1030" s="2" t="s">
        <v>1632</v>
      </c>
      <c r="BV1030" s="2" t="s">
        <v>95</v>
      </c>
      <c r="BW1030" s="2"/>
      <c r="BX1030" s="2"/>
      <c r="BY1030" s="2">
        <v>1200</v>
      </c>
      <c r="BZ1030" s="2" t="s">
        <v>27</v>
      </c>
      <c r="CA1030" s="2" t="s">
        <v>729</v>
      </c>
      <c r="CB1030" s="2"/>
      <c r="CC1030" s="2" t="s">
        <v>145</v>
      </c>
      <c r="CD1030" s="2">
        <v>2094</v>
      </c>
      <c r="CE1030" s="2" t="s">
        <v>104</v>
      </c>
      <c r="CF1030" s="5">
        <v>42961</v>
      </c>
      <c r="CG1030" s="2"/>
      <c r="CH1030" s="2"/>
      <c r="CI1030" s="2">
        <v>1</v>
      </c>
      <c r="CJ1030" s="2">
        <v>1</v>
      </c>
      <c r="CK1030" s="2">
        <v>22</v>
      </c>
      <c r="CL1030" s="2" t="s">
        <v>86</v>
      </c>
      <c r="CM1030" s="2"/>
    </row>
    <row r="1031" spans="1:91">
      <c r="A1031" s="2" t="s">
        <v>71</v>
      </c>
      <c r="B1031" s="2" t="s">
        <v>72</v>
      </c>
      <c r="C1031" s="2" t="s">
        <v>73</v>
      </c>
      <c r="D1031" s="2"/>
      <c r="E1031" s="2" t="str">
        <f>"FES1162568078"</f>
        <v>FES1162568078</v>
      </c>
      <c r="F1031" s="3">
        <v>42957</v>
      </c>
      <c r="G1031" s="2">
        <v>201802</v>
      </c>
      <c r="H1031" s="2" t="s">
        <v>74</v>
      </c>
      <c r="I1031" s="2" t="s">
        <v>75</v>
      </c>
      <c r="J1031" s="2" t="s">
        <v>76</v>
      </c>
      <c r="K1031" s="2" t="s">
        <v>77</v>
      </c>
      <c r="L1031" s="2" t="s">
        <v>944</v>
      </c>
      <c r="M1031" s="2" t="s">
        <v>944</v>
      </c>
      <c r="N1031" s="2" t="s">
        <v>1756</v>
      </c>
      <c r="O1031" s="2" t="s">
        <v>100</v>
      </c>
      <c r="P1031" s="2" t="str">
        <f>"2170584173                    "</f>
        <v xml:space="preserve">2170584173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5.63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1</v>
      </c>
      <c r="BI1031" s="2">
        <v>1</v>
      </c>
      <c r="BJ1031" s="2">
        <v>0.2</v>
      </c>
      <c r="BK1031" s="2">
        <v>1</v>
      </c>
      <c r="BL1031" s="2">
        <v>58.28</v>
      </c>
      <c r="BM1031" s="2">
        <v>8.16</v>
      </c>
      <c r="BN1031" s="2">
        <v>66.44</v>
      </c>
      <c r="BO1031" s="2">
        <v>66.44</v>
      </c>
      <c r="BP1031" s="2">
        <v>1</v>
      </c>
      <c r="BQ1031" s="2" t="s">
        <v>1757</v>
      </c>
      <c r="BR1031" s="2" t="s">
        <v>84</v>
      </c>
      <c r="BS1031" s="3">
        <v>42958</v>
      </c>
      <c r="BT1031" s="4">
        <v>0.41666666666666669</v>
      </c>
      <c r="BU1031" s="2" t="s">
        <v>1758</v>
      </c>
      <c r="BV1031" s="2" t="s">
        <v>95</v>
      </c>
      <c r="BW1031" s="2"/>
      <c r="BX1031" s="2"/>
      <c r="BY1031" s="2">
        <v>1200</v>
      </c>
      <c r="BZ1031" s="2" t="s">
        <v>27</v>
      </c>
      <c r="CA1031" s="2" t="s">
        <v>960</v>
      </c>
      <c r="CB1031" s="2"/>
      <c r="CC1031" s="2" t="s">
        <v>944</v>
      </c>
      <c r="CD1031" s="2">
        <v>1491</v>
      </c>
      <c r="CE1031" s="2" t="s">
        <v>104</v>
      </c>
      <c r="CF1031" s="5">
        <v>42961</v>
      </c>
      <c r="CG1031" s="2"/>
      <c r="CH1031" s="2"/>
      <c r="CI1031" s="2">
        <v>1</v>
      </c>
      <c r="CJ1031" s="2">
        <v>1</v>
      </c>
      <c r="CK1031" s="2">
        <v>24</v>
      </c>
      <c r="CL1031" s="2" t="s">
        <v>86</v>
      </c>
      <c r="CM1031" s="2"/>
    </row>
    <row r="1032" spans="1:91">
      <c r="A1032" s="2" t="s">
        <v>71</v>
      </c>
      <c r="B1032" s="2" t="s">
        <v>72</v>
      </c>
      <c r="C1032" s="2" t="s">
        <v>73</v>
      </c>
      <c r="D1032" s="2"/>
      <c r="E1032" s="2" t="str">
        <f>"FES1162567919"</f>
        <v>FES1162567919</v>
      </c>
      <c r="F1032" s="3">
        <v>42957</v>
      </c>
      <c r="G1032" s="2">
        <v>201802</v>
      </c>
      <c r="H1032" s="2" t="s">
        <v>74</v>
      </c>
      <c r="I1032" s="2" t="s">
        <v>75</v>
      </c>
      <c r="J1032" s="2" t="s">
        <v>76</v>
      </c>
      <c r="K1032" s="2" t="s">
        <v>77</v>
      </c>
      <c r="L1032" s="2" t="s">
        <v>97</v>
      </c>
      <c r="M1032" s="2" t="s">
        <v>98</v>
      </c>
      <c r="N1032" s="2" t="s">
        <v>1041</v>
      </c>
      <c r="O1032" s="2" t="s">
        <v>100</v>
      </c>
      <c r="P1032" s="2" t="str">
        <f>"2170584095                    "</f>
        <v xml:space="preserve">2170584095  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4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1</v>
      </c>
      <c r="BI1032" s="2">
        <v>1</v>
      </c>
      <c r="BJ1032" s="2">
        <v>0.2</v>
      </c>
      <c r="BK1032" s="2">
        <v>1</v>
      </c>
      <c r="BL1032" s="2">
        <v>41.44</v>
      </c>
      <c r="BM1032" s="2">
        <v>5.8</v>
      </c>
      <c r="BN1032" s="2">
        <v>47.24</v>
      </c>
      <c r="BO1032" s="2">
        <v>47.24</v>
      </c>
      <c r="BP1032" s="2">
        <v>1</v>
      </c>
      <c r="BQ1032" s="2" t="s">
        <v>108</v>
      </c>
      <c r="BR1032" s="2" t="s">
        <v>84</v>
      </c>
      <c r="BS1032" s="3">
        <v>42958</v>
      </c>
      <c r="BT1032" s="4">
        <v>0.30555555555555552</v>
      </c>
      <c r="BU1032" s="2" t="s">
        <v>1710</v>
      </c>
      <c r="BV1032" s="2" t="s">
        <v>95</v>
      </c>
      <c r="BW1032" s="2"/>
      <c r="BX1032" s="2"/>
      <c r="BY1032" s="2">
        <v>1200</v>
      </c>
      <c r="BZ1032" s="2" t="s">
        <v>27</v>
      </c>
      <c r="CA1032" s="2" t="s">
        <v>294</v>
      </c>
      <c r="CB1032" s="2"/>
      <c r="CC1032" s="2" t="s">
        <v>98</v>
      </c>
      <c r="CD1032" s="2">
        <v>6012</v>
      </c>
      <c r="CE1032" s="2" t="s">
        <v>104</v>
      </c>
      <c r="CF1032" s="5">
        <v>42961</v>
      </c>
      <c r="CG1032" s="2"/>
      <c r="CH1032" s="2"/>
      <c r="CI1032" s="2">
        <v>1</v>
      </c>
      <c r="CJ1032" s="2">
        <v>1</v>
      </c>
      <c r="CK1032" s="2">
        <v>21</v>
      </c>
      <c r="CL1032" s="2" t="s">
        <v>86</v>
      </c>
      <c r="CM1032" s="2"/>
    </row>
    <row r="1033" spans="1:91">
      <c r="A1033" s="2" t="s">
        <v>71</v>
      </c>
      <c r="B1033" s="2" t="s">
        <v>72</v>
      </c>
      <c r="C1033" s="2" t="s">
        <v>73</v>
      </c>
      <c r="D1033" s="2"/>
      <c r="E1033" s="2" t="str">
        <f>"FES1162568132"</f>
        <v>FES1162568132</v>
      </c>
      <c r="F1033" s="3">
        <v>42957</v>
      </c>
      <c r="G1033" s="2">
        <v>201802</v>
      </c>
      <c r="H1033" s="2" t="s">
        <v>74</v>
      </c>
      <c r="I1033" s="2" t="s">
        <v>75</v>
      </c>
      <c r="J1033" s="2" t="s">
        <v>76</v>
      </c>
      <c r="K1033" s="2" t="s">
        <v>77</v>
      </c>
      <c r="L1033" s="2" t="s">
        <v>311</v>
      </c>
      <c r="M1033" s="2" t="s">
        <v>312</v>
      </c>
      <c r="N1033" s="2" t="s">
        <v>1759</v>
      </c>
      <c r="O1033" s="2" t="s">
        <v>100</v>
      </c>
      <c r="P1033" s="2" t="str">
        <f>"2170584234                    "</f>
        <v xml:space="preserve">2170584234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3.13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1</v>
      </c>
      <c r="BI1033" s="2">
        <v>0.8</v>
      </c>
      <c r="BJ1033" s="2">
        <v>1.8</v>
      </c>
      <c r="BK1033" s="2">
        <v>2</v>
      </c>
      <c r="BL1033" s="2">
        <v>32.380000000000003</v>
      </c>
      <c r="BM1033" s="2">
        <v>4.53</v>
      </c>
      <c r="BN1033" s="2">
        <v>36.909999999999997</v>
      </c>
      <c r="BO1033" s="2">
        <v>36.909999999999997</v>
      </c>
      <c r="BP1033" s="2"/>
      <c r="BQ1033" s="2" t="s">
        <v>83</v>
      </c>
      <c r="BR1033" s="2" t="s">
        <v>84</v>
      </c>
      <c r="BS1033" s="3">
        <v>42958</v>
      </c>
      <c r="BT1033" s="4">
        <v>0.40138888888888885</v>
      </c>
      <c r="BU1033" s="2" t="s">
        <v>1760</v>
      </c>
      <c r="BV1033" s="2" t="s">
        <v>95</v>
      </c>
      <c r="BW1033" s="2"/>
      <c r="BX1033" s="2"/>
      <c r="BY1033" s="2">
        <v>9045.5</v>
      </c>
      <c r="BZ1033" s="2" t="s">
        <v>27</v>
      </c>
      <c r="CA1033" s="2" t="s">
        <v>889</v>
      </c>
      <c r="CB1033" s="2"/>
      <c r="CC1033" s="2" t="s">
        <v>312</v>
      </c>
      <c r="CD1033" s="2">
        <v>1559</v>
      </c>
      <c r="CE1033" s="2" t="s">
        <v>135</v>
      </c>
      <c r="CF1033" s="5">
        <v>42961</v>
      </c>
      <c r="CG1033" s="2"/>
      <c r="CH1033" s="2"/>
      <c r="CI1033" s="2">
        <v>1</v>
      </c>
      <c r="CJ1033" s="2">
        <v>1</v>
      </c>
      <c r="CK1033" s="2">
        <v>22</v>
      </c>
      <c r="CL1033" s="2" t="s">
        <v>86</v>
      </c>
      <c r="CM1033" s="2"/>
    </row>
    <row r="1034" spans="1:91">
      <c r="A1034" s="2" t="s">
        <v>71</v>
      </c>
      <c r="B1034" s="2" t="s">
        <v>72</v>
      </c>
      <c r="C1034" s="2" t="s">
        <v>73</v>
      </c>
      <c r="D1034" s="2"/>
      <c r="E1034" s="2" t="str">
        <f>"FES1162568122"</f>
        <v>FES1162568122</v>
      </c>
      <c r="F1034" s="3">
        <v>42957</v>
      </c>
      <c r="G1034" s="2">
        <v>201802</v>
      </c>
      <c r="H1034" s="2" t="s">
        <v>74</v>
      </c>
      <c r="I1034" s="2" t="s">
        <v>75</v>
      </c>
      <c r="J1034" s="2" t="s">
        <v>76</v>
      </c>
      <c r="K1034" s="2" t="s">
        <v>77</v>
      </c>
      <c r="L1034" s="2" t="s">
        <v>311</v>
      </c>
      <c r="M1034" s="2" t="s">
        <v>312</v>
      </c>
      <c r="N1034" s="2" t="s">
        <v>1761</v>
      </c>
      <c r="O1034" s="2" t="s">
        <v>100</v>
      </c>
      <c r="P1034" s="2" t="str">
        <f>"2170584221                    "</f>
        <v xml:space="preserve">2170584221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3.13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1</v>
      </c>
      <c r="BI1034" s="2">
        <v>1</v>
      </c>
      <c r="BJ1034" s="2">
        <v>0.2</v>
      </c>
      <c r="BK1034" s="2">
        <v>1</v>
      </c>
      <c r="BL1034" s="2">
        <v>32.380000000000003</v>
      </c>
      <c r="BM1034" s="2">
        <v>4.53</v>
      </c>
      <c r="BN1034" s="2">
        <v>36.909999999999997</v>
      </c>
      <c r="BO1034" s="2">
        <v>36.909999999999997</v>
      </c>
      <c r="BP1034" s="2">
        <v>1</v>
      </c>
      <c r="BQ1034" s="2"/>
      <c r="BR1034" s="2" t="s">
        <v>84</v>
      </c>
      <c r="BS1034" s="3">
        <v>42958</v>
      </c>
      <c r="BT1034" s="4">
        <v>0.48749999999999999</v>
      </c>
      <c r="BU1034" s="2" t="s">
        <v>1762</v>
      </c>
      <c r="BV1034" s="2" t="s">
        <v>86</v>
      </c>
      <c r="BW1034" s="2" t="s">
        <v>1007</v>
      </c>
      <c r="BX1034" s="2" t="s">
        <v>1763</v>
      </c>
      <c r="BY1034" s="2">
        <v>1200</v>
      </c>
      <c r="BZ1034" s="2" t="s">
        <v>27</v>
      </c>
      <c r="CA1034" s="2"/>
      <c r="CB1034" s="2"/>
      <c r="CC1034" s="2" t="s">
        <v>312</v>
      </c>
      <c r="CD1034" s="2">
        <v>1559</v>
      </c>
      <c r="CE1034" s="2" t="s">
        <v>104</v>
      </c>
      <c r="CF1034" s="5">
        <v>42961</v>
      </c>
      <c r="CG1034" s="2"/>
      <c r="CH1034" s="2"/>
      <c r="CI1034" s="2">
        <v>1</v>
      </c>
      <c r="CJ1034" s="2">
        <v>1</v>
      </c>
      <c r="CK1034" s="2">
        <v>22</v>
      </c>
      <c r="CL1034" s="2" t="s">
        <v>86</v>
      </c>
      <c r="CM1034" s="2"/>
    </row>
    <row r="1035" spans="1:91">
      <c r="A1035" s="2" t="s">
        <v>71</v>
      </c>
      <c r="B1035" s="2" t="s">
        <v>72</v>
      </c>
      <c r="C1035" s="2" t="s">
        <v>73</v>
      </c>
      <c r="D1035" s="2"/>
      <c r="E1035" s="2" t="str">
        <f>"FES1162567998"</f>
        <v>FES1162567998</v>
      </c>
      <c r="F1035" s="3">
        <v>42957</v>
      </c>
      <c r="G1035" s="2">
        <v>201802</v>
      </c>
      <c r="H1035" s="2" t="s">
        <v>74</v>
      </c>
      <c r="I1035" s="2" t="s">
        <v>75</v>
      </c>
      <c r="J1035" s="2" t="s">
        <v>76</v>
      </c>
      <c r="K1035" s="2" t="s">
        <v>77</v>
      </c>
      <c r="L1035" s="2" t="s">
        <v>144</v>
      </c>
      <c r="M1035" s="2" t="s">
        <v>145</v>
      </c>
      <c r="N1035" s="2" t="s">
        <v>1764</v>
      </c>
      <c r="O1035" s="2" t="s">
        <v>100</v>
      </c>
      <c r="P1035" s="2" t="str">
        <f>"2170584130                    "</f>
        <v xml:space="preserve">2170584130 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3.13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2.2000000000000002</v>
      </c>
      <c r="BJ1035" s="2">
        <v>3.7</v>
      </c>
      <c r="BK1035" s="2">
        <v>4</v>
      </c>
      <c r="BL1035" s="2">
        <v>32.380000000000003</v>
      </c>
      <c r="BM1035" s="2">
        <v>4.53</v>
      </c>
      <c r="BN1035" s="2">
        <v>36.909999999999997</v>
      </c>
      <c r="BO1035" s="2">
        <v>36.909999999999997</v>
      </c>
      <c r="BP1035" s="2"/>
      <c r="BQ1035" s="2" t="s">
        <v>108</v>
      </c>
      <c r="BR1035" s="2" t="s">
        <v>84</v>
      </c>
      <c r="BS1035" s="3">
        <v>42958</v>
      </c>
      <c r="BT1035" s="4">
        <v>0.3520833333333333</v>
      </c>
      <c r="BU1035" s="2" t="s">
        <v>1765</v>
      </c>
      <c r="BV1035" s="2" t="s">
        <v>95</v>
      </c>
      <c r="BW1035" s="2"/>
      <c r="BX1035" s="2"/>
      <c r="BY1035" s="2">
        <v>18631.310000000001</v>
      </c>
      <c r="BZ1035" s="2" t="s">
        <v>27</v>
      </c>
      <c r="CA1035" s="2" t="s">
        <v>729</v>
      </c>
      <c r="CB1035" s="2"/>
      <c r="CC1035" s="2" t="s">
        <v>145</v>
      </c>
      <c r="CD1035" s="2">
        <v>2094</v>
      </c>
      <c r="CE1035" s="2" t="s">
        <v>135</v>
      </c>
      <c r="CF1035" s="5">
        <v>42961</v>
      </c>
      <c r="CG1035" s="2"/>
      <c r="CH1035" s="2"/>
      <c r="CI1035" s="2">
        <v>1</v>
      </c>
      <c r="CJ1035" s="2">
        <v>1</v>
      </c>
      <c r="CK1035" s="2">
        <v>22</v>
      </c>
      <c r="CL1035" s="2" t="s">
        <v>86</v>
      </c>
      <c r="CM1035" s="2"/>
    </row>
    <row r="1036" spans="1:91">
      <c r="A1036" s="2" t="s">
        <v>71</v>
      </c>
      <c r="B1036" s="2" t="s">
        <v>72</v>
      </c>
      <c r="C1036" s="2" t="s">
        <v>73</v>
      </c>
      <c r="D1036" s="2"/>
      <c r="E1036" s="2" t="str">
        <f>"FES1162568107"</f>
        <v>FES1162568107</v>
      </c>
      <c r="F1036" s="3">
        <v>42957</v>
      </c>
      <c r="G1036" s="2">
        <v>201802</v>
      </c>
      <c r="H1036" s="2" t="s">
        <v>74</v>
      </c>
      <c r="I1036" s="2" t="s">
        <v>75</v>
      </c>
      <c r="J1036" s="2" t="s">
        <v>76</v>
      </c>
      <c r="K1036" s="2" t="s">
        <v>77</v>
      </c>
      <c r="L1036" s="2" t="s">
        <v>539</v>
      </c>
      <c r="M1036" s="2" t="s">
        <v>540</v>
      </c>
      <c r="N1036" s="2" t="s">
        <v>1753</v>
      </c>
      <c r="O1036" s="2" t="s">
        <v>100</v>
      </c>
      <c r="P1036" s="2" t="str">
        <f>"2170584211                    "</f>
        <v xml:space="preserve">2170584211 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3.13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1</v>
      </c>
      <c r="BI1036" s="2">
        <v>1</v>
      </c>
      <c r="BJ1036" s="2">
        <v>0.2</v>
      </c>
      <c r="BK1036" s="2">
        <v>1</v>
      </c>
      <c r="BL1036" s="2">
        <v>32.380000000000003</v>
      </c>
      <c r="BM1036" s="2">
        <v>4.53</v>
      </c>
      <c r="BN1036" s="2">
        <v>36.909999999999997</v>
      </c>
      <c r="BO1036" s="2">
        <v>36.909999999999997</v>
      </c>
      <c r="BP1036" s="2">
        <v>1</v>
      </c>
      <c r="BQ1036" s="2" t="s">
        <v>209</v>
      </c>
      <c r="BR1036" s="2" t="s">
        <v>84</v>
      </c>
      <c r="BS1036" s="3">
        <v>42958</v>
      </c>
      <c r="BT1036" s="4">
        <v>0.43194444444444446</v>
      </c>
      <c r="BU1036" s="2" t="s">
        <v>1754</v>
      </c>
      <c r="BV1036" s="2" t="s">
        <v>95</v>
      </c>
      <c r="BW1036" s="2"/>
      <c r="BX1036" s="2"/>
      <c r="BY1036" s="2">
        <v>1200</v>
      </c>
      <c r="BZ1036" s="2" t="s">
        <v>27</v>
      </c>
      <c r="CA1036" s="2" t="s">
        <v>722</v>
      </c>
      <c r="CB1036" s="2"/>
      <c r="CC1036" s="2" t="s">
        <v>540</v>
      </c>
      <c r="CD1036" s="2">
        <v>2163</v>
      </c>
      <c r="CE1036" s="2" t="s">
        <v>104</v>
      </c>
      <c r="CF1036" s="5">
        <v>42961</v>
      </c>
      <c r="CG1036" s="2"/>
      <c r="CH1036" s="2"/>
      <c r="CI1036" s="2">
        <v>1</v>
      </c>
      <c r="CJ1036" s="2">
        <v>1</v>
      </c>
      <c r="CK1036" s="2">
        <v>22</v>
      </c>
      <c r="CL1036" s="2" t="s">
        <v>86</v>
      </c>
      <c r="CM1036" s="2"/>
    </row>
    <row r="1037" spans="1:91">
      <c r="A1037" s="2" t="s">
        <v>71</v>
      </c>
      <c r="B1037" s="2" t="s">
        <v>72</v>
      </c>
      <c r="C1037" s="2" t="s">
        <v>73</v>
      </c>
      <c r="D1037" s="2"/>
      <c r="E1037" s="2" t="str">
        <f>"FES1162568177"</f>
        <v>FES1162568177</v>
      </c>
      <c r="F1037" s="3">
        <v>42957</v>
      </c>
      <c r="G1037" s="2">
        <v>201802</v>
      </c>
      <c r="H1037" s="2" t="s">
        <v>74</v>
      </c>
      <c r="I1037" s="2" t="s">
        <v>75</v>
      </c>
      <c r="J1037" s="2" t="s">
        <v>76</v>
      </c>
      <c r="K1037" s="2" t="s">
        <v>77</v>
      </c>
      <c r="L1037" s="2" t="s">
        <v>237</v>
      </c>
      <c r="M1037" s="2" t="s">
        <v>238</v>
      </c>
      <c r="N1037" s="2" t="s">
        <v>1766</v>
      </c>
      <c r="O1037" s="2" t="s">
        <v>100</v>
      </c>
      <c r="P1037" s="2" t="str">
        <f>"2170583755                    "</f>
        <v xml:space="preserve">2170583755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12.01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5.9</v>
      </c>
      <c r="BJ1037" s="2">
        <v>3.5</v>
      </c>
      <c r="BK1037" s="2">
        <v>6</v>
      </c>
      <c r="BL1037" s="2">
        <v>124.33</v>
      </c>
      <c r="BM1037" s="2">
        <v>17.41</v>
      </c>
      <c r="BN1037" s="2">
        <v>141.74</v>
      </c>
      <c r="BO1037" s="2">
        <v>141.74</v>
      </c>
      <c r="BP1037" s="2"/>
      <c r="BQ1037" s="2" t="s">
        <v>108</v>
      </c>
      <c r="BR1037" s="2" t="s">
        <v>84</v>
      </c>
      <c r="BS1037" s="3">
        <v>42958</v>
      </c>
      <c r="BT1037" s="4">
        <v>0.41180555555555554</v>
      </c>
      <c r="BU1037" s="2" t="s">
        <v>428</v>
      </c>
      <c r="BV1037" s="2" t="s">
        <v>95</v>
      </c>
      <c r="BW1037" s="2"/>
      <c r="BX1037" s="2"/>
      <c r="BY1037" s="2">
        <v>17343.88</v>
      </c>
      <c r="BZ1037" s="2" t="s">
        <v>27</v>
      </c>
      <c r="CA1037" s="2" t="s">
        <v>401</v>
      </c>
      <c r="CB1037" s="2"/>
      <c r="CC1037" s="2" t="s">
        <v>238</v>
      </c>
      <c r="CD1037" s="2">
        <v>3620</v>
      </c>
      <c r="CE1037" s="2" t="s">
        <v>89</v>
      </c>
      <c r="CF1037" s="5">
        <v>42961</v>
      </c>
      <c r="CG1037" s="2"/>
      <c r="CH1037" s="2"/>
      <c r="CI1037" s="2">
        <v>1</v>
      </c>
      <c r="CJ1037" s="2">
        <v>1</v>
      </c>
      <c r="CK1037" s="2">
        <v>21</v>
      </c>
      <c r="CL1037" s="2" t="s">
        <v>86</v>
      </c>
      <c r="CM1037" s="2"/>
    </row>
    <row r="1038" spans="1:91">
      <c r="A1038" s="2" t="s">
        <v>71</v>
      </c>
      <c r="B1038" s="2" t="s">
        <v>72</v>
      </c>
      <c r="C1038" s="2" t="s">
        <v>73</v>
      </c>
      <c r="D1038" s="2"/>
      <c r="E1038" s="2" t="str">
        <f>"FES1162568082"</f>
        <v>FES1162568082</v>
      </c>
      <c r="F1038" s="3">
        <v>42957</v>
      </c>
      <c r="G1038" s="2">
        <v>201802</v>
      </c>
      <c r="H1038" s="2" t="s">
        <v>74</v>
      </c>
      <c r="I1038" s="2" t="s">
        <v>75</v>
      </c>
      <c r="J1038" s="2" t="s">
        <v>76</v>
      </c>
      <c r="K1038" s="2" t="s">
        <v>77</v>
      </c>
      <c r="L1038" s="2" t="s">
        <v>237</v>
      </c>
      <c r="M1038" s="2" t="s">
        <v>238</v>
      </c>
      <c r="N1038" s="2" t="s">
        <v>1766</v>
      </c>
      <c r="O1038" s="2" t="s">
        <v>100</v>
      </c>
      <c r="P1038" s="2" t="str">
        <f>"2170584180                    "</f>
        <v xml:space="preserve">2170584180  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6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1.3</v>
      </c>
      <c r="BJ1038" s="2">
        <v>3</v>
      </c>
      <c r="BK1038" s="2">
        <v>3</v>
      </c>
      <c r="BL1038" s="2">
        <v>62.16</v>
      </c>
      <c r="BM1038" s="2">
        <v>8.6999999999999993</v>
      </c>
      <c r="BN1038" s="2">
        <v>70.86</v>
      </c>
      <c r="BO1038" s="2">
        <v>70.86</v>
      </c>
      <c r="BP1038" s="2"/>
      <c r="BQ1038" s="2" t="s">
        <v>108</v>
      </c>
      <c r="BR1038" s="2" t="s">
        <v>84</v>
      </c>
      <c r="BS1038" s="3">
        <v>42958</v>
      </c>
      <c r="BT1038" s="4">
        <v>0.41180555555555554</v>
      </c>
      <c r="BU1038" s="2" t="s">
        <v>428</v>
      </c>
      <c r="BV1038" s="2" t="s">
        <v>95</v>
      </c>
      <c r="BW1038" s="2"/>
      <c r="BX1038" s="2"/>
      <c r="BY1038" s="2">
        <v>15178.45</v>
      </c>
      <c r="BZ1038" s="2" t="s">
        <v>27</v>
      </c>
      <c r="CA1038" s="2" t="s">
        <v>401</v>
      </c>
      <c r="CB1038" s="2"/>
      <c r="CC1038" s="2" t="s">
        <v>238</v>
      </c>
      <c r="CD1038" s="2">
        <v>3620</v>
      </c>
      <c r="CE1038" s="2" t="s">
        <v>104</v>
      </c>
      <c r="CF1038" s="5">
        <v>42961</v>
      </c>
      <c r="CG1038" s="2"/>
      <c r="CH1038" s="2"/>
      <c r="CI1038" s="2">
        <v>1</v>
      </c>
      <c r="CJ1038" s="2">
        <v>1</v>
      </c>
      <c r="CK1038" s="2">
        <v>21</v>
      </c>
      <c r="CL1038" s="2" t="s">
        <v>86</v>
      </c>
      <c r="CM1038" s="2"/>
    </row>
    <row r="1039" spans="1:91">
      <c r="A1039" s="2" t="s">
        <v>71</v>
      </c>
      <c r="B1039" s="2" t="s">
        <v>72</v>
      </c>
      <c r="C1039" s="2" t="s">
        <v>73</v>
      </c>
      <c r="D1039" s="2"/>
      <c r="E1039" s="2" t="str">
        <f>"FES1162568036"</f>
        <v>FES1162568036</v>
      </c>
      <c r="F1039" s="3">
        <v>42957</v>
      </c>
      <c r="G1039" s="2">
        <v>201802</v>
      </c>
      <c r="H1039" s="2" t="s">
        <v>74</v>
      </c>
      <c r="I1039" s="2" t="s">
        <v>75</v>
      </c>
      <c r="J1039" s="2" t="s">
        <v>76</v>
      </c>
      <c r="K1039" s="2" t="s">
        <v>77</v>
      </c>
      <c r="L1039" s="2" t="s">
        <v>221</v>
      </c>
      <c r="M1039" s="2" t="s">
        <v>222</v>
      </c>
      <c r="N1039" s="2" t="s">
        <v>1275</v>
      </c>
      <c r="O1039" s="2" t="s">
        <v>100</v>
      </c>
      <c r="P1039" s="2" t="str">
        <f>"2170583717                    "</f>
        <v xml:space="preserve">2170583717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4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1</v>
      </c>
      <c r="BI1039" s="2">
        <v>1</v>
      </c>
      <c r="BJ1039" s="2">
        <v>0.2</v>
      </c>
      <c r="BK1039" s="2">
        <v>1</v>
      </c>
      <c r="BL1039" s="2">
        <v>41.44</v>
      </c>
      <c r="BM1039" s="2">
        <v>5.8</v>
      </c>
      <c r="BN1039" s="2">
        <v>47.24</v>
      </c>
      <c r="BO1039" s="2">
        <v>47.24</v>
      </c>
      <c r="BP1039" s="2"/>
      <c r="BQ1039" s="2" t="s">
        <v>108</v>
      </c>
      <c r="BR1039" s="2" t="s">
        <v>84</v>
      </c>
      <c r="BS1039" s="3">
        <v>42958</v>
      </c>
      <c r="BT1039" s="4">
        <v>0.40625</v>
      </c>
      <c r="BU1039" s="2" t="s">
        <v>1767</v>
      </c>
      <c r="BV1039" s="2" t="s">
        <v>95</v>
      </c>
      <c r="BW1039" s="2"/>
      <c r="BX1039" s="2"/>
      <c r="BY1039" s="2">
        <v>1200</v>
      </c>
      <c r="BZ1039" s="2" t="s">
        <v>27</v>
      </c>
      <c r="CA1039" s="2" t="s">
        <v>1536</v>
      </c>
      <c r="CB1039" s="2"/>
      <c r="CC1039" s="2" t="s">
        <v>222</v>
      </c>
      <c r="CD1039" s="2">
        <v>4300</v>
      </c>
      <c r="CE1039" s="2" t="s">
        <v>104</v>
      </c>
      <c r="CF1039" s="5">
        <v>42961</v>
      </c>
      <c r="CG1039" s="2"/>
      <c r="CH1039" s="2"/>
      <c r="CI1039" s="2">
        <v>1</v>
      </c>
      <c r="CJ1039" s="2">
        <v>1</v>
      </c>
      <c r="CK1039" s="2">
        <v>21</v>
      </c>
      <c r="CL1039" s="2" t="s">
        <v>86</v>
      </c>
      <c r="CM1039" s="2"/>
    </row>
    <row r="1040" spans="1:91">
      <c r="A1040" s="2" t="s">
        <v>71</v>
      </c>
      <c r="B1040" s="2" t="s">
        <v>72</v>
      </c>
      <c r="C1040" s="2" t="s">
        <v>73</v>
      </c>
      <c r="D1040" s="2"/>
      <c r="E1040" s="2" t="str">
        <f>"FES1162568092"</f>
        <v>FES1162568092</v>
      </c>
      <c r="F1040" s="3">
        <v>42957</v>
      </c>
      <c r="G1040" s="2">
        <v>201802</v>
      </c>
      <c r="H1040" s="2" t="s">
        <v>74</v>
      </c>
      <c r="I1040" s="2" t="s">
        <v>75</v>
      </c>
      <c r="J1040" s="2" t="s">
        <v>76</v>
      </c>
      <c r="K1040" s="2" t="s">
        <v>77</v>
      </c>
      <c r="L1040" s="2" t="s">
        <v>216</v>
      </c>
      <c r="M1040" s="2" t="s">
        <v>217</v>
      </c>
      <c r="N1040" s="2" t="s">
        <v>218</v>
      </c>
      <c r="O1040" s="2" t="s">
        <v>100</v>
      </c>
      <c r="P1040" s="2" t="str">
        <f>"2170584190                    "</f>
        <v xml:space="preserve">2170584190  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3.13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1</v>
      </c>
      <c r="BJ1040" s="2">
        <v>0.2</v>
      </c>
      <c r="BK1040" s="2">
        <v>1</v>
      </c>
      <c r="BL1040" s="2">
        <v>32.380000000000003</v>
      </c>
      <c r="BM1040" s="2">
        <v>4.53</v>
      </c>
      <c r="BN1040" s="2">
        <v>36.909999999999997</v>
      </c>
      <c r="BO1040" s="2">
        <v>36.909999999999997</v>
      </c>
      <c r="BP1040" s="2">
        <v>1</v>
      </c>
      <c r="BQ1040" s="2" t="s">
        <v>1768</v>
      </c>
      <c r="BR1040" s="2" t="s">
        <v>84</v>
      </c>
      <c r="BS1040" s="3">
        <v>42958</v>
      </c>
      <c r="BT1040" s="4">
        <v>0.3263888888888889</v>
      </c>
      <c r="BU1040" s="2" t="s">
        <v>1769</v>
      </c>
      <c r="BV1040" s="2" t="s">
        <v>95</v>
      </c>
      <c r="BW1040" s="2"/>
      <c r="BX1040" s="2"/>
      <c r="BY1040" s="2">
        <v>1200</v>
      </c>
      <c r="BZ1040" s="2" t="s">
        <v>27</v>
      </c>
      <c r="CA1040" s="2" t="s">
        <v>220</v>
      </c>
      <c r="CB1040" s="2"/>
      <c r="CC1040" s="2" t="s">
        <v>217</v>
      </c>
      <c r="CD1040" s="2">
        <v>1451</v>
      </c>
      <c r="CE1040" s="2" t="s">
        <v>104</v>
      </c>
      <c r="CF1040" s="5">
        <v>42961</v>
      </c>
      <c r="CG1040" s="2"/>
      <c r="CH1040" s="2"/>
      <c r="CI1040" s="2">
        <v>1</v>
      </c>
      <c r="CJ1040" s="2">
        <v>1</v>
      </c>
      <c r="CK1040" s="2">
        <v>22</v>
      </c>
      <c r="CL1040" s="2" t="s">
        <v>86</v>
      </c>
      <c r="CM1040" s="2"/>
    </row>
    <row r="1041" spans="1:91">
      <c r="A1041" s="2" t="s">
        <v>71</v>
      </c>
      <c r="B1041" s="2" t="s">
        <v>72</v>
      </c>
      <c r="C1041" s="2" t="s">
        <v>73</v>
      </c>
      <c r="D1041" s="2"/>
      <c r="E1041" s="2" t="str">
        <f>"FES1162567913"</f>
        <v>FES1162567913</v>
      </c>
      <c r="F1041" s="3">
        <v>42957</v>
      </c>
      <c r="G1041" s="2">
        <v>201802</v>
      </c>
      <c r="H1041" s="2" t="s">
        <v>74</v>
      </c>
      <c r="I1041" s="2" t="s">
        <v>75</v>
      </c>
      <c r="J1041" s="2" t="s">
        <v>76</v>
      </c>
      <c r="K1041" s="2" t="s">
        <v>77</v>
      </c>
      <c r="L1041" s="2" t="s">
        <v>1202</v>
      </c>
      <c r="M1041" s="2" t="s">
        <v>1203</v>
      </c>
      <c r="N1041" s="2" t="s">
        <v>1770</v>
      </c>
      <c r="O1041" s="2" t="s">
        <v>100</v>
      </c>
      <c r="P1041" s="2" t="str">
        <f>"2170584087                    "</f>
        <v xml:space="preserve">2170584087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3.13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1</v>
      </c>
      <c r="BI1041" s="2">
        <v>2.5</v>
      </c>
      <c r="BJ1041" s="2">
        <v>0.9</v>
      </c>
      <c r="BK1041" s="2">
        <v>3</v>
      </c>
      <c r="BL1041" s="2">
        <v>32.380000000000003</v>
      </c>
      <c r="BM1041" s="2">
        <v>4.53</v>
      </c>
      <c r="BN1041" s="2">
        <v>36.909999999999997</v>
      </c>
      <c r="BO1041" s="2">
        <v>36.909999999999997</v>
      </c>
      <c r="BP1041" s="2"/>
      <c r="BQ1041" s="2" t="s">
        <v>108</v>
      </c>
      <c r="BR1041" s="2" t="s">
        <v>84</v>
      </c>
      <c r="BS1041" s="3">
        <v>42958</v>
      </c>
      <c r="BT1041" s="4">
        <v>0.29652777777777778</v>
      </c>
      <c r="BU1041" s="2" t="s">
        <v>1771</v>
      </c>
      <c r="BV1041" s="2" t="s">
        <v>95</v>
      </c>
      <c r="BW1041" s="2"/>
      <c r="BX1041" s="2"/>
      <c r="BY1041" s="2">
        <v>4428.71</v>
      </c>
      <c r="BZ1041" s="2" t="s">
        <v>27</v>
      </c>
      <c r="CA1041" s="2" t="s">
        <v>499</v>
      </c>
      <c r="CB1041" s="2"/>
      <c r="CC1041" s="2" t="s">
        <v>1203</v>
      </c>
      <c r="CD1041" s="2">
        <v>1501</v>
      </c>
      <c r="CE1041" s="2" t="s">
        <v>135</v>
      </c>
      <c r="CF1041" s="5">
        <v>42961</v>
      </c>
      <c r="CG1041" s="2"/>
      <c r="CH1041" s="2"/>
      <c r="CI1041" s="2">
        <v>1</v>
      </c>
      <c r="CJ1041" s="2">
        <v>1</v>
      </c>
      <c r="CK1041" s="2">
        <v>22</v>
      </c>
      <c r="CL1041" s="2" t="s">
        <v>86</v>
      </c>
      <c r="CM1041" s="2"/>
    </row>
    <row r="1042" spans="1:91">
      <c r="A1042" s="2" t="s">
        <v>71</v>
      </c>
      <c r="B1042" s="2" t="s">
        <v>72</v>
      </c>
      <c r="C1042" s="2" t="s">
        <v>73</v>
      </c>
      <c r="D1042" s="2"/>
      <c r="E1042" s="2" t="str">
        <f>"FES1162568032"</f>
        <v>FES1162568032</v>
      </c>
      <c r="F1042" s="3">
        <v>42957</v>
      </c>
      <c r="G1042" s="2">
        <v>201802</v>
      </c>
      <c r="H1042" s="2" t="s">
        <v>74</v>
      </c>
      <c r="I1042" s="2" t="s">
        <v>75</v>
      </c>
      <c r="J1042" s="2" t="s">
        <v>76</v>
      </c>
      <c r="K1042" s="2" t="s">
        <v>77</v>
      </c>
      <c r="L1042" s="2" t="s">
        <v>144</v>
      </c>
      <c r="M1042" s="2" t="s">
        <v>145</v>
      </c>
      <c r="N1042" s="2" t="s">
        <v>1713</v>
      </c>
      <c r="O1042" s="2" t="s">
        <v>100</v>
      </c>
      <c r="P1042" s="2" t="str">
        <f>"2170583552                    "</f>
        <v xml:space="preserve">2170583552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3.13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1</v>
      </c>
      <c r="BJ1042" s="2">
        <v>0.2</v>
      </c>
      <c r="BK1042" s="2">
        <v>1</v>
      </c>
      <c r="BL1042" s="2">
        <v>32.380000000000003</v>
      </c>
      <c r="BM1042" s="2">
        <v>4.53</v>
      </c>
      <c r="BN1042" s="2">
        <v>36.909999999999997</v>
      </c>
      <c r="BO1042" s="2">
        <v>36.909999999999997</v>
      </c>
      <c r="BP1042" s="2">
        <v>1</v>
      </c>
      <c r="BQ1042" s="2" t="s">
        <v>209</v>
      </c>
      <c r="BR1042" s="2" t="s">
        <v>84</v>
      </c>
      <c r="BS1042" s="3">
        <v>42958</v>
      </c>
      <c r="BT1042" s="4">
        <v>0.45833333333333331</v>
      </c>
      <c r="BU1042" s="2" t="s">
        <v>1674</v>
      </c>
      <c r="BV1042" s="2" t="s">
        <v>86</v>
      </c>
      <c r="BW1042" s="2" t="s">
        <v>110</v>
      </c>
      <c r="BX1042" s="2" t="s">
        <v>327</v>
      </c>
      <c r="BY1042" s="2">
        <v>1200</v>
      </c>
      <c r="BZ1042" s="2" t="s">
        <v>27</v>
      </c>
      <c r="CA1042" s="2"/>
      <c r="CB1042" s="2"/>
      <c r="CC1042" s="2" t="s">
        <v>145</v>
      </c>
      <c r="CD1042" s="2">
        <v>2090</v>
      </c>
      <c r="CE1042" s="2" t="s">
        <v>104</v>
      </c>
      <c r="CF1042" s="5">
        <v>42961</v>
      </c>
      <c r="CG1042" s="2"/>
      <c r="CH1042" s="2"/>
      <c r="CI1042" s="2">
        <v>1</v>
      </c>
      <c r="CJ1042" s="2">
        <v>1</v>
      </c>
      <c r="CK1042" s="2">
        <v>22</v>
      </c>
      <c r="CL1042" s="2" t="s">
        <v>86</v>
      </c>
      <c r="CM1042" s="2"/>
    </row>
    <row r="1043" spans="1:91">
      <c r="A1043" s="2" t="s">
        <v>71</v>
      </c>
      <c r="B1043" s="2" t="s">
        <v>72</v>
      </c>
      <c r="C1043" s="2" t="s">
        <v>73</v>
      </c>
      <c r="D1043" s="2"/>
      <c r="E1043" s="2" t="str">
        <f>"FES1162567983"</f>
        <v>FES1162567983</v>
      </c>
      <c r="F1043" s="3">
        <v>42957</v>
      </c>
      <c r="G1043" s="2">
        <v>201802</v>
      </c>
      <c r="H1043" s="2" t="s">
        <v>74</v>
      </c>
      <c r="I1043" s="2" t="s">
        <v>75</v>
      </c>
      <c r="J1043" s="2" t="s">
        <v>76</v>
      </c>
      <c r="K1043" s="2" t="s">
        <v>77</v>
      </c>
      <c r="L1043" s="2" t="s">
        <v>97</v>
      </c>
      <c r="M1043" s="2" t="s">
        <v>98</v>
      </c>
      <c r="N1043" s="2" t="s">
        <v>1772</v>
      </c>
      <c r="O1043" s="2" t="s">
        <v>100</v>
      </c>
      <c r="P1043" s="2" t="str">
        <f>"2170582150                    "</f>
        <v xml:space="preserve">2170582150  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4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1</v>
      </c>
      <c r="BI1043" s="2">
        <v>1</v>
      </c>
      <c r="BJ1043" s="2">
        <v>0.2</v>
      </c>
      <c r="BK1043" s="2">
        <v>1</v>
      </c>
      <c r="BL1043" s="2">
        <v>41.44</v>
      </c>
      <c r="BM1043" s="2">
        <v>5.8</v>
      </c>
      <c r="BN1043" s="2">
        <v>47.24</v>
      </c>
      <c r="BO1043" s="2">
        <v>47.24</v>
      </c>
      <c r="BP1043" s="2">
        <v>1</v>
      </c>
      <c r="BQ1043" s="2" t="s">
        <v>1773</v>
      </c>
      <c r="BR1043" s="2" t="s">
        <v>84</v>
      </c>
      <c r="BS1043" s="3">
        <v>42958</v>
      </c>
      <c r="BT1043" s="4">
        <v>0.41666666666666669</v>
      </c>
      <c r="BU1043" s="2" t="s">
        <v>1774</v>
      </c>
      <c r="BV1043" s="2" t="s">
        <v>95</v>
      </c>
      <c r="BW1043" s="2"/>
      <c r="BX1043" s="2"/>
      <c r="BY1043" s="2">
        <v>1200</v>
      </c>
      <c r="BZ1043" s="2" t="s">
        <v>27</v>
      </c>
      <c r="CA1043" s="2" t="s">
        <v>1775</v>
      </c>
      <c r="CB1043" s="2"/>
      <c r="CC1043" s="2" t="s">
        <v>98</v>
      </c>
      <c r="CD1043" s="2">
        <v>6065</v>
      </c>
      <c r="CE1043" s="2" t="s">
        <v>104</v>
      </c>
      <c r="CF1043" s="5">
        <v>42961</v>
      </c>
      <c r="CG1043" s="2"/>
      <c r="CH1043" s="2"/>
      <c r="CI1043" s="2">
        <v>1</v>
      </c>
      <c r="CJ1043" s="2">
        <v>1</v>
      </c>
      <c r="CK1043" s="2">
        <v>21</v>
      </c>
      <c r="CL1043" s="2" t="s">
        <v>86</v>
      </c>
      <c r="CM1043" s="2"/>
    </row>
    <row r="1044" spans="1:91">
      <c r="A1044" s="2" t="s">
        <v>71</v>
      </c>
      <c r="B1044" s="2" t="s">
        <v>72</v>
      </c>
      <c r="C1044" s="2" t="s">
        <v>73</v>
      </c>
      <c r="D1044" s="2"/>
      <c r="E1044" s="2" t="str">
        <f>"FES1162567965"</f>
        <v>FES1162567965</v>
      </c>
      <c r="F1044" s="3">
        <v>42957</v>
      </c>
      <c r="G1044" s="2">
        <v>201802</v>
      </c>
      <c r="H1044" s="2" t="s">
        <v>74</v>
      </c>
      <c r="I1044" s="2" t="s">
        <v>75</v>
      </c>
      <c r="J1044" s="2" t="s">
        <v>76</v>
      </c>
      <c r="K1044" s="2" t="s">
        <v>77</v>
      </c>
      <c r="L1044" s="2" t="s">
        <v>170</v>
      </c>
      <c r="M1044" s="2" t="s">
        <v>171</v>
      </c>
      <c r="N1044" s="2" t="s">
        <v>730</v>
      </c>
      <c r="O1044" s="2" t="s">
        <v>100</v>
      </c>
      <c r="P1044" s="2" t="str">
        <f>"2170584107                    "</f>
        <v xml:space="preserve">2170584107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3.13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1</v>
      </c>
      <c r="BJ1044" s="2">
        <v>0.2</v>
      </c>
      <c r="BK1044" s="2">
        <v>1</v>
      </c>
      <c r="BL1044" s="2">
        <v>32.380000000000003</v>
      </c>
      <c r="BM1044" s="2">
        <v>4.53</v>
      </c>
      <c r="BN1044" s="2">
        <v>36.909999999999997</v>
      </c>
      <c r="BO1044" s="2">
        <v>36.909999999999997</v>
      </c>
      <c r="BP1044" s="2"/>
      <c r="BQ1044" s="2" t="s">
        <v>108</v>
      </c>
      <c r="BR1044" s="2" t="s">
        <v>84</v>
      </c>
      <c r="BS1044" s="3">
        <v>42958</v>
      </c>
      <c r="BT1044" s="4">
        <v>0.66319444444444442</v>
      </c>
      <c r="BU1044" s="2" t="s">
        <v>1776</v>
      </c>
      <c r="BV1044" s="2" t="s">
        <v>86</v>
      </c>
      <c r="BW1044" s="2" t="s">
        <v>110</v>
      </c>
      <c r="BX1044" s="2" t="s">
        <v>498</v>
      </c>
      <c r="BY1044" s="2">
        <v>1200</v>
      </c>
      <c r="BZ1044" s="2" t="s">
        <v>27</v>
      </c>
      <c r="CA1044" s="2" t="s">
        <v>492</v>
      </c>
      <c r="CB1044" s="2"/>
      <c r="CC1044" s="2" t="s">
        <v>171</v>
      </c>
      <c r="CD1044" s="2">
        <v>1428</v>
      </c>
      <c r="CE1044" s="2" t="s">
        <v>104</v>
      </c>
      <c r="CF1044" s="5">
        <v>42961</v>
      </c>
      <c r="CG1044" s="2"/>
      <c r="CH1044" s="2"/>
      <c r="CI1044" s="2">
        <v>1</v>
      </c>
      <c r="CJ1044" s="2">
        <v>1</v>
      </c>
      <c r="CK1044" s="2">
        <v>22</v>
      </c>
      <c r="CL1044" s="2" t="s">
        <v>86</v>
      </c>
      <c r="CM1044" s="2"/>
    </row>
    <row r="1045" spans="1:91">
      <c r="A1045" s="2" t="s">
        <v>71</v>
      </c>
      <c r="B1045" s="2" t="s">
        <v>72</v>
      </c>
      <c r="C1045" s="2" t="s">
        <v>73</v>
      </c>
      <c r="D1045" s="2"/>
      <c r="E1045" s="2" t="str">
        <f>"FES1162568052"</f>
        <v>FES1162568052</v>
      </c>
      <c r="F1045" s="3">
        <v>42957</v>
      </c>
      <c r="G1045" s="2">
        <v>201802</v>
      </c>
      <c r="H1045" s="2" t="s">
        <v>74</v>
      </c>
      <c r="I1045" s="2" t="s">
        <v>75</v>
      </c>
      <c r="J1045" s="2" t="s">
        <v>76</v>
      </c>
      <c r="K1045" s="2" t="s">
        <v>77</v>
      </c>
      <c r="L1045" s="2" t="s">
        <v>97</v>
      </c>
      <c r="M1045" s="2" t="s">
        <v>98</v>
      </c>
      <c r="N1045" s="2" t="s">
        <v>214</v>
      </c>
      <c r="O1045" s="2" t="s">
        <v>100</v>
      </c>
      <c r="P1045" s="2" t="str">
        <f>"2170584164                    "</f>
        <v xml:space="preserve">2170584164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5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1.1000000000000001</v>
      </c>
      <c r="BJ1045" s="2">
        <v>2.2999999999999998</v>
      </c>
      <c r="BK1045" s="2">
        <v>2.5</v>
      </c>
      <c r="BL1045" s="2">
        <v>51.8</v>
      </c>
      <c r="BM1045" s="2">
        <v>7.25</v>
      </c>
      <c r="BN1045" s="2">
        <v>59.05</v>
      </c>
      <c r="BO1045" s="2">
        <v>59.05</v>
      </c>
      <c r="BP1045" s="2">
        <v>1</v>
      </c>
      <c r="BQ1045" s="2" t="s">
        <v>108</v>
      </c>
      <c r="BR1045" s="2" t="s">
        <v>84</v>
      </c>
      <c r="BS1045" s="3">
        <v>42958</v>
      </c>
      <c r="BT1045" s="4">
        <v>0.30277777777777776</v>
      </c>
      <c r="BU1045" s="2" t="s">
        <v>1131</v>
      </c>
      <c r="BV1045" s="2" t="s">
        <v>95</v>
      </c>
      <c r="BW1045" s="2"/>
      <c r="BX1045" s="2"/>
      <c r="BY1045" s="2">
        <v>11424.85</v>
      </c>
      <c r="BZ1045" s="2" t="s">
        <v>27</v>
      </c>
      <c r="CA1045" s="2" t="s">
        <v>213</v>
      </c>
      <c r="CB1045" s="2"/>
      <c r="CC1045" s="2" t="s">
        <v>98</v>
      </c>
      <c r="CD1045" s="2">
        <v>6001</v>
      </c>
      <c r="CE1045" s="2" t="s">
        <v>104</v>
      </c>
      <c r="CF1045" s="5">
        <v>42961</v>
      </c>
      <c r="CG1045" s="2"/>
      <c r="CH1045" s="2"/>
      <c r="CI1045" s="2">
        <v>1</v>
      </c>
      <c r="CJ1045" s="2">
        <v>1</v>
      </c>
      <c r="CK1045" s="2">
        <v>21</v>
      </c>
      <c r="CL1045" s="2" t="s">
        <v>86</v>
      </c>
      <c r="CM1045" s="2"/>
    </row>
    <row r="1046" spans="1:91">
      <c r="A1046" s="2" t="s">
        <v>71</v>
      </c>
      <c r="B1046" s="2" t="s">
        <v>72</v>
      </c>
      <c r="C1046" s="2" t="s">
        <v>73</v>
      </c>
      <c r="D1046" s="2"/>
      <c r="E1046" s="2" t="str">
        <f>"FES1162568087"</f>
        <v>FES1162568087</v>
      </c>
      <c r="F1046" s="3">
        <v>42957</v>
      </c>
      <c r="G1046" s="2">
        <v>201802</v>
      </c>
      <c r="H1046" s="2" t="s">
        <v>74</v>
      </c>
      <c r="I1046" s="2" t="s">
        <v>75</v>
      </c>
      <c r="J1046" s="2" t="s">
        <v>76</v>
      </c>
      <c r="K1046" s="2" t="s">
        <v>77</v>
      </c>
      <c r="L1046" s="2" t="s">
        <v>174</v>
      </c>
      <c r="M1046" s="2" t="s">
        <v>175</v>
      </c>
      <c r="N1046" s="2" t="s">
        <v>851</v>
      </c>
      <c r="O1046" s="2" t="s">
        <v>100</v>
      </c>
      <c r="P1046" s="2" t="str">
        <f>"2170584178                    "</f>
        <v xml:space="preserve">2170584178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4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1</v>
      </c>
      <c r="BJ1046" s="2">
        <v>0.2</v>
      </c>
      <c r="BK1046" s="2">
        <v>1</v>
      </c>
      <c r="BL1046" s="2">
        <v>41.44</v>
      </c>
      <c r="BM1046" s="2">
        <v>5.8</v>
      </c>
      <c r="BN1046" s="2">
        <v>47.24</v>
      </c>
      <c r="BO1046" s="2">
        <v>47.24</v>
      </c>
      <c r="BP1046" s="2">
        <v>1</v>
      </c>
      <c r="BQ1046" s="2" t="s">
        <v>83</v>
      </c>
      <c r="BR1046" s="2" t="s">
        <v>84</v>
      </c>
      <c r="BS1046" s="3">
        <v>42958</v>
      </c>
      <c r="BT1046" s="4">
        <v>0.3347222222222222</v>
      </c>
      <c r="BU1046" s="2" t="s">
        <v>1607</v>
      </c>
      <c r="BV1046" s="2" t="s">
        <v>95</v>
      </c>
      <c r="BW1046" s="2"/>
      <c r="BX1046" s="2"/>
      <c r="BY1046" s="2">
        <v>1200</v>
      </c>
      <c r="BZ1046" s="2" t="s">
        <v>27</v>
      </c>
      <c r="CA1046" s="2" t="s">
        <v>1420</v>
      </c>
      <c r="CB1046" s="2"/>
      <c r="CC1046" s="2" t="s">
        <v>175</v>
      </c>
      <c r="CD1046" s="2">
        <v>5201</v>
      </c>
      <c r="CE1046" s="2" t="s">
        <v>104</v>
      </c>
      <c r="CF1046" s="5">
        <v>42961</v>
      </c>
      <c r="CG1046" s="2"/>
      <c r="CH1046" s="2"/>
      <c r="CI1046" s="2">
        <v>1</v>
      </c>
      <c r="CJ1046" s="2">
        <v>1</v>
      </c>
      <c r="CK1046" s="2">
        <v>21</v>
      </c>
      <c r="CL1046" s="2" t="s">
        <v>86</v>
      </c>
      <c r="CM1046" s="2"/>
    </row>
    <row r="1047" spans="1:91">
      <c r="A1047" s="2" t="s">
        <v>71</v>
      </c>
      <c r="B1047" s="2" t="s">
        <v>72</v>
      </c>
      <c r="C1047" s="2" t="s">
        <v>73</v>
      </c>
      <c r="D1047" s="2"/>
      <c r="E1047" s="2" t="str">
        <f>"FES1162568071"</f>
        <v>FES1162568071</v>
      </c>
      <c r="F1047" s="3">
        <v>42957</v>
      </c>
      <c r="G1047" s="2">
        <v>201802</v>
      </c>
      <c r="H1047" s="2" t="s">
        <v>74</v>
      </c>
      <c r="I1047" s="2" t="s">
        <v>75</v>
      </c>
      <c r="J1047" s="2" t="s">
        <v>76</v>
      </c>
      <c r="K1047" s="2" t="s">
        <v>77</v>
      </c>
      <c r="L1047" s="2" t="s">
        <v>524</v>
      </c>
      <c r="M1047" s="2" t="s">
        <v>525</v>
      </c>
      <c r="N1047" s="2" t="s">
        <v>1777</v>
      </c>
      <c r="O1047" s="2" t="s">
        <v>100</v>
      </c>
      <c r="P1047" s="2" t="str">
        <f>"2170581688                    "</f>
        <v xml:space="preserve">2170581688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7.75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1</v>
      </c>
      <c r="BI1047" s="2">
        <v>1</v>
      </c>
      <c r="BJ1047" s="2">
        <v>0.2</v>
      </c>
      <c r="BK1047" s="2">
        <v>1</v>
      </c>
      <c r="BL1047" s="2">
        <v>80.290000000000006</v>
      </c>
      <c r="BM1047" s="2">
        <v>11.24</v>
      </c>
      <c r="BN1047" s="2">
        <v>91.53</v>
      </c>
      <c r="BO1047" s="2">
        <v>91.53</v>
      </c>
      <c r="BP1047" s="2">
        <v>1</v>
      </c>
      <c r="BQ1047" s="2" t="s">
        <v>13</v>
      </c>
      <c r="BR1047" s="2" t="s">
        <v>84</v>
      </c>
      <c r="BS1047" s="3">
        <v>42958</v>
      </c>
      <c r="BT1047" s="4">
        <v>0.8305555555555556</v>
      </c>
      <c r="BU1047" s="2" t="s">
        <v>1778</v>
      </c>
      <c r="BV1047" s="2" t="s">
        <v>95</v>
      </c>
      <c r="BW1047" s="2"/>
      <c r="BX1047" s="2"/>
      <c r="BY1047" s="2">
        <v>1200</v>
      </c>
      <c r="BZ1047" s="2" t="s">
        <v>27</v>
      </c>
      <c r="CA1047" s="2" t="s">
        <v>1779</v>
      </c>
      <c r="CB1047" s="2"/>
      <c r="CC1047" s="2" t="s">
        <v>525</v>
      </c>
      <c r="CD1047" s="2">
        <v>5660</v>
      </c>
      <c r="CE1047" s="2" t="s">
        <v>104</v>
      </c>
      <c r="CF1047" s="5">
        <v>42962</v>
      </c>
      <c r="CG1047" s="2"/>
      <c r="CH1047" s="2"/>
      <c r="CI1047" s="2">
        <v>3</v>
      </c>
      <c r="CJ1047" s="2">
        <v>1</v>
      </c>
      <c r="CK1047" s="2">
        <v>23</v>
      </c>
      <c r="CL1047" s="2" t="s">
        <v>86</v>
      </c>
      <c r="CM1047" s="2"/>
    </row>
    <row r="1048" spans="1:91">
      <c r="A1048" s="2" t="s">
        <v>71</v>
      </c>
      <c r="B1048" s="2" t="s">
        <v>72</v>
      </c>
      <c r="C1048" s="2" t="s">
        <v>73</v>
      </c>
      <c r="D1048" s="2"/>
      <c r="E1048" s="2" t="str">
        <f>"FES1162567932"</f>
        <v>FES1162567932</v>
      </c>
      <c r="F1048" s="3">
        <v>42957</v>
      </c>
      <c r="G1048" s="2">
        <v>201802</v>
      </c>
      <c r="H1048" s="2" t="s">
        <v>74</v>
      </c>
      <c r="I1048" s="2" t="s">
        <v>75</v>
      </c>
      <c r="J1048" s="2" t="s">
        <v>76</v>
      </c>
      <c r="K1048" s="2" t="s">
        <v>77</v>
      </c>
      <c r="L1048" s="2" t="s">
        <v>97</v>
      </c>
      <c r="M1048" s="2" t="s">
        <v>98</v>
      </c>
      <c r="N1048" s="2" t="s">
        <v>625</v>
      </c>
      <c r="O1048" s="2" t="s">
        <v>100</v>
      </c>
      <c r="P1048" s="2" t="str">
        <f>"2170581633                    "</f>
        <v xml:space="preserve">2170581633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8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3.8</v>
      </c>
      <c r="BJ1048" s="2">
        <v>1.1000000000000001</v>
      </c>
      <c r="BK1048" s="2">
        <v>4</v>
      </c>
      <c r="BL1048" s="2">
        <v>82.88</v>
      </c>
      <c r="BM1048" s="2">
        <v>11.6</v>
      </c>
      <c r="BN1048" s="2">
        <v>94.48</v>
      </c>
      <c r="BO1048" s="2">
        <v>94.48</v>
      </c>
      <c r="BP1048" s="2"/>
      <c r="BQ1048" s="2" t="s">
        <v>108</v>
      </c>
      <c r="BR1048" s="2" t="s">
        <v>84</v>
      </c>
      <c r="BS1048" s="3">
        <v>42958</v>
      </c>
      <c r="BT1048" s="4">
        <v>0.42499999999999999</v>
      </c>
      <c r="BU1048" s="2" t="s">
        <v>1780</v>
      </c>
      <c r="BV1048" s="2" t="s">
        <v>95</v>
      </c>
      <c r="BW1048" s="2"/>
      <c r="BX1048" s="2"/>
      <c r="BY1048" s="2">
        <v>5254.22</v>
      </c>
      <c r="BZ1048" s="2" t="s">
        <v>27</v>
      </c>
      <c r="CA1048" s="2"/>
      <c r="CB1048" s="2"/>
      <c r="CC1048" s="2" t="s">
        <v>98</v>
      </c>
      <c r="CD1048" s="2">
        <v>6001</v>
      </c>
      <c r="CE1048" s="2" t="s">
        <v>89</v>
      </c>
      <c r="CF1048" s="5">
        <v>42961</v>
      </c>
      <c r="CG1048" s="2"/>
      <c r="CH1048" s="2"/>
      <c r="CI1048" s="2">
        <v>1</v>
      </c>
      <c r="CJ1048" s="2">
        <v>1</v>
      </c>
      <c r="CK1048" s="2">
        <v>21</v>
      </c>
      <c r="CL1048" s="2" t="s">
        <v>86</v>
      </c>
      <c r="CM1048" s="2"/>
    </row>
    <row r="1049" spans="1:91">
      <c r="A1049" s="2" t="s">
        <v>71</v>
      </c>
      <c r="B1049" s="2" t="s">
        <v>72</v>
      </c>
      <c r="C1049" s="2" t="s">
        <v>73</v>
      </c>
      <c r="D1049" s="2"/>
      <c r="E1049" s="2" t="str">
        <f>"FES1162568017"</f>
        <v>FES1162568017</v>
      </c>
      <c r="F1049" s="3">
        <v>42957</v>
      </c>
      <c r="G1049" s="2">
        <v>201802</v>
      </c>
      <c r="H1049" s="2" t="s">
        <v>74</v>
      </c>
      <c r="I1049" s="2" t="s">
        <v>75</v>
      </c>
      <c r="J1049" s="2" t="s">
        <v>76</v>
      </c>
      <c r="K1049" s="2" t="s">
        <v>77</v>
      </c>
      <c r="L1049" s="2" t="s">
        <v>97</v>
      </c>
      <c r="M1049" s="2" t="s">
        <v>98</v>
      </c>
      <c r="N1049" s="2" t="s">
        <v>292</v>
      </c>
      <c r="O1049" s="2" t="s">
        <v>100</v>
      </c>
      <c r="P1049" s="2" t="str">
        <f>"2170582846                    "</f>
        <v xml:space="preserve">2170582846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4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1</v>
      </c>
      <c r="BJ1049" s="2">
        <v>0.2</v>
      </c>
      <c r="BK1049" s="2">
        <v>1</v>
      </c>
      <c r="BL1049" s="2">
        <v>41.44</v>
      </c>
      <c r="BM1049" s="2">
        <v>5.8</v>
      </c>
      <c r="BN1049" s="2">
        <v>47.24</v>
      </c>
      <c r="BO1049" s="2">
        <v>47.24</v>
      </c>
      <c r="BP1049" s="2">
        <v>1</v>
      </c>
      <c r="BQ1049" s="2" t="s">
        <v>83</v>
      </c>
      <c r="BR1049" s="2" t="s">
        <v>84</v>
      </c>
      <c r="BS1049" s="3">
        <v>42958</v>
      </c>
      <c r="BT1049" s="4">
        <v>0.32708333333333334</v>
      </c>
      <c r="BU1049" s="2" t="s">
        <v>293</v>
      </c>
      <c r="BV1049" s="2" t="s">
        <v>95</v>
      </c>
      <c r="BW1049" s="2"/>
      <c r="BX1049" s="2"/>
      <c r="BY1049" s="2">
        <v>1200</v>
      </c>
      <c r="BZ1049" s="2" t="s">
        <v>27</v>
      </c>
      <c r="CA1049" s="2" t="s">
        <v>294</v>
      </c>
      <c r="CB1049" s="2"/>
      <c r="CC1049" s="2" t="s">
        <v>98</v>
      </c>
      <c r="CD1049" s="2">
        <v>6001</v>
      </c>
      <c r="CE1049" s="2" t="s">
        <v>104</v>
      </c>
      <c r="CF1049" s="5">
        <v>42961</v>
      </c>
      <c r="CG1049" s="2"/>
      <c r="CH1049" s="2"/>
      <c r="CI1049" s="2">
        <v>1</v>
      </c>
      <c r="CJ1049" s="2">
        <v>1</v>
      </c>
      <c r="CK1049" s="2">
        <v>21</v>
      </c>
      <c r="CL1049" s="2" t="s">
        <v>86</v>
      </c>
      <c r="CM1049" s="2"/>
    </row>
    <row r="1050" spans="1:91">
      <c r="A1050" s="2" t="s">
        <v>71</v>
      </c>
      <c r="B1050" s="2" t="s">
        <v>72</v>
      </c>
      <c r="C1050" s="2" t="s">
        <v>73</v>
      </c>
      <c r="D1050" s="2"/>
      <c r="E1050" s="2" t="str">
        <f>"FES1162568062"</f>
        <v>FES1162568062</v>
      </c>
      <c r="F1050" s="3">
        <v>42957</v>
      </c>
      <c r="G1050" s="2">
        <v>201802</v>
      </c>
      <c r="H1050" s="2" t="s">
        <v>74</v>
      </c>
      <c r="I1050" s="2" t="s">
        <v>75</v>
      </c>
      <c r="J1050" s="2" t="s">
        <v>76</v>
      </c>
      <c r="K1050" s="2" t="s">
        <v>77</v>
      </c>
      <c r="L1050" s="2" t="s">
        <v>1781</v>
      </c>
      <c r="M1050" s="2" t="s">
        <v>1781</v>
      </c>
      <c r="N1050" s="2" t="s">
        <v>1782</v>
      </c>
      <c r="O1050" s="2" t="s">
        <v>100</v>
      </c>
      <c r="P1050" s="2" t="str">
        <f>"2170581297                    "</f>
        <v xml:space="preserve">2170581297 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7.75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1</v>
      </c>
      <c r="BJ1050" s="2">
        <v>0.2</v>
      </c>
      <c r="BK1050" s="2">
        <v>1</v>
      </c>
      <c r="BL1050" s="2">
        <v>80.290000000000006</v>
      </c>
      <c r="BM1050" s="2">
        <v>11.24</v>
      </c>
      <c r="BN1050" s="2">
        <v>91.53</v>
      </c>
      <c r="BO1050" s="2">
        <v>91.53</v>
      </c>
      <c r="BP1050" s="2">
        <v>1</v>
      </c>
      <c r="BQ1050" s="2" t="s">
        <v>365</v>
      </c>
      <c r="BR1050" s="2" t="s">
        <v>84</v>
      </c>
      <c r="BS1050" s="3">
        <v>42961</v>
      </c>
      <c r="BT1050" s="4">
        <v>0.58333333333333337</v>
      </c>
      <c r="BU1050" s="2" t="s">
        <v>1783</v>
      </c>
      <c r="BV1050" s="2" t="s">
        <v>95</v>
      </c>
      <c r="BW1050" s="2"/>
      <c r="BX1050" s="2"/>
      <c r="BY1050" s="2">
        <v>1200</v>
      </c>
      <c r="BZ1050" s="2" t="s">
        <v>27</v>
      </c>
      <c r="CA1050" s="2"/>
      <c r="CB1050" s="2"/>
      <c r="CC1050" s="2" t="s">
        <v>1781</v>
      </c>
      <c r="CD1050" s="2">
        <v>5470</v>
      </c>
      <c r="CE1050" s="2" t="s">
        <v>104</v>
      </c>
      <c r="CF1050" s="5">
        <v>42965</v>
      </c>
      <c r="CG1050" s="2"/>
      <c r="CH1050" s="2"/>
      <c r="CI1050" s="2">
        <v>4</v>
      </c>
      <c r="CJ1050" s="2">
        <v>2</v>
      </c>
      <c r="CK1050" s="2">
        <v>23</v>
      </c>
      <c r="CL1050" s="2" t="s">
        <v>86</v>
      </c>
      <c r="CM1050" s="2"/>
    </row>
    <row r="1051" spans="1:91">
      <c r="A1051" s="2" t="s">
        <v>71</v>
      </c>
      <c r="B1051" s="2" t="s">
        <v>72</v>
      </c>
      <c r="C1051" s="2" t="s">
        <v>73</v>
      </c>
      <c r="D1051" s="2"/>
      <c r="E1051" s="2" t="str">
        <f>"FES1162567960"</f>
        <v>FES1162567960</v>
      </c>
      <c r="F1051" s="3">
        <v>42957</v>
      </c>
      <c r="G1051" s="2">
        <v>201802</v>
      </c>
      <c r="H1051" s="2" t="s">
        <v>74</v>
      </c>
      <c r="I1051" s="2" t="s">
        <v>75</v>
      </c>
      <c r="J1051" s="2" t="s">
        <v>76</v>
      </c>
      <c r="K1051" s="2" t="s">
        <v>77</v>
      </c>
      <c r="L1051" s="2" t="s">
        <v>97</v>
      </c>
      <c r="M1051" s="2" t="s">
        <v>98</v>
      </c>
      <c r="N1051" s="2" t="s">
        <v>597</v>
      </c>
      <c r="O1051" s="2" t="s">
        <v>100</v>
      </c>
      <c r="P1051" s="2" t="str">
        <f>"2170584099                    "</f>
        <v xml:space="preserve">2170584099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5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0.4</v>
      </c>
      <c r="BJ1051" s="2">
        <v>2.4</v>
      </c>
      <c r="BK1051" s="2">
        <v>2.5</v>
      </c>
      <c r="BL1051" s="2">
        <v>51.8</v>
      </c>
      <c r="BM1051" s="2">
        <v>7.25</v>
      </c>
      <c r="BN1051" s="2">
        <v>59.05</v>
      </c>
      <c r="BO1051" s="2">
        <v>59.05</v>
      </c>
      <c r="BP1051" s="2">
        <v>1</v>
      </c>
      <c r="BQ1051" s="2" t="s">
        <v>598</v>
      </c>
      <c r="BR1051" s="2" t="s">
        <v>84</v>
      </c>
      <c r="BS1051" s="3">
        <v>42958</v>
      </c>
      <c r="BT1051" s="4">
        <v>0.3888888888888889</v>
      </c>
      <c r="BU1051" s="2" t="s">
        <v>599</v>
      </c>
      <c r="BV1051" s="2" t="s">
        <v>95</v>
      </c>
      <c r="BW1051" s="2"/>
      <c r="BX1051" s="2"/>
      <c r="BY1051" s="2">
        <v>11809.8</v>
      </c>
      <c r="BZ1051" s="2" t="s">
        <v>27</v>
      </c>
      <c r="CA1051" s="2" t="s">
        <v>600</v>
      </c>
      <c r="CB1051" s="2"/>
      <c r="CC1051" s="2" t="s">
        <v>98</v>
      </c>
      <c r="CD1051" s="2">
        <v>6070</v>
      </c>
      <c r="CE1051" s="2" t="s">
        <v>104</v>
      </c>
      <c r="CF1051" s="5">
        <v>42961</v>
      </c>
      <c r="CG1051" s="2"/>
      <c r="CH1051" s="2"/>
      <c r="CI1051" s="2">
        <v>1</v>
      </c>
      <c r="CJ1051" s="2">
        <v>1</v>
      </c>
      <c r="CK1051" s="2">
        <v>21</v>
      </c>
      <c r="CL1051" s="2" t="s">
        <v>86</v>
      </c>
      <c r="CM1051" s="2"/>
    </row>
    <row r="1052" spans="1:91">
      <c r="A1052" s="2" t="s">
        <v>71</v>
      </c>
      <c r="B1052" s="2" t="s">
        <v>72</v>
      </c>
      <c r="C1052" s="2" t="s">
        <v>73</v>
      </c>
      <c r="D1052" s="2"/>
      <c r="E1052" s="2" t="str">
        <f>"FES1162567918"</f>
        <v>FES1162567918</v>
      </c>
      <c r="F1052" s="3">
        <v>42957</v>
      </c>
      <c r="G1052" s="2">
        <v>201802</v>
      </c>
      <c r="H1052" s="2" t="s">
        <v>74</v>
      </c>
      <c r="I1052" s="2" t="s">
        <v>75</v>
      </c>
      <c r="J1052" s="2" t="s">
        <v>76</v>
      </c>
      <c r="K1052" s="2" t="s">
        <v>77</v>
      </c>
      <c r="L1052" s="2" t="s">
        <v>97</v>
      </c>
      <c r="M1052" s="2" t="s">
        <v>98</v>
      </c>
      <c r="N1052" s="2" t="s">
        <v>1041</v>
      </c>
      <c r="O1052" s="2" t="s">
        <v>100</v>
      </c>
      <c r="P1052" s="2" t="str">
        <f>"2170584094                    "</f>
        <v xml:space="preserve">2170584094           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4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1</v>
      </c>
      <c r="BJ1052" s="2">
        <v>0.2</v>
      </c>
      <c r="BK1052" s="2">
        <v>1</v>
      </c>
      <c r="BL1052" s="2">
        <v>41.44</v>
      </c>
      <c r="BM1052" s="2">
        <v>5.8</v>
      </c>
      <c r="BN1052" s="2">
        <v>47.24</v>
      </c>
      <c r="BO1052" s="2">
        <v>47.24</v>
      </c>
      <c r="BP1052" s="2">
        <v>1</v>
      </c>
      <c r="BQ1052" s="2" t="s">
        <v>108</v>
      </c>
      <c r="BR1052" s="2" t="s">
        <v>84</v>
      </c>
      <c r="BS1052" s="3">
        <v>42958</v>
      </c>
      <c r="BT1052" s="4">
        <v>0.30416666666666664</v>
      </c>
      <c r="BU1052" s="2" t="s">
        <v>1710</v>
      </c>
      <c r="BV1052" s="2" t="s">
        <v>95</v>
      </c>
      <c r="BW1052" s="2"/>
      <c r="BX1052" s="2"/>
      <c r="BY1052" s="2">
        <v>1200</v>
      </c>
      <c r="BZ1052" s="2" t="s">
        <v>27</v>
      </c>
      <c r="CA1052" s="2" t="s">
        <v>294</v>
      </c>
      <c r="CB1052" s="2"/>
      <c r="CC1052" s="2" t="s">
        <v>98</v>
      </c>
      <c r="CD1052" s="2">
        <v>6012</v>
      </c>
      <c r="CE1052" s="2" t="s">
        <v>104</v>
      </c>
      <c r="CF1052" s="5">
        <v>42961</v>
      </c>
      <c r="CG1052" s="2"/>
      <c r="CH1052" s="2"/>
      <c r="CI1052" s="2">
        <v>1</v>
      </c>
      <c r="CJ1052" s="2">
        <v>1</v>
      </c>
      <c r="CK1052" s="2">
        <v>21</v>
      </c>
      <c r="CL1052" s="2" t="s">
        <v>86</v>
      </c>
      <c r="CM1052" s="2"/>
    </row>
    <row r="1053" spans="1:91">
      <c r="A1053" s="2" t="s">
        <v>71</v>
      </c>
      <c r="B1053" s="2" t="s">
        <v>72</v>
      </c>
      <c r="C1053" s="2" t="s">
        <v>73</v>
      </c>
      <c r="D1053" s="2"/>
      <c r="E1053" s="2" t="str">
        <f>"FES1162568168"</f>
        <v>FES1162568168</v>
      </c>
      <c r="F1053" s="3">
        <v>42957</v>
      </c>
      <c r="G1053" s="2">
        <v>201802</v>
      </c>
      <c r="H1053" s="2" t="s">
        <v>74</v>
      </c>
      <c r="I1053" s="2" t="s">
        <v>75</v>
      </c>
      <c r="J1053" s="2" t="s">
        <v>76</v>
      </c>
      <c r="K1053" s="2" t="s">
        <v>77</v>
      </c>
      <c r="L1053" s="2" t="s">
        <v>144</v>
      </c>
      <c r="M1053" s="2" t="s">
        <v>145</v>
      </c>
      <c r="N1053" s="2" t="s">
        <v>1784</v>
      </c>
      <c r="O1053" s="2" t="s">
        <v>100</v>
      </c>
      <c r="P1053" s="2" t="str">
        <f>"2170584275                    "</f>
        <v xml:space="preserve">2170584275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3.13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3.1</v>
      </c>
      <c r="BJ1053" s="2">
        <v>3.4</v>
      </c>
      <c r="BK1053" s="2">
        <v>4</v>
      </c>
      <c r="BL1053" s="2">
        <v>32.380000000000003</v>
      </c>
      <c r="BM1053" s="2">
        <v>4.53</v>
      </c>
      <c r="BN1053" s="2">
        <v>36.909999999999997</v>
      </c>
      <c r="BO1053" s="2">
        <v>36.909999999999997</v>
      </c>
      <c r="BP1053" s="2"/>
      <c r="BQ1053" s="2" t="s">
        <v>108</v>
      </c>
      <c r="BR1053" s="2" t="s">
        <v>84</v>
      </c>
      <c r="BS1053" s="3">
        <v>42958</v>
      </c>
      <c r="BT1053" s="4">
        <v>0.41388888888888892</v>
      </c>
      <c r="BU1053" s="2" t="s">
        <v>1785</v>
      </c>
      <c r="BV1053" s="2" t="s">
        <v>95</v>
      </c>
      <c r="BW1053" s="2"/>
      <c r="BX1053" s="2"/>
      <c r="BY1053" s="2">
        <v>17031.169999999998</v>
      </c>
      <c r="BZ1053" s="2"/>
      <c r="CA1053" s="2" t="s">
        <v>729</v>
      </c>
      <c r="CB1053" s="2"/>
      <c r="CC1053" s="2" t="s">
        <v>145</v>
      </c>
      <c r="CD1053" s="2">
        <v>2094</v>
      </c>
      <c r="CE1053" s="2" t="s">
        <v>89</v>
      </c>
      <c r="CF1053" s="5">
        <v>42961</v>
      </c>
      <c r="CG1053" s="2"/>
      <c r="CH1053" s="2"/>
      <c r="CI1053" s="2">
        <v>1</v>
      </c>
      <c r="CJ1053" s="2">
        <v>1</v>
      </c>
      <c r="CK1053" s="2">
        <v>22</v>
      </c>
      <c r="CL1053" s="2" t="s">
        <v>86</v>
      </c>
      <c r="CM1053" s="2"/>
    </row>
    <row r="1054" spans="1:91">
      <c r="A1054" s="2" t="s">
        <v>71</v>
      </c>
      <c r="B1054" s="2" t="s">
        <v>72</v>
      </c>
      <c r="C1054" s="2" t="s">
        <v>73</v>
      </c>
      <c r="D1054" s="2"/>
      <c r="E1054" s="2" t="str">
        <f>"FES1162586156"</f>
        <v>FES1162586156</v>
      </c>
      <c r="F1054" s="3">
        <v>42957</v>
      </c>
      <c r="G1054" s="2">
        <v>201802</v>
      </c>
      <c r="H1054" s="2" t="s">
        <v>74</v>
      </c>
      <c r="I1054" s="2" t="s">
        <v>75</v>
      </c>
      <c r="J1054" s="2" t="s">
        <v>76</v>
      </c>
      <c r="K1054" s="2" t="s">
        <v>77</v>
      </c>
      <c r="L1054" s="2" t="s">
        <v>237</v>
      </c>
      <c r="M1054" s="2" t="s">
        <v>238</v>
      </c>
      <c r="N1054" s="2" t="s">
        <v>1547</v>
      </c>
      <c r="O1054" s="2" t="s">
        <v>100</v>
      </c>
      <c r="P1054" s="2" t="str">
        <f>"2170584260                    "</f>
        <v xml:space="preserve">2170584260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12.01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1</v>
      </c>
      <c r="BI1054" s="2">
        <v>4.5</v>
      </c>
      <c r="BJ1054" s="2">
        <v>5.9</v>
      </c>
      <c r="BK1054" s="2">
        <v>6</v>
      </c>
      <c r="BL1054" s="2">
        <v>124.33</v>
      </c>
      <c r="BM1054" s="2">
        <v>17.41</v>
      </c>
      <c r="BN1054" s="2">
        <v>141.74</v>
      </c>
      <c r="BO1054" s="2">
        <v>141.74</v>
      </c>
      <c r="BP1054" s="2"/>
      <c r="BQ1054" s="2" t="s">
        <v>108</v>
      </c>
      <c r="BR1054" s="2" t="s">
        <v>84</v>
      </c>
      <c r="BS1054" s="3">
        <v>42958</v>
      </c>
      <c r="BT1054" s="4">
        <v>0.37152777777777773</v>
      </c>
      <c r="BU1054" s="2" t="s">
        <v>1549</v>
      </c>
      <c r="BV1054" s="2" t="s">
        <v>95</v>
      </c>
      <c r="BW1054" s="2"/>
      <c r="BX1054" s="2"/>
      <c r="BY1054" s="2">
        <v>29636</v>
      </c>
      <c r="BZ1054" s="2"/>
      <c r="CA1054" s="2" t="s">
        <v>672</v>
      </c>
      <c r="CB1054" s="2"/>
      <c r="CC1054" s="2" t="s">
        <v>238</v>
      </c>
      <c r="CD1054" s="2">
        <v>3610</v>
      </c>
      <c r="CE1054" s="2" t="s">
        <v>135</v>
      </c>
      <c r="CF1054" s="2"/>
      <c r="CG1054" s="2"/>
      <c r="CH1054" s="2"/>
      <c r="CI1054" s="2">
        <v>1</v>
      </c>
      <c r="CJ1054" s="2">
        <v>1</v>
      </c>
      <c r="CK1054" s="2">
        <v>21</v>
      </c>
      <c r="CL1054" s="2" t="s">
        <v>86</v>
      </c>
      <c r="CM1054" s="2"/>
    </row>
    <row r="1055" spans="1:91">
      <c r="A1055" s="2" t="s">
        <v>71</v>
      </c>
      <c r="B1055" s="2" t="s">
        <v>72</v>
      </c>
      <c r="C1055" s="2" t="s">
        <v>73</v>
      </c>
      <c r="D1055" s="2"/>
      <c r="E1055" s="2" t="str">
        <f>"FES1162568187"</f>
        <v>FES1162568187</v>
      </c>
      <c r="F1055" s="3">
        <v>42957</v>
      </c>
      <c r="G1055" s="2">
        <v>201802</v>
      </c>
      <c r="H1055" s="2" t="s">
        <v>74</v>
      </c>
      <c r="I1055" s="2" t="s">
        <v>75</v>
      </c>
      <c r="J1055" s="2" t="s">
        <v>76</v>
      </c>
      <c r="K1055" s="2" t="s">
        <v>77</v>
      </c>
      <c r="L1055" s="2" t="s">
        <v>105</v>
      </c>
      <c r="M1055" s="2" t="s">
        <v>106</v>
      </c>
      <c r="N1055" s="2" t="s">
        <v>705</v>
      </c>
      <c r="O1055" s="2" t="s">
        <v>100</v>
      </c>
      <c r="P1055" s="2" t="str">
        <f>"217058464                     "</f>
        <v xml:space="preserve">217058464   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10.01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4.9000000000000004</v>
      </c>
      <c r="BJ1055" s="2">
        <v>1.5</v>
      </c>
      <c r="BK1055" s="2">
        <v>5</v>
      </c>
      <c r="BL1055" s="2">
        <v>103.61</v>
      </c>
      <c r="BM1055" s="2">
        <v>14.51</v>
      </c>
      <c r="BN1055" s="2">
        <v>118.12</v>
      </c>
      <c r="BO1055" s="2">
        <v>118.12</v>
      </c>
      <c r="BP1055" s="2"/>
      <c r="BQ1055" s="2" t="s">
        <v>108</v>
      </c>
      <c r="BR1055" s="2" t="s">
        <v>84</v>
      </c>
      <c r="BS1055" s="3">
        <v>42958</v>
      </c>
      <c r="BT1055" s="4">
        <v>0.3979166666666667</v>
      </c>
      <c r="BU1055" s="2" t="s">
        <v>1690</v>
      </c>
      <c r="BV1055" s="2" t="s">
        <v>95</v>
      </c>
      <c r="BW1055" s="2"/>
      <c r="BX1055" s="2"/>
      <c r="BY1055" s="2">
        <v>7749.82</v>
      </c>
      <c r="BZ1055" s="2"/>
      <c r="CA1055" s="2" t="s">
        <v>488</v>
      </c>
      <c r="CB1055" s="2"/>
      <c r="CC1055" s="2" t="s">
        <v>106</v>
      </c>
      <c r="CD1055" s="2">
        <v>7441</v>
      </c>
      <c r="CE1055" s="2" t="s">
        <v>135</v>
      </c>
      <c r="CF1055" s="5">
        <v>42961</v>
      </c>
      <c r="CG1055" s="2"/>
      <c r="CH1055" s="2"/>
      <c r="CI1055" s="2">
        <v>1</v>
      </c>
      <c r="CJ1055" s="2">
        <v>1</v>
      </c>
      <c r="CK1055" s="2">
        <v>21</v>
      </c>
      <c r="CL1055" s="2" t="s">
        <v>86</v>
      </c>
      <c r="CM1055" s="2"/>
    </row>
    <row r="1056" spans="1:91">
      <c r="A1056" s="2" t="s">
        <v>71</v>
      </c>
      <c r="B1056" s="2" t="s">
        <v>72</v>
      </c>
      <c r="C1056" s="2" t="s">
        <v>73</v>
      </c>
      <c r="D1056" s="2"/>
      <c r="E1056" s="2" t="str">
        <f>"FES1162568207"</f>
        <v>FES1162568207</v>
      </c>
      <c r="F1056" s="3">
        <v>42957</v>
      </c>
      <c r="G1056" s="2">
        <v>201802</v>
      </c>
      <c r="H1056" s="2" t="s">
        <v>74</v>
      </c>
      <c r="I1056" s="2" t="s">
        <v>75</v>
      </c>
      <c r="J1056" s="2" t="s">
        <v>76</v>
      </c>
      <c r="K1056" s="2" t="s">
        <v>77</v>
      </c>
      <c r="L1056" s="2" t="s">
        <v>362</v>
      </c>
      <c r="M1056" s="2" t="s">
        <v>363</v>
      </c>
      <c r="N1056" s="2" t="s">
        <v>1786</v>
      </c>
      <c r="O1056" s="2" t="s">
        <v>100</v>
      </c>
      <c r="P1056" s="2" t="str">
        <f>"2170584336                    "</f>
        <v xml:space="preserve">2170584336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4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1</v>
      </c>
      <c r="BJ1056" s="2">
        <v>0.2</v>
      </c>
      <c r="BK1056" s="2">
        <v>1</v>
      </c>
      <c r="BL1056" s="2">
        <v>41.44</v>
      </c>
      <c r="BM1056" s="2">
        <v>5.8</v>
      </c>
      <c r="BN1056" s="2">
        <v>47.24</v>
      </c>
      <c r="BO1056" s="2">
        <v>47.24</v>
      </c>
      <c r="BP1056" s="2">
        <v>1</v>
      </c>
      <c r="BQ1056" s="2" t="s">
        <v>1787</v>
      </c>
      <c r="BR1056" s="2" t="s">
        <v>84</v>
      </c>
      <c r="BS1056" s="3">
        <v>42958</v>
      </c>
      <c r="BT1056" s="4">
        <v>0.38194444444444442</v>
      </c>
      <c r="BU1056" s="2" t="s">
        <v>1788</v>
      </c>
      <c r="BV1056" s="2" t="s">
        <v>95</v>
      </c>
      <c r="BW1056" s="2"/>
      <c r="BX1056" s="2"/>
      <c r="BY1056" s="2">
        <v>1200</v>
      </c>
      <c r="BZ1056" s="2"/>
      <c r="CA1056" s="2" t="s">
        <v>379</v>
      </c>
      <c r="CB1056" s="2"/>
      <c r="CC1056" s="2" t="s">
        <v>363</v>
      </c>
      <c r="CD1056" s="2">
        <v>3201</v>
      </c>
      <c r="CE1056" s="2" t="s">
        <v>104</v>
      </c>
      <c r="CF1056" s="5">
        <v>42961</v>
      </c>
      <c r="CG1056" s="2"/>
      <c r="CH1056" s="2"/>
      <c r="CI1056" s="2">
        <v>1</v>
      </c>
      <c r="CJ1056" s="2">
        <v>1</v>
      </c>
      <c r="CK1056" s="2">
        <v>21</v>
      </c>
      <c r="CL1056" s="2" t="s">
        <v>86</v>
      </c>
      <c r="CM1056" s="2"/>
    </row>
    <row r="1057" spans="1:91">
      <c r="A1057" s="2" t="s">
        <v>71</v>
      </c>
      <c r="B1057" s="2" t="s">
        <v>72</v>
      </c>
      <c r="C1057" s="2" t="s">
        <v>73</v>
      </c>
      <c r="D1057" s="2"/>
      <c r="E1057" s="2" t="str">
        <f>"FES1162568225"</f>
        <v>FES1162568225</v>
      </c>
      <c r="F1057" s="3">
        <v>42957</v>
      </c>
      <c r="G1057" s="2">
        <v>201802</v>
      </c>
      <c r="H1057" s="2" t="s">
        <v>74</v>
      </c>
      <c r="I1057" s="2" t="s">
        <v>75</v>
      </c>
      <c r="J1057" s="2" t="s">
        <v>76</v>
      </c>
      <c r="K1057" s="2" t="s">
        <v>77</v>
      </c>
      <c r="L1057" s="2" t="s">
        <v>174</v>
      </c>
      <c r="M1057" s="2" t="s">
        <v>175</v>
      </c>
      <c r="N1057" s="2" t="s">
        <v>1789</v>
      </c>
      <c r="O1057" s="2" t="s">
        <v>100</v>
      </c>
      <c r="P1057" s="2" t="str">
        <f>"2170584364                    "</f>
        <v xml:space="preserve">2170584364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9.01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0.7</v>
      </c>
      <c r="BJ1057" s="2">
        <v>4.0999999999999996</v>
      </c>
      <c r="BK1057" s="2">
        <v>4.5</v>
      </c>
      <c r="BL1057" s="2">
        <v>93.25</v>
      </c>
      <c r="BM1057" s="2">
        <v>13.06</v>
      </c>
      <c r="BN1057" s="2">
        <v>106.31</v>
      </c>
      <c r="BO1057" s="2">
        <v>106.31</v>
      </c>
      <c r="BP1057" s="2">
        <v>1</v>
      </c>
      <c r="BQ1057" s="2" t="s">
        <v>288</v>
      </c>
      <c r="BR1057" s="2" t="s">
        <v>84</v>
      </c>
      <c r="BS1057" s="3">
        <v>42958</v>
      </c>
      <c r="BT1057" s="4">
        <v>0.41597222222222219</v>
      </c>
      <c r="BU1057" s="2" t="s">
        <v>1790</v>
      </c>
      <c r="BV1057" s="2" t="s">
        <v>95</v>
      </c>
      <c r="BW1057" s="2"/>
      <c r="BX1057" s="2"/>
      <c r="BY1057" s="2">
        <v>20277.96</v>
      </c>
      <c r="BZ1057" s="2"/>
      <c r="CA1057" s="2" t="s">
        <v>1373</v>
      </c>
      <c r="CB1057" s="2"/>
      <c r="CC1057" s="2" t="s">
        <v>175</v>
      </c>
      <c r="CD1057" s="2">
        <v>5201</v>
      </c>
      <c r="CE1057" s="2" t="s">
        <v>104</v>
      </c>
      <c r="CF1057" s="5">
        <v>42961</v>
      </c>
      <c r="CG1057" s="2"/>
      <c r="CH1057" s="2"/>
      <c r="CI1057" s="2">
        <v>1</v>
      </c>
      <c r="CJ1057" s="2">
        <v>1</v>
      </c>
      <c r="CK1057" s="2">
        <v>21</v>
      </c>
      <c r="CL1057" s="2" t="s">
        <v>86</v>
      </c>
      <c r="CM1057" s="2"/>
    </row>
    <row r="1058" spans="1:91">
      <c r="A1058" s="2" t="s">
        <v>71</v>
      </c>
      <c r="B1058" s="2" t="s">
        <v>72</v>
      </c>
      <c r="C1058" s="2" t="s">
        <v>73</v>
      </c>
      <c r="D1058" s="2"/>
      <c r="E1058" s="2" t="str">
        <f>"FES1162568215"</f>
        <v>FES1162568215</v>
      </c>
      <c r="F1058" s="3">
        <v>42957</v>
      </c>
      <c r="G1058" s="2">
        <v>201802</v>
      </c>
      <c r="H1058" s="2" t="s">
        <v>74</v>
      </c>
      <c r="I1058" s="2" t="s">
        <v>75</v>
      </c>
      <c r="J1058" s="2" t="s">
        <v>76</v>
      </c>
      <c r="K1058" s="2" t="s">
        <v>77</v>
      </c>
      <c r="L1058" s="2" t="s">
        <v>321</v>
      </c>
      <c r="M1058" s="2" t="s">
        <v>322</v>
      </c>
      <c r="N1058" s="2" t="s">
        <v>323</v>
      </c>
      <c r="O1058" s="2" t="s">
        <v>100</v>
      </c>
      <c r="P1058" s="2" t="str">
        <f>"2170583437                    "</f>
        <v xml:space="preserve">2170583437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4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1</v>
      </c>
      <c r="BJ1058" s="2">
        <v>0.2</v>
      </c>
      <c r="BK1058" s="2">
        <v>1</v>
      </c>
      <c r="BL1058" s="2">
        <v>41.44</v>
      </c>
      <c r="BM1058" s="2">
        <v>5.8</v>
      </c>
      <c r="BN1058" s="2">
        <v>47.24</v>
      </c>
      <c r="BO1058" s="2">
        <v>47.24</v>
      </c>
      <c r="BP1058" s="2">
        <v>1</v>
      </c>
      <c r="BQ1058" s="2">
        <v>1162568215</v>
      </c>
      <c r="BR1058" s="2" t="s">
        <v>84</v>
      </c>
      <c r="BS1058" s="3">
        <v>42958</v>
      </c>
      <c r="BT1058" s="4">
        <v>0.3840277777777778</v>
      </c>
      <c r="BU1058" s="2" t="s">
        <v>1791</v>
      </c>
      <c r="BV1058" s="2" t="s">
        <v>95</v>
      </c>
      <c r="BW1058" s="2"/>
      <c r="BX1058" s="2"/>
      <c r="BY1058" s="2">
        <v>1200</v>
      </c>
      <c r="BZ1058" s="2"/>
      <c r="CA1058" s="2" t="s">
        <v>103</v>
      </c>
      <c r="CB1058" s="2"/>
      <c r="CC1058" s="2" t="s">
        <v>322</v>
      </c>
      <c r="CD1058" s="2">
        <v>6220</v>
      </c>
      <c r="CE1058" s="2" t="s">
        <v>104</v>
      </c>
      <c r="CF1058" s="5">
        <v>42961</v>
      </c>
      <c r="CG1058" s="2"/>
      <c r="CH1058" s="2"/>
      <c r="CI1058" s="2">
        <v>1</v>
      </c>
      <c r="CJ1058" s="2">
        <v>1</v>
      </c>
      <c r="CK1058" s="2">
        <v>21</v>
      </c>
      <c r="CL1058" s="2" t="s">
        <v>86</v>
      </c>
      <c r="CM1058" s="2"/>
    </row>
    <row r="1059" spans="1:91">
      <c r="A1059" s="2" t="s">
        <v>71</v>
      </c>
      <c r="B1059" s="2" t="s">
        <v>72</v>
      </c>
      <c r="C1059" s="2" t="s">
        <v>73</v>
      </c>
      <c r="D1059" s="2"/>
      <c r="E1059" s="2" t="str">
        <f>"FES1162568182"</f>
        <v>FES1162568182</v>
      </c>
      <c r="F1059" s="3">
        <v>42957</v>
      </c>
      <c r="G1059" s="2">
        <v>201802</v>
      </c>
      <c r="H1059" s="2" t="s">
        <v>74</v>
      </c>
      <c r="I1059" s="2" t="s">
        <v>75</v>
      </c>
      <c r="J1059" s="2" t="s">
        <v>76</v>
      </c>
      <c r="K1059" s="2" t="s">
        <v>77</v>
      </c>
      <c r="L1059" s="2" t="s">
        <v>216</v>
      </c>
      <c r="M1059" s="2" t="s">
        <v>217</v>
      </c>
      <c r="N1059" s="2" t="s">
        <v>1748</v>
      </c>
      <c r="O1059" s="2" t="s">
        <v>100</v>
      </c>
      <c r="P1059" s="2" t="str">
        <f>"2170584304                    "</f>
        <v xml:space="preserve">2170584304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3.13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1</v>
      </c>
      <c r="BJ1059" s="2">
        <v>0.2</v>
      </c>
      <c r="BK1059" s="2">
        <v>1</v>
      </c>
      <c r="BL1059" s="2">
        <v>32.380000000000003</v>
      </c>
      <c r="BM1059" s="2">
        <v>4.53</v>
      </c>
      <c r="BN1059" s="2">
        <v>36.909999999999997</v>
      </c>
      <c r="BO1059" s="2">
        <v>36.909999999999997</v>
      </c>
      <c r="BP1059" s="2">
        <v>1</v>
      </c>
      <c r="BQ1059" s="2" t="s">
        <v>1749</v>
      </c>
      <c r="BR1059" s="2" t="s">
        <v>84</v>
      </c>
      <c r="BS1059" s="3">
        <v>42958</v>
      </c>
      <c r="BT1059" s="4">
        <v>0.35416666666666669</v>
      </c>
      <c r="BU1059" s="2" t="s">
        <v>1750</v>
      </c>
      <c r="BV1059" s="2" t="s">
        <v>95</v>
      </c>
      <c r="BW1059" s="2"/>
      <c r="BX1059" s="2"/>
      <c r="BY1059" s="2">
        <v>1200</v>
      </c>
      <c r="BZ1059" s="2"/>
      <c r="CA1059" s="2" t="s">
        <v>220</v>
      </c>
      <c r="CB1059" s="2"/>
      <c r="CC1059" s="2" t="s">
        <v>217</v>
      </c>
      <c r="CD1059" s="2">
        <v>1451</v>
      </c>
      <c r="CE1059" s="2" t="s">
        <v>104</v>
      </c>
      <c r="CF1059" s="5">
        <v>42961</v>
      </c>
      <c r="CG1059" s="2"/>
      <c r="CH1059" s="2"/>
      <c r="CI1059" s="2">
        <v>1</v>
      </c>
      <c r="CJ1059" s="2">
        <v>1</v>
      </c>
      <c r="CK1059" s="2">
        <v>22</v>
      </c>
      <c r="CL1059" s="2" t="s">
        <v>86</v>
      </c>
      <c r="CM1059" s="2"/>
    </row>
    <row r="1060" spans="1:91">
      <c r="A1060" s="2" t="s">
        <v>71</v>
      </c>
      <c r="B1060" s="2" t="s">
        <v>72</v>
      </c>
      <c r="C1060" s="2" t="s">
        <v>73</v>
      </c>
      <c r="D1060" s="2"/>
      <c r="E1060" s="2" t="str">
        <f>"FES1162568202"</f>
        <v>FES1162568202</v>
      </c>
      <c r="F1060" s="3">
        <v>42957</v>
      </c>
      <c r="G1060" s="2">
        <v>201802</v>
      </c>
      <c r="H1060" s="2" t="s">
        <v>74</v>
      </c>
      <c r="I1060" s="2" t="s">
        <v>75</v>
      </c>
      <c r="J1060" s="2" t="s">
        <v>76</v>
      </c>
      <c r="K1060" s="2" t="s">
        <v>77</v>
      </c>
      <c r="L1060" s="2" t="s">
        <v>74</v>
      </c>
      <c r="M1060" s="2" t="s">
        <v>75</v>
      </c>
      <c r="N1060" s="2" t="s">
        <v>985</v>
      </c>
      <c r="O1060" s="2" t="s">
        <v>100</v>
      </c>
      <c r="P1060" s="2" t="str">
        <f>"2170582143                    "</f>
        <v xml:space="preserve">2170582143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3.13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1</v>
      </c>
      <c r="BJ1060" s="2">
        <v>0.2</v>
      </c>
      <c r="BK1060" s="2">
        <v>1</v>
      </c>
      <c r="BL1060" s="2">
        <v>32.380000000000003</v>
      </c>
      <c r="BM1060" s="2">
        <v>4.53</v>
      </c>
      <c r="BN1060" s="2">
        <v>36.909999999999997</v>
      </c>
      <c r="BO1060" s="2">
        <v>36.909999999999997</v>
      </c>
      <c r="BP1060" s="2">
        <v>1</v>
      </c>
      <c r="BQ1060" s="2" t="s">
        <v>986</v>
      </c>
      <c r="BR1060" s="2" t="s">
        <v>84</v>
      </c>
      <c r="BS1060" s="3">
        <v>42958</v>
      </c>
      <c r="BT1060" s="4">
        <v>0.40902777777777777</v>
      </c>
      <c r="BU1060" s="2" t="s">
        <v>1792</v>
      </c>
      <c r="BV1060" s="2" t="s">
        <v>95</v>
      </c>
      <c r="BW1060" s="2"/>
      <c r="BX1060" s="2"/>
      <c r="BY1060" s="2">
        <v>1200</v>
      </c>
      <c r="BZ1060" s="2"/>
      <c r="CA1060" s="2" t="s">
        <v>148</v>
      </c>
      <c r="CB1060" s="2"/>
      <c r="CC1060" s="2" t="s">
        <v>75</v>
      </c>
      <c r="CD1060" s="2">
        <v>1600</v>
      </c>
      <c r="CE1060" s="2" t="s">
        <v>104</v>
      </c>
      <c r="CF1060" s="5">
        <v>42961</v>
      </c>
      <c r="CG1060" s="2"/>
      <c r="CH1060" s="2"/>
      <c r="CI1060" s="2">
        <v>1</v>
      </c>
      <c r="CJ1060" s="2">
        <v>1</v>
      </c>
      <c r="CK1060" s="2">
        <v>22</v>
      </c>
      <c r="CL1060" s="2" t="s">
        <v>86</v>
      </c>
      <c r="CM1060" s="2"/>
    </row>
    <row r="1061" spans="1:91">
      <c r="A1061" s="2" t="s">
        <v>71</v>
      </c>
      <c r="B1061" s="2" t="s">
        <v>72</v>
      </c>
      <c r="C1061" s="2" t="s">
        <v>73</v>
      </c>
      <c r="D1061" s="2"/>
      <c r="E1061" s="2" t="str">
        <f>"FES1162568210"</f>
        <v>FES1162568210</v>
      </c>
      <c r="F1061" s="3">
        <v>42957</v>
      </c>
      <c r="G1061" s="2">
        <v>201802</v>
      </c>
      <c r="H1061" s="2" t="s">
        <v>74</v>
      </c>
      <c r="I1061" s="2" t="s">
        <v>75</v>
      </c>
      <c r="J1061" s="2" t="s">
        <v>76</v>
      </c>
      <c r="K1061" s="2" t="s">
        <v>77</v>
      </c>
      <c r="L1061" s="2" t="s">
        <v>74</v>
      </c>
      <c r="M1061" s="2" t="s">
        <v>75</v>
      </c>
      <c r="N1061" s="2" t="s">
        <v>329</v>
      </c>
      <c r="O1061" s="2" t="s">
        <v>100</v>
      </c>
      <c r="P1061" s="2" t="str">
        <f>"2170584343                    "</f>
        <v xml:space="preserve">2170584343  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3.13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1</v>
      </c>
      <c r="BI1061" s="2">
        <v>1</v>
      </c>
      <c r="BJ1061" s="2">
        <v>0.2</v>
      </c>
      <c r="BK1061" s="2">
        <v>1</v>
      </c>
      <c r="BL1061" s="2">
        <v>32.380000000000003</v>
      </c>
      <c r="BM1061" s="2">
        <v>4.53</v>
      </c>
      <c r="BN1061" s="2">
        <v>36.909999999999997</v>
      </c>
      <c r="BO1061" s="2">
        <v>36.909999999999997</v>
      </c>
      <c r="BP1061" s="2">
        <v>1</v>
      </c>
      <c r="BQ1061" s="2" t="s">
        <v>83</v>
      </c>
      <c r="BR1061" s="2" t="s">
        <v>84</v>
      </c>
      <c r="BS1061" s="3">
        <v>42958</v>
      </c>
      <c r="BT1061" s="4">
        <v>0.35416666666666669</v>
      </c>
      <c r="BU1061" s="2" t="s">
        <v>1793</v>
      </c>
      <c r="BV1061" s="2" t="s">
        <v>95</v>
      </c>
      <c r="BW1061" s="2"/>
      <c r="BX1061" s="2"/>
      <c r="BY1061" s="2">
        <v>1200</v>
      </c>
      <c r="BZ1061" s="2"/>
      <c r="CA1061" s="2" t="s">
        <v>148</v>
      </c>
      <c r="CB1061" s="2"/>
      <c r="CC1061" s="2" t="s">
        <v>75</v>
      </c>
      <c r="CD1061" s="2">
        <v>1600</v>
      </c>
      <c r="CE1061" s="2" t="s">
        <v>104</v>
      </c>
      <c r="CF1061" s="5">
        <v>42961</v>
      </c>
      <c r="CG1061" s="2"/>
      <c r="CH1061" s="2"/>
      <c r="CI1061" s="2">
        <v>1</v>
      </c>
      <c r="CJ1061" s="2">
        <v>1</v>
      </c>
      <c r="CK1061" s="2">
        <v>22</v>
      </c>
      <c r="CL1061" s="2" t="s">
        <v>86</v>
      </c>
      <c r="CM1061" s="2"/>
    </row>
    <row r="1062" spans="1:91">
      <c r="A1062" s="2" t="s">
        <v>71</v>
      </c>
      <c r="B1062" s="2" t="s">
        <v>72</v>
      </c>
      <c r="C1062" s="2" t="s">
        <v>73</v>
      </c>
      <c r="D1062" s="2"/>
      <c r="E1062" s="2" t="str">
        <f>"FES1162568171"</f>
        <v>FES1162568171</v>
      </c>
      <c r="F1062" s="3">
        <v>42957</v>
      </c>
      <c r="G1062" s="2">
        <v>201802</v>
      </c>
      <c r="H1062" s="2" t="s">
        <v>74</v>
      </c>
      <c r="I1062" s="2" t="s">
        <v>75</v>
      </c>
      <c r="J1062" s="2" t="s">
        <v>76</v>
      </c>
      <c r="K1062" s="2" t="s">
        <v>77</v>
      </c>
      <c r="L1062" s="2" t="s">
        <v>244</v>
      </c>
      <c r="M1062" s="2" t="s">
        <v>245</v>
      </c>
      <c r="N1062" s="2" t="s">
        <v>1794</v>
      </c>
      <c r="O1062" s="2" t="s">
        <v>100</v>
      </c>
      <c r="P1062" s="2" t="str">
        <f>"2170584284                    "</f>
        <v xml:space="preserve">2170584284           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3.13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1</v>
      </c>
      <c r="BJ1062" s="2">
        <v>0.2</v>
      </c>
      <c r="BK1062" s="2">
        <v>1</v>
      </c>
      <c r="BL1062" s="2">
        <v>32.380000000000003</v>
      </c>
      <c r="BM1062" s="2">
        <v>4.53</v>
      </c>
      <c r="BN1062" s="2">
        <v>36.909999999999997</v>
      </c>
      <c r="BO1062" s="2">
        <v>36.909999999999997</v>
      </c>
      <c r="BP1062" s="2">
        <v>1</v>
      </c>
      <c r="BQ1062" s="2" t="s">
        <v>1795</v>
      </c>
      <c r="BR1062" s="2" t="s">
        <v>84</v>
      </c>
      <c r="BS1062" s="3">
        <v>42958</v>
      </c>
      <c r="BT1062" s="4">
        <v>0.31180555555555556</v>
      </c>
      <c r="BU1062" s="2" t="s">
        <v>1796</v>
      </c>
      <c r="BV1062" s="2" t="s">
        <v>95</v>
      </c>
      <c r="BW1062" s="2"/>
      <c r="BX1062" s="2"/>
      <c r="BY1062" s="2">
        <v>1200</v>
      </c>
      <c r="BZ1062" s="2"/>
      <c r="CA1062" s="2" t="s">
        <v>499</v>
      </c>
      <c r="CB1062" s="2"/>
      <c r="CC1062" s="2" t="s">
        <v>245</v>
      </c>
      <c r="CD1062" s="2">
        <v>1459</v>
      </c>
      <c r="CE1062" s="2" t="s">
        <v>104</v>
      </c>
      <c r="CF1062" s="5">
        <v>42961</v>
      </c>
      <c r="CG1062" s="2"/>
      <c r="CH1062" s="2"/>
      <c r="CI1062" s="2">
        <v>1</v>
      </c>
      <c r="CJ1062" s="2">
        <v>1</v>
      </c>
      <c r="CK1062" s="2">
        <v>22</v>
      </c>
      <c r="CL1062" s="2" t="s">
        <v>86</v>
      </c>
      <c r="CM1062" s="2"/>
    </row>
    <row r="1063" spans="1:91">
      <c r="A1063" s="2" t="s">
        <v>71</v>
      </c>
      <c r="B1063" s="2" t="s">
        <v>72</v>
      </c>
      <c r="C1063" s="2" t="s">
        <v>73</v>
      </c>
      <c r="D1063" s="2"/>
      <c r="E1063" s="2" t="str">
        <f>"FES1162568213"</f>
        <v>FES1162568213</v>
      </c>
      <c r="F1063" s="3">
        <v>42957</v>
      </c>
      <c r="G1063" s="2">
        <v>201802</v>
      </c>
      <c r="H1063" s="2" t="s">
        <v>74</v>
      </c>
      <c r="I1063" s="2" t="s">
        <v>75</v>
      </c>
      <c r="J1063" s="2" t="s">
        <v>76</v>
      </c>
      <c r="K1063" s="2" t="s">
        <v>77</v>
      </c>
      <c r="L1063" s="2" t="s">
        <v>128</v>
      </c>
      <c r="M1063" s="2" t="s">
        <v>129</v>
      </c>
      <c r="N1063" s="2" t="s">
        <v>1359</v>
      </c>
      <c r="O1063" s="2" t="s">
        <v>100</v>
      </c>
      <c r="P1063" s="2" t="str">
        <f>"2170584348                    "</f>
        <v xml:space="preserve">2170584348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3.13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1</v>
      </c>
      <c r="BJ1063" s="2">
        <v>0.2</v>
      </c>
      <c r="BK1063" s="2">
        <v>1</v>
      </c>
      <c r="BL1063" s="2">
        <v>32.380000000000003</v>
      </c>
      <c r="BM1063" s="2">
        <v>4.53</v>
      </c>
      <c r="BN1063" s="2">
        <v>36.909999999999997</v>
      </c>
      <c r="BO1063" s="2">
        <v>36.909999999999997</v>
      </c>
      <c r="BP1063" s="2">
        <v>1</v>
      </c>
      <c r="BQ1063" s="2" t="s">
        <v>1797</v>
      </c>
      <c r="BR1063" s="2" t="s">
        <v>84</v>
      </c>
      <c r="BS1063" s="3">
        <v>42958</v>
      </c>
      <c r="BT1063" s="4">
        <v>0.34722222222222227</v>
      </c>
      <c r="BU1063" s="2" t="s">
        <v>1798</v>
      </c>
      <c r="BV1063" s="2" t="s">
        <v>95</v>
      </c>
      <c r="BW1063" s="2"/>
      <c r="BX1063" s="2"/>
      <c r="BY1063" s="2">
        <v>1200</v>
      </c>
      <c r="BZ1063" s="2"/>
      <c r="CA1063" s="2" t="s">
        <v>1333</v>
      </c>
      <c r="CB1063" s="2"/>
      <c r="CC1063" s="2" t="s">
        <v>129</v>
      </c>
      <c r="CD1063" s="2">
        <v>1724</v>
      </c>
      <c r="CE1063" s="2" t="s">
        <v>104</v>
      </c>
      <c r="CF1063" s="5">
        <v>42961</v>
      </c>
      <c r="CG1063" s="2"/>
      <c r="CH1063" s="2"/>
      <c r="CI1063" s="2">
        <v>1</v>
      </c>
      <c r="CJ1063" s="2">
        <v>1</v>
      </c>
      <c r="CK1063" s="2">
        <v>22</v>
      </c>
      <c r="CL1063" s="2" t="s">
        <v>86</v>
      </c>
      <c r="CM1063" s="2"/>
    </row>
    <row r="1064" spans="1:91">
      <c r="A1064" s="2" t="s">
        <v>71</v>
      </c>
      <c r="B1064" s="2" t="s">
        <v>72</v>
      </c>
      <c r="C1064" s="2" t="s">
        <v>73</v>
      </c>
      <c r="D1064" s="2"/>
      <c r="E1064" s="2" t="str">
        <f>"FES1162568218"</f>
        <v>FES1162568218</v>
      </c>
      <c r="F1064" s="3">
        <v>42957</v>
      </c>
      <c r="G1064" s="2">
        <v>201802</v>
      </c>
      <c r="H1064" s="2" t="s">
        <v>74</v>
      </c>
      <c r="I1064" s="2" t="s">
        <v>75</v>
      </c>
      <c r="J1064" s="2" t="s">
        <v>76</v>
      </c>
      <c r="K1064" s="2" t="s">
        <v>77</v>
      </c>
      <c r="L1064" s="2" t="s">
        <v>321</v>
      </c>
      <c r="M1064" s="2" t="s">
        <v>322</v>
      </c>
      <c r="N1064" s="2" t="s">
        <v>323</v>
      </c>
      <c r="O1064" s="2" t="s">
        <v>100</v>
      </c>
      <c r="P1064" s="2" t="str">
        <f>"2170584352                    "</f>
        <v xml:space="preserve">2170584352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6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1.5</v>
      </c>
      <c r="BJ1064" s="2">
        <v>2.7</v>
      </c>
      <c r="BK1064" s="2">
        <v>3</v>
      </c>
      <c r="BL1064" s="2">
        <v>62.16</v>
      </c>
      <c r="BM1064" s="2">
        <v>8.6999999999999993</v>
      </c>
      <c r="BN1064" s="2">
        <v>70.86</v>
      </c>
      <c r="BO1064" s="2">
        <v>70.86</v>
      </c>
      <c r="BP1064" s="2">
        <v>1</v>
      </c>
      <c r="BQ1064" s="2" t="s">
        <v>83</v>
      </c>
      <c r="BR1064" s="2" t="s">
        <v>84</v>
      </c>
      <c r="BS1064" s="3">
        <v>42958</v>
      </c>
      <c r="BT1064" s="4">
        <v>0.3923611111111111</v>
      </c>
      <c r="BU1064" s="2" t="s">
        <v>1791</v>
      </c>
      <c r="BV1064" s="2" t="s">
        <v>95</v>
      </c>
      <c r="BW1064" s="2"/>
      <c r="BX1064" s="2"/>
      <c r="BY1064" s="2">
        <v>13508.35</v>
      </c>
      <c r="BZ1064" s="2"/>
      <c r="CA1064" s="2" t="s">
        <v>103</v>
      </c>
      <c r="CB1064" s="2"/>
      <c r="CC1064" s="2" t="s">
        <v>322</v>
      </c>
      <c r="CD1064" s="2">
        <v>6220</v>
      </c>
      <c r="CE1064" s="2" t="s">
        <v>104</v>
      </c>
      <c r="CF1064" s="5">
        <v>42961</v>
      </c>
      <c r="CG1064" s="2"/>
      <c r="CH1064" s="2"/>
      <c r="CI1064" s="2">
        <v>1</v>
      </c>
      <c r="CJ1064" s="2">
        <v>1</v>
      </c>
      <c r="CK1064" s="2">
        <v>21</v>
      </c>
      <c r="CL1064" s="2" t="s">
        <v>86</v>
      </c>
      <c r="CM1064" s="2"/>
    </row>
    <row r="1065" spans="1:91">
      <c r="A1065" s="2" t="s">
        <v>71</v>
      </c>
      <c r="B1065" s="2" t="s">
        <v>72</v>
      </c>
      <c r="C1065" s="2" t="s">
        <v>73</v>
      </c>
      <c r="D1065" s="2"/>
      <c r="E1065" s="2" t="str">
        <f>"FES1162568149"</f>
        <v>FES1162568149</v>
      </c>
      <c r="F1065" s="3">
        <v>42957</v>
      </c>
      <c r="G1065" s="2">
        <v>201802</v>
      </c>
      <c r="H1065" s="2" t="s">
        <v>74</v>
      </c>
      <c r="I1065" s="2" t="s">
        <v>75</v>
      </c>
      <c r="J1065" s="2" t="s">
        <v>76</v>
      </c>
      <c r="K1065" s="2" t="s">
        <v>77</v>
      </c>
      <c r="L1065" s="2" t="s">
        <v>321</v>
      </c>
      <c r="M1065" s="2" t="s">
        <v>322</v>
      </c>
      <c r="N1065" s="2" t="s">
        <v>323</v>
      </c>
      <c r="O1065" s="2" t="s">
        <v>100</v>
      </c>
      <c r="P1065" s="2" t="str">
        <f>"2170583664                    "</f>
        <v xml:space="preserve">2170583664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4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1</v>
      </c>
      <c r="BJ1065" s="2">
        <v>0.2</v>
      </c>
      <c r="BK1065" s="2">
        <v>1</v>
      </c>
      <c r="BL1065" s="2">
        <v>41.44</v>
      </c>
      <c r="BM1065" s="2">
        <v>5.8</v>
      </c>
      <c r="BN1065" s="2">
        <v>47.24</v>
      </c>
      <c r="BO1065" s="2">
        <v>47.24</v>
      </c>
      <c r="BP1065" s="2">
        <v>1</v>
      </c>
      <c r="BQ1065" s="2" t="s">
        <v>83</v>
      </c>
      <c r="BR1065" s="2" t="s">
        <v>84</v>
      </c>
      <c r="BS1065" s="3">
        <v>42958</v>
      </c>
      <c r="BT1065" s="4">
        <v>0.39583333333333331</v>
      </c>
      <c r="BU1065" s="2" t="s">
        <v>1791</v>
      </c>
      <c r="BV1065" s="2" t="s">
        <v>95</v>
      </c>
      <c r="BW1065" s="2"/>
      <c r="BX1065" s="2"/>
      <c r="BY1065" s="2">
        <v>1200</v>
      </c>
      <c r="BZ1065" s="2"/>
      <c r="CA1065" s="2" t="s">
        <v>103</v>
      </c>
      <c r="CB1065" s="2"/>
      <c r="CC1065" s="2" t="s">
        <v>322</v>
      </c>
      <c r="CD1065" s="2">
        <v>6220</v>
      </c>
      <c r="CE1065" s="2" t="s">
        <v>104</v>
      </c>
      <c r="CF1065" s="5">
        <v>42961</v>
      </c>
      <c r="CG1065" s="2"/>
      <c r="CH1065" s="2"/>
      <c r="CI1065" s="2">
        <v>1</v>
      </c>
      <c r="CJ1065" s="2">
        <v>1</v>
      </c>
      <c r="CK1065" s="2">
        <v>21</v>
      </c>
      <c r="CL1065" s="2" t="s">
        <v>86</v>
      </c>
      <c r="CM1065" s="2"/>
    </row>
    <row r="1066" spans="1:91">
      <c r="A1066" s="2" t="s">
        <v>71</v>
      </c>
      <c r="B1066" s="2" t="s">
        <v>72</v>
      </c>
      <c r="C1066" s="2" t="s">
        <v>73</v>
      </c>
      <c r="D1066" s="2"/>
      <c r="E1066" s="2" t="str">
        <f>"FES1162568183"</f>
        <v>FES1162568183</v>
      </c>
      <c r="F1066" s="3">
        <v>42957</v>
      </c>
      <c r="G1066" s="2">
        <v>201802</v>
      </c>
      <c r="H1066" s="2" t="s">
        <v>74</v>
      </c>
      <c r="I1066" s="2" t="s">
        <v>75</v>
      </c>
      <c r="J1066" s="2" t="s">
        <v>76</v>
      </c>
      <c r="K1066" s="2" t="s">
        <v>77</v>
      </c>
      <c r="L1066" s="2" t="s">
        <v>237</v>
      </c>
      <c r="M1066" s="2" t="s">
        <v>238</v>
      </c>
      <c r="N1066" s="2" t="s">
        <v>669</v>
      </c>
      <c r="O1066" s="2" t="s">
        <v>100</v>
      </c>
      <c r="P1066" s="2" t="str">
        <f>"2170584308                    "</f>
        <v xml:space="preserve">2170584308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4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1</v>
      </c>
      <c r="BJ1066" s="2">
        <v>0.2</v>
      </c>
      <c r="BK1066" s="2">
        <v>1</v>
      </c>
      <c r="BL1066" s="2">
        <v>41.44</v>
      </c>
      <c r="BM1066" s="2">
        <v>5.8</v>
      </c>
      <c r="BN1066" s="2">
        <v>47.24</v>
      </c>
      <c r="BO1066" s="2">
        <v>47.24</v>
      </c>
      <c r="BP1066" s="2">
        <v>1</v>
      </c>
      <c r="BQ1066" s="2" t="s">
        <v>670</v>
      </c>
      <c r="BR1066" s="2" t="s">
        <v>84</v>
      </c>
      <c r="BS1066" s="3">
        <v>42958</v>
      </c>
      <c r="BT1066" s="4">
        <v>0.4375</v>
      </c>
      <c r="BU1066" s="2" t="s">
        <v>671</v>
      </c>
      <c r="BV1066" s="2" t="s">
        <v>95</v>
      </c>
      <c r="BW1066" s="2"/>
      <c r="BX1066" s="2"/>
      <c r="BY1066" s="2">
        <v>1200</v>
      </c>
      <c r="BZ1066" s="2"/>
      <c r="CA1066" s="2" t="s">
        <v>672</v>
      </c>
      <c r="CB1066" s="2"/>
      <c r="CC1066" s="2" t="s">
        <v>238</v>
      </c>
      <c r="CD1066" s="2">
        <v>3610</v>
      </c>
      <c r="CE1066" s="2" t="s">
        <v>104</v>
      </c>
      <c r="CF1066" s="5">
        <v>42961</v>
      </c>
      <c r="CG1066" s="2"/>
      <c r="CH1066" s="2"/>
      <c r="CI1066" s="2">
        <v>1</v>
      </c>
      <c r="CJ1066" s="2">
        <v>1</v>
      </c>
      <c r="CK1066" s="2">
        <v>21</v>
      </c>
      <c r="CL1066" s="2" t="s">
        <v>86</v>
      </c>
      <c r="CM1066" s="2"/>
    </row>
    <row r="1067" spans="1:91">
      <c r="A1067" s="2" t="s">
        <v>71</v>
      </c>
      <c r="B1067" s="2" t="s">
        <v>72</v>
      </c>
      <c r="C1067" s="2" t="s">
        <v>73</v>
      </c>
      <c r="D1067" s="2"/>
      <c r="E1067" s="2" t="str">
        <f>"FES1162568129"</f>
        <v>FES1162568129</v>
      </c>
      <c r="F1067" s="3">
        <v>42957</v>
      </c>
      <c r="G1067" s="2">
        <v>201802</v>
      </c>
      <c r="H1067" s="2" t="s">
        <v>74</v>
      </c>
      <c r="I1067" s="2" t="s">
        <v>75</v>
      </c>
      <c r="J1067" s="2" t="s">
        <v>76</v>
      </c>
      <c r="K1067" s="2" t="s">
        <v>77</v>
      </c>
      <c r="L1067" s="2" t="s">
        <v>149</v>
      </c>
      <c r="M1067" s="2" t="s">
        <v>150</v>
      </c>
      <c r="N1067" s="2" t="s">
        <v>1564</v>
      </c>
      <c r="O1067" s="2" t="s">
        <v>100</v>
      </c>
      <c r="P1067" s="2" t="str">
        <f>"2170584230                    "</f>
        <v xml:space="preserve">2170584230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4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1</v>
      </c>
      <c r="BJ1067" s="2">
        <v>0.2</v>
      </c>
      <c r="BK1067" s="2">
        <v>1</v>
      </c>
      <c r="BL1067" s="2">
        <v>41.44</v>
      </c>
      <c r="BM1067" s="2">
        <v>5.8</v>
      </c>
      <c r="BN1067" s="2">
        <v>47.24</v>
      </c>
      <c r="BO1067" s="2">
        <v>47.24</v>
      </c>
      <c r="BP1067" s="2">
        <v>1</v>
      </c>
      <c r="BQ1067" s="2" t="s">
        <v>365</v>
      </c>
      <c r="BR1067" s="2" t="s">
        <v>84</v>
      </c>
      <c r="BS1067" s="3">
        <v>42958</v>
      </c>
      <c r="BT1067" s="4">
        <v>0.4375</v>
      </c>
      <c r="BU1067" s="2" t="s">
        <v>1514</v>
      </c>
      <c r="BV1067" s="2" t="s">
        <v>95</v>
      </c>
      <c r="BW1067" s="2"/>
      <c r="BX1067" s="2"/>
      <c r="BY1067" s="2">
        <v>1200</v>
      </c>
      <c r="BZ1067" s="2"/>
      <c r="CA1067" s="2" t="s">
        <v>682</v>
      </c>
      <c r="CB1067" s="2"/>
      <c r="CC1067" s="2" t="s">
        <v>150</v>
      </c>
      <c r="CD1067" s="2">
        <v>4001</v>
      </c>
      <c r="CE1067" s="2" t="s">
        <v>104</v>
      </c>
      <c r="CF1067" s="5">
        <v>42961</v>
      </c>
      <c r="CG1067" s="2"/>
      <c r="CH1067" s="2"/>
      <c r="CI1067" s="2">
        <v>1</v>
      </c>
      <c r="CJ1067" s="2">
        <v>1</v>
      </c>
      <c r="CK1067" s="2">
        <v>21</v>
      </c>
      <c r="CL1067" s="2" t="s">
        <v>86</v>
      </c>
      <c r="CM1067" s="2"/>
    </row>
    <row r="1068" spans="1:91">
      <c r="A1068" s="2" t="s">
        <v>71</v>
      </c>
      <c r="B1068" s="2" t="s">
        <v>72</v>
      </c>
      <c r="C1068" s="2" t="s">
        <v>73</v>
      </c>
      <c r="D1068" s="2"/>
      <c r="E1068" s="2" t="str">
        <f>"FES1162568133"</f>
        <v>FES1162568133</v>
      </c>
      <c r="F1068" s="3">
        <v>42957</v>
      </c>
      <c r="G1068" s="2">
        <v>201802</v>
      </c>
      <c r="H1068" s="2" t="s">
        <v>74</v>
      </c>
      <c r="I1068" s="2" t="s">
        <v>75</v>
      </c>
      <c r="J1068" s="2" t="s">
        <v>76</v>
      </c>
      <c r="K1068" s="2" t="s">
        <v>77</v>
      </c>
      <c r="L1068" s="2" t="s">
        <v>1663</v>
      </c>
      <c r="M1068" s="2" t="s">
        <v>1664</v>
      </c>
      <c r="N1068" s="2" t="s">
        <v>1665</v>
      </c>
      <c r="O1068" s="2" t="s">
        <v>100</v>
      </c>
      <c r="P1068" s="2" t="str">
        <f>"2170584237                    "</f>
        <v xml:space="preserve">2170584237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4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1</v>
      </c>
      <c r="BI1068" s="2">
        <v>1</v>
      </c>
      <c r="BJ1068" s="2">
        <v>0.2</v>
      </c>
      <c r="BK1068" s="2">
        <v>1</v>
      </c>
      <c r="BL1068" s="2">
        <v>41.44</v>
      </c>
      <c r="BM1068" s="2">
        <v>5.8</v>
      </c>
      <c r="BN1068" s="2">
        <v>47.24</v>
      </c>
      <c r="BO1068" s="2">
        <v>47.24</v>
      </c>
      <c r="BP1068" s="2">
        <v>1</v>
      </c>
      <c r="BQ1068" s="2" t="s">
        <v>1666</v>
      </c>
      <c r="BR1068" s="2" t="s">
        <v>84</v>
      </c>
      <c r="BS1068" s="3">
        <v>42958</v>
      </c>
      <c r="BT1068" s="4">
        <v>0.42569444444444443</v>
      </c>
      <c r="BU1068" s="2" t="s">
        <v>1667</v>
      </c>
      <c r="BV1068" s="2" t="s">
        <v>95</v>
      </c>
      <c r="BW1068" s="2"/>
      <c r="BX1068" s="2"/>
      <c r="BY1068" s="2">
        <v>1200</v>
      </c>
      <c r="BZ1068" s="2"/>
      <c r="CA1068" s="2" t="s">
        <v>1668</v>
      </c>
      <c r="CB1068" s="2"/>
      <c r="CC1068" s="2" t="s">
        <v>1664</v>
      </c>
      <c r="CD1068" s="2">
        <v>3310</v>
      </c>
      <c r="CE1068" s="2" t="s">
        <v>104</v>
      </c>
      <c r="CF1068" s="5">
        <v>42962</v>
      </c>
      <c r="CG1068" s="2"/>
      <c r="CH1068" s="2"/>
      <c r="CI1068" s="2">
        <v>1</v>
      </c>
      <c r="CJ1068" s="2">
        <v>1</v>
      </c>
      <c r="CK1068" s="2">
        <v>21</v>
      </c>
      <c r="CL1068" s="2" t="s">
        <v>86</v>
      </c>
      <c r="CM1068" s="2"/>
    </row>
    <row r="1069" spans="1:91">
      <c r="A1069" s="2" t="s">
        <v>71</v>
      </c>
      <c r="B1069" s="2" t="s">
        <v>72</v>
      </c>
      <c r="C1069" s="2" t="s">
        <v>73</v>
      </c>
      <c r="D1069" s="2"/>
      <c r="E1069" s="2" t="str">
        <f>"FES1162568128"</f>
        <v>FES1162568128</v>
      </c>
      <c r="F1069" s="3">
        <v>42957</v>
      </c>
      <c r="G1069" s="2">
        <v>201802</v>
      </c>
      <c r="H1069" s="2" t="s">
        <v>74</v>
      </c>
      <c r="I1069" s="2" t="s">
        <v>75</v>
      </c>
      <c r="J1069" s="2" t="s">
        <v>76</v>
      </c>
      <c r="K1069" s="2" t="s">
        <v>77</v>
      </c>
      <c r="L1069" s="2" t="s">
        <v>144</v>
      </c>
      <c r="M1069" s="2" t="s">
        <v>145</v>
      </c>
      <c r="N1069" s="2" t="s">
        <v>1578</v>
      </c>
      <c r="O1069" s="2" t="s">
        <v>100</v>
      </c>
      <c r="P1069" s="2" t="str">
        <f>"2170584229                    "</f>
        <v xml:space="preserve">2170584229 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3.13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1</v>
      </c>
      <c r="BI1069" s="2">
        <v>3</v>
      </c>
      <c r="BJ1069" s="2">
        <v>5.2</v>
      </c>
      <c r="BK1069" s="2">
        <v>6</v>
      </c>
      <c r="BL1069" s="2">
        <v>32.380000000000003</v>
      </c>
      <c r="BM1069" s="2">
        <v>4.53</v>
      </c>
      <c r="BN1069" s="2">
        <v>36.909999999999997</v>
      </c>
      <c r="BO1069" s="2">
        <v>36.909999999999997</v>
      </c>
      <c r="BP1069" s="2"/>
      <c r="BQ1069" s="2" t="s">
        <v>108</v>
      </c>
      <c r="BR1069" s="2" t="s">
        <v>84</v>
      </c>
      <c r="BS1069" s="3">
        <v>42958</v>
      </c>
      <c r="BT1069" s="4">
        <v>0.48749999999999999</v>
      </c>
      <c r="BU1069" s="2" t="s">
        <v>1754</v>
      </c>
      <c r="BV1069" s="2" t="s">
        <v>86</v>
      </c>
      <c r="BW1069" s="2" t="s">
        <v>1007</v>
      </c>
      <c r="BX1069" s="2" t="s">
        <v>1452</v>
      </c>
      <c r="BY1069" s="2">
        <v>26136</v>
      </c>
      <c r="BZ1069" s="2"/>
      <c r="CA1069" s="2" t="s">
        <v>729</v>
      </c>
      <c r="CB1069" s="2"/>
      <c r="CC1069" s="2" t="s">
        <v>145</v>
      </c>
      <c r="CD1069" s="2">
        <v>2197</v>
      </c>
      <c r="CE1069" s="2" t="s">
        <v>89</v>
      </c>
      <c r="CF1069" s="5">
        <v>42961</v>
      </c>
      <c r="CG1069" s="2"/>
      <c r="CH1069" s="2"/>
      <c r="CI1069" s="2">
        <v>1</v>
      </c>
      <c r="CJ1069" s="2">
        <v>1</v>
      </c>
      <c r="CK1069" s="2">
        <v>22</v>
      </c>
      <c r="CL1069" s="2" t="s">
        <v>86</v>
      </c>
      <c r="CM1069" s="2"/>
    </row>
    <row r="1070" spans="1:91">
      <c r="A1070" s="2" t="s">
        <v>71</v>
      </c>
      <c r="B1070" s="2" t="s">
        <v>72</v>
      </c>
      <c r="C1070" s="2" t="s">
        <v>73</v>
      </c>
      <c r="D1070" s="2"/>
      <c r="E1070" s="2" t="str">
        <f>"FES1162568175"</f>
        <v>FES1162568175</v>
      </c>
      <c r="F1070" s="3">
        <v>42957</v>
      </c>
      <c r="G1070" s="2">
        <v>201802</v>
      </c>
      <c r="H1070" s="2" t="s">
        <v>74</v>
      </c>
      <c r="I1070" s="2" t="s">
        <v>75</v>
      </c>
      <c r="J1070" s="2" t="s">
        <v>76</v>
      </c>
      <c r="K1070" s="2" t="s">
        <v>77</v>
      </c>
      <c r="L1070" s="2" t="s">
        <v>144</v>
      </c>
      <c r="M1070" s="2" t="s">
        <v>145</v>
      </c>
      <c r="N1070" s="2" t="s">
        <v>146</v>
      </c>
      <c r="O1070" s="2" t="s">
        <v>100</v>
      </c>
      <c r="P1070" s="2" t="str">
        <f>"2170584289                    "</f>
        <v xml:space="preserve">2170584289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3.13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4.2</v>
      </c>
      <c r="BJ1070" s="2">
        <v>1.4</v>
      </c>
      <c r="BK1070" s="2">
        <v>5</v>
      </c>
      <c r="BL1070" s="2">
        <v>32.380000000000003</v>
      </c>
      <c r="BM1070" s="2">
        <v>4.53</v>
      </c>
      <c r="BN1070" s="2">
        <v>36.909999999999997</v>
      </c>
      <c r="BO1070" s="2">
        <v>36.909999999999997</v>
      </c>
      <c r="BP1070" s="2"/>
      <c r="BQ1070" s="2" t="s">
        <v>83</v>
      </c>
      <c r="BR1070" s="2" t="s">
        <v>84</v>
      </c>
      <c r="BS1070" s="3">
        <v>42958</v>
      </c>
      <c r="BT1070" s="4">
        <v>0.4513888888888889</v>
      </c>
      <c r="BU1070" s="2" t="s">
        <v>1632</v>
      </c>
      <c r="BV1070" s="2" t="s">
        <v>95</v>
      </c>
      <c r="BW1070" s="2"/>
      <c r="BX1070" s="2"/>
      <c r="BY1070" s="2">
        <v>6811</v>
      </c>
      <c r="BZ1070" s="2"/>
      <c r="CA1070" s="2" t="s">
        <v>729</v>
      </c>
      <c r="CB1070" s="2"/>
      <c r="CC1070" s="2" t="s">
        <v>145</v>
      </c>
      <c r="CD1070" s="2">
        <v>2094</v>
      </c>
      <c r="CE1070" s="2" t="s">
        <v>89</v>
      </c>
      <c r="CF1070" s="5">
        <v>42961</v>
      </c>
      <c r="CG1070" s="2"/>
      <c r="CH1070" s="2"/>
      <c r="CI1070" s="2">
        <v>1</v>
      </c>
      <c r="CJ1070" s="2">
        <v>1</v>
      </c>
      <c r="CK1070" s="2">
        <v>22</v>
      </c>
      <c r="CL1070" s="2" t="s">
        <v>86</v>
      </c>
      <c r="CM1070" s="2"/>
    </row>
    <row r="1071" spans="1:91">
      <c r="A1071" s="2" t="s">
        <v>71</v>
      </c>
      <c r="B1071" s="2" t="s">
        <v>72</v>
      </c>
      <c r="C1071" s="2" t="s">
        <v>73</v>
      </c>
      <c r="D1071" s="2"/>
      <c r="E1071" s="2" t="str">
        <f>"FES1162568159"</f>
        <v>FES1162568159</v>
      </c>
      <c r="F1071" s="3">
        <v>42957</v>
      </c>
      <c r="G1071" s="2">
        <v>201802</v>
      </c>
      <c r="H1071" s="2" t="s">
        <v>74</v>
      </c>
      <c r="I1071" s="2" t="s">
        <v>75</v>
      </c>
      <c r="J1071" s="2" t="s">
        <v>76</v>
      </c>
      <c r="K1071" s="2" t="s">
        <v>77</v>
      </c>
      <c r="L1071" s="2" t="s">
        <v>74</v>
      </c>
      <c r="M1071" s="2" t="s">
        <v>75</v>
      </c>
      <c r="N1071" s="2" t="s">
        <v>567</v>
      </c>
      <c r="O1071" s="2" t="s">
        <v>100</v>
      </c>
      <c r="P1071" s="2" t="str">
        <f>"2170584263                    "</f>
        <v xml:space="preserve">2170584263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3.13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1</v>
      </c>
      <c r="BI1071" s="2">
        <v>1.5</v>
      </c>
      <c r="BJ1071" s="2">
        <v>3.4</v>
      </c>
      <c r="BK1071" s="2">
        <v>4</v>
      </c>
      <c r="BL1071" s="2">
        <v>32.380000000000003</v>
      </c>
      <c r="BM1071" s="2">
        <v>4.53</v>
      </c>
      <c r="BN1071" s="2">
        <v>36.909999999999997</v>
      </c>
      <c r="BO1071" s="2">
        <v>36.909999999999997</v>
      </c>
      <c r="BP1071" s="2"/>
      <c r="BQ1071" s="2" t="s">
        <v>108</v>
      </c>
      <c r="BR1071" s="2" t="s">
        <v>84</v>
      </c>
      <c r="BS1071" s="3">
        <v>42958</v>
      </c>
      <c r="BT1071" s="4">
        <v>0.36458333333333331</v>
      </c>
      <c r="BU1071" s="2" t="s">
        <v>330</v>
      </c>
      <c r="BV1071" s="2" t="s">
        <v>95</v>
      </c>
      <c r="BW1071" s="2"/>
      <c r="BX1071" s="2"/>
      <c r="BY1071" s="2">
        <v>16986.82</v>
      </c>
      <c r="BZ1071" s="2"/>
      <c r="CA1071" s="2" t="s">
        <v>570</v>
      </c>
      <c r="CB1071" s="2"/>
      <c r="CC1071" s="2" t="s">
        <v>75</v>
      </c>
      <c r="CD1071" s="2">
        <v>1682</v>
      </c>
      <c r="CE1071" s="2" t="s">
        <v>89</v>
      </c>
      <c r="CF1071" s="5">
        <v>42961</v>
      </c>
      <c r="CG1071" s="2"/>
      <c r="CH1071" s="2"/>
      <c r="CI1071" s="2">
        <v>1</v>
      </c>
      <c r="CJ1071" s="2">
        <v>1</v>
      </c>
      <c r="CK1071" s="2">
        <v>22</v>
      </c>
      <c r="CL1071" s="2" t="s">
        <v>86</v>
      </c>
      <c r="CM1071" s="2"/>
    </row>
    <row r="1072" spans="1:91">
      <c r="A1072" s="2" t="s">
        <v>71</v>
      </c>
      <c r="B1072" s="2" t="s">
        <v>72</v>
      </c>
      <c r="C1072" s="2" t="s">
        <v>73</v>
      </c>
      <c r="D1072" s="2"/>
      <c r="E1072" s="2" t="str">
        <f>"FES1162568166"</f>
        <v>FES1162568166</v>
      </c>
      <c r="F1072" s="3">
        <v>42957</v>
      </c>
      <c r="G1072" s="2">
        <v>201802</v>
      </c>
      <c r="H1072" s="2" t="s">
        <v>74</v>
      </c>
      <c r="I1072" s="2" t="s">
        <v>75</v>
      </c>
      <c r="J1072" s="2" t="s">
        <v>76</v>
      </c>
      <c r="K1072" s="2" t="s">
        <v>77</v>
      </c>
      <c r="L1072" s="2" t="s">
        <v>128</v>
      </c>
      <c r="M1072" s="2" t="s">
        <v>129</v>
      </c>
      <c r="N1072" s="2" t="s">
        <v>857</v>
      </c>
      <c r="O1072" s="2" t="s">
        <v>100</v>
      </c>
      <c r="P1072" s="2" t="str">
        <f>"2170584273                    "</f>
        <v xml:space="preserve">2170584273                    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3.88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9.4</v>
      </c>
      <c r="BJ1072" s="2">
        <v>3.4</v>
      </c>
      <c r="BK1072" s="2">
        <v>10</v>
      </c>
      <c r="BL1072" s="2">
        <v>40.15</v>
      </c>
      <c r="BM1072" s="2">
        <v>5.62</v>
      </c>
      <c r="BN1072" s="2">
        <v>45.77</v>
      </c>
      <c r="BO1072" s="2">
        <v>45.77</v>
      </c>
      <c r="BP1072" s="2"/>
      <c r="BQ1072" s="2" t="s">
        <v>108</v>
      </c>
      <c r="BR1072" s="2" t="s">
        <v>84</v>
      </c>
      <c r="BS1072" s="3">
        <v>42958</v>
      </c>
      <c r="BT1072" s="4">
        <v>0.3888888888888889</v>
      </c>
      <c r="BU1072" s="2" t="s">
        <v>1625</v>
      </c>
      <c r="BV1072" s="2" t="s">
        <v>95</v>
      </c>
      <c r="BW1072" s="2"/>
      <c r="BX1072" s="2"/>
      <c r="BY1072" s="2">
        <v>16800.3</v>
      </c>
      <c r="BZ1072" s="2"/>
      <c r="CA1072" s="2" t="s">
        <v>923</v>
      </c>
      <c r="CB1072" s="2"/>
      <c r="CC1072" s="2" t="s">
        <v>129</v>
      </c>
      <c r="CD1072" s="2">
        <v>1709</v>
      </c>
      <c r="CE1072" s="2" t="s">
        <v>89</v>
      </c>
      <c r="CF1072" s="5">
        <v>42961</v>
      </c>
      <c r="CG1072" s="2"/>
      <c r="CH1072" s="2"/>
      <c r="CI1072" s="2">
        <v>1</v>
      </c>
      <c r="CJ1072" s="2">
        <v>1</v>
      </c>
      <c r="CK1072" s="2">
        <v>22</v>
      </c>
      <c r="CL1072" s="2" t="s">
        <v>86</v>
      </c>
      <c r="CM1072" s="2"/>
    </row>
    <row r="1073" spans="1:91">
      <c r="A1073" s="2" t="s">
        <v>71</v>
      </c>
      <c r="B1073" s="2" t="s">
        <v>72</v>
      </c>
      <c r="C1073" s="2" t="s">
        <v>73</v>
      </c>
      <c r="D1073" s="2"/>
      <c r="E1073" s="2" t="str">
        <f>"FES1162568198"</f>
        <v>FES1162568198</v>
      </c>
      <c r="F1073" s="3">
        <v>42957</v>
      </c>
      <c r="G1073" s="2">
        <v>201802</v>
      </c>
      <c r="H1073" s="2" t="s">
        <v>74</v>
      </c>
      <c r="I1073" s="2" t="s">
        <v>75</v>
      </c>
      <c r="J1073" s="2" t="s">
        <v>76</v>
      </c>
      <c r="K1073" s="2" t="s">
        <v>77</v>
      </c>
      <c r="L1073" s="2" t="s">
        <v>524</v>
      </c>
      <c r="M1073" s="2" t="s">
        <v>525</v>
      </c>
      <c r="N1073" s="2" t="s">
        <v>1799</v>
      </c>
      <c r="O1073" s="2" t="s">
        <v>100</v>
      </c>
      <c r="P1073" s="2" t="str">
        <f>"2170584324                    "</f>
        <v xml:space="preserve">2170584324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11.26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1</v>
      </c>
      <c r="BI1073" s="2">
        <v>3</v>
      </c>
      <c r="BJ1073" s="2">
        <v>1.8</v>
      </c>
      <c r="BK1073" s="2">
        <v>3</v>
      </c>
      <c r="BL1073" s="2">
        <v>116.56</v>
      </c>
      <c r="BM1073" s="2">
        <v>16.32</v>
      </c>
      <c r="BN1073" s="2">
        <v>132.88</v>
      </c>
      <c r="BO1073" s="2">
        <v>132.88</v>
      </c>
      <c r="BP1073" s="2"/>
      <c r="BQ1073" s="2" t="s">
        <v>108</v>
      </c>
      <c r="BR1073" s="2" t="s">
        <v>84</v>
      </c>
      <c r="BS1073" s="3">
        <v>42961</v>
      </c>
      <c r="BT1073" s="4">
        <v>0.70624999999999993</v>
      </c>
      <c r="BU1073" s="2" t="s">
        <v>1800</v>
      </c>
      <c r="BV1073" s="2" t="s">
        <v>95</v>
      </c>
      <c r="BW1073" s="2"/>
      <c r="BX1073" s="2"/>
      <c r="BY1073" s="2">
        <v>8775</v>
      </c>
      <c r="BZ1073" s="2"/>
      <c r="CA1073" s="2" t="s">
        <v>1779</v>
      </c>
      <c r="CB1073" s="2"/>
      <c r="CC1073" s="2" t="s">
        <v>525</v>
      </c>
      <c r="CD1073" s="2">
        <v>5605</v>
      </c>
      <c r="CE1073" s="2" t="s">
        <v>135</v>
      </c>
      <c r="CF1073" s="5">
        <v>42963</v>
      </c>
      <c r="CG1073" s="2"/>
      <c r="CH1073" s="2"/>
      <c r="CI1073" s="2">
        <v>4</v>
      </c>
      <c r="CJ1073" s="2">
        <v>2</v>
      </c>
      <c r="CK1073" s="2">
        <v>23</v>
      </c>
      <c r="CL1073" s="2" t="s">
        <v>86</v>
      </c>
      <c r="CM1073" s="2"/>
    </row>
    <row r="1074" spans="1:91">
      <c r="A1074" s="2" t="s">
        <v>71</v>
      </c>
      <c r="B1074" s="2" t="s">
        <v>72</v>
      </c>
      <c r="C1074" s="2" t="s">
        <v>73</v>
      </c>
      <c r="D1074" s="2"/>
      <c r="E1074" s="2" t="str">
        <f>"FES1162568118"</f>
        <v>FES1162568118</v>
      </c>
      <c r="F1074" s="3">
        <v>42957</v>
      </c>
      <c r="G1074" s="2">
        <v>201802</v>
      </c>
      <c r="H1074" s="2" t="s">
        <v>74</v>
      </c>
      <c r="I1074" s="2" t="s">
        <v>75</v>
      </c>
      <c r="J1074" s="2" t="s">
        <v>76</v>
      </c>
      <c r="K1074" s="2" t="s">
        <v>77</v>
      </c>
      <c r="L1074" s="2" t="s">
        <v>97</v>
      </c>
      <c r="M1074" s="2" t="s">
        <v>98</v>
      </c>
      <c r="N1074" s="2" t="s">
        <v>1801</v>
      </c>
      <c r="O1074" s="2" t="s">
        <v>100</v>
      </c>
      <c r="P1074" s="2" t="str">
        <f>"2170583506                    "</f>
        <v xml:space="preserve">2170583506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4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1</v>
      </c>
      <c r="BI1074" s="2">
        <v>2</v>
      </c>
      <c r="BJ1074" s="2">
        <v>1.5</v>
      </c>
      <c r="BK1074" s="2">
        <v>2</v>
      </c>
      <c r="BL1074" s="2">
        <v>41.44</v>
      </c>
      <c r="BM1074" s="2">
        <v>5.8</v>
      </c>
      <c r="BN1074" s="2">
        <v>47.24</v>
      </c>
      <c r="BO1074" s="2">
        <v>47.24</v>
      </c>
      <c r="BP1074" s="2"/>
      <c r="BQ1074" s="2" t="s">
        <v>83</v>
      </c>
      <c r="BR1074" s="2" t="s">
        <v>84</v>
      </c>
      <c r="BS1074" s="3">
        <v>42958</v>
      </c>
      <c r="BT1074" s="4">
        <v>0.3527777777777778</v>
      </c>
      <c r="BU1074" s="2" t="s">
        <v>1802</v>
      </c>
      <c r="BV1074" s="2" t="s">
        <v>95</v>
      </c>
      <c r="BW1074" s="2"/>
      <c r="BX1074" s="2"/>
      <c r="BY1074" s="2">
        <v>7540</v>
      </c>
      <c r="BZ1074" s="2"/>
      <c r="CA1074" s="2" t="s">
        <v>213</v>
      </c>
      <c r="CB1074" s="2"/>
      <c r="CC1074" s="2" t="s">
        <v>98</v>
      </c>
      <c r="CD1074" s="2">
        <v>6001</v>
      </c>
      <c r="CE1074" s="2" t="s">
        <v>89</v>
      </c>
      <c r="CF1074" s="5">
        <v>42961</v>
      </c>
      <c r="CG1074" s="2"/>
      <c r="CH1074" s="2"/>
      <c r="CI1074" s="2">
        <v>1</v>
      </c>
      <c r="CJ1074" s="2">
        <v>1</v>
      </c>
      <c r="CK1074" s="2">
        <v>21</v>
      </c>
      <c r="CL1074" s="2" t="s">
        <v>86</v>
      </c>
      <c r="CM1074" s="2"/>
    </row>
    <row r="1075" spans="1:91">
      <c r="A1075" s="2" t="s">
        <v>71</v>
      </c>
      <c r="B1075" s="2" t="s">
        <v>72</v>
      </c>
      <c r="C1075" s="2" t="s">
        <v>73</v>
      </c>
      <c r="D1075" s="2"/>
      <c r="E1075" s="2" t="str">
        <f>"FES1162568167"</f>
        <v>FES1162568167</v>
      </c>
      <c r="F1075" s="3">
        <v>42957</v>
      </c>
      <c r="G1075" s="2">
        <v>201802</v>
      </c>
      <c r="H1075" s="2" t="s">
        <v>74</v>
      </c>
      <c r="I1075" s="2" t="s">
        <v>75</v>
      </c>
      <c r="J1075" s="2" t="s">
        <v>76</v>
      </c>
      <c r="K1075" s="2" t="s">
        <v>77</v>
      </c>
      <c r="L1075" s="2" t="s">
        <v>221</v>
      </c>
      <c r="M1075" s="2" t="s">
        <v>222</v>
      </c>
      <c r="N1075" s="2" t="s">
        <v>223</v>
      </c>
      <c r="O1075" s="2" t="s">
        <v>100</v>
      </c>
      <c r="P1075" s="2" t="str">
        <f>"2170584274                    "</f>
        <v xml:space="preserve">2170584274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8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3.9</v>
      </c>
      <c r="BJ1075" s="2">
        <v>1.7</v>
      </c>
      <c r="BK1075" s="2">
        <v>4</v>
      </c>
      <c r="BL1075" s="2">
        <v>82.88</v>
      </c>
      <c r="BM1075" s="2">
        <v>11.6</v>
      </c>
      <c r="BN1075" s="2">
        <v>94.48</v>
      </c>
      <c r="BO1075" s="2">
        <v>94.48</v>
      </c>
      <c r="BP1075" s="2"/>
      <c r="BQ1075" s="2" t="s">
        <v>83</v>
      </c>
      <c r="BR1075" s="2" t="s">
        <v>84</v>
      </c>
      <c r="BS1075" s="3">
        <v>42958</v>
      </c>
      <c r="BT1075" s="4">
        <v>0.39027777777777778</v>
      </c>
      <c r="BU1075" s="2" t="s">
        <v>224</v>
      </c>
      <c r="BV1075" s="2" t="s">
        <v>95</v>
      </c>
      <c r="BW1075" s="2"/>
      <c r="BX1075" s="2"/>
      <c r="BY1075" s="2">
        <v>8534.5300000000007</v>
      </c>
      <c r="BZ1075" s="2"/>
      <c r="CA1075" s="2" t="s">
        <v>225</v>
      </c>
      <c r="CB1075" s="2"/>
      <c r="CC1075" s="2" t="s">
        <v>222</v>
      </c>
      <c r="CD1075" s="2">
        <v>4300</v>
      </c>
      <c r="CE1075" s="2" t="s">
        <v>89</v>
      </c>
      <c r="CF1075" s="5">
        <v>42961</v>
      </c>
      <c r="CG1075" s="2"/>
      <c r="CH1075" s="2"/>
      <c r="CI1075" s="2">
        <v>1</v>
      </c>
      <c r="CJ1075" s="2">
        <v>1</v>
      </c>
      <c r="CK1075" s="2">
        <v>21</v>
      </c>
      <c r="CL1075" s="2" t="s">
        <v>86</v>
      </c>
      <c r="CM1075" s="2"/>
    </row>
    <row r="1076" spans="1:91">
      <c r="A1076" s="2" t="s">
        <v>71</v>
      </c>
      <c r="B1076" s="2" t="s">
        <v>72</v>
      </c>
      <c r="C1076" s="2" t="s">
        <v>73</v>
      </c>
      <c r="D1076" s="2"/>
      <c r="E1076" s="2" t="str">
        <f>"FES1162568232"</f>
        <v>FES1162568232</v>
      </c>
      <c r="F1076" s="3">
        <v>42957</v>
      </c>
      <c r="G1076" s="2">
        <v>201802</v>
      </c>
      <c r="H1076" s="2" t="s">
        <v>74</v>
      </c>
      <c r="I1076" s="2" t="s">
        <v>75</v>
      </c>
      <c r="J1076" s="2" t="s">
        <v>76</v>
      </c>
      <c r="K1076" s="2" t="s">
        <v>77</v>
      </c>
      <c r="L1076" s="2" t="s">
        <v>105</v>
      </c>
      <c r="M1076" s="2" t="s">
        <v>106</v>
      </c>
      <c r="N1076" s="2" t="s">
        <v>1491</v>
      </c>
      <c r="O1076" s="2" t="s">
        <v>100</v>
      </c>
      <c r="P1076" s="2" t="str">
        <f>"2170583532                    "</f>
        <v xml:space="preserve">2170583532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4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1</v>
      </c>
      <c r="BI1076" s="2">
        <v>1</v>
      </c>
      <c r="BJ1076" s="2">
        <v>0.2</v>
      </c>
      <c r="BK1076" s="2">
        <v>1</v>
      </c>
      <c r="BL1076" s="2">
        <v>41.44</v>
      </c>
      <c r="BM1076" s="2">
        <v>5.8</v>
      </c>
      <c r="BN1076" s="2">
        <v>47.24</v>
      </c>
      <c r="BO1076" s="2">
        <v>47.24</v>
      </c>
      <c r="BP1076" s="2">
        <v>1</v>
      </c>
      <c r="BQ1076" s="2">
        <v>1162568232</v>
      </c>
      <c r="BR1076" s="2" t="s">
        <v>84</v>
      </c>
      <c r="BS1076" s="3">
        <v>42958</v>
      </c>
      <c r="BT1076" s="4">
        <v>0.43194444444444446</v>
      </c>
      <c r="BU1076" s="2" t="s">
        <v>1074</v>
      </c>
      <c r="BV1076" s="2" t="s">
        <v>95</v>
      </c>
      <c r="BW1076" s="2"/>
      <c r="BX1076" s="2"/>
      <c r="BY1076" s="2">
        <v>1200</v>
      </c>
      <c r="BZ1076" s="2"/>
      <c r="CA1076" s="2" t="s">
        <v>654</v>
      </c>
      <c r="CB1076" s="2"/>
      <c r="CC1076" s="2" t="s">
        <v>106</v>
      </c>
      <c r="CD1076" s="2">
        <v>7490</v>
      </c>
      <c r="CE1076" s="2" t="s">
        <v>104</v>
      </c>
      <c r="CF1076" s="5">
        <v>42961</v>
      </c>
      <c r="CG1076" s="2"/>
      <c r="CH1076" s="2"/>
      <c r="CI1076" s="2">
        <v>1</v>
      </c>
      <c r="CJ1076" s="2">
        <v>1</v>
      </c>
      <c r="CK1076" s="2">
        <v>21</v>
      </c>
      <c r="CL1076" s="2" t="s">
        <v>86</v>
      </c>
      <c r="CM1076" s="2"/>
    </row>
    <row r="1077" spans="1:91">
      <c r="A1077" s="2" t="s">
        <v>71</v>
      </c>
      <c r="B1077" s="2" t="s">
        <v>72</v>
      </c>
      <c r="C1077" s="2" t="s">
        <v>73</v>
      </c>
      <c r="D1077" s="2"/>
      <c r="E1077" s="2" t="str">
        <f>"FES1162568199"</f>
        <v>FES1162568199</v>
      </c>
      <c r="F1077" s="3">
        <v>42957</v>
      </c>
      <c r="G1077" s="2">
        <v>201802</v>
      </c>
      <c r="H1077" s="2" t="s">
        <v>74</v>
      </c>
      <c r="I1077" s="2" t="s">
        <v>75</v>
      </c>
      <c r="J1077" s="2" t="s">
        <v>76</v>
      </c>
      <c r="K1077" s="2" t="s">
        <v>77</v>
      </c>
      <c r="L1077" s="2" t="s">
        <v>417</v>
      </c>
      <c r="M1077" s="2" t="s">
        <v>417</v>
      </c>
      <c r="N1077" s="2" t="s">
        <v>815</v>
      </c>
      <c r="O1077" s="2" t="s">
        <v>100</v>
      </c>
      <c r="P1077" s="2" t="str">
        <f>"2170584325                    "</f>
        <v xml:space="preserve">2170584325 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11.01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2</v>
      </c>
      <c r="BI1077" s="2">
        <v>5.2</v>
      </c>
      <c r="BJ1077" s="2">
        <v>5</v>
      </c>
      <c r="BK1077" s="2">
        <v>5.5</v>
      </c>
      <c r="BL1077" s="2">
        <v>113.97</v>
      </c>
      <c r="BM1077" s="2">
        <v>15.96</v>
      </c>
      <c r="BN1077" s="2">
        <v>129.93</v>
      </c>
      <c r="BO1077" s="2">
        <v>129.93</v>
      </c>
      <c r="BP1077" s="2"/>
      <c r="BQ1077" s="2" t="s">
        <v>83</v>
      </c>
      <c r="BR1077" s="2" t="s">
        <v>84</v>
      </c>
      <c r="BS1077" s="3">
        <v>42958</v>
      </c>
      <c r="BT1077" s="4">
        <v>0.44444444444444442</v>
      </c>
      <c r="BU1077" s="2" t="s">
        <v>816</v>
      </c>
      <c r="BV1077" s="2" t="s">
        <v>95</v>
      </c>
      <c r="BW1077" s="2"/>
      <c r="BX1077" s="2"/>
      <c r="BY1077" s="2">
        <v>25235.51</v>
      </c>
      <c r="BZ1077" s="2"/>
      <c r="CA1077" s="2" t="s">
        <v>460</v>
      </c>
      <c r="CB1077" s="2"/>
      <c r="CC1077" s="2" t="s">
        <v>417</v>
      </c>
      <c r="CD1077" s="2">
        <v>7646</v>
      </c>
      <c r="CE1077" s="2" t="s">
        <v>89</v>
      </c>
      <c r="CF1077" s="5">
        <v>42961</v>
      </c>
      <c r="CG1077" s="2"/>
      <c r="CH1077" s="2"/>
      <c r="CI1077" s="2">
        <v>1</v>
      </c>
      <c r="CJ1077" s="2">
        <v>1</v>
      </c>
      <c r="CK1077" s="2">
        <v>21</v>
      </c>
      <c r="CL1077" s="2" t="s">
        <v>86</v>
      </c>
      <c r="CM1077" s="2"/>
    </row>
    <row r="1078" spans="1:91">
      <c r="A1078" s="2" t="s">
        <v>71</v>
      </c>
      <c r="B1078" s="2" t="s">
        <v>72</v>
      </c>
      <c r="C1078" s="2" t="s">
        <v>73</v>
      </c>
      <c r="D1078" s="2"/>
      <c r="E1078" s="2" t="str">
        <f>"FES1162567948"</f>
        <v>FES1162567948</v>
      </c>
      <c r="F1078" s="3">
        <v>42957</v>
      </c>
      <c r="G1078" s="2">
        <v>201802</v>
      </c>
      <c r="H1078" s="2" t="s">
        <v>74</v>
      </c>
      <c r="I1078" s="2" t="s">
        <v>75</v>
      </c>
      <c r="J1078" s="2" t="s">
        <v>76</v>
      </c>
      <c r="K1078" s="2" t="s">
        <v>77</v>
      </c>
      <c r="L1078" s="2" t="s">
        <v>244</v>
      </c>
      <c r="M1078" s="2" t="s">
        <v>245</v>
      </c>
      <c r="N1078" s="2" t="s">
        <v>1803</v>
      </c>
      <c r="O1078" s="2" t="s">
        <v>100</v>
      </c>
      <c r="P1078" s="2" t="str">
        <f>"2170583576                    "</f>
        <v xml:space="preserve">2170583576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3.13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5.3</v>
      </c>
      <c r="BJ1078" s="2">
        <v>5.9</v>
      </c>
      <c r="BK1078" s="2">
        <v>6</v>
      </c>
      <c r="BL1078" s="2">
        <v>32.380000000000003</v>
      </c>
      <c r="BM1078" s="2">
        <v>4.53</v>
      </c>
      <c r="BN1078" s="2">
        <v>36.909999999999997</v>
      </c>
      <c r="BO1078" s="2">
        <v>36.909999999999997</v>
      </c>
      <c r="BP1078" s="2"/>
      <c r="BQ1078" s="2" t="s">
        <v>83</v>
      </c>
      <c r="BR1078" s="2" t="s">
        <v>84</v>
      </c>
      <c r="BS1078" s="3">
        <v>42958</v>
      </c>
      <c r="BT1078" s="4">
        <v>0.47083333333333338</v>
      </c>
      <c r="BU1078" s="2" t="s">
        <v>1804</v>
      </c>
      <c r="BV1078" s="2" t="s">
        <v>86</v>
      </c>
      <c r="BW1078" s="2" t="s">
        <v>110</v>
      </c>
      <c r="BX1078" s="2" t="s">
        <v>327</v>
      </c>
      <c r="BY1078" s="2">
        <v>29653.57</v>
      </c>
      <c r="BZ1078" s="2"/>
      <c r="CA1078" s="2" t="s">
        <v>499</v>
      </c>
      <c r="CB1078" s="2"/>
      <c r="CC1078" s="2" t="s">
        <v>245</v>
      </c>
      <c r="CD1078" s="2">
        <v>1459</v>
      </c>
      <c r="CE1078" s="2" t="s">
        <v>89</v>
      </c>
      <c r="CF1078" s="5">
        <v>42961</v>
      </c>
      <c r="CG1078" s="2"/>
      <c r="CH1078" s="2"/>
      <c r="CI1078" s="2">
        <v>1</v>
      </c>
      <c r="CJ1078" s="2">
        <v>1</v>
      </c>
      <c r="CK1078" s="2">
        <v>22</v>
      </c>
      <c r="CL1078" s="2" t="s">
        <v>86</v>
      </c>
      <c r="CM1078" s="2"/>
    </row>
    <row r="1079" spans="1:91">
      <c r="A1079" s="2" t="s">
        <v>71</v>
      </c>
      <c r="B1079" s="2" t="s">
        <v>72</v>
      </c>
      <c r="C1079" s="2" t="s">
        <v>73</v>
      </c>
      <c r="D1079" s="2"/>
      <c r="E1079" s="2" t="str">
        <f>"FES1162568121"</f>
        <v>FES1162568121</v>
      </c>
      <c r="F1079" s="3">
        <v>42957</v>
      </c>
      <c r="G1079" s="2">
        <v>201802</v>
      </c>
      <c r="H1079" s="2" t="s">
        <v>74</v>
      </c>
      <c r="I1079" s="2" t="s">
        <v>75</v>
      </c>
      <c r="J1079" s="2" t="s">
        <v>76</v>
      </c>
      <c r="K1079" s="2" t="s">
        <v>77</v>
      </c>
      <c r="L1079" s="2" t="s">
        <v>446</v>
      </c>
      <c r="M1079" s="2" t="s">
        <v>447</v>
      </c>
      <c r="N1079" s="2" t="s">
        <v>961</v>
      </c>
      <c r="O1079" s="2" t="s">
        <v>100</v>
      </c>
      <c r="P1079" s="2" t="str">
        <f>"2170584214                    "</f>
        <v xml:space="preserve">2170584214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5.63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1</v>
      </c>
      <c r="BJ1079" s="2">
        <v>0.2</v>
      </c>
      <c r="BK1079" s="2">
        <v>1</v>
      </c>
      <c r="BL1079" s="2">
        <v>58.28</v>
      </c>
      <c r="BM1079" s="2">
        <v>8.16</v>
      </c>
      <c r="BN1079" s="2">
        <v>66.44</v>
      </c>
      <c r="BO1079" s="2">
        <v>66.44</v>
      </c>
      <c r="BP1079" s="2">
        <v>1</v>
      </c>
      <c r="BQ1079" s="2" t="s">
        <v>962</v>
      </c>
      <c r="BR1079" s="2" t="s">
        <v>84</v>
      </c>
      <c r="BS1079" s="3">
        <v>42958</v>
      </c>
      <c r="BT1079" s="4">
        <v>0.49236111111111108</v>
      </c>
      <c r="BU1079" s="2" t="s">
        <v>1674</v>
      </c>
      <c r="BV1079" s="2" t="s">
        <v>95</v>
      </c>
      <c r="BW1079" s="2"/>
      <c r="BX1079" s="2"/>
      <c r="BY1079" s="2">
        <v>1200</v>
      </c>
      <c r="BZ1079" s="2"/>
      <c r="CA1079" s="2"/>
      <c r="CB1079" s="2"/>
      <c r="CC1079" s="2" t="s">
        <v>447</v>
      </c>
      <c r="CD1079" s="2">
        <v>1759</v>
      </c>
      <c r="CE1079" s="2" t="s">
        <v>104</v>
      </c>
      <c r="CF1079" s="5">
        <v>42961</v>
      </c>
      <c r="CG1079" s="2"/>
      <c r="CH1079" s="2"/>
      <c r="CI1079" s="2">
        <v>1</v>
      </c>
      <c r="CJ1079" s="2">
        <v>1</v>
      </c>
      <c r="CK1079" s="2">
        <v>24</v>
      </c>
      <c r="CL1079" s="2" t="s">
        <v>86</v>
      </c>
      <c r="CM1079" s="2"/>
    </row>
    <row r="1080" spans="1:91">
      <c r="A1080" s="2" t="s">
        <v>71</v>
      </c>
      <c r="B1080" s="2" t="s">
        <v>72</v>
      </c>
      <c r="C1080" s="2" t="s">
        <v>73</v>
      </c>
      <c r="D1080" s="2"/>
      <c r="E1080" s="2" t="str">
        <f>"FES1162568095"</f>
        <v>FES1162568095</v>
      </c>
      <c r="F1080" s="3">
        <v>42957</v>
      </c>
      <c r="G1080" s="2">
        <v>201802</v>
      </c>
      <c r="H1080" s="2" t="s">
        <v>74</v>
      </c>
      <c r="I1080" s="2" t="s">
        <v>75</v>
      </c>
      <c r="J1080" s="2" t="s">
        <v>76</v>
      </c>
      <c r="K1080" s="2" t="s">
        <v>77</v>
      </c>
      <c r="L1080" s="2" t="s">
        <v>306</v>
      </c>
      <c r="M1080" s="2" t="s">
        <v>307</v>
      </c>
      <c r="N1080" s="2" t="s">
        <v>1805</v>
      </c>
      <c r="O1080" s="2" t="s">
        <v>100</v>
      </c>
      <c r="P1080" s="2" t="str">
        <f>"2170584194                    "</f>
        <v xml:space="preserve">2170584194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4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1.5</v>
      </c>
      <c r="BJ1080" s="2">
        <v>1.6</v>
      </c>
      <c r="BK1080" s="2">
        <v>2</v>
      </c>
      <c r="BL1080" s="2">
        <v>41.44</v>
      </c>
      <c r="BM1080" s="2">
        <v>5.8</v>
      </c>
      <c r="BN1080" s="2">
        <v>47.24</v>
      </c>
      <c r="BO1080" s="2">
        <v>47.24</v>
      </c>
      <c r="BP1080" s="2">
        <v>1</v>
      </c>
      <c r="BQ1080" s="2" t="s">
        <v>1806</v>
      </c>
      <c r="BR1080" s="2" t="s">
        <v>84</v>
      </c>
      <c r="BS1080" s="3">
        <v>42958</v>
      </c>
      <c r="BT1080" s="4">
        <v>0.4291666666666667</v>
      </c>
      <c r="BU1080" s="2" t="s">
        <v>1807</v>
      </c>
      <c r="BV1080" s="2" t="s">
        <v>95</v>
      </c>
      <c r="BW1080" s="2"/>
      <c r="BX1080" s="2"/>
      <c r="BY1080" s="2">
        <v>8143.08</v>
      </c>
      <c r="BZ1080" s="2"/>
      <c r="CA1080" s="2" t="s">
        <v>1808</v>
      </c>
      <c r="CB1080" s="2"/>
      <c r="CC1080" s="2" t="s">
        <v>307</v>
      </c>
      <c r="CD1080" s="2">
        <v>1934</v>
      </c>
      <c r="CE1080" s="2" t="s">
        <v>104</v>
      </c>
      <c r="CF1080" s="5">
        <v>42961</v>
      </c>
      <c r="CG1080" s="2"/>
      <c r="CH1080" s="2"/>
      <c r="CI1080" s="2">
        <v>1</v>
      </c>
      <c r="CJ1080" s="2">
        <v>1</v>
      </c>
      <c r="CK1080" s="2">
        <v>21</v>
      </c>
      <c r="CL1080" s="2" t="s">
        <v>86</v>
      </c>
      <c r="CM1080" s="2"/>
    </row>
    <row r="1081" spans="1:91">
      <c r="A1081" s="2" t="s">
        <v>71</v>
      </c>
      <c r="B1081" s="2" t="s">
        <v>72</v>
      </c>
      <c r="C1081" s="2" t="s">
        <v>73</v>
      </c>
      <c r="D1081" s="2"/>
      <c r="E1081" s="2" t="str">
        <f>"FES1162568195"</f>
        <v>FES1162568195</v>
      </c>
      <c r="F1081" s="3">
        <v>42957</v>
      </c>
      <c r="G1081" s="2">
        <v>201802</v>
      </c>
      <c r="H1081" s="2" t="s">
        <v>74</v>
      </c>
      <c r="I1081" s="2" t="s">
        <v>75</v>
      </c>
      <c r="J1081" s="2" t="s">
        <v>76</v>
      </c>
      <c r="K1081" s="2" t="s">
        <v>77</v>
      </c>
      <c r="L1081" s="2" t="s">
        <v>206</v>
      </c>
      <c r="M1081" s="2" t="s">
        <v>207</v>
      </c>
      <c r="N1081" s="2" t="s">
        <v>208</v>
      </c>
      <c r="O1081" s="2" t="s">
        <v>100</v>
      </c>
      <c r="P1081" s="2" t="str">
        <f>"2170584329                    "</f>
        <v xml:space="preserve">2170584329  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5.63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1.5</v>
      </c>
      <c r="BJ1081" s="2">
        <v>2</v>
      </c>
      <c r="BK1081" s="2">
        <v>2</v>
      </c>
      <c r="BL1081" s="2">
        <v>58.28</v>
      </c>
      <c r="BM1081" s="2">
        <v>8.16</v>
      </c>
      <c r="BN1081" s="2">
        <v>66.44</v>
      </c>
      <c r="BO1081" s="2">
        <v>66.44</v>
      </c>
      <c r="BP1081" s="2">
        <v>1</v>
      </c>
      <c r="BQ1081" s="2" t="s">
        <v>209</v>
      </c>
      <c r="BR1081" s="2" t="s">
        <v>84</v>
      </c>
      <c r="BS1081" s="3">
        <v>42958</v>
      </c>
      <c r="BT1081" s="4">
        <v>0.54513888888888895</v>
      </c>
      <c r="BU1081" s="2" t="s">
        <v>1689</v>
      </c>
      <c r="BV1081" s="2" t="s">
        <v>95</v>
      </c>
      <c r="BW1081" s="2"/>
      <c r="BX1081" s="2"/>
      <c r="BY1081" s="2">
        <v>9850.59</v>
      </c>
      <c r="BZ1081" s="2"/>
      <c r="CA1081" s="2" t="s">
        <v>640</v>
      </c>
      <c r="CB1081" s="2"/>
      <c r="CC1081" s="2" t="s">
        <v>207</v>
      </c>
      <c r="CD1081" s="2">
        <v>250</v>
      </c>
      <c r="CE1081" s="2" t="s">
        <v>104</v>
      </c>
      <c r="CF1081" s="5">
        <v>42962</v>
      </c>
      <c r="CG1081" s="2"/>
      <c r="CH1081" s="2"/>
      <c r="CI1081" s="2">
        <v>1</v>
      </c>
      <c r="CJ1081" s="2">
        <v>1</v>
      </c>
      <c r="CK1081" s="2">
        <v>24</v>
      </c>
      <c r="CL1081" s="2" t="s">
        <v>86</v>
      </c>
      <c r="CM1081" s="2"/>
    </row>
    <row r="1082" spans="1:91">
      <c r="A1082" s="2" t="s">
        <v>71</v>
      </c>
      <c r="B1082" s="2" t="s">
        <v>72</v>
      </c>
      <c r="C1082" s="2" t="s">
        <v>73</v>
      </c>
      <c r="D1082" s="2"/>
      <c r="E1082" s="2" t="str">
        <f>"FES1162568196"</f>
        <v>FES1162568196</v>
      </c>
      <c r="F1082" s="3">
        <v>42957</v>
      </c>
      <c r="G1082" s="2">
        <v>201802</v>
      </c>
      <c r="H1082" s="2" t="s">
        <v>74</v>
      </c>
      <c r="I1082" s="2" t="s">
        <v>75</v>
      </c>
      <c r="J1082" s="2" t="s">
        <v>76</v>
      </c>
      <c r="K1082" s="2" t="s">
        <v>77</v>
      </c>
      <c r="L1082" s="2" t="s">
        <v>268</v>
      </c>
      <c r="M1082" s="2" t="s">
        <v>269</v>
      </c>
      <c r="N1082" s="2" t="s">
        <v>1809</v>
      </c>
      <c r="O1082" s="2" t="s">
        <v>100</v>
      </c>
      <c r="P1082" s="2" t="str">
        <f>"2170584291                    "</f>
        <v xml:space="preserve">2170584291  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4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1</v>
      </c>
      <c r="BI1082" s="2">
        <v>1</v>
      </c>
      <c r="BJ1082" s="2">
        <v>0.2</v>
      </c>
      <c r="BK1082" s="2">
        <v>1</v>
      </c>
      <c r="BL1082" s="2">
        <v>41.44</v>
      </c>
      <c r="BM1082" s="2">
        <v>5.8</v>
      </c>
      <c r="BN1082" s="2">
        <v>47.24</v>
      </c>
      <c r="BO1082" s="2">
        <v>47.24</v>
      </c>
      <c r="BP1082" s="2">
        <v>1</v>
      </c>
      <c r="BQ1082" s="2" t="s">
        <v>1810</v>
      </c>
      <c r="BR1082" s="2" t="s">
        <v>84</v>
      </c>
      <c r="BS1082" s="3">
        <v>42958</v>
      </c>
      <c r="BT1082" s="4">
        <v>0.40625</v>
      </c>
      <c r="BU1082" s="2" t="s">
        <v>1811</v>
      </c>
      <c r="BV1082" s="2" t="s">
        <v>95</v>
      </c>
      <c r="BW1082" s="2"/>
      <c r="BX1082" s="2"/>
      <c r="BY1082" s="2">
        <v>1200</v>
      </c>
      <c r="BZ1082" s="2"/>
      <c r="CA1082" s="2" t="s">
        <v>638</v>
      </c>
      <c r="CB1082" s="2"/>
      <c r="CC1082" s="2" t="s">
        <v>269</v>
      </c>
      <c r="CD1082" s="2">
        <v>184</v>
      </c>
      <c r="CE1082" s="2" t="s">
        <v>104</v>
      </c>
      <c r="CF1082" s="5">
        <v>42961</v>
      </c>
      <c r="CG1082" s="2"/>
      <c r="CH1082" s="2"/>
      <c r="CI1082" s="2">
        <v>1</v>
      </c>
      <c r="CJ1082" s="2">
        <v>1</v>
      </c>
      <c r="CK1082" s="2">
        <v>21</v>
      </c>
      <c r="CL1082" s="2" t="s">
        <v>86</v>
      </c>
      <c r="CM1082" s="2"/>
    </row>
    <row r="1083" spans="1:91">
      <c r="A1083" s="2" t="s">
        <v>71</v>
      </c>
      <c r="B1083" s="2" t="s">
        <v>72</v>
      </c>
      <c r="C1083" s="2" t="s">
        <v>73</v>
      </c>
      <c r="D1083" s="2"/>
      <c r="E1083" s="2" t="str">
        <f>"FES1162568211"</f>
        <v>FES1162568211</v>
      </c>
      <c r="F1083" s="3">
        <v>42957</v>
      </c>
      <c r="G1083" s="2">
        <v>201802</v>
      </c>
      <c r="H1083" s="2" t="s">
        <v>74</v>
      </c>
      <c r="I1083" s="2" t="s">
        <v>75</v>
      </c>
      <c r="J1083" s="2" t="s">
        <v>76</v>
      </c>
      <c r="K1083" s="2" t="s">
        <v>77</v>
      </c>
      <c r="L1083" s="2" t="s">
        <v>268</v>
      </c>
      <c r="M1083" s="2" t="s">
        <v>269</v>
      </c>
      <c r="N1083" s="2" t="s">
        <v>402</v>
      </c>
      <c r="O1083" s="2" t="s">
        <v>100</v>
      </c>
      <c r="P1083" s="2" t="str">
        <f>"2170584344                    "</f>
        <v xml:space="preserve">2170584344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4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1</v>
      </c>
      <c r="BJ1083" s="2">
        <v>0.2</v>
      </c>
      <c r="BK1083" s="2">
        <v>1</v>
      </c>
      <c r="BL1083" s="2">
        <v>41.44</v>
      </c>
      <c r="BM1083" s="2">
        <v>5.8</v>
      </c>
      <c r="BN1083" s="2">
        <v>47.24</v>
      </c>
      <c r="BO1083" s="2">
        <v>47.24</v>
      </c>
      <c r="BP1083" s="2">
        <v>1</v>
      </c>
      <c r="BQ1083" s="2" t="s">
        <v>1812</v>
      </c>
      <c r="BR1083" s="2" t="s">
        <v>84</v>
      </c>
      <c r="BS1083" s="3">
        <v>42958</v>
      </c>
      <c r="BT1083" s="4">
        <v>0.45208333333333334</v>
      </c>
      <c r="BU1083" s="2" t="s">
        <v>502</v>
      </c>
      <c r="BV1083" s="2" t="s">
        <v>95</v>
      </c>
      <c r="BW1083" s="2"/>
      <c r="BX1083" s="2"/>
      <c r="BY1083" s="2">
        <v>1200</v>
      </c>
      <c r="BZ1083" s="2"/>
      <c r="CA1083" s="2"/>
      <c r="CB1083" s="2"/>
      <c r="CC1083" s="2" t="s">
        <v>269</v>
      </c>
      <c r="CD1083" s="2">
        <v>82</v>
      </c>
      <c r="CE1083" s="2" t="s">
        <v>104</v>
      </c>
      <c r="CF1083" s="5">
        <v>42961</v>
      </c>
      <c r="CG1083" s="2"/>
      <c r="CH1083" s="2"/>
      <c r="CI1083" s="2">
        <v>1</v>
      </c>
      <c r="CJ1083" s="2">
        <v>1</v>
      </c>
      <c r="CK1083" s="2">
        <v>21</v>
      </c>
      <c r="CL1083" s="2" t="s">
        <v>86</v>
      </c>
      <c r="CM1083" s="2"/>
    </row>
    <row r="1084" spans="1:91">
      <c r="A1084" s="2" t="s">
        <v>71</v>
      </c>
      <c r="B1084" s="2" t="s">
        <v>72</v>
      </c>
      <c r="C1084" s="2" t="s">
        <v>73</v>
      </c>
      <c r="D1084" s="2"/>
      <c r="E1084" s="2" t="str">
        <f>"FES1162568221"</f>
        <v>FES1162568221</v>
      </c>
      <c r="F1084" s="3">
        <v>42957</v>
      </c>
      <c r="G1084" s="2">
        <v>201802</v>
      </c>
      <c r="H1084" s="2" t="s">
        <v>74</v>
      </c>
      <c r="I1084" s="2" t="s">
        <v>75</v>
      </c>
      <c r="J1084" s="2" t="s">
        <v>76</v>
      </c>
      <c r="K1084" s="2" t="s">
        <v>77</v>
      </c>
      <c r="L1084" s="2" t="s">
        <v>383</v>
      </c>
      <c r="M1084" s="2" t="s">
        <v>384</v>
      </c>
      <c r="N1084" s="2" t="s">
        <v>385</v>
      </c>
      <c r="O1084" s="2" t="s">
        <v>100</v>
      </c>
      <c r="P1084" s="2" t="str">
        <f>"2170584359                    "</f>
        <v xml:space="preserve">2170584359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5.63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1</v>
      </c>
      <c r="BJ1084" s="2">
        <v>0.2</v>
      </c>
      <c r="BK1084" s="2">
        <v>1</v>
      </c>
      <c r="BL1084" s="2">
        <v>58.28</v>
      </c>
      <c r="BM1084" s="2">
        <v>8.16</v>
      </c>
      <c r="BN1084" s="2">
        <v>66.44</v>
      </c>
      <c r="BO1084" s="2">
        <v>66.44</v>
      </c>
      <c r="BP1084" s="2">
        <v>1</v>
      </c>
      <c r="BQ1084" s="2" t="s">
        <v>1813</v>
      </c>
      <c r="BR1084" s="2" t="s">
        <v>84</v>
      </c>
      <c r="BS1084" s="3">
        <v>42958</v>
      </c>
      <c r="BT1084" s="4">
        <v>0.52430555555555558</v>
      </c>
      <c r="BU1084" s="2" t="s">
        <v>1814</v>
      </c>
      <c r="BV1084" s="2" t="s">
        <v>95</v>
      </c>
      <c r="BW1084" s="2"/>
      <c r="BX1084" s="2"/>
      <c r="BY1084" s="2">
        <v>1200</v>
      </c>
      <c r="BZ1084" s="2"/>
      <c r="CA1084" s="2" t="s">
        <v>148</v>
      </c>
      <c r="CB1084" s="2"/>
      <c r="CC1084" s="2" t="s">
        <v>384</v>
      </c>
      <c r="CD1084" s="2">
        <v>2210</v>
      </c>
      <c r="CE1084" s="2" t="s">
        <v>104</v>
      </c>
      <c r="CF1084" s="5">
        <v>42961</v>
      </c>
      <c r="CG1084" s="2"/>
      <c r="CH1084" s="2"/>
      <c r="CI1084" s="2">
        <v>1</v>
      </c>
      <c r="CJ1084" s="2">
        <v>1</v>
      </c>
      <c r="CK1084" s="2">
        <v>24</v>
      </c>
      <c r="CL1084" s="2" t="s">
        <v>86</v>
      </c>
      <c r="CM1084" s="2"/>
    </row>
    <row r="1085" spans="1:91">
      <c r="A1085" s="2" t="s">
        <v>71</v>
      </c>
      <c r="B1085" s="2" t="s">
        <v>72</v>
      </c>
      <c r="C1085" s="2" t="s">
        <v>73</v>
      </c>
      <c r="D1085" s="2"/>
      <c r="E1085" s="2" t="str">
        <f>"FES1162568154"</f>
        <v>FES1162568154</v>
      </c>
      <c r="F1085" s="3">
        <v>42957</v>
      </c>
      <c r="G1085" s="2">
        <v>201802</v>
      </c>
      <c r="H1085" s="2" t="s">
        <v>74</v>
      </c>
      <c r="I1085" s="2" t="s">
        <v>75</v>
      </c>
      <c r="J1085" s="2" t="s">
        <v>76</v>
      </c>
      <c r="K1085" s="2" t="s">
        <v>77</v>
      </c>
      <c r="L1085" s="2" t="s">
        <v>446</v>
      </c>
      <c r="M1085" s="2" t="s">
        <v>447</v>
      </c>
      <c r="N1085" s="2" t="s">
        <v>961</v>
      </c>
      <c r="O1085" s="2" t="s">
        <v>100</v>
      </c>
      <c r="P1085" s="2" t="str">
        <f>"2170584248                    "</f>
        <v xml:space="preserve">2170584248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5.63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1.3</v>
      </c>
      <c r="BJ1085" s="2">
        <v>1.6</v>
      </c>
      <c r="BK1085" s="2">
        <v>2</v>
      </c>
      <c r="BL1085" s="2">
        <v>58.28</v>
      </c>
      <c r="BM1085" s="2">
        <v>8.16</v>
      </c>
      <c r="BN1085" s="2">
        <v>66.44</v>
      </c>
      <c r="BO1085" s="2">
        <v>66.44</v>
      </c>
      <c r="BP1085" s="2">
        <v>1</v>
      </c>
      <c r="BQ1085" s="2" t="s">
        <v>962</v>
      </c>
      <c r="BR1085" s="2" t="s">
        <v>84</v>
      </c>
      <c r="BS1085" s="3">
        <v>42958</v>
      </c>
      <c r="BT1085" s="4">
        <v>0.43333333333333335</v>
      </c>
      <c r="BU1085" s="2" t="s">
        <v>1674</v>
      </c>
      <c r="BV1085" s="2" t="s">
        <v>95</v>
      </c>
      <c r="BW1085" s="2"/>
      <c r="BX1085" s="2"/>
      <c r="BY1085" s="2">
        <v>8219.39</v>
      </c>
      <c r="BZ1085" s="2"/>
      <c r="CA1085" s="2"/>
      <c r="CB1085" s="2"/>
      <c r="CC1085" s="2" t="s">
        <v>447</v>
      </c>
      <c r="CD1085" s="2">
        <v>1759</v>
      </c>
      <c r="CE1085" s="2" t="s">
        <v>104</v>
      </c>
      <c r="CF1085" s="5">
        <v>42961</v>
      </c>
      <c r="CG1085" s="2"/>
      <c r="CH1085" s="2"/>
      <c r="CI1085" s="2">
        <v>1</v>
      </c>
      <c r="CJ1085" s="2">
        <v>1</v>
      </c>
      <c r="CK1085" s="2">
        <v>24</v>
      </c>
      <c r="CL1085" s="2" t="s">
        <v>86</v>
      </c>
      <c r="CM1085" s="2"/>
    </row>
    <row r="1086" spans="1:91">
      <c r="A1086" s="2" t="s">
        <v>71</v>
      </c>
      <c r="B1086" s="2" t="s">
        <v>72</v>
      </c>
      <c r="C1086" s="2" t="s">
        <v>73</v>
      </c>
      <c r="D1086" s="2"/>
      <c r="E1086" s="2" t="str">
        <f>"FES1162568096"</f>
        <v>FES1162568096</v>
      </c>
      <c r="F1086" s="3">
        <v>42957</v>
      </c>
      <c r="G1086" s="2">
        <v>201802</v>
      </c>
      <c r="H1086" s="2" t="s">
        <v>74</v>
      </c>
      <c r="I1086" s="2" t="s">
        <v>75</v>
      </c>
      <c r="J1086" s="2" t="s">
        <v>76</v>
      </c>
      <c r="K1086" s="2" t="s">
        <v>77</v>
      </c>
      <c r="L1086" s="2" t="s">
        <v>268</v>
      </c>
      <c r="M1086" s="2" t="s">
        <v>269</v>
      </c>
      <c r="N1086" s="2" t="s">
        <v>442</v>
      </c>
      <c r="O1086" s="2" t="s">
        <v>100</v>
      </c>
      <c r="P1086" s="2" t="str">
        <f>"2170584195                    "</f>
        <v xml:space="preserve">2170584195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4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0.7</v>
      </c>
      <c r="BJ1086" s="2">
        <v>1.9</v>
      </c>
      <c r="BK1086" s="2">
        <v>2</v>
      </c>
      <c r="BL1086" s="2">
        <v>41.44</v>
      </c>
      <c r="BM1086" s="2">
        <v>5.8</v>
      </c>
      <c r="BN1086" s="2">
        <v>47.24</v>
      </c>
      <c r="BO1086" s="2">
        <v>47.24</v>
      </c>
      <c r="BP1086" s="2">
        <v>1</v>
      </c>
      <c r="BQ1086" s="2" t="s">
        <v>83</v>
      </c>
      <c r="BR1086" s="2" t="s">
        <v>84</v>
      </c>
      <c r="BS1086" s="3">
        <v>42958</v>
      </c>
      <c r="BT1086" s="4">
        <v>0.50624999999999998</v>
      </c>
      <c r="BU1086" s="2" t="s">
        <v>443</v>
      </c>
      <c r="BV1086" s="2" t="s">
        <v>86</v>
      </c>
      <c r="BW1086" s="2" t="s">
        <v>110</v>
      </c>
      <c r="BX1086" s="2" t="s">
        <v>444</v>
      </c>
      <c r="BY1086" s="2">
        <v>9265.41</v>
      </c>
      <c r="BZ1086" s="2"/>
      <c r="CA1086" s="2" t="s">
        <v>445</v>
      </c>
      <c r="CB1086" s="2"/>
      <c r="CC1086" s="2" t="s">
        <v>269</v>
      </c>
      <c r="CD1086" s="2">
        <v>1</v>
      </c>
      <c r="CE1086" s="2" t="s">
        <v>104</v>
      </c>
      <c r="CF1086" s="5">
        <v>42961</v>
      </c>
      <c r="CG1086" s="2"/>
      <c r="CH1086" s="2"/>
      <c r="CI1086" s="2">
        <v>1</v>
      </c>
      <c r="CJ1086" s="2">
        <v>1</v>
      </c>
      <c r="CK1086" s="2">
        <v>21</v>
      </c>
      <c r="CL1086" s="2" t="s">
        <v>86</v>
      </c>
      <c r="CM1086" s="2"/>
    </row>
    <row r="1087" spans="1:91">
      <c r="A1087" s="2" t="s">
        <v>71</v>
      </c>
      <c r="B1087" s="2" t="s">
        <v>72</v>
      </c>
      <c r="C1087" s="2" t="s">
        <v>73</v>
      </c>
      <c r="D1087" s="2"/>
      <c r="E1087" s="2" t="str">
        <f>"FES1162568222"</f>
        <v>FES1162568222</v>
      </c>
      <c r="F1087" s="3">
        <v>42957</v>
      </c>
      <c r="G1087" s="2">
        <v>201802</v>
      </c>
      <c r="H1087" s="2" t="s">
        <v>74</v>
      </c>
      <c r="I1087" s="2" t="s">
        <v>75</v>
      </c>
      <c r="J1087" s="2" t="s">
        <v>76</v>
      </c>
      <c r="K1087" s="2" t="s">
        <v>77</v>
      </c>
      <c r="L1087" s="2" t="s">
        <v>74</v>
      </c>
      <c r="M1087" s="2" t="s">
        <v>75</v>
      </c>
      <c r="N1087" s="2" t="s">
        <v>1815</v>
      </c>
      <c r="O1087" s="2" t="s">
        <v>100</v>
      </c>
      <c r="P1087" s="2" t="str">
        <f>"2170584362                    "</f>
        <v xml:space="preserve">2170584362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3.13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1</v>
      </c>
      <c r="BJ1087" s="2">
        <v>0.2</v>
      </c>
      <c r="BK1087" s="2">
        <v>1</v>
      </c>
      <c r="BL1087" s="2">
        <v>32.380000000000003</v>
      </c>
      <c r="BM1087" s="2">
        <v>4.53</v>
      </c>
      <c r="BN1087" s="2">
        <v>36.909999999999997</v>
      </c>
      <c r="BO1087" s="2">
        <v>36.909999999999997</v>
      </c>
      <c r="BP1087" s="2"/>
      <c r="BQ1087" s="2" t="s">
        <v>83</v>
      </c>
      <c r="BR1087" s="2" t="s">
        <v>84</v>
      </c>
      <c r="BS1087" s="3">
        <v>42958</v>
      </c>
      <c r="BT1087" s="4">
        <v>0.32777777777777778</v>
      </c>
      <c r="BU1087" s="2" t="s">
        <v>1816</v>
      </c>
      <c r="BV1087" s="2" t="s">
        <v>95</v>
      </c>
      <c r="BW1087" s="2"/>
      <c r="BX1087" s="2"/>
      <c r="BY1087" s="2">
        <v>1200</v>
      </c>
      <c r="BZ1087" s="2"/>
      <c r="CA1087" s="2" t="s">
        <v>328</v>
      </c>
      <c r="CB1087" s="2"/>
      <c r="CC1087" s="2" t="s">
        <v>75</v>
      </c>
      <c r="CD1087" s="2">
        <v>1601</v>
      </c>
      <c r="CE1087" s="2" t="s">
        <v>104</v>
      </c>
      <c r="CF1087" s="5">
        <v>42961</v>
      </c>
      <c r="CG1087" s="2"/>
      <c r="CH1087" s="2"/>
      <c r="CI1087" s="2">
        <v>1</v>
      </c>
      <c r="CJ1087" s="2">
        <v>1</v>
      </c>
      <c r="CK1087" s="2">
        <v>22</v>
      </c>
      <c r="CL1087" s="2" t="s">
        <v>86</v>
      </c>
      <c r="CM1087" s="2"/>
    </row>
    <row r="1088" spans="1:91">
      <c r="A1088" s="2" t="s">
        <v>71</v>
      </c>
      <c r="B1088" s="2" t="s">
        <v>72</v>
      </c>
      <c r="C1088" s="2" t="s">
        <v>73</v>
      </c>
      <c r="D1088" s="2"/>
      <c r="E1088" s="2" t="str">
        <f>"FES1162568206"</f>
        <v>FES1162568206</v>
      </c>
      <c r="F1088" s="3">
        <v>42957</v>
      </c>
      <c r="G1088" s="2">
        <v>201802</v>
      </c>
      <c r="H1088" s="2" t="s">
        <v>74</v>
      </c>
      <c r="I1088" s="2" t="s">
        <v>75</v>
      </c>
      <c r="J1088" s="2" t="s">
        <v>76</v>
      </c>
      <c r="K1088" s="2" t="s">
        <v>77</v>
      </c>
      <c r="L1088" s="2" t="s">
        <v>244</v>
      </c>
      <c r="M1088" s="2" t="s">
        <v>245</v>
      </c>
      <c r="N1088" s="2" t="s">
        <v>882</v>
      </c>
      <c r="O1088" s="2" t="s">
        <v>100</v>
      </c>
      <c r="P1088" s="2" t="str">
        <f>"2170584334                    "</f>
        <v xml:space="preserve">2170584334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3.13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2.5</v>
      </c>
      <c r="BJ1088" s="2">
        <v>2.8</v>
      </c>
      <c r="BK1088" s="2">
        <v>3</v>
      </c>
      <c r="BL1088" s="2">
        <v>32.380000000000003</v>
      </c>
      <c r="BM1088" s="2">
        <v>4.53</v>
      </c>
      <c r="BN1088" s="2">
        <v>36.909999999999997</v>
      </c>
      <c r="BO1088" s="2">
        <v>36.909999999999997</v>
      </c>
      <c r="BP1088" s="2">
        <v>1</v>
      </c>
      <c r="BQ1088" s="2" t="s">
        <v>108</v>
      </c>
      <c r="BR1088" s="2" t="s">
        <v>84</v>
      </c>
      <c r="BS1088" s="3">
        <v>42958</v>
      </c>
      <c r="BT1088" s="4">
        <v>0.32430555555555557</v>
      </c>
      <c r="BU1088" s="2" t="s">
        <v>883</v>
      </c>
      <c r="BV1088" s="2" t="s">
        <v>95</v>
      </c>
      <c r="BW1088" s="2"/>
      <c r="BX1088" s="2"/>
      <c r="BY1088" s="2">
        <v>14120.17</v>
      </c>
      <c r="BZ1088" s="2"/>
      <c r="CA1088" s="2" t="s">
        <v>733</v>
      </c>
      <c r="CB1088" s="2"/>
      <c r="CC1088" s="2" t="s">
        <v>245</v>
      </c>
      <c r="CD1088" s="2">
        <v>1459</v>
      </c>
      <c r="CE1088" s="2" t="s">
        <v>104</v>
      </c>
      <c r="CF1088" s="5">
        <v>42961</v>
      </c>
      <c r="CG1088" s="2"/>
      <c r="CH1088" s="2"/>
      <c r="CI1088" s="2">
        <v>1</v>
      </c>
      <c r="CJ1088" s="2">
        <v>1</v>
      </c>
      <c r="CK1088" s="2">
        <v>22</v>
      </c>
      <c r="CL1088" s="2" t="s">
        <v>86</v>
      </c>
      <c r="CM1088" s="2"/>
    </row>
    <row r="1089" spans="1:91">
      <c r="A1089" s="2" t="s">
        <v>71</v>
      </c>
      <c r="B1089" s="2" t="s">
        <v>72</v>
      </c>
      <c r="C1089" s="2" t="s">
        <v>73</v>
      </c>
      <c r="D1089" s="2"/>
      <c r="E1089" s="2" t="str">
        <f>"FES1162568242"</f>
        <v>FES1162568242</v>
      </c>
      <c r="F1089" s="3">
        <v>42957</v>
      </c>
      <c r="G1089" s="2">
        <v>201802</v>
      </c>
      <c r="H1089" s="2" t="s">
        <v>74</v>
      </c>
      <c r="I1089" s="2" t="s">
        <v>75</v>
      </c>
      <c r="J1089" s="2" t="s">
        <v>76</v>
      </c>
      <c r="K1089" s="2" t="s">
        <v>77</v>
      </c>
      <c r="L1089" s="2" t="s">
        <v>105</v>
      </c>
      <c r="M1089" s="2" t="s">
        <v>106</v>
      </c>
      <c r="N1089" s="2" t="s">
        <v>705</v>
      </c>
      <c r="O1089" s="2" t="s">
        <v>100</v>
      </c>
      <c r="P1089" s="2" t="str">
        <f>"2170584387                    "</f>
        <v xml:space="preserve">2170584387 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4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0.8</v>
      </c>
      <c r="BJ1089" s="2">
        <v>1.9</v>
      </c>
      <c r="BK1089" s="2">
        <v>2</v>
      </c>
      <c r="BL1089" s="2">
        <v>41.44</v>
      </c>
      <c r="BM1089" s="2">
        <v>5.8</v>
      </c>
      <c r="BN1089" s="2">
        <v>47.24</v>
      </c>
      <c r="BO1089" s="2">
        <v>47.24</v>
      </c>
      <c r="BP1089" s="2">
        <v>1</v>
      </c>
      <c r="BQ1089" s="2" t="s">
        <v>108</v>
      </c>
      <c r="BR1089" s="2" t="s">
        <v>84</v>
      </c>
      <c r="BS1089" s="3">
        <v>42958</v>
      </c>
      <c r="BT1089" s="4">
        <v>0.43263888888888885</v>
      </c>
      <c r="BU1089" s="2" t="s">
        <v>1690</v>
      </c>
      <c r="BV1089" s="2" t="s">
        <v>95</v>
      </c>
      <c r="BW1089" s="2"/>
      <c r="BX1089" s="2"/>
      <c r="BY1089" s="2">
        <v>9338.4599999999991</v>
      </c>
      <c r="BZ1089" s="2"/>
      <c r="CA1089" s="2" t="s">
        <v>488</v>
      </c>
      <c r="CB1089" s="2"/>
      <c r="CC1089" s="2" t="s">
        <v>106</v>
      </c>
      <c r="CD1089" s="2">
        <v>7441</v>
      </c>
      <c r="CE1089" s="2" t="s">
        <v>104</v>
      </c>
      <c r="CF1089" s="5">
        <v>42961</v>
      </c>
      <c r="CG1089" s="2"/>
      <c r="CH1089" s="2"/>
      <c r="CI1089" s="2">
        <v>1</v>
      </c>
      <c r="CJ1089" s="2">
        <v>1</v>
      </c>
      <c r="CK1089" s="2">
        <v>21</v>
      </c>
      <c r="CL1089" s="2" t="s">
        <v>86</v>
      </c>
      <c r="CM1089" s="2"/>
    </row>
    <row r="1090" spans="1:91">
      <c r="A1090" s="2" t="s">
        <v>71</v>
      </c>
      <c r="B1090" s="2" t="s">
        <v>72</v>
      </c>
      <c r="C1090" s="2" t="s">
        <v>73</v>
      </c>
      <c r="D1090" s="2"/>
      <c r="E1090" s="2" t="str">
        <f>"FES1162568236"</f>
        <v>FES1162568236</v>
      </c>
      <c r="F1090" s="3">
        <v>42957</v>
      </c>
      <c r="G1090" s="2">
        <v>201802</v>
      </c>
      <c r="H1090" s="2" t="s">
        <v>74</v>
      </c>
      <c r="I1090" s="2" t="s">
        <v>75</v>
      </c>
      <c r="J1090" s="2" t="s">
        <v>76</v>
      </c>
      <c r="K1090" s="2" t="s">
        <v>77</v>
      </c>
      <c r="L1090" s="2" t="s">
        <v>417</v>
      </c>
      <c r="M1090" s="2" t="s">
        <v>417</v>
      </c>
      <c r="N1090" s="2" t="s">
        <v>475</v>
      </c>
      <c r="O1090" s="2" t="s">
        <v>100</v>
      </c>
      <c r="P1090" s="2" t="str">
        <f>"2170583971                    "</f>
        <v xml:space="preserve">2170583971   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7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3.3</v>
      </c>
      <c r="BJ1090" s="2">
        <v>1.5</v>
      </c>
      <c r="BK1090" s="2">
        <v>3.5</v>
      </c>
      <c r="BL1090" s="2">
        <v>72.52</v>
      </c>
      <c r="BM1090" s="2">
        <v>10.15</v>
      </c>
      <c r="BN1090" s="2">
        <v>82.67</v>
      </c>
      <c r="BO1090" s="2">
        <v>82.67</v>
      </c>
      <c r="BP1090" s="2"/>
      <c r="BQ1090" s="2" t="s">
        <v>108</v>
      </c>
      <c r="BR1090" s="2" t="s">
        <v>84</v>
      </c>
      <c r="BS1090" s="3">
        <v>42958</v>
      </c>
      <c r="BT1090" s="4">
        <v>0.45763888888888887</v>
      </c>
      <c r="BU1090" s="2" t="s">
        <v>1078</v>
      </c>
      <c r="BV1090" s="2" t="s">
        <v>95</v>
      </c>
      <c r="BW1090" s="2"/>
      <c r="BX1090" s="2"/>
      <c r="BY1090" s="2">
        <v>7408.8</v>
      </c>
      <c r="BZ1090" s="2"/>
      <c r="CA1090" s="2" t="s">
        <v>420</v>
      </c>
      <c r="CB1090" s="2"/>
      <c r="CC1090" s="2" t="s">
        <v>417</v>
      </c>
      <c r="CD1090" s="2">
        <v>7646</v>
      </c>
      <c r="CE1090" s="2" t="s">
        <v>89</v>
      </c>
      <c r="CF1090" s="5">
        <v>42961</v>
      </c>
      <c r="CG1090" s="2"/>
      <c r="CH1090" s="2"/>
      <c r="CI1090" s="2">
        <v>1</v>
      </c>
      <c r="CJ1090" s="2">
        <v>1</v>
      </c>
      <c r="CK1090" s="2">
        <v>21</v>
      </c>
      <c r="CL1090" s="2" t="s">
        <v>86</v>
      </c>
      <c r="CM1090" s="2"/>
    </row>
    <row r="1091" spans="1:91">
      <c r="A1091" s="2" t="s">
        <v>71</v>
      </c>
      <c r="B1091" s="2" t="s">
        <v>72</v>
      </c>
      <c r="C1091" s="2" t="s">
        <v>73</v>
      </c>
      <c r="D1091" s="2"/>
      <c r="E1091" s="2" t="str">
        <f>"FES1162568186"</f>
        <v>FES1162568186</v>
      </c>
      <c r="F1091" s="3">
        <v>42957</v>
      </c>
      <c r="G1091" s="2">
        <v>201802</v>
      </c>
      <c r="H1091" s="2" t="s">
        <v>74</v>
      </c>
      <c r="I1091" s="2" t="s">
        <v>75</v>
      </c>
      <c r="J1091" s="2" t="s">
        <v>76</v>
      </c>
      <c r="K1091" s="2" t="s">
        <v>77</v>
      </c>
      <c r="L1091" s="2" t="s">
        <v>149</v>
      </c>
      <c r="M1091" s="2" t="s">
        <v>150</v>
      </c>
      <c r="N1091" s="2" t="s">
        <v>1268</v>
      </c>
      <c r="O1091" s="2" t="s">
        <v>100</v>
      </c>
      <c r="P1091" s="2" t="str">
        <f>"2170583960                    "</f>
        <v xml:space="preserve">2170583960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24.01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11.7</v>
      </c>
      <c r="BJ1091" s="2">
        <v>5.7</v>
      </c>
      <c r="BK1091" s="2">
        <v>12</v>
      </c>
      <c r="BL1091" s="2">
        <v>248.65</v>
      </c>
      <c r="BM1091" s="2">
        <v>34.81</v>
      </c>
      <c r="BN1091" s="2">
        <v>283.45999999999998</v>
      </c>
      <c r="BO1091" s="2">
        <v>283.45999999999998</v>
      </c>
      <c r="BP1091" s="2"/>
      <c r="BQ1091" s="2" t="s">
        <v>83</v>
      </c>
      <c r="BR1091" s="2" t="s">
        <v>84</v>
      </c>
      <c r="BS1091" s="3">
        <v>42958</v>
      </c>
      <c r="BT1091" s="4">
        <v>0.4375</v>
      </c>
      <c r="BU1091" s="2" t="s">
        <v>1817</v>
      </c>
      <c r="BV1091" s="2" t="s">
        <v>95</v>
      </c>
      <c r="BW1091" s="2"/>
      <c r="BX1091" s="2"/>
      <c r="BY1091" s="2">
        <v>28278.99</v>
      </c>
      <c r="BZ1091" s="2"/>
      <c r="CA1091" s="2" t="s">
        <v>682</v>
      </c>
      <c r="CB1091" s="2"/>
      <c r="CC1091" s="2" t="s">
        <v>150</v>
      </c>
      <c r="CD1091" s="2">
        <v>4001</v>
      </c>
      <c r="CE1091" s="2" t="s">
        <v>89</v>
      </c>
      <c r="CF1091" s="5">
        <v>42961</v>
      </c>
      <c r="CG1091" s="2"/>
      <c r="CH1091" s="2"/>
      <c r="CI1091" s="2">
        <v>1</v>
      </c>
      <c r="CJ1091" s="2">
        <v>1</v>
      </c>
      <c r="CK1091" s="2">
        <v>21</v>
      </c>
      <c r="CL1091" s="2" t="s">
        <v>86</v>
      </c>
      <c r="CM1091" s="2"/>
    </row>
    <row r="1092" spans="1:91">
      <c r="A1092" s="2" t="s">
        <v>71</v>
      </c>
      <c r="B1092" s="2" t="s">
        <v>72</v>
      </c>
      <c r="C1092" s="2" t="s">
        <v>73</v>
      </c>
      <c r="D1092" s="2"/>
      <c r="E1092" s="2" t="str">
        <f>"FES1162568246"</f>
        <v>FES1162568246</v>
      </c>
      <c r="F1092" s="3">
        <v>42957</v>
      </c>
      <c r="G1092" s="2">
        <v>201802</v>
      </c>
      <c r="H1092" s="2" t="s">
        <v>74</v>
      </c>
      <c r="I1092" s="2" t="s">
        <v>75</v>
      </c>
      <c r="J1092" s="2" t="s">
        <v>76</v>
      </c>
      <c r="K1092" s="2" t="s">
        <v>77</v>
      </c>
      <c r="L1092" s="2" t="s">
        <v>343</v>
      </c>
      <c r="M1092" s="2" t="s">
        <v>344</v>
      </c>
      <c r="N1092" s="2" t="s">
        <v>1818</v>
      </c>
      <c r="O1092" s="2" t="s">
        <v>100</v>
      </c>
      <c r="P1092" s="2" t="str">
        <f>"2170584383                    "</f>
        <v xml:space="preserve">2170584383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4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1</v>
      </c>
      <c r="BJ1092" s="2">
        <v>0.2</v>
      </c>
      <c r="BK1092" s="2">
        <v>1</v>
      </c>
      <c r="BL1092" s="2">
        <v>41.44</v>
      </c>
      <c r="BM1092" s="2">
        <v>5.8</v>
      </c>
      <c r="BN1092" s="2">
        <v>47.24</v>
      </c>
      <c r="BO1092" s="2">
        <v>47.24</v>
      </c>
      <c r="BP1092" s="2">
        <v>1</v>
      </c>
      <c r="BQ1092" s="2" t="s">
        <v>209</v>
      </c>
      <c r="BR1092" s="2" t="s">
        <v>84</v>
      </c>
      <c r="BS1092" s="3">
        <v>42958</v>
      </c>
      <c r="BT1092" s="4">
        <v>0.40138888888888885</v>
      </c>
      <c r="BU1092" s="2" t="s">
        <v>1819</v>
      </c>
      <c r="BV1092" s="2" t="s">
        <v>95</v>
      </c>
      <c r="BW1092" s="2"/>
      <c r="BX1092" s="2"/>
      <c r="BY1092" s="2">
        <v>1200</v>
      </c>
      <c r="BZ1092" s="2"/>
      <c r="CA1092" s="2" t="s">
        <v>347</v>
      </c>
      <c r="CB1092" s="2"/>
      <c r="CC1092" s="2" t="s">
        <v>344</v>
      </c>
      <c r="CD1092" s="2">
        <v>4113</v>
      </c>
      <c r="CE1092" s="2" t="s">
        <v>104</v>
      </c>
      <c r="CF1092" s="5">
        <v>42961</v>
      </c>
      <c r="CG1092" s="2"/>
      <c r="CH1092" s="2"/>
      <c r="CI1092" s="2">
        <v>1</v>
      </c>
      <c r="CJ1092" s="2">
        <v>1</v>
      </c>
      <c r="CK1092" s="2">
        <v>21</v>
      </c>
      <c r="CL1092" s="2" t="s">
        <v>86</v>
      </c>
      <c r="CM1092" s="2"/>
    </row>
    <row r="1093" spans="1:91">
      <c r="A1093" s="2" t="s">
        <v>71</v>
      </c>
      <c r="B1093" s="2" t="s">
        <v>72</v>
      </c>
      <c r="C1093" s="2" t="s">
        <v>73</v>
      </c>
      <c r="D1093" s="2"/>
      <c r="E1093" s="2" t="str">
        <f>"FES1162568245"</f>
        <v>FES1162568245</v>
      </c>
      <c r="F1093" s="3">
        <v>42957</v>
      </c>
      <c r="G1093" s="2">
        <v>201802</v>
      </c>
      <c r="H1093" s="2" t="s">
        <v>74</v>
      </c>
      <c r="I1093" s="2" t="s">
        <v>75</v>
      </c>
      <c r="J1093" s="2" t="s">
        <v>76</v>
      </c>
      <c r="K1093" s="2" t="s">
        <v>77</v>
      </c>
      <c r="L1093" s="2" t="s">
        <v>321</v>
      </c>
      <c r="M1093" s="2" t="s">
        <v>322</v>
      </c>
      <c r="N1093" s="2" t="s">
        <v>323</v>
      </c>
      <c r="O1093" s="2" t="s">
        <v>100</v>
      </c>
      <c r="P1093" s="2" t="str">
        <f>"2170583219                    "</f>
        <v xml:space="preserve">2170583219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5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0.4</v>
      </c>
      <c r="BJ1093" s="2">
        <v>2.2999999999999998</v>
      </c>
      <c r="BK1093" s="2">
        <v>2.5</v>
      </c>
      <c r="BL1093" s="2">
        <v>51.8</v>
      </c>
      <c r="BM1093" s="2">
        <v>7.25</v>
      </c>
      <c r="BN1093" s="2">
        <v>59.05</v>
      </c>
      <c r="BO1093" s="2">
        <v>59.05</v>
      </c>
      <c r="BP1093" s="2">
        <v>1</v>
      </c>
      <c r="BQ1093" s="2" t="s">
        <v>83</v>
      </c>
      <c r="BR1093" s="2" t="s">
        <v>84</v>
      </c>
      <c r="BS1093" s="3">
        <v>42958</v>
      </c>
      <c r="BT1093" s="4">
        <v>0.38541666666666669</v>
      </c>
      <c r="BU1093" s="2" t="s">
        <v>1791</v>
      </c>
      <c r="BV1093" s="2" t="s">
        <v>95</v>
      </c>
      <c r="BW1093" s="2"/>
      <c r="BX1093" s="2"/>
      <c r="BY1093" s="2">
        <v>11623</v>
      </c>
      <c r="BZ1093" s="2"/>
      <c r="CA1093" s="2" t="s">
        <v>103</v>
      </c>
      <c r="CB1093" s="2"/>
      <c r="CC1093" s="2" t="s">
        <v>322</v>
      </c>
      <c r="CD1093" s="2">
        <v>6220</v>
      </c>
      <c r="CE1093" s="2" t="s">
        <v>104</v>
      </c>
      <c r="CF1093" s="5">
        <v>42961</v>
      </c>
      <c r="CG1093" s="2"/>
      <c r="CH1093" s="2"/>
      <c r="CI1093" s="2">
        <v>1</v>
      </c>
      <c r="CJ1093" s="2">
        <v>1</v>
      </c>
      <c r="CK1093" s="2">
        <v>21</v>
      </c>
      <c r="CL1093" s="2" t="s">
        <v>86</v>
      </c>
      <c r="CM1093" s="2"/>
    </row>
    <row r="1094" spans="1:91">
      <c r="A1094" s="2" t="s">
        <v>71</v>
      </c>
      <c r="B1094" s="2" t="s">
        <v>72</v>
      </c>
      <c r="C1094" s="2" t="s">
        <v>73</v>
      </c>
      <c r="D1094" s="2"/>
      <c r="E1094" s="2" t="str">
        <f>"FES1162568247"</f>
        <v>FES1162568247</v>
      </c>
      <c r="F1094" s="3">
        <v>42957</v>
      </c>
      <c r="G1094" s="2">
        <v>201802</v>
      </c>
      <c r="H1094" s="2" t="s">
        <v>74</v>
      </c>
      <c r="I1094" s="2" t="s">
        <v>75</v>
      </c>
      <c r="J1094" s="2" t="s">
        <v>76</v>
      </c>
      <c r="K1094" s="2" t="s">
        <v>77</v>
      </c>
      <c r="L1094" s="2" t="s">
        <v>149</v>
      </c>
      <c r="M1094" s="2" t="s">
        <v>150</v>
      </c>
      <c r="N1094" s="2" t="s">
        <v>463</v>
      </c>
      <c r="O1094" s="2" t="s">
        <v>100</v>
      </c>
      <c r="P1094" s="2" t="str">
        <f>"2170584391                    "</f>
        <v xml:space="preserve">2170584391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4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1.3</v>
      </c>
      <c r="BJ1094" s="2">
        <v>1.6</v>
      </c>
      <c r="BK1094" s="2">
        <v>2</v>
      </c>
      <c r="BL1094" s="2">
        <v>41.44</v>
      </c>
      <c r="BM1094" s="2">
        <v>5.8</v>
      </c>
      <c r="BN1094" s="2">
        <v>47.24</v>
      </c>
      <c r="BO1094" s="2">
        <v>47.24</v>
      </c>
      <c r="BP1094" s="2">
        <v>1</v>
      </c>
      <c r="BQ1094" s="2" t="s">
        <v>1820</v>
      </c>
      <c r="BR1094" s="2" t="s">
        <v>84</v>
      </c>
      <c r="BS1094" s="3">
        <v>42958</v>
      </c>
      <c r="BT1094" s="4">
        <v>0.43541666666666662</v>
      </c>
      <c r="BU1094" s="2" t="s">
        <v>768</v>
      </c>
      <c r="BV1094" s="2" t="s">
        <v>95</v>
      </c>
      <c r="BW1094" s="2"/>
      <c r="BX1094" s="2"/>
      <c r="BY1094" s="2">
        <v>7882.49</v>
      </c>
      <c r="BZ1094" s="2"/>
      <c r="CA1094" s="2" t="s">
        <v>347</v>
      </c>
      <c r="CB1094" s="2"/>
      <c r="CC1094" s="2" t="s">
        <v>150</v>
      </c>
      <c r="CD1094" s="2">
        <v>4001</v>
      </c>
      <c r="CE1094" s="2" t="s">
        <v>104</v>
      </c>
      <c r="CF1094" s="5">
        <v>42961</v>
      </c>
      <c r="CG1094" s="2"/>
      <c r="CH1094" s="2"/>
      <c r="CI1094" s="2">
        <v>1</v>
      </c>
      <c r="CJ1094" s="2">
        <v>1</v>
      </c>
      <c r="CK1094" s="2">
        <v>21</v>
      </c>
      <c r="CL1094" s="2" t="s">
        <v>86</v>
      </c>
      <c r="CM1094" s="2"/>
    </row>
    <row r="1095" spans="1:91">
      <c r="A1095" s="2" t="s">
        <v>71</v>
      </c>
      <c r="B1095" s="2" t="s">
        <v>72</v>
      </c>
      <c r="C1095" s="2" t="s">
        <v>73</v>
      </c>
      <c r="D1095" s="2"/>
      <c r="E1095" s="2" t="str">
        <f>"FES1162568227"</f>
        <v>FES1162568227</v>
      </c>
      <c r="F1095" s="3">
        <v>42957</v>
      </c>
      <c r="G1095" s="2">
        <v>201802</v>
      </c>
      <c r="H1095" s="2" t="s">
        <v>74</v>
      </c>
      <c r="I1095" s="2" t="s">
        <v>75</v>
      </c>
      <c r="J1095" s="2" t="s">
        <v>76</v>
      </c>
      <c r="K1095" s="2" t="s">
        <v>77</v>
      </c>
      <c r="L1095" s="2" t="s">
        <v>144</v>
      </c>
      <c r="M1095" s="2" t="s">
        <v>145</v>
      </c>
      <c r="N1095" s="2" t="s">
        <v>146</v>
      </c>
      <c r="O1095" s="2" t="s">
        <v>100</v>
      </c>
      <c r="P1095" s="2" t="str">
        <f>"2170584368                    "</f>
        <v xml:space="preserve">2170584368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3.13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1</v>
      </c>
      <c r="BJ1095" s="2">
        <v>0.2</v>
      </c>
      <c r="BK1095" s="2">
        <v>1</v>
      </c>
      <c r="BL1095" s="2">
        <v>32.380000000000003</v>
      </c>
      <c r="BM1095" s="2">
        <v>4.53</v>
      </c>
      <c r="BN1095" s="2">
        <v>36.909999999999997</v>
      </c>
      <c r="BO1095" s="2">
        <v>36.909999999999997</v>
      </c>
      <c r="BP1095" s="2">
        <v>1</v>
      </c>
      <c r="BQ1095" s="2" t="s">
        <v>83</v>
      </c>
      <c r="BR1095" s="2" t="s">
        <v>84</v>
      </c>
      <c r="BS1095" s="3">
        <v>42958</v>
      </c>
      <c r="BT1095" s="4">
        <v>0.4513888888888889</v>
      </c>
      <c r="BU1095" s="2" t="s">
        <v>1737</v>
      </c>
      <c r="BV1095" s="2" t="s">
        <v>95</v>
      </c>
      <c r="BW1095" s="2"/>
      <c r="BX1095" s="2"/>
      <c r="BY1095" s="2">
        <v>1200</v>
      </c>
      <c r="BZ1095" s="2"/>
      <c r="CA1095" s="2" t="s">
        <v>729</v>
      </c>
      <c r="CB1095" s="2"/>
      <c r="CC1095" s="2" t="s">
        <v>145</v>
      </c>
      <c r="CD1095" s="2">
        <v>2094</v>
      </c>
      <c r="CE1095" s="2" t="s">
        <v>104</v>
      </c>
      <c r="CF1095" s="5">
        <v>42961</v>
      </c>
      <c r="CG1095" s="2"/>
      <c r="CH1095" s="2"/>
      <c r="CI1095" s="2">
        <v>1</v>
      </c>
      <c r="CJ1095" s="2">
        <v>1</v>
      </c>
      <c r="CK1095" s="2">
        <v>22</v>
      </c>
      <c r="CL1095" s="2" t="s">
        <v>86</v>
      </c>
      <c r="CM1095" s="2"/>
    </row>
    <row r="1096" spans="1:91">
      <c r="A1096" s="2" t="s">
        <v>71</v>
      </c>
      <c r="B1096" s="2" t="s">
        <v>72</v>
      </c>
      <c r="C1096" s="2" t="s">
        <v>73</v>
      </c>
      <c r="D1096" s="2"/>
      <c r="E1096" s="2" t="str">
        <f>"FES1162568238"</f>
        <v>FES1162568238</v>
      </c>
      <c r="F1096" s="3">
        <v>42957</v>
      </c>
      <c r="G1096" s="2">
        <v>201802</v>
      </c>
      <c r="H1096" s="2" t="s">
        <v>74</v>
      </c>
      <c r="I1096" s="2" t="s">
        <v>75</v>
      </c>
      <c r="J1096" s="2" t="s">
        <v>76</v>
      </c>
      <c r="K1096" s="2" t="s">
        <v>77</v>
      </c>
      <c r="L1096" s="2" t="s">
        <v>174</v>
      </c>
      <c r="M1096" s="2" t="s">
        <v>175</v>
      </c>
      <c r="N1096" s="2" t="s">
        <v>1821</v>
      </c>
      <c r="O1096" s="2" t="s">
        <v>100</v>
      </c>
      <c r="P1096" s="2" t="str">
        <f>"2170584389                    "</f>
        <v xml:space="preserve">2170584389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4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1</v>
      </c>
      <c r="BI1096" s="2">
        <v>1</v>
      </c>
      <c r="BJ1096" s="2">
        <v>0.2</v>
      </c>
      <c r="BK1096" s="2">
        <v>1</v>
      </c>
      <c r="BL1096" s="2">
        <v>41.44</v>
      </c>
      <c r="BM1096" s="2">
        <v>5.8</v>
      </c>
      <c r="BN1096" s="2">
        <v>47.24</v>
      </c>
      <c r="BO1096" s="2">
        <v>47.24</v>
      </c>
      <c r="BP1096" s="2"/>
      <c r="BQ1096" s="2" t="s">
        <v>83</v>
      </c>
      <c r="BR1096" s="2" t="s">
        <v>84</v>
      </c>
      <c r="BS1096" s="3">
        <v>42961</v>
      </c>
      <c r="BT1096" s="4">
        <v>0.54166666666666663</v>
      </c>
      <c r="BU1096" s="2" t="s">
        <v>1822</v>
      </c>
      <c r="BV1096" s="2" t="s">
        <v>86</v>
      </c>
      <c r="BW1096" s="2" t="s">
        <v>336</v>
      </c>
      <c r="BX1096" s="2" t="s">
        <v>592</v>
      </c>
      <c r="BY1096" s="2">
        <v>1200</v>
      </c>
      <c r="BZ1096" s="2"/>
      <c r="CA1096" s="2"/>
      <c r="CB1096" s="2"/>
      <c r="CC1096" s="2" t="s">
        <v>175</v>
      </c>
      <c r="CD1096" s="2">
        <v>5210</v>
      </c>
      <c r="CE1096" s="2" t="s">
        <v>104</v>
      </c>
      <c r="CF1096" s="5">
        <v>42963</v>
      </c>
      <c r="CG1096" s="2"/>
      <c r="CH1096" s="2"/>
      <c r="CI1096" s="2">
        <v>1</v>
      </c>
      <c r="CJ1096" s="2">
        <v>2</v>
      </c>
      <c r="CK1096" s="2">
        <v>21</v>
      </c>
      <c r="CL1096" s="2" t="s">
        <v>86</v>
      </c>
      <c r="CM1096" s="2"/>
    </row>
    <row r="1097" spans="1:91">
      <c r="A1097" s="2" t="s">
        <v>71</v>
      </c>
      <c r="B1097" s="2" t="s">
        <v>72</v>
      </c>
      <c r="C1097" s="2" t="s">
        <v>73</v>
      </c>
      <c r="D1097" s="2"/>
      <c r="E1097" s="2" t="str">
        <f>"FES1162568228"</f>
        <v>FES1162568228</v>
      </c>
      <c r="F1097" s="3">
        <v>42957</v>
      </c>
      <c r="G1097" s="2">
        <v>201802</v>
      </c>
      <c r="H1097" s="2" t="s">
        <v>74</v>
      </c>
      <c r="I1097" s="2" t="s">
        <v>75</v>
      </c>
      <c r="J1097" s="2" t="s">
        <v>76</v>
      </c>
      <c r="K1097" s="2" t="s">
        <v>77</v>
      </c>
      <c r="L1097" s="2" t="s">
        <v>244</v>
      </c>
      <c r="M1097" s="2" t="s">
        <v>245</v>
      </c>
      <c r="N1097" s="2" t="s">
        <v>882</v>
      </c>
      <c r="O1097" s="2" t="s">
        <v>100</v>
      </c>
      <c r="P1097" s="2" t="str">
        <f>"2170584369                    "</f>
        <v xml:space="preserve">2170584369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3.13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1</v>
      </c>
      <c r="BJ1097" s="2">
        <v>0.2</v>
      </c>
      <c r="BK1097" s="2">
        <v>1</v>
      </c>
      <c r="BL1097" s="2">
        <v>32.380000000000003</v>
      </c>
      <c r="BM1097" s="2">
        <v>4.53</v>
      </c>
      <c r="BN1097" s="2">
        <v>36.909999999999997</v>
      </c>
      <c r="BO1097" s="2">
        <v>36.909999999999997</v>
      </c>
      <c r="BP1097" s="2">
        <v>1</v>
      </c>
      <c r="BQ1097" s="2" t="s">
        <v>108</v>
      </c>
      <c r="BR1097" s="2" t="s">
        <v>84</v>
      </c>
      <c r="BS1097" s="3">
        <v>42958</v>
      </c>
      <c r="BT1097" s="4">
        <v>0.32430555555555557</v>
      </c>
      <c r="BU1097" s="2" t="s">
        <v>883</v>
      </c>
      <c r="BV1097" s="2" t="s">
        <v>95</v>
      </c>
      <c r="BW1097" s="2"/>
      <c r="BX1097" s="2"/>
      <c r="BY1097" s="2">
        <v>1200</v>
      </c>
      <c r="BZ1097" s="2"/>
      <c r="CA1097" s="2" t="s">
        <v>733</v>
      </c>
      <c r="CB1097" s="2"/>
      <c r="CC1097" s="2" t="s">
        <v>245</v>
      </c>
      <c r="CD1097" s="2">
        <v>1459</v>
      </c>
      <c r="CE1097" s="2" t="s">
        <v>104</v>
      </c>
      <c r="CF1097" s="5">
        <v>42961</v>
      </c>
      <c r="CG1097" s="2"/>
      <c r="CH1097" s="2"/>
      <c r="CI1097" s="2">
        <v>1</v>
      </c>
      <c r="CJ1097" s="2">
        <v>1</v>
      </c>
      <c r="CK1097" s="2">
        <v>22</v>
      </c>
      <c r="CL1097" s="2" t="s">
        <v>86</v>
      </c>
      <c r="CM1097" s="2"/>
    </row>
    <row r="1098" spans="1:91">
      <c r="A1098" s="2" t="s">
        <v>71</v>
      </c>
      <c r="B1098" s="2" t="s">
        <v>72</v>
      </c>
      <c r="C1098" s="2" t="s">
        <v>73</v>
      </c>
      <c r="D1098" s="2"/>
      <c r="E1098" s="2" t="str">
        <f>"FES1162568219"</f>
        <v>FES1162568219</v>
      </c>
      <c r="F1098" s="3">
        <v>42957</v>
      </c>
      <c r="G1098" s="2">
        <v>201802</v>
      </c>
      <c r="H1098" s="2" t="s">
        <v>74</v>
      </c>
      <c r="I1098" s="2" t="s">
        <v>75</v>
      </c>
      <c r="J1098" s="2" t="s">
        <v>76</v>
      </c>
      <c r="K1098" s="2" t="s">
        <v>77</v>
      </c>
      <c r="L1098" s="2" t="s">
        <v>105</v>
      </c>
      <c r="M1098" s="2" t="s">
        <v>106</v>
      </c>
      <c r="N1098" s="2" t="s">
        <v>1823</v>
      </c>
      <c r="O1098" s="2" t="s">
        <v>100</v>
      </c>
      <c r="P1098" s="2" t="str">
        <f>"2170584353                    "</f>
        <v xml:space="preserve">2170584353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4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0.4</v>
      </c>
      <c r="BJ1098" s="2">
        <v>1.8</v>
      </c>
      <c r="BK1098" s="2">
        <v>2</v>
      </c>
      <c r="BL1098" s="2">
        <v>41.44</v>
      </c>
      <c r="BM1098" s="2">
        <v>5.8</v>
      </c>
      <c r="BN1098" s="2">
        <v>47.24</v>
      </c>
      <c r="BO1098" s="2">
        <v>47.24</v>
      </c>
      <c r="BP1098" s="2"/>
      <c r="BQ1098" s="2" t="s">
        <v>83</v>
      </c>
      <c r="BR1098" s="2" t="s">
        <v>84</v>
      </c>
      <c r="BS1098" s="3">
        <v>42958</v>
      </c>
      <c r="BT1098" s="4">
        <v>0.44861111111111113</v>
      </c>
      <c r="BU1098" s="2" t="s">
        <v>1824</v>
      </c>
      <c r="BV1098" s="2" t="s">
        <v>95</v>
      </c>
      <c r="BW1098" s="2"/>
      <c r="BX1098" s="2"/>
      <c r="BY1098" s="2">
        <v>9001.6299999999992</v>
      </c>
      <c r="BZ1098" s="2"/>
      <c r="CA1098" s="2" t="s">
        <v>1825</v>
      </c>
      <c r="CB1098" s="2"/>
      <c r="CC1098" s="2" t="s">
        <v>106</v>
      </c>
      <c r="CD1098" s="2">
        <v>7550</v>
      </c>
      <c r="CE1098" s="2" t="s">
        <v>104</v>
      </c>
      <c r="CF1098" s="5">
        <v>42961</v>
      </c>
      <c r="CG1098" s="2"/>
      <c r="CH1098" s="2"/>
      <c r="CI1098" s="2">
        <v>1</v>
      </c>
      <c r="CJ1098" s="2">
        <v>1</v>
      </c>
      <c r="CK1098" s="2">
        <v>21</v>
      </c>
      <c r="CL1098" s="2" t="s">
        <v>86</v>
      </c>
      <c r="CM1098" s="2"/>
    </row>
    <row r="1099" spans="1:91">
      <c r="A1099" s="2" t="s">
        <v>71</v>
      </c>
      <c r="B1099" s="2" t="s">
        <v>72</v>
      </c>
      <c r="C1099" s="2" t="s">
        <v>73</v>
      </c>
      <c r="D1099" s="2"/>
      <c r="E1099" s="2" t="str">
        <f>"FES1162568153"</f>
        <v>FES1162568153</v>
      </c>
      <c r="F1099" s="3">
        <v>42957</v>
      </c>
      <c r="G1099" s="2">
        <v>201802</v>
      </c>
      <c r="H1099" s="2" t="s">
        <v>74</v>
      </c>
      <c r="I1099" s="2" t="s">
        <v>75</v>
      </c>
      <c r="J1099" s="2" t="s">
        <v>76</v>
      </c>
      <c r="K1099" s="2" t="s">
        <v>77</v>
      </c>
      <c r="L1099" s="2" t="s">
        <v>231</v>
      </c>
      <c r="M1099" s="2" t="s">
        <v>232</v>
      </c>
      <c r="N1099" s="2" t="s">
        <v>233</v>
      </c>
      <c r="O1099" s="2" t="s">
        <v>100</v>
      </c>
      <c r="P1099" s="2" t="str">
        <f>"2170583897                    "</f>
        <v xml:space="preserve">2170583897  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4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1.2</v>
      </c>
      <c r="BJ1099" s="2">
        <v>1.9</v>
      </c>
      <c r="BK1099" s="2">
        <v>2</v>
      </c>
      <c r="BL1099" s="2">
        <v>41.44</v>
      </c>
      <c r="BM1099" s="2">
        <v>5.8</v>
      </c>
      <c r="BN1099" s="2">
        <v>47.24</v>
      </c>
      <c r="BO1099" s="2">
        <v>47.24</v>
      </c>
      <c r="BP1099" s="2"/>
      <c r="BQ1099" s="2" t="s">
        <v>83</v>
      </c>
      <c r="BR1099" s="2" t="s">
        <v>84</v>
      </c>
      <c r="BS1099" s="3">
        <v>42958</v>
      </c>
      <c r="BT1099" s="4">
        <v>0.37638888888888888</v>
      </c>
      <c r="BU1099" s="2" t="s">
        <v>234</v>
      </c>
      <c r="BV1099" s="2" t="s">
        <v>95</v>
      </c>
      <c r="BW1099" s="2"/>
      <c r="BX1099" s="2"/>
      <c r="BY1099" s="2">
        <v>9747.92</v>
      </c>
      <c r="BZ1099" s="2"/>
      <c r="CA1099" s="2" t="s">
        <v>235</v>
      </c>
      <c r="CB1099" s="2"/>
      <c r="CC1099" s="2" t="s">
        <v>232</v>
      </c>
      <c r="CD1099" s="2">
        <v>4026</v>
      </c>
      <c r="CE1099" s="2" t="s">
        <v>89</v>
      </c>
      <c r="CF1099" s="5">
        <v>42961</v>
      </c>
      <c r="CG1099" s="2"/>
      <c r="CH1099" s="2"/>
      <c r="CI1099" s="2">
        <v>1</v>
      </c>
      <c r="CJ1099" s="2">
        <v>1</v>
      </c>
      <c r="CK1099" s="2">
        <v>21</v>
      </c>
      <c r="CL1099" s="2" t="s">
        <v>86</v>
      </c>
      <c r="CM1099" s="2"/>
    </row>
    <row r="1100" spans="1:91">
      <c r="A1100" s="2" t="s">
        <v>71</v>
      </c>
      <c r="B1100" s="2" t="s">
        <v>72</v>
      </c>
      <c r="C1100" s="2" t="s">
        <v>73</v>
      </c>
      <c r="D1100" s="2"/>
      <c r="E1100" s="2" t="str">
        <f>"FES1162568234"</f>
        <v>FES1162568234</v>
      </c>
      <c r="F1100" s="3">
        <v>42957</v>
      </c>
      <c r="G1100" s="2">
        <v>201802</v>
      </c>
      <c r="H1100" s="2" t="s">
        <v>74</v>
      </c>
      <c r="I1100" s="2" t="s">
        <v>75</v>
      </c>
      <c r="J1100" s="2" t="s">
        <v>76</v>
      </c>
      <c r="K1100" s="2" t="s">
        <v>77</v>
      </c>
      <c r="L1100" s="2" t="s">
        <v>244</v>
      </c>
      <c r="M1100" s="2" t="s">
        <v>245</v>
      </c>
      <c r="N1100" s="2" t="s">
        <v>918</v>
      </c>
      <c r="O1100" s="2" t="s">
        <v>358</v>
      </c>
      <c r="P1100" s="2" t="str">
        <f>"2170579018                    "</f>
        <v xml:space="preserve">2170579018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4.88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12.7</v>
      </c>
      <c r="BJ1100" s="2">
        <v>5.0999999999999996</v>
      </c>
      <c r="BK1100" s="2">
        <v>13</v>
      </c>
      <c r="BL1100" s="2">
        <v>50.53</v>
      </c>
      <c r="BM1100" s="2">
        <v>7.07</v>
      </c>
      <c r="BN1100" s="2">
        <v>57.6</v>
      </c>
      <c r="BO1100" s="2">
        <v>57.6</v>
      </c>
      <c r="BP1100" s="2"/>
      <c r="BQ1100" s="2" t="s">
        <v>83</v>
      </c>
      <c r="BR1100" s="2" t="s">
        <v>84</v>
      </c>
      <c r="BS1100" s="3">
        <v>42958</v>
      </c>
      <c r="BT1100" s="4">
        <v>0.3888888888888889</v>
      </c>
      <c r="BU1100" s="2" t="s">
        <v>919</v>
      </c>
      <c r="BV1100" s="2" t="s">
        <v>95</v>
      </c>
      <c r="BW1100" s="2"/>
      <c r="BX1100" s="2"/>
      <c r="BY1100" s="2">
        <v>25338.639999999999</v>
      </c>
      <c r="BZ1100" s="2"/>
      <c r="CA1100" s="2" t="s">
        <v>499</v>
      </c>
      <c r="CB1100" s="2"/>
      <c r="CC1100" s="2" t="s">
        <v>245</v>
      </c>
      <c r="CD1100" s="2">
        <v>1459</v>
      </c>
      <c r="CE1100" s="2" t="s">
        <v>89</v>
      </c>
      <c r="CF1100" s="5">
        <v>42961</v>
      </c>
      <c r="CG1100" s="2"/>
      <c r="CH1100" s="2"/>
      <c r="CI1100" s="2">
        <v>1</v>
      </c>
      <c r="CJ1100" s="2">
        <v>1</v>
      </c>
      <c r="CK1100" s="2">
        <v>32</v>
      </c>
      <c r="CL1100" s="2" t="s">
        <v>86</v>
      </c>
      <c r="CM1100" s="2"/>
    </row>
    <row r="1101" spans="1:91">
      <c r="A1101" s="2" t="s">
        <v>71</v>
      </c>
      <c r="B1101" s="2" t="s">
        <v>72</v>
      </c>
      <c r="C1101" s="2" t="s">
        <v>73</v>
      </c>
      <c r="D1101" s="2"/>
      <c r="E1101" s="2" t="str">
        <f>"FES1162568193"</f>
        <v>FES1162568193</v>
      </c>
      <c r="F1101" s="3">
        <v>42957</v>
      </c>
      <c r="G1101" s="2">
        <v>201802</v>
      </c>
      <c r="H1101" s="2" t="s">
        <v>74</v>
      </c>
      <c r="I1101" s="2" t="s">
        <v>75</v>
      </c>
      <c r="J1101" s="2" t="s">
        <v>76</v>
      </c>
      <c r="K1101" s="2" t="s">
        <v>77</v>
      </c>
      <c r="L1101" s="2" t="s">
        <v>74</v>
      </c>
      <c r="M1101" s="2" t="s">
        <v>75</v>
      </c>
      <c r="N1101" s="2" t="s">
        <v>1826</v>
      </c>
      <c r="O1101" s="2" t="s">
        <v>100</v>
      </c>
      <c r="P1101" s="2" t="str">
        <f>"2170583747                    "</f>
        <v xml:space="preserve">2170583747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3.13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1.2</v>
      </c>
      <c r="BJ1101" s="2">
        <v>1.1000000000000001</v>
      </c>
      <c r="BK1101" s="2">
        <v>2</v>
      </c>
      <c r="BL1101" s="2">
        <v>32.380000000000003</v>
      </c>
      <c r="BM1101" s="2">
        <v>4.53</v>
      </c>
      <c r="BN1101" s="2">
        <v>36.909999999999997</v>
      </c>
      <c r="BO1101" s="2">
        <v>36.909999999999997</v>
      </c>
      <c r="BP1101" s="2">
        <v>1</v>
      </c>
      <c r="BQ1101" s="2" t="s">
        <v>209</v>
      </c>
      <c r="BR1101" s="2" t="s">
        <v>84</v>
      </c>
      <c r="BS1101" s="3">
        <v>42958</v>
      </c>
      <c r="BT1101" s="4">
        <v>0.3263888888888889</v>
      </c>
      <c r="BU1101" s="2" t="s">
        <v>1827</v>
      </c>
      <c r="BV1101" s="2" t="s">
        <v>95</v>
      </c>
      <c r="BW1101" s="2"/>
      <c r="BX1101" s="2"/>
      <c r="BY1101" s="2">
        <v>5575.57</v>
      </c>
      <c r="BZ1101" s="2"/>
      <c r="CA1101" s="2" t="s">
        <v>1441</v>
      </c>
      <c r="CB1101" s="2"/>
      <c r="CC1101" s="2" t="s">
        <v>75</v>
      </c>
      <c r="CD1101" s="2">
        <v>1609</v>
      </c>
      <c r="CE1101" s="2" t="s">
        <v>89</v>
      </c>
      <c r="CF1101" s="5">
        <v>42961</v>
      </c>
      <c r="CG1101" s="2"/>
      <c r="CH1101" s="2"/>
      <c r="CI1101" s="2">
        <v>1</v>
      </c>
      <c r="CJ1101" s="2">
        <v>1</v>
      </c>
      <c r="CK1101" s="2">
        <v>22</v>
      </c>
      <c r="CL1101" s="2" t="s">
        <v>86</v>
      </c>
      <c r="CM1101" s="2"/>
    </row>
    <row r="1102" spans="1:91">
      <c r="A1102" s="2" t="s">
        <v>71</v>
      </c>
      <c r="B1102" s="2" t="s">
        <v>72</v>
      </c>
      <c r="C1102" s="2" t="s">
        <v>73</v>
      </c>
      <c r="D1102" s="2"/>
      <c r="E1102" s="2" t="str">
        <f>"FES1162568110"</f>
        <v>FES1162568110</v>
      </c>
      <c r="F1102" s="3">
        <v>42957</v>
      </c>
      <c r="G1102" s="2">
        <v>201802</v>
      </c>
      <c r="H1102" s="2" t="s">
        <v>74</v>
      </c>
      <c r="I1102" s="2" t="s">
        <v>75</v>
      </c>
      <c r="J1102" s="2" t="s">
        <v>76</v>
      </c>
      <c r="K1102" s="2" t="s">
        <v>77</v>
      </c>
      <c r="L1102" s="2" t="s">
        <v>74</v>
      </c>
      <c r="M1102" s="2" t="s">
        <v>75</v>
      </c>
      <c r="N1102" s="2" t="s">
        <v>1707</v>
      </c>
      <c r="O1102" s="2" t="s">
        <v>358</v>
      </c>
      <c r="P1102" s="2" t="str">
        <f>"2170582805                    "</f>
        <v xml:space="preserve">2170582805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4.53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12</v>
      </c>
      <c r="BJ1102" s="2">
        <v>6.1</v>
      </c>
      <c r="BK1102" s="2">
        <v>12</v>
      </c>
      <c r="BL1102" s="2">
        <v>46.9</v>
      </c>
      <c r="BM1102" s="2">
        <v>6.57</v>
      </c>
      <c r="BN1102" s="2">
        <v>53.47</v>
      </c>
      <c r="BO1102" s="2">
        <v>53.47</v>
      </c>
      <c r="BP1102" s="2">
        <v>1</v>
      </c>
      <c r="BQ1102" s="2"/>
      <c r="BR1102" s="2" t="s">
        <v>84</v>
      </c>
      <c r="BS1102" s="3">
        <v>42958</v>
      </c>
      <c r="BT1102" s="4">
        <v>0.4284722222222222</v>
      </c>
      <c r="BU1102" s="2" t="s">
        <v>1708</v>
      </c>
      <c r="BV1102" s="2" t="s">
        <v>95</v>
      </c>
      <c r="BW1102" s="2"/>
      <c r="BX1102" s="2"/>
      <c r="BY1102" s="2">
        <v>30589</v>
      </c>
      <c r="BZ1102" s="2"/>
      <c r="CA1102" s="2" t="s">
        <v>194</v>
      </c>
      <c r="CB1102" s="2"/>
      <c r="CC1102" s="2" t="s">
        <v>75</v>
      </c>
      <c r="CD1102" s="2">
        <v>1666</v>
      </c>
      <c r="CE1102" s="2" t="s">
        <v>948</v>
      </c>
      <c r="CF1102" s="5">
        <v>42961</v>
      </c>
      <c r="CG1102" s="2"/>
      <c r="CH1102" s="2"/>
      <c r="CI1102" s="2">
        <v>1</v>
      </c>
      <c r="CJ1102" s="2">
        <v>1</v>
      </c>
      <c r="CK1102" s="2">
        <v>32</v>
      </c>
      <c r="CL1102" s="2" t="s">
        <v>86</v>
      </c>
      <c r="CM1102" s="2"/>
    </row>
    <row r="1103" spans="1:91">
      <c r="A1103" s="2" t="s">
        <v>71</v>
      </c>
      <c r="B1103" s="2" t="s">
        <v>72</v>
      </c>
      <c r="C1103" s="2" t="s">
        <v>73</v>
      </c>
      <c r="D1103" s="2"/>
      <c r="E1103" s="2" t="str">
        <f>"FES1162568237"</f>
        <v>FES1162568237</v>
      </c>
      <c r="F1103" s="3">
        <v>42957</v>
      </c>
      <c r="G1103" s="2">
        <v>201802</v>
      </c>
      <c r="H1103" s="2" t="s">
        <v>74</v>
      </c>
      <c r="I1103" s="2" t="s">
        <v>75</v>
      </c>
      <c r="J1103" s="2" t="s">
        <v>76</v>
      </c>
      <c r="K1103" s="2" t="s">
        <v>77</v>
      </c>
      <c r="L1103" s="2" t="s">
        <v>268</v>
      </c>
      <c r="M1103" s="2" t="s">
        <v>269</v>
      </c>
      <c r="N1103" s="2" t="s">
        <v>351</v>
      </c>
      <c r="O1103" s="2" t="s">
        <v>100</v>
      </c>
      <c r="P1103" s="2" t="str">
        <f>"2170580724                    "</f>
        <v xml:space="preserve">2170580724   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4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2</v>
      </c>
      <c r="BJ1103" s="2">
        <v>1.5</v>
      </c>
      <c r="BK1103" s="2">
        <v>2</v>
      </c>
      <c r="BL1103" s="2">
        <v>41.44</v>
      </c>
      <c r="BM1103" s="2">
        <v>5.8</v>
      </c>
      <c r="BN1103" s="2">
        <v>47.24</v>
      </c>
      <c r="BO1103" s="2">
        <v>47.24</v>
      </c>
      <c r="BP1103" s="2"/>
      <c r="BQ1103" s="2" t="s">
        <v>108</v>
      </c>
      <c r="BR1103" s="2" t="s">
        <v>84</v>
      </c>
      <c r="BS1103" s="3">
        <v>42958</v>
      </c>
      <c r="BT1103" s="4">
        <v>0.41944444444444445</v>
      </c>
      <c r="BU1103" s="2" t="s">
        <v>85</v>
      </c>
      <c r="BV1103" s="2" t="s">
        <v>95</v>
      </c>
      <c r="BW1103" s="2"/>
      <c r="BX1103" s="2"/>
      <c r="BY1103" s="2">
        <v>7540</v>
      </c>
      <c r="BZ1103" s="2"/>
      <c r="CA1103" s="2"/>
      <c r="CB1103" s="2"/>
      <c r="CC1103" s="2" t="s">
        <v>269</v>
      </c>
      <c r="CD1103" s="2">
        <v>200</v>
      </c>
      <c r="CE1103" s="2" t="s">
        <v>89</v>
      </c>
      <c r="CF1103" s="5">
        <v>42961</v>
      </c>
      <c r="CG1103" s="2"/>
      <c r="CH1103" s="2"/>
      <c r="CI1103" s="2">
        <v>1</v>
      </c>
      <c r="CJ1103" s="2">
        <v>1</v>
      </c>
      <c r="CK1103" s="2">
        <v>21</v>
      </c>
      <c r="CL1103" s="2" t="s">
        <v>86</v>
      </c>
      <c r="CM1103" s="2"/>
    </row>
    <row r="1104" spans="1:91">
      <c r="A1104" s="2" t="s">
        <v>71</v>
      </c>
      <c r="B1104" s="2" t="s">
        <v>72</v>
      </c>
      <c r="C1104" s="2" t="s">
        <v>73</v>
      </c>
      <c r="D1104" s="2"/>
      <c r="E1104" s="2" t="str">
        <f>"FES1162568243"</f>
        <v>FES1162568243</v>
      </c>
      <c r="F1104" s="3">
        <v>42957</v>
      </c>
      <c r="G1104" s="2">
        <v>201802</v>
      </c>
      <c r="H1104" s="2" t="s">
        <v>74</v>
      </c>
      <c r="I1104" s="2" t="s">
        <v>75</v>
      </c>
      <c r="J1104" s="2" t="s">
        <v>76</v>
      </c>
      <c r="K1104" s="2" t="s">
        <v>77</v>
      </c>
      <c r="L1104" s="2" t="s">
        <v>417</v>
      </c>
      <c r="M1104" s="2" t="s">
        <v>417</v>
      </c>
      <c r="N1104" s="2" t="s">
        <v>475</v>
      </c>
      <c r="O1104" s="2" t="s">
        <v>100</v>
      </c>
      <c r="P1104" s="2" t="str">
        <f>"2170583403                    "</f>
        <v xml:space="preserve">2170583403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14.01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2</v>
      </c>
      <c r="BI1104" s="2">
        <v>6.2</v>
      </c>
      <c r="BJ1104" s="2">
        <v>6.7</v>
      </c>
      <c r="BK1104" s="2">
        <v>7</v>
      </c>
      <c r="BL1104" s="2">
        <v>145.05000000000001</v>
      </c>
      <c r="BM1104" s="2">
        <v>20.309999999999999</v>
      </c>
      <c r="BN1104" s="2">
        <v>165.36</v>
      </c>
      <c r="BO1104" s="2">
        <v>165.36</v>
      </c>
      <c r="BP1104" s="2">
        <v>1</v>
      </c>
      <c r="BQ1104" s="2" t="s">
        <v>108</v>
      </c>
      <c r="BR1104" s="2" t="s">
        <v>84</v>
      </c>
      <c r="BS1104" s="3">
        <v>42958</v>
      </c>
      <c r="BT1104" s="4">
        <v>0.45763888888888887</v>
      </c>
      <c r="BU1104" s="2" t="s">
        <v>1078</v>
      </c>
      <c r="BV1104" s="2" t="s">
        <v>95</v>
      </c>
      <c r="BW1104" s="2"/>
      <c r="BX1104" s="2"/>
      <c r="BY1104" s="2">
        <v>33417.54</v>
      </c>
      <c r="BZ1104" s="2"/>
      <c r="CA1104" s="2" t="s">
        <v>420</v>
      </c>
      <c r="CB1104" s="2"/>
      <c r="CC1104" s="2" t="s">
        <v>417</v>
      </c>
      <c r="CD1104" s="2">
        <v>7646</v>
      </c>
      <c r="CE1104" s="2" t="s">
        <v>89</v>
      </c>
      <c r="CF1104" s="5">
        <v>42961</v>
      </c>
      <c r="CG1104" s="2"/>
      <c r="CH1104" s="2"/>
      <c r="CI1104" s="2">
        <v>1</v>
      </c>
      <c r="CJ1104" s="2">
        <v>1</v>
      </c>
      <c r="CK1104" s="2">
        <v>21</v>
      </c>
      <c r="CL1104" s="2" t="s">
        <v>86</v>
      </c>
      <c r="CM1104" s="2"/>
    </row>
    <row r="1105" spans="1:91">
      <c r="A1105" s="2" t="s">
        <v>71</v>
      </c>
      <c r="B1105" s="2" t="s">
        <v>72</v>
      </c>
      <c r="C1105" s="2" t="s">
        <v>73</v>
      </c>
      <c r="D1105" s="2"/>
      <c r="E1105" s="2" t="str">
        <f>"FES1162568239"</f>
        <v>FES1162568239</v>
      </c>
      <c r="F1105" s="3">
        <v>42957</v>
      </c>
      <c r="G1105" s="2">
        <v>201802</v>
      </c>
      <c r="H1105" s="2" t="s">
        <v>74</v>
      </c>
      <c r="I1105" s="2" t="s">
        <v>75</v>
      </c>
      <c r="J1105" s="2" t="s">
        <v>76</v>
      </c>
      <c r="K1105" s="2" t="s">
        <v>77</v>
      </c>
      <c r="L1105" s="2" t="s">
        <v>216</v>
      </c>
      <c r="M1105" s="2" t="s">
        <v>217</v>
      </c>
      <c r="N1105" s="2" t="s">
        <v>1748</v>
      </c>
      <c r="O1105" s="2" t="s">
        <v>100</v>
      </c>
      <c r="P1105" s="2" t="str">
        <f>"2170584382                    "</f>
        <v xml:space="preserve">2170584382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3.13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1</v>
      </c>
      <c r="BI1105" s="2">
        <v>1</v>
      </c>
      <c r="BJ1105" s="2">
        <v>0.2</v>
      </c>
      <c r="BK1105" s="2">
        <v>1</v>
      </c>
      <c r="BL1105" s="2">
        <v>32.380000000000003</v>
      </c>
      <c r="BM1105" s="2">
        <v>4.53</v>
      </c>
      <c r="BN1105" s="2">
        <v>36.909999999999997</v>
      </c>
      <c r="BO1105" s="2">
        <v>36.909999999999997</v>
      </c>
      <c r="BP1105" s="2">
        <v>1</v>
      </c>
      <c r="BQ1105" s="2" t="s">
        <v>1749</v>
      </c>
      <c r="BR1105" s="2" t="s">
        <v>84</v>
      </c>
      <c r="BS1105" s="3">
        <v>42961</v>
      </c>
      <c r="BT1105" s="4">
        <v>0.375</v>
      </c>
      <c r="BU1105" s="2" t="s">
        <v>1828</v>
      </c>
      <c r="BV1105" s="2" t="s">
        <v>86</v>
      </c>
      <c r="BW1105" s="2" t="s">
        <v>548</v>
      </c>
      <c r="BX1105" s="2" t="s">
        <v>1024</v>
      </c>
      <c r="BY1105" s="2">
        <v>1200</v>
      </c>
      <c r="BZ1105" s="2"/>
      <c r="CA1105" s="2" t="s">
        <v>550</v>
      </c>
      <c r="CB1105" s="2"/>
      <c r="CC1105" s="2" t="s">
        <v>217</v>
      </c>
      <c r="CD1105" s="2">
        <v>1451</v>
      </c>
      <c r="CE1105" s="2" t="s">
        <v>104</v>
      </c>
      <c r="CF1105" s="5">
        <v>42963</v>
      </c>
      <c r="CG1105" s="2"/>
      <c r="CH1105" s="2"/>
      <c r="CI1105" s="2">
        <v>1</v>
      </c>
      <c r="CJ1105" s="2">
        <v>2</v>
      </c>
      <c r="CK1105" s="2">
        <v>22</v>
      </c>
      <c r="CL1105" s="2" t="s">
        <v>86</v>
      </c>
      <c r="CM1105" s="2"/>
    </row>
    <row r="1106" spans="1:91">
      <c r="A1106" s="2" t="s">
        <v>71</v>
      </c>
      <c r="B1106" s="2" t="s">
        <v>72</v>
      </c>
      <c r="C1106" s="2" t="s">
        <v>73</v>
      </c>
      <c r="D1106" s="2"/>
      <c r="E1106" s="2" t="str">
        <f>"FES1162568150"</f>
        <v>FES1162568150</v>
      </c>
      <c r="F1106" s="3">
        <v>42957</v>
      </c>
      <c r="G1106" s="2">
        <v>201802</v>
      </c>
      <c r="H1106" s="2" t="s">
        <v>74</v>
      </c>
      <c r="I1106" s="2" t="s">
        <v>75</v>
      </c>
      <c r="J1106" s="2" t="s">
        <v>76</v>
      </c>
      <c r="K1106" s="2" t="s">
        <v>77</v>
      </c>
      <c r="L1106" s="2" t="s">
        <v>144</v>
      </c>
      <c r="M1106" s="2" t="s">
        <v>145</v>
      </c>
      <c r="N1106" s="2" t="s">
        <v>146</v>
      </c>
      <c r="O1106" s="2" t="s">
        <v>100</v>
      </c>
      <c r="P1106" s="2" t="str">
        <f>"2170583846                    "</f>
        <v xml:space="preserve">2170583846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3.13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1.1000000000000001</v>
      </c>
      <c r="BJ1106" s="2">
        <v>2.1</v>
      </c>
      <c r="BK1106" s="2">
        <v>3</v>
      </c>
      <c r="BL1106" s="2">
        <v>32.380000000000003</v>
      </c>
      <c r="BM1106" s="2">
        <v>4.53</v>
      </c>
      <c r="BN1106" s="2">
        <v>36.909999999999997</v>
      </c>
      <c r="BO1106" s="2">
        <v>36.909999999999997</v>
      </c>
      <c r="BP1106" s="2">
        <v>1</v>
      </c>
      <c r="BQ1106" s="2" t="s">
        <v>83</v>
      </c>
      <c r="BR1106" s="2" t="s">
        <v>84</v>
      </c>
      <c r="BS1106" s="3">
        <v>42958</v>
      </c>
      <c r="BT1106" s="4">
        <v>0.4513888888888889</v>
      </c>
      <c r="BU1106" s="2" t="s">
        <v>1632</v>
      </c>
      <c r="BV1106" s="2" t="s">
        <v>95</v>
      </c>
      <c r="BW1106" s="2"/>
      <c r="BX1106" s="2"/>
      <c r="BY1106" s="2">
        <v>10469.549999999999</v>
      </c>
      <c r="BZ1106" s="2"/>
      <c r="CA1106" s="2" t="s">
        <v>729</v>
      </c>
      <c r="CB1106" s="2"/>
      <c r="CC1106" s="2" t="s">
        <v>145</v>
      </c>
      <c r="CD1106" s="2">
        <v>2094</v>
      </c>
      <c r="CE1106" s="2" t="s">
        <v>104</v>
      </c>
      <c r="CF1106" s="5">
        <v>42961</v>
      </c>
      <c r="CG1106" s="2"/>
      <c r="CH1106" s="2"/>
      <c r="CI1106" s="2">
        <v>1</v>
      </c>
      <c r="CJ1106" s="2">
        <v>1</v>
      </c>
      <c r="CK1106" s="2">
        <v>22</v>
      </c>
      <c r="CL1106" s="2" t="s">
        <v>86</v>
      </c>
      <c r="CM1106" s="2"/>
    </row>
    <row r="1107" spans="1:91">
      <c r="A1107" s="2" t="s">
        <v>71</v>
      </c>
      <c r="B1107" s="2" t="s">
        <v>72</v>
      </c>
      <c r="C1107" s="2" t="s">
        <v>73</v>
      </c>
      <c r="D1107" s="2"/>
      <c r="E1107" s="2" t="str">
        <f>"FES1162568204"</f>
        <v>FES1162568204</v>
      </c>
      <c r="F1107" s="3">
        <v>42957</v>
      </c>
      <c r="G1107" s="2">
        <v>201802</v>
      </c>
      <c r="H1107" s="2" t="s">
        <v>74</v>
      </c>
      <c r="I1107" s="2" t="s">
        <v>75</v>
      </c>
      <c r="J1107" s="2" t="s">
        <v>76</v>
      </c>
      <c r="K1107" s="2" t="s">
        <v>77</v>
      </c>
      <c r="L1107" s="2" t="s">
        <v>170</v>
      </c>
      <c r="M1107" s="2" t="s">
        <v>171</v>
      </c>
      <c r="N1107" s="2" t="s">
        <v>1829</v>
      </c>
      <c r="O1107" s="2" t="s">
        <v>100</v>
      </c>
      <c r="P1107" s="2" t="str">
        <f>"2170578451                    "</f>
        <v xml:space="preserve">2170578451           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3.13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3.1</v>
      </c>
      <c r="BJ1107" s="2">
        <v>1.7</v>
      </c>
      <c r="BK1107" s="2">
        <v>4</v>
      </c>
      <c r="BL1107" s="2">
        <v>32.380000000000003</v>
      </c>
      <c r="BM1107" s="2">
        <v>4.53</v>
      </c>
      <c r="BN1107" s="2">
        <v>36.909999999999997</v>
      </c>
      <c r="BO1107" s="2">
        <v>36.909999999999997</v>
      </c>
      <c r="BP1107" s="2">
        <v>1</v>
      </c>
      <c r="BQ1107" s="2" t="s">
        <v>288</v>
      </c>
      <c r="BR1107" s="2" t="s">
        <v>84</v>
      </c>
      <c r="BS1107" s="3">
        <v>42958</v>
      </c>
      <c r="BT1107" s="4">
        <v>0.65138888888888891</v>
      </c>
      <c r="BU1107" s="2" t="s">
        <v>1830</v>
      </c>
      <c r="BV1107" s="2" t="s">
        <v>86</v>
      </c>
      <c r="BW1107" s="2" t="s">
        <v>110</v>
      </c>
      <c r="BX1107" s="2" t="s">
        <v>498</v>
      </c>
      <c r="BY1107" s="2">
        <v>8485.9500000000007</v>
      </c>
      <c r="BZ1107" s="2"/>
      <c r="CA1107" s="2" t="s">
        <v>492</v>
      </c>
      <c r="CB1107" s="2"/>
      <c r="CC1107" s="2" t="s">
        <v>171</v>
      </c>
      <c r="CD1107" s="2">
        <v>1428</v>
      </c>
      <c r="CE1107" s="2" t="s">
        <v>89</v>
      </c>
      <c r="CF1107" s="5">
        <v>42961</v>
      </c>
      <c r="CG1107" s="2"/>
      <c r="CH1107" s="2"/>
      <c r="CI1107" s="2">
        <v>1</v>
      </c>
      <c r="CJ1107" s="2">
        <v>1</v>
      </c>
      <c r="CK1107" s="2">
        <v>22</v>
      </c>
      <c r="CL1107" s="2" t="s">
        <v>86</v>
      </c>
      <c r="CM1107" s="2"/>
    </row>
    <row r="1108" spans="1:91">
      <c r="A1108" s="2" t="s">
        <v>71</v>
      </c>
      <c r="B1108" s="2" t="s">
        <v>72</v>
      </c>
      <c r="C1108" s="2" t="s">
        <v>73</v>
      </c>
      <c r="D1108" s="2"/>
      <c r="E1108" s="2" t="str">
        <f>"FES1162568185"</f>
        <v>FES1162568185</v>
      </c>
      <c r="F1108" s="3">
        <v>42957</v>
      </c>
      <c r="G1108" s="2">
        <v>201802</v>
      </c>
      <c r="H1108" s="2" t="s">
        <v>74</v>
      </c>
      <c r="I1108" s="2" t="s">
        <v>75</v>
      </c>
      <c r="J1108" s="2" t="s">
        <v>76</v>
      </c>
      <c r="K1108" s="2" t="s">
        <v>77</v>
      </c>
      <c r="L1108" s="2" t="s">
        <v>144</v>
      </c>
      <c r="M1108" s="2" t="s">
        <v>145</v>
      </c>
      <c r="N1108" s="2" t="s">
        <v>146</v>
      </c>
      <c r="O1108" s="2" t="s">
        <v>100</v>
      </c>
      <c r="P1108" s="2" t="str">
        <f>"2170583791                    "</f>
        <v xml:space="preserve">2170583791 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3.13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4.9000000000000004</v>
      </c>
      <c r="BJ1108" s="2">
        <v>1.5</v>
      </c>
      <c r="BK1108" s="2">
        <v>5</v>
      </c>
      <c r="BL1108" s="2">
        <v>32.380000000000003</v>
      </c>
      <c r="BM1108" s="2">
        <v>4.53</v>
      </c>
      <c r="BN1108" s="2">
        <v>36.909999999999997</v>
      </c>
      <c r="BO1108" s="2">
        <v>36.909999999999997</v>
      </c>
      <c r="BP1108" s="2"/>
      <c r="BQ1108" s="2" t="s">
        <v>83</v>
      </c>
      <c r="BR1108" s="2" t="s">
        <v>84</v>
      </c>
      <c r="BS1108" s="3">
        <v>42958</v>
      </c>
      <c r="BT1108" s="4">
        <v>0.4513888888888889</v>
      </c>
      <c r="BU1108" s="2" t="s">
        <v>1632</v>
      </c>
      <c r="BV1108" s="2" t="s">
        <v>95</v>
      </c>
      <c r="BW1108" s="2"/>
      <c r="BX1108" s="2"/>
      <c r="BY1108" s="2">
        <v>7360.39</v>
      </c>
      <c r="BZ1108" s="2"/>
      <c r="CA1108" s="2" t="s">
        <v>729</v>
      </c>
      <c r="CB1108" s="2"/>
      <c r="CC1108" s="2" t="s">
        <v>145</v>
      </c>
      <c r="CD1108" s="2">
        <v>2094</v>
      </c>
      <c r="CE1108" s="2" t="s">
        <v>135</v>
      </c>
      <c r="CF1108" s="5">
        <v>42961</v>
      </c>
      <c r="CG1108" s="2"/>
      <c r="CH1108" s="2"/>
      <c r="CI1108" s="2">
        <v>1</v>
      </c>
      <c r="CJ1108" s="2">
        <v>1</v>
      </c>
      <c r="CK1108" s="2">
        <v>22</v>
      </c>
      <c r="CL1108" s="2" t="s">
        <v>86</v>
      </c>
      <c r="CM1108" s="2"/>
    </row>
    <row r="1109" spans="1:91">
      <c r="A1109" s="2" t="s">
        <v>71</v>
      </c>
      <c r="B1109" s="2" t="s">
        <v>72</v>
      </c>
      <c r="C1109" s="2" t="s">
        <v>73</v>
      </c>
      <c r="D1109" s="2"/>
      <c r="E1109" s="2" t="str">
        <f>"FES1162568209"</f>
        <v>FES1162568209</v>
      </c>
      <c r="F1109" s="3">
        <v>42957</v>
      </c>
      <c r="G1109" s="2">
        <v>201802</v>
      </c>
      <c r="H1109" s="2" t="s">
        <v>74</v>
      </c>
      <c r="I1109" s="2" t="s">
        <v>75</v>
      </c>
      <c r="J1109" s="2" t="s">
        <v>76</v>
      </c>
      <c r="K1109" s="2" t="s">
        <v>77</v>
      </c>
      <c r="L1109" s="2" t="s">
        <v>221</v>
      </c>
      <c r="M1109" s="2" t="s">
        <v>222</v>
      </c>
      <c r="N1109" s="2" t="s">
        <v>1275</v>
      </c>
      <c r="O1109" s="2" t="s">
        <v>100</v>
      </c>
      <c r="P1109" s="2" t="str">
        <f>"2170584342                    "</f>
        <v xml:space="preserve">2170584342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4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1</v>
      </c>
      <c r="BJ1109" s="2">
        <v>0.2</v>
      </c>
      <c r="BK1109" s="2">
        <v>1</v>
      </c>
      <c r="BL1109" s="2">
        <v>41.44</v>
      </c>
      <c r="BM1109" s="2">
        <v>5.8</v>
      </c>
      <c r="BN1109" s="2">
        <v>47.24</v>
      </c>
      <c r="BO1109" s="2">
        <v>47.24</v>
      </c>
      <c r="BP1109" s="2">
        <v>1</v>
      </c>
      <c r="BQ1109" s="2" t="s">
        <v>1534</v>
      </c>
      <c r="BR1109" s="2" t="s">
        <v>84</v>
      </c>
      <c r="BS1109" s="3">
        <v>42958</v>
      </c>
      <c r="BT1109" s="4">
        <v>0.40625</v>
      </c>
      <c r="BU1109" s="2" t="s">
        <v>1767</v>
      </c>
      <c r="BV1109" s="2" t="s">
        <v>95</v>
      </c>
      <c r="BW1109" s="2"/>
      <c r="BX1109" s="2"/>
      <c r="BY1109" s="2">
        <v>1200</v>
      </c>
      <c r="BZ1109" s="2"/>
      <c r="CA1109" s="2" t="s">
        <v>1536</v>
      </c>
      <c r="CB1109" s="2"/>
      <c r="CC1109" s="2" t="s">
        <v>222</v>
      </c>
      <c r="CD1109" s="2">
        <v>4300</v>
      </c>
      <c r="CE1109" s="2" t="s">
        <v>104</v>
      </c>
      <c r="CF1109" s="5">
        <v>42961</v>
      </c>
      <c r="CG1109" s="2"/>
      <c r="CH1109" s="2"/>
      <c r="CI1109" s="2">
        <v>1</v>
      </c>
      <c r="CJ1109" s="2">
        <v>1</v>
      </c>
      <c r="CK1109" s="2">
        <v>21</v>
      </c>
      <c r="CL1109" s="2" t="s">
        <v>86</v>
      </c>
      <c r="CM1109" s="2"/>
    </row>
    <row r="1110" spans="1:91">
      <c r="A1110" s="2" t="s">
        <v>71</v>
      </c>
      <c r="B1110" s="2" t="s">
        <v>72</v>
      </c>
      <c r="C1110" s="2" t="s">
        <v>73</v>
      </c>
      <c r="D1110" s="2"/>
      <c r="E1110" s="2" t="str">
        <f>"FES1162568212"</f>
        <v>FES1162568212</v>
      </c>
      <c r="F1110" s="3">
        <v>42957</v>
      </c>
      <c r="G1110" s="2">
        <v>201802</v>
      </c>
      <c r="H1110" s="2" t="s">
        <v>74</v>
      </c>
      <c r="I1110" s="2" t="s">
        <v>75</v>
      </c>
      <c r="J1110" s="2" t="s">
        <v>76</v>
      </c>
      <c r="K1110" s="2" t="s">
        <v>77</v>
      </c>
      <c r="L1110" s="2" t="s">
        <v>710</v>
      </c>
      <c r="M1110" s="2" t="s">
        <v>711</v>
      </c>
      <c r="N1110" s="2" t="s">
        <v>712</v>
      </c>
      <c r="O1110" s="2" t="s">
        <v>100</v>
      </c>
      <c r="P1110" s="2" t="str">
        <f>"2170584345                    "</f>
        <v xml:space="preserve">2170584345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11.26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1</v>
      </c>
      <c r="BI1110" s="2">
        <v>3</v>
      </c>
      <c r="BJ1110" s="2">
        <v>1.1000000000000001</v>
      </c>
      <c r="BK1110" s="2">
        <v>3</v>
      </c>
      <c r="BL1110" s="2">
        <v>116.56</v>
      </c>
      <c r="BM1110" s="2">
        <v>16.32</v>
      </c>
      <c r="BN1110" s="2">
        <v>132.88</v>
      </c>
      <c r="BO1110" s="2">
        <v>132.88</v>
      </c>
      <c r="BP1110" s="2"/>
      <c r="BQ1110" s="2" t="s">
        <v>83</v>
      </c>
      <c r="BR1110" s="2" t="s">
        <v>84</v>
      </c>
      <c r="BS1110" s="3">
        <v>42958</v>
      </c>
      <c r="BT1110" s="4">
        <v>0.44791666666666669</v>
      </c>
      <c r="BU1110" s="2" t="s">
        <v>392</v>
      </c>
      <c r="BV1110" s="2" t="s">
        <v>95</v>
      </c>
      <c r="BW1110" s="2"/>
      <c r="BX1110" s="2"/>
      <c r="BY1110" s="2">
        <v>5320</v>
      </c>
      <c r="BZ1110" s="2"/>
      <c r="CA1110" s="2"/>
      <c r="CB1110" s="2"/>
      <c r="CC1110" s="2" t="s">
        <v>711</v>
      </c>
      <c r="CD1110" s="2">
        <v>4339</v>
      </c>
      <c r="CE1110" s="2" t="s">
        <v>89</v>
      </c>
      <c r="CF1110" s="5">
        <v>42961</v>
      </c>
      <c r="CG1110" s="2"/>
      <c r="CH1110" s="2"/>
      <c r="CI1110" s="2">
        <v>1</v>
      </c>
      <c r="CJ1110" s="2">
        <v>1</v>
      </c>
      <c r="CK1110" s="2">
        <v>23</v>
      </c>
      <c r="CL1110" s="2" t="s">
        <v>86</v>
      </c>
      <c r="CM1110" s="2"/>
    </row>
    <row r="1111" spans="1:91">
      <c r="A1111" s="2" t="s">
        <v>71</v>
      </c>
      <c r="B1111" s="2" t="s">
        <v>72</v>
      </c>
      <c r="C1111" s="2" t="s">
        <v>73</v>
      </c>
      <c r="D1111" s="2"/>
      <c r="E1111" s="2" t="str">
        <f>"FES1162568191"</f>
        <v>FES1162568191</v>
      </c>
      <c r="F1111" s="3">
        <v>42957</v>
      </c>
      <c r="G1111" s="2">
        <v>201802</v>
      </c>
      <c r="H1111" s="2" t="s">
        <v>74</v>
      </c>
      <c r="I1111" s="2" t="s">
        <v>75</v>
      </c>
      <c r="J1111" s="2" t="s">
        <v>76</v>
      </c>
      <c r="K1111" s="2" t="s">
        <v>77</v>
      </c>
      <c r="L1111" s="2" t="s">
        <v>149</v>
      </c>
      <c r="M1111" s="2" t="s">
        <v>150</v>
      </c>
      <c r="N1111" s="2" t="s">
        <v>1268</v>
      </c>
      <c r="O1111" s="2" t="s">
        <v>100</v>
      </c>
      <c r="P1111" s="2" t="str">
        <f>"2170584318                    "</f>
        <v xml:space="preserve">2170584318                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18.010000000000002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1</v>
      </c>
      <c r="BI1111" s="2">
        <v>9</v>
      </c>
      <c r="BJ1111" s="2">
        <v>4.0999999999999996</v>
      </c>
      <c r="BK1111" s="2">
        <v>9</v>
      </c>
      <c r="BL1111" s="2">
        <v>186.49</v>
      </c>
      <c r="BM1111" s="2">
        <v>26.11</v>
      </c>
      <c r="BN1111" s="2">
        <v>212.6</v>
      </c>
      <c r="BO1111" s="2">
        <v>212.6</v>
      </c>
      <c r="BP1111" s="2"/>
      <c r="BQ1111" s="2" t="s">
        <v>83</v>
      </c>
      <c r="BR1111" s="2" t="s">
        <v>84</v>
      </c>
      <c r="BS1111" s="3">
        <v>42958</v>
      </c>
      <c r="BT1111" s="4">
        <v>0.4375</v>
      </c>
      <c r="BU1111" s="2" t="s">
        <v>1817</v>
      </c>
      <c r="BV1111" s="2" t="s">
        <v>95</v>
      </c>
      <c r="BW1111" s="2"/>
      <c r="BX1111" s="2"/>
      <c r="BY1111" s="2">
        <v>20358</v>
      </c>
      <c r="BZ1111" s="2"/>
      <c r="CA1111" s="2" t="s">
        <v>682</v>
      </c>
      <c r="CB1111" s="2"/>
      <c r="CC1111" s="2" t="s">
        <v>150</v>
      </c>
      <c r="CD1111" s="2">
        <v>4001</v>
      </c>
      <c r="CE1111" s="2" t="s">
        <v>89</v>
      </c>
      <c r="CF1111" s="5">
        <v>42961</v>
      </c>
      <c r="CG1111" s="2"/>
      <c r="CH1111" s="2"/>
      <c r="CI1111" s="2">
        <v>1</v>
      </c>
      <c r="CJ1111" s="2">
        <v>1</v>
      </c>
      <c r="CK1111" s="2">
        <v>21</v>
      </c>
      <c r="CL1111" s="2" t="s">
        <v>86</v>
      </c>
      <c r="CM1111" s="2"/>
    </row>
    <row r="1112" spans="1:91">
      <c r="A1112" s="2" t="s">
        <v>71</v>
      </c>
      <c r="B1112" s="2" t="s">
        <v>72</v>
      </c>
      <c r="C1112" s="2" t="s">
        <v>73</v>
      </c>
      <c r="D1112" s="2"/>
      <c r="E1112" s="2" t="str">
        <f>"009935791629"</f>
        <v>009935791629</v>
      </c>
      <c r="F1112" s="3">
        <v>42957</v>
      </c>
      <c r="G1112" s="2">
        <v>201802</v>
      </c>
      <c r="H1112" s="2" t="s">
        <v>74</v>
      </c>
      <c r="I1112" s="2" t="s">
        <v>75</v>
      </c>
      <c r="J1112" s="2" t="s">
        <v>76</v>
      </c>
      <c r="K1112" s="2" t="s">
        <v>77</v>
      </c>
      <c r="L1112" s="2" t="s">
        <v>105</v>
      </c>
      <c r="M1112" s="2" t="s">
        <v>106</v>
      </c>
      <c r="N1112" s="2" t="s">
        <v>534</v>
      </c>
      <c r="O1112" s="2" t="s">
        <v>100</v>
      </c>
      <c r="P1112" s="2" t="str">
        <f>"EMMANUEL                      "</f>
        <v xml:space="preserve">EMMANUEL           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4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1</v>
      </c>
      <c r="BI1112" s="2">
        <v>1</v>
      </c>
      <c r="BJ1112" s="2">
        <v>0.2</v>
      </c>
      <c r="BK1112" s="2">
        <v>1</v>
      </c>
      <c r="BL1112" s="2">
        <v>41.44</v>
      </c>
      <c r="BM1112" s="2">
        <v>5.8</v>
      </c>
      <c r="BN1112" s="2">
        <v>47.24</v>
      </c>
      <c r="BO1112" s="2">
        <v>47.24</v>
      </c>
      <c r="BP1112" s="2"/>
      <c r="BQ1112" s="2" t="s">
        <v>1831</v>
      </c>
      <c r="BR1112" s="2" t="s">
        <v>84</v>
      </c>
      <c r="BS1112" s="3">
        <v>42958</v>
      </c>
      <c r="BT1112" s="4">
        <v>0.38958333333333334</v>
      </c>
      <c r="BU1112" s="2" t="s">
        <v>1832</v>
      </c>
      <c r="BV1112" s="2" t="s">
        <v>95</v>
      </c>
      <c r="BW1112" s="2"/>
      <c r="BX1112" s="2"/>
      <c r="BY1112" s="2">
        <v>1200</v>
      </c>
      <c r="BZ1112" s="2"/>
      <c r="CA1112" s="2" t="s">
        <v>112</v>
      </c>
      <c r="CB1112" s="2"/>
      <c r="CC1112" s="2" t="s">
        <v>106</v>
      </c>
      <c r="CD1112" s="2">
        <v>7405</v>
      </c>
      <c r="CE1112" s="2" t="s">
        <v>104</v>
      </c>
      <c r="CF1112" s="5">
        <v>42961</v>
      </c>
      <c r="CG1112" s="2"/>
      <c r="CH1112" s="2"/>
      <c r="CI1112" s="2">
        <v>1</v>
      </c>
      <c r="CJ1112" s="2">
        <v>1</v>
      </c>
      <c r="CK1112" s="2">
        <v>21</v>
      </c>
      <c r="CL1112" s="2" t="s">
        <v>86</v>
      </c>
      <c r="CM1112" s="2"/>
    </row>
    <row r="1113" spans="1:91">
      <c r="A1113" s="2" t="s">
        <v>71</v>
      </c>
      <c r="B1113" s="2" t="s">
        <v>72</v>
      </c>
      <c r="C1113" s="2" t="s">
        <v>73</v>
      </c>
      <c r="D1113" s="2"/>
      <c r="E1113" s="2" t="str">
        <f>"009935791630"</f>
        <v>009935791630</v>
      </c>
      <c r="F1113" s="3">
        <v>42957</v>
      </c>
      <c r="G1113" s="2">
        <v>201802</v>
      </c>
      <c r="H1113" s="2" t="s">
        <v>74</v>
      </c>
      <c r="I1113" s="2" t="s">
        <v>75</v>
      </c>
      <c r="J1113" s="2" t="s">
        <v>76</v>
      </c>
      <c r="K1113" s="2" t="s">
        <v>77</v>
      </c>
      <c r="L1113" s="2" t="s">
        <v>362</v>
      </c>
      <c r="M1113" s="2" t="s">
        <v>363</v>
      </c>
      <c r="N1113" s="2" t="s">
        <v>1833</v>
      </c>
      <c r="O1113" s="2" t="s">
        <v>100</v>
      </c>
      <c r="P1113" s="2" t="str">
        <f>"MADITSENG                     "</f>
        <v xml:space="preserve">MADITSENG            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4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1</v>
      </c>
      <c r="BJ1113" s="2">
        <v>0.2</v>
      </c>
      <c r="BK1113" s="2">
        <v>1</v>
      </c>
      <c r="BL1113" s="2">
        <v>41.44</v>
      </c>
      <c r="BM1113" s="2">
        <v>5.8</v>
      </c>
      <c r="BN1113" s="2">
        <v>47.24</v>
      </c>
      <c r="BO1113" s="2">
        <v>47.24</v>
      </c>
      <c r="BP1113" s="2"/>
      <c r="BQ1113" s="2" t="s">
        <v>1834</v>
      </c>
      <c r="BR1113" s="2" t="s">
        <v>84</v>
      </c>
      <c r="BS1113" s="3">
        <v>42965</v>
      </c>
      <c r="BT1113" s="4">
        <v>0.57708333333333328</v>
      </c>
      <c r="BU1113" s="2" t="s">
        <v>1835</v>
      </c>
      <c r="BV1113" s="2" t="s">
        <v>86</v>
      </c>
      <c r="BW1113" s="2" t="s">
        <v>1036</v>
      </c>
      <c r="BX1113" s="2" t="s">
        <v>549</v>
      </c>
      <c r="BY1113" s="2">
        <v>1200</v>
      </c>
      <c r="BZ1113" s="2"/>
      <c r="CA1113" s="2"/>
      <c r="CB1113" s="2"/>
      <c r="CC1113" s="2" t="s">
        <v>363</v>
      </c>
      <c r="CD1113" s="2">
        <v>3201</v>
      </c>
      <c r="CE1113" s="2" t="s">
        <v>104</v>
      </c>
      <c r="CF1113" s="5">
        <v>42969</v>
      </c>
      <c r="CG1113" s="2"/>
      <c r="CH1113" s="2"/>
      <c r="CI1113" s="2">
        <v>1</v>
      </c>
      <c r="CJ1113" s="2">
        <v>6</v>
      </c>
      <c r="CK1113" s="2">
        <v>21</v>
      </c>
      <c r="CL1113" s="2" t="s">
        <v>86</v>
      </c>
      <c r="CM1113" s="2"/>
    </row>
    <row r="1114" spans="1:91">
      <c r="A1114" s="2" t="s">
        <v>71</v>
      </c>
      <c r="B1114" s="2" t="s">
        <v>72</v>
      </c>
      <c r="C1114" s="2" t="s">
        <v>73</v>
      </c>
      <c r="D1114" s="2"/>
      <c r="E1114" s="2" t="str">
        <f>"009935791631"</f>
        <v>009935791631</v>
      </c>
      <c r="F1114" s="3">
        <v>42957</v>
      </c>
      <c r="G1114" s="2">
        <v>201802</v>
      </c>
      <c r="H1114" s="2" t="s">
        <v>74</v>
      </c>
      <c r="I1114" s="2" t="s">
        <v>75</v>
      </c>
      <c r="J1114" s="2" t="s">
        <v>76</v>
      </c>
      <c r="K1114" s="2" t="s">
        <v>77</v>
      </c>
      <c r="L1114" s="2" t="s">
        <v>149</v>
      </c>
      <c r="M1114" s="2" t="s">
        <v>150</v>
      </c>
      <c r="N1114" s="2" t="s">
        <v>1356</v>
      </c>
      <c r="O1114" s="2" t="s">
        <v>100</v>
      </c>
      <c r="P1114" s="2" t="str">
        <f>"MADITSENG                     "</f>
        <v xml:space="preserve">MADITSENG 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4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1</v>
      </c>
      <c r="BJ1114" s="2">
        <v>0.2</v>
      </c>
      <c r="BK1114" s="2">
        <v>1</v>
      </c>
      <c r="BL1114" s="2">
        <v>41.44</v>
      </c>
      <c r="BM1114" s="2">
        <v>5.8</v>
      </c>
      <c r="BN1114" s="2">
        <v>47.24</v>
      </c>
      <c r="BO1114" s="2">
        <v>47.24</v>
      </c>
      <c r="BP1114" s="2"/>
      <c r="BQ1114" s="2" t="s">
        <v>1836</v>
      </c>
      <c r="BR1114" s="2" t="s">
        <v>84</v>
      </c>
      <c r="BS1114" s="3">
        <v>42958</v>
      </c>
      <c r="BT1114" s="4">
        <v>0.4152777777777778</v>
      </c>
      <c r="BU1114" s="2" t="s">
        <v>704</v>
      </c>
      <c r="BV1114" s="2" t="s">
        <v>95</v>
      </c>
      <c r="BW1114" s="2"/>
      <c r="BX1114" s="2"/>
      <c r="BY1114" s="2">
        <v>1200</v>
      </c>
      <c r="BZ1114" s="2"/>
      <c r="CA1114" s="2" t="s">
        <v>1536</v>
      </c>
      <c r="CB1114" s="2"/>
      <c r="CC1114" s="2" t="s">
        <v>150</v>
      </c>
      <c r="CD1114" s="2">
        <v>4051</v>
      </c>
      <c r="CE1114" s="2" t="s">
        <v>104</v>
      </c>
      <c r="CF1114" s="5">
        <v>42961</v>
      </c>
      <c r="CG1114" s="2"/>
      <c r="CH1114" s="2"/>
      <c r="CI1114" s="2">
        <v>1</v>
      </c>
      <c r="CJ1114" s="2">
        <v>1</v>
      </c>
      <c r="CK1114" s="2">
        <v>21</v>
      </c>
      <c r="CL1114" s="2" t="s">
        <v>86</v>
      </c>
      <c r="CM1114" s="2"/>
    </row>
    <row r="1115" spans="1:91">
      <c r="A1115" s="2" t="s">
        <v>71</v>
      </c>
      <c r="B1115" s="2" t="s">
        <v>72</v>
      </c>
      <c r="C1115" s="2" t="s">
        <v>73</v>
      </c>
      <c r="D1115" s="2"/>
      <c r="E1115" s="2" t="str">
        <f>"FES1162568188"</f>
        <v>FES1162568188</v>
      </c>
      <c r="F1115" s="3">
        <v>42957</v>
      </c>
      <c r="G1115" s="2">
        <v>201802</v>
      </c>
      <c r="H1115" s="2" t="s">
        <v>74</v>
      </c>
      <c r="I1115" s="2" t="s">
        <v>75</v>
      </c>
      <c r="J1115" s="2" t="s">
        <v>76</v>
      </c>
      <c r="K1115" s="2" t="s">
        <v>77</v>
      </c>
      <c r="L1115" s="2" t="s">
        <v>417</v>
      </c>
      <c r="M1115" s="2" t="s">
        <v>417</v>
      </c>
      <c r="N1115" s="2" t="s">
        <v>1309</v>
      </c>
      <c r="O1115" s="2" t="s">
        <v>100</v>
      </c>
      <c r="P1115" s="2" t="str">
        <f>"2170584100                    "</f>
        <v xml:space="preserve">2170584100 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8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3.9</v>
      </c>
      <c r="BJ1115" s="2">
        <v>1.3</v>
      </c>
      <c r="BK1115" s="2">
        <v>4</v>
      </c>
      <c r="BL1115" s="2">
        <v>82.88</v>
      </c>
      <c r="BM1115" s="2">
        <v>11.6</v>
      </c>
      <c r="BN1115" s="2">
        <v>94.48</v>
      </c>
      <c r="BO1115" s="2">
        <v>94.48</v>
      </c>
      <c r="BP1115" s="2"/>
      <c r="BQ1115" s="2" t="s">
        <v>83</v>
      </c>
      <c r="BR1115" s="2" t="s">
        <v>84</v>
      </c>
      <c r="BS1115" s="3">
        <v>42958</v>
      </c>
      <c r="BT1115" s="4">
        <v>0.45277777777777778</v>
      </c>
      <c r="BU1115" s="2" t="s">
        <v>1837</v>
      </c>
      <c r="BV1115" s="2" t="s">
        <v>95</v>
      </c>
      <c r="BW1115" s="2"/>
      <c r="BX1115" s="2"/>
      <c r="BY1115" s="2">
        <v>6531.31</v>
      </c>
      <c r="BZ1115" s="2"/>
      <c r="CA1115" s="2" t="s">
        <v>420</v>
      </c>
      <c r="CB1115" s="2"/>
      <c r="CC1115" s="2" t="s">
        <v>417</v>
      </c>
      <c r="CD1115" s="2">
        <v>7646</v>
      </c>
      <c r="CE1115" s="2" t="s">
        <v>135</v>
      </c>
      <c r="CF1115" s="5">
        <v>42961</v>
      </c>
      <c r="CG1115" s="2"/>
      <c r="CH1115" s="2"/>
      <c r="CI1115" s="2">
        <v>1</v>
      </c>
      <c r="CJ1115" s="2">
        <v>1</v>
      </c>
      <c r="CK1115" s="2">
        <v>21</v>
      </c>
      <c r="CL1115" s="2" t="s">
        <v>86</v>
      </c>
      <c r="CM1115" s="2"/>
    </row>
    <row r="1116" spans="1:91">
      <c r="A1116" s="2" t="s">
        <v>71</v>
      </c>
      <c r="B1116" s="2" t="s">
        <v>72</v>
      </c>
      <c r="C1116" s="2" t="s">
        <v>73</v>
      </c>
      <c r="D1116" s="2"/>
      <c r="E1116" s="2" t="str">
        <f>"FES1162568139"</f>
        <v>FES1162568139</v>
      </c>
      <c r="F1116" s="3">
        <v>42957</v>
      </c>
      <c r="G1116" s="2">
        <v>201802</v>
      </c>
      <c r="H1116" s="2" t="s">
        <v>74</v>
      </c>
      <c r="I1116" s="2" t="s">
        <v>75</v>
      </c>
      <c r="J1116" s="2" t="s">
        <v>76</v>
      </c>
      <c r="K1116" s="2" t="s">
        <v>77</v>
      </c>
      <c r="L1116" s="2" t="s">
        <v>144</v>
      </c>
      <c r="M1116" s="2" t="s">
        <v>145</v>
      </c>
      <c r="N1116" s="2" t="s">
        <v>146</v>
      </c>
      <c r="O1116" s="2" t="s">
        <v>100</v>
      </c>
      <c r="P1116" s="2" t="str">
        <f>"2170584249                    "</f>
        <v xml:space="preserve">2170584249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3.13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1</v>
      </c>
      <c r="BJ1116" s="2">
        <v>0.2</v>
      </c>
      <c r="BK1116" s="2">
        <v>1</v>
      </c>
      <c r="BL1116" s="2">
        <v>32.380000000000003</v>
      </c>
      <c r="BM1116" s="2">
        <v>4.53</v>
      </c>
      <c r="BN1116" s="2">
        <v>36.909999999999997</v>
      </c>
      <c r="BO1116" s="2">
        <v>36.909999999999997</v>
      </c>
      <c r="BP1116" s="2">
        <v>1</v>
      </c>
      <c r="BQ1116" s="2" t="s">
        <v>83</v>
      </c>
      <c r="BR1116" s="2" t="s">
        <v>84</v>
      </c>
      <c r="BS1116" s="3">
        <v>42958</v>
      </c>
      <c r="BT1116" s="4">
        <v>0.4513888888888889</v>
      </c>
      <c r="BU1116" s="2" t="s">
        <v>1632</v>
      </c>
      <c r="BV1116" s="2" t="s">
        <v>95</v>
      </c>
      <c r="BW1116" s="2"/>
      <c r="BX1116" s="2"/>
      <c r="BY1116" s="2">
        <v>1200</v>
      </c>
      <c r="BZ1116" s="2"/>
      <c r="CA1116" s="2" t="s">
        <v>729</v>
      </c>
      <c r="CB1116" s="2"/>
      <c r="CC1116" s="2" t="s">
        <v>145</v>
      </c>
      <c r="CD1116" s="2">
        <v>2094</v>
      </c>
      <c r="CE1116" s="2" t="s">
        <v>104</v>
      </c>
      <c r="CF1116" s="5">
        <v>42961</v>
      </c>
      <c r="CG1116" s="2"/>
      <c r="CH1116" s="2"/>
      <c r="CI1116" s="2">
        <v>1</v>
      </c>
      <c r="CJ1116" s="2">
        <v>1</v>
      </c>
      <c r="CK1116" s="2">
        <v>22</v>
      </c>
      <c r="CL1116" s="2" t="s">
        <v>86</v>
      </c>
      <c r="CM1116" s="2"/>
    </row>
    <row r="1117" spans="1:91">
      <c r="A1117" s="2" t="s">
        <v>71</v>
      </c>
      <c r="B1117" s="2" t="s">
        <v>72</v>
      </c>
      <c r="C1117" s="2" t="s">
        <v>73</v>
      </c>
      <c r="D1117" s="2"/>
      <c r="E1117" s="2" t="str">
        <f>"FES1162568140"</f>
        <v>FES1162568140</v>
      </c>
      <c r="F1117" s="3">
        <v>42957</v>
      </c>
      <c r="G1117" s="2">
        <v>201802</v>
      </c>
      <c r="H1117" s="2" t="s">
        <v>74</v>
      </c>
      <c r="I1117" s="2" t="s">
        <v>75</v>
      </c>
      <c r="J1117" s="2" t="s">
        <v>76</v>
      </c>
      <c r="K1117" s="2" t="s">
        <v>77</v>
      </c>
      <c r="L1117" s="2" t="s">
        <v>144</v>
      </c>
      <c r="M1117" s="2" t="s">
        <v>145</v>
      </c>
      <c r="N1117" s="2" t="s">
        <v>1583</v>
      </c>
      <c r="O1117" s="2" t="s">
        <v>100</v>
      </c>
      <c r="P1117" s="2" t="str">
        <f>"2170584250                    "</f>
        <v xml:space="preserve">2170584250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3.13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1</v>
      </c>
      <c r="BI1117" s="2">
        <v>1</v>
      </c>
      <c r="BJ1117" s="2">
        <v>0.2</v>
      </c>
      <c r="BK1117" s="2">
        <v>1</v>
      </c>
      <c r="BL1117" s="2">
        <v>32.380000000000003</v>
      </c>
      <c r="BM1117" s="2">
        <v>4.53</v>
      </c>
      <c r="BN1117" s="2">
        <v>36.909999999999997</v>
      </c>
      <c r="BO1117" s="2">
        <v>36.909999999999997</v>
      </c>
      <c r="BP1117" s="2">
        <v>1</v>
      </c>
      <c r="BQ1117" s="2" t="s">
        <v>1584</v>
      </c>
      <c r="BR1117" s="2" t="s">
        <v>84</v>
      </c>
      <c r="BS1117" s="3">
        <v>42958</v>
      </c>
      <c r="BT1117" s="4">
        <v>0.32916666666666666</v>
      </c>
      <c r="BU1117" s="2" t="s">
        <v>1838</v>
      </c>
      <c r="BV1117" s="2" t="s">
        <v>95</v>
      </c>
      <c r="BW1117" s="2"/>
      <c r="BX1117" s="2"/>
      <c r="BY1117" s="2">
        <v>1200</v>
      </c>
      <c r="BZ1117" s="2"/>
      <c r="CA1117" s="2" t="s">
        <v>1839</v>
      </c>
      <c r="CB1117" s="2"/>
      <c r="CC1117" s="2" t="s">
        <v>145</v>
      </c>
      <c r="CD1117" s="2">
        <v>2196</v>
      </c>
      <c r="CE1117" s="2" t="s">
        <v>104</v>
      </c>
      <c r="CF1117" s="5">
        <v>42961</v>
      </c>
      <c r="CG1117" s="2"/>
      <c r="CH1117" s="2"/>
      <c r="CI1117" s="2">
        <v>1</v>
      </c>
      <c r="CJ1117" s="2">
        <v>1</v>
      </c>
      <c r="CK1117" s="2">
        <v>22</v>
      </c>
      <c r="CL1117" s="2" t="s">
        <v>86</v>
      </c>
      <c r="CM1117" s="2"/>
    </row>
    <row r="1118" spans="1:91">
      <c r="A1118" s="2" t="s">
        <v>71</v>
      </c>
      <c r="B1118" s="2" t="s">
        <v>72</v>
      </c>
      <c r="C1118" s="2" t="s">
        <v>73</v>
      </c>
      <c r="D1118" s="2"/>
      <c r="E1118" s="2" t="str">
        <f>"FES1162568174"</f>
        <v>FES1162568174</v>
      </c>
      <c r="F1118" s="3">
        <v>42957</v>
      </c>
      <c r="G1118" s="2">
        <v>201802</v>
      </c>
      <c r="H1118" s="2" t="s">
        <v>74</v>
      </c>
      <c r="I1118" s="2" t="s">
        <v>75</v>
      </c>
      <c r="J1118" s="2" t="s">
        <v>76</v>
      </c>
      <c r="K1118" s="2" t="s">
        <v>77</v>
      </c>
      <c r="L1118" s="2" t="s">
        <v>944</v>
      </c>
      <c r="M1118" s="2" t="s">
        <v>944</v>
      </c>
      <c r="N1118" s="2" t="s">
        <v>1840</v>
      </c>
      <c r="O1118" s="2" t="s">
        <v>100</v>
      </c>
      <c r="P1118" s="2" t="str">
        <f>"2170583405                    "</f>
        <v xml:space="preserve">2170583405 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5.63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1</v>
      </c>
      <c r="BI1118" s="2">
        <v>1</v>
      </c>
      <c r="BJ1118" s="2">
        <v>0.2</v>
      </c>
      <c r="BK1118" s="2">
        <v>1</v>
      </c>
      <c r="BL1118" s="2">
        <v>58.28</v>
      </c>
      <c r="BM1118" s="2">
        <v>8.16</v>
      </c>
      <c r="BN1118" s="2">
        <v>66.44</v>
      </c>
      <c r="BO1118" s="2">
        <v>66.44</v>
      </c>
      <c r="BP1118" s="2">
        <v>1</v>
      </c>
      <c r="BQ1118" s="2" t="s">
        <v>1841</v>
      </c>
      <c r="BR1118" s="2" t="s">
        <v>84</v>
      </c>
      <c r="BS1118" s="3">
        <v>42958</v>
      </c>
      <c r="BT1118" s="4">
        <v>0.41666666666666669</v>
      </c>
      <c r="BU1118" s="2" t="s">
        <v>1842</v>
      </c>
      <c r="BV1118" s="2" t="s">
        <v>95</v>
      </c>
      <c r="BW1118" s="2"/>
      <c r="BX1118" s="2"/>
      <c r="BY1118" s="2">
        <v>1200</v>
      </c>
      <c r="BZ1118" s="2"/>
      <c r="CA1118" s="2"/>
      <c r="CB1118" s="2"/>
      <c r="CC1118" s="2" t="s">
        <v>944</v>
      </c>
      <c r="CD1118" s="2">
        <v>1491</v>
      </c>
      <c r="CE1118" s="2" t="s">
        <v>104</v>
      </c>
      <c r="CF1118" s="5">
        <v>42961</v>
      </c>
      <c r="CG1118" s="2"/>
      <c r="CH1118" s="2"/>
      <c r="CI1118" s="2">
        <v>1</v>
      </c>
      <c r="CJ1118" s="2">
        <v>1</v>
      </c>
      <c r="CK1118" s="2">
        <v>24</v>
      </c>
      <c r="CL1118" s="2" t="s">
        <v>86</v>
      </c>
      <c r="CM1118" s="2"/>
    </row>
    <row r="1119" spans="1:91">
      <c r="A1119" s="2" t="s">
        <v>71</v>
      </c>
      <c r="B1119" s="2" t="s">
        <v>72</v>
      </c>
      <c r="C1119" s="2" t="s">
        <v>73</v>
      </c>
      <c r="D1119" s="2"/>
      <c r="E1119" s="2" t="str">
        <f>"FES1162568160"</f>
        <v>FES1162568160</v>
      </c>
      <c r="F1119" s="3">
        <v>42957</v>
      </c>
      <c r="G1119" s="2">
        <v>201802</v>
      </c>
      <c r="H1119" s="2" t="s">
        <v>74</v>
      </c>
      <c r="I1119" s="2" t="s">
        <v>75</v>
      </c>
      <c r="J1119" s="2" t="s">
        <v>76</v>
      </c>
      <c r="K1119" s="2" t="s">
        <v>77</v>
      </c>
      <c r="L1119" s="2" t="s">
        <v>74</v>
      </c>
      <c r="M1119" s="2" t="s">
        <v>75</v>
      </c>
      <c r="N1119" s="2" t="s">
        <v>1843</v>
      </c>
      <c r="O1119" s="2" t="s">
        <v>100</v>
      </c>
      <c r="P1119" s="2" t="str">
        <f>"2170584266                    "</f>
        <v xml:space="preserve">2170584266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3.13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1</v>
      </c>
      <c r="BJ1119" s="2">
        <v>0.2</v>
      </c>
      <c r="BK1119" s="2">
        <v>1</v>
      </c>
      <c r="BL1119" s="2">
        <v>32.380000000000003</v>
      </c>
      <c r="BM1119" s="2">
        <v>4.53</v>
      </c>
      <c r="BN1119" s="2">
        <v>36.909999999999997</v>
      </c>
      <c r="BO1119" s="2">
        <v>36.909999999999997</v>
      </c>
      <c r="BP1119" s="2">
        <v>1</v>
      </c>
      <c r="BQ1119" s="2" t="s">
        <v>108</v>
      </c>
      <c r="BR1119" s="2" t="s">
        <v>84</v>
      </c>
      <c r="BS1119" s="3">
        <v>42958</v>
      </c>
      <c r="BT1119" s="4">
        <v>0.32777777777777778</v>
      </c>
      <c r="BU1119" s="2" t="s">
        <v>1793</v>
      </c>
      <c r="BV1119" s="2" t="s">
        <v>95</v>
      </c>
      <c r="BW1119" s="2"/>
      <c r="BX1119" s="2"/>
      <c r="BY1119" s="2">
        <v>1200</v>
      </c>
      <c r="BZ1119" s="2"/>
      <c r="CA1119" s="2" t="s">
        <v>148</v>
      </c>
      <c r="CB1119" s="2"/>
      <c r="CC1119" s="2" t="s">
        <v>75</v>
      </c>
      <c r="CD1119" s="2">
        <v>1600</v>
      </c>
      <c r="CE1119" s="2" t="s">
        <v>104</v>
      </c>
      <c r="CF1119" s="5">
        <v>42961</v>
      </c>
      <c r="CG1119" s="2"/>
      <c r="CH1119" s="2"/>
      <c r="CI1119" s="2">
        <v>1</v>
      </c>
      <c r="CJ1119" s="2">
        <v>1</v>
      </c>
      <c r="CK1119" s="2">
        <v>22</v>
      </c>
      <c r="CL1119" s="2" t="s">
        <v>86</v>
      </c>
      <c r="CM1119" s="2"/>
    </row>
    <row r="1120" spans="1:91">
      <c r="A1120" s="2" t="s">
        <v>71</v>
      </c>
      <c r="B1120" s="2" t="s">
        <v>72</v>
      </c>
      <c r="C1120" s="2" t="s">
        <v>73</v>
      </c>
      <c r="D1120" s="2"/>
      <c r="E1120" s="2" t="str">
        <f>"FES1162568127"</f>
        <v>FES1162568127</v>
      </c>
      <c r="F1120" s="3">
        <v>42957</v>
      </c>
      <c r="G1120" s="2">
        <v>201802</v>
      </c>
      <c r="H1120" s="2" t="s">
        <v>74</v>
      </c>
      <c r="I1120" s="2" t="s">
        <v>75</v>
      </c>
      <c r="J1120" s="2" t="s">
        <v>76</v>
      </c>
      <c r="K1120" s="2" t="s">
        <v>77</v>
      </c>
      <c r="L1120" s="2" t="s">
        <v>237</v>
      </c>
      <c r="M1120" s="2" t="s">
        <v>238</v>
      </c>
      <c r="N1120" s="2" t="s">
        <v>695</v>
      </c>
      <c r="O1120" s="2" t="s">
        <v>100</v>
      </c>
      <c r="P1120" s="2" t="str">
        <f>"2170584227                    "</f>
        <v xml:space="preserve">2170584227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4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1</v>
      </c>
      <c r="BJ1120" s="2">
        <v>0.2</v>
      </c>
      <c r="BK1120" s="2">
        <v>1</v>
      </c>
      <c r="BL1120" s="2">
        <v>41.44</v>
      </c>
      <c r="BM1120" s="2">
        <v>5.8</v>
      </c>
      <c r="BN1120" s="2">
        <v>47.24</v>
      </c>
      <c r="BO1120" s="2">
        <v>47.24</v>
      </c>
      <c r="BP1120" s="2">
        <v>1</v>
      </c>
      <c r="BQ1120" s="2" t="s">
        <v>209</v>
      </c>
      <c r="BR1120" s="2" t="s">
        <v>84</v>
      </c>
      <c r="BS1120" s="3">
        <v>42958</v>
      </c>
      <c r="BT1120" s="4">
        <v>0.35416666666666669</v>
      </c>
      <c r="BU1120" s="2" t="s">
        <v>109</v>
      </c>
      <c r="BV1120" s="2" t="s">
        <v>95</v>
      </c>
      <c r="BW1120" s="2"/>
      <c r="BX1120" s="2"/>
      <c r="BY1120" s="2">
        <v>1200</v>
      </c>
      <c r="BZ1120" s="2"/>
      <c r="CA1120" s="2" t="s">
        <v>389</v>
      </c>
      <c r="CB1120" s="2"/>
      <c r="CC1120" s="2" t="s">
        <v>238</v>
      </c>
      <c r="CD1120" s="2">
        <v>3600</v>
      </c>
      <c r="CE1120" s="2" t="s">
        <v>104</v>
      </c>
      <c r="CF1120" s="5">
        <v>42961</v>
      </c>
      <c r="CG1120" s="2"/>
      <c r="CH1120" s="2"/>
      <c r="CI1120" s="2">
        <v>1</v>
      </c>
      <c r="CJ1120" s="2">
        <v>1</v>
      </c>
      <c r="CK1120" s="2">
        <v>21</v>
      </c>
      <c r="CL1120" s="2" t="s">
        <v>86</v>
      </c>
      <c r="CM1120" s="2"/>
    </row>
    <row r="1121" spans="1:91">
      <c r="A1121" s="2" t="s">
        <v>71</v>
      </c>
      <c r="B1121" s="2" t="s">
        <v>72</v>
      </c>
      <c r="C1121" s="2" t="s">
        <v>73</v>
      </c>
      <c r="D1121" s="2"/>
      <c r="E1121" s="2" t="str">
        <f>"FES1162568155"</f>
        <v>FES1162568155</v>
      </c>
      <c r="F1121" s="3">
        <v>42957</v>
      </c>
      <c r="G1121" s="2">
        <v>201802</v>
      </c>
      <c r="H1121" s="2" t="s">
        <v>74</v>
      </c>
      <c r="I1121" s="2" t="s">
        <v>75</v>
      </c>
      <c r="J1121" s="2" t="s">
        <v>76</v>
      </c>
      <c r="K1121" s="2" t="s">
        <v>77</v>
      </c>
      <c r="L1121" s="2" t="s">
        <v>74</v>
      </c>
      <c r="M1121" s="2" t="s">
        <v>75</v>
      </c>
      <c r="N1121" s="2" t="s">
        <v>1844</v>
      </c>
      <c r="O1121" s="2" t="s">
        <v>100</v>
      </c>
      <c r="P1121" s="2" t="str">
        <f>"2170584258                    "</f>
        <v xml:space="preserve">2170584258 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3.13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1</v>
      </c>
      <c r="BJ1121" s="2">
        <v>0.2</v>
      </c>
      <c r="BK1121" s="2">
        <v>1</v>
      </c>
      <c r="BL1121" s="2">
        <v>32.380000000000003</v>
      </c>
      <c r="BM1121" s="2">
        <v>4.53</v>
      </c>
      <c r="BN1121" s="2">
        <v>36.909999999999997</v>
      </c>
      <c r="BO1121" s="2">
        <v>36.909999999999997</v>
      </c>
      <c r="BP1121" s="2">
        <v>1</v>
      </c>
      <c r="BQ1121" s="2" t="s">
        <v>1845</v>
      </c>
      <c r="BR1121" s="2" t="s">
        <v>84</v>
      </c>
      <c r="BS1121" s="3">
        <v>42958</v>
      </c>
      <c r="BT1121" s="4">
        <v>0.36458333333333331</v>
      </c>
      <c r="BU1121" s="2" t="s">
        <v>330</v>
      </c>
      <c r="BV1121" s="2" t="s">
        <v>95</v>
      </c>
      <c r="BW1121" s="2"/>
      <c r="BX1121" s="2"/>
      <c r="BY1121" s="2">
        <v>1200</v>
      </c>
      <c r="BZ1121" s="2"/>
      <c r="CA1121" s="2" t="s">
        <v>570</v>
      </c>
      <c r="CB1121" s="2"/>
      <c r="CC1121" s="2" t="s">
        <v>75</v>
      </c>
      <c r="CD1121" s="2">
        <v>1682</v>
      </c>
      <c r="CE1121" s="2" t="s">
        <v>104</v>
      </c>
      <c r="CF1121" s="5">
        <v>42961</v>
      </c>
      <c r="CG1121" s="2"/>
      <c r="CH1121" s="2"/>
      <c r="CI1121" s="2">
        <v>1</v>
      </c>
      <c r="CJ1121" s="2">
        <v>1</v>
      </c>
      <c r="CK1121" s="2">
        <v>22</v>
      </c>
      <c r="CL1121" s="2" t="s">
        <v>86</v>
      </c>
      <c r="CM1121" s="2"/>
    </row>
    <row r="1122" spans="1:91">
      <c r="A1122" s="2" t="s">
        <v>71</v>
      </c>
      <c r="B1122" s="2" t="s">
        <v>72</v>
      </c>
      <c r="C1122" s="2" t="s">
        <v>73</v>
      </c>
      <c r="D1122" s="2"/>
      <c r="E1122" s="2" t="str">
        <f>"FES1162568189"</f>
        <v>FES1162568189</v>
      </c>
      <c r="F1122" s="3">
        <v>42957</v>
      </c>
      <c r="G1122" s="2">
        <v>201802</v>
      </c>
      <c r="H1122" s="2" t="s">
        <v>74</v>
      </c>
      <c r="I1122" s="2" t="s">
        <v>75</v>
      </c>
      <c r="J1122" s="2" t="s">
        <v>76</v>
      </c>
      <c r="K1122" s="2" t="s">
        <v>77</v>
      </c>
      <c r="L1122" s="2" t="s">
        <v>170</v>
      </c>
      <c r="M1122" s="2" t="s">
        <v>171</v>
      </c>
      <c r="N1122" s="2" t="s">
        <v>1846</v>
      </c>
      <c r="O1122" s="2" t="s">
        <v>358</v>
      </c>
      <c r="P1122" s="2" t="str">
        <f>"2170584314                    "</f>
        <v xml:space="preserve">2170584314  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3.83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7.6</v>
      </c>
      <c r="BJ1122" s="2">
        <v>9.9</v>
      </c>
      <c r="BK1122" s="2">
        <v>10</v>
      </c>
      <c r="BL1122" s="2">
        <v>39.64</v>
      </c>
      <c r="BM1122" s="2">
        <v>5.55</v>
      </c>
      <c r="BN1122" s="2">
        <v>45.19</v>
      </c>
      <c r="BO1122" s="2">
        <v>45.19</v>
      </c>
      <c r="BP1122" s="2"/>
      <c r="BQ1122" s="2" t="s">
        <v>108</v>
      </c>
      <c r="BR1122" s="2" t="s">
        <v>84</v>
      </c>
      <c r="BS1122" s="3">
        <v>42958</v>
      </c>
      <c r="BT1122" s="4">
        <v>0.30555555555555552</v>
      </c>
      <c r="BU1122" s="2" t="s">
        <v>1847</v>
      </c>
      <c r="BV1122" s="2" t="s">
        <v>95</v>
      </c>
      <c r="BW1122" s="2"/>
      <c r="BX1122" s="2"/>
      <c r="BY1122" s="2">
        <v>49670.71</v>
      </c>
      <c r="BZ1122" s="2"/>
      <c r="CA1122" s="2" t="s">
        <v>1718</v>
      </c>
      <c r="CB1122" s="2"/>
      <c r="CC1122" s="2" t="s">
        <v>171</v>
      </c>
      <c r="CD1122" s="2">
        <v>1401</v>
      </c>
      <c r="CE1122" s="2" t="s">
        <v>89</v>
      </c>
      <c r="CF1122" s="5">
        <v>42961</v>
      </c>
      <c r="CG1122" s="2"/>
      <c r="CH1122" s="2"/>
      <c r="CI1122" s="2">
        <v>1</v>
      </c>
      <c r="CJ1122" s="2">
        <v>1</v>
      </c>
      <c r="CK1122" s="2">
        <v>32</v>
      </c>
      <c r="CL1122" s="2" t="s">
        <v>86</v>
      </c>
      <c r="CM1122" s="2"/>
    </row>
    <row r="1123" spans="1:91">
      <c r="A1123" s="2" t="s">
        <v>71</v>
      </c>
      <c r="B1123" s="2" t="s">
        <v>72</v>
      </c>
      <c r="C1123" s="2" t="s">
        <v>73</v>
      </c>
      <c r="D1123" s="2"/>
      <c r="E1123" s="2" t="str">
        <f>"FES1162568144"</f>
        <v>FES1162568144</v>
      </c>
      <c r="F1123" s="3">
        <v>42957</v>
      </c>
      <c r="G1123" s="2">
        <v>201802</v>
      </c>
      <c r="H1123" s="2" t="s">
        <v>74</v>
      </c>
      <c r="I1123" s="2" t="s">
        <v>75</v>
      </c>
      <c r="J1123" s="2" t="s">
        <v>76</v>
      </c>
      <c r="K1123" s="2" t="s">
        <v>77</v>
      </c>
      <c r="L1123" s="2" t="s">
        <v>362</v>
      </c>
      <c r="M1123" s="2" t="s">
        <v>363</v>
      </c>
      <c r="N1123" s="2" t="s">
        <v>546</v>
      </c>
      <c r="O1123" s="2" t="s">
        <v>100</v>
      </c>
      <c r="P1123" s="2" t="str">
        <f>"2170584255                    "</f>
        <v xml:space="preserve">2170584255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4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1</v>
      </c>
      <c r="BJ1123" s="2">
        <v>0.2</v>
      </c>
      <c r="BK1123" s="2">
        <v>1</v>
      </c>
      <c r="BL1123" s="2">
        <v>41.44</v>
      </c>
      <c r="BM1123" s="2">
        <v>5.8</v>
      </c>
      <c r="BN1123" s="2">
        <v>47.24</v>
      </c>
      <c r="BO1123" s="2">
        <v>47.24</v>
      </c>
      <c r="BP1123" s="2">
        <v>1</v>
      </c>
      <c r="BQ1123" s="2" t="s">
        <v>209</v>
      </c>
      <c r="BR1123" s="2" t="s">
        <v>84</v>
      </c>
      <c r="BS1123" s="3">
        <v>42958</v>
      </c>
      <c r="BT1123" s="4">
        <v>0.41666666666666669</v>
      </c>
      <c r="BU1123" s="2" t="s">
        <v>1848</v>
      </c>
      <c r="BV1123" s="2" t="s">
        <v>95</v>
      </c>
      <c r="BW1123" s="2"/>
      <c r="BX1123" s="2"/>
      <c r="BY1123" s="2">
        <v>1200</v>
      </c>
      <c r="BZ1123" s="2"/>
      <c r="CA1123" s="2" t="s">
        <v>379</v>
      </c>
      <c r="CB1123" s="2"/>
      <c r="CC1123" s="2" t="s">
        <v>363</v>
      </c>
      <c r="CD1123" s="2">
        <v>3201</v>
      </c>
      <c r="CE1123" s="2" t="s">
        <v>104</v>
      </c>
      <c r="CF1123" s="5">
        <v>42961</v>
      </c>
      <c r="CG1123" s="2"/>
      <c r="CH1123" s="2"/>
      <c r="CI1123" s="2">
        <v>1</v>
      </c>
      <c r="CJ1123" s="2">
        <v>1</v>
      </c>
      <c r="CK1123" s="2">
        <v>21</v>
      </c>
      <c r="CL1123" s="2" t="s">
        <v>86</v>
      </c>
      <c r="CM1123" s="2"/>
    </row>
    <row r="1124" spans="1:91">
      <c r="A1124" s="2" t="s">
        <v>71</v>
      </c>
      <c r="B1124" s="2" t="s">
        <v>72</v>
      </c>
      <c r="C1124" s="2" t="s">
        <v>73</v>
      </c>
      <c r="D1124" s="2"/>
      <c r="E1124" s="2" t="str">
        <f>"FES1162568173"</f>
        <v>FES1162568173</v>
      </c>
      <c r="F1124" s="3">
        <v>42957</v>
      </c>
      <c r="G1124" s="2">
        <v>201802</v>
      </c>
      <c r="H1124" s="2" t="s">
        <v>74</v>
      </c>
      <c r="I1124" s="2" t="s">
        <v>75</v>
      </c>
      <c r="J1124" s="2" t="s">
        <v>76</v>
      </c>
      <c r="K1124" s="2" t="s">
        <v>77</v>
      </c>
      <c r="L1124" s="2" t="s">
        <v>231</v>
      </c>
      <c r="M1124" s="2" t="s">
        <v>232</v>
      </c>
      <c r="N1124" s="2" t="s">
        <v>233</v>
      </c>
      <c r="O1124" s="2" t="s">
        <v>100</v>
      </c>
      <c r="P1124" s="2" t="str">
        <f>"2170584281                    "</f>
        <v xml:space="preserve">2170584281             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4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1</v>
      </c>
      <c r="BJ1124" s="2">
        <v>0.2</v>
      </c>
      <c r="BK1124" s="2">
        <v>1</v>
      </c>
      <c r="BL1124" s="2">
        <v>41.44</v>
      </c>
      <c r="BM1124" s="2">
        <v>5.8</v>
      </c>
      <c r="BN1124" s="2">
        <v>47.24</v>
      </c>
      <c r="BO1124" s="2">
        <v>47.24</v>
      </c>
      <c r="BP1124" s="2">
        <v>1</v>
      </c>
      <c r="BQ1124" s="2" t="s">
        <v>83</v>
      </c>
      <c r="BR1124" s="2" t="s">
        <v>84</v>
      </c>
      <c r="BS1124" s="3">
        <v>42958</v>
      </c>
      <c r="BT1124" s="4">
        <v>0.37708333333333338</v>
      </c>
      <c r="BU1124" s="2" t="s">
        <v>234</v>
      </c>
      <c r="BV1124" s="2" t="s">
        <v>95</v>
      </c>
      <c r="BW1124" s="2"/>
      <c r="BX1124" s="2"/>
      <c r="BY1124" s="2">
        <v>1200</v>
      </c>
      <c r="BZ1124" s="2"/>
      <c r="CA1124" s="2" t="s">
        <v>235</v>
      </c>
      <c r="CB1124" s="2"/>
      <c r="CC1124" s="2" t="s">
        <v>232</v>
      </c>
      <c r="CD1124" s="2">
        <v>4026</v>
      </c>
      <c r="CE1124" s="2" t="s">
        <v>104</v>
      </c>
      <c r="CF1124" s="5">
        <v>42961</v>
      </c>
      <c r="CG1124" s="2"/>
      <c r="CH1124" s="2"/>
      <c r="CI1124" s="2">
        <v>1</v>
      </c>
      <c r="CJ1124" s="2">
        <v>1</v>
      </c>
      <c r="CK1124" s="2">
        <v>21</v>
      </c>
      <c r="CL1124" s="2" t="s">
        <v>86</v>
      </c>
      <c r="CM1124" s="2"/>
    </row>
    <row r="1125" spans="1:91">
      <c r="A1125" s="2" t="s">
        <v>71</v>
      </c>
      <c r="B1125" s="2" t="s">
        <v>72</v>
      </c>
      <c r="C1125" s="2" t="s">
        <v>73</v>
      </c>
      <c r="D1125" s="2"/>
      <c r="E1125" s="2" t="str">
        <f>"FES1162568208"</f>
        <v>FES1162568208</v>
      </c>
      <c r="F1125" s="3">
        <v>42957</v>
      </c>
      <c r="G1125" s="2">
        <v>201802</v>
      </c>
      <c r="H1125" s="2" t="s">
        <v>74</v>
      </c>
      <c r="I1125" s="2" t="s">
        <v>75</v>
      </c>
      <c r="J1125" s="2" t="s">
        <v>76</v>
      </c>
      <c r="K1125" s="2" t="s">
        <v>77</v>
      </c>
      <c r="L1125" s="2" t="s">
        <v>321</v>
      </c>
      <c r="M1125" s="2" t="s">
        <v>322</v>
      </c>
      <c r="N1125" s="2" t="s">
        <v>323</v>
      </c>
      <c r="O1125" s="2" t="s">
        <v>100</v>
      </c>
      <c r="P1125" s="2" t="str">
        <f>"2170584339                    "</f>
        <v xml:space="preserve">2170584339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8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0.8</v>
      </c>
      <c r="BJ1125" s="2">
        <v>4</v>
      </c>
      <c r="BK1125" s="2">
        <v>4</v>
      </c>
      <c r="BL1125" s="2">
        <v>82.88</v>
      </c>
      <c r="BM1125" s="2">
        <v>11.6</v>
      </c>
      <c r="BN1125" s="2">
        <v>94.48</v>
      </c>
      <c r="BO1125" s="2">
        <v>94.48</v>
      </c>
      <c r="BP1125" s="2">
        <v>1</v>
      </c>
      <c r="BQ1125" s="2" t="s">
        <v>83</v>
      </c>
      <c r="BR1125" s="2" t="s">
        <v>84</v>
      </c>
      <c r="BS1125" s="3">
        <v>42958</v>
      </c>
      <c r="BT1125" s="4">
        <v>0.38472222222222219</v>
      </c>
      <c r="BU1125" s="2" t="s">
        <v>1791</v>
      </c>
      <c r="BV1125" s="2" t="s">
        <v>95</v>
      </c>
      <c r="BW1125" s="2"/>
      <c r="BX1125" s="2"/>
      <c r="BY1125" s="2">
        <v>20205.61</v>
      </c>
      <c r="BZ1125" s="2"/>
      <c r="CA1125" s="2" t="s">
        <v>103</v>
      </c>
      <c r="CB1125" s="2"/>
      <c r="CC1125" s="2" t="s">
        <v>322</v>
      </c>
      <c r="CD1125" s="2">
        <v>6220</v>
      </c>
      <c r="CE1125" s="2" t="s">
        <v>104</v>
      </c>
      <c r="CF1125" s="5">
        <v>42961</v>
      </c>
      <c r="CG1125" s="2"/>
      <c r="CH1125" s="2"/>
      <c r="CI1125" s="2">
        <v>1</v>
      </c>
      <c r="CJ1125" s="2">
        <v>1</v>
      </c>
      <c r="CK1125" s="2">
        <v>21</v>
      </c>
      <c r="CL1125" s="2" t="s">
        <v>86</v>
      </c>
      <c r="CM1125" s="2"/>
    </row>
    <row r="1126" spans="1:91">
      <c r="A1126" s="2" t="s">
        <v>71</v>
      </c>
      <c r="B1126" s="2" t="s">
        <v>72</v>
      </c>
      <c r="C1126" s="2" t="s">
        <v>73</v>
      </c>
      <c r="D1126" s="2"/>
      <c r="E1126" s="2" t="str">
        <f>"FES1162568104"</f>
        <v>FES1162568104</v>
      </c>
      <c r="F1126" s="3">
        <v>42957</v>
      </c>
      <c r="G1126" s="2">
        <v>201802</v>
      </c>
      <c r="H1126" s="2" t="s">
        <v>74</v>
      </c>
      <c r="I1126" s="2" t="s">
        <v>75</v>
      </c>
      <c r="J1126" s="2" t="s">
        <v>76</v>
      </c>
      <c r="K1126" s="2" t="s">
        <v>77</v>
      </c>
      <c r="L1126" s="2" t="s">
        <v>417</v>
      </c>
      <c r="M1126" s="2" t="s">
        <v>417</v>
      </c>
      <c r="N1126" s="2" t="s">
        <v>1849</v>
      </c>
      <c r="O1126" s="2" t="s">
        <v>100</v>
      </c>
      <c r="P1126" s="2" t="str">
        <f>"2170584205                    "</f>
        <v xml:space="preserve">2170584205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5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2.1</v>
      </c>
      <c r="BJ1126" s="2">
        <v>1.6</v>
      </c>
      <c r="BK1126" s="2">
        <v>2.5</v>
      </c>
      <c r="BL1126" s="2">
        <v>51.8</v>
      </c>
      <c r="BM1126" s="2">
        <v>7.25</v>
      </c>
      <c r="BN1126" s="2">
        <v>59.05</v>
      </c>
      <c r="BO1126" s="2">
        <v>59.05</v>
      </c>
      <c r="BP1126" s="2">
        <v>1</v>
      </c>
      <c r="BQ1126" s="2" t="s">
        <v>288</v>
      </c>
      <c r="BR1126" s="2" t="s">
        <v>84</v>
      </c>
      <c r="BS1126" s="3">
        <v>42958</v>
      </c>
      <c r="BT1126" s="4">
        <v>0.5131944444444444</v>
      </c>
      <c r="BU1126" s="2" t="s">
        <v>1850</v>
      </c>
      <c r="BV1126" s="2" t="s">
        <v>95</v>
      </c>
      <c r="BW1126" s="2"/>
      <c r="BX1126" s="2"/>
      <c r="BY1126" s="2">
        <v>8002.8</v>
      </c>
      <c r="BZ1126" s="2"/>
      <c r="CA1126" s="2" t="s">
        <v>460</v>
      </c>
      <c r="CB1126" s="2"/>
      <c r="CC1126" s="2" t="s">
        <v>417</v>
      </c>
      <c r="CD1126" s="2">
        <v>7620</v>
      </c>
      <c r="CE1126" s="2" t="s">
        <v>1623</v>
      </c>
      <c r="CF1126" s="5">
        <v>42961</v>
      </c>
      <c r="CG1126" s="2"/>
      <c r="CH1126" s="2"/>
      <c r="CI1126" s="2">
        <v>1</v>
      </c>
      <c r="CJ1126" s="2">
        <v>1</v>
      </c>
      <c r="CK1126" s="2">
        <v>21</v>
      </c>
      <c r="CL1126" s="2" t="s">
        <v>86</v>
      </c>
      <c r="CM1126" s="2"/>
    </row>
    <row r="1127" spans="1:91">
      <c r="A1127" s="2" t="s">
        <v>71</v>
      </c>
      <c r="B1127" s="2" t="s">
        <v>72</v>
      </c>
      <c r="C1127" s="2" t="s">
        <v>73</v>
      </c>
      <c r="D1127" s="2"/>
      <c r="E1127" s="2" t="str">
        <f>"FES1162567942"</f>
        <v>FES1162567942</v>
      </c>
      <c r="F1127" s="3">
        <v>42957</v>
      </c>
      <c r="G1127" s="2">
        <v>201802</v>
      </c>
      <c r="H1127" s="2" t="s">
        <v>74</v>
      </c>
      <c r="I1127" s="2" t="s">
        <v>75</v>
      </c>
      <c r="J1127" s="2" t="s">
        <v>76</v>
      </c>
      <c r="K1127" s="2" t="s">
        <v>77</v>
      </c>
      <c r="L1127" s="2" t="s">
        <v>105</v>
      </c>
      <c r="M1127" s="2" t="s">
        <v>106</v>
      </c>
      <c r="N1127" s="2" t="s">
        <v>1851</v>
      </c>
      <c r="O1127" s="2" t="s">
        <v>100</v>
      </c>
      <c r="P1127" s="2" t="str">
        <f>"2170583144                    "</f>
        <v xml:space="preserve">2170583144  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4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1.4</v>
      </c>
      <c r="BJ1127" s="2">
        <v>0.9</v>
      </c>
      <c r="BK1127" s="2">
        <v>1.5</v>
      </c>
      <c r="BL1127" s="2">
        <v>41.44</v>
      </c>
      <c r="BM1127" s="2">
        <v>5.8</v>
      </c>
      <c r="BN1127" s="2">
        <v>47.24</v>
      </c>
      <c r="BO1127" s="2">
        <v>47.24</v>
      </c>
      <c r="BP1127" s="2"/>
      <c r="BQ1127" s="2" t="s">
        <v>83</v>
      </c>
      <c r="BR1127" s="2" t="s">
        <v>84</v>
      </c>
      <c r="BS1127" s="3">
        <v>42958</v>
      </c>
      <c r="BT1127" s="4">
        <v>0.4201388888888889</v>
      </c>
      <c r="BU1127" s="2" t="s">
        <v>1852</v>
      </c>
      <c r="BV1127" s="2" t="s">
        <v>95</v>
      </c>
      <c r="BW1127" s="2"/>
      <c r="BX1127" s="2"/>
      <c r="BY1127" s="2">
        <v>4680.3999999999996</v>
      </c>
      <c r="BZ1127" s="2"/>
      <c r="CA1127" s="2" t="s">
        <v>302</v>
      </c>
      <c r="CB1127" s="2"/>
      <c r="CC1127" s="2" t="s">
        <v>106</v>
      </c>
      <c r="CD1127" s="2">
        <v>7530</v>
      </c>
      <c r="CE1127" s="2" t="s">
        <v>89</v>
      </c>
      <c r="CF1127" s="5">
        <v>42961</v>
      </c>
      <c r="CG1127" s="2"/>
      <c r="CH1127" s="2"/>
      <c r="CI1127" s="2">
        <v>1</v>
      </c>
      <c r="CJ1127" s="2">
        <v>1</v>
      </c>
      <c r="CK1127" s="2">
        <v>21</v>
      </c>
      <c r="CL1127" s="2" t="s">
        <v>86</v>
      </c>
      <c r="CM1127" s="2"/>
    </row>
    <row r="1128" spans="1:91">
      <c r="A1128" s="2" t="s">
        <v>71</v>
      </c>
      <c r="B1128" s="2" t="s">
        <v>72</v>
      </c>
      <c r="C1128" s="2" t="s">
        <v>73</v>
      </c>
      <c r="D1128" s="2"/>
      <c r="E1128" s="2" t="str">
        <f>"FES1162567929"</f>
        <v>FES1162567929</v>
      </c>
      <c r="F1128" s="3">
        <v>42957</v>
      </c>
      <c r="G1128" s="2">
        <v>201802</v>
      </c>
      <c r="H1128" s="2" t="s">
        <v>74</v>
      </c>
      <c r="I1128" s="2" t="s">
        <v>75</v>
      </c>
      <c r="J1128" s="2" t="s">
        <v>76</v>
      </c>
      <c r="K1128" s="2" t="s">
        <v>77</v>
      </c>
      <c r="L1128" s="2" t="s">
        <v>105</v>
      </c>
      <c r="M1128" s="2" t="s">
        <v>106</v>
      </c>
      <c r="N1128" s="2" t="s">
        <v>1491</v>
      </c>
      <c r="O1128" s="2" t="s">
        <v>100</v>
      </c>
      <c r="P1128" s="2" t="str">
        <f>"2170581254                    "</f>
        <v xml:space="preserve">2170581254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4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1</v>
      </c>
      <c r="BJ1128" s="2">
        <v>0.2</v>
      </c>
      <c r="BK1128" s="2">
        <v>1</v>
      </c>
      <c r="BL1128" s="2">
        <v>41.44</v>
      </c>
      <c r="BM1128" s="2">
        <v>5.8</v>
      </c>
      <c r="BN1128" s="2">
        <v>47.24</v>
      </c>
      <c r="BO1128" s="2">
        <v>47.24</v>
      </c>
      <c r="BP1128" s="2">
        <v>1</v>
      </c>
      <c r="BQ1128" s="2" t="s">
        <v>1492</v>
      </c>
      <c r="BR1128" s="2" t="s">
        <v>84</v>
      </c>
      <c r="BS1128" s="3">
        <v>42958</v>
      </c>
      <c r="BT1128" s="4">
        <v>0.43194444444444446</v>
      </c>
      <c r="BU1128" s="2" t="s">
        <v>1074</v>
      </c>
      <c r="BV1128" s="2" t="s">
        <v>95</v>
      </c>
      <c r="BW1128" s="2"/>
      <c r="BX1128" s="2"/>
      <c r="BY1128" s="2">
        <v>1200</v>
      </c>
      <c r="BZ1128" s="2"/>
      <c r="CA1128" s="2" t="s">
        <v>654</v>
      </c>
      <c r="CB1128" s="2"/>
      <c r="CC1128" s="2" t="s">
        <v>106</v>
      </c>
      <c r="CD1128" s="2">
        <v>7490</v>
      </c>
      <c r="CE1128" s="2" t="s">
        <v>104</v>
      </c>
      <c r="CF1128" s="5">
        <v>42961</v>
      </c>
      <c r="CG1128" s="2"/>
      <c r="CH1128" s="2"/>
      <c r="CI1128" s="2">
        <v>1</v>
      </c>
      <c r="CJ1128" s="2">
        <v>1</v>
      </c>
      <c r="CK1128" s="2">
        <v>21</v>
      </c>
      <c r="CL1128" s="2" t="s">
        <v>86</v>
      </c>
      <c r="CM1128" s="2"/>
    </row>
    <row r="1129" spans="1:91">
      <c r="A1129" s="2" t="s">
        <v>71</v>
      </c>
      <c r="B1129" s="2" t="s">
        <v>72</v>
      </c>
      <c r="C1129" s="2" t="s">
        <v>73</v>
      </c>
      <c r="D1129" s="2"/>
      <c r="E1129" s="2" t="str">
        <f>"FES1162568040"</f>
        <v>FES1162568040</v>
      </c>
      <c r="F1129" s="3">
        <v>42957</v>
      </c>
      <c r="G1129" s="2">
        <v>201802</v>
      </c>
      <c r="H1129" s="2" t="s">
        <v>74</v>
      </c>
      <c r="I1129" s="2" t="s">
        <v>75</v>
      </c>
      <c r="J1129" s="2" t="s">
        <v>76</v>
      </c>
      <c r="K1129" s="2" t="s">
        <v>77</v>
      </c>
      <c r="L1129" s="2" t="s">
        <v>105</v>
      </c>
      <c r="M1129" s="2" t="s">
        <v>106</v>
      </c>
      <c r="N1129" s="2" t="s">
        <v>1491</v>
      </c>
      <c r="O1129" s="2" t="s">
        <v>100</v>
      </c>
      <c r="P1129" s="2" t="str">
        <f>"2170583937                    "</f>
        <v xml:space="preserve">2170583937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4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1</v>
      </c>
      <c r="BJ1129" s="2">
        <v>0.2</v>
      </c>
      <c r="BK1129" s="2">
        <v>1</v>
      </c>
      <c r="BL1129" s="2">
        <v>41.44</v>
      </c>
      <c r="BM1129" s="2">
        <v>5.8</v>
      </c>
      <c r="BN1129" s="2">
        <v>47.24</v>
      </c>
      <c r="BO1129" s="2">
        <v>47.24</v>
      </c>
      <c r="BP1129" s="2">
        <v>1</v>
      </c>
      <c r="BQ1129" s="2" t="s">
        <v>1492</v>
      </c>
      <c r="BR1129" s="2" t="s">
        <v>84</v>
      </c>
      <c r="BS1129" s="3">
        <v>42958</v>
      </c>
      <c r="BT1129" s="4">
        <v>0.43194444444444446</v>
      </c>
      <c r="BU1129" s="2" t="s">
        <v>1074</v>
      </c>
      <c r="BV1129" s="2" t="s">
        <v>95</v>
      </c>
      <c r="BW1129" s="2"/>
      <c r="BX1129" s="2"/>
      <c r="BY1129" s="2">
        <v>1200</v>
      </c>
      <c r="BZ1129" s="2"/>
      <c r="CA1129" s="2" t="s">
        <v>654</v>
      </c>
      <c r="CB1129" s="2"/>
      <c r="CC1129" s="2" t="s">
        <v>106</v>
      </c>
      <c r="CD1129" s="2">
        <v>7490</v>
      </c>
      <c r="CE1129" s="2" t="s">
        <v>104</v>
      </c>
      <c r="CF1129" s="5">
        <v>42961</v>
      </c>
      <c r="CG1129" s="2"/>
      <c r="CH1129" s="2"/>
      <c r="CI1129" s="2">
        <v>1</v>
      </c>
      <c r="CJ1129" s="2">
        <v>1</v>
      </c>
      <c r="CK1129" s="2">
        <v>21</v>
      </c>
      <c r="CL1129" s="2" t="s">
        <v>86</v>
      </c>
      <c r="CM1129" s="2"/>
    </row>
    <row r="1130" spans="1:91">
      <c r="A1130" s="2" t="s">
        <v>71</v>
      </c>
      <c r="B1130" s="2" t="s">
        <v>72</v>
      </c>
      <c r="C1130" s="2" t="s">
        <v>73</v>
      </c>
      <c r="D1130" s="2"/>
      <c r="E1130" s="2" t="str">
        <f>"FES1162568120"</f>
        <v>FES1162568120</v>
      </c>
      <c r="F1130" s="3">
        <v>42957</v>
      </c>
      <c r="G1130" s="2">
        <v>201802</v>
      </c>
      <c r="H1130" s="2" t="s">
        <v>74</v>
      </c>
      <c r="I1130" s="2" t="s">
        <v>75</v>
      </c>
      <c r="J1130" s="2" t="s">
        <v>76</v>
      </c>
      <c r="K1130" s="2" t="s">
        <v>77</v>
      </c>
      <c r="L1130" s="2" t="s">
        <v>105</v>
      </c>
      <c r="M1130" s="2" t="s">
        <v>106</v>
      </c>
      <c r="N1130" s="2" t="s">
        <v>486</v>
      </c>
      <c r="O1130" s="2" t="s">
        <v>100</v>
      </c>
      <c r="P1130" s="2" t="str">
        <f>"2170584208                    "</f>
        <v xml:space="preserve">2170584208 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5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2.2999999999999998</v>
      </c>
      <c r="BJ1130" s="2">
        <v>1.1000000000000001</v>
      </c>
      <c r="BK1130" s="2">
        <v>2.5</v>
      </c>
      <c r="BL1130" s="2">
        <v>51.8</v>
      </c>
      <c r="BM1130" s="2">
        <v>7.25</v>
      </c>
      <c r="BN1130" s="2">
        <v>59.05</v>
      </c>
      <c r="BO1130" s="2">
        <v>59.05</v>
      </c>
      <c r="BP1130" s="2">
        <v>1</v>
      </c>
      <c r="BQ1130" s="2" t="s">
        <v>365</v>
      </c>
      <c r="BR1130" s="2" t="s">
        <v>84</v>
      </c>
      <c r="BS1130" s="3">
        <v>42958</v>
      </c>
      <c r="BT1130" s="4">
        <v>0.47986111111111113</v>
      </c>
      <c r="BU1130" s="2" t="s">
        <v>487</v>
      </c>
      <c r="BV1130" s="2" t="s">
        <v>86</v>
      </c>
      <c r="BW1130" s="2" t="s">
        <v>124</v>
      </c>
      <c r="BX1130" s="2" t="s">
        <v>116</v>
      </c>
      <c r="BY1130" s="2">
        <v>5290.38</v>
      </c>
      <c r="BZ1130" s="2"/>
      <c r="CA1130" s="2" t="s">
        <v>291</v>
      </c>
      <c r="CB1130" s="2"/>
      <c r="CC1130" s="2" t="s">
        <v>106</v>
      </c>
      <c r="CD1130" s="2">
        <v>7441</v>
      </c>
      <c r="CE1130" s="2" t="s">
        <v>89</v>
      </c>
      <c r="CF1130" s="5">
        <v>42961</v>
      </c>
      <c r="CG1130" s="2"/>
      <c r="CH1130" s="2"/>
      <c r="CI1130" s="2">
        <v>1</v>
      </c>
      <c r="CJ1130" s="2">
        <v>1</v>
      </c>
      <c r="CK1130" s="2">
        <v>21</v>
      </c>
      <c r="CL1130" s="2" t="s">
        <v>86</v>
      </c>
      <c r="CM1130" s="2"/>
    </row>
    <row r="1131" spans="1:91">
      <c r="A1131" s="2" t="s">
        <v>71</v>
      </c>
      <c r="B1131" s="2" t="s">
        <v>72</v>
      </c>
      <c r="C1131" s="2" t="s">
        <v>73</v>
      </c>
      <c r="D1131" s="2"/>
      <c r="E1131" s="2" t="str">
        <f>"FES1162568192"</f>
        <v>FES1162568192</v>
      </c>
      <c r="F1131" s="3">
        <v>42957</v>
      </c>
      <c r="G1131" s="2">
        <v>201802</v>
      </c>
      <c r="H1131" s="2" t="s">
        <v>74</v>
      </c>
      <c r="I1131" s="2" t="s">
        <v>75</v>
      </c>
      <c r="J1131" s="2" t="s">
        <v>76</v>
      </c>
      <c r="K1131" s="2" t="s">
        <v>77</v>
      </c>
      <c r="L1131" s="2" t="s">
        <v>105</v>
      </c>
      <c r="M1131" s="2" t="s">
        <v>106</v>
      </c>
      <c r="N1131" s="2" t="s">
        <v>1851</v>
      </c>
      <c r="O1131" s="2" t="s">
        <v>100</v>
      </c>
      <c r="P1131" s="2" t="str">
        <f>"2170584319                    "</f>
        <v xml:space="preserve">2170584319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4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1.3</v>
      </c>
      <c r="BJ1131" s="2">
        <v>1.1000000000000001</v>
      </c>
      <c r="BK1131" s="2">
        <v>1.5</v>
      </c>
      <c r="BL1131" s="2">
        <v>41.44</v>
      </c>
      <c r="BM1131" s="2">
        <v>5.8</v>
      </c>
      <c r="BN1131" s="2">
        <v>47.24</v>
      </c>
      <c r="BO1131" s="2">
        <v>47.24</v>
      </c>
      <c r="BP1131" s="2"/>
      <c r="BQ1131" s="2" t="s">
        <v>83</v>
      </c>
      <c r="BR1131" s="2" t="s">
        <v>84</v>
      </c>
      <c r="BS1131" s="3">
        <v>42958</v>
      </c>
      <c r="BT1131" s="4">
        <v>0.4201388888888889</v>
      </c>
      <c r="BU1131" s="2" t="s">
        <v>1852</v>
      </c>
      <c r="BV1131" s="2" t="s">
        <v>95</v>
      </c>
      <c r="BW1131" s="2"/>
      <c r="BX1131" s="2"/>
      <c r="BY1131" s="2">
        <v>5265</v>
      </c>
      <c r="BZ1131" s="2"/>
      <c r="CA1131" s="2" t="s">
        <v>302</v>
      </c>
      <c r="CB1131" s="2"/>
      <c r="CC1131" s="2" t="s">
        <v>106</v>
      </c>
      <c r="CD1131" s="2">
        <v>7530</v>
      </c>
      <c r="CE1131" s="2" t="s">
        <v>89</v>
      </c>
      <c r="CF1131" s="5">
        <v>42961</v>
      </c>
      <c r="CG1131" s="2"/>
      <c r="CH1131" s="2"/>
      <c r="CI1131" s="2">
        <v>1</v>
      </c>
      <c r="CJ1131" s="2">
        <v>1</v>
      </c>
      <c r="CK1131" s="2">
        <v>21</v>
      </c>
      <c r="CL1131" s="2" t="s">
        <v>86</v>
      </c>
      <c r="CM1131" s="2"/>
    </row>
    <row r="1132" spans="1:91">
      <c r="A1132" s="2" t="s">
        <v>71</v>
      </c>
      <c r="B1132" s="2" t="s">
        <v>72</v>
      </c>
      <c r="C1132" s="2" t="s">
        <v>73</v>
      </c>
      <c r="D1132" s="2"/>
      <c r="E1132" s="2" t="str">
        <f>"FES1162568180"</f>
        <v>FES1162568180</v>
      </c>
      <c r="F1132" s="3">
        <v>42957</v>
      </c>
      <c r="G1132" s="2">
        <v>201802</v>
      </c>
      <c r="H1132" s="2" t="s">
        <v>74</v>
      </c>
      <c r="I1132" s="2" t="s">
        <v>75</v>
      </c>
      <c r="J1132" s="2" t="s">
        <v>76</v>
      </c>
      <c r="K1132" s="2" t="s">
        <v>77</v>
      </c>
      <c r="L1132" s="2" t="s">
        <v>105</v>
      </c>
      <c r="M1132" s="2" t="s">
        <v>106</v>
      </c>
      <c r="N1132" s="2" t="s">
        <v>397</v>
      </c>
      <c r="O1132" s="2" t="s">
        <v>100</v>
      </c>
      <c r="P1132" s="2" t="str">
        <f>"2170584302                    "</f>
        <v xml:space="preserve">2170584302 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11.01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5.3</v>
      </c>
      <c r="BJ1132" s="2">
        <v>1.8</v>
      </c>
      <c r="BK1132" s="2">
        <v>5.5</v>
      </c>
      <c r="BL1132" s="2">
        <v>113.97</v>
      </c>
      <c r="BM1132" s="2">
        <v>15.96</v>
      </c>
      <c r="BN1132" s="2">
        <v>129.93</v>
      </c>
      <c r="BO1132" s="2">
        <v>129.93</v>
      </c>
      <c r="BP1132" s="2"/>
      <c r="BQ1132" s="2" t="s">
        <v>83</v>
      </c>
      <c r="BR1132" s="2" t="s">
        <v>84</v>
      </c>
      <c r="BS1132" s="3">
        <v>42958</v>
      </c>
      <c r="BT1132" s="4">
        <v>0.40416666666666662</v>
      </c>
      <c r="BU1132" s="2" t="s">
        <v>779</v>
      </c>
      <c r="BV1132" s="2" t="s">
        <v>95</v>
      </c>
      <c r="BW1132" s="2"/>
      <c r="BX1132" s="2"/>
      <c r="BY1132" s="2">
        <v>8850.43</v>
      </c>
      <c r="BZ1132" s="2"/>
      <c r="CA1132" s="2" t="s">
        <v>112</v>
      </c>
      <c r="CB1132" s="2"/>
      <c r="CC1132" s="2" t="s">
        <v>106</v>
      </c>
      <c r="CD1132" s="2">
        <v>7405</v>
      </c>
      <c r="CE1132" s="2" t="s">
        <v>135</v>
      </c>
      <c r="CF1132" s="5">
        <v>42961</v>
      </c>
      <c r="CG1132" s="2"/>
      <c r="CH1132" s="2"/>
      <c r="CI1132" s="2">
        <v>1</v>
      </c>
      <c r="CJ1132" s="2">
        <v>1</v>
      </c>
      <c r="CK1132" s="2">
        <v>21</v>
      </c>
      <c r="CL1132" s="2" t="s">
        <v>86</v>
      </c>
      <c r="CM1132" s="2"/>
    </row>
    <row r="1133" spans="1:91">
      <c r="A1133" s="2" t="s">
        <v>71</v>
      </c>
      <c r="B1133" s="2" t="s">
        <v>72</v>
      </c>
      <c r="C1133" s="2" t="s">
        <v>73</v>
      </c>
      <c r="D1133" s="2"/>
      <c r="E1133" s="2" t="str">
        <f>"FES1162568038"</f>
        <v>FES1162568038</v>
      </c>
      <c r="F1133" s="3">
        <v>42957</v>
      </c>
      <c r="G1133" s="2">
        <v>201802</v>
      </c>
      <c r="H1133" s="2" t="s">
        <v>74</v>
      </c>
      <c r="I1133" s="2" t="s">
        <v>75</v>
      </c>
      <c r="J1133" s="2" t="s">
        <v>76</v>
      </c>
      <c r="K1133" s="2" t="s">
        <v>77</v>
      </c>
      <c r="L1133" s="2" t="s">
        <v>1853</v>
      </c>
      <c r="M1133" s="2" t="s">
        <v>1854</v>
      </c>
      <c r="N1133" s="2" t="s">
        <v>1855</v>
      </c>
      <c r="O1133" s="2" t="s">
        <v>100</v>
      </c>
      <c r="P1133" s="2" t="str">
        <f>"2170583785                    "</f>
        <v xml:space="preserve">2170583785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4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1</v>
      </c>
      <c r="BJ1133" s="2">
        <v>0.2</v>
      </c>
      <c r="BK1133" s="2">
        <v>1</v>
      </c>
      <c r="BL1133" s="2">
        <v>41.44</v>
      </c>
      <c r="BM1133" s="2">
        <v>5.8</v>
      </c>
      <c r="BN1133" s="2">
        <v>47.24</v>
      </c>
      <c r="BO1133" s="2">
        <v>47.24</v>
      </c>
      <c r="BP1133" s="2">
        <v>1</v>
      </c>
      <c r="BQ1133" s="2" t="s">
        <v>209</v>
      </c>
      <c r="BR1133" s="2" t="s">
        <v>84</v>
      </c>
      <c r="BS1133" s="3">
        <v>42958</v>
      </c>
      <c r="BT1133" s="4">
        <v>0.46111111111111108</v>
      </c>
      <c r="BU1133" s="2" t="s">
        <v>1856</v>
      </c>
      <c r="BV1133" s="2" t="s">
        <v>95</v>
      </c>
      <c r="BW1133" s="2"/>
      <c r="BX1133" s="2"/>
      <c r="BY1133" s="2">
        <v>1200</v>
      </c>
      <c r="BZ1133" s="2"/>
      <c r="CA1133" s="2" t="s">
        <v>411</v>
      </c>
      <c r="CB1133" s="2"/>
      <c r="CC1133" s="2" t="s">
        <v>1854</v>
      </c>
      <c r="CD1133" s="2">
        <v>7139</v>
      </c>
      <c r="CE1133" s="2" t="s">
        <v>104</v>
      </c>
      <c r="CF1133" s="5">
        <v>42961</v>
      </c>
      <c r="CG1133" s="2"/>
      <c r="CH1133" s="2"/>
      <c r="CI1133" s="2">
        <v>1</v>
      </c>
      <c r="CJ1133" s="2">
        <v>1</v>
      </c>
      <c r="CK1133" s="2">
        <v>21</v>
      </c>
      <c r="CL1133" s="2" t="s">
        <v>86</v>
      </c>
      <c r="CM1133" s="2"/>
    </row>
    <row r="1134" spans="1:91">
      <c r="A1134" s="2" t="s">
        <v>71</v>
      </c>
      <c r="B1134" s="2" t="s">
        <v>72</v>
      </c>
      <c r="C1134" s="2" t="s">
        <v>73</v>
      </c>
      <c r="D1134" s="2"/>
      <c r="E1134" s="2" t="str">
        <f>"FES1162568217"</f>
        <v>FES1162568217</v>
      </c>
      <c r="F1134" s="3">
        <v>42957</v>
      </c>
      <c r="G1134" s="2">
        <v>201802</v>
      </c>
      <c r="H1134" s="2" t="s">
        <v>74</v>
      </c>
      <c r="I1134" s="2" t="s">
        <v>75</v>
      </c>
      <c r="J1134" s="2" t="s">
        <v>76</v>
      </c>
      <c r="K1134" s="2" t="s">
        <v>77</v>
      </c>
      <c r="L1134" s="2" t="s">
        <v>105</v>
      </c>
      <c r="M1134" s="2" t="s">
        <v>106</v>
      </c>
      <c r="N1134" s="2" t="s">
        <v>1857</v>
      </c>
      <c r="O1134" s="2" t="s">
        <v>100</v>
      </c>
      <c r="P1134" s="2" t="str">
        <f>"2170584351                    "</f>
        <v xml:space="preserve">2170584351 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4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1</v>
      </c>
      <c r="BJ1134" s="2">
        <v>0.2</v>
      </c>
      <c r="BK1134" s="2">
        <v>1</v>
      </c>
      <c r="BL1134" s="2">
        <v>41.44</v>
      </c>
      <c r="BM1134" s="2">
        <v>5.8</v>
      </c>
      <c r="BN1134" s="2">
        <v>47.24</v>
      </c>
      <c r="BO1134" s="2">
        <v>47.24</v>
      </c>
      <c r="BP1134" s="2"/>
      <c r="BQ1134" s="2" t="s">
        <v>83</v>
      </c>
      <c r="BR1134" s="2" t="s">
        <v>84</v>
      </c>
      <c r="BS1134" s="3">
        <v>42958</v>
      </c>
      <c r="BT1134" s="4">
        <v>0.40763888888888888</v>
      </c>
      <c r="BU1134" s="2" t="s">
        <v>1858</v>
      </c>
      <c r="BV1134" s="2" t="s">
        <v>95</v>
      </c>
      <c r="BW1134" s="2"/>
      <c r="BX1134" s="2"/>
      <c r="BY1134" s="2">
        <v>1200</v>
      </c>
      <c r="BZ1134" s="2"/>
      <c r="CA1134" s="2" t="s">
        <v>291</v>
      </c>
      <c r="CB1134" s="2"/>
      <c r="CC1134" s="2" t="s">
        <v>106</v>
      </c>
      <c r="CD1134" s="2">
        <v>7441</v>
      </c>
      <c r="CE1134" s="2" t="s">
        <v>104</v>
      </c>
      <c r="CF1134" s="5">
        <v>42961</v>
      </c>
      <c r="CG1134" s="2"/>
      <c r="CH1134" s="2"/>
      <c r="CI1134" s="2">
        <v>1</v>
      </c>
      <c r="CJ1134" s="2">
        <v>1</v>
      </c>
      <c r="CK1134" s="2">
        <v>21</v>
      </c>
      <c r="CL1134" s="2" t="s">
        <v>86</v>
      </c>
      <c r="CM1134" s="2"/>
    </row>
    <row r="1135" spans="1:91">
      <c r="A1135" s="2" t="s">
        <v>71</v>
      </c>
      <c r="B1135" s="2" t="s">
        <v>72</v>
      </c>
      <c r="C1135" s="2" t="s">
        <v>73</v>
      </c>
      <c r="D1135" s="2"/>
      <c r="E1135" s="2" t="str">
        <f>"FES1162567943"</f>
        <v>FES1162567943</v>
      </c>
      <c r="F1135" s="3">
        <v>42957</v>
      </c>
      <c r="G1135" s="2">
        <v>201802</v>
      </c>
      <c r="H1135" s="2" t="s">
        <v>74</v>
      </c>
      <c r="I1135" s="2" t="s">
        <v>75</v>
      </c>
      <c r="J1135" s="2" t="s">
        <v>76</v>
      </c>
      <c r="K1135" s="2" t="s">
        <v>77</v>
      </c>
      <c r="L1135" s="2" t="s">
        <v>105</v>
      </c>
      <c r="M1135" s="2" t="s">
        <v>106</v>
      </c>
      <c r="N1135" s="2" t="s">
        <v>1669</v>
      </c>
      <c r="O1135" s="2" t="s">
        <v>100</v>
      </c>
      <c r="P1135" s="2" t="str">
        <f>"2170583153                    "</f>
        <v xml:space="preserve">2170583153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4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1</v>
      </c>
      <c r="BJ1135" s="2">
        <v>0.2</v>
      </c>
      <c r="BK1135" s="2">
        <v>1</v>
      </c>
      <c r="BL1135" s="2">
        <v>41.44</v>
      </c>
      <c r="BM1135" s="2">
        <v>5.8</v>
      </c>
      <c r="BN1135" s="2">
        <v>47.24</v>
      </c>
      <c r="BO1135" s="2">
        <v>47.24</v>
      </c>
      <c r="BP1135" s="2">
        <v>1</v>
      </c>
      <c r="BQ1135" s="2" t="s">
        <v>1859</v>
      </c>
      <c r="BR1135" s="2" t="s">
        <v>84</v>
      </c>
      <c r="BS1135" s="3">
        <v>42958</v>
      </c>
      <c r="BT1135" s="4">
        <v>0.3743055555555555</v>
      </c>
      <c r="BU1135" s="2" t="s">
        <v>1670</v>
      </c>
      <c r="BV1135" s="2" t="s">
        <v>95</v>
      </c>
      <c r="BW1135" s="2"/>
      <c r="BX1135" s="2"/>
      <c r="BY1135" s="2">
        <v>1200</v>
      </c>
      <c r="BZ1135" s="2"/>
      <c r="CA1135" s="2" t="s">
        <v>302</v>
      </c>
      <c r="CB1135" s="2"/>
      <c r="CC1135" s="2" t="s">
        <v>106</v>
      </c>
      <c r="CD1135" s="2">
        <v>7493</v>
      </c>
      <c r="CE1135" s="2" t="s">
        <v>104</v>
      </c>
      <c r="CF1135" s="5">
        <v>42961</v>
      </c>
      <c r="CG1135" s="2"/>
      <c r="CH1135" s="2"/>
      <c r="CI1135" s="2">
        <v>1</v>
      </c>
      <c r="CJ1135" s="2">
        <v>1</v>
      </c>
      <c r="CK1135" s="2">
        <v>21</v>
      </c>
      <c r="CL1135" s="2" t="s">
        <v>86</v>
      </c>
      <c r="CM1135" s="2"/>
    </row>
    <row r="1136" spans="1:91">
      <c r="A1136" s="2" t="s">
        <v>71</v>
      </c>
      <c r="B1136" s="2" t="s">
        <v>72</v>
      </c>
      <c r="C1136" s="2" t="s">
        <v>73</v>
      </c>
      <c r="D1136" s="2"/>
      <c r="E1136" s="2" t="str">
        <f>"FES1162568049"</f>
        <v>FES1162568049</v>
      </c>
      <c r="F1136" s="3">
        <v>42957</v>
      </c>
      <c r="G1136" s="2">
        <v>201802</v>
      </c>
      <c r="H1136" s="2" t="s">
        <v>74</v>
      </c>
      <c r="I1136" s="2" t="s">
        <v>75</v>
      </c>
      <c r="J1136" s="2" t="s">
        <v>76</v>
      </c>
      <c r="K1136" s="2" t="s">
        <v>77</v>
      </c>
      <c r="L1136" s="2" t="s">
        <v>105</v>
      </c>
      <c r="M1136" s="2" t="s">
        <v>106</v>
      </c>
      <c r="N1136" s="2" t="s">
        <v>107</v>
      </c>
      <c r="O1136" s="2" t="s">
        <v>100</v>
      </c>
      <c r="P1136" s="2" t="str">
        <f>"2170584158                    "</f>
        <v xml:space="preserve">2170584158 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4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1</v>
      </c>
      <c r="BJ1136" s="2">
        <v>0.2</v>
      </c>
      <c r="BK1136" s="2">
        <v>1</v>
      </c>
      <c r="BL1136" s="2">
        <v>41.44</v>
      </c>
      <c r="BM1136" s="2">
        <v>5.8</v>
      </c>
      <c r="BN1136" s="2">
        <v>47.24</v>
      </c>
      <c r="BO1136" s="2">
        <v>47.24</v>
      </c>
      <c r="BP1136" s="2">
        <v>1</v>
      </c>
      <c r="BQ1136" s="2" t="s">
        <v>108</v>
      </c>
      <c r="BR1136" s="2" t="s">
        <v>84</v>
      </c>
      <c r="BS1136" s="3">
        <v>42958</v>
      </c>
      <c r="BT1136" s="4">
        <v>0.4236111111111111</v>
      </c>
      <c r="BU1136" s="2" t="s">
        <v>1691</v>
      </c>
      <c r="BV1136" s="2" t="s">
        <v>95</v>
      </c>
      <c r="BW1136" s="2"/>
      <c r="BX1136" s="2"/>
      <c r="BY1136" s="2">
        <v>1200</v>
      </c>
      <c r="BZ1136" s="2"/>
      <c r="CA1136" s="2" t="s">
        <v>112</v>
      </c>
      <c r="CB1136" s="2"/>
      <c r="CC1136" s="2" t="s">
        <v>106</v>
      </c>
      <c r="CD1136" s="2">
        <v>7405</v>
      </c>
      <c r="CE1136" s="2" t="s">
        <v>104</v>
      </c>
      <c r="CF1136" s="5">
        <v>42961</v>
      </c>
      <c r="CG1136" s="2"/>
      <c r="CH1136" s="2"/>
      <c r="CI1136" s="2">
        <v>1</v>
      </c>
      <c r="CJ1136" s="2">
        <v>1</v>
      </c>
      <c r="CK1136" s="2">
        <v>21</v>
      </c>
      <c r="CL1136" s="2" t="s">
        <v>86</v>
      </c>
      <c r="CM1136" s="2"/>
    </row>
    <row r="1137" spans="1:91">
      <c r="A1137" s="2" t="s">
        <v>71</v>
      </c>
      <c r="B1137" s="2" t="s">
        <v>72</v>
      </c>
      <c r="C1137" s="2" t="s">
        <v>73</v>
      </c>
      <c r="D1137" s="2"/>
      <c r="E1137" s="2" t="str">
        <f>"FES1162568079"</f>
        <v>FES1162568079</v>
      </c>
      <c r="F1137" s="3">
        <v>42957</v>
      </c>
      <c r="G1137" s="2">
        <v>201802</v>
      </c>
      <c r="H1137" s="2" t="s">
        <v>74</v>
      </c>
      <c r="I1137" s="2" t="s">
        <v>75</v>
      </c>
      <c r="J1137" s="2" t="s">
        <v>76</v>
      </c>
      <c r="K1137" s="2" t="s">
        <v>77</v>
      </c>
      <c r="L1137" s="2" t="s">
        <v>105</v>
      </c>
      <c r="M1137" s="2" t="s">
        <v>106</v>
      </c>
      <c r="N1137" s="2" t="s">
        <v>1093</v>
      </c>
      <c r="O1137" s="2" t="s">
        <v>100</v>
      </c>
      <c r="P1137" s="2" t="str">
        <f>"2170584175                    "</f>
        <v xml:space="preserve">2170584175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4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1</v>
      </c>
      <c r="BJ1137" s="2">
        <v>0.2</v>
      </c>
      <c r="BK1137" s="2">
        <v>1</v>
      </c>
      <c r="BL1137" s="2">
        <v>41.44</v>
      </c>
      <c r="BM1137" s="2">
        <v>5.8</v>
      </c>
      <c r="BN1137" s="2">
        <v>47.24</v>
      </c>
      <c r="BO1137" s="2">
        <v>47.24</v>
      </c>
      <c r="BP1137" s="2">
        <v>1</v>
      </c>
      <c r="BQ1137" s="2" t="s">
        <v>83</v>
      </c>
      <c r="BR1137" s="2" t="s">
        <v>84</v>
      </c>
      <c r="BS1137" s="3">
        <v>42961</v>
      </c>
      <c r="BT1137" s="4">
        <v>0.40347222222222223</v>
      </c>
      <c r="BU1137" s="2" t="s">
        <v>1693</v>
      </c>
      <c r="BV1137" s="2" t="s">
        <v>86</v>
      </c>
      <c r="BW1137" s="2" t="s">
        <v>110</v>
      </c>
      <c r="BX1137" s="2" t="s">
        <v>111</v>
      </c>
      <c r="BY1137" s="2">
        <v>1200</v>
      </c>
      <c r="BZ1137" s="2"/>
      <c r="CA1137" s="2" t="s">
        <v>1694</v>
      </c>
      <c r="CB1137" s="2"/>
      <c r="CC1137" s="2" t="s">
        <v>106</v>
      </c>
      <c r="CD1137" s="2">
        <v>7975</v>
      </c>
      <c r="CE1137" s="2" t="s">
        <v>104</v>
      </c>
      <c r="CF1137" s="5">
        <v>42962</v>
      </c>
      <c r="CG1137" s="2"/>
      <c r="CH1137" s="2"/>
      <c r="CI1137" s="2">
        <v>1</v>
      </c>
      <c r="CJ1137" s="2">
        <v>2</v>
      </c>
      <c r="CK1137" s="2">
        <v>21</v>
      </c>
      <c r="CL1137" s="2" t="s">
        <v>86</v>
      </c>
      <c r="CM1137" s="2"/>
    </row>
    <row r="1138" spans="1:91">
      <c r="A1138" s="2" t="s">
        <v>71</v>
      </c>
      <c r="B1138" s="2" t="s">
        <v>72</v>
      </c>
      <c r="C1138" s="2" t="s">
        <v>73</v>
      </c>
      <c r="D1138" s="2"/>
      <c r="E1138" s="2" t="str">
        <f>"FES1162568126"</f>
        <v>FES1162568126</v>
      </c>
      <c r="F1138" s="3">
        <v>42957</v>
      </c>
      <c r="G1138" s="2">
        <v>201802</v>
      </c>
      <c r="H1138" s="2" t="s">
        <v>74</v>
      </c>
      <c r="I1138" s="2" t="s">
        <v>75</v>
      </c>
      <c r="J1138" s="2" t="s">
        <v>76</v>
      </c>
      <c r="K1138" s="2" t="s">
        <v>77</v>
      </c>
      <c r="L1138" s="2" t="s">
        <v>97</v>
      </c>
      <c r="M1138" s="2" t="s">
        <v>98</v>
      </c>
      <c r="N1138" s="2" t="s">
        <v>1626</v>
      </c>
      <c r="O1138" s="2" t="s">
        <v>100</v>
      </c>
      <c r="P1138" s="2" t="str">
        <f>"2170584225                    "</f>
        <v xml:space="preserve">2170584225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5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1.5</v>
      </c>
      <c r="BJ1138" s="2">
        <v>2.2999999999999998</v>
      </c>
      <c r="BK1138" s="2">
        <v>2.5</v>
      </c>
      <c r="BL1138" s="2">
        <v>51.8</v>
      </c>
      <c r="BM1138" s="2">
        <v>7.25</v>
      </c>
      <c r="BN1138" s="2">
        <v>59.05</v>
      </c>
      <c r="BO1138" s="2">
        <v>59.05</v>
      </c>
      <c r="BP1138" s="2"/>
      <c r="BQ1138" s="2" t="s">
        <v>108</v>
      </c>
      <c r="BR1138" s="2" t="s">
        <v>84</v>
      </c>
      <c r="BS1138" s="3">
        <v>42958</v>
      </c>
      <c r="BT1138" s="4">
        <v>0.39930555555555558</v>
      </c>
      <c r="BU1138" s="2" t="s">
        <v>1378</v>
      </c>
      <c r="BV1138" s="2" t="s">
        <v>95</v>
      </c>
      <c r="BW1138" s="2"/>
      <c r="BX1138" s="2"/>
      <c r="BY1138" s="2">
        <v>11277.46</v>
      </c>
      <c r="BZ1138" s="2"/>
      <c r="CA1138" s="2" t="s">
        <v>1628</v>
      </c>
      <c r="CB1138" s="2"/>
      <c r="CC1138" s="2" t="s">
        <v>98</v>
      </c>
      <c r="CD1138" s="2">
        <v>6012</v>
      </c>
      <c r="CE1138" s="2" t="s">
        <v>89</v>
      </c>
      <c r="CF1138" s="5">
        <v>42961</v>
      </c>
      <c r="CG1138" s="2"/>
      <c r="CH1138" s="2"/>
      <c r="CI1138" s="2">
        <v>1</v>
      </c>
      <c r="CJ1138" s="2">
        <v>1</v>
      </c>
      <c r="CK1138" s="2">
        <v>21</v>
      </c>
      <c r="CL1138" s="2" t="s">
        <v>86</v>
      </c>
      <c r="CM1138" s="2"/>
    </row>
    <row r="1139" spans="1:91">
      <c r="A1139" s="2" t="s">
        <v>71</v>
      </c>
      <c r="B1139" s="2" t="s">
        <v>72</v>
      </c>
      <c r="C1139" s="2" t="s">
        <v>73</v>
      </c>
      <c r="D1139" s="2"/>
      <c r="E1139" s="2" t="str">
        <f>"FES1162567727"</f>
        <v>FES1162567727</v>
      </c>
      <c r="F1139" s="3">
        <v>42955</v>
      </c>
      <c r="G1139" s="2">
        <v>201802</v>
      </c>
      <c r="H1139" s="2" t="s">
        <v>74</v>
      </c>
      <c r="I1139" s="2" t="s">
        <v>75</v>
      </c>
      <c r="J1139" s="2" t="s">
        <v>76</v>
      </c>
      <c r="K1139" s="2" t="s">
        <v>77</v>
      </c>
      <c r="L1139" s="2" t="s">
        <v>128</v>
      </c>
      <c r="M1139" s="2" t="s">
        <v>129</v>
      </c>
      <c r="N1139" s="2" t="s">
        <v>1860</v>
      </c>
      <c r="O1139" s="2" t="s">
        <v>100</v>
      </c>
      <c r="P1139" s="2" t="str">
        <f>"2170581296                    "</f>
        <v xml:space="preserve">2170581296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3.13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1</v>
      </c>
      <c r="BJ1139" s="2">
        <v>0.2</v>
      </c>
      <c r="BK1139" s="2">
        <v>1</v>
      </c>
      <c r="BL1139" s="2">
        <v>32.380000000000003</v>
      </c>
      <c r="BM1139" s="2">
        <v>4.53</v>
      </c>
      <c r="BN1139" s="2">
        <v>36.909999999999997</v>
      </c>
      <c r="BO1139" s="2">
        <v>36.909999999999997</v>
      </c>
      <c r="BP1139" s="2"/>
      <c r="BQ1139" s="2" t="s">
        <v>83</v>
      </c>
      <c r="BR1139" s="2" t="s">
        <v>84</v>
      </c>
      <c r="BS1139" s="3">
        <v>42961</v>
      </c>
      <c r="BT1139" s="4">
        <v>0.41666666666666669</v>
      </c>
      <c r="BU1139" s="2" t="s">
        <v>1861</v>
      </c>
      <c r="BV1139" s="2" t="s">
        <v>86</v>
      </c>
      <c r="BW1139" s="2" t="s">
        <v>548</v>
      </c>
      <c r="BX1139" s="2" t="s">
        <v>1024</v>
      </c>
      <c r="BY1139" s="2">
        <v>1200</v>
      </c>
      <c r="BZ1139" s="2"/>
      <c r="CA1139" s="2" t="s">
        <v>550</v>
      </c>
      <c r="CB1139" s="2"/>
      <c r="CC1139" s="2" t="s">
        <v>129</v>
      </c>
      <c r="CD1139" s="2">
        <v>1725</v>
      </c>
      <c r="CE1139" s="2" t="s">
        <v>104</v>
      </c>
      <c r="CF1139" s="5">
        <v>42963</v>
      </c>
      <c r="CG1139" s="2"/>
      <c r="CH1139" s="2"/>
      <c r="CI1139" s="2">
        <v>1</v>
      </c>
      <c r="CJ1139" s="2">
        <v>4</v>
      </c>
      <c r="CK1139" s="2">
        <v>22</v>
      </c>
      <c r="CL1139" s="2" t="s">
        <v>86</v>
      </c>
      <c r="CM1139" s="2"/>
    </row>
    <row r="1140" spans="1:91">
      <c r="A1140" s="2" t="s">
        <v>71</v>
      </c>
      <c r="B1140" s="2" t="s">
        <v>72</v>
      </c>
      <c r="C1140" s="2" t="s">
        <v>73</v>
      </c>
      <c r="D1140" s="2"/>
      <c r="E1140" s="2" t="str">
        <f>"FES1162566654"</f>
        <v>FES1162566654</v>
      </c>
      <c r="F1140" s="3">
        <v>42950</v>
      </c>
      <c r="G1140" s="2">
        <v>201802</v>
      </c>
      <c r="H1140" s="2" t="s">
        <v>74</v>
      </c>
      <c r="I1140" s="2" t="s">
        <v>75</v>
      </c>
      <c r="J1140" s="2" t="s">
        <v>76</v>
      </c>
      <c r="K1140" s="2" t="s">
        <v>77</v>
      </c>
      <c r="L1140" s="2" t="s">
        <v>170</v>
      </c>
      <c r="M1140" s="2" t="s">
        <v>171</v>
      </c>
      <c r="N1140" s="2" t="s">
        <v>1862</v>
      </c>
      <c r="O1140" s="2" t="s">
        <v>100</v>
      </c>
      <c r="P1140" s="2" t="str">
        <f>"2170579379 J16290             "</f>
        <v xml:space="preserve">2170579379 J16290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3.13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1</v>
      </c>
      <c r="BJ1140" s="2">
        <v>0.2</v>
      </c>
      <c r="BK1140" s="2">
        <v>1</v>
      </c>
      <c r="BL1140" s="2">
        <v>32.380000000000003</v>
      </c>
      <c r="BM1140" s="2">
        <v>4.53</v>
      </c>
      <c r="BN1140" s="2">
        <v>36.909999999999997</v>
      </c>
      <c r="BO1140" s="2">
        <v>36.909999999999997</v>
      </c>
      <c r="BP1140" s="2"/>
      <c r="BQ1140" s="2" t="s">
        <v>108</v>
      </c>
      <c r="BR1140" s="2" t="s">
        <v>84</v>
      </c>
      <c r="BS1140" s="3">
        <v>42958</v>
      </c>
      <c r="BT1140" s="4">
        <v>0.41666666666666669</v>
      </c>
      <c r="BU1140" s="2" t="s">
        <v>1863</v>
      </c>
      <c r="BV1140" s="2" t="s">
        <v>86</v>
      </c>
      <c r="BW1140" s="2" t="s">
        <v>548</v>
      </c>
      <c r="BX1140" s="2" t="s">
        <v>1024</v>
      </c>
      <c r="BY1140" s="2">
        <v>1200</v>
      </c>
      <c r="BZ1140" s="2" t="s">
        <v>27</v>
      </c>
      <c r="CA1140" s="2" t="s">
        <v>550</v>
      </c>
      <c r="CB1140" s="2"/>
      <c r="CC1140" s="2" t="s">
        <v>171</v>
      </c>
      <c r="CD1140" s="2">
        <v>1400</v>
      </c>
      <c r="CE1140" s="2" t="s">
        <v>104</v>
      </c>
      <c r="CF1140" s="5">
        <v>42963</v>
      </c>
      <c r="CG1140" s="2"/>
      <c r="CH1140" s="2"/>
      <c r="CI1140" s="2">
        <v>1</v>
      </c>
      <c r="CJ1140" s="2">
        <v>6</v>
      </c>
      <c r="CK1140" s="2">
        <v>22</v>
      </c>
      <c r="CL1140" s="2" t="s">
        <v>86</v>
      </c>
      <c r="CM1140" s="2"/>
    </row>
    <row r="1141" spans="1:91">
      <c r="A1141" s="2" t="s">
        <v>71</v>
      </c>
      <c r="B1141" s="2" t="s">
        <v>72</v>
      </c>
      <c r="C1141" s="2" t="s">
        <v>73</v>
      </c>
      <c r="D1141" s="2"/>
      <c r="E1141" s="2" t="str">
        <f>"FES1162566578"</f>
        <v>FES1162566578</v>
      </c>
      <c r="F1141" s="3">
        <v>42958</v>
      </c>
      <c r="G1141" s="2">
        <v>201802</v>
      </c>
      <c r="H1141" s="2" t="s">
        <v>74</v>
      </c>
      <c r="I1141" s="2" t="s">
        <v>75</v>
      </c>
      <c r="J1141" s="2" t="s">
        <v>76</v>
      </c>
      <c r="K1141" s="2" t="s">
        <v>77</v>
      </c>
      <c r="L1141" s="2" t="s">
        <v>105</v>
      </c>
      <c r="M1141" s="2" t="s">
        <v>106</v>
      </c>
      <c r="N1141" s="2" t="s">
        <v>1864</v>
      </c>
      <c r="O1141" s="2" t="s">
        <v>100</v>
      </c>
      <c r="P1141" s="2" t="str">
        <f>"2170582931                    "</f>
        <v xml:space="preserve">2170582931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4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1</v>
      </c>
      <c r="BI1141" s="2">
        <v>1</v>
      </c>
      <c r="BJ1141" s="2">
        <v>0.2</v>
      </c>
      <c r="BK1141" s="2">
        <v>1</v>
      </c>
      <c r="BL1141" s="2">
        <v>41.44</v>
      </c>
      <c r="BM1141" s="2">
        <v>5.8</v>
      </c>
      <c r="BN1141" s="2">
        <v>47.24</v>
      </c>
      <c r="BO1141" s="2">
        <v>47.24</v>
      </c>
      <c r="BP1141" s="2">
        <v>1</v>
      </c>
      <c r="BQ1141" s="2" t="s">
        <v>1865</v>
      </c>
      <c r="BR1141" s="2" t="s">
        <v>84</v>
      </c>
      <c r="BS1141" s="3">
        <v>42961</v>
      </c>
      <c r="BT1141" s="4">
        <v>0.52013888888888882</v>
      </c>
      <c r="BU1141" s="2" t="s">
        <v>1866</v>
      </c>
      <c r="BV1141" s="2" t="s">
        <v>86</v>
      </c>
      <c r="BW1141" s="2" t="s">
        <v>115</v>
      </c>
      <c r="BX1141" s="2" t="s">
        <v>116</v>
      </c>
      <c r="BY1141" s="2">
        <v>1200</v>
      </c>
      <c r="BZ1141" s="2"/>
      <c r="CA1141" s="2" t="s">
        <v>1867</v>
      </c>
      <c r="CB1141" s="2"/>
      <c r="CC1141" s="2" t="s">
        <v>106</v>
      </c>
      <c r="CD1141" s="2">
        <v>7404</v>
      </c>
      <c r="CE1141" s="2" t="s">
        <v>104</v>
      </c>
      <c r="CF1141" s="5">
        <v>42962</v>
      </c>
      <c r="CG1141" s="2"/>
      <c r="CH1141" s="2"/>
      <c r="CI1141" s="2">
        <v>1</v>
      </c>
      <c r="CJ1141" s="2">
        <v>1</v>
      </c>
      <c r="CK1141" s="2">
        <v>21</v>
      </c>
      <c r="CL1141" s="2" t="s">
        <v>86</v>
      </c>
      <c r="CM1141" s="2"/>
    </row>
    <row r="1142" spans="1:91">
      <c r="A1142" s="2" t="s">
        <v>71</v>
      </c>
      <c r="B1142" s="2" t="s">
        <v>72</v>
      </c>
      <c r="C1142" s="2" t="s">
        <v>73</v>
      </c>
      <c r="D1142" s="2"/>
      <c r="E1142" s="2" t="str">
        <f>"FES1162568340"</f>
        <v>FES1162568340</v>
      </c>
      <c r="F1142" s="3">
        <v>42958</v>
      </c>
      <c r="G1142" s="2">
        <v>201802</v>
      </c>
      <c r="H1142" s="2" t="s">
        <v>74</v>
      </c>
      <c r="I1142" s="2" t="s">
        <v>75</v>
      </c>
      <c r="J1142" s="2" t="s">
        <v>76</v>
      </c>
      <c r="K1142" s="2" t="s">
        <v>77</v>
      </c>
      <c r="L1142" s="2" t="s">
        <v>97</v>
      </c>
      <c r="M1142" s="2" t="s">
        <v>98</v>
      </c>
      <c r="N1142" s="2" t="s">
        <v>597</v>
      </c>
      <c r="O1142" s="2" t="s">
        <v>100</v>
      </c>
      <c r="P1142" s="2" t="str">
        <f>"2170584099                    "</f>
        <v xml:space="preserve">2170584099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4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1</v>
      </c>
      <c r="BJ1142" s="2">
        <v>0.2</v>
      </c>
      <c r="BK1142" s="2">
        <v>1</v>
      </c>
      <c r="BL1142" s="2">
        <v>41.44</v>
      </c>
      <c r="BM1142" s="2">
        <v>5.8</v>
      </c>
      <c r="BN1142" s="2">
        <v>47.24</v>
      </c>
      <c r="BO1142" s="2">
        <v>47.24</v>
      </c>
      <c r="BP1142" s="2">
        <v>1</v>
      </c>
      <c r="BQ1142" s="2" t="s">
        <v>598</v>
      </c>
      <c r="BR1142" s="2" t="s">
        <v>84</v>
      </c>
      <c r="BS1142" s="3">
        <v>42961</v>
      </c>
      <c r="BT1142" s="4">
        <v>0.38541666666666669</v>
      </c>
      <c r="BU1142" s="2" t="s">
        <v>599</v>
      </c>
      <c r="BV1142" s="2" t="s">
        <v>95</v>
      </c>
      <c r="BW1142" s="2"/>
      <c r="BX1142" s="2"/>
      <c r="BY1142" s="2">
        <v>1200</v>
      </c>
      <c r="BZ1142" s="2"/>
      <c r="CA1142" s="2" t="s">
        <v>600</v>
      </c>
      <c r="CB1142" s="2"/>
      <c r="CC1142" s="2" t="s">
        <v>98</v>
      </c>
      <c r="CD1142" s="2">
        <v>6070</v>
      </c>
      <c r="CE1142" s="2" t="s">
        <v>104</v>
      </c>
      <c r="CF1142" s="5">
        <v>42962</v>
      </c>
      <c r="CG1142" s="2"/>
      <c r="CH1142" s="2"/>
      <c r="CI1142" s="2">
        <v>1</v>
      </c>
      <c r="CJ1142" s="2">
        <v>1</v>
      </c>
      <c r="CK1142" s="2">
        <v>21</v>
      </c>
      <c r="CL1142" s="2" t="s">
        <v>86</v>
      </c>
      <c r="CM1142" s="2"/>
    </row>
    <row r="1143" spans="1:91">
      <c r="A1143" s="2" t="s">
        <v>71</v>
      </c>
      <c r="B1143" s="2" t="s">
        <v>72</v>
      </c>
      <c r="C1143" s="2" t="s">
        <v>73</v>
      </c>
      <c r="D1143" s="2"/>
      <c r="E1143" s="2" t="str">
        <f>"FES1162568293"</f>
        <v>FES1162568293</v>
      </c>
      <c r="F1143" s="3">
        <v>42958</v>
      </c>
      <c r="G1143" s="2">
        <v>201802</v>
      </c>
      <c r="H1143" s="2" t="s">
        <v>74</v>
      </c>
      <c r="I1143" s="2" t="s">
        <v>75</v>
      </c>
      <c r="J1143" s="2" t="s">
        <v>76</v>
      </c>
      <c r="K1143" s="2" t="s">
        <v>77</v>
      </c>
      <c r="L1143" s="2" t="s">
        <v>97</v>
      </c>
      <c r="M1143" s="2" t="s">
        <v>98</v>
      </c>
      <c r="N1143" s="2" t="s">
        <v>1210</v>
      </c>
      <c r="O1143" s="2" t="s">
        <v>100</v>
      </c>
      <c r="P1143" s="2" t="str">
        <f>"2170584407                    "</f>
        <v xml:space="preserve">2170584407           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4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1</v>
      </c>
      <c r="BJ1143" s="2">
        <v>0.2</v>
      </c>
      <c r="BK1143" s="2">
        <v>1</v>
      </c>
      <c r="BL1143" s="2">
        <v>41.44</v>
      </c>
      <c r="BM1143" s="2">
        <v>5.8</v>
      </c>
      <c r="BN1143" s="2">
        <v>47.24</v>
      </c>
      <c r="BO1143" s="2">
        <v>47.24</v>
      </c>
      <c r="BP1143" s="2">
        <v>1</v>
      </c>
      <c r="BQ1143" s="2" t="s">
        <v>1621</v>
      </c>
      <c r="BR1143" s="2" t="s">
        <v>84</v>
      </c>
      <c r="BS1143" s="3">
        <v>42961</v>
      </c>
      <c r="BT1143" s="4">
        <v>0.2986111111111111</v>
      </c>
      <c r="BU1143" s="2" t="s">
        <v>1211</v>
      </c>
      <c r="BV1143" s="2" t="s">
        <v>95</v>
      </c>
      <c r="BW1143" s="2"/>
      <c r="BX1143" s="2"/>
      <c r="BY1143" s="2">
        <v>1200</v>
      </c>
      <c r="BZ1143" s="2"/>
      <c r="CA1143" s="2" t="s">
        <v>294</v>
      </c>
      <c r="CB1143" s="2"/>
      <c r="CC1143" s="2" t="s">
        <v>98</v>
      </c>
      <c r="CD1143" s="2">
        <v>6012</v>
      </c>
      <c r="CE1143" s="2" t="s">
        <v>104</v>
      </c>
      <c r="CF1143" s="5">
        <v>42962</v>
      </c>
      <c r="CG1143" s="2"/>
      <c r="CH1143" s="2"/>
      <c r="CI1143" s="2">
        <v>1</v>
      </c>
      <c r="CJ1143" s="2">
        <v>1</v>
      </c>
      <c r="CK1143" s="2">
        <v>21</v>
      </c>
      <c r="CL1143" s="2" t="s">
        <v>86</v>
      </c>
      <c r="CM1143" s="2"/>
    </row>
    <row r="1144" spans="1:91">
      <c r="A1144" s="2" t="s">
        <v>71</v>
      </c>
      <c r="B1144" s="2" t="s">
        <v>72</v>
      </c>
      <c r="C1144" s="2" t="s">
        <v>73</v>
      </c>
      <c r="D1144" s="2"/>
      <c r="E1144" s="2" t="str">
        <f>"FES1162568315"</f>
        <v>FES1162568315</v>
      </c>
      <c r="F1144" s="3">
        <v>42958</v>
      </c>
      <c r="G1144" s="2">
        <v>201802</v>
      </c>
      <c r="H1144" s="2" t="s">
        <v>74</v>
      </c>
      <c r="I1144" s="2" t="s">
        <v>75</v>
      </c>
      <c r="J1144" s="2" t="s">
        <v>76</v>
      </c>
      <c r="K1144" s="2" t="s">
        <v>77</v>
      </c>
      <c r="L1144" s="2" t="s">
        <v>449</v>
      </c>
      <c r="M1144" s="2" t="s">
        <v>1263</v>
      </c>
      <c r="N1144" s="2" t="s">
        <v>1868</v>
      </c>
      <c r="O1144" s="2" t="s">
        <v>100</v>
      </c>
      <c r="P1144" s="2" t="str">
        <f>"2170581111                    "</f>
        <v xml:space="preserve">2170581111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7.75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1</v>
      </c>
      <c r="BJ1144" s="2">
        <v>0.2</v>
      </c>
      <c r="BK1144" s="2">
        <v>1</v>
      </c>
      <c r="BL1144" s="2">
        <v>80.290000000000006</v>
      </c>
      <c r="BM1144" s="2">
        <v>11.24</v>
      </c>
      <c r="BN1144" s="2">
        <v>91.53</v>
      </c>
      <c r="BO1144" s="2">
        <v>91.53</v>
      </c>
      <c r="BP1144" s="2">
        <v>1</v>
      </c>
      <c r="BQ1144" s="2" t="s">
        <v>288</v>
      </c>
      <c r="BR1144" s="2" t="s">
        <v>84</v>
      </c>
      <c r="BS1144" s="3">
        <v>42961</v>
      </c>
      <c r="BT1144" s="4">
        <v>0.5</v>
      </c>
      <c r="BU1144" s="2" t="s">
        <v>1869</v>
      </c>
      <c r="BV1144" s="2" t="s">
        <v>95</v>
      </c>
      <c r="BW1144" s="2"/>
      <c r="BX1144" s="2"/>
      <c r="BY1144" s="2">
        <v>1200</v>
      </c>
      <c r="BZ1144" s="2"/>
      <c r="CA1144" s="2" t="s">
        <v>148</v>
      </c>
      <c r="CB1144" s="2"/>
      <c r="CC1144" s="2" t="s">
        <v>1263</v>
      </c>
      <c r="CD1144" s="2">
        <v>5319</v>
      </c>
      <c r="CE1144" s="2" t="s">
        <v>104</v>
      </c>
      <c r="CF1144" s="5">
        <v>42963</v>
      </c>
      <c r="CG1144" s="2"/>
      <c r="CH1144" s="2"/>
      <c r="CI1144" s="2">
        <v>4</v>
      </c>
      <c r="CJ1144" s="2">
        <v>1</v>
      </c>
      <c r="CK1144" s="2">
        <v>23</v>
      </c>
      <c r="CL1144" s="2" t="s">
        <v>86</v>
      </c>
      <c r="CM1144" s="2"/>
    </row>
    <row r="1145" spans="1:91">
      <c r="A1145" s="2" t="s">
        <v>71</v>
      </c>
      <c r="B1145" s="2" t="s">
        <v>72</v>
      </c>
      <c r="C1145" s="2" t="s">
        <v>73</v>
      </c>
      <c r="D1145" s="2"/>
      <c r="E1145" s="2" t="str">
        <f>"FES1162568308"</f>
        <v>FES1162568308</v>
      </c>
      <c r="F1145" s="3">
        <v>42958</v>
      </c>
      <c r="G1145" s="2">
        <v>201802</v>
      </c>
      <c r="H1145" s="2" t="s">
        <v>74</v>
      </c>
      <c r="I1145" s="2" t="s">
        <v>75</v>
      </c>
      <c r="J1145" s="2" t="s">
        <v>76</v>
      </c>
      <c r="K1145" s="2" t="s">
        <v>77</v>
      </c>
      <c r="L1145" s="2" t="s">
        <v>74</v>
      </c>
      <c r="M1145" s="2" t="s">
        <v>75</v>
      </c>
      <c r="N1145" s="2" t="s">
        <v>1870</v>
      </c>
      <c r="O1145" s="2" t="s">
        <v>100</v>
      </c>
      <c r="P1145" s="2" t="str">
        <f>"2170584425                    "</f>
        <v xml:space="preserve">2170584425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3.13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1</v>
      </c>
      <c r="BJ1145" s="2">
        <v>0.2</v>
      </c>
      <c r="BK1145" s="2">
        <v>1</v>
      </c>
      <c r="BL1145" s="2">
        <v>32.380000000000003</v>
      </c>
      <c r="BM1145" s="2">
        <v>4.53</v>
      </c>
      <c r="BN1145" s="2">
        <v>36.909999999999997</v>
      </c>
      <c r="BO1145" s="2">
        <v>36.909999999999997</v>
      </c>
      <c r="BP1145" s="2">
        <v>1</v>
      </c>
      <c r="BQ1145" s="2" t="s">
        <v>1871</v>
      </c>
      <c r="BR1145" s="2" t="s">
        <v>84</v>
      </c>
      <c r="BS1145" s="3">
        <v>42961</v>
      </c>
      <c r="BT1145" s="4">
        <v>0.33333333333333331</v>
      </c>
      <c r="BU1145" s="2" t="s">
        <v>1872</v>
      </c>
      <c r="BV1145" s="2" t="s">
        <v>95</v>
      </c>
      <c r="BW1145" s="2"/>
      <c r="BX1145" s="2"/>
      <c r="BY1145" s="2">
        <v>1200</v>
      </c>
      <c r="BZ1145" s="2"/>
      <c r="CA1145" s="2" t="s">
        <v>267</v>
      </c>
      <c r="CB1145" s="2"/>
      <c r="CC1145" s="2" t="s">
        <v>75</v>
      </c>
      <c r="CD1145" s="2">
        <v>1645</v>
      </c>
      <c r="CE1145" s="2" t="s">
        <v>104</v>
      </c>
      <c r="CF1145" s="5">
        <v>42962</v>
      </c>
      <c r="CG1145" s="2"/>
      <c r="CH1145" s="2"/>
      <c r="CI1145" s="2">
        <v>1</v>
      </c>
      <c r="CJ1145" s="2">
        <v>1</v>
      </c>
      <c r="CK1145" s="2">
        <v>22</v>
      </c>
      <c r="CL1145" s="2" t="s">
        <v>86</v>
      </c>
      <c r="CM1145" s="2"/>
    </row>
    <row r="1146" spans="1:91">
      <c r="A1146" s="2" t="s">
        <v>71</v>
      </c>
      <c r="B1146" s="2" t="s">
        <v>72</v>
      </c>
      <c r="C1146" s="2" t="s">
        <v>73</v>
      </c>
      <c r="D1146" s="2"/>
      <c r="E1146" s="2" t="str">
        <f>"FES1162568289"</f>
        <v>FES1162568289</v>
      </c>
      <c r="F1146" s="3">
        <v>42958</v>
      </c>
      <c r="G1146" s="2">
        <v>201802</v>
      </c>
      <c r="H1146" s="2" t="s">
        <v>74</v>
      </c>
      <c r="I1146" s="2" t="s">
        <v>75</v>
      </c>
      <c r="J1146" s="2" t="s">
        <v>76</v>
      </c>
      <c r="K1146" s="2" t="s">
        <v>77</v>
      </c>
      <c r="L1146" s="2" t="s">
        <v>170</v>
      </c>
      <c r="M1146" s="2" t="s">
        <v>171</v>
      </c>
      <c r="N1146" s="2" t="s">
        <v>1873</v>
      </c>
      <c r="O1146" s="2" t="s">
        <v>100</v>
      </c>
      <c r="P1146" s="2" t="str">
        <f>"2170584409                    "</f>
        <v xml:space="preserve">2170584409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3.13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1</v>
      </c>
      <c r="BJ1146" s="2">
        <v>0.2</v>
      </c>
      <c r="BK1146" s="2">
        <v>1</v>
      </c>
      <c r="BL1146" s="2">
        <v>32.380000000000003</v>
      </c>
      <c r="BM1146" s="2">
        <v>4.53</v>
      </c>
      <c r="BN1146" s="2">
        <v>36.909999999999997</v>
      </c>
      <c r="BO1146" s="2">
        <v>36.909999999999997</v>
      </c>
      <c r="BP1146" s="2">
        <v>1</v>
      </c>
      <c r="BQ1146" s="2" t="s">
        <v>1874</v>
      </c>
      <c r="BR1146" s="2" t="s">
        <v>84</v>
      </c>
      <c r="BS1146" s="3">
        <v>42961</v>
      </c>
      <c r="BT1146" s="4">
        <v>0.43124999999999997</v>
      </c>
      <c r="BU1146" s="2" t="s">
        <v>1236</v>
      </c>
      <c r="BV1146" s="2" t="s">
        <v>95</v>
      </c>
      <c r="BW1146" s="2"/>
      <c r="BX1146" s="2"/>
      <c r="BY1146" s="2">
        <v>1200</v>
      </c>
      <c r="BZ1146" s="2"/>
      <c r="CA1146" s="2" t="s">
        <v>1617</v>
      </c>
      <c r="CB1146" s="2"/>
      <c r="CC1146" s="2" t="s">
        <v>171</v>
      </c>
      <c r="CD1146" s="2">
        <v>1401</v>
      </c>
      <c r="CE1146" s="2" t="s">
        <v>104</v>
      </c>
      <c r="CF1146" s="5">
        <v>42962</v>
      </c>
      <c r="CG1146" s="2"/>
      <c r="CH1146" s="2"/>
      <c r="CI1146" s="2">
        <v>1</v>
      </c>
      <c r="CJ1146" s="2">
        <v>1</v>
      </c>
      <c r="CK1146" s="2">
        <v>22</v>
      </c>
      <c r="CL1146" s="2" t="s">
        <v>86</v>
      </c>
      <c r="CM1146" s="2"/>
    </row>
    <row r="1147" spans="1:91">
      <c r="A1147" s="2" t="s">
        <v>71</v>
      </c>
      <c r="B1147" s="2" t="s">
        <v>72</v>
      </c>
      <c r="C1147" s="2" t="s">
        <v>73</v>
      </c>
      <c r="D1147" s="2"/>
      <c r="E1147" s="2" t="str">
        <f>"FES1162568268"</f>
        <v>FES1162568268</v>
      </c>
      <c r="F1147" s="3">
        <v>42958</v>
      </c>
      <c r="G1147" s="2">
        <v>201802</v>
      </c>
      <c r="H1147" s="2" t="s">
        <v>74</v>
      </c>
      <c r="I1147" s="2" t="s">
        <v>75</v>
      </c>
      <c r="J1147" s="2" t="s">
        <v>76</v>
      </c>
      <c r="K1147" s="2" t="s">
        <v>77</v>
      </c>
      <c r="L1147" s="2" t="s">
        <v>417</v>
      </c>
      <c r="M1147" s="2" t="s">
        <v>417</v>
      </c>
      <c r="N1147" s="2" t="s">
        <v>458</v>
      </c>
      <c r="O1147" s="2" t="s">
        <v>100</v>
      </c>
      <c r="P1147" s="2" t="str">
        <f>"2170582573                    "</f>
        <v xml:space="preserve">2170582573 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4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1</v>
      </c>
      <c r="BJ1147" s="2">
        <v>0.2</v>
      </c>
      <c r="BK1147" s="2">
        <v>1</v>
      </c>
      <c r="BL1147" s="2">
        <v>41.44</v>
      </c>
      <c r="BM1147" s="2">
        <v>5.8</v>
      </c>
      <c r="BN1147" s="2">
        <v>47.24</v>
      </c>
      <c r="BO1147" s="2">
        <v>47.24</v>
      </c>
      <c r="BP1147" s="2">
        <v>1</v>
      </c>
      <c r="BQ1147" s="2" t="s">
        <v>83</v>
      </c>
      <c r="BR1147" s="2" t="s">
        <v>84</v>
      </c>
      <c r="BS1147" s="3">
        <v>42961</v>
      </c>
      <c r="BT1147" s="4">
        <v>0.49652777777777773</v>
      </c>
      <c r="BU1147" s="2" t="s">
        <v>1875</v>
      </c>
      <c r="BV1147" s="2" t="s">
        <v>95</v>
      </c>
      <c r="BW1147" s="2"/>
      <c r="BX1147" s="2"/>
      <c r="BY1147" s="2">
        <v>1200</v>
      </c>
      <c r="BZ1147" s="2"/>
      <c r="CA1147" s="2" t="s">
        <v>460</v>
      </c>
      <c r="CB1147" s="2"/>
      <c r="CC1147" s="2" t="s">
        <v>417</v>
      </c>
      <c r="CD1147" s="2">
        <v>7646</v>
      </c>
      <c r="CE1147" s="2" t="s">
        <v>104</v>
      </c>
      <c r="CF1147" s="5">
        <v>42962</v>
      </c>
      <c r="CG1147" s="2"/>
      <c r="CH1147" s="2"/>
      <c r="CI1147" s="2">
        <v>1</v>
      </c>
      <c r="CJ1147" s="2">
        <v>1</v>
      </c>
      <c r="CK1147" s="2">
        <v>21</v>
      </c>
      <c r="CL1147" s="2" t="s">
        <v>86</v>
      </c>
      <c r="CM1147" s="2"/>
    </row>
    <row r="1148" spans="1:91">
      <c r="A1148" s="2" t="s">
        <v>71</v>
      </c>
      <c r="B1148" s="2" t="s">
        <v>72</v>
      </c>
      <c r="C1148" s="2" t="s">
        <v>73</v>
      </c>
      <c r="D1148" s="2"/>
      <c r="E1148" s="2" t="str">
        <f>"FES1162568321"</f>
        <v>FES1162568321</v>
      </c>
      <c r="F1148" s="3">
        <v>42958</v>
      </c>
      <c r="G1148" s="2">
        <v>201802</v>
      </c>
      <c r="H1148" s="2" t="s">
        <v>74</v>
      </c>
      <c r="I1148" s="2" t="s">
        <v>75</v>
      </c>
      <c r="J1148" s="2" t="s">
        <v>76</v>
      </c>
      <c r="K1148" s="2" t="s">
        <v>77</v>
      </c>
      <c r="L1148" s="2" t="s">
        <v>105</v>
      </c>
      <c r="M1148" s="2" t="s">
        <v>106</v>
      </c>
      <c r="N1148" s="2" t="s">
        <v>1093</v>
      </c>
      <c r="O1148" s="2" t="s">
        <v>100</v>
      </c>
      <c r="P1148" s="2" t="str">
        <f>"2170581725                    "</f>
        <v xml:space="preserve">2170581725 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4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1</v>
      </c>
      <c r="BJ1148" s="2">
        <v>0.2</v>
      </c>
      <c r="BK1148" s="2">
        <v>1</v>
      </c>
      <c r="BL1148" s="2">
        <v>41.44</v>
      </c>
      <c r="BM1148" s="2">
        <v>5.8</v>
      </c>
      <c r="BN1148" s="2">
        <v>47.24</v>
      </c>
      <c r="BO1148" s="2">
        <v>47.24</v>
      </c>
      <c r="BP1148" s="2">
        <v>1</v>
      </c>
      <c r="BQ1148" s="2" t="s">
        <v>83</v>
      </c>
      <c r="BR1148" s="2" t="s">
        <v>84</v>
      </c>
      <c r="BS1148" s="3">
        <v>42961</v>
      </c>
      <c r="BT1148" s="4">
        <v>0.40208333333333335</v>
      </c>
      <c r="BU1148" s="2" t="s">
        <v>1693</v>
      </c>
      <c r="BV1148" s="2" t="s">
        <v>95</v>
      </c>
      <c r="BW1148" s="2"/>
      <c r="BX1148" s="2"/>
      <c r="BY1148" s="2">
        <v>1200</v>
      </c>
      <c r="BZ1148" s="2"/>
      <c r="CA1148" s="2" t="s">
        <v>1694</v>
      </c>
      <c r="CB1148" s="2"/>
      <c r="CC1148" s="2" t="s">
        <v>106</v>
      </c>
      <c r="CD1148" s="2">
        <v>7975</v>
      </c>
      <c r="CE1148" s="2" t="s">
        <v>104</v>
      </c>
      <c r="CF1148" s="5">
        <v>42962</v>
      </c>
      <c r="CG1148" s="2"/>
      <c r="CH1148" s="2"/>
      <c r="CI1148" s="2">
        <v>1</v>
      </c>
      <c r="CJ1148" s="2">
        <v>1</v>
      </c>
      <c r="CK1148" s="2">
        <v>21</v>
      </c>
      <c r="CL1148" s="2" t="s">
        <v>86</v>
      </c>
      <c r="CM1148" s="2"/>
    </row>
    <row r="1149" spans="1:91">
      <c r="A1149" s="2" t="s">
        <v>71</v>
      </c>
      <c r="B1149" s="2" t="s">
        <v>72</v>
      </c>
      <c r="C1149" s="2" t="s">
        <v>73</v>
      </c>
      <c r="D1149" s="2"/>
      <c r="E1149" s="2" t="str">
        <f>"FES1162567795"</f>
        <v>FES1162567795</v>
      </c>
      <c r="F1149" s="3">
        <v>42958</v>
      </c>
      <c r="G1149" s="2">
        <v>201802</v>
      </c>
      <c r="H1149" s="2" t="s">
        <v>74</v>
      </c>
      <c r="I1149" s="2" t="s">
        <v>75</v>
      </c>
      <c r="J1149" s="2" t="s">
        <v>76</v>
      </c>
      <c r="K1149" s="2" t="s">
        <v>77</v>
      </c>
      <c r="L1149" s="2" t="s">
        <v>105</v>
      </c>
      <c r="M1149" s="2" t="s">
        <v>106</v>
      </c>
      <c r="N1149" s="2" t="s">
        <v>1491</v>
      </c>
      <c r="O1149" s="2" t="s">
        <v>100</v>
      </c>
      <c r="P1149" s="2" t="str">
        <f>"2170583942                    "</f>
        <v xml:space="preserve">2170583942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4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1</v>
      </c>
      <c r="BJ1149" s="2">
        <v>0.2</v>
      </c>
      <c r="BK1149" s="2">
        <v>1</v>
      </c>
      <c r="BL1149" s="2">
        <v>41.44</v>
      </c>
      <c r="BM1149" s="2">
        <v>5.8</v>
      </c>
      <c r="BN1149" s="2">
        <v>47.24</v>
      </c>
      <c r="BO1149" s="2">
        <v>47.24</v>
      </c>
      <c r="BP1149" s="2">
        <v>1</v>
      </c>
      <c r="BQ1149" s="2" t="s">
        <v>1492</v>
      </c>
      <c r="BR1149" s="2" t="s">
        <v>84</v>
      </c>
      <c r="BS1149" s="3">
        <v>42961</v>
      </c>
      <c r="BT1149" s="4">
        <v>0.42499999999999999</v>
      </c>
      <c r="BU1149" s="2" t="s">
        <v>1876</v>
      </c>
      <c r="BV1149" s="2" t="s">
        <v>95</v>
      </c>
      <c r="BW1149" s="2"/>
      <c r="BX1149" s="2"/>
      <c r="BY1149" s="2">
        <v>1200</v>
      </c>
      <c r="BZ1149" s="2"/>
      <c r="CA1149" s="2" t="s">
        <v>278</v>
      </c>
      <c r="CB1149" s="2"/>
      <c r="CC1149" s="2" t="s">
        <v>106</v>
      </c>
      <c r="CD1149" s="2">
        <v>7490</v>
      </c>
      <c r="CE1149" s="2" t="s">
        <v>104</v>
      </c>
      <c r="CF1149" s="5">
        <v>42962</v>
      </c>
      <c r="CG1149" s="2"/>
      <c r="CH1149" s="2"/>
      <c r="CI1149" s="2">
        <v>1</v>
      </c>
      <c r="CJ1149" s="2">
        <v>1</v>
      </c>
      <c r="CK1149" s="2">
        <v>21</v>
      </c>
      <c r="CL1149" s="2" t="s">
        <v>86</v>
      </c>
      <c r="CM1149" s="2"/>
    </row>
    <row r="1150" spans="1:91">
      <c r="A1150" s="2" t="s">
        <v>71</v>
      </c>
      <c r="B1150" s="2" t="s">
        <v>72</v>
      </c>
      <c r="C1150" s="2" t="s">
        <v>73</v>
      </c>
      <c r="D1150" s="2"/>
      <c r="E1150" s="2" t="str">
        <f>"FES1162568347"</f>
        <v>FES1162568347</v>
      </c>
      <c r="F1150" s="3">
        <v>42958</v>
      </c>
      <c r="G1150" s="2">
        <v>201802</v>
      </c>
      <c r="H1150" s="2" t="s">
        <v>74</v>
      </c>
      <c r="I1150" s="2" t="s">
        <v>75</v>
      </c>
      <c r="J1150" s="2" t="s">
        <v>76</v>
      </c>
      <c r="K1150" s="2" t="s">
        <v>77</v>
      </c>
      <c r="L1150" s="2" t="s">
        <v>105</v>
      </c>
      <c r="M1150" s="2" t="s">
        <v>106</v>
      </c>
      <c r="N1150" s="2" t="s">
        <v>867</v>
      </c>
      <c r="O1150" s="2" t="s">
        <v>100</v>
      </c>
      <c r="P1150" s="2" t="str">
        <f>"2170584436                    "</f>
        <v xml:space="preserve">2170584436  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4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1</v>
      </c>
      <c r="BJ1150" s="2">
        <v>0.2</v>
      </c>
      <c r="BK1150" s="2">
        <v>1</v>
      </c>
      <c r="BL1150" s="2">
        <v>41.44</v>
      </c>
      <c r="BM1150" s="2">
        <v>5.8</v>
      </c>
      <c r="BN1150" s="2">
        <v>47.24</v>
      </c>
      <c r="BO1150" s="2">
        <v>47.24</v>
      </c>
      <c r="BP1150" s="2">
        <v>1</v>
      </c>
      <c r="BQ1150" s="2" t="s">
        <v>1877</v>
      </c>
      <c r="BR1150" s="2" t="s">
        <v>84</v>
      </c>
      <c r="BS1150" s="3">
        <v>42961</v>
      </c>
      <c r="BT1150" s="4">
        <v>0.33680555555555558</v>
      </c>
      <c r="BU1150" s="2" t="s">
        <v>1878</v>
      </c>
      <c r="BV1150" s="2" t="s">
        <v>95</v>
      </c>
      <c r="BW1150" s="2"/>
      <c r="BX1150" s="2"/>
      <c r="BY1150" s="2">
        <v>1200</v>
      </c>
      <c r="BZ1150" s="2"/>
      <c r="CA1150" s="2" t="s">
        <v>869</v>
      </c>
      <c r="CB1150" s="2"/>
      <c r="CC1150" s="2" t="s">
        <v>106</v>
      </c>
      <c r="CD1150" s="2">
        <v>7460</v>
      </c>
      <c r="CE1150" s="2" t="s">
        <v>104</v>
      </c>
      <c r="CF1150" s="5">
        <v>42962</v>
      </c>
      <c r="CG1150" s="2"/>
      <c r="CH1150" s="2"/>
      <c r="CI1150" s="2">
        <v>1</v>
      </c>
      <c r="CJ1150" s="2">
        <v>1</v>
      </c>
      <c r="CK1150" s="2">
        <v>21</v>
      </c>
      <c r="CL1150" s="2" t="s">
        <v>86</v>
      </c>
      <c r="CM1150" s="2"/>
    </row>
    <row r="1151" spans="1:91">
      <c r="A1151" s="2" t="s">
        <v>71</v>
      </c>
      <c r="B1151" s="2" t="s">
        <v>72</v>
      </c>
      <c r="C1151" s="2" t="s">
        <v>73</v>
      </c>
      <c r="D1151" s="2"/>
      <c r="E1151" s="2" t="str">
        <f>"FES1162568371"</f>
        <v>FES1162568371</v>
      </c>
      <c r="F1151" s="3">
        <v>42958</v>
      </c>
      <c r="G1151" s="2">
        <v>201802</v>
      </c>
      <c r="H1151" s="2" t="s">
        <v>74</v>
      </c>
      <c r="I1151" s="2" t="s">
        <v>75</v>
      </c>
      <c r="J1151" s="2" t="s">
        <v>76</v>
      </c>
      <c r="K1151" s="2" t="s">
        <v>77</v>
      </c>
      <c r="L1151" s="2" t="s">
        <v>268</v>
      </c>
      <c r="M1151" s="2" t="s">
        <v>269</v>
      </c>
      <c r="N1151" s="2" t="s">
        <v>635</v>
      </c>
      <c r="O1151" s="2" t="s">
        <v>100</v>
      </c>
      <c r="P1151" s="2" t="str">
        <f>"2170584459                    "</f>
        <v xml:space="preserve">2170584459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4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1</v>
      </c>
      <c r="BJ1151" s="2">
        <v>0.2</v>
      </c>
      <c r="BK1151" s="2">
        <v>1</v>
      </c>
      <c r="BL1151" s="2">
        <v>41.44</v>
      </c>
      <c r="BM1151" s="2">
        <v>5.8</v>
      </c>
      <c r="BN1151" s="2">
        <v>47.24</v>
      </c>
      <c r="BO1151" s="2">
        <v>47.24</v>
      </c>
      <c r="BP1151" s="2">
        <v>1</v>
      </c>
      <c r="BQ1151" s="2" t="s">
        <v>636</v>
      </c>
      <c r="BR1151" s="2" t="s">
        <v>84</v>
      </c>
      <c r="BS1151" s="3">
        <v>42961</v>
      </c>
      <c r="BT1151" s="4">
        <v>0.45833333333333331</v>
      </c>
      <c r="BU1151" s="2" t="s">
        <v>1879</v>
      </c>
      <c r="BV1151" s="2" t="s">
        <v>86</v>
      </c>
      <c r="BW1151" s="2"/>
      <c r="BX1151" s="2"/>
      <c r="BY1151" s="2">
        <v>1200</v>
      </c>
      <c r="BZ1151" s="2"/>
      <c r="CA1151" s="2" t="s">
        <v>1880</v>
      </c>
      <c r="CB1151" s="2"/>
      <c r="CC1151" s="2" t="s">
        <v>269</v>
      </c>
      <c r="CD1151" s="2">
        <v>184</v>
      </c>
      <c r="CE1151" s="2" t="s">
        <v>104</v>
      </c>
      <c r="CF1151" s="5">
        <v>42962</v>
      </c>
      <c r="CG1151" s="2"/>
      <c r="CH1151" s="2"/>
      <c r="CI1151" s="2">
        <v>1</v>
      </c>
      <c r="CJ1151" s="2">
        <v>1</v>
      </c>
      <c r="CK1151" s="2">
        <v>21</v>
      </c>
      <c r="CL1151" s="2" t="s">
        <v>86</v>
      </c>
      <c r="CM1151" s="2"/>
    </row>
    <row r="1152" spans="1:91">
      <c r="A1152" s="2" t="s">
        <v>71</v>
      </c>
      <c r="B1152" s="2" t="s">
        <v>72</v>
      </c>
      <c r="C1152" s="2" t="s">
        <v>73</v>
      </c>
      <c r="D1152" s="2"/>
      <c r="E1152" s="2" t="str">
        <f>"FES1162568332"</f>
        <v>FES1162568332</v>
      </c>
      <c r="F1152" s="3">
        <v>42958</v>
      </c>
      <c r="G1152" s="2">
        <v>201802</v>
      </c>
      <c r="H1152" s="2" t="s">
        <v>74</v>
      </c>
      <c r="I1152" s="2" t="s">
        <v>75</v>
      </c>
      <c r="J1152" s="2" t="s">
        <v>76</v>
      </c>
      <c r="K1152" s="2" t="s">
        <v>77</v>
      </c>
      <c r="L1152" s="2" t="s">
        <v>268</v>
      </c>
      <c r="M1152" s="2" t="s">
        <v>269</v>
      </c>
      <c r="N1152" s="2" t="s">
        <v>442</v>
      </c>
      <c r="O1152" s="2" t="s">
        <v>100</v>
      </c>
      <c r="P1152" s="2" t="str">
        <f>"2170582598                    "</f>
        <v xml:space="preserve">2170582598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4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1</v>
      </c>
      <c r="BJ1152" s="2">
        <v>0.2</v>
      </c>
      <c r="BK1152" s="2">
        <v>1</v>
      </c>
      <c r="BL1152" s="2">
        <v>41.44</v>
      </c>
      <c r="BM1152" s="2">
        <v>5.8</v>
      </c>
      <c r="BN1152" s="2">
        <v>47.24</v>
      </c>
      <c r="BO1152" s="2">
        <v>47.24</v>
      </c>
      <c r="BP1152" s="2">
        <v>1</v>
      </c>
      <c r="BQ1152" s="2" t="s">
        <v>83</v>
      </c>
      <c r="BR1152" s="2" t="s">
        <v>84</v>
      </c>
      <c r="BS1152" s="3">
        <v>42961</v>
      </c>
      <c r="BT1152" s="4">
        <v>0.43055555555555558</v>
      </c>
      <c r="BU1152" s="2" t="s">
        <v>443</v>
      </c>
      <c r="BV1152" s="2" t="s">
        <v>95</v>
      </c>
      <c r="BW1152" s="2"/>
      <c r="BX1152" s="2"/>
      <c r="BY1152" s="2">
        <v>1200</v>
      </c>
      <c r="BZ1152" s="2"/>
      <c r="CA1152" s="2" t="s">
        <v>445</v>
      </c>
      <c r="CB1152" s="2"/>
      <c r="CC1152" s="2" t="s">
        <v>269</v>
      </c>
      <c r="CD1152" s="2">
        <v>1</v>
      </c>
      <c r="CE1152" s="2" t="s">
        <v>104</v>
      </c>
      <c r="CF1152" s="5">
        <v>42962</v>
      </c>
      <c r="CG1152" s="2"/>
      <c r="CH1152" s="2"/>
      <c r="CI1152" s="2">
        <v>1</v>
      </c>
      <c r="CJ1152" s="2">
        <v>1</v>
      </c>
      <c r="CK1152" s="2">
        <v>21</v>
      </c>
      <c r="CL1152" s="2" t="s">
        <v>86</v>
      </c>
      <c r="CM1152" s="2"/>
    </row>
    <row r="1153" spans="1:91">
      <c r="A1153" s="2" t="s">
        <v>71</v>
      </c>
      <c r="B1153" s="2" t="s">
        <v>72</v>
      </c>
      <c r="C1153" s="2" t="s">
        <v>73</v>
      </c>
      <c r="D1153" s="2"/>
      <c r="E1153" s="2" t="str">
        <f>"FES1162568282"</f>
        <v>FES1162568282</v>
      </c>
      <c r="F1153" s="3">
        <v>42958</v>
      </c>
      <c r="G1153" s="2">
        <v>201802</v>
      </c>
      <c r="H1153" s="2" t="s">
        <v>74</v>
      </c>
      <c r="I1153" s="2" t="s">
        <v>75</v>
      </c>
      <c r="J1153" s="2" t="s">
        <v>76</v>
      </c>
      <c r="K1153" s="2" t="s">
        <v>77</v>
      </c>
      <c r="L1153" s="2" t="s">
        <v>306</v>
      </c>
      <c r="M1153" s="2" t="s">
        <v>307</v>
      </c>
      <c r="N1153" s="2" t="s">
        <v>1881</v>
      </c>
      <c r="O1153" s="2" t="s">
        <v>100</v>
      </c>
      <c r="P1153" s="2" t="str">
        <f>"2170584346                    "</f>
        <v xml:space="preserve">2170584346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4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1</v>
      </c>
      <c r="BI1153" s="2">
        <v>1</v>
      </c>
      <c r="BJ1153" s="2">
        <v>0.2</v>
      </c>
      <c r="BK1153" s="2">
        <v>1</v>
      </c>
      <c r="BL1153" s="2">
        <v>41.44</v>
      </c>
      <c r="BM1153" s="2">
        <v>5.8</v>
      </c>
      <c r="BN1153" s="2">
        <v>47.24</v>
      </c>
      <c r="BO1153" s="2">
        <v>47.24</v>
      </c>
      <c r="BP1153" s="2">
        <v>1</v>
      </c>
      <c r="BQ1153" s="2"/>
      <c r="BR1153" s="2" t="s">
        <v>84</v>
      </c>
      <c r="BS1153" s="3">
        <v>42961</v>
      </c>
      <c r="BT1153" s="4">
        <v>0.49444444444444446</v>
      </c>
      <c r="BU1153" s="2" t="s">
        <v>1882</v>
      </c>
      <c r="BV1153" s="2" t="s">
        <v>86</v>
      </c>
      <c r="BW1153" s="2"/>
      <c r="BX1153" s="2"/>
      <c r="BY1153" s="2">
        <v>1200</v>
      </c>
      <c r="BZ1153" s="2"/>
      <c r="CA1153" s="2" t="s">
        <v>951</v>
      </c>
      <c r="CB1153" s="2"/>
      <c r="CC1153" s="2" t="s">
        <v>307</v>
      </c>
      <c r="CD1153" s="2">
        <v>1961</v>
      </c>
      <c r="CE1153" s="2" t="s">
        <v>104</v>
      </c>
      <c r="CF1153" s="5">
        <v>42962</v>
      </c>
      <c r="CG1153" s="2"/>
      <c r="CH1153" s="2"/>
      <c r="CI1153" s="2">
        <v>1</v>
      </c>
      <c r="CJ1153" s="2">
        <v>1</v>
      </c>
      <c r="CK1153" s="2">
        <v>21</v>
      </c>
      <c r="CL1153" s="2" t="s">
        <v>86</v>
      </c>
      <c r="CM1153" s="2"/>
    </row>
    <row r="1154" spans="1:91">
      <c r="A1154" s="2" t="s">
        <v>71</v>
      </c>
      <c r="B1154" s="2" t="s">
        <v>72</v>
      </c>
      <c r="C1154" s="2" t="s">
        <v>73</v>
      </c>
      <c r="D1154" s="2"/>
      <c r="E1154" s="2" t="str">
        <f>"FES1162568366"</f>
        <v>FES1162568366</v>
      </c>
      <c r="F1154" s="3">
        <v>42958</v>
      </c>
      <c r="G1154" s="2">
        <v>201802</v>
      </c>
      <c r="H1154" s="2" t="s">
        <v>74</v>
      </c>
      <c r="I1154" s="2" t="s">
        <v>75</v>
      </c>
      <c r="J1154" s="2" t="s">
        <v>76</v>
      </c>
      <c r="K1154" s="2" t="s">
        <v>77</v>
      </c>
      <c r="L1154" s="2" t="s">
        <v>268</v>
      </c>
      <c r="M1154" s="2" t="s">
        <v>269</v>
      </c>
      <c r="N1154" s="2" t="s">
        <v>635</v>
      </c>
      <c r="O1154" s="2" t="s">
        <v>100</v>
      </c>
      <c r="P1154" s="2" t="str">
        <f>"2170584452                    "</f>
        <v xml:space="preserve">2170584452 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4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1</v>
      </c>
      <c r="BJ1154" s="2">
        <v>0.2</v>
      </c>
      <c r="BK1154" s="2">
        <v>1</v>
      </c>
      <c r="BL1154" s="2">
        <v>41.44</v>
      </c>
      <c r="BM1154" s="2">
        <v>5.8</v>
      </c>
      <c r="BN1154" s="2">
        <v>47.24</v>
      </c>
      <c r="BO1154" s="2">
        <v>47.24</v>
      </c>
      <c r="BP1154" s="2">
        <v>1</v>
      </c>
      <c r="BQ1154" s="2" t="s">
        <v>636</v>
      </c>
      <c r="BR1154" s="2" t="s">
        <v>84</v>
      </c>
      <c r="BS1154" s="3">
        <v>42961</v>
      </c>
      <c r="BT1154" s="4">
        <v>0.45833333333333331</v>
      </c>
      <c r="BU1154" s="2" t="s">
        <v>1883</v>
      </c>
      <c r="BV1154" s="2" t="s">
        <v>86</v>
      </c>
      <c r="BW1154" s="2"/>
      <c r="BX1154" s="2"/>
      <c r="BY1154" s="2">
        <v>1200</v>
      </c>
      <c r="BZ1154" s="2"/>
      <c r="CA1154" s="2" t="s">
        <v>1880</v>
      </c>
      <c r="CB1154" s="2"/>
      <c r="CC1154" s="2" t="s">
        <v>269</v>
      </c>
      <c r="CD1154" s="2">
        <v>184</v>
      </c>
      <c r="CE1154" s="2" t="s">
        <v>104</v>
      </c>
      <c r="CF1154" s="5">
        <v>42962</v>
      </c>
      <c r="CG1154" s="2"/>
      <c r="CH1154" s="2"/>
      <c r="CI1154" s="2">
        <v>1</v>
      </c>
      <c r="CJ1154" s="2">
        <v>1</v>
      </c>
      <c r="CK1154" s="2">
        <v>21</v>
      </c>
      <c r="CL1154" s="2" t="s">
        <v>86</v>
      </c>
      <c r="CM1154" s="2"/>
    </row>
    <row r="1155" spans="1:91">
      <c r="A1155" s="2" t="s">
        <v>71</v>
      </c>
      <c r="B1155" s="2" t="s">
        <v>72</v>
      </c>
      <c r="C1155" s="2" t="s">
        <v>73</v>
      </c>
      <c r="D1155" s="2"/>
      <c r="E1155" s="2" t="str">
        <f>"FES1162568373"</f>
        <v>FES1162568373</v>
      </c>
      <c r="F1155" s="3">
        <v>42958</v>
      </c>
      <c r="G1155" s="2">
        <v>201802</v>
      </c>
      <c r="H1155" s="2" t="s">
        <v>74</v>
      </c>
      <c r="I1155" s="2" t="s">
        <v>75</v>
      </c>
      <c r="J1155" s="2" t="s">
        <v>76</v>
      </c>
      <c r="K1155" s="2" t="s">
        <v>77</v>
      </c>
      <c r="L1155" s="2" t="s">
        <v>268</v>
      </c>
      <c r="M1155" s="2" t="s">
        <v>269</v>
      </c>
      <c r="N1155" s="2" t="s">
        <v>635</v>
      </c>
      <c r="O1155" s="2" t="s">
        <v>100</v>
      </c>
      <c r="P1155" s="2" t="str">
        <f>"2170584461                    "</f>
        <v xml:space="preserve">2170584461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4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1</v>
      </c>
      <c r="BJ1155" s="2">
        <v>0.2</v>
      </c>
      <c r="BK1155" s="2">
        <v>1</v>
      </c>
      <c r="BL1155" s="2">
        <v>41.44</v>
      </c>
      <c r="BM1155" s="2">
        <v>5.8</v>
      </c>
      <c r="BN1155" s="2">
        <v>47.24</v>
      </c>
      <c r="BO1155" s="2">
        <v>47.24</v>
      </c>
      <c r="BP1155" s="2">
        <v>1</v>
      </c>
      <c r="BQ1155" s="2" t="s">
        <v>636</v>
      </c>
      <c r="BR1155" s="2" t="s">
        <v>84</v>
      </c>
      <c r="BS1155" s="3">
        <v>42961</v>
      </c>
      <c r="BT1155" s="4">
        <v>0.45833333333333331</v>
      </c>
      <c r="BU1155" s="2" t="s">
        <v>1879</v>
      </c>
      <c r="BV1155" s="2" t="s">
        <v>86</v>
      </c>
      <c r="BW1155" s="2"/>
      <c r="BX1155" s="2"/>
      <c r="BY1155" s="2">
        <v>1200</v>
      </c>
      <c r="BZ1155" s="2"/>
      <c r="CA1155" s="2" t="s">
        <v>1880</v>
      </c>
      <c r="CB1155" s="2"/>
      <c r="CC1155" s="2" t="s">
        <v>269</v>
      </c>
      <c r="CD1155" s="2">
        <v>184</v>
      </c>
      <c r="CE1155" s="2" t="s">
        <v>104</v>
      </c>
      <c r="CF1155" s="5">
        <v>42962</v>
      </c>
      <c r="CG1155" s="2"/>
      <c r="CH1155" s="2"/>
      <c r="CI1155" s="2">
        <v>1</v>
      </c>
      <c r="CJ1155" s="2">
        <v>1</v>
      </c>
      <c r="CK1155" s="2">
        <v>21</v>
      </c>
      <c r="CL1155" s="2" t="s">
        <v>86</v>
      </c>
      <c r="CM1155" s="2"/>
    </row>
    <row r="1156" spans="1:91">
      <c r="A1156" s="2" t="s">
        <v>71</v>
      </c>
      <c r="B1156" s="2" t="s">
        <v>72</v>
      </c>
      <c r="C1156" s="2" t="s">
        <v>73</v>
      </c>
      <c r="D1156" s="2"/>
      <c r="E1156" s="2" t="str">
        <f>"FES1162568364"</f>
        <v>FES1162568364</v>
      </c>
      <c r="F1156" s="3">
        <v>42958</v>
      </c>
      <c r="G1156" s="2">
        <v>201802</v>
      </c>
      <c r="H1156" s="2" t="s">
        <v>74</v>
      </c>
      <c r="I1156" s="2" t="s">
        <v>75</v>
      </c>
      <c r="J1156" s="2" t="s">
        <v>76</v>
      </c>
      <c r="K1156" s="2" t="s">
        <v>77</v>
      </c>
      <c r="L1156" s="2" t="s">
        <v>268</v>
      </c>
      <c r="M1156" s="2" t="s">
        <v>269</v>
      </c>
      <c r="N1156" s="2" t="s">
        <v>635</v>
      </c>
      <c r="O1156" s="2" t="s">
        <v>100</v>
      </c>
      <c r="P1156" s="2" t="str">
        <f>"2170584449                    "</f>
        <v xml:space="preserve">2170584449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4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1</v>
      </c>
      <c r="BI1156" s="2">
        <v>1</v>
      </c>
      <c r="BJ1156" s="2">
        <v>0.2</v>
      </c>
      <c r="BK1156" s="2">
        <v>1</v>
      </c>
      <c r="BL1156" s="2">
        <v>41.44</v>
      </c>
      <c r="BM1156" s="2">
        <v>5.8</v>
      </c>
      <c r="BN1156" s="2">
        <v>47.24</v>
      </c>
      <c r="BO1156" s="2">
        <v>47.24</v>
      </c>
      <c r="BP1156" s="2">
        <v>1</v>
      </c>
      <c r="BQ1156" s="2" t="s">
        <v>636</v>
      </c>
      <c r="BR1156" s="2" t="s">
        <v>84</v>
      </c>
      <c r="BS1156" s="3">
        <v>42961</v>
      </c>
      <c r="BT1156" s="4">
        <v>0.45833333333333331</v>
      </c>
      <c r="BU1156" s="2" t="s">
        <v>1879</v>
      </c>
      <c r="BV1156" s="2" t="s">
        <v>86</v>
      </c>
      <c r="BW1156" s="2"/>
      <c r="BX1156" s="2"/>
      <c r="BY1156" s="2">
        <v>1200</v>
      </c>
      <c r="BZ1156" s="2"/>
      <c r="CA1156" s="2" t="s">
        <v>1880</v>
      </c>
      <c r="CB1156" s="2"/>
      <c r="CC1156" s="2" t="s">
        <v>269</v>
      </c>
      <c r="CD1156" s="2">
        <v>184</v>
      </c>
      <c r="CE1156" s="2" t="s">
        <v>104</v>
      </c>
      <c r="CF1156" s="5">
        <v>42962</v>
      </c>
      <c r="CG1156" s="2"/>
      <c r="CH1156" s="2"/>
      <c r="CI1156" s="2">
        <v>1</v>
      </c>
      <c r="CJ1156" s="2">
        <v>1</v>
      </c>
      <c r="CK1156" s="2">
        <v>21</v>
      </c>
      <c r="CL1156" s="2" t="s">
        <v>86</v>
      </c>
      <c r="CM1156" s="2"/>
    </row>
    <row r="1157" spans="1:91">
      <c r="A1157" s="2" t="s">
        <v>71</v>
      </c>
      <c r="B1157" s="2" t="s">
        <v>72</v>
      </c>
      <c r="C1157" s="2" t="s">
        <v>73</v>
      </c>
      <c r="D1157" s="2"/>
      <c r="E1157" s="2" t="str">
        <f>"FES1162568374"</f>
        <v>FES1162568374</v>
      </c>
      <c r="F1157" s="3">
        <v>42958</v>
      </c>
      <c r="G1157" s="2">
        <v>201802</v>
      </c>
      <c r="H1157" s="2" t="s">
        <v>74</v>
      </c>
      <c r="I1157" s="2" t="s">
        <v>75</v>
      </c>
      <c r="J1157" s="2" t="s">
        <v>76</v>
      </c>
      <c r="K1157" s="2" t="s">
        <v>77</v>
      </c>
      <c r="L1157" s="2" t="s">
        <v>268</v>
      </c>
      <c r="M1157" s="2" t="s">
        <v>269</v>
      </c>
      <c r="N1157" s="2" t="s">
        <v>635</v>
      </c>
      <c r="O1157" s="2" t="s">
        <v>100</v>
      </c>
      <c r="P1157" s="2" t="str">
        <f>"2170584462                    "</f>
        <v xml:space="preserve">2170584462 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4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1</v>
      </c>
      <c r="BJ1157" s="2">
        <v>0.2</v>
      </c>
      <c r="BK1157" s="2">
        <v>1</v>
      </c>
      <c r="BL1157" s="2">
        <v>41.44</v>
      </c>
      <c r="BM1157" s="2">
        <v>5.8</v>
      </c>
      <c r="BN1157" s="2">
        <v>47.24</v>
      </c>
      <c r="BO1157" s="2">
        <v>47.24</v>
      </c>
      <c r="BP1157" s="2">
        <v>1</v>
      </c>
      <c r="BQ1157" s="2" t="s">
        <v>636</v>
      </c>
      <c r="BR1157" s="2" t="s">
        <v>84</v>
      </c>
      <c r="BS1157" s="3">
        <v>42961</v>
      </c>
      <c r="BT1157" s="4">
        <v>0.45833333333333331</v>
      </c>
      <c r="BU1157" s="2" t="s">
        <v>1883</v>
      </c>
      <c r="BV1157" s="2" t="s">
        <v>86</v>
      </c>
      <c r="BW1157" s="2"/>
      <c r="BX1157" s="2"/>
      <c r="BY1157" s="2">
        <v>1200</v>
      </c>
      <c r="BZ1157" s="2"/>
      <c r="CA1157" s="2" t="s">
        <v>1880</v>
      </c>
      <c r="CB1157" s="2"/>
      <c r="CC1157" s="2" t="s">
        <v>269</v>
      </c>
      <c r="CD1157" s="2">
        <v>184</v>
      </c>
      <c r="CE1157" s="2" t="s">
        <v>104</v>
      </c>
      <c r="CF1157" s="5">
        <v>42962</v>
      </c>
      <c r="CG1157" s="2"/>
      <c r="CH1157" s="2"/>
      <c r="CI1157" s="2">
        <v>1</v>
      </c>
      <c r="CJ1157" s="2">
        <v>1</v>
      </c>
      <c r="CK1157" s="2">
        <v>21</v>
      </c>
      <c r="CL1157" s="2" t="s">
        <v>86</v>
      </c>
      <c r="CM1157" s="2"/>
    </row>
    <row r="1158" spans="1:91">
      <c r="A1158" s="2" t="s">
        <v>71</v>
      </c>
      <c r="B1158" s="2" t="s">
        <v>72</v>
      </c>
      <c r="C1158" s="2" t="s">
        <v>73</v>
      </c>
      <c r="D1158" s="2"/>
      <c r="E1158" s="2" t="str">
        <f>"FES1162567594"</f>
        <v>FES1162567594</v>
      </c>
      <c r="F1158" s="3">
        <v>42958</v>
      </c>
      <c r="G1158" s="2">
        <v>201802</v>
      </c>
      <c r="H1158" s="2" t="s">
        <v>74</v>
      </c>
      <c r="I1158" s="2" t="s">
        <v>75</v>
      </c>
      <c r="J1158" s="2" t="s">
        <v>76</v>
      </c>
      <c r="K1158" s="2" t="s">
        <v>77</v>
      </c>
      <c r="L1158" s="2" t="s">
        <v>756</v>
      </c>
      <c r="M1158" s="2" t="s">
        <v>757</v>
      </c>
      <c r="N1158" s="2" t="s">
        <v>758</v>
      </c>
      <c r="O1158" s="2" t="s">
        <v>100</v>
      </c>
      <c r="P1158" s="2" t="str">
        <f>"2170583558                    "</f>
        <v xml:space="preserve">2170583558           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7.75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1</v>
      </c>
      <c r="BI1158" s="2">
        <v>1</v>
      </c>
      <c r="BJ1158" s="2">
        <v>0.2</v>
      </c>
      <c r="BK1158" s="2">
        <v>1</v>
      </c>
      <c r="BL1158" s="2">
        <v>80.290000000000006</v>
      </c>
      <c r="BM1158" s="2">
        <v>11.24</v>
      </c>
      <c r="BN1158" s="2">
        <v>91.53</v>
      </c>
      <c r="BO1158" s="2">
        <v>91.53</v>
      </c>
      <c r="BP1158" s="2">
        <v>1</v>
      </c>
      <c r="BQ1158" s="2" t="s">
        <v>288</v>
      </c>
      <c r="BR1158" s="2" t="s">
        <v>84</v>
      </c>
      <c r="BS1158" s="3">
        <v>42961</v>
      </c>
      <c r="BT1158" s="4">
        <v>0.54166666666666663</v>
      </c>
      <c r="BU1158" s="2" t="s">
        <v>1884</v>
      </c>
      <c r="BV1158" s="2" t="s">
        <v>95</v>
      </c>
      <c r="BW1158" s="2"/>
      <c r="BX1158" s="2"/>
      <c r="BY1158" s="2">
        <v>1200</v>
      </c>
      <c r="BZ1158" s="2"/>
      <c r="CA1158" s="2" t="s">
        <v>1885</v>
      </c>
      <c r="CB1158" s="2"/>
      <c r="CC1158" s="2" t="s">
        <v>757</v>
      </c>
      <c r="CD1158" s="2">
        <v>4276</v>
      </c>
      <c r="CE1158" s="2" t="s">
        <v>104</v>
      </c>
      <c r="CF1158" s="5">
        <v>42962</v>
      </c>
      <c r="CG1158" s="2"/>
      <c r="CH1158" s="2"/>
      <c r="CI1158" s="2">
        <v>1</v>
      </c>
      <c r="CJ1158" s="2">
        <v>1</v>
      </c>
      <c r="CK1158" s="2">
        <v>23</v>
      </c>
      <c r="CL1158" s="2" t="s">
        <v>86</v>
      </c>
      <c r="CM1158" s="2"/>
    </row>
    <row r="1159" spans="1:91">
      <c r="A1159" s="2" t="s">
        <v>71</v>
      </c>
      <c r="B1159" s="2" t="s">
        <v>72</v>
      </c>
      <c r="C1159" s="2" t="s">
        <v>73</v>
      </c>
      <c r="D1159" s="2"/>
      <c r="E1159" s="2" t="str">
        <f>"FES1162568286"</f>
        <v>FES1162568286</v>
      </c>
      <c r="F1159" s="3">
        <v>42958</v>
      </c>
      <c r="G1159" s="2">
        <v>201802</v>
      </c>
      <c r="H1159" s="2" t="s">
        <v>74</v>
      </c>
      <c r="I1159" s="2" t="s">
        <v>75</v>
      </c>
      <c r="J1159" s="2" t="s">
        <v>76</v>
      </c>
      <c r="K1159" s="2" t="s">
        <v>77</v>
      </c>
      <c r="L1159" s="2" t="s">
        <v>383</v>
      </c>
      <c r="M1159" s="2" t="s">
        <v>384</v>
      </c>
      <c r="N1159" s="2" t="s">
        <v>385</v>
      </c>
      <c r="O1159" s="2" t="s">
        <v>100</v>
      </c>
      <c r="P1159" s="2" t="str">
        <f>"21706584401                   "</f>
        <v xml:space="preserve">21706584401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5.63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1</v>
      </c>
      <c r="BJ1159" s="2">
        <v>0.2</v>
      </c>
      <c r="BK1159" s="2">
        <v>1</v>
      </c>
      <c r="BL1159" s="2">
        <v>58.28</v>
      </c>
      <c r="BM1159" s="2">
        <v>8.16</v>
      </c>
      <c r="BN1159" s="2">
        <v>66.44</v>
      </c>
      <c r="BO1159" s="2">
        <v>66.44</v>
      </c>
      <c r="BP1159" s="2">
        <v>1</v>
      </c>
      <c r="BQ1159" s="2" t="s">
        <v>1813</v>
      </c>
      <c r="BR1159" s="2" t="s">
        <v>84</v>
      </c>
      <c r="BS1159" s="3">
        <v>42961</v>
      </c>
      <c r="BT1159" s="4">
        <v>0.41666666666666669</v>
      </c>
      <c r="BU1159" s="2" t="s">
        <v>1886</v>
      </c>
      <c r="BV1159" s="2" t="s">
        <v>95</v>
      </c>
      <c r="BW1159" s="2"/>
      <c r="BX1159" s="2"/>
      <c r="BY1159" s="2">
        <v>1200</v>
      </c>
      <c r="BZ1159" s="2"/>
      <c r="CA1159" s="2"/>
      <c r="CB1159" s="2"/>
      <c r="CC1159" s="2" t="s">
        <v>384</v>
      </c>
      <c r="CD1159" s="2">
        <v>2210</v>
      </c>
      <c r="CE1159" s="2" t="s">
        <v>104</v>
      </c>
      <c r="CF1159" s="5">
        <v>42962</v>
      </c>
      <c r="CG1159" s="2"/>
      <c r="CH1159" s="2"/>
      <c r="CI1159" s="2">
        <v>1</v>
      </c>
      <c r="CJ1159" s="2">
        <v>1</v>
      </c>
      <c r="CK1159" s="2">
        <v>24</v>
      </c>
      <c r="CL1159" s="2" t="s">
        <v>86</v>
      </c>
      <c r="CM1159" s="2"/>
    </row>
    <row r="1160" spans="1:91">
      <c r="A1160" s="2" t="s">
        <v>71</v>
      </c>
      <c r="B1160" s="2" t="s">
        <v>72</v>
      </c>
      <c r="C1160" s="2" t="s">
        <v>73</v>
      </c>
      <c r="D1160" s="2"/>
      <c r="E1160" s="2" t="str">
        <f>"FES1162568378"</f>
        <v>FES1162568378</v>
      </c>
      <c r="F1160" s="3">
        <v>42958</v>
      </c>
      <c r="G1160" s="2">
        <v>201802</v>
      </c>
      <c r="H1160" s="2" t="s">
        <v>74</v>
      </c>
      <c r="I1160" s="2" t="s">
        <v>75</v>
      </c>
      <c r="J1160" s="2" t="s">
        <v>76</v>
      </c>
      <c r="K1160" s="2" t="s">
        <v>77</v>
      </c>
      <c r="L1160" s="2" t="s">
        <v>97</v>
      </c>
      <c r="M1160" s="2" t="s">
        <v>98</v>
      </c>
      <c r="N1160" s="2" t="s">
        <v>214</v>
      </c>
      <c r="O1160" s="2" t="s">
        <v>100</v>
      </c>
      <c r="P1160" s="2" t="str">
        <f>"2170584465                    "</f>
        <v xml:space="preserve">2170584465              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4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1</v>
      </c>
      <c r="BJ1160" s="2">
        <v>0.2</v>
      </c>
      <c r="BK1160" s="2">
        <v>1</v>
      </c>
      <c r="BL1160" s="2">
        <v>41.44</v>
      </c>
      <c r="BM1160" s="2">
        <v>5.8</v>
      </c>
      <c r="BN1160" s="2">
        <v>47.24</v>
      </c>
      <c r="BO1160" s="2">
        <v>47.24</v>
      </c>
      <c r="BP1160" s="2">
        <v>1</v>
      </c>
      <c r="BQ1160" s="2" t="s">
        <v>108</v>
      </c>
      <c r="BR1160" s="2" t="s">
        <v>84</v>
      </c>
      <c r="BS1160" s="3">
        <v>42961</v>
      </c>
      <c r="BT1160" s="4">
        <v>0.30416666666666664</v>
      </c>
      <c r="BU1160" s="2" t="s">
        <v>1131</v>
      </c>
      <c r="BV1160" s="2" t="s">
        <v>95</v>
      </c>
      <c r="BW1160" s="2"/>
      <c r="BX1160" s="2"/>
      <c r="BY1160" s="2">
        <v>1200</v>
      </c>
      <c r="BZ1160" s="2"/>
      <c r="CA1160" s="2" t="s">
        <v>213</v>
      </c>
      <c r="CB1160" s="2"/>
      <c r="CC1160" s="2" t="s">
        <v>98</v>
      </c>
      <c r="CD1160" s="2">
        <v>6001</v>
      </c>
      <c r="CE1160" s="2" t="s">
        <v>104</v>
      </c>
      <c r="CF1160" s="5">
        <v>42962</v>
      </c>
      <c r="CG1160" s="2"/>
      <c r="CH1160" s="2"/>
      <c r="CI1160" s="2">
        <v>1</v>
      </c>
      <c r="CJ1160" s="2">
        <v>1</v>
      </c>
      <c r="CK1160" s="2">
        <v>21</v>
      </c>
      <c r="CL1160" s="2" t="s">
        <v>86</v>
      </c>
      <c r="CM1160" s="2"/>
    </row>
    <row r="1161" spans="1:91">
      <c r="A1161" s="2" t="s">
        <v>71</v>
      </c>
      <c r="B1161" s="2" t="s">
        <v>72</v>
      </c>
      <c r="C1161" s="2" t="s">
        <v>73</v>
      </c>
      <c r="D1161" s="2"/>
      <c r="E1161" s="2" t="str">
        <f>"FES1162568309"</f>
        <v>FES1162568309</v>
      </c>
      <c r="F1161" s="3">
        <v>42958</v>
      </c>
      <c r="G1161" s="2">
        <v>201802</v>
      </c>
      <c r="H1161" s="2" t="s">
        <v>74</v>
      </c>
      <c r="I1161" s="2" t="s">
        <v>75</v>
      </c>
      <c r="J1161" s="2" t="s">
        <v>76</v>
      </c>
      <c r="K1161" s="2" t="s">
        <v>77</v>
      </c>
      <c r="L1161" s="2" t="s">
        <v>105</v>
      </c>
      <c r="M1161" s="2" t="s">
        <v>106</v>
      </c>
      <c r="N1161" s="2" t="s">
        <v>348</v>
      </c>
      <c r="O1161" s="2" t="s">
        <v>100</v>
      </c>
      <c r="P1161" s="2" t="str">
        <f>"2170584426                    "</f>
        <v xml:space="preserve">2170584426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4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1</v>
      </c>
      <c r="BJ1161" s="2">
        <v>0.2</v>
      </c>
      <c r="BK1161" s="2">
        <v>1</v>
      </c>
      <c r="BL1161" s="2">
        <v>41.44</v>
      </c>
      <c r="BM1161" s="2">
        <v>5.8</v>
      </c>
      <c r="BN1161" s="2">
        <v>47.24</v>
      </c>
      <c r="BO1161" s="2">
        <v>47.24</v>
      </c>
      <c r="BP1161" s="2">
        <v>1</v>
      </c>
      <c r="BQ1161" s="2" t="s">
        <v>108</v>
      </c>
      <c r="BR1161" s="2" t="s">
        <v>84</v>
      </c>
      <c r="BS1161" s="3">
        <v>42961</v>
      </c>
      <c r="BT1161" s="4">
        <v>0.54027777777777775</v>
      </c>
      <c r="BU1161" s="2" t="s">
        <v>778</v>
      </c>
      <c r="BV1161" s="2" t="s">
        <v>95</v>
      </c>
      <c r="BW1161" s="2"/>
      <c r="BX1161" s="2"/>
      <c r="BY1161" s="2">
        <v>1200</v>
      </c>
      <c r="BZ1161" s="2"/>
      <c r="CA1161" s="2" t="s">
        <v>350</v>
      </c>
      <c r="CB1161" s="2"/>
      <c r="CC1161" s="2" t="s">
        <v>106</v>
      </c>
      <c r="CD1161" s="2">
        <v>7945</v>
      </c>
      <c r="CE1161" s="2" t="s">
        <v>104</v>
      </c>
      <c r="CF1161" s="5">
        <v>42962</v>
      </c>
      <c r="CG1161" s="2"/>
      <c r="CH1161" s="2"/>
      <c r="CI1161" s="2">
        <v>1</v>
      </c>
      <c r="CJ1161" s="2">
        <v>1</v>
      </c>
      <c r="CK1161" s="2">
        <v>21</v>
      </c>
      <c r="CL1161" s="2" t="s">
        <v>86</v>
      </c>
      <c r="CM1161" s="2"/>
    </row>
    <row r="1162" spans="1:91">
      <c r="A1162" s="2" t="s">
        <v>71</v>
      </c>
      <c r="B1162" s="2" t="s">
        <v>72</v>
      </c>
      <c r="C1162" s="2" t="s">
        <v>73</v>
      </c>
      <c r="D1162" s="2"/>
      <c r="E1162" s="2" t="str">
        <f>"FES1162568276"</f>
        <v>FES1162568276</v>
      </c>
      <c r="F1162" s="3">
        <v>42958</v>
      </c>
      <c r="G1162" s="2">
        <v>201802</v>
      </c>
      <c r="H1162" s="2" t="s">
        <v>74</v>
      </c>
      <c r="I1162" s="2" t="s">
        <v>75</v>
      </c>
      <c r="J1162" s="2" t="s">
        <v>76</v>
      </c>
      <c r="K1162" s="2" t="s">
        <v>77</v>
      </c>
      <c r="L1162" s="2" t="s">
        <v>105</v>
      </c>
      <c r="M1162" s="2" t="s">
        <v>106</v>
      </c>
      <c r="N1162" s="2" t="s">
        <v>1491</v>
      </c>
      <c r="O1162" s="2" t="s">
        <v>100</v>
      </c>
      <c r="P1162" s="2" t="str">
        <f>"2170583815                    "</f>
        <v xml:space="preserve">2170583815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4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1</v>
      </c>
      <c r="BJ1162" s="2">
        <v>0.2</v>
      </c>
      <c r="BK1162" s="2">
        <v>1</v>
      </c>
      <c r="BL1162" s="2">
        <v>41.44</v>
      </c>
      <c r="BM1162" s="2">
        <v>5.8</v>
      </c>
      <c r="BN1162" s="2">
        <v>47.24</v>
      </c>
      <c r="BO1162" s="2">
        <v>47.24</v>
      </c>
      <c r="BP1162" s="2">
        <v>1</v>
      </c>
      <c r="BQ1162" s="2" t="s">
        <v>1492</v>
      </c>
      <c r="BR1162" s="2" t="s">
        <v>84</v>
      </c>
      <c r="BS1162" s="3">
        <v>42961</v>
      </c>
      <c r="BT1162" s="4">
        <v>0.42499999999999999</v>
      </c>
      <c r="BU1162" s="2" t="s">
        <v>1876</v>
      </c>
      <c r="BV1162" s="2" t="s">
        <v>95</v>
      </c>
      <c r="BW1162" s="2"/>
      <c r="BX1162" s="2"/>
      <c r="BY1162" s="2">
        <v>1200</v>
      </c>
      <c r="BZ1162" s="2"/>
      <c r="CA1162" s="2" t="s">
        <v>278</v>
      </c>
      <c r="CB1162" s="2"/>
      <c r="CC1162" s="2" t="s">
        <v>106</v>
      </c>
      <c r="CD1162" s="2">
        <v>7490</v>
      </c>
      <c r="CE1162" s="2" t="s">
        <v>104</v>
      </c>
      <c r="CF1162" s="5">
        <v>42962</v>
      </c>
      <c r="CG1162" s="2"/>
      <c r="CH1162" s="2"/>
      <c r="CI1162" s="2">
        <v>1</v>
      </c>
      <c r="CJ1162" s="2">
        <v>1</v>
      </c>
      <c r="CK1162" s="2">
        <v>21</v>
      </c>
      <c r="CL1162" s="2" t="s">
        <v>86</v>
      </c>
      <c r="CM1162" s="2"/>
    </row>
    <row r="1163" spans="1:91">
      <c r="A1163" s="2" t="s">
        <v>71</v>
      </c>
      <c r="B1163" s="2" t="s">
        <v>72</v>
      </c>
      <c r="C1163" s="2" t="s">
        <v>73</v>
      </c>
      <c r="D1163" s="2"/>
      <c r="E1163" s="2" t="str">
        <f>"FES1162568253"</f>
        <v>FES1162568253</v>
      </c>
      <c r="F1163" s="3">
        <v>42958</v>
      </c>
      <c r="G1163" s="2">
        <v>201802</v>
      </c>
      <c r="H1163" s="2" t="s">
        <v>74</v>
      </c>
      <c r="I1163" s="2" t="s">
        <v>75</v>
      </c>
      <c r="J1163" s="2" t="s">
        <v>76</v>
      </c>
      <c r="K1163" s="2" t="s">
        <v>77</v>
      </c>
      <c r="L1163" s="2" t="s">
        <v>105</v>
      </c>
      <c r="M1163" s="2" t="s">
        <v>106</v>
      </c>
      <c r="N1163" s="2" t="s">
        <v>1306</v>
      </c>
      <c r="O1163" s="2" t="s">
        <v>100</v>
      </c>
      <c r="P1163" s="2" t="str">
        <f>"2170584265                    "</f>
        <v xml:space="preserve">2170584265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4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1</v>
      </c>
      <c r="BJ1163" s="2">
        <v>0.2</v>
      </c>
      <c r="BK1163" s="2">
        <v>1</v>
      </c>
      <c r="BL1163" s="2">
        <v>41.44</v>
      </c>
      <c r="BM1163" s="2">
        <v>5.8</v>
      </c>
      <c r="BN1163" s="2">
        <v>47.24</v>
      </c>
      <c r="BO1163" s="2">
        <v>47.24</v>
      </c>
      <c r="BP1163" s="2">
        <v>1</v>
      </c>
      <c r="BQ1163" s="2" t="s">
        <v>209</v>
      </c>
      <c r="BR1163" s="2" t="s">
        <v>84</v>
      </c>
      <c r="BS1163" s="3">
        <v>42961</v>
      </c>
      <c r="BT1163" s="4">
        <v>0.40625</v>
      </c>
      <c r="BU1163" s="2" t="s">
        <v>1887</v>
      </c>
      <c r="BV1163" s="2" t="s">
        <v>95</v>
      </c>
      <c r="BW1163" s="2"/>
      <c r="BX1163" s="2"/>
      <c r="BY1163" s="2">
        <v>1200</v>
      </c>
      <c r="BZ1163" s="2"/>
      <c r="CA1163" s="2" t="s">
        <v>748</v>
      </c>
      <c r="CB1163" s="2"/>
      <c r="CC1163" s="2" t="s">
        <v>106</v>
      </c>
      <c r="CD1163" s="2">
        <v>7441</v>
      </c>
      <c r="CE1163" s="2" t="s">
        <v>104</v>
      </c>
      <c r="CF1163" s="5">
        <v>42962</v>
      </c>
      <c r="CG1163" s="2"/>
      <c r="CH1163" s="2"/>
      <c r="CI1163" s="2">
        <v>1</v>
      </c>
      <c r="CJ1163" s="2">
        <v>1</v>
      </c>
      <c r="CK1163" s="2">
        <v>21</v>
      </c>
      <c r="CL1163" s="2" t="s">
        <v>86</v>
      </c>
      <c r="CM1163" s="2"/>
    </row>
    <row r="1164" spans="1:91">
      <c r="A1164" s="2" t="s">
        <v>71</v>
      </c>
      <c r="B1164" s="2" t="s">
        <v>72</v>
      </c>
      <c r="C1164" s="2" t="s">
        <v>73</v>
      </c>
      <c r="D1164" s="2"/>
      <c r="E1164" s="2" t="str">
        <f>"FES1162568335"</f>
        <v>FES1162568335</v>
      </c>
      <c r="F1164" s="3">
        <v>42958</v>
      </c>
      <c r="G1164" s="2">
        <v>201802</v>
      </c>
      <c r="H1164" s="2" t="s">
        <v>74</v>
      </c>
      <c r="I1164" s="2" t="s">
        <v>75</v>
      </c>
      <c r="J1164" s="2" t="s">
        <v>76</v>
      </c>
      <c r="K1164" s="2" t="s">
        <v>77</v>
      </c>
      <c r="L1164" s="2" t="s">
        <v>105</v>
      </c>
      <c r="M1164" s="2" t="s">
        <v>106</v>
      </c>
      <c r="N1164" s="2" t="s">
        <v>107</v>
      </c>
      <c r="O1164" s="2" t="s">
        <v>100</v>
      </c>
      <c r="P1164" s="2" t="str">
        <f>"2170583052                    "</f>
        <v xml:space="preserve">2170583052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4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1</v>
      </c>
      <c r="BJ1164" s="2">
        <v>0.2</v>
      </c>
      <c r="BK1164" s="2">
        <v>1</v>
      </c>
      <c r="BL1164" s="2">
        <v>41.44</v>
      </c>
      <c r="BM1164" s="2">
        <v>5.8</v>
      </c>
      <c r="BN1164" s="2">
        <v>47.24</v>
      </c>
      <c r="BO1164" s="2">
        <v>47.24</v>
      </c>
      <c r="BP1164" s="2">
        <v>1</v>
      </c>
      <c r="BQ1164" s="2" t="s">
        <v>108</v>
      </c>
      <c r="BR1164" s="2" t="s">
        <v>84</v>
      </c>
      <c r="BS1164" s="3">
        <v>42961</v>
      </c>
      <c r="BT1164" s="4">
        <v>0.39444444444444443</v>
      </c>
      <c r="BU1164" s="2" t="s">
        <v>1888</v>
      </c>
      <c r="BV1164" s="2" t="s">
        <v>95</v>
      </c>
      <c r="BW1164" s="2"/>
      <c r="BX1164" s="2"/>
      <c r="BY1164" s="2">
        <v>1200</v>
      </c>
      <c r="BZ1164" s="2"/>
      <c r="CA1164" s="2" t="s">
        <v>856</v>
      </c>
      <c r="CB1164" s="2"/>
      <c r="CC1164" s="2" t="s">
        <v>106</v>
      </c>
      <c r="CD1164" s="2">
        <v>7405</v>
      </c>
      <c r="CE1164" s="2" t="s">
        <v>104</v>
      </c>
      <c r="CF1164" s="5">
        <v>42962</v>
      </c>
      <c r="CG1164" s="2"/>
      <c r="CH1164" s="2"/>
      <c r="CI1164" s="2">
        <v>1</v>
      </c>
      <c r="CJ1164" s="2">
        <v>1</v>
      </c>
      <c r="CK1164" s="2">
        <v>21</v>
      </c>
      <c r="CL1164" s="2" t="s">
        <v>86</v>
      </c>
      <c r="CM1164" s="2"/>
    </row>
    <row r="1165" spans="1:91">
      <c r="A1165" s="2" t="s">
        <v>71</v>
      </c>
      <c r="B1165" s="2" t="s">
        <v>72</v>
      </c>
      <c r="C1165" s="2" t="s">
        <v>73</v>
      </c>
      <c r="D1165" s="2"/>
      <c r="E1165" s="2" t="str">
        <f>"FES1162568273"</f>
        <v>FES1162568273</v>
      </c>
      <c r="F1165" s="3">
        <v>42958</v>
      </c>
      <c r="G1165" s="2">
        <v>201802</v>
      </c>
      <c r="H1165" s="2" t="s">
        <v>74</v>
      </c>
      <c r="I1165" s="2" t="s">
        <v>75</v>
      </c>
      <c r="J1165" s="2" t="s">
        <v>76</v>
      </c>
      <c r="K1165" s="2" t="s">
        <v>77</v>
      </c>
      <c r="L1165" s="2" t="s">
        <v>105</v>
      </c>
      <c r="M1165" s="2" t="s">
        <v>106</v>
      </c>
      <c r="N1165" s="2" t="s">
        <v>107</v>
      </c>
      <c r="O1165" s="2" t="s">
        <v>100</v>
      </c>
      <c r="P1165" s="2" t="str">
        <f>"2170582782                    "</f>
        <v xml:space="preserve">2170582782           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4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1</v>
      </c>
      <c r="BJ1165" s="2">
        <v>0.2</v>
      </c>
      <c r="BK1165" s="2">
        <v>1</v>
      </c>
      <c r="BL1165" s="2">
        <v>41.44</v>
      </c>
      <c r="BM1165" s="2">
        <v>5.8</v>
      </c>
      <c r="BN1165" s="2">
        <v>47.24</v>
      </c>
      <c r="BO1165" s="2">
        <v>47.24</v>
      </c>
      <c r="BP1165" s="2">
        <v>1</v>
      </c>
      <c r="BQ1165" s="2" t="s">
        <v>108</v>
      </c>
      <c r="BR1165" s="2" t="s">
        <v>84</v>
      </c>
      <c r="BS1165" s="3">
        <v>42961</v>
      </c>
      <c r="BT1165" s="4">
        <v>0.39444444444444443</v>
      </c>
      <c r="BU1165" s="2" t="s">
        <v>1888</v>
      </c>
      <c r="BV1165" s="2" t="s">
        <v>95</v>
      </c>
      <c r="BW1165" s="2"/>
      <c r="BX1165" s="2"/>
      <c r="BY1165" s="2">
        <v>1200</v>
      </c>
      <c r="BZ1165" s="2"/>
      <c r="CA1165" s="2" t="s">
        <v>856</v>
      </c>
      <c r="CB1165" s="2"/>
      <c r="CC1165" s="2" t="s">
        <v>106</v>
      </c>
      <c r="CD1165" s="2">
        <v>7405</v>
      </c>
      <c r="CE1165" s="2" t="s">
        <v>104</v>
      </c>
      <c r="CF1165" s="5">
        <v>42961</v>
      </c>
      <c r="CG1165" s="2"/>
      <c r="CH1165" s="2"/>
      <c r="CI1165" s="2">
        <v>1</v>
      </c>
      <c r="CJ1165" s="2">
        <v>1</v>
      </c>
      <c r="CK1165" s="2">
        <v>21</v>
      </c>
      <c r="CL1165" s="2" t="s">
        <v>86</v>
      </c>
      <c r="CM1165" s="2"/>
    </row>
    <row r="1166" spans="1:91">
      <c r="A1166" s="2" t="s">
        <v>71</v>
      </c>
      <c r="B1166" s="2" t="s">
        <v>72</v>
      </c>
      <c r="C1166" s="2" t="s">
        <v>73</v>
      </c>
      <c r="D1166" s="2"/>
      <c r="E1166" s="2" t="str">
        <f>"FES1162568336"</f>
        <v>FES1162568336</v>
      </c>
      <c r="F1166" s="3">
        <v>42958</v>
      </c>
      <c r="G1166" s="2">
        <v>201802</v>
      </c>
      <c r="H1166" s="2" t="s">
        <v>74</v>
      </c>
      <c r="I1166" s="2" t="s">
        <v>75</v>
      </c>
      <c r="J1166" s="2" t="s">
        <v>76</v>
      </c>
      <c r="K1166" s="2" t="s">
        <v>77</v>
      </c>
      <c r="L1166" s="2" t="s">
        <v>105</v>
      </c>
      <c r="M1166" s="2" t="s">
        <v>106</v>
      </c>
      <c r="N1166" s="2" t="s">
        <v>107</v>
      </c>
      <c r="O1166" s="2" t="s">
        <v>100</v>
      </c>
      <c r="P1166" s="2" t="str">
        <f>"2170583114                    "</f>
        <v xml:space="preserve">2170583114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4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1</v>
      </c>
      <c r="BI1166" s="2">
        <v>1</v>
      </c>
      <c r="BJ1166" s="2">
        <v>0.2</v>
      </c>
      <c r="BK1166" s="2">
        <v>1</v>
      </c>
      <c r="BL1166" s="2">
        <v>41.44</v>
      </c>
      <c r="BM1166" s="2">
        <v>5.8</v>
      </c>
      <c r="BN1166" s="2">
        <v>47.24</v>
      </c>
      <c r="BO1166" s="2">
        <v>47.24</v>
      </c>
      <c r="BP1166" s="2">
        <v>1</v>
      </c>
      <c r="BQ1166" s="2" t="s">
        <v>108</v>
      </c>
      <c r="BR1166" s="2" t="s">
        <v>84</v>
      </c>
      <c r="BS1166" s="3">
        <v>42961</v>
      </c>
      <c r="BT1166" s="4">
        <v>0.39374999999999999</v>
      </c>
      <c r="BU1166" s="2" t="s">
        <v>1888</v>
      </c>
      <c r="BV1166" s="2" t="s">
        <v>95</v>
      </c>
      <c r="BW1166" s="2"/>
      <c r="BX1166" s="2"/>
      <c r="BY1166" s="2">
        <v>1200</v>
      </c>
      <c r="BZ1166" s="2"/>
      <c r="CA1166" s="2" t="s">
        <v>856</v>
      </c>
      <c r="CB1166" s="2"/>
      <c r="CC1166" s="2" t="s">
        <v>106</v>
      </c>
      <c r="CD1166" s="2">
        <v>7405</v>
      </c>
      <c r="CE1166" s="2" t="s">
        <v>104</v>
      </c>
      <c r="CF1166" s="5">
        <v>42961</v>
      </c>
      <c r="CG1166" s="2"/>
      <c r="CH1166" s="2"/>
      <c r="CI1166" s="2">
        <v>1</v>
      </c>
      <c r="CJ1166" s="2">
        <v>1</v>
      </c>
      <c r="CK1166" s="2">
        <v>21</v>
      </c>
      <c r="CL1166" s="2" t="s">
        <v>86</v>
      </c>
      <c r="CM1166" s="2"/>
    </row>
    <row r="1167" spans="1:91">
      <c r="A1167" s="2" t="s">
        <v>71</v>
      </c>
      <c r="B1167" s="2" t="s">
        <v>72</v>
      </c>
      <c r="C1167" s="2" t="s">
        <v>73</v>
      </c>
      <c r="D1167" s="2"/>
      <c r="E1167" s="2" t="str">
        <f>"FES1162568339"</f>
        <v>FES1162568339</v>
      </c>
      <c r="F1167" s="3">
        <v>42958</v>
      </c>
      <c r="G1167" s="2">
        <v>201802</v>
      </c>
      <c r="H1167" s="2" t="s">
        <v>74</v>
      </c>
      <c r="I1167" s="2" t="s">
        <v>75</v>
      </c>
      <c r="J1167" s="2" t="s">
        <v>76</v>
      </c>
      <c r="K1167" s="2" t="s">
        <v>77</v>
      </c>
      <c r="L1167" s="2" t="s">
        <v>105</v>
      </c>
      <c r="M1167" s="2" t="s">
        <v>106</v>
      </c>
      <c r="N1167" s="2" t="s">
        <v>655</v>
      </c>
      <c r="O1167" s="2" t="s">
        <v>100</v>
      </c>
      <c r="P1167" s="2" t="str">
        <f>"                              "</f>
        <v xml:space="preserve">          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4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1</v>
      </c>
      <c r="BJ1167" s="2">
        <v>0.2</v>
      </c>
      <c r="BK1167" s="2">
        <v>1</v>
      </c>
      <c r="BL1167" s="2">
        <v>41.44</v>
      </c>
      <c r="BM1167" s="2">
        <v>5.8</v>
      </c>
      <c r="BN1167" s="2">
        <v>47.24</v>
      </c>
      <c r="BO1167" s="2">
        <v>47.24</v>
      </c>
      <c r="BP1167" s="2">
        <v>2170583941</v>
      </c>
      <c r="BQ1167" s="2" t="s">
        <v>209</v>
      </c>
      <c r="BR1167" s="2" t="s">
        <v>84</v>
      </c>
      <c r="BS1167" s="3">
        <v>42961</v>
      </c>
      <c r="BT1167" s="4">
        <v>0.41666666666666669</v>
      </c>
      <c r="BU1167" s="2" t="s">
        <v>1889</v>
      </c>
      <c r="BV1167" s="2" t="s">
        <v>95</v>
      </c>
      <c r="BW1167" s="2"/>
      <c r="BX1167" s="2"/>
      <c r="BY1167" s="2">
        <v>1200</v>
      </c>
      <c r="BZ1167" s="2"/>
      <c r="CA1167" s="2"/>
      <c r="CB1167" s="2"/>
      <c r="CC1167" s="2" t="s">
        <v>106</v>
      </c>
      <c r="CD1167" s="2">
        <v>7945</v>
      </c>
      <c r="CE1167" s="2" t="s">
        <v>104</v>
      </c>
      <c r="CF1167" s="5">
        <v>42962</v>
      </c>
      <c r="CG1167" s="2"/>
      <c r="CH1167" s="2"/>
      <c r="CI1167" s="2">
        <v>1</v>
      </c>
      <c r="CJ1167" s="2">
        <v>1</v>
      </c>
      <c r="CK1167" s="2">
        <v>21</v>
      </c>
      <c r="CL1167" s="2" t="s">
        <v>86</v>
      </c>
      <c r="CM1167" s="2"/>
    </row>
    <row r="1168" spans="1:91">
      <c r="A1168" s="2" t="s">
        <v>71</v>
      </c>
      <c r="B1168" s="2" t="s">
        <v>72</v>
      </c>
      <c r="C1168" s="2" t="s">
        <v>73</v>
      </c>
      <c r="D1168" s="2"/>
      <c r="E1168" s="2" t="str">
        <f>"FES1162568262"</f>
        <v>FES1162568262</v>
      </c>
      <c r="F1168" s="3">
        <v>42958</v>
      </c>
      <c r="G1168" s="2">
        <v>201802</v>
      </c>
      <c r="H1168" s="2" t="s">
        <v>74</v>
      </c>
      <c r="I1168" s="2" t="s">
        <v>75</v>
      </c>
      <c r="J1168" s="2" t="s">
        <v>76</v>
      </c>
      <c r="K1168" s="2" t="s">
        <v>77</v>
      </c>
      <c r="L1168" s="2" t="s">
        <v>105</v>
      </c>
      <c r="M1168" s="2" t="s">
        <v>106</v>
      </c>
      <c r="N1168" s="2" t="s">
        <v>465</v>
      </c>
      <c r="O1168" s="2" t="s">
        <v>100</v>
      </c>
      <c r="P1168" s="2" t="str">
        <f>"2170581822                    "</f>
        <v xml:space="preserve">2170581822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4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1</v>
      </c>
      <c r="BJ1168" s="2">
        <v>0.2</v>
      </c>
      <c r="BK1168" s="2">
        <v>1</v>
      </c>
      <c r="BL1168" s="2">
        <v>41.44</v>
      </c>
      <c r="BM1168" s="2">
        <v>5.8</v>
      </c>
      <c r="BN1168" s="2">
        <v>47.24</v>
      </c>
      <c r="BO1168" s="2">
        <v>47.24</v>
      </c>
      <c r="BP1168" s="2">
        <v>1</v>
      </c>
      <c r="BQ1168" s="2" t="s">
        <v>288</v>
      </c>
      <c r="BR1168" s="2" t="s">
        <v>84</v>
      </c>
      <c r="BS1168" s="3">
        <v>42961</v>
      </c>
      <c r="BT1168" s="4">
        <v>0.54513888888888895</v>
      </c>
      <c r="BU1168" s="2" t="s">
        <v>1890</v>
      </c>
      <c r="BV1168" s="2" t="s">
        <v>95</v>
      </c>
      <c r="BW1168" s="2"/>
      <c r="BX1168" s="2"/>
      <c r="BY1168" s="2">
        <v>1200</v>
      </c>
      <c r="BZ1168" s="2"/>
      <c r="CA1168" s="2" t="s">
        <v>350</v>
      </c>
      <c r="CB1168" s="2"/>
      <c r="CC1168" s="2" t="s">
        <v>106</v>
      </c>
      <c r="CD1168" s="2">
        <v>7945</v>
      </c>
      <c r="CE1168" s="2" t="s">
        <v>104</v>
      </c>
      <c r="CF1168" s="5">
        <v>42962</v>
      </c>
      <c r="CG1168" s="2"/>
      <c r="CH1168" s="2"/>
      <c r="CI1168" s="2">
        <v>1</v>
      </c>
      <c r="CJ1168" s="2">
        <v>1</v>
      </c>
      <c r="CK1168" s="2">
        <v>21</v>
      </c>
      <c r="CL1168" s="2" t="s">
        <v>86</v>
      </c>
      <c r="CM1168" s="2"/>
    </row>
    <row r="1169" spans="1:91">
      <c r="A1169" s="2" t="s">
        <v>71</v>
      </c>
      <c r="B1169" s="2" t="s">
        <v>72</v>
      </c>
      <c r="C1169" s="2" t="s">
        <v>73</v>
      </c>
      <c r="D1169" s="2"/>
      <c r="E1169" s="2" t="str">
        <f>"FES1162568283"</f>
        <v>FES1162568283</v>
      </c>
      <c r="F1169" s="3">
        <v>42958</v>
      </c>
      <c r="G1169" s="2">
        <v>201802</v>
      </c>
      <c r="H1169" s="2" t="s">
        <v>74</v>
      </c>
      <c r="I1169" s="2" t="s">
        <v>75</v>
      </c>
      <c r="J1169" s="2" t="s">
        <v>76</v>
      </c>
      <c r="K1169" s="2" t="s">
        <v>77</v>
      </c>
      <c r="L1169" s="2" t="s">
        <v>105</v>
      </c>
      <c r="M1169" s="2" t="s">
        <v>106</v>
      </c>
      <c r="N1169" s="2" t="s">
        <v>1851</v>
      </c>
      <c r="O1169" s="2" t="s">
        <v>100</v>
      </c>
      <c r="P1169" s="2" t="str">
        <f>"2170584370                    "</f>
        <v xml:space="preserve">2170584370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4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1</v>
      </c>
      <c r="BJ1169" s="2">
        <v>0.2</v>
      </c>
      <c r="BK1169" s="2">
        <v>1</v>
      </c>
      <c r="BL1169" s="2">
        <v>41.44</v>
      </c>
      <c r="BM1169" s="2">
        <v>5.8</v>
      </c>
      <c r="BN1169" s="2">
        <v>47.24</v>
      </c>
      <c r="BO1169" s="2">
        <v>47.24</v>
      </c>
      <c r="BP1169" s="2">
        <v>1</v>
      </c>
      <c r="BQ1169" s="2" t="s">
        <v>83</v>
      </c>
      <c r="BR1169" s="2" t="s">
        <v>84</v>
      </c>
      <c r="BS1169" s="3">
        <v>42961</v>
      </c>
      <c r="BT1169" s="4">
        <v>0.37708333333333338</v>
      </c>
      <c r="BU1169" s="2" t="s">
        <v>1891</v>
      </c>
      <c r="BV1169" s="2" t="s">
        <v>95</v>
      </c>
      <c r="BW1169" s="2"/>
      <c r="BX1169" s="2"/>
      <c r="BY1169" s="2">
        <v>1200</v>
      </c>
      <c r="BZ1169" s="2"/>
      <c r="CA1169" s="2" t="s">
        <v>1424</v>
      </c>
      <c r="CB1169" s="2"/>
      <c r="CC1169" s="2" t="s">
        <v>106</v>
      </c>
      <c r="CD1169" s="2">
        <v>7530</v>
      </c>
      <c r="CE1169" s="2" t="s">
        <v>104</v>
      </c>
      <c r="CF1169" s="5">
        <v>42962</v>
      </c>
      <c r="CG1169" s="2"/>
      <c r="CH1169" s="2"/>
      <c r="CI1169" s="2">
        <v>1</v>
      </c>
      <c r="CJ1169" s="2">
        <v>1</v>
      </c>
      <c r="CK1169" s="2">
        <v>21</v>
      </c>
      <c r="CL1169" s="2" t="s">
        <v>86</v>
      </c>
      <c r="CM1169" s="2"/>
    </row>
    <row r="1170" spans="1:91">
      <c r="A1170" s="2" t="s">
        <v>71</v>
      </c>
      <c r="B1170" s="2" t="s">
        <v>72</v>
      </c>
      <c r="C1170" s="2" t="s">
        <v>73</v>
      </c>
      <c r="D1170" s="2"/>
      <c r="E1170" s="2" t="str">
        <f>"FES1162568320"</f>
        <v>FES1162568320</v>
      </c>
      <c r="F1170" s="3">
        <v>42958</v>
      </c>
      <c r="G1170" s="2">
        <v>201802</v>
      </c>
      <c r="H1170" s="2" t="s">
        <v>74</v>
      </c>
      <c r="I1170" s="2" t="s">
        <v>75</v>
      </c>
      <c r="J1170" s="2" t="s">
        <v>76</v>
      </c>
      <c r="K1170" s="2" t="s">
        <v>77</v>
      </c>
      <c r="L1170" s="2" t="s">
        <v>105</v>
      </c>
      <c r="M1170" s="2" t="s">
        <v>106</v>
      </c>
      <c r="N1170" s="2" t="s">
        <v>1093</v>
      </c>
      <c r="O1170" s="2" t="s">
        <v>100</v>
      </c>
      <c r="P1170" s="2" t="str">
        <f>"2170581716                    "</f>
        <v xml:space="preserve">2170581716 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4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1</v>
      </c>
      <c r="BJ1170" s="2">
        <v>0.2</v>
      </c>
      <c r="BK1170" s="2">
        <v>1</v>
      </c>
      <c r="BL1170" s="2">
        <v>41.44</v>
      </c>
      <c r="BM1170" s="2">
        <v>5.8</v>
      </c>
      <c r="BN1170" s="2">
        <v>47.24</v>
      </c>
      <c r="BO1170" s="2">
        <v>47.24</v>
      </c>
      <c r="BP1170" s="2">
        <v>1</v>
      </c>
      <c r="BQ1170" s="2" t="s">
        <v>83</v>
      </c>
      <c r="BR1170" s="2" t="s">
        <v>84</v>
      </c>
      <c r="BS1170" s="3">
        <v>42961</v>
      </c>
      <c r="BT1170" s="4">
        <v>0.40138888888888885</v>
      </c>
      <c r="BU1170" s="2" t="s">
        <v>1693</v>
      </c>
      <c r="BV1170" s="2" t="s">
        <v>95</v>
      </c>
      <c r="BW1170" s="2"/>
      <c r="BX1170" s="2"/>
      <c r="BY1170" s="2">
        <v>1200</v>
      </c>
      <c r="BZ1170" s="2"/>
      <c r="CA1170" s="2" t="s">
        <v>1694</v>
      </c>
      <c r="CB1170" s="2"/>
      <c r="CC1170" s="2" t="s">
        <v>106</v>
      </c>
      <c r="CD1170" s="2">
        <v>7975</v>
      </c>
      <c r="CE1170" s="2" t="s">
        <v>104</v>
      </c>
      <c r="CF1170" s="5">
        <v>42962</v>
      </c>
      <c r="CG1170" s="2"/>
      <c r="CH1170" s="2"/>
      <c r="CI1170" s="2">
        <v>1</v>
      </c>
      <c r="CJ1170" s="2">
        <v>1</v>
      </c>
      <c r="CK1170" s="2">
        <v>21</v>
      </c>
      <c r="CL1170" s="2" t="s">
        <v>86</v>
      </c>
      <c r="CM1170" s="2"/>
    </row>
    <row r="1171" spans="1:91">
      <c r="A1171" s="2" t="s">
        <v>71</v>
      </c>
      <c r="B1171" s="2" t="s">
        <v>72</v>
      </c>
      <c r="C1171" s="2" t="s">
        <v>73</v>
      </c>
      <c r="D1171" s="2"/>
      <c r="E1171" s="2" t="str">
        <f>"FES1162568376"</f>
        <v>FES1162568376</v>
      </c>
      <c r="F1171" s="3">
        <v>42958</v>
      </c>
      <c r="G1171" s="2">
        <v>201802</v>
      </c>
      <c r="H1171" s="2" t="s">
        <v>74</v>
      </c>
      <c r="I1171" s="2" t="s">
        <v>75</v>
      </c>
      <c r="J1171" s="2" t="s">
        <v>76</v>
      </c>
      <c r="K1171" s="2" t="s">
        <v>77</v>
      </c>
      <c r="L1171" s="2" t="s">
        <v>105</v>
      </c>
      <c r="M1171" s="2" t="s">
        <v>106</v>
      </c>
      <c r="N1171" s="2" t="s">
        <v>107</v>
      </c>
      <c r="O1171" s="2" t="s">
        <v>100</v>
      </c>
      <c r="P1171" s="2" t="str">
        <f>"2170584463                    "</f>
        <v xml:space="preserve">2170584463  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4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1</v>
      </c>
      <c r="BJ1171" s="2">
        <v>0.2</v>
      </c>
      <c r="BK1171" s="2">
        <v>1</v>
      </c>
      <c r="BL1171" s="2">
        <v>41.44</v>
      </c>
      <c r="BM1171" s="2">
        <v>5.8</v>
      </c>
      <c r="BN1171" s="2">
        <v>47.24</v>
      </c>
      <c r="BO1171" s="2">
        <v>47.24</v>
      </c>
      <c r="BP1171" s="2">
        <v>1</v>
      </c>
      <c r="BQ1171" s="2" t="s">
        <v>108</v>
      </c>
      <c r="BR1171" s="2" t="s">
        <v>84</v>
      </c>
      <c r="BS1171" s="3">
        <v>42961</v>
      </c>
      <c r="BT1171" s="4">
        <v>0.39374999999999999</v>
      </c>
      <c r="BU1171" s="2" t="s">
        <v>1888</v>
      </c>
      <c r="BV1171" s="2" t="s">
        <v>95</v>
      </c>
      <c r="BW1171" s="2"/>
      <c r="BX1171" s="2"/>
      <c r="BY1171" s="2">
        <v>1200</v>
      </c>
      <c r="BZ1171" s="2"/>
      <c r="CA1171" s="2" t="s">
        <v>856</v>
      </c>
      <c r="CB1171" s="2"/>
      <c r="CC1171" s="2" t="s">
        <v>106</v>
      </c>
      <c r="CD1171" s="2">
        <v>7405</v>
      </c>
      <c r="CE1171" s="2" t="s">
        <v>104</v>
      </c>
      <c r="CF1171" s="5">
        <v>42962</v>
      </c>
      <c r="CG1171" s="2"/>
      <c r="CH1171" s="2"/>
      <c r="CI1171" s="2">
        <v>1</v>
      </c>
      <c r="CJ1171" s="2">
        <v>1</v>
      </c>
      <c r="CK1171" s="2">
        <v>21</v>
      </c>
      <c r="CL1171" s="2" t="s">
        <v>86</v>
      </c>
      <c r="CM1171" s="2"/>
    </row>
    <row r="1172" spans="1:91">
      <c r="A1172" s="2" t="s">
        <v>71</v>
      </c>
      <c r="B1172" s="2" t="s">
        <v>72</v>
      </c>
      <c r="C1172" s="2" t="s">
        <v>73</v>
      </c>
      <c r="D1172" s="2"/>
      <c r="E1172" s="2" t="str">
        <f>"FES1162568392"</f>
        <v>FES1162568392</v>
      </c>
      <c r="F1172" s="3">
        <v>42958</v>
      </c>
      <c r="G1172" s="2">
        <v>201802</v>
      </c>
      <c r="H1172" s="2" t="s">
        <v>74</v>
      </c>
      <c r="I1172" s="2" t="s">
        <v>75</v>
      </c>
      <c r="J1172" s="2" t="s">
        <v>76</v>
      </c>
      <c r="K1172" s="2" t="s">
        <v>77</v>
      </c>
      <c r="L1172" s="2" t="s">
        <v>321</v>
      </c>
      <c r="M1172" s="2" t="s">
        <v>322</v>
      </c>
      <c r="N1172" s="2" t="s">
        <v>323</v>
      </c>
      <c r="O1172" s="2" t="s">
        <v>100</v>
      </c>
      <c r="P1172" s="2" t="str">
        <f>"2170584479                    "</f>
        <v xml:space="preserve">2170584479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4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1</v>
      </c>
      <c r="BJ1172" s="2">
        <v>0.2</v>
      </c>
      <c r="BK1172" s="2">
        <v>1</v>
      </c>
      <c r="BL1172" s="2">
        <v>41.44</v>
      </c>
      <c r="BM1172" s="2">
        <v>5.8</v>
      </c>
      <c r="BN1172" s="2">
        <v>47.24</v>
      </c>
      <c r="BO1172" s="2">
        <v>47.24</v>
      </c>
      <c r="BP1172" s="2">
        <v>1</v>
      </c>
      <c r="BQ1172" s="2" t="s">
        <v>83</v>
      </c>
      <c r="BR1172" s="2" t="s">
        <v>84</v>
      </c>
      <c r="BS1172" s="3">
        <v>42961</v>
      </c>
      <c r="BT1172" s="4">
        <v>0.3972222222222222</v>
      </c>
      <c r="BU1172" s="2" t="s">
        <v>324</v>
      </c>
      <c r="BV1172" s="2" t="s">
        <v>95</v>
      </c>
      <c r="BW1172" s="2"/>
      <c r="BX1172" s="2"/>
      <c r="BY1172" s="2">
        <v>1200</v>
      </c>
      <c r="BZ1172" s="2"/>
      <c r="CA1172" s="2" t="s">
        <v>103</v>
      </c>
      <c r="CB1172" s="2"/>
      <c r="CC1172" s="2" t="s">
        <v>322</v>
      </c>
      <c r="CD1172" s="2">
        <v>6220</v>
      </c>
      <c r="CE1172" s="2" t="s">
        <v>104</v>
      </c>
      <c r="CF1172" s="5">
        <v>42961</v>
      </c>
      <c r="CG1172" s="2"/>
      <c r="CH1172" s="2"/>
      <c r="CI1172" s="2">
        <v>1</v>
      </c>
      <c r="CJ1172" s="2">
        <v>1</v>
      </c>
      <c r="CK1172" s="2">
        <v>21</v>
      </c>
      <c r="CL1172" s="2" t="s">
        <v>86</v>
      </c>
      <c r="CM1172" s="2"/>
    </row>
    <row r="1173" spans="1:91">
      <c r="A1173" s="2" t="s">
        <v>71</v>
      </c>
      <c r="B1173" s="2" t="s">
        <v>72</v>
      </c>
      <c r="C1173" s="2" t="s">
        <v>73</v>
      </c>
      <c r="D1173" s="2"/>
      <c r="E1173" s="2" t="str">
        <f>"FES1162568398"</f>
        <v>FES1162568398</v>
      </c>
      <c r="F1173" s="3">
        <v>42958</v>
      </c>
      <c r="G1173" s="2">
        <v>201802</v>
      </c>
      <c r="H1173" s="2" t="s">
        <v>74</v>
      </c>
      <c r="I1173" s="2" t="s">
        <v>75</v>
      </c>
      <c r="J1173" s="2" t="s">
        <v>76</v>
      </c>
      <c r="K1173" s="2" t="s">
        <v>77</v>
      </c>
      <c r="L1173" s="2" t="s">
        <v>174</v>
      </c>
      <c r="M1173" s="2" t="s">
        <v>175</v>
      </c>
      <c r="N1173" s="2" t="s">
        <v>1789</v>
      </c>
      <c r="O1173" s="2" t="s">
        <v>100</v>
      </c>
      <c r="P1173" s="2" t="str">
        <f>"2170584492                    "</f>
        <v xml:space="preserve">2170584492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4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1</v>
      </c>
      <c r="BJ1173" s="2">
        <v>0.2</v>
      </c>
      <c r="BK1173" s="2">
        <v>1</v>
      </c>
      <c r="BL1173" s="2">
        <v>41.44</v>
      </c>
      <c r="BM1173" s="2">
        <v>5.8</v>
      </c>
      <c r="BN1173" s="2">
        <v>47.24</v>
      </c>
      <c r="BO1173" s="2">
        <v>47.24</v>
      </c>
      <c r="BP1173" s="2">
        <v>1</v>
      </c>
      <c r="BQ1173" s="2" t="s">
        <v>288</v>
      </c>
      <c r="BR1173" s="2" t="s">
        <v>84</v>
      </c>
      <c r="BS1173" s="3">
        <v>42959</v>
      </c>
      <c r="BT1173" s="4">
        <v>0.36458333333333331</v>
      </c>
      <c r="BU1173" s="2" t="s">
        <v>1892</v>
      </c>
      <c r="BV1173" s="2" t="s">
        <v>95</v>
      </c>
      <c r="BW1173" s="2"/>
      <c r="BX1173" s="2"/>
      <c r="BY1173" s="2">
        <v>1200</v>
      </c>
      <c r="BZ1173" s="2"/>
      <c r="CA1173" s="2"/>
      <c r="CB1173" s="2"/>
      <c r="CC1173" s="2" t="s">
        <v>175</v>
      </c>
      <c r="CD1173" s="2">
        <v>5201</v>
      </c>
      <c r="CE1173" s="2" t="s">
        <v>104</v>
      </c>
      <c r="CF1173" s="5">
        <v>42962</v>
      </c>
      <c r="CG1173" s="2"/>
      <c r="CH1173" s="2"/>
      <c r="CI1173" s="2">
        <v>1</v>
      </c>
      <c r="CJ1173" s="2">
        <v>0</v>
      </c>
      <c r="CK1173" s="2">
        <v>21</v>
      </c>
      <c r="CL1173" s="2" t="s">
        <v>86</v>
      </c>
      <c r="CM1173" s="2"/>
    </row>
    <row r="1174" spans="1:91">
      <c r="A1174" s="2" t="s">
        <v>71</v>
      </c>
      <c r="B1174" s="2" t="s">
        <v>72</v>
      </c>
      <c r="C1174" s="2" t="s">
        <v>73</v>
      </c>
      <c r="D1174" s="2"/>
      <c r="E1174" s="2" t="str">
        <f>"FES1162568351"</f>
        <v>FES1162568351</v>
      </c>
      <c r="F1174" s="3">
        <v>42958</v>
      </c>
      <c r="G1174" s="2">
        <v>201802</v>
      </c>
      <c r="H1174" s="2" t="s">
        <v>74</v>
      </c>
      <c r="I1174" s="2" t="s">
        <v>75</v>
      </c>
      <c r="J1174" s="2" t="s">
        <v>76</v>
      </c>
      <c r="K1174" s="2" t="s">
        <v>77</v>
      </c>
      <c r="L1174" s="2" t="s">
        <v>174</v>
      </c>
      <c r="M1174" s="2" t="s">
        <v>175</v>
      </c>
      <c r="N1174" s="2" t="s">
        <v>930</v>
      </c>
      <c r="O1174" s="2" t="s">
        <v>100</v>
      </c>
      <c r="P1174" s="2" t="str">
        <f>"2170581730                    "</f>
        <v xml:space="preserve">2170581730 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4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1</v>
      </c>
      <c r="BJ1174" s="2">
        <v>0.2</v>
      </c>
      <c r="BK1174" s="2">
        <v>1</v>
      </c>
      <c r="BL1174" s="2">
        <v>41.44</v>
      </c>
      <c r="BM1174" s="2">
        <v>5.8</v>
      </c>
      <c r="BN1174" s="2">
        <v>47.24</v>
      </c>
      <c r="BO1174" s="2">
        <v>47.24</v>
      </c>
      <c r="BP1174" s="2">
        <v>1</v>
      </c>
      <c r="BQ1174" s="2" t="s">
        <v>83</v>
      </c>
      <c r="BR1174" s="2" t="s">
        <v>84</v>
      </c>
      <c r="BS1174" s="3">
        <v>42961</v>
      </c>
      <c r="BT1174" s="4">
        <v>0.42499999999999999</v>
      </c>
      <c r="BU1174" s="2" t="s">
        <v>1408</v>
      </c>
      <c r="BV1174" s="2" t="s">
        <v>95</v>
      </c>
      <c r="BW1174" s="2"/>
      <c r="BX1174" s="2"/>
      <c r="BY1174" s="2">
        <v>1200</v>
      </c>
      <c r="BZ1174" s="2"/>
      <c r="CA1174" s="2" t="s">
        <v>1373</v>
      </c>
      <c r="CB1174" s="2"/>
      <c r="CC1174" s="2" t="s">
        <v>175</v>
      </c>
      <c r="CD1174" s="2">
        <v>5201</v>
      </c>
      <c r="CE1174" s="2" t="s">
        <v>104</v>
      </c>
      <c r="CF1174" s="5">
        <v>42962</v>
      </c>
      <c r="CG1174" s="2"/>
      <c r="CH1174" s="2"/>
      <c r="CI1174" s="2">
        <v>1</v>
      </c>
      <c r="CJ1174" s="2">
        <v>1</v>
      </c>
      <c r="CK1174" s="2">
        <v>21</v>
      </c>
      <c r="CL1174" s="2" t="s">
        <v>86</v>
      </c>
      <c r="CM1174" s="2"/>
    </row>
    <row r="1175" spans="1:91">
      <c r="A1175" s="2" t="s">
        <v>71</v>
      </c>
      <c r="B1175" s="2" t="s">
        <v>72</v>
      </c>
      <c r="C1175" s="2" t="s">
        <v>73</v>
      </c>
      <c r="D1175" s="2"/>
      <c r="E1175" s="2" t="str">
        <f>"FES1162568338"</f>
        <v>FES1162568338</v>
      </c>
      <c r="F1175" s="3">
        <v>42958</v>
      </c>
      <c r="G1175" s="2">
        <v>201802</v>
      </c>
      <c r="H1175" s="2" t="s">
        <v>74</v>
      </c>
      <c r="I1175" s="2" t="s">
        <v>75</v>
      </c>
      <c r="J1175" s="2" t="s">
        <v>76</v>
      </c>
      <c r="K1175" s="2" t="s">
        <v>77</v>
      </c>
      <c r="L1175" s="2" t="s">
        <v>144</v>
      </c>
      <c r="M1175" s="2" t="s">
        <v>145</v>
      </c>
      <c r="N1175" s="2" t="s">
        <v>146</v>
      </c>
      <c r="O1175" s="2" t="s">
        <v>100</v>
      </c>
      <c r="P1175" s="2" t="str">
        <f>"2170583725                    "</f>
        <v xml:space="preserve">2170583725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3.13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1</v>
      </c>
      <c r="BJ1175" s="2">
        <v>0.2</v>
      </c>
      <c r="BK1175" s="2">
        <v>1</v>
      </c>
      <c r="BL1175" s="2">
        <v>32.380000000000003</v>
      </c>
      <c r="BM1175" s="2">
        <v>4.53</v>
      </c>
      <c r="BN1175" s="2">
        <v>36.909999999999997</v>
      </c>
      <c r="BO1175" s="2">
        <v>36.909999999999997</v>
      </c>
      <c r="BP1175" s="2"/>
      <c r="BQ1175" s="2" t="s">
        <v>83</v>
      </c>
      <c r="BR1175" s="2" t="s">
        <v>84</v>
      </c>
      <c r="BS1175" s="3">
        <v>42961</v>
      </c>
      <c r="BT1175" s="4">
        <v>0.38541666666666669</v>
      </c>
      <c r="BU1175" s="2" t="s">
        <v>1893</v>
      </c>
      <c r="BV1175" s="2" t="s">
        <v>95</v>
      </c>
      <c r="BW1175" s="2"/>
      <c r="BX1175" s="2"/>
      <c r="BY1175" s="2">
        <v>1200</v>
      </c>
      <c r="BZ1175" s="2"/>
      <c r="CA1175" s="2" t="s">
        <v>274</v>
      </c>
      <c r="CB1175" s="2"/>
      <c r="CC1175" s="2" t="s">
        <v>145</v>
      </c>
      <c r="CD1175" s="2">
        <v>2094</v>
      </c>
      <c r="CE1175" s="2" t="s">
        <v>104</v>
      </c>
      <c r="CF1175" s="5">
        <v>42962</v>
      </c>
      <c r="CG1175" s="2"/>
      <c r="CH1175" s="2"/>
      <c r="CI1175" s="2">
        <v>1</v>
      </c>
      <c r="CJ1175" s="2">
        <v>1</v>
      </c>
      <c r="CK1175" s="2">
        <v>22</v>
      </c>
      <c r="CL1175" s="2" t="s">
        <v>86</v>
      </c>
      <c r="CM1175" s="2"/>
    </row>
    <row r="1176" spans="1:91">
      <c r="A1176" s="2" t="s">
        <v>71</v>
      </c>
      <c r="B1176" s="2" t="s">
        <v>72</v>
      </c>
      <c r="C1176" s="2" t="s">
        <v>73</v>
      </c>
      <c r="D1176" s="2"/>
      <c r="E1176" s="2" t="str">
        <f>"FES1162568251"</f>
        <v>FES1162568251</v>
      </c>
      <c r="F1176" s="3">
        <v>42958</v>
      </c>
      <c r="G1176" s="2">
        <v>201802</v>
      </c>
      <c r="H1176" s="2" t="s">
        <v>74</v>
      </c>
      <c r="I1176" s="2" t="s">
        <v>75</v>
      </c>
      <c r="J1176" s="2" t="s">
        <v>76</v>
      </c>
      <c r="K1176" s="2" t="s">
        <v>77</v>
      </c>
      <c r="L1176" s="2" t="s">
        <v>170</v>
      </c>
      <c r="M1176" s="2" t="s">
        <v>171</v>
      </c>
      <c r="N1176" s="2" t="s">
        <v>1894</v>
      </c>
      <c r="O1176" s="2" t="s">
        <v>100</v>
      </c>
      <c r="P1176" s="2" t="str">
        <f>"2170584395                    "</f>
        <v xml:space="preserve">2170584395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3.13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1</v>
      </c>
      <c r="BI1176" s="2">
        <v>1</v>
      </c>
      <c r="BJ1176" s="2">
        <v>0.2</v>
      </c>
      <c r="BK1176" s="2">
        <v>1</v>
      </c>
      <c r="BL1176" s="2">
        <v>32.380000000000003</v>
      </c>
      <c r="BM1176" s="2">
        <v>4.53</v>
      </c>
      <c r="BN1176" s="2">
        <v>36.909999999999997</v>
      </c>
      <c r="BO1176" s="2">
        <v>36.909999999999997</v>
      </c>
      <c r="BP1176" s="2"/>
      <c r="BQ1176" s="2" t="s">
        <v>108</v>
      </c>
      <c r="BR1176" s="2" t="s">
        <v>84</v>
      </c>
      <c r="BS1176" s="3">
        <v>42961</v>
      </c>
      <c r="BT1176" s="4">
        <v>0.40972222222222227</v>
      </c>
      <c r="BU1176" s="2" t="s">
        <v>1561</v>
      </c>
      <c r="BV1176" s="2" t="s">
        <v>95</v>
      </c>
      <c r="BW1176" s="2"/>
      <c r="BX1176" s="2"/>
      <c r="BY1176" s="2">
        <v>1200</v>
      </c>
      <c r="BZ1176" s="2"/>
      <c r="CA1176" s="2" t="s">
        <v>1617</v>
      </c>
      <c r="CB1176" s="2"/>
      <c r="CC1176" s="2" t="s">
        <v>171</v>
      </c>
      <c r="CD1176" s="2">
        <v>1401</v>
      </c>
      <c r="CE1176" s="2" t="s">
        <v>104</v>
      </c>
      <c r="CF1176" s="5">
        <v>42962</v>
      </c>
      <c r="CG1176" s="2"/>
      <c r="CH1176" s="2"/>
      <c r="CI1176" s="2">
        <v>1</v>
      </c>
      <c r="CJ1176" s="2">
        <v>1</v>
      </c>
      <c r="CK1176" s="2">
        <v>22</v>
      </c>
      <c r="CL1176" s="2" t="s">
        <v>86</v>
      </c>
      <c r="CM1176" s="2"/>
    </row>
    <row r="1177" spans="1:91">
      <c r="A1177" s="2" t="s">
        <v>71</v>
      </c>
      <c r="B1177" s="2" t="s">
        <v>72</v>
      </c>
      <c r="C1177" s="2" t="s">
        <v>73</v>
      </c>
      <c r="D1177" s="2"/>
      <c r="E1177" s="2" t="str">
        <f>"FES1162568318"</f>
        <v>FES1162568318</v>
      </c>
      <c r="F1177" s="3">
        <v>42958</v>
      </c>
      <c r="G1177" s="2">
        <v>201802</v>
      </c>
      <c r="H1177" s="2" t="s">
        <v>74</v>
      </c>
      <c r="I1177" s="2" t="s">
        <v>75</v>
      </c>
      <c r="J1177" s="2" t="s">
        <v>76</v>
      </c>
      <c r="K1177" s="2" t="s">
        <v>77</v>
      </c>
      <c r="L1177" s="2" t="s">
        <v>244</v>
      </c>
      <c r="M1177" s="2" t="s">
        <v>245</v>
      </c>
      <c r="N1177" s="2" t="s">
        <v>581</v>
      </c>
      <c r="O1177" s="2" t="s">
        <v>100</v>
      </c>
      <c r="P1177" s="2" t="str">
        <f>"2170581656                    "</f>
        <v xml:space="preserve">2170581656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3.13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1</v>
      </c>
      <c r="BI1177" s="2">
        <v>1</v>
      </c>
      <c r="BJ1177" s="2">
        <v>0.2</v>
      </c>
      <c r="BK1177" s="2">
        <v>1</v>
      </c>
      <c r="BL1177" s="2">
        <v>32.380000000000003</v>
      </c>
      <c r="BM1177" s="2">
        <v>4.53</v>
      </c>
      <c r="BN1177" s="2">
        <v>36.909999999999997</v>
      </c>
      <c r="BO1177" s="2">
        <v>36.909999999999997</v>
      </c>
      <c r="BP1177" s="2"/>
      <c r="BQ1177" s="2" t="s">
        <v>108</v>
      </c>
      <c r="BR1177" s="2" t="s">
        <v>84</v>
      </c>
      <c r="BS1177" s="3">
        <v>42961</v>
      </c>
      <c r="BT1177" s="4">
        <v>0.33333333333333331</v>
      </c>
      <c r="BU1177" s="2" t="s">
        <v>1895</v>
      </c>
      <c r="BV1177" s="2" t="s">
        <v>95</v>
      </c>
      <c r="BW1177" s="2"/>
      <c r="BX1177" s="2"/>
      <c r="BY1177" s="2">
        <v>1200</v>
      </c>
      <c r="BZ1177" s="2"/>
      <c r="CA1177" s="2" t="s">
        <v>499</v>
      </c>
      <c r="CB1177" s="2"/>
      <c r="CC1177" s="2" t="s">
        <v>245</v>
      </c>
      <c r="CD1177" s="2">
        <v>1459</v>
      </c>
      <c r="CE1177" s="2" t="s">
        <v>104</v>
      </c>
      <c r="CF1177" s="5">
        <v>42962</v>
      </c>
      <c r="CG1177" s="2"/>
      <c r="CH1177" s="2"/>
      <c r="CI1177" s="2">
        <v>1</v>
      </c>
      <c r="CJ1177" s="2">
        <v>1</v>
      </c>
      <c r="CK1177" s="2">
        <v>22</v>
      </c>
      <c r="CL1177" s="2" t="s">
        <v>86</v>
      </c>
      <c r="CM1177" s="2"/>
    </row>
    <row r="1178" spans="1:91">
      <c r="A1178" s="2" t="s">
        <v>71</v>
      </c>
      <c r="B1178" s="2" t="s">
        <v>72</v>
      </c>
      <c r="C1178" s="2" t="s">
        <v>73</v>
      </c>
      <c r="D1178" s="2"/>
      <c r="E1178" s="2" t="str">
        <f>"FES1162568334"</f>
        <v>FES1162568334</v>
      </c>
      <c r="F1178" s="3">
        <v>42958</v>
      </c>
      <c r="G1178" s="2">
        <v>201802</v>
      </c>
      <c r="H1178" s="2" t="s">
        <v>74</v>
      </c>
      <c r="I1178" s="2" t="s">
        <v>75</v>
      </c>
      <c r="J1178" s="2" t="s">
        <v>76</v>
      </c>
      <c r="K1178" s="2" t="s">
        <v>77</v>
      </c>
      <c r="L1178" s="2" t="s">
        <v>144</v>
      </c>
      <c r="M1178" s="2" t="s">
        <v>145</v>
      </c>
      <c r="N1178" s="2" t="s">
        <v>1259</v>
      </c>
      <c r="O1178" s="2" t="s">
        <v>100</v>
      </c>
      <c r="P1178" s="2" t="str">
        <f>"2170582620                    "</f>
        <v xml:space="preserve">2170582620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3.13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</v>
      </c>
      <c r="BJ1178" s="2">
        <v>0.2</v>
      </c>
      <c r="BK1178" s="2">
        <v>1</v>
      </c>
      <c r="BL1178" s="2">
        <v>32.380000000000003</v>
      </c>
      <c r="BM1178" s="2">
        <v>4.53</v>
      </c>
      <c r="BN1178" s="2">
        <v>36.909999999999997</v>
      </c>
      <c r="BO1178" s="2">
        <v>36.909999999999997</v>
      </c>
      <c r="BP1178" s="2"/>
      <c r="BQ1178" s="2" t="s">
        <v>108</v>
      </c>
      <c r="BR1178" s="2" t="s">
        <v>84</v>
      </c>
      <c r="BS1178" s="3">
        <v>42961</v>
      </c>
      <c r="BT1178" s="4">
        <v>0.45347222222222222</v>
      </c>
      <c r="BU1178" s="2" t="s">
        <v>1896</v>
      </c>
      <c r="BV1178" s="2" t="s">
        <v>95</v>
      </c>
      <c r="BW1178" s="2"/>
      <c r="BX1178" s="2"/>
      <c r="BY1178" s="2">
        <v>1200</v>
      </c>
      <c r="BZ1178" s="2"/>
      <c r="CA1178" s="2" t="s">
        <v>1261</v>
      </c>
      <c r="CB1178" s="2"/>
      <c r="CC1178" s="2" t="s">
        <v>145</v>
      </c>
      <c r="CD1178" s="2">
        <v>1723</v>
      </c>
      <c r="CE1178" s="2" t="s">
        <v>104</v>
      </c>
      <c r="CF1178" s="5">
        <v>42962</v>
      </c>
      <c r="CG1178" s="2"/>
      <c r="CH1178" s="2"/>
      <c r="CI1178" s="2">
        <v>1</v>
      </c>
      <c r="CJ1178" s="2">
        <v>1</v>
      </c>
      <c r="CK1178" s="2">
        <v>22</v>
      </c>
      <c r="CL1178" s="2" t="s">
        <v>86</v>
      </c>
      <c r="CM1178" s="2"/>
    </row>
    <row r="1179" spans="1:91">
      <c r="A1179" s="2" t="s">
        <v>71</v>
      </c>
      <c r="B1179" s="2" t="s">
        <v>72</v>
      </c>
      <c r="C1179" s="2" t="s">
        <v>73</v>
      </c>
      <c r="D1179" s="2"/>
      <c r="E1179" s="2" t="str">
        <f>"FES1162568330"</f>
        <v>FES1162568330</v>
      </c>
      <c r="F1179" s="3">
        <v>42958</v>
      </c>
      <c r="G1179" s="2">
        <v>201802</v>
      </c>
      <c r="H1179" s="2" t="s">
        <v>74</v>
      </c>
      <c r="I1179" s="2" t="s">
        <v>75</v>
      </c>
      <c r="J1179" s="2" t="s">
        <v>76</v>
      </c>
      <c r="K1179" s="2" t="s">
        <v>77</v>
      </c>
      <c r="L1179" s="2" t="s">
        <v>144</v>
      </c>
      <c r="M1179" s="2" t="s">
        <v>145</v>
      </c>
      <c r="N1179" s="2" t="s">
        <v>393</v>
      </c>
      <c r="O1179" s="2" t="s">
        <v>100</v>
      </c>
      <c r="P1179" s="2" t="str">
        <f>"2170582351                    "</f>
        <v xml:space="preserve">2170582351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3.13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1</v>
      </c>
      <c r="BI1179" s="2">
        <v>1</v>
      </c>
      <c r="BJ1179" s="2">
        <v>0.2</v>
      </c>
      <c r="BK1179" s="2">
        <v>1</v>
      </c>
      <c r="BL1179" s="2">
        <v>32.380000000000003</v>
      </c>
      <c r="BM1179" s="2">
        <v>4.53</v>
      </c>
      <c r="BN1179" s="2">
        <v>36.909999999999997</v>
      </c>
      <c r="BO1179" s="2">
        <v>36.909999999999997</v>
      </c>
      <c r="BP1179" s="2"/>
      <c r="BQ1179" s="2" t="s">
        <v>108</v>
      </c>
      <c r="BR1179" s="2" t="s">
        <v>84</v>
      </c>
      <c r="BS1179" s="3">
        <v>42961</v>
      </c>
      <c r="BT1179" s="4">
        <v>0.4375</v>
      </c>
      <c r="BU1179" s="2" t="s">
        <v>1897</v>
      </c>
      <c r="BV1179" s="2" t="s">
        <v>95</v>
      </c>
      <c r="BW1179" s="2"/>
      <c r="BX1179" s="2"/>
      <c r="BY1179" s="2">
        <v>1200</v>
      </c>
      <c r="BZ1179" s="2"/>
      <c r="CA1179" s="2"/>
      <c r="CB1179" s="2"/>
      <c r="CC1179" s="2" t="s">
        <v>145</v>
      </c>
      <c r="CD1179" s="2">
        <v>2001</v>
      </c>
      <c r="CE1179" s="2" t="s">
        <v>104</v>
      </c>
      <c r="CF1179" s="5">
        <v>42962</v>
      </c>
      <c r="CG1179" s="2"/>
      <c r="CH1179" s="2"/>
      <c r="CI1179" s="2">
        <v>1</v>
      </c>
      <c r="CJ1179" s="2">
        <v>1</v>
      </c>
      <c r="CK1179" s="2">
        <v>22</v>
      </c>
      <c r="CL1179" s="2" t="s">
        <v>86</v>
      </c>
      <c r="CM1179" s="2"/>
    </row>
    <row r="1180" spans="1:91">
      <c r="A1180" s="2" t="s">
        <v>71</v>
      </c>
      <c r="B1180" s="2" t="s">
        <v>72</v>
      </c>
      <c r="C1180" s="2" t="s">
        <v>73</v>
      </c>
      <c r="D1180" s="2"/>
      <c r="E1180" s="2" t="str">
        <f>"FES1162568358"</f>
        <v>FES1162568358</v>
      </c>
      <c r="F1180" s="3">
        <v>42958</v>
      </c>
      <c r="G1180" s="2">
        <v>201802</v>
      </c>
      <c r="H1180" s="2" t="s">
        <v>74</v>
      </c>
      <c r="I1180" s="2" t="s">
        <v>75</v>
      </c>
      <c r="J1180" s="2" t="s">
        <v>76</v>
      </c>
      <c r="K1180" s="2" t="s">
        <v>77</v>
      </c>
      <c r="L1180" s="2" t="s">
        <v>268</v>
      </c>
      <c r="M1180" s="2" t="s">
        <v>269</v>
      </c>
      <c r="N1180" s="2" t="s">
        <v>493</v>
      </c>
      <c r="O1180" s="2" t="s">
        <v>100</v>
      </c>
      <c r="P1180" s="2" t="str">
        <f>"2170584446                    "</f>
        <v xml:space="preserve">2170584446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4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1</v>
      </c>
      <c r="BJ1180" s="2">
        <v>0.2</v>
      </c>
      <c r="BK1180" s="2">
        <v>1</v>
      </c>
      <c r="BL1180" s="2">
        <v>41.44</v>
      </c>
      <c r="BM1180" s="2">
        <v>5.8</v>
      </c>
      <c r="BN1180" s="2">
        <v>47.24</v>
      </c>
      <c r="BO1180" s="2">
        <v>47.24</v>
      </c>
      <c r="BP1180" s="2"/>
      <c r="BQ1180" s="2" t="s">
        <v>108</v>
      </c>
      <c r="BR1180" s="2" t="s">
        <v>84</v>
      </c>
      <c r="BS1180" s="3">
        <v>42961</v>
      </c>
      <c r="BT1180" s="4">
        <v>0.4375</v>
      </c>
      <c r="BU1180" s="2" t="s">
        <v>1898</v>
      </c>
      <c r="BV1180" s="2" t="s">
        <v>95</v>
      </c>
      <c r="BW1180" s="2"/>
      <c r="BX1180" s="2"/>
      <c r="BY1180" s="2">
        <v>1200</v>
      </c>
      <c r="BZ1180" s="2"/>
      <c r="CA1180" s="2" t="s">
        <v>272</v>
      </c>
      <c r="CB1180" s="2"/>
      <c r="CC1180" s="2" t="s">
        <v>269</v>
      </c>
      <c r="CD1180" s="2">
        <v>200</v>
      </c>
      <c r="CE1180" s="2" t="s">
        <v>104</v>
      </c>
      <c r="CF1180" s="5">
        <v>42962</v>
      </c>
      <c r="CG1180" s="2"/>
      <c r="CH1180" s="2"/>
      <c r="CI1180" s="2">
        <v>1</v>
      </c>
      <c r="CJ1180" s="2">
        <v>1</v>
      </c>
      <c r="CK1180" s="2">
        <v>21</v>
      </c>
      <c r="CL1180" s="2" t="s">
        <v>86</v>
      </c>
      <c r="CM1180" s="2"/>
    </row>
    <row r="1181" spans="1:91">
      <c r="A1181" s="2" t="s">
        <v>71</v>
      </c>
      <c r="B1181" s="2" t="s">
        <v>72</v>
      </c>
      <c r="C1181" s="2" t="s">
        <v>73</v>
      </c>
      <c r="D1181" s="2"/>
      <c r="E1181" s="2" t="str">
        <f>"FES1162568316"</f>
        <v>FES1162568316</v>
      </c>
      <c r="F1181" s="3">
        <v>42958</v>
      </c>
      <c r="G1181" s="2">
        <v>201802</v>
      </c>
      <c r="H1181" s="2" t="s">
        <v>74</v>
      </c>
      <c r="I1181" s="2" t="s">
        <v>75</v>
      </c>
      <c r="J1181" s="2" t="s">
        <v>76</v>
      </c>
      <c r="K1181" s="2" t="s">
        <v>77</v>
      </c>
      <c r="L1181" s="2" t="s">
        <v>137</v>
      </c>
      <c r="M1181" s="2" t="s">
        <v>138</v>
      </c>
      <c r="N1181" s="2" t="s">
        <v>544</v>
      </c>
      <c r="O1181" s="2" t="s">
        <v>100</v>
      </c>
      <c r="P1181" s="2" t="str">
        <f>"2170581602                    "</f>
        <v xml:space="preserve">2170581602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4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</v>
      </c>
      <c r="BJ1181" s="2">
        <v>0.2</v>
      </c>
      <c r="BK1181" s="2">
        <v>1</v>
      </c>
      <c r="BL1181" s="2">
        <v>41.44</v>
      </c>
      <c r="BM1181" s="2">
        <v>5.8</v>
      </c>
      <c r="BN1181" s="2">
        <v>47.24</v>
      </c>
      <c r="BO1181" s="2">
        <v>47.24</v>
      </c>
      <c r="BP1181" s="2"/>
      <c r="BQ1181" s="2" t="s">
        <v>108</v>
      </c>
      <c r="BR1181" s="2" t="s">
        <v>84</v>
      </c>
      <c r="BS1181" s="3">
        <v>42961</v>
      </c>
      <c r="BT1181" s="4">
        <v>0.37916666666666665</v>
      </c>
      <c r="BU1181" s="2" t="s">
        <v>85</v>
      </c>
      <c r="BV1181" s="2" t="s">
        <v>95</v>
      </c>
      <c r="BW1181" s="2"/>
      <c r="BX1181" s="2"/>
      <c r="BY1181" s="2">
        <v>1200</v>
      </c>
      <c r="BZ1181" s="2"/>
      <c r="CA1181" s="2"/>
      <c r="CB1181" s="2"/>
      <c r="CC1181" s="2" t="s">
        <v>138</v>
      </c>
      <c r="CD1181" s="2">
        <v>157</v>
      </c>
      <c r="CE1181" s="2" t="s">
        <v>104</v>
      </c>
      <c r="CF1181" s="5">
        <v>42962</v>
      </c>
      <c r="CG1181" s="2"/>
      <c r="CH1181" s="2"/>
      <c r="CI1181" s="2">
        <v>1</v>
      </c>
      <c r="CJ1181" s="2">
        <v>1</v>
      </c>
      <c r="CK1181" s="2">
        <v>21</v>
      </c>
      <c r="CL1181" s="2" t="s">
        <v>86</v>
      </c>
      <c r="CM1181" s="2"/>
    </row>
    <row r="1182" spans="1:91">
      <c r="A1182" s="2" t="s">
        <v>71</v>
      </c>
      <c r="B1182" s="2" t="s">
        <v>72</v>
      </c>
      <c r="C1182" s="2" t="s">
        <v>73</v>
      </c>
      <c r="D1182" s="2"/>
      <c r="E1182" s="2" t="str">
        <f>"FES1162568307"</f>
        <v>FES1162568307</v>
      </c>
      <c r="F1182" s="3">
        <v>42958</v>
      </c>
      <c r="G1182" s="2">
        <v>201802</v>
      </c>
      <c r="H1182" s="2" t="s">
        <v>74</v>
      </c>
      <c r="I1182" s="2" t="s">
        <v>75</v>
      </c>
      <c r="J1182" s="2" t="s">
        <v>76</v>
      </c>
      <c r="K1182" s="2" t="s">
        <v>77</v>
      </c>
      <c r="L1182" s="2" t="s">
        <v>221</v>
      </c>
      <c r="M1182" s="2" t="s">
        <v>222</v>
      </c>
      <c r="N1182" s="2" t="s">
        <v>415</v>
      </c>
      <c r="O1182" s="2" t="s">
        <v>100</v>
      </c>
      <c r="P1182" s="2" t="str">
        <f>"2170584424                    "</f>
        <v xml:space="preserve">2170584424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4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1</v>
      </c>
      <c r="BJ1182" s="2">
        <v>0.2</v>
      </c>
      <c r="BK1182" s="2">
        <v>1</v>
      </c>
      <c r="BL1182" s="2">
        <v>41.44</v>
      </c>
      <c r="BM1182" s="2">
        <v>5.8</v>
      </c>
      <c r="BN1182" s="2">
        <v>47.24</v>
      </c>
      <c r="BO1182" s="2">
        <v>47.24</v>
      </c>
      <c r="BP1182" s="2"/>
      <c r="BQ1182" s="2" t="s">
        <v>108</v>
      </c>
      <c r="BR1182" s="2" t="s">
        <v>84</v>
      </c>
      <c r="BS1182" s="3">
        <v>42961</v>
      </c>
      <c r="BT1182" s="4">
        <v>0.36041666666666666</v>
      </c>
      <c r="BU1182" s="2" t="s">
        <v>933</v>
      </c>
      <c r="BV1182" s="2" t="s">
        <v>95</v>
      </c>
      <c r="BW1182" s="2"/>
      <c r="BX1182" s="2"/>
      <c r="BY1182" s="2">
        <v>1200</v>
      </c>
      <c r="BZ1182" s="2"/>
      <c r="CA1182" s="2" t="s">
        <v>225</v>
      </c>
      <c r="CB1182" s="2"/>
      <c r="CC1182" s="2" t="s">
        <v>222</v>
      </c>
      <c r="CD1182" s="2">
        <v>4302</v>
      </c>
      <c r="CE1182" s="2" t="s">
        <v>104</v>
      </c>
      <c r="CF1182" s="5">
        <v>42962</v>
      </c>
      <c r="CG1182" s="2"/>
      <c r="CH1182" s="2"/>
      <c r="CI1182" s="2">
        <v>1</v>
      </c>
      <c r="CJ1182" s="2">
        <v>1</v>
      </c>
      <c r="CK1182" s="2">
        <v>21</v>
      </c>
      <c r="CL1182" s="2" t="s">
        <v>86</v>
      </c>
      <c r="CM1182" s="2"/>
    </row>
    <row r="1183" spans="1:91">
      <c r="A1183" s="2" t="s">
        <v>71</v>
      </c>
      <c r="B1183" s="2" t="s">
        <v>72</v>
      </c>
      <c r="C1183" s="2" t="s">
        <v>73</v>
      </c>
      <c r="D1183" s="2"/>
      <c r="E1183" s="2" t="str">
        <f>"FES1162568290"</f>
        <v>FES1162568290</v>
      </c>
      <c r="F1183" s="3">
        <v>42958</v>
      </c>
      <c r="G1183" s="2">
        <v>201802</v>
      </c>
      <c r="H1183" s="2" t="s">
        <v>74</v>
      </c>
      <c r="I1183" s="2" t="s">
        <v>75</v>
      </c>
      <c r="J1183" s="2" t="s">
        <v>76</v>
      </c>
      <c r="K1183" s="2" t="s">
        <v>77</v>
      </c>
      <c r="L1183" s="2" t="s">
        <v>231</v>
      </c>
      <c r="M1183" s="2" t="s">
        <v>232</v>
      </c>
      <c r="N1183" s="2" t="s">
        <v>1899</v>
      </c>
      <c r="O1183" s="2" t="s">
        <v>100</v>
      </c>
      <c r="P1183" s="2" t="str">
        <f>"2170584410                    "</f>
        <v xml:space="preserve">2170584410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4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1</v>
      </c>
      <c r="BI1183" s="2">
        <v>1</v>
      </c>
      <c r="BJ1183" s="2">
        <v>0.2</v>
      </c>
      <c r="BK1183" s="2">
        <v>1</v>
      </c>
      <c r="BL1183" s="2">
        <v>41.44</v>
      </c>
      <c r="BM1183" s="2">
        <v>5.8</v>
      </c>
      <c r="BN1183" s="2">
        <v>47.24</v>
      </c>
      <c r="BO1183" s="2">
        <v>47.24</v>
      </c>
      <c r="BP1183" s="2"/>
      <c r="BQ1183" s="2" t="s">
        <v>1900</v>
      </c>
      <c r="BR1183" s="2" t="s">
        <v>84</v>
      </c>
      <c r="BS1183" s="3">
        <v>42961</v>
      </c>
      <c r="BT1183" s="4">
        <v>0.36319444444444443</v>
      </c>
      <c r="BU1183" s="2" t="s">
        <v>1901</v>
      </c>
      <c r="BV1183" s="2" t="s">
        <v>95</v>
      </c>
      <c r="BW1183" s="2"/>
      <c r="BX1183" s="2"/>
      <c r="BY1183" s="2">
        <v>1200</v>
      </c>
      <c r="BZ1183" s="2"/>
      <c r="CA1183" s="2" t="s">
        <v>235</v>
      </c>
      <c r="CB1183" s="2"/>
      <c r="CC1183" s="2" t="s">
        <v>232</v>
      </c>
      <c r="CD1183" s="2">
        <v>4026</v>
      </c>
      <c r="CE1183" s="2" t="s">
        <v>104</v>
      </c>
      <c r="CF1183" s="5">
        <v>42962</v>
      </c>
      <c r="CG1183" s="2"/>
      <c r="CH1183" s="2"/>
      <c r="CI1183" s="2">
        <v>1</v>
      </c>
      <c r="CJ1183" s="2">
        <v>1</v>
      </c>
      <c r="CK1183" s="2">
        <v>21</v>
      </c>
      <c r="CL1183" s="2" t="s">
        <v>86</v>
      </c>
      <c r="CM1183" s="2"/>
    </row>
    <row r="1184" spans="1:91">
      <c r="A1184" s="2" t="s">
        <v>71</v>
      </c>
      <c r="B1184" s="2" t="s">
        <v>72</v>
      </c>
      <c r="C1184" s="2" t="s">
        <v>73</v>
      </c>
      <c r="D1184" s="2"/>
      <c r="E1184" s="2" t="str">
        <f>"FES1162568377"</f>
        <v>FES1162568377</v>
      </c>
      <c r="F1184" s="3">
        <v>42958</v>
      </c>
      <c r="G1184" s="2">
        <v>201802</v>
      </c>
      <c r="H1184" s="2" t="s">
        <v>74</v>
      </c>
      <c r="I1184" s="2" t="s">
        <v>75</v>
      </c>
      <c r="J1184" s="2" t="s">
        <v>76</v>
      </c>
      <c r="K1184" s="2" t="s">
        <v>77</v>
      </c>
      <c r="L1184" s="2" t="s">
        <v>237</v>
      </c>
      <c r="M1184" s="2" t="s">
        <v>238</v>
      </c>
      <c r="N1184" s="2" t="s">
        <v>1530</v>
      </c>
      <c r="O1184" s="2" t="s">
        <v>100</v>
      </c>
      <c r="P1184" s="2" t="str">
        <f>"2170584464                    "</f>
        <v xml:space="preserve">2170584464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4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1</v>
      </c>
      <c r="BJ1184" s="2">
        <v>0.2</v>
      </c>
      <c r="BK1184" s="2">
        <v>1</v>
      </c>
      <c r="BL1184" s="2">
        <v>41.44</v>
      </c>
      <c r="BM1184" s="2">
        <v>5.8</v>
      </c>
      <c r="BN1184" s="2">
        <v>47.24</v>
      </c>
      <c r="BO1184" s="2">
        <v>47.24</v>
      </c>
      <c r="BP1184" s="2"/>
      <c r="BQ1184" s="2" t="s">
        <v>1531</v>
      </c>
      <c r="BR1184" s="2" t="s">
        <v>84</v>
      </c>
      <c r="BS1184" s="3">
        <v>42961</v>
      </c>
      <c r="BT1184" s="4">
        <v>0.41250000000000003</v>
      </c>
      <c r="BU1184" s="2" t="s">
        <v>1620</v>
      </c>
      <c r="BV1184" s="2" t="s">
        <v>95</v>
      </c>
      <c r="BW1184" s="2"/>
      <c r="BX1184" s="2"/>
      <c r="BY1184" s="2">
        <v>1200</v>
      </c>
      <c r="BZ1184" s="2"/>
      <c r="CA1184" s="2" t="s">
        <v>672</v>
      </c>
      <c r="CB1184" s="2"/>
      <c r="CC1184" s="2" t="s">
        <v>238</v>
      </c>
      <c r="CD1184" s="2">
        <v>3610</v>
      </c>
      <c r="CE1184" s="2" t="s">
        <v>104</v>
      </c>
      <c r="CF1184" s="5">
        <v>42962</v>
      </c>
      <c r="CG1184" s="2"/>
      <c r="CH1184" s="2"/>
      <c r="CI1184" s="2">
        <v>1</v>
      </c>
      <c r="CJ1184" s="2">
        <v>1</v>
      </c>
      <c r="CK1184" s="2">
        <v>21</v>
      </c>
      <c r="CL1184" s="2" t="s">
        <v>86</v>
      </c>
      <c r="CM1184" s="2"/>
    </row>
    <row r="1185" spans="1:91">
      <c r="A1185" s="2" t="s">
        <v>71</v>
      </c>
      <c r="B1185" s="2" t="s">
        <v>72</v>
      </c>
      <c r="C1185" s="2" t="s">
        <v>73</v>
      </c>
      <c r="D1185" s="2"/>
      <c r="E1185" s="2" t="str">
        <f>"FES1162568375"</f>
        <v>FES1162568375</v>
      </c>
      <c r="F1185" s="3">
        <v>42958</v>
      </c>
      <c r="G1185" s="2">
        <v>201802</v>
      </c>
      <c r="H1185" s="2" t="s">
        <v>74</v>
      </c>
      <c r="I1185" s="2" t="s">
        <v>75</v>
      </c>
      <c r="J1185" s="2" t="s">
        <v>76</v>
      </c>
      <c r="K1185" s="2" t="s">
        <v>77</v>
      </c>
      <c r="L1185" s="2" t="s">
        <v>710</v>
      </c>
      <c r="M1185" s="2" t="s">
        <v>711</v>
      </c>
      <c r="N1185" s="2" t="s">
        <v>1902</v>
      </c>
      <c r="O1185" s="2" t="s">
        <v>100</v>
      </c>
      <c r="P1185" s="2" t="str">
        <f>"2170584451                    "</f>
        <v xml:space="preserve">2170584451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7.75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1</v>
      </c>
      <c r="BJ1185" s="2">
        <v>0.2</v>
      </c>
      <c r="BK1185" s="2">
        <v>1</v>
      </c>
      <c r="BL1185" s="2">
        <v>80.290000000000006</v>
      </c>
      <c r="BM1185" s="2">
        <v>11.24</v>
      </c>
      <c r="BN1185" s="2">
        <v>91.53</v>
      </c>
      <c r="BO1185" s="2">
        <v>91.53</v>
      </c>
      <c r="BP1185" s="2"/>
      <c r="BQ1185" s="2" t="s">
        <v>1903</v>
      </c>
      <c r="BR1185" s="2" t="s">
        <v>84</v>
      </c>
      <c r="BS1185" s="3">
        <v>42961</v>
      </c>
      <c r="BT1185" s="4">
        <v>0.4375</v>
      </c>
      <c r="BU1185" s="2" t="s">
        <v>1903</v>
      </c>
      <c r="BV1185" s="2" t="s">
        <v>95</v>
      </c>
      <c r="BW1185" s="2"/>
      <c r="BX1185" s="2"/>
      <c r="BY1185" s="2">
        <v>1200</v>
      </c>
      <c r="BZ1185" s="2"/>
      <c r="CA1185" s="2"/>
      <c r="CB1185" s="2"/>
      <c r="CC1185" s="2" t="s">
        <v>711</v>
      </c>
      <c r="CD1185" s="2">
        <v>4339</v>
      </c>
      <c r="CE1185" s="2" t="s">
        <v>104</v>
      </c>
      <c r="CF1185" s="5">
        <v>42962</v>
      </c>
      <c r="CG1185" s="2"/>
      <c r="CH1185" s="2"/>
      <c r="CI1185" s="2">
        <v>1</v>
      </c>
      <c r="CJ1185" s="2">
        <v>1</v>
      </c>
      <c r="CK1185" s="2">
        <v>23</v>
      </c>
      <c r="CL1185" s="2" t="s">
        <v>86</v>
      </c>
      <c r="CM1185" s="2"/>
    </row>
    <row r="1186" spans="1:91">
      <c r="A1186" s="2" t="s">
        <v>71</v>
      </c>
      <c r="B1186" s="2" t="s">
        <v>72</v>
      </c>
      <c r="C1186" s="2" t="s">
        <v>73</v>
      </c>
      <c r="D1186" s="2"/>
      <c r="E1186" s="2" t="str">
        <f>"FES1162568421"</f>
        <v>FES1162568421</v>
      </c>
      <c r="F1186" s="3">
        <v>42958</v>
      </c>
      <c r="G1186" s="2">
        <v>201802</v>
      </c>
      <c r="H1186" s="2" t="s">
        <v>74</v>
      </c>
      <c r="I1186" s="2" t="s">
        <v>75</v>
      </c>
      <c r="J1186" s="2" t="s">
        <v>76</v>
      </c>
      <c r="K1186" s="2" t="s">
        <v>77</v>
      </c>
      <c r="L1186" s="2" t="s">
        <v>97</v>
      </c>
      <c r="M1186" s="2" t="s">
        <v>98</v>
      </c>
      <c r="N1186" s="2" t="s">
        <v>1904</v>
      </c>
      <c r="O1186" s="2" t="s">
        <v>100</v>
      </c>
      <c r="P1186" s="2" t="str">
        <f>"2170584516                    "</f>
        <v xml:space="preserve">2170584516 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4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1</v>
      </c>
      <c r="BJ1186" s="2">
        <v>0.2</v>
      </c>
      <c r="BK1186" s="2">
        <v>1</v>
      </c>
      <c r="BL1186" s="2">
        <v>41.44</v>
      </c>
      <c r="BM1186" s="2">
        <v>5.8</v>
      </c>
      <c r="BN1186" s="2">
        <v>47.24</v>
      </c>
      <c r="BO1186" s="2">
        <v>47.24</v>
      </c>
      <c r="BP1186" s="2"/>
      <c r="BQ1186" s="2" t="s">
        <v>1905</v>
      </c>
      <c r="BR1186" s="2" t="s">
        <v>84</v>
      </c>
      <c r="BS1186" s="3">
        <v>42961</v>
      </c>
      <c r="BT1186" s="4">
        <v>0.3263888888888889</v>
      </c>
      <c r="BU1186" s="2" t="s">
        <v>1906</v>
      </c>
      <c r="BV1186" s="2" t="s">
        <v>95</v>
      </c>
      <c r="BW1186" s="2"/>
      <c r="BX1186" s="2"/>
      <c r="BY1186" s="2">
        <v>1200</v>
      </c>
      <c r="BZ1186" s="2"/>
      <c r="CA1186" s="2" t="s">
        <v>294</v>
      </c>
      <c r="CB1186" s="2"/>
      <c r="CC1186" s="2" t="s">
        <v>98</v>
      </c>
      <c r="CD1186" s="2">
        <v>6001</v>
      </c>
      <c r="CE1186" s="2" t="s">
        <v>104</v>
      </c>
      <c r="CF1186" s="5">
        <v>42962</v>
      </c>
      <c r="CG1186" s="2"/>
      <c r="CH1186" s="2"/>
      <c r="CI1186" s="2">
        <v>1</v>
      </c>
      <c r="CJ1186" s="2">
        <v>1</v>
      </c>
      <c r="CK1186" s="2">
        <v>21</v>
      </c>
      <c r="CL1186" s="2" t="s">
        <v>86</v>
      </c>
      <c r="CM1186" s="2"/>
    </row>
    <row r="1187" spans="1:91">
      <c r="A1187" s="2" t="s">
        <v>71</v>
      </c>
      <c r="B1187" s="2" t="s">
        <v>72</v>
      </c>
      <c r="C1187" s="2" t="s">
        <v>73</v>
      </c>
      <c r="D1187" s="2"/>
      <c r="E1187" s="2" t="str">
        <f>"FES1162568317"</f>
        <v>FES1162568317</v>
      </c>
      <c r="F1187" s="3">
        <v>42958</v>
      </c>
      <c r="G1187" s="2">
        <v>201802</v>
      </c>
      <c r="H1187" s="2" t="s">
        <v>74</v>
      </c>
      <c r="I1187" s="2" t="s">
        <v>75</v>
      </c>
      <c r="J1187" s="2" t="s">
        <v>76</v>
      </c>
      <c r="K1187" s="2" t="s">
        <v>77</v>
      </c>
      <c r="L1187" s="2" t="s">
        <v>604</v>
      </c>
      <c r="M1187" s="2" t="s">
        <v>605</v>
      </c>
      <c r="N1187" s="2" t="s">
        <v>1907</v>
      </c>
      <c r="O1187" s="2" t="s">
        <v>100</v>
      </c>
      <c r="P1187" s="2" t="str">
        <f>"2170581620                    "</f>
        <v xml:space="preserve">2170581620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4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1</v>
      </c>
      <c r="BI1187" s="2">
        <v>1</v>
      </c>
      <c r="BJ1187" s="2">
        <v>0.2</v>
      </c>
      <c r="BK1187" s="2">
        <v>1</v>
      </c>
      <c r="BL1187" s="2">
        <v>41.44</v>
      </c>
      <c r="BM1187" s="2">
        <v>5.8</v>
      </c>
      <c r="BN1187" s="2">
        <v>47.24</v>
      </c>
      <c r="BO1187" s="2">
        <v>47.24</v>
      </c>
      <c r="BP1187" s="2"/>
      <c r="BQ1187" s="2" t="s">
        <v>1540</v>
      </c>
      <c r="BR1187" s="2" t="s">
        <v>84</v>
      </c>
      <c r="BS1187" s="3">
        <v>42961</v>
      </c>
      <c r="BT1187" s="4">
        <v>0.36527777777777781</v>
      </c>
      <c r="BU1187" s="2" t="s">
        <v>215</v>
      </c>
      <c r="BV1187" s="2" t="s">
        <v>95</v>
      </c>
      <c r="BW1187" s="2"/>
      <c r="BX1187" s="2"/>
      <c r="BY1187" s="2">
        <v>1200</v>
      </c>
      <c r="BZ1187" s="2"/>
      <c r="CA1187" s="2" t="s">
        <v>607</v>
      </c>
      <c r="CB1187" s="2"/>
      <c r="CC1187" s="2" t="s">
        <v>605</v>
      </c>
      <c r="CD1187" s="2">
        <v>4126</v>
      </c>
      <c r="CE1187" s="2" t="s">
        <v>104</v>
      </c>
      <c r="CF1187" s="5">
        <v>42962</v>
      </c>
      <c r="CG1187" s="2"/>
      <c r="CH1187" s="2"/>
      <c r="CI1187" s="2">
        <v>1</v>
      </c>
      <c r="CJ1187" s="2">
        <v>1</v>
      </c>
      <c r="CK1187" s="2">
        <v>21</v>
      </c>
      <c r="CL1187" s="2" t="s">
        <v>86</v>
      </c>
      <c r="CM1187" s="2"/>
    </row>
    <row r="1188" spans="1:91">
      <c r="A1188" s="2" t="s">
        <v>71</v>
      </c>
      <c r="B1188" s="2" t="s">
        <v>72</v>
      </c>
      <c r="C1188" s="2" t="s">
        <v>73</v>
      </c>
      <c r="D1188" s="2"/>
      <c r="E1188" s="2" t="str">
        <f>"FES1162568341"</f>
        <v>FES1162568341</v>
      </c>
      <c r="F1188" s="3">
        <v>42958</v>
      </c>
      <c r="G1188" s="2">
        <v>201802</v>
      </c>
      <c r="H1188" s="2" t="s">
        <v>74</v>
      </c>
      <c r="I1188" s="2" t="s">
        <v>75</v>
      </c>
      <c r="J1188" s="2" t="s">
        <v>76</v>
      </c>
      <c r="K1188" s="2" t="s">
        <v>77</v>
      </c>
      <c r="L1188" s="2" t="s">
        <v>576</v>
      </c>
      <c r="M1188" s="2" t="s">
        <v>577</v>
      </c>
      <c r="N1188" s="2" t="s">
        <v>1908</v>
      </c>
      <c r="O1188" s="2" t="s">
        <v>100</v>
      </c>
      <c r="P1188" s="2" t="str">
        <f>"2170584415                    "</f>
        <v xml:space="preserve">2170584415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7.75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1</v>
      </c>
      <c r="BJ1188" s="2">
        <v>0.2</v>
      </c>
      <c r="BK1188" s="2">
        <v>1</v>
      </c>
      <c r="BL1188" s="2">
        <v>80.290000000000006</v>
      </c>
      <c r="BM1188" s="2">
        <v>11.24</v>
      </c>
      <c r="BN1188" s="2">
        <v>91.53</v>
      </c>
      <c r="BO1188" s="2">
        <v>91.53</v>
      </c>
      <c r="BP1188" s="2"/>
      <c r="BQ1188" s="2" t="s">
        <v>1909</v>
      </c>
      <c r="BR1188" s="2" t="s">
        <v>84</v>
      </c>
      <c r="BS1188" s="3">
        <v>42961</v>
      </c>
      <c r="BT1188" s="4">
        <v>0.42777777777777781</v>
      </c>
      <c r="BU1188" s="2" t="s">
        <v>1910</v>
      </c>
      <c r="BV1188" s="2" t="s">
        <v>95</v>
      </c>
      <c r="BW1188" s="2"/>
      <c r="BX1188" s="2"/>
      <c r="BY1188" s="2">
        <v>1200</v>
      </c>
      <c r="BZ1188" s="2"/>
      <c r="CA1188" s="2" t="s">
        <v>1911</v>
      </c>
      <c r="CB1188" s="2"/>
      <c r="CC1188" s="2" t="s">
        <v>577</v>
      </c>
      <c r="CD1188" s="2">
        <v>3236</v>
      </c>
      <c r="CE1188" s="2" t="s">
        <v>104</v>
      </c>
      <c r="CF1188" s="5">
        <v>42963</v>
      </c>
      <c r="CG1188" s="2"/>
      <c r="CH1188" s="2"/>
      <c r="CI1188" s="2">
        <v>1</v>
      </c>
      <c r="CJ1188" s="2">
        <v>1</v>
      </c>
      <c r="CK1188" s="2">
        <v>23</v>
      </c>
      <c r="CL1188" s="2" t="s">
        <v>86</v>
      </c>
      <c r="CM1188" s="2"/>
    </row>
    <row r="1189" spans="1:91">
      <c r="A1189" s="2" t="s">
        <v>71</v>
      </c>
      <c r="B1189" s="2" t="s">
        <v>72</v>
      </c>
      <c r="C1189" s="2" t="s">
        <v>73</v>
      </c>
      <c r="D1189" s="2"/>
      <c r="E1189" s="2" t="str">
        <f>"FES1162568346"</f>
        <v>FES1162568346</v>
      </c>
      <c r="F1189" s="3">
        <v>42958</v>
      </c>
      <c r="G1189" s="2">
        <v>201802</v>
      </c>
      <c r="H1189" s="2" t="s">
        <v>74</v>
      </c>
      <c r="I1189" s="2" t="s">
        <v>75</v>
      </c>
      <c r="J1189" s="2" t="s">
        <v>76</v>
      </c>
      <c r="K1189" s="2" t="s">
        <v>77</v>
      </c>
      <c r="L1189" s="2" t="s">
        <v>237</v>
      </c>
      <c r="M1189" s="2" t="s">
        <v>238</v>
      </c>
      <c r="N1189" s="2" t="s">
        <v>388</v>
      </c>
      <c r="O1189" s="2" t="s">
        <v>100</v>
      </c>
      <c r="P1189" s="2" t="str">
        <f>"2170584433                    "</f>
        <v xml:space="preserve">2170584433 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4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1</v>
      </c>
      <c r="BJ1189" s="2">
        <v>0.2</v>
      </c>
      <c r="BK1189" s="2">
        <v>1</v>
      </c>
      <c r="BL1189" s="2">
        <v>41.44</v>
      </c>
      <c r="BM1189" s="2">
        <v>5.8</v>
      </c>
      <c r="BN1189" s="2">
        <v>47.24</v>
      </c>
      <c r="BO1189" s="2">
        <v>47.24</v>
      </c>
      <c r="BP1189" s="2"/>
      <c r="BQ1189" s="2" t="s">
        <v>1076</v>
      </c>
      <c r="BR1189" s="2" t="s">
        <v>84</v>
      </c>
      <c r="BS1189" s="3">
        <v>42961</v>
      </c>
      <c r="BT1189" s="4">
        <v>0.41597222222222219</v>
      </c>
      <c r="BU1189" s="2" t="s">
        <v>109</v>
      </c>
      <c r="BV1189" s="2" t="s">
        <v>95</v>
      </c>
      <c r="BW1189" s="2"/>
      <c r="BX1189" s="2"/>
      <c r="BY1189" s="2">
        <v>1200</v>
      </c>
      <c r="BZ1189" s="2"/>
      <c r="CA1189" s="2" t="s">
        <v>389</v>
      </c>
      <c r="CB1189" s="2"/>
      <c r="CC1189" s="2" t="s">
        <v>238</v>
      </c>
      <c r="CD1189" s="2">
        <v>3610</v>
      </c>
      <c r="CE1189" s="2" t="s">
        <v>104</v>
      </c>
      <c r="CF1189" s="5">
        <v>42962</v>
      </c>
      <c r="CG1189" s="2"/>
      <c r="CH1189" s="2"/>
      <c r="CI1189" s="2">
        <v>1</v>
      </c>
      <c r="CJ1189" s="2">
        <v>1</v>
      </c>
      <c r="CK1189" s="2">
        <v>21</v>
      </c>
      <c r="CL1189" s="2" t="s">
        <v>86</v>
      </c>
      <c r="CM1189" s="2"/>
    </row>
    <row r="1190" spans="1:91">
      <c r="A1190" s="2" t="s">
        <v>71</v>
      </c>
      <c r="B1190" s="2" t="s">
        <v>72</v>
      </c>
      <c r="C1190" s="2" t="s">
        <v>73</v>
      </c>
      <c r="D1190" s="2"/>
      <c r="E1190" s="2" t="str">
        <f>"FES1162568281"</f>
        <v>FES1162568281</v>
      </c>
      <c r="F1190" s="3">
        <v>42958</v>
      </c>
      <c r="G1190" s="2">
        <v>201802</v>
      </c>
      <c r="H1190" s="2" t="s">
        <v>74</v>
      </c>
      <c r="I1190" s="2" t="s">
        <v>75</v>
      </c>
      <c r="J1190" s="2" t="s">
        <v>76</v>
      </c>
      <c r="K1190" s="2" t="s">
        <v>77</v>
      </c>
      <c r="L1190" s="2" t="s">
        <v>1912</v>
      </c>
      <c r="M1190" s="2" t="s">
        <v>1913</v>
      </c>
      <c r="N1190" s="2" t="s">
        <v>1914</v>
      </c>
      <c r="O1190" s="2" t="s">
        <v>100</v>
      </c>
      <c r="P1190" s="2" t="str">
        <f>"2170584320                    "</f>
        <v xml:space="preserve">2170584320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4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1</v>
      </c>
      <c r="BI1190" s="2">
        <v>1</v>
      </c>
      <c r="BJ1190" s="2">
        <v>0.2</v>
      </c>
      <c r="BK1190" s="2">
        <v>1</v>
      </c>
      <c r="BL1190" s="2">
        <v>41.44</v>
      </c>
      <c r="BM1190" s="2">
        <v>5.8</v>
      </c>
      <c r="BN1190" s="2">
        <v>47.24</v>
      </c>
      <c r="BO1190" s="2">
        <v>47.24</v>
      </c>
      <c r="BP1190" s="2"/>
      <c r="BQ1190" s="2" t="s">
        <v>365</v>
      </c>
      <c r="BR1190" s="2" t="s">
        <v>84</v>
      </c>
      <c r="BS1190" s="3">
        <v>42961</v>
      </c>
      <c r="BT1190" s="4">
        <v>0.34097222222222223</v>
      </c>
      <c r="BU1190" s="2" t="s">
        <v>1915</v>
      </c>
      <c r="BV1190" s="2" t="s">
        <v>95</v>
      </c>
      <c r="BW1190" s="2"/>
      <c r="BX1190" s="2"/>
      <c r="BY1190" s="2">
        <v>1200</v>
      </c>
      <c r="BZ1190" s="2"/>
      <c r="CA1190" s="2" t="s">
        <v>607</v>
      </c>
      <c r="CB1190" s="2"/>
      <c r="CC1190" s="2" t="s">
        <v>1913</v>
      </c>
      <c r="CD1190" s="2">
        <v>4120</v>
      </c>
      <c r="CE1190" s="2" t="s">
        <v>104</v>
      </c>
      <c r="CF1190" s="5">
        <v>42962</v>
      </c>
      <c r="CG1190" s="2"/>
      <c r="CH1190" s="2"/>
      <c r="CI1190" s="2">
        <v>1</v>
      </c>
      <c r="CJ1190" s="2">
        <v>1</v>
      </c>
      <c r="CK1190" s="2">
        <v>21</v>
      </c>
      <c r="CL1190" s="2" t="s">
        <v>86</v>
      </c>
      <c r="CM1190" s="2"/>
    </row>
    <row r="1191" spans="1:91">
      <c r="A1191" s="2" t="s">
        <v>71</v>
      </c>
      <c r="B1191" s="2" t="s">
        <v>72</v>
      </c>
      <c r="C1191" s="2" t="s">
        <v>73</v>
      </c>
      <c r="D1191" s="2"/>
      <c r="E1191" s="2" t="str">
        <f>"FES1162568305"</f>
        <v>FES1162568305</v>
      </c>
      <c r="F1191" s="3">
        <v>42958</v>
      </c>
      <c r="G1191" s="2">
        <v>201802</v>
      </c>
      <c r="H1191" s="2" t="s">
        <v>74</v>
      </c>
      <c r="I1191" s="2" t="s">
        <v>75</v>
      </c>
      <c r="J1191" s="2" t="s">
        <v>76</v>
      </c>
      <c r="K1191" s="2" t="s">
        <v>77</v>
      </c>
      <c r="L1191" s="2" t="s">
        <v>149</v>
      </c>
      <c r="M1191" s="2" t="s">
        <v>150</v>
      </c>
      <c r="N1191" s="2" t="s">
        <v>758</v>
      </c>
      <c r="O1191" s="2" t="s">
        <v>100</v>
      </c>
      <c r="P1191" s="2" t="str">
        <f>"2170584422                    "</f>
        <v xml:space="preserve">2170584422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4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1</v>
      </c>
      <c r="BJ1191" s="2">
        <v>0.2</v>
      </c>
      <c r="BK1191" s="2">
        <v>1</v>
      </c>
      <c r="BL1191" s="2">
        <v>41.44</v>
      </c>
      <c r="BM1191" s="2">
        <v>5.8</v>
      </c>
      <c r="BN1191" s="2">
        <v>47.24</v>
      </c>
      <c r="BO1191" s="2">
        <v>47.24</v>
      </c>
      <c r="BP1191" s="2"/>
      <c r="BQ1191" s="2" t="s">
        <v>209</v>
      </c>
      <c r="BR1191" s="2" t="s">
        <v>84</v>
      </c>
      <c r="BS1191" s="3">
        <v>42961</v>
      </c>
      <c r="BT1191" s="4">
        <v>0.37708333333333338</v>
      </c>
      <c r="BU1191" s="2" t="s">
        <v>1916</v>
      </c>
      <c r="BV1191" s="2" t="s">
        <v>95</v>
      </c>
      <c r="BW1191" s="2"/>
      <c r="BX1191" s="2"/>
      <c r="BY1191" s="2">
        <v>1200</v>
      </c>
      <c r="BZ1191" s="2"/>
      <c r="CA1191" s="2" t="s">
        <v>1163</v>
      </c>
      <c r="CB1191" s="2"/>
      <c r="CC1191" s="2" t="s">
        <v>150</v>
      </c>
      <c r="CD1191" s="2">
        <v>4052</v>
      </c>
      <c r="CE1191" s="2" t="s">
        <v>104</v>
      </c>
      <c r="CF1191" s="5">
        <v>42962</v>
      </c>
      <c r="CG1191" s="2"/>
      <c r="CH1191" s="2"/>
      <c r="CI1191" s="2">
        <v>1</v>
      </c>
      <c r="CJ1191" s="2">
        <v>1</v>
      </c>
      <c r="CK1191" s="2">
        <v>21</v>
      </c>
      <c r="CL1191" s="2" t="s">
        <v>86</v>
      </c>
      <c r="CM1191" s="2"/>
    </row>
    <row r="1192" spans="1:91">
      <c r="A1192" s="2" t="s">
        <v>71</v>
      </c>
      <c r="B1192" s="2" t="s">
        <v>72</v>
      </c>
      <c r="C1192" s="2" t="s">
        <v>73</v>
      </c>
      <c r="D1192" s="2"/>
      <c r="E1192" s="2" t="str">
        <f>"FES1162568357"</f>
        <v>FES1162568357</v>
      </c>
      <c r="F1192" s="3">
        <v>42958</v>
      </c>
      <c r="G1192" s="2">
        <v>201802</v>
      </c>
      <c r="H1192" s="2" t="s">
        <v>74</v>
      </c>
      <c r="I1192" s="2" t="s">
        <v>75</v>
      </c>
      <c r="J1192" s="2" t="s">
        <v>76</v>
      </c>
      <c r="K1192" s="2" t="s">
        <v>77</v>
      </c>
      <c r="L1192" s="2" t="s">
        <v>149</v>
      </c>
      <c r="M1192" s="2" t="s">
        <v>150</v>
      </c>
      <c r="N1192" s="2" t="s">
        <v>427</v>
      </c>
      <c r="O1192" s="2" t="s">
        <v>100</v>
      </c>
      <c r="P1192" s="2" t="str">
        <f>"2170584445                    "</f>
        <v xml:space="preserve">2170584445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4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1</v>
      </c>
      <c r="BI1192" s="2">
        <v>1</v>
      </c>
      <c r="BJ1192" s="2">
        <v>0.2</v>
      </c>
      <c r="BK1192" s="2">
        <v>1</v>
      </c>
      <c r="BL1192" s="2">
        <v>41.44</v>
      </c>
      <c r="BM1192" s="2">
        <v>5.8</v>
      </c>
      <c r="BN1192" s="2">
        <v>47.24</v>
      </c>
      <c r="BO1192" s="2">
        <v>47.24</v>
      </c>
      <c r="BP1192" s="2"/>
      <c r="BQ1192" s="2" t="s">
        <v>1917</v>
      </c>
      <c r="BR1192" s="2" t="s">
        <v>84</v>
      </c>
      <c r="BS1192" s="3">
        <v>42961</v>
      </c>
      <c r="BT1192" s="4">
        <v>0.375</v>
      </c>
      <c r="BU1192" s="2" t="s">
        <v>428</v>
      </c>
      <c r="BV1192" s="2" t="s">
        <v>95</v>
      </c>
      <c r="BW1192" s="2"/>
      <c r="BX1192" s="2"/>
      <c r="BY1192" s="2">
        <v>1200</v>
      </c>
      <c r="BZ1192" s="2"/>
      <c r="CA1192" s="2" t="s">
        <v>429</v>
      </c>
      <c r="CB1192" s="2"/>
      <c r="CC1192" s="2" t="s">
        <v>150</v>
      </c>
      <c r="CD1192" s="2">
        <v>4001</v>
      </c>
      <c r="CE1192" s="2" t="s">
        <v>104</v>
      </c>
      <c r="CF1192" s="5">
        <v>42962</v>
      </c>
      <c r="CG1192" s="2"/>
      <c r="CH1192" s="2"/>
      <c r="CI1192" s="2">
        <v>1</v>
      </c>
      <c r="CJ1192" s="2">
        <v>1</v>
      </c>
      <c r="CK1192" s="2">
        <v>21</v>
      </c>
      <c r="CL1192" s="2" t="s">
        <v>86</v>
      </c>
      <c r="CM1192" s="2"/>
    </row>
    <row r="1193" spans="1:91">
      <c r="A1193" s="2" t="s">
        <v>71</v>
      </c>
      <c r="B1193" s="2" t="s">
        <v>72</v>
      </c>
      <c r="C1193" s="2" t="s">
        <v>73</v>
      </c>
      <c r="D1193" s="2"/>
      <c r="E1193" s="2" t="str">
        <f>"FES1162568291"</f>
        <v>FES1162568291</v>
      </c>
      <c r="F1193" s="3">
        <v>42958</v>
      </c>
      <c r="G1193" s="2">
        <v>201802</v>
      </c>
      <c r="H1193" s="2" t="s">
        <v>74</v>
      </c>
      <c r="I1193" s="2" t="s">
        <v>75</v>
      </c>
      <c r="J1193" s="2" t="s">
        <v>76</v>
      </c>
      <c r="K1193" s="2" t="s">
        <v>77</v>
      </c>
      <c r="L1193" s="2" t="s">
        <v>221</v>
      </c>
      <c r="M1193" s="2" t="s">
        <v>222</v>
      </c>
      <c r="N1193" s="2" t="s">
        <v>415</v>
      </c>
      <c r="O1193" s="2" t="s">
        <v>100</v>
      </c>
      <c r="P1193" s="2" t="str">
        <f>"2170584412                    "</f>
        <v xml:space="preserve">2170584412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4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1</v>
      </c>
      <c r="BJ1193" s="2">
        <v>0.2</v>
      </c>
      <c r="BK1193" s="2">
        <v>1</v>
      </c>
      <c r="BL1193" s="2">
        <v>41.44</v>
      </c>
      <c r="BM1193" s="2">
        <v>5.8</v>
      </c>
      <c r="BN1193" s="2">
        <v>47.24</v>
      </c>
      <c r="BO1193" s="2">
        <v>47.24</v>
      </c>
      <c r="BP1193" s="2"/>
      <c r="BQ1193" s="2" t="s">
        <v>108</v>
      </c>
      <c r="BR1193" s="2" t="s">
        <v>84</v>
      </c>
      <c r="BS1193" s="3">
        <v>42961</v>
      </c>
      <c r="BT1193" s="4">
        <v>0.36041666666666666</v>
      </c>
      <c r="BU1193" s="2" t="s">
        <v>933</v>
      </c>
      <c r="BV1193" s="2" t="s">
        <v>95</v>
      </c>
      <c r="BW1193" s="2"/>
      <c r="BX1193" s="2"/>
      <c r="BY1193" s="2">
        <v>1200</v>
      </c>
      <c r="BZ1193" s="2"/>
      <c r="CA1193" s="2" t="s">
        <v>225</v>
      </c>
      <c r="CB1193" s="2"/>
      <c r="CC1193" s="2" t="s">
        <v>222</v>
      </c>
      <c r="CD1193" s="2">
        <v>4302</v>
      </c>
      <c r="CE1193" s="2" t="s">
        <v>104</v>
      </c>
      <c r="CF1193" s="5">
        <v>42962</v>
      </c>
      <c r="CG1193" s="2"/>
      <c r="CH1193" s="2"/>
      <c r="CI1193" s="2">
        <v>1</v>
      </c>
      <c r="CJ1193" s="2">
        <v>1</v>
      </c>
      <c r="CK1193" s="2">
        <v>21</v>
      </c>
      <c r="CL1193" s="2" t="s">
        <v>86</v>
      </c>
      <c r="CM1193" s="2"/>
    </row>
    <row r="1194" spans="1:91">
      <c r="A1194" s="2" t="s">
        <v>71</v>
      </c>
      <c r="B1194" s="2" t="s">
        <v>72</v>
      </c>
      <c r="C1194" s="2" t="s">
        <v>73</v>
      </c>
      <c r="D1194" s="2"/>
      <c r="E1194" s="2" t="str">
        <f>"FES1162568425"</f>
        <v>FES1162568425</v>
      </c>
      <c r="F1194" s="3">
        <v>42958</v>
      </c>
      <c r="G1194" s="2">
        <v>201802</v>
      </c>
      <c r="H1194" s="2" t="s">
        <v>74</v>
      </c>
      <c r="I1194" s="2" t="s">
        <v>75</v>
      </c>
      <c r="J1194" s="2" t="s">
        <v>76</v>
      </c>
      <c r="K1194" s="2" t="s">
        <v>77</v>
      </c>
      <c r="L1194" s="2" t="s">
        <v>174</v>
      </c>
      <c r="M1194" s="2" t="s">
        <v>175</v>
      </c>
      <c r="N1194" s="2" t="s">
        <v>1418</v>
      </c>
      <c r="O1194" s="2" t="s">
        <v>100</v>
      </c>
      <c r="P1194" s="2" t="str">
        <f>"2170584522                    "</f>
        <v xml:space="preserve">2170584522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4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1</v>
      </c>
      <c r="BJ1194" s="2">
        <v>0.2</v>
      </c>
      <c r="BK1194" s="2">
        <v>1</v>
      </c>
      <c r="BL1194" s="2">
        <v>41.44</v>
      </c>
      <c r="BM1194" s="2">
        <v>5.8</v>
      </c>
      <c r="BN1194" s="2">
        <v>47.24</v>
      </c>
      <c r="BO1194" s="2">
        <v>47.24</v>
      </c>
      <c r="BP1194" s="2"/>
      <c r="BQ1194" s="2" t="s">
        <v>108</v>
      </c>
      <c r="BR1194" s="2" t="s">
        <v>84</v>
      </c>
      <c r="BS1194" s="3">
        <v>42961</v>
      </c>
      <c r="BT1194" s="4">
        <v>0.34513888888888888</v>
      </c>
      <c r="BU1194" s="2" t="s">
        <v>1918</v>
      </c>
      <c r="BV1194" s="2" t="s">
        <v>95</v>
      </c>
      <c r="BW1194" s="2"/>
      <c r="BX1194" s="2"/>
      <c r="BY1194" s="2">
        <v>1200</v>
      </c>
      <c r="BZ1194" s="2"/>
      <c r="CA1194" s="2" t="s">
        <v>1420</v>
      </c>
      <c r="CB1194" s="2"/>
      <c r="CC1194" s="2" t="s">
        <v>175</v>
      </c>
      <c r="CD1194" s="2">
        <v>5201</v>
      </c>
      <c r="CE1194" s="2" t="s">
        <v>104</v>
      </c>
      <c r="CF1194" s="5">
        <v>42963</v>
      </c>
      <c r="CG1194" s="2"/>
      <c r="CH1194" s="2"/>
      <c r="CI1194" s="2">
        <v>1</v>
      </c>
      <c r="CJ1194" s="2">
        <v>1</v>
      </c>
      <c r="CK1194" s="2">
        <v>21</v>
      </c>
      <c r="CL1194" s="2" t="s">
        <v>86</v>
      </c>
      <c r="CM1194" s="2"/>
    </row>
    <row r="1195" spans="1:91">
      <c r="A1195" s="2" t="s">
        <v>71</v>
      </c>
      <c r="B1195" s="2" t="s">
        <v>72</v>
      </c>
      <c r="C1195" s="2" t="s">
        <v>73</v>
      </c>
      <c r="D1195" s="2"/>
      <c r="E1195" s="2" t="str">
        <f>"FES1162568426"</f>
        <v>FES1162568426</v>
      </c>
      <c r="F1195" s="3">
        <v>42958</v>
      </c>
      <c r="G1195" s="2">
        <v>201802</v>
      </c>
      <c r="H1195" s="2" t="s">
        <v>74</v>
      </c>
      <c r="I1195" s="2" t="s">
        <v>75</v>
      </c>
      <c r="J1195" s="2" t="s">
        <v>76</v>
      </c>
      <c r="K1195" s="2" t="s">
        <v>77</v>
      </c>
      <c r="L1195" s="2" t="s">
        <v>97</v>
      </c>
      <c r="M1195" s="2" t="s">
        <v>98</v>
      </c>
      <c r="N1195" s="2" t="s">
        <v>248</v>
      </c>
      <c r="O1195" s="2" t="s">
        <v>100</v>
      </c>
      <c r="P1195" s="2" t="str">
        <f>"2170584523                    "</f>
        <v xml:space="preserve">2170584523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4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1</v>
      </c>
      <c r="BI1195" s="2">
        <v>1</v>
      </c>
      <c r="BJ1195" s="2">
        <v>0.2</v>
      </c>
      <c r="BK1195" s="2">
        <v>1</v>
      </c>
      <c r="BL1195" s="2">
        <v>41.44</v>
      </c>
      <c r="BM1195" s="2">
        <v>5.8</v>
      </c>
      <c r="BN1195" s="2">
        <v>47.24</v>
      </c>
      <c r="BO1195" s="2">
        <v>47.24</v>
      </c>
      <c r="BP1195" s="2"/>
      <c r="BQ1195" s="2" t="s">
        <v>83</v>
      </c>
      <c r="BR1195" s="2" t="s">
        <v>84</v>
      </c>
      <c r="BS1195" s="3">
        <v>42961</v>
      </c>
      <c r="BT1195" s="4">
        <v>0.33333333333333331</v>
      </c>
      <c r="BU1195" s="2" t="s">
        <v>390</v>
      </c>
      <c r="BV1195" s="2" t="s">
        <v>95</v>
      </c>
      <c r="BW1195" s="2"/>
      <c r="BX1195" s="2"/>
      <c r="BY1195" s="2">
        <v>1200</v>
      </c>
      <c r="BZ1195" s="2"/>
      <c r="CA1195" s="2" t="s">
        <v>294</v>
      </c>
      <c r="CB1195" s="2"/>
      <c r="CC1195" s="2" t="s">
        <v>98</v>
      </c>
      <c r="CD1195" s="2">
        <v>6001</v>
      </c>
      <c r="CE1195" s="2" t="s">
        <v>104</v>
      </c>
      <c r="CF1195" s="5">
        <v>42962</v>
      </c>
      <c r="CG1195" s="2"/>
      <c r="CH1195" s="2"/>
      <c r="CI1195" s="2">
        <v>1</v>
      </c>
      <c r="CJ1195" s="2">
        <v>1</v>
      </c>
      <c r="CK1195" s="2">
        <v>21</v>
      </c>
      <c r="CL1195" s="2" t="s">
        <v>86</v>
      </c>
      <c r="CM1195" s="2"/>
    </row>
    <row r="1196" spans="1:91">
      <c r="A1196" s="2" t="s">
        <v>71</v>
      </c>
      <c r="B1196" s="2" t="s">
        <v>72</v>
      </c>
      <c r="C1196" s="2" t="s">
        <v>73</v>
      </c>
      <c r="D1196" s="2"/>
      <c r="E1196" s="2" t="str">
        <f>"FES1162568306"</f>
        <v>FES1162568306</v>
      </c>
      <c r="F1196" s="3">
        <v>42958</v>
      </c>
      <c r="G1196" s="2">
        <v>201802</v>
      </c>
      <c r="H1196" s="2" t="s">
        <v>74</v>
      </c>
      <c r="I1196" s="2" t="s">
        <v>75</v>
      </c>
      <c r="J1196" s="2" t="s">
        <v>76</v>
      </c>
      <c r="K1196" s="2" t="s">
        <v>77</v>
      </c>
      <c r="L1196" s="2" t="s">
        <v>128</v>
      </c>
      <c r="M1196" s="2" t="s">
        <v>129</v>
      </c>
      <c r="N1196" s="2" t="s">
        <v>412</v>
      </c>
      <c r="O1196" s="2" t="s">
        <v>100</v>
      </c>
      <c r="P1196" s="2" t="str">
        <f>"2170584423                    "</f>
        <v xml:space="preserve">2170584423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3.13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1</v>
      </c>
      <c r="BJ1196" s="2">
        <v>0.2</v>
      </c>
      <c r="BK1196" s="2">
        <v>1</v>
      </c>
      <c r="BL1196" s="2">
        <v>32.380000000000003</v>
      </c>
      <c r="BM1196" s="2">
        <v>4.53</v>
      </c>
      <c r="BN1196" s="2">
        <v>36.909999999999997</v>
      </c>
      <c r="BO1196" s="2">
        <v>36.909999999999997</v>
      </c>
      <c r="BP1196" s="2"/>
      <c r="BQ1196" s="2" t="s">
        <v>209</v>
      </c>
      <c r="BR1196" s="2" t="s">
        <v>84</v>
      </c>
      <c r="BS1196" s="3">
        <v>42961</v>
      </c>
      <c r="BT1196" s="4">
        <v>0.41666666666666669</v>
      </c>
      <c r="BU1196" s="2" t="s">
        <v>1919</v>
      </c>
      <c r="BV1196" s="2" t="s">
        <v>95</v>
      </c>
      <c r="BW1196" s="2"/>
      <c r="BX1196" s="2"/>
      <c r="BY1196" s="2">
        <v>1200</v>
      </c>
      <c r="BZ1196" s="2"/>
      <c r="CA1196" s="2" t="s">
        <v>923</v>
      </c>
      <c r="CB1196" s="2"/>
      <c r="CC1196" s="2" t="s">
        <v>129</v>
      </c>
      <c r="CD1196" s="2">
        <v>1709</v>
      </c>
      <c r="CE1196" s="2" t="s">
        <v>104</v>
      </c>
      <c r="CF1196" s="5">
        <v>42963</v>
      </c>
      <c r="CG1196" s="2"/>
      <c r="CH1196" s="2"/>
      <c r="CI1196" s="2">
        <v>1</v>
      </c>
      <c r="CJ1196" s="2">
        <v>1</v>
      </c>
      <c r="CK1196" s="2">
        <v>22</v>
      </c>
      <c r="CL1196" s="2" t="s">
        <v>86</v>
      </c>
      <c r="CM1196" s="2"/>
    </row>
    <row r="1197" spans="1:91">
      <c r="A1197" s="2" t="s">
        <v>71</v>
      </c>
      <c r="B1197" s="2" t="s">
        <v>72</v>
      </c>
      <c r="C1197" s="2" t="s">
        <v>73</v>
      </c>
      <c r="D1197" s="2"/>
      <c r="E1197" s="2" t="str">
        <f>"FES1162568412"</f>
        <v>FES1162568412</v>
      </c>
      <c r="F1197" s="3">
        <v>42958</v>
      </c>
      <c r="G1197" s="2">
        <v>201802</v>
      </c>
      <c r="H1197" s="2" t="s">
        <v>74</v>
      </c>
      <c r="I1197" s="2" t="s">
        <v>75</v>
      </c>
      <c r="J1197" s="2" t="s">
        <v>76</v>
      </c>
      <c r="K1197" s="2" t="s">
        <v>77</v>
      </c>
      <c r="L1197" s="2" t="s">
        <v>170</v>
      </c>
      <c r="M1197" s="2" t="s">
        <v>171</v>
      </c>
      <c r="N1197" s="2" t="s">
        <v>821</v>
      </c>
      <c r="O1197" s="2" t="s">
        <v>100</v>
      </c>
      <c r="P1197" s="2" t="str">
        <f>"2170584506                    "</f>
        <v xml:space="preserve">2170584506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3.13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</v>
      </c>
      <c r="BJ1197" s="2">
        <v>0.2</v>
      </c>
      <c r="BK1197" s="2">
        <v>1</v>
      </c>
      <c r="BL1197" s="2">
        <v>32.380000000000003</v>
      </c>
      <c r="BM1197" s="2">
        <v>4.53</v>
      </c>
      <c r="BN1197" s="2">
        <v>36.909999999999997</v>
      </c>
      <c r="BO1197" s="2">
        <v>36.909999999999997</v>
      </c>
      <c r="BP1197" s="2"/>
      <c r="BQ1197" s="2" t="s">
        <v>1920</v>
      </c>
      <c r="BR1197" s="2" t="s">
        <v>84</v>
      </c>
      <c r="BS1197" s="3">
        <v>42961</v>
      </c>
      <c r="BT1197" s="4">
        <v>0.41666666666666669</v>
      </c>
      <c r="BU1197" s="2" t="s">
        <v>1921</v>
      </c>
      <c r="BV1197" s="2" t="s">
        <v>95</v>
      </c>
      <c r="BW1197" s="2"/>
      <c r="BX1197" s="2"/>
      <c r="BY1197" s="2">
        <v>1200</v>
      </c>
      <c r="BZ1197" s="2"/>
      <c r="CA1197" s="2"/>
      <c r="CB1197" s="2"/>
      <c r="CC1197" s="2" t="s">
        <v>171</v>
      </c>
      <c r="CD1197" s="2">
        <v>1422</v>
      </c>
      <c r="CE1197" s="2" t="s">
        <v>104</v>
      </c>
      <c r="CF1197" s="5">
        <v>42962</v>
      </c>
      <c r="CG1197" s="2"/>
      <c r="CH1197" s="2"/>
      <c r="CI1197" s="2">
        <v>1</v>
      </c>
      <c r="CJ1197" s="2">
        <v>1</v>
      </c>
      <c r="CK1197" s="2">
        <v>22</v>
      </c>
      <c r="CL1197" s="2" t="s">
        <v>86</v>
      </c>
      <c r="CM1197" s="2"/>
    </row>
    <row r="1198" spans="1:91">
      <c r="A1198" s="2" t="s">
        <v>71</v>
      </c>
      <c r="B1198" s="2" t="s">
        <v>72</v>
      </c>
      <c r="C1198" s="2" t="s">
        <v>73</v>
      </c>
      <c r="D1198" s="2"/>
      <c r="E1198" s="2" t="str">
        <f>"FES1162568314"</f>
        <v>FES1162568314</v>
      </c>
      <c r="F1198" s="3">
        <v>42958</v>
      </c>
      <c r="G1198" s="2">
        <v>201802</v>
      </c>
      <c r="H1198" s="2" t="s">
        <v>74</v>
      </c>
      <c r="I1198" s="2" t="s">
        <v>75</v>
      </c>
      <c r="J1198" s="2" t="s">
        <v>76</v>
      </c>
      <c r="K1198" s="2" t="s">
        <v>77</v>
      </c>
      <c r="L1198" s="2" t="s">
        <v>105</v>
      </c>
      <c r="M1198" s="2" t="s">
        <v>106</v>
      </c>
      <c r="N1198" s="2" t="s">
        <v>397</v>
      </c>
      <c r="O1198" s="2" t="s">
        <v>100</v>
      </c>
      <c r="P1198" s="2" t="str">
        <f>"2170580065                    "</f>
        <v xml:space="preserve">2170580065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4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1</v>
      </c>
      <c r="BJ1198" s="2">
        <v>0.2</v>
      </c>
      <c r="BK1198" s="2">
        <v>1</v>
      </c>
      <c r="BL1198" s="2">
        <v>41.44</v>
      </c>
      <c r="BM1198" s="2">
        <v>5.8</v>
      </c>
      <c r="BN1198" s="2">
        <v>47.24</v>
      </c>
      <c r="BO1198" s="2">
        <v>47.24</v>
      </c>
      <c r="BP1198" s="2"/>
      <c r="BQ1198" s="2" t="s">
        <v>108</v>
      </c>
      <c r="BR1198" s="2" t="s">
        <v>84</v>
      </c>
      <c r="BS1198" s="3">
        <v>42961</v>
      </c>
      <c r="BT1198" s="4">
        <v>0.39583333333333331</v>
      </c>
      <c r="BU1198" s="2" t="s">
        <v>1922</v>
      </c>
      <c r="BV1198" s="2" t="s">
        <v>95</v>
      </c>
      <c r="BW1198" s="2"/>
      <c r="BX1198" s="2"/>
      <c r="BY1198" s="2">
        <v>1200</v>
      </c>
      <c r="BZ1198" s="2"/>
      <c r="CA1198" s="2" t="s">
        <v>1424</v>
      </c>
      <c r="CB1198" s="2"/>
      <c r="CC1198" s="2" t="s">
        <v>106</v>
      </c>
      <c r="CD1198" s="2">
        <v>7530</v>
      </c>
      <c r="CE1198" s="2" t="s">
        <v>104</v>
      </c>
      <c r="CF1198" s="5">
        <v>42962</v>
      </c>
      <c r="CG1198" s="2"/>
      <c r="CH1198" s="2"/>
      <c r="CI1198" s="2">
        <v>1</v>
      </c>
      <c r="CJ1198" s="2">
        <v>1</v>
      </c>
      <c r="CK1198" s="2">
        <v>21</v>
      </c>
      <c r="CL1198" s="2" t="s">
        <v>86</v>
      </c>
      <c r="CM1198" s="2"/>
    </row>
    <row r="1199" spans="1:91">
      <c r="A1199" s="2" t="s">
        <v>71</v>
      </c>
      <c r="B1199" s="2" t="s">
        <v>72</v>
      </c>
      <c r="C1199" s="2" t="s">
        <v>73</v>
      </c>
      <c r="D1199" s="2"/>
      <c r="E1199" s="2" t="str">
        <f>"FES1162568269"</f>
        <v>FES1162568269</v>
      </c>
      <c r="F1199" s="3">
        <v>42958</v>
      </c>
      <c r="G1199" s="2">
        <v>201802</v>
      </c>
      <c r="H1199" s="2" t="s">
        <v>74</v>
      </c>
      <c r="I1199" s="2" t="s">
        <v>75</v>
      </c>
      <c r="J1199" s="2" t="s">
        <v>76</v>
      </c>
      <c r="K1199" s="2" t="s">
        <v>77</v>
      </c>
      <c r="L1199" s="2" t="s">
        <v>311</v>
      </c>
      <c r="M1199" s="2" t="s">
        <v>312</v>
      </c>
      <c r="N1199" s="2" t="s">
        <v>730</v>
      </c>
      <c r="O1199" s="2" t="s">
        <v>100</v>
      </c>
      <c r="P1199" s="2" t="str">
        <f>"2170582585                    "</f>
        <v xml:space="preserve">2170582585 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3.13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1</v>
      </c>
      <c r="BI1199" s="2">
        <v>1</v>
      </c>
      <c r="BJ1199" s="2">
        <v>0.2</v>
      </c>
      <c r="BK1199" s="2">
        <v>1</v>
      </c>
      <c r="BL1199" s="2">
        <v>32.380000000000003</v>
      </c>
      <c r="BM1199" s="2">
        <v>4.53</v>
      </c>
      <c r="BN1199" s="2">
        <v>36.909999999999997</v>
      </c>
      <c r="BO1199" s="2">
        <v>36.909999999999997</v>
      </c>
      <c r="BP1199" s="2"/>
      <c r="BQ1199" s="2" t="s">
        <v>108</v>
      </c>
      <c r="BR1199" s="2" t="s">
        <v>84</v>
      </c>
      <c r="BS1199" s="3">
        <v>42961</v>
      </c>
      <c r="BT1199" s="4">
        <v>0.4291666666666667</v>
      </c>
      <c r="BU1199" s="2" t="s">
        <v>1923</v>
      </c>
      <c r="BV1199" s="2" t="s">
        <v>95</v>
      </c>
      <c r="BW1199" s="2"/>
      <c r="BX1199" s="2"/>
      <c r="BY1199" s="2">
        <v>1200</v>
      </c>
      <c r="BZ1199" s="2"/>
      <c r="CA1199" s="2" t="s">
        <v>148</v>
      </c>
      <c r="CB1199" s="2"/>
      <c r="CC1199" s="2" t="s">
        <v>312</v>
      </c>
      <c r="CD1199" s="2">
        <v>1559</v>
      </c>
      <c r="CE1199" s="2" t="s">
        <v>104</v>
      </c>
      <c r="CF1199" s="5">
        <v>42962</v>
      </c>
      <c r="CG1199" s="2"/>
      <c r="CH1199" s="2"/>
      <c r="CI1199" s="2">
        <v>1</v>
      </c>
      <c r="CJ1199" s="2">
        <v>1</v>
      </c>
      <c r="CK1199" s="2">
        <v>22</v>
      </c>
      <c r="CL1199" s="2" t="s">
        <v>86</v>
      </c>
      <c r="CM1199" s="2"/>
    </row>
    <row r="1200" spans="1:91">
      <c r="A1200" s="2" t="s">
        <v>71</v>
      </c>
      <c r="B1200" s="2" t="s">
        <v>72</v>
      </c>
      <c r="C1200" s="2" t="s">
        <v>73</v>
      </c>
      <c r="D1200" s="2"/>
      <c r="E1200" s="2" t="str">
        <f>"FES1162568395"</f>
        <v>FES1162568395</v>
      </c>
      <c r="F1200" s="3">
        <v>42958</v>
      </c>
      <c r="G1200" s="2">
        <v>201802</v>
      </c>
      <c r="H1200" s="2" t="s">
        <v>74</v>
      </c>
      <c r="I1200" s="2" t="s">
        <v>75</v>
      </c>
      <c r="J1200" s="2" t="s">
        <v>76</v>
      </c>
      <c r="K1200" s="2" t="s">
        <v>77</v>
      </c>
      <c r="L1200" s="2" t="s">
        <v>268</v>
      </c>
      <c r="M1200" s="2" t="s">
        <v>269</v>
      </c>
      <c r="N1200" s="2" t="s">
        <v>270</v>
      </c>
      <c r="O1200" s="2" t="s">
        <v>100</v>
      </c>
      <c r="P1200" s="2" t="str">
        <f>"2170584485                    "</f>
        <v xml:space="preserve">2170584485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4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1</v>
      </c>
      <c r="BJ1200" s="2">
        <v>0.2</v>
      </c>
      <c r="BK1200" s="2">
        <v>1</v>
      </c>
      <c r="BL1200" s="2">
        <v>41.44</v>
      </c>
      <c r="BM1200" s="2">
        <v>5.8</v>
      </c>
      <c r="BN1200" s="2">
        <v>47.24</v>
      </c>
      <c r="BO1200" s="2">
        <v>47.24</v>
      </c>
      <c r="BP1200" s="2"/>
      <c r="BQ1200" s="2" t="s">
        <v>83</v>
      </c>
      <c r="BR1200" s="2" t="s">
        <v>84</v>
      </c>
      <c r="BS1200" s="3">
        <v>42961</v>
      </c>
      <c r="BT1200" s="4">
        <v>0.42708333333333331</v>
      </c>
      <c r="BU1200" s="2" t="s">
        <v>1236</v>
      </c>
      <c r="BV1200" s="2" t="s">
        <v>95</v>
      </c>
      <c r="BW1200" s="2"/>
      <c r="BX1200" s="2"/>
      <c r="BY1200" s="2">
        <v>1200</v>
      </c>
      <c r="BZ1200" s="2"/>
      <c r="CA1200" s="2"/>
      <c r="CB1200" s="2"/>
      <c r="CC1200" s="2" t="s">
        <v>269</v>
      </c>
      <c r="CD1200" s="2">
        <v>200</v>
      </c>
      <c r="CE1200" s="2" t="s">
        <v>104</v>
      </c>
      <c r="CF1200" s="5">
        <v>42962</v>
      </c>
      <c r="CG1200" s="2"/>
      <c r="CH1200" s="2"/>
      <c r="CI1200" s="2">
        <v>1</v>
      </c>
      <c r="CJ1200" s="2">
        <v>1</v>
      </c>
      <c r="CK1200" s="2">
        <v>21</v>
      </c>
      <c r="CL1200" s="2" t="s">
        <v>86</v>
      </c>
      <c r="CM1200" s="2"/>
    </row>
    <row r="1201" spans="1:91">
      <c r="A1201" s="2" t="s">
        <v>71</v>
      </c>
      <c r="B1201" s="2" t="s">
        <v>72</v>
      </c>
      <c r="C1201" s="2" t="s">
        <v>73</v>
      </c>
      <c r="D1201" s="2"/>
      <c r="E1201" s="2" t="str">
        <f>"FES1162568397"</f>
        <v>FES1162568397</v>
      </c>
      <c r="F1201" s="3">
        <v>42958</v>
      </c>
      <c r="G1201" s="2">
        <v>201802</v>
      </c>
      <c r="H1201" s="2" t="s">
        <v>74</v>
      </c>
      <c r="I1201" s="2" t="s">
        <v>75</v>
      </c>
      <c r="J1201" s="2" t="s">
        <v>76</v>
      </c>
      <c r="K1201" s="2" t="s">
        <v>77</v>
      </c>
      <c r="L1201" s="2" t="s">
        <v>206</v>
      </c>
      <c r="M1201" s="2" t="s">
        <v>207</v>
      </c>
      <c r="N1201" s="2" t="s">
        <v>262</v>
      </c>
      <c r="O1201" s="2" t="s">
        <v>100</v>
      </c>
      <c r="P1201" s="2" t="str">
        <f>"2170584488                    "</f>
        <v xml:space="preserve">2170584488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5.63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1</v>
      </c>
      <c r="BI1201" s="2">
        <v>1</v>
      </c>
      <c r="BJ1201" s="2">
        <v>0.2</v>
      </c>
      <c r="BK1201" s="2">
        <v>1</v>
      </c>
      <c r="BL1201" s="2">
        <v>58.28</v>
      </c>
      <c r="BM1201" s="2">
        <v>8.16</v>
      </c>
      <c r="BN1201" s="2">
        <v>66.44</v>
      </c>
      <c r="BO1201" s="2">
        <v>66.44</v>
      </c>
      <c r="BP1201" s="2"/>
      <c r="BQ1201" s="2" t="s">
        <v>83</v>
      </c>
      <c r="BR1201" s="2" t="s">
        <v>84</v>
      </c>
      <c r="BS1201" s="3">
        <v>42961</v>
      </c>
      <c r="BT1201" s="4">
        <v>0.55625000000000002</v>
      </c>
      <c r="BU1201" s="2" t="s">
        <v>639</v>
      </c>
      <c r="BV1201" s="2" t="s">
        <v>95</v>
      </c>
      <c r="BW1201" s="2"/>
      <c r="BX1201" s="2"/>
      <c r="BY1201" s="2">
        <v>1200</v>
      </c>
      <c r="BZ1201" s="2"/>
      <c r="CA1201" s="2" t="s">
        <v>640</v>
      </c>
      <c r="CB1201" s="2"/>
      <c r="CC1201" s="2" t="s">
        <v>207</v>
      </c>
      <c r="CD1201" s="2">
        <v>250</v>
      </c>
      <c r="CE1201" s="2" t="s">
        <v>104</v>
      </c>
      <c r="CF1201" s="5">
        <v>42963</v>
      </c>
      <c r="CG1201" s="2"/>
      <c r="CH1201" s="2"/>
      <c r="CI1201" s="2">
        <v>1</v>
      </c>
      <c r="CJ1201" s="2">
        <v>1</v>
      </c>
      <c r="CK1201" s="2">
        <v>24</v>
      </c>
      <c r="CL1201" s="2" t="s">
        <v>86</v>
      </c>
      <c r="CM1201" s="2"/>
    </row>
    <row r="1202" spans="1:91">
      <c r="A1202" s="2" t="s">
        <v>71</v>
      </c>
      <c r="B1202" s="2" t="s">
        <v>72</v>
      </c>
      <c r="C1202" s="2" t="s">
        <v>73</v>
      </c>
      <c r="D1202" s="2"/>
      <c r="E1202" s="2" t="str">
        <f>"FES1162568409"</f>
        <v>FES1162568409</v>
      </c>
      <c r="F1202" s="3">
        <v>42958</v>
      </c>
      <c r="G1202" s="2">
        <v>201802</v>
      </c>
      <c r="H1202" s="2" t="s">
        <v>74</v>
      </c>
      <c r="I1202" s="2" t="s">
        <v>75</v>
      </c>
      <c r="J1202" s="2" t="s">
        <v>76</v>
      </c>
      <c r="K1202" s="2" t="s">
        <v>77</v>
      </c>
      <c r="L1202" s="2" t="s">
        <v>268</v>
      </c>
      <c r="M1202" s="2" t="s">
        <v>269</v>
      </c>
      <c r="N1202" s="2" t="s">
        <v>279</v>
      </c>
      <c r="O1202" s="2" t="s">
        <v>100</v>
      </c>
      <c r="P1202" s="2" t="str">
        <f>"2170584499                    "</f>
        <v xml:space="preserve">2170584499 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4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1</v>
      </c>
      <c r="BI1202" s="2">
        <v>1</v>
      </c>
      <c r="BJ1202" s="2">
        <v>0.2</v>
      </c>
      <c r="BK1202" s="2">
        <v>1</v>
      </c>
      <c r="BL1202" s="2">
        <v>41.44</v>
      </c>
      <c r="BM1202" s="2">
        <v>5.8</v>
      </c>
      <c r="BN1202" s="2">
        <v>47.24</v>
      </c>
      <c r="BO1202" s="2">
        <v>47.24</v>
      </c>
      <c r="BP1202" s="2"/>
      <c r="BQ1202" s="2" t="s">
        <v>83</v>
      </c>
      <c r="BR1202" s="2" t="s">
        <v>84</v>
      </c>
      <c r="BS1202" s="3">
        <v>42961</v>
      </c>
      <c r="BT1202" s="4">
        <v>0.38263888888888892</v>
      </c>
      <c r="BU1202" s="2" t="s">
        <v>1924</v>
      </c>
      <c r="BV1202" s="2" t="s">
        <v>95</v>
      </c>
      <c r="BW1202" s="2"/>
      <c r="BX1202" s="2"/>
      <c r="BY1202" s="2">
        <v>1200</v>
      </c>
      <c r="BZ1202" s="2"/>
      <c r="CA1202" s="2"/>
      <c r="CB1202" s="2"/>
      <c r="CC1202" s="2" t="s">
        <v>269</v>
      </c>
      <c r="CD1202" s="2">
        <v>117</v>
      </c>
      <c r="CE1202" s="2" t="s">
        <v>104</v>
      </c>
      <c r="CF1202" s="5">
        <v>42962</v>
      </c>
      <c r="CG1202" s="2"/>
      <c r="CH1202" s="2"/>
      <c r="CI1202" s="2">
        <v>1</v>
      </c>
      <c r="CJ1202" s="2">
        <v>1</v>
      </c>
      <c r="CK1202" s="2">
        <v>21</v>
      </c>
      <c r="CL1202" s="2" t="s">
        <v>86</v>
      </c>
      <c r="CM1202" s="2"/>
    </row>
    <row r="1203" spans="1:91">
      <c r="A1203" s="2" t="s">
        <v>71</v>
      </c>
      <c r="B1203" s="2" t="s">
        <v>72</v>
      </c>
      <c r="C1203" s="2" t="s">
        <v>73</v>
      </c>
      <c r="D1203" s="2"/>
      <c r="E1203" s="2" t="str">
        <f>"FES1162568413"</f>
        <v>FES1162568413</v>
      </c>
      <c r="F1203" s="3">
        <v>42958</v>
      </c>
      <c r="G1203" s="2">
        <v>201802</v>
      </c>
      <c r="H1203" s="2" t="s">
        <v>74</v>
      </c>
      <c r="I1203" s="2" t="s">
        <v>75</v>
      </c>
      <c r="J1203" s="2" t="s">
        <v>76</v>
      </c>
      <c r="K1203" s="2" t="s">
        <v>77</v>
      </c>
      <c r="L1203" s="2" t="s">
        <v>206</v>
      </c>
      <c r="M1203" s="2" t="s">
        <v>207</v>
      </c>
      <c r="N1203" s="2" t="s">
        <v>1672</v>
      </c>
      <c r="O1203" s="2" t="s">
        <v>100</v>
      </c>
      <c r="P1203" s="2" t="str">
        <f>"2170584507                    "</f>
        <v xml:space="preserve">2170584507                   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5.63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1</v>
      </c>
      <c r="BI1203" s="2">
        <v>1</v>
      </c>
      <c r="BJ1203" s="2">
        <v>0.2</v>
      </c>
      <c r="BK1203" s="2">
        <v>1</v>
      </c>
      <c r="BL1203" s="2">
        <v>58.28</v>
      </c>
      <c r="BM1203" s="2">
        <v>8.16</v>
      </c>
      <c r="BN1203" s="2">
        <v>66.44</v>
      </c>
      <c r="BO1203" s="2">
        <v>66.44</v>
      </c>
      <c r="BP1203" s="2"/>
      <c r="BQ1203" s="2" t="s">
        <v>83</v>
      </c>
      <c r="BR1203" s="2" t="s">
        <v>84</v>
      </c>
      <c r="BS1203" s="3">
        <v>42961</v>
      </c>
      <c r="BT1203" s="4">
        <v>0.4236111111111111</v>
      </c>
      <c r="BU1203" s="2" t="s">
        <v>1673</v>
      </c>
      <c r="BV1203" s="2" t="s">
        <v>95</v>
      </c>
      <c r="BW1203" s="2"/>
      <c r="BX1203" s="2"/>
      <c r="BY1203" s="2">
        <v>1200</v>
      </c>
      <c r="BZ1203" s="2"/>
      <c r="CA1203" s="2" t="s">
        <v>640</v>
      </c>
      <c r="CB1203" s="2"/>
      <c r="CC1203" s="2" t="s">
        <v>207</v>
      </c>
      <c r="CD1203" s="2">
        <v>250</v>
      </c>
      <c r="CE1203" s="2" t="s">
        <v>104</v>
      </c>
      <c r="CF1203" s="5">
        <v>42963</v>
      </c>
      <c r="CG1203" s="2"/>
      <c r="CH1203" s="2"/>
      <c r="CI1203" s="2">
        <v>1</v>
      </c>
      <c r="CJ1203" s="2">
        <v>1</v>
      </c>
      <c r="CK1203" s="2">
        <v>24</v>
      </c>
      <c r="CL1203" s="2" t="s">
        <v>86</v>
      </c>
      <c r="CM1203" s="2"/>
    </row>
    <row r="1204" spans="1:91">
      <c r="A1204" s="2" t="s">
        <v>71</v>
      </c>
      <c r="B1204" s="2" t="s">
        <v>72</v>
      </c>
      <c r="C1204" s="2" t="s">
        <v>73</v>
      </c>
      <c r="D1204" s="2"/>
      <c r="E1204" s="2" t="str">
        <f>"FES1162568288"</f>
        <v>FES1162568288</v>
      </c>
      <c r="F1204" s="3">
        <v>42958</v>
      </c>
      <c r="G1204" s="2">
        <v>201802</v>
      </c>
      <c r="H1204" s="2" t="s">
        <v>74</v>
      </c>
      <c r="I1204" s="2" t="s">
        <v>75</v>
      </c>
      <c r="J1204" s="2" t="s">
        <v>76</v>
      </c>
      <c r="K1204" s="2" t="s">
        <v>77</v>
      </c>
      <c r="L1204" s="2" t="s">
        <v>74</v>
      </c>
      <c r="M1204" s="2" t="s">
        <v>75</v>
      </c>
      <c r="N1204" s="2" t="s">
        <v>1815</v>
      </c>
      <c r="O1204" s="2" t="s">
        <v>100</v>
      </c>
      <c r="P1204" s="2" t="str">
        <f>"2170584403                    "</f>
        <v xml:space="preserve">2170584403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3.13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1</v>
      </c>
      <c r="BI1204" s="2">
        <v>1</v>
      </c>
      <c r="BJ1204" s="2">
        <v>0.2</v>
      </c>
      <c r="BK1204" s="2">
        <v>1</v>
      </c>
      <c r="BL1204" s="2">
        <v>32.380000000000003</v>
      </c>
      <c r="BM1204" s="2">
        <v>4.53</v>
      </c>
      <c r="BN1204" s="2">
        <v>36.909999999999997</v>
      </c>
      <c r="BO1204" s="2">
        <v>36.909999999999997</v>
      </c>
      <c r="BP1204" s="2"/>
      <c r="BQ1204" s="2" t="s">
        <v>83</v>
      </c>
      <c r="BR1204" s="2" t="s">
        <v>84</v>
      </c>
      <c r="BS1204" s="3">
        <v>42961</v>
      </c>
      <c r="BT1204" s="4">
        <v>0.41666666666666669</v>
      </c>
      <c r="BU1204" s="2" t="s">
        <v>1925</v>
      </c>
      <c r="BV1204" s="2" t="s">
        <v>95</v>
      </c>
      <c r="BW1204" s="2"/>
      <c r="BX1204" s="2"/>
      <c r="BY1204" s="2">
        <v>1200</v>
      </c>
      <c r="BZ1204" s="2"/>
      <c r="CA1204" s="2" t="s">
        <v>328</v>
      </c>
      <c r="CB1204" s="2"/>
      <c r="CC1204" s="2" t="s">
        <v>75</v>
      </c>
      <c r="CD1204" s="2">
        <v>1601</v>
      </c>
      <c r="CE1204" s="2" t="s">
        <v>104</v>
      </c>
      <c r="CF1204" s="5">
        <v>42962</v>
      </c>
      <c r="CG1204" s="2"/>
      <c r="CH1204" s="2"/>
      <c r="CI1204" s="2">
        <v>1</v>
      </c>
      <c r="CJ1204" s="2">
        <v>1</v>
      </c>
      <c r="CK1204" s="2">
        <v>22</v>
      </c>
      <c r="CL1204" s="2" t="s">
        <v>86</v>
      </c>
      <c r="CM1204" s="2"/>
    </row>
    <row r="1205" spans="1:91">
      <c r="A1205" s="2" t="s">
        <v>71</v>
      </c>
      <c r="B1205" s="2" t="s">
        <v>72</v>
      </c>
      <c r="C1205" s="2" t="s">
        <v>73</v>
      </c>
      <c r="D1205" s="2"/>
      <c r="E1205" s="2" t="str">
        <f>"FES1162568429"</f>
        <v>FES1162568429</v>
      </c>
      <c r="F1205" s="3">
        <v>42958</v>
      </c>
      <c r="G1205" s="2">
        <v>201802</v>
      </c>
      <c r="H1205" s="2" t="s">
        <v>74</v>
      </c>
      <c r="I1205" s="2" t="s">
        <v>75</v>
      </c>
      <c r="J1205" s="2" t="s">
        <v>76</v>
      </c>
      <c r="K1205" s="2" t="s">
        <v>77</v>
      </c>
      <c r="L1205" s="2" t="s">
        <v>137</v>
      </c>
      <c r="M1205" s="2" t="s">
        <v>138</v>
      </c>
      <c r="N1205" s="2" t="s">
        <v>701</v>
      </c>
      <c r="O1205" s="2" t="s">
        <v>100</v>
      </c>
      <c r="P1205" s="2" t="str">
        <f>"2170584527                    "</f>
        <v xml:space="preserve">2170584527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6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2</v>
      </c>
      <c r="BJ1205" s="2">
        <v>2.8</v>
      </c>
      <c r="BK1205" s="2">
        <v>3</v>
      </c>
      <c r="BL1205" s="2">
        <v>62.16</v>
      </c>
      <c r="BM1205" s="2">
        <v>8.6999999999999993</v>
      </c>
      <c r="BN1205" s="2">
        <v>70.86</v>
      </c>
      <c r="BO1205" s="2">
        <v>70.86</v>
      </c>
      <c r="BP1205" s="2"/>
      <c r="BQ1205" s="2" t="s">
        <v>1926</v>
      </c>
      <c r="BR1205" s="2" t="s">
        <v>84</v>
      </c>
      <c r="BS1205" s="3">
        <v>42961</v>
      </c>
      <c r="BT1205" s="4">
        <v>0.3527777777777778</v>
      </c>
      <c r="BU1205" s="2" t="s">
        <v>85</v>
      </c>
      <c r="BV1205" s="2" t="s">
        <v>95</v>
      </c>
      <c r="BW1205" s="2"/>
      <c r="BX1205" s="2"/>
      <c r="BY1205" s="2">
        <v>13760</v>
      </c>
      <c r="BZ1205" s="2"/>
      <c r="CA1205" s="2"/>
      <c r="CB1205" s="2"/>
      <c r="CC1205" s="2" t="s">
        <v>138</v>
      </c>
      <c r="CD1205" s="2">
        <v>157</v>
      </c>
      <c r="CE1205" s="2" t="s">
        <v>89</v>
      </c>
      <c r="CF1205" s="5">
        <v>42962</v>
      </c>
      <c r="CG1205" s="2"/>
      <c r="CH1205" s="2"/>
      <c r="CI1205" s="2">
        <v>1</v>
      </c>
      <c r="CJ1205" s="2">
        <v>1</v>
      </c>
      <c r="CK1205" s="2">
        <v>21</v>
      </c>
      <c r="CL1205" s="2" t="s">
        <v>86</v>
      </c>
      <c r="CM1205" s="2"/>
    </row>
    <row r="1206" spans="1:91">
      <c r="A1206" s="2" t="s">
        <v>71</v>
      </c>
      <c r="B1206" s="2" t="s">
        <v>72</v>
      </c>
      <c r="C1206" s="2" t="s">
        <v>73</v>
      </c>
      <c r="D1206" s="2"/>
      <c r="E1206" s="2" t="str">
        <f>"FES1162568300"</f>
        <v>FES1162568300</v>
      </c>
      <c r="F1206" s="3">
        <v>42958</v>
      </c>
      <c r="G1206" s="2">
        <v>201802</v>
      </c>
      <c r="H1206" s="2" t="s">
        <v>74</v>
      </c>
      <c r="I1206" s="2" t="s">
        <v>75</v>
      </c>
      <c r="J1206" s="2" t="s">
        <v>76</v>
      </c>
      <c r="K1206" s="2" t="s">
        <v>77</v>
      </c>
      <c r="L1206" s="2" t="s">
        <v>144</v>
      </c>
      <c r="M1206" s="2" t="s">
        <v>145</v>
      </c>
      <c r="N1206" s="2" t="s">
        <v>1630</v>
      </c>
      <c r="O1206" s="2" t="s">
        <v>100</v>
      </c>
      <c r="P1206" s="2" t="str">
        <f>"2170584418                    "</f>
        <v xml:space="preserve">2170584418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3.13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1</v>
      </c>
      <c r="BJ1206" s="2">
        <v>0.2</v>
      </c>
      <c r="BK1206" s="2">
        <v>1</v>
      </c>
      <c r="BL1206" s="2">
        <v>32.380000000000003</v>
      </c>
      <c r="BM1206" s="2">
        <v>4.53</v>
      </c>
      <c r="BN1206" s="2">
        <v>36.909999999999997</v>
      </c>
      <c r="BO1206" s="2">
        <v>36.909999999999997</v>
      </c>
      <c r="BP1206" s="2"/>
      <c r="BQ1206" s="2" t="s">
        <v>1927</v>
      </c>
      <c r="BR1206" s="2" t="s">
        <v>84</v>
      </c>
      <c r="BS1206" s="3">
        <v>42961</v>
      </c>
      <c r="BT1206" s="4">
        <v>0.40833333333333338</v>
      </c>
      <c r="BU1206" s="2" t="s">
        <v>1928</v>
      </c>
      <c r="BV1206" s="2" t="s">
        <v>95</v>
      </c>
      <c r="BW1206" s="2"/>
      <c r="BX1206" s="2"/>
      <c r="BY1206" s="2">
        <v>1200</v>
      </c>
      <c r="BZ1206" s="2"/>
      <c r="CA1206" s="2" t="s">
        <v>274</v>
      </c>
      <c r="CB1206" s="2"/>
      <c r="CC1206" s="2" t="s">
        <v>145</v>
      </c>
      <c r="CD1206" s="2">
        <v>2001</v>
      </c>
      <c r="CE1206" s="2" t="s">
        <v>104</v>
      </c>
      <c r="CF1206" s="5">
        <v>42962</v>
      </c>
      <c r="CG1206" s="2"/>
      <c r="CH1206" s="2"/>
      <c r="CI1206" s="2">
        <v>1</v>
      </c>
      <c r="CJ1206" s="2">
        <v>1</v>
      </c>
      <c r="CK1206" s="2">
        <v>22</v>
      </c>
      <c r="CL1206" s="2" t="s">
        <v>86</v>
      </c>
      <c r="CM1206" s="2"/>
    </row>
    <row r="1207" spans="1:91">
      <c r="A1207" s="2" t="s">
        <v>71</v>
      </c>
      <c r="B1207" s="2" t="s">
        <v>72</v>
      </c>
      <c r="C1207" s="2" t="s">
        <v>73</v>
      </c>
      <c r="D1207" s="2"/>
      <c r="E1207" s="2" t="str">
        <f>"FES1162568264"</f>
        <v>FES1162568264</v>
      </c>
      <c r="F1207" s="3">
        <v>42958</v>
      </c>
      <c r="G1207" s="2">
        <v>201802</v>
      </c>
      <c r="H1207" s="2" t="s">
        <v>74</v>
      </c>
      <c r="I1207" s="2" t="s">
        <v>75</v>
      </c>
      <c r="J1207" s="2" t="s">
        <v>76</v>
      </c>
      <c r="K1207" s="2" t="s">
        <v>77</v>
      </c>
      <c r="L1207" s="2" t="s">
        <v>144</v>
      </c>
      <c r="M1207" s="2" t="s">
        <v>145</v>
      </c>
      <c r="N1207" s="2" t="s">
        <v>393</v>
      </c>
      <c r="O1207" s="2" t="s">
        <v>100</v>
      </c>
      <c r="P1207" s="2" t="str">
        <f>"2170582351                    "</f>
        <v xml:space="preserve">2170582351 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3.13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1</v>
      </c>
      <c r="BI1207" s="2">
        <v>1</v>
      </c>
      <c r="BJ1207" s="2">
        <v>0.2</v>
      </c>
      <c r="BK1207" s="2">
        <v>1</v>
      </c>
      <c r="BL1207" s="2">
        <v>32.380000000000003</v>
      </c>
      <c r="BM1207" s="2">
        <v>4.53</v>
      </c>
      <c r="BN1207" s="2">
        <v>36.909999999999997</v>
      </c>
      <c r="BO1207" s="2">
        <v>36.909999999999997</v>
      </c>
      <c r="BP1207" s="2"/>
      <c r="BQ1207" s="2" t="s">
        <v>394</v>
      </c>
      <c r="BR1207" s="2" t="s">
        <v>84</v>
      </c>
      <c r="BS1207" s="3">
        <v>42961</v>
      </c>
      <c r="BT1207" s="4">
        <v>0.4375</v>
      </c>
      <c r="BU1207" s="2" t="s">
        <v>1897</v>
      </c>
      <c r="BV1207" s="2" t="s">
        <v>95</v>
      </c>
      <c r="BW1207" s="2"/>
      <c r="BX1207" s="2"/>
      <c r="BY1207" s="2">
        <v>1200</v>
      </c>
      <c r="BZ1207" s="2"/>
      <c r="CA1207" s="2"/>
      <c r="CB1207" s="2"/>
      <c r="CC1207" s="2" t="s">
        <v>145</v>
      </c>
      <c r="CD1207" s="2">
        <v>2001</v>
      </c>
      <c r="CE1207" s="2" t="s">
        <v>104</v>
      </c>
      <c r="CF1207" s="5">
        <v>42962</v>
      </c>
      <c r="CG1207" s="2"/>
      <c r="CH1207" s="2"/>
      <c r="CI1207" s="2">
        <v>1</v>
      </c>
      <c r="CJ1207" s="2">
        <v>1</v>
      </c>
      <c r="CK1207" s="2">
        <v>22</v>
      </c>
      <c r="CL1207" s="2" t="s">
        <v>86</v>
      </c>
      <c r="CM1207" s="2"/>
    </row>
    <row r="1208" spans="1:91">
      <c r="A1208" s="2" t="s">
        <v>71</v>
      </c>
      <c r="B1208" s="2" t="s">
        <v>72</v>
      </c>
      <c r="C1208" s="2" t="s">
        <v>73</v>
      </c>
      <c r="D1208" s="2"/>
      <c r="E1208" s="2" t="str">
        <f>"FES1162566414"</f>
        <v>FES1162566414</v>
      </c>
      <c r="F1208" s="3">
        <v>42958</v>
      </c>
      <c r="G1208" s="2">
        <v>201802</v>
      </c>
      <c r="H1208" s="2" t="s">
        <v>74</v>
      </c>
      <c r="I1208" s="2" t="s">
        <v>75</v>
      </c>
      <c r="J1208" s="2" t="s">
        <v>76</v>
      </c>
      <c r="K1208" s="2" t="s">
        <v>77</v>
      </c>
      <c r="L1208" s="2" t="s">
        <v>105</v>
      </c>
      <c r="M1208" s="2" t="s">
        <v>106</v>
      </c>
      <c r="N1208" s="2" t="s">
        <v>1929</v>
      </c>
      <c r="O1208" s="2" t="s">
        <v>100</v>
      </c>
      <c r="P1208" s="2" t="str">
        <f>"2170582768                    "</f>
        <v xml:space="preserve">2170582768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4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1</v>
      </c>
      <c r="BI1208" s="2">
        <v>1</v>
      </c>
      <c r="BJ1208" s="2">
        <v>0.2</v>
      </c>
      <c r="BK1208" s="2">
        <v>1</v>
      </c>
      <c r="BL1208" s="2">
        <v>41.44</v>
      </c>
      <c r="BM1208" s="2">
        <v>5.8</v>
      </c>
      <c r="BN1208" s="2">
        <v>47.24</v>
      </c>
      <c r="BO1208" s="2">
        <v>47.24</v>
      </c>
      <c r="BP1208" s="2"/>
      <c r="BQ1208" s="2" t="s">
        <v>288</v>
      </c>
      <c r="BR1208" s="2" t="s">
        <v>84</v>
      </c>
      <c r="BS1208" s="3">
        <v>42961</v>
      </c>
      <c r="BT1208" s="4">
        <v>0.38263888888888892</v>
      </c>
      <c r="BU1208" s="2" t="s">
        <v>1930</v>
      </c>
      <c r="BV1208" s="2" t="s">
        <v>95</v>
      </c>
      <c r="BW1208" s="2"/>
      <c r="BX1208" s="2"/>
      <c r="BY1208" s="2">
        <v>1200</v>
      </c>
      <c r="BZ1208" s="2"/>
      <c r="CA1208" s="2" t="s">
        <v>856</v>
      </c>
      <c r="CB1208" s="2"/>
      <c r="CC1208" s="2" t="s">
        <v>106</v>
      </c>
      <c r="CD1208" s="2">
        <v>7405</v>
      </c>
      <c r="CE1208" s="2" t="s">
        <v>104</v>
      </c>
      <c r="CF1208" s="5">
        <v>42962</v>
      </c>
      <c r="CG1208" s="2"/>
      <c r="CH1208" s="2"/>
      <c r="CI1208" s="2">
        <v>1</v>
      </c>
      <c r="CJ1208" s="2">
        <v>1</v>
      </c>
      <c r="CK1208" s="2">
        <v>21</v>
      </c>
      <c r="CL1208" s="2" t="s">
        <v>86</v>
      </c>
      <c r="CM1208" s="2"/>
    </row>
    <row r="1209" spans="1:91">
      <c r="A1209" s="2" t="s">
        <v>71</v>
      </c>
      <c r="B1209" s="2" t="s">
        <v>72</v>
      </c>
      <c r="C1209" s="2" t="s">
        <v>73</v>
      </c>
      <c r="D1209" s="2"/>
      <c r="E1209" s="2" t="str">
        <f>"FES1162568431"</f>
        <v>FES1162568431</v>
      </c>
      <c r="F1209" s="3">
        <v>42958</v>
      </c>
      <c r="G1209" s="2">
        <v>201802</v>
      </c>
      <c r="H1209" s="2" t="s">
        <v>74</v>
      </c>
      <c r="I1209" s="2" t="s">
        <v>75</v>
      </c>
      <c r="J1209" s="2" t="s">
        <v>76</v>
      </c>
      <c r="K1209" s="2" t="s">
        <v>77</v>
      </c>
      <c r="L1209" s="2" t="s">
        <v>97</v>
      </c>
      <c r="M1209" s="2" t="s">
        <v>98</v>
      </c>
      <c r="N1209" s="2" t="s">
        <v>500</v>
      </c>
      <c r="O1209" s="2" t="s">
        <v>100</v>
      </c>
      <c r="P1209" s="2" t="str">
        <f>"2170584531                    "</f>
        <v xml:space="preserve">2170584531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4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1</v>
      </c>
      <c r="BI1209" s="2">
        <v>1</v>
      </c>
      <c r="BJ1209" s="2">
        <v>0.2</v>
      </c>
      <c r="BK1209" s="2">
        <v>1</v>
      </c>
      <c r="BL1209" s="2">
        <v>41.44</v>
      </c>
      <c r="BM1209" s="2">
        <v>5.8</v>
      </c>
      <c r="BN1209" s="2">
        <v>47.24</v>
      </c>
      <c r="BO1209" s="2">
        <v>47.24</v>
      </c>
      <c r="BP1209" s="2"/>
      <c r="BQ1209" s="2" t="s">
        <v>108</v>
      </c>
      <c r="BR1209" s="2" t="s">
        <v>84</v>
      </c>
      <c r="BS1209" s="3">
        <v>42961</v>
      </c>
      <c r="BT1209" s="4">
        <v>0.36458333333333331</v>
      </c>
      <c r="BU1209" s="2" t="s">
        <v>501</v>
      </c>
      <c r="BV1209" s="2" t="s">
        <v>95</v>
      </c>
      <c r="BW1209" s="2"/>
      <c r="BX1209" s="2"/>
      <c r="BY1209" s="2">
        <v>1200</v>
      </c>
      <c r="BZ1209" s="2"/>
      <c r="CA1209" s="2" t="s">
        <v>294</v>
      </c>
      <c r="CB1209" s="2"/>
      <c r="CC1209" s="2" t="s">
        <v>98</v>
      </c>
      <c r="CD1209" s="2">
        <v>6001</v>
      </c>
      <c r="CE1209" s="2" t="s">
        <v>104</v>
      </c>
      <c r="CF1209" s="5">
        <v>42962</v>
      </c>
      <c r="CG1209" s="2"/>
      <c r="CH1209" s="2"/>
      <c r="CI1209" s="2">
        <v>1</v>
      </c>
      <c r="CJ1209" s="2">
        <v>1</v>
      </c>
      <c r="CK1209" s="2">
        <v>21</v>
      </c>
      <c r="CL1209" s="2" t="s">
        <v>86</v>
      </c>
      <c r="CM1209" s="2"/>
    </row>
    <row r="1210" spans="1:91">
      <c r="A1210" s="2" t="s">
        <v>71</v>
      </c>
      <c r="B1210" s="2" t="s">
        <v>72</v>
      </c>
      <c r="C1210" s="2" t="s">
        <v>73</v>
      </c>
      <c r="D1210" s="2"/>
      <c r="E1210" s="2" t="str">
        <f>"FES1162568443"</f>
        <v>FES1162568443</v>
      </c>
      <c r="F1210" s="3">
        <v>42958</v>
      </c>
      <c r="G1210" s="2">
        <v>201802</v>
      </c>
      <c r="H1210" s="2" t="s">
        <v>74</v>
      </c>
      <c r="I1210" s="2" t="s">
        <v>75</v>
      </c>
      <c r="J1210" s="2" t="s">
        <v>76</v>
      </c>
      <c r="K1210" s="2" t="s">
        <v>77</v>
      </c>
      <c r="L1210" s="2" t="s">
        <v>524</v>
      </c>
      <c r="M1210" s="2" t="s">
        <v>525</v>
      </c>
      <c r="N1210" s="2" t="s">
        <v>1931</v>
      </c>
      <c r="O1210" s="2" t="s">
        <v>100</v>
      </c>
      <c r="P1210" s="2" t="str">
        <f>"2170584545                    "</f>
        <v xml:space="preserve">2170584545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7.75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1</v>
      </c>
      <c r="BI1210" s="2">
        <v>1</v>
      </c>
      <c r="BJ1210" s="2">
        <v>0.2</v>
      </c>
      <c r="BK1210" s="2">
        <v>1</v>
      </c>
      <c r="BL1210" s="2">
        <v>80.290000000000006</v>
      </c>
      <c r="BM1210" s="2">
        <v>11.24</v>
      </c>
      <c r="BN1210" s="2">
        <v>91.53</v>
      </c>
      <c r="BO1210" s="2">
        <v>91.53</v>
      </c>
      <c r="BP1210" s="2"/>
      <c r="BQ1210" s="2" t="s">
        <v>209</v>
      </c>
      <c r="BR1210" s="2" t="s">
        <v>84</v>
      </c>
      <c r="BS1210" s="3">
        <v>42961</v>
      </c>
      <c r="BT1210" s="4">
        <v>0.71319444444444446</v>
      </c>
      <c r="BU1210" s="2" t="s">
        <v>1932</v>
      </c>
      <c r="BV1210" s="2" t="s">
        <v>95</v>
      </c>
      <c r="BW1210" s="2"/>
      <c r="BX1210" s="2"/>
      <c r="BY1210" s="2">
        <v>1200</v>
      </c>
      <c r="BZ1210" s="2"/>
      <c r="CA1210" s="2" t="s">
        <v>1779</v>
      </c>
      <c r="CB1210" s="2"/>
      <c r="CC1210" s="2" t="s">
        <v>525</v>
      </c>
      <c r="CD1210" s="2">
        <v>5660</v>
      </c>
      <c r="CE1210" s="2" t="s">
        <v>104</v>
      </c>
      <c r="CF1210" s="5">
        <v>42963</v>
      </c>
      <c r="CG1210" s="2"/>
      <c r="CH1210" s="2"/>
      <c r="CI1210" s="2">
        <v>3</v>
      </c>
      <c r="CJ1210" s="2">
        <v>1</v>
      </c>
      <c r="CK1210" s="2">
        <v>23</v>
      </c>
      <c r="CL1210" s="2" t="s">
        <v>86</v>
      </c>
      <c r="CM1210" s="2"/>
    </row>
    <row r="1211" spans="1:91">
      <c r="A1211" s="2" t="s">
        <v>71</v>
      </c>
      <c r="B1211" s="2" t="s">
        <v>72</v>
      </c>
      <c r="C1211" s="2" t="s">
        <v>73</v>
      </c>
      <c r="D1211" s="2"/>
      <c r="E1211" s="2" t="str">
        <f>"FES1162568324"</f>
        <v>FES1162568324</v>
      </c>
      <c r="F1211" s="3">
        <v>42958</v>
      </c>
      <c r="G1211" s="2">
        <v>201802</v>
      </c>
      <c r="H1211" s="2" t="s">
        <v>74</v>
      </c>
      <c r="I1211" s="2" t="s">
        <v>75</v>
      </c>
      <c r="J1211" s="2" t="s">
        <v>76</v>
      </c>
      <c r="K1211" s="2" t="s">
        <v>77</v>
      </c>
      <c r="L1211" s="2" t="s">
        <v>170</v>
      </c>
      <c r="M1211" s="2" t="s">
        <v>171</v>
      </c>
      <c r="N1211" s="2" t="s">
        <v>172</v>
      </c>
      <c r="O1211" s="2" t="s">
        <v>100</v>
      </c>
      <c r="P1211" s="2" t="str">
        <f>"2170581780                    "</f>
        <v xml:space="preserve">2170581780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3.13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1</v>
      </c>
      <c r="BJ1211" s="2">
        <v>0.2</v>
      </c>
      <c r="BK1211" s="2">
        <v>1</v>
      </c>
      <c r="BL1211" s="2">
        <v>32.380000000000003</v>
      </c>
      <c r="BM1211" s="2">
        <v>4.53</v>
      </c>
      <c r="BN1211" s="2">
        <v>36.909999999999997</v>
      </c>
      <c r="BO1211" s="2">
        <v>36.909999999999997</v>
      </c>
      <c r="BP1211" s="2"/>
      <c r="BQ1211" s="2" t="s">
        <v>1933</v>
      </c>
      <c r="BR1211" s="2" t="s">
        <v>84</v>
      </c>
      <c r="BS1211" s="3">
        <v>42961</v>
      </c>
      <c r="BT1211" s="4">
        <v>0.41666666666666669</v>
      </c>
      <c r="BU1211" s="2" t="s">
        <v>1635</v>
      </c>
      <c r="BV1211" s="2" t="s">
        <v>95</v>
      </c>
      <c r="BW1211" s="2"/>
      <c r="BX1211" s="2"/>
      <c r="BY1211" s="2">
        <v>1200</v>
      </c>
      <c r="BZ1211" s="2"/>
      <c r="CA1211" s="2" t="s">
        <v>492</v>
      </c>
      <c r="CB1211" s="2"/>
      <c r="CC1211" s="2" t="s">
        <v>171</v>
      </c>
      <c r="CD1211" s="2">
        <v>1401</v>
      </c>
      <c r="CE1211" s="2" t="s">
        <v>104</v>
      </c>
      <c r="CF1211" s="5">
        <v>42962</v>
      </c>
      <c r="CG1211" s="2"/>
      <c r="CH1211" s="2"/>
      <c r="CI1211" s="2">
        <v>1</v>
      </c>
      <c r="CJ1211" s="2">
        <v>1</v>
      </c>
      <c r="CK1211" s="2">
        <v>22</v>
      </c>
      <c r="CL1211" s="2" t="s">
        <v>86</v>
      </c>
      <c r="CM1211" s="2"/>
    </row>
    <row r="1212" spans="1:91">
      <c r="A1212" s="2" t="s">
        <v>71</v>
      </c>
      <c r="B1212" s="2" t="s">
        <v>72</v>
      </c>
      <c r="C1212" s="2" t="s">
        <v>73</v>
      </c>
      <c r="D1212" s="2"/>
      <c r="E1212" s="2" t="str">
        <f>"FES1162568436"</f>
        <v>FES1162568436</v>
      </c>
      <c r="F1212" s="3">
        <v>42958</v>
      </c>
      <c r="G1212" s="2">
        <v>201802</v>
      </c>
      <c r="H1212" s="2" t="s">
        <v>74</v>
      </c>
      <c r="I1212" s="2" t="s">
        <v>75</v>
      </c>
      <c r="J1212" s="2" t="s">
        <v>76</v>
      </c>
      <c r="K1212" s="2" t="s">
        <v>77</v>
      </c>
      <c r="L1212" s="2" t="s">
        <v>74</v>
      </c>
      <c r="M1212" s="2" t="s">
        <v>75</v>
      </c>
      <c r="N1212" s="2" t="s">
        <v>192</v>
      </c>
      <c r="O1212" s="2" t="s">
        <v>100</v>
      </c>
      <c r="P1212" s="2" t="str">
        <f>"2170584534                    "</f>
        <v xml:space="preserve">2170584534 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3.13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1</v>
      </c>
      <c r="BI1212" s="2">
        <v>1</v>
      </c>
      <c r="BJ1212" s="2">
        <v>0.2</v>
      </c>
      <c r="BK1212" s="2">
        <v>1</v>
      </c>
      <c r="BL1212" s="2">
        <v>32.380000000000003</v>
      </c>
      <c r="BM1212" s="2">
        <v>4.53</v>
      </c>
      <c r="BN1212" s="2">
        <v>36.909999999999997</v>
      </c>
      <c r="BO1212" s="2">
        <v>36.909999999999997</v>
      </c>
      <c r="BP1212" s="2"/>
      <c r="BQ1212" s="2" t="s">
        <v>1934</v>
      </c>
      <c r="BR1212" s="2" t="s">
        <v>84</v>
      </c>
      <c r="BS1212" s="3">
        <v>42961</v>
      </c>
      <c r="BT1212" s="4">
        <v>0.34027777777777773</v>
      </c>
      <c r="BU1212" s="2" t="s">
        <v>193</v>
      </c>
      <c r="BV1212" s="2" t="s">
        <v>95</v>
      </c>
      <c r="BW1212" s="2"/>
      <c r="BX1212" s="2"/>
      <c r="BY1212" s="2">
        <v>1200</v>
      </c>
      <c r="BZ1212" s="2"/>
      <c r="CA1212" s="2" t="s">
        <v>194</v>
      </c>
      <c r="CB1212" s="2"/>
      <c r="CC1212" s="2" t="s">
        <v>75</v>
      </c>
      <c r="CD1212" s="2">
        <v>1665</v>
      </c>
      <c r="CE1212" s="2" t="s">
        <v>104</v>
      </c>
      <c r="CF1212" s="5">
        <v>42962</v>
      </c>
      <c r="CG1212" s="2"/>
      <c r="CH1212" s="2"/>
      <c r="CI1212" s="2">
        <v>1</v>
      </c>
      <c r="CJ1212" s="2">
        <v>1</v>
      </c>
      <c r="CK1212" s="2">
        <v>22</v>
      </c>
      <c r="CL1212" s="2" t="s">
        <v>86</v>
      </c>
      <c r="CM1212" s="2"/>
    </row>
    <row r="1213" spans="1:91">
      <c r="A1213" s="2" t="s">
        <v>71</v>
      </c>
      <c r="B1213" s="2" t="s">
        <v>72</v>
      </c>
      <c r="C1213" s="2" t="s">
        <v>73</v>
      </c>
      <c r="D1213" s="2"/>
      <c r="E1213" s="2" t="str">
        <f>"FES1162568450"</f>
        <v>FES1162568450</v>
      </c>
      <c r="F1213" s="3">
        <v>42958</v>
      </c>
      <c r="G1213" s="2">
        <v>201802</v>
      </c>
      <c r="H1213" s="2" t="s">
        <v>74</v>
      </c>
      <c r="I1213" s="2" t="s">
        <v>75</v>
      </c>
      <c r="J1213" s="2" t="s">
        <v>76</v>
      </c>
      <c r="K1213" s="2" t="s">
        <v>77</v>
      </c>
      <c r="L1213" s="2" t="s">
        <v>170</v>
      </c>
      <c r="M1213" s="2" t="s">
        <v>171</v>
      </c>
      <c r="N1213" s="2" t="s">
        <v>1935</v>
      </c>
      <c r="O1213" s="2" t="s">
        <v>100</v>
      </c>
      <c r="P1213" s="2" t="str">
        <f>"2170584554                    "</f>
        <v xml:space="preserve">2170584554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3.13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1</v>
      </c>
      <c r="BJ1213" s="2">
        <v>0.2</v>
      </c>
      <c r="BK1213" s="2">
        <v>1</v>
      </c>
      <c r="BL1213" s="2">
        <v>32.380000000000003</v>
      </c>
      <c r="BM1213" s="2">
        <v>4.53</v>
      </c>
      <c r="BN1213" s="2">
        <v>36.909999999999997</v>
      </c>
      <c r="BO1213" s="2">
        <v>36.909999999999997</v>
      </c>
      <c r="BP1213" s="2"/>
      <c r="BQ1213" s="2" t="s">
        <v>83</v>
      </c>
      <c r="BR1213" s="2" t="s">
        <v>84</v>
      </c>
      <c r="BS1213" s="3">
        <v>42961</v>
      </c>
      <c r="BT1213" s="4">
        <v>0.38263888888888892</v>
      </c>
      <c r="BU1213" s="2" t="s">
        <v>1936</v>
      </c>
      <c r="BV1213" s="2" t="s">
        <v>95</v>
      </c>
      <c r="BW1213" s="2"/>
      <c r="BX1213" s="2"/>
      <c r="BY1213" s="2">
        <v>1200</v>
      </c>
      <c r="BZ1213" s="2"/>
      <c r="CA1213" s="2" t="s">
        <v>1441</v>
      </c>
      <c r="CB1213" s="2"/>
      <c r="CC1213" s="2" t="s">
        <v>171</v>
      </c>
      <c r="CD1213" s="2">
        <v>1406</v>
      </c>
      <c r="CE1213" s="2" t="s">
        <v>104</v>
      </c>
      <c r="CF1213" s="5">
        <v>42962</v>
      </c>
      <c r="CG1213" s="2"/>
      <c r="CH1213" s="2"/>
      <c r="CI1213" s="2">
        <v>1</v>
      </c>
      <c r="CJ1213" s="2">
        <v>1</v>
      </c>
      <c r="CK1213" s="2">
        <v>22</v>
      </c>
      <c r="CL1213" s="2" t="s">
        <v>86</v>
      </c>
      <c r="CM1213" s="2"/>
    </row>
    <row r="1214" spans="1:91">
      <c r="A1214" s="2" t="s">
        <v>71</v>
      </c>
      <c r="B1214" s="2" t="s">
        <v>72</v>
      </c>
      <c r="C1214" s="2" t="s">
        <v>73</v>
      </c>
      <c r="D1214" s="2"/>
      <c r="E1214" s="2" t="str">
        <f>"FES1162568319"</f>
        <v>FES1162568319</v>
      </c>
      <c r="F1214" s="3">
        <v>42958</v>
      </c>
      <c r="G1214" s="2">
        <v>201802</v>
      </c>
      <c r="H1214" s="2" t="s">
        <v>74</v>
      </c>
      <c r="I1214" s="2" t="s">
        <v>75</v>
      </c>
      <c r="J1214" s="2" t="s">
        <v>76</v>
      </c>
      <c r="K1214" s="2" t="s">
        <v>77</v>
      </c>
      <c r="L1214" s="2" t="s">
        <v>144</v>
      </c>
      <c r="M1214" s="2" t="s">
        <v>145</v>
      </c>
      <c r="N1214" s="2" t="s">
        <v>282</v>
      </c>
      <c r="O1214" s="2" t="s">
        <v>100</v>
      </c>
      <c r="P1214" s="2" t="str">
        <f>"2170581670                    "</f>
        <v xml:space="preserve">2170581670 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3.13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1</v>
      </c>
      <c r="BJ1214" s="2">
        <v>0.2</v>
      </c>
      <c r="BK1214" s="2">
        <v>1</v>
      </c>
      <c r="BL1214" s="2">
        <v>32.380000000000003</v>
      </c>
      <c r="BM1214" s="2">
        <v>4.53</v>
      </c>
      <c r="BN1214" s="2">
        <v>36.909999999999997</v>
      </c>
      <c r="BO1214" s="2">
        <v>36.909999999999997</v>
      </c>
      <c r="BP1214" s="2"/>
      <c r="BQ1214" s="2" t="s">
        <v>83</v>
      </c>
      <c r="BR1214" s="2" t="s">
        <v>84</v>
      </c>
      <c r="BS1214" s="3">
        <v>42961</v>
      </c>
      <c r="BT1214" s="4">
        <v>0.31736111111111115</v>
      </c>
      <c r="BU1214" s="2" t="s">
        <v>1937</v>
      </c>
      <c r="BV1214" s="2" t="s">
        <v>95</v>
      </c>
      <c r="BW1214" s="2"/>
      <c r="BX1214" s="2"/>
      <c r="BY1214" s="2">
        <v>1200</v>
      </c>
      <c r="BZ1214" s="2"/>
      <c r="CA1214" s="2" t="s">
        <v>284</v>
      </c>
      <c r="CB1214" s="2"/>
      <c r="CC1214" s="2" t="s">
        <v>145</v>
      </c>
      <c r="CD1214" s="2">
        <v>2094</v>
      </c>
      <c r="CE1214" s="2" t="s">
        <v>104</v>
      </c>
      <c r="CF1214" s="5">
        <v>42962</v>
      </c>
      <c r="CG1214" s="2"/>
      <c r="CH1214" s="2"/>
      <c r="CI1214" s="2">
        <v>1</v>
      </c>
      <c r="CJ1214" s="2">
        <v>1</v>
      </c>
      <c r="CK1214" s="2">
        <v>22</v>
      </c>
      <c r="CL1214" s="2" t="s">
        <v>86</v>
      </c>
      <c r="CM1214" s="2"/>
    </row>
    <row r="1215" spans="1:91">
      <c r="A1215" s="2" t="s">
        <v>71</v>
      </c>
      <c r="B1215" s="2" t="s">
        <v>72</v>
      </c>
      <c r="C1215" s="2" t="s">
        <v>73</v>
      </c>
      <c r="D1215" s="2"/>
      <c r="E1215" s="2" t="str">
        <f>"FES1162568452"</f>
        <v>FES1162568452</v>
      </c>
      <c r="F1215" s="3">
        <v>42958</v>
      </c>
      <c r="G1215" s="2">
        <v>201802</v>
      </c>
      <c r="H1215" s="2" t="s">
        <v>74</v>
      </c>
      <c r="I1215" s="2" t="s">
        <v>75</v>
      </c>
      <c r="J1215" s="2" t="s">
        <v>76</v>
      </c>
      <c r="K1215" s="2" t="s">
        <v>77</v>
      </c>
      <c r="L1215" s="2" t="s">
        <v>170</v>
      </c>
      <c r="M1215" s="2" t="s">
        <v>171</v>
      </c>
      <c r="N1215" s="2" t="s">
        <v>1938</v>
      </c>
      <c r="O1215" s="2" t="s">
        <v>100</v>
      </c>
      <c r="P1215" s="2" t="str">
        <f>"2170584556                    "</f>
        <v xml:space="preserve">2170584556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3.13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1</v>
      </c>
      <c r="BI1215" s="2">
        <v>1</v>
      </c>
      <c r="BJ1215" s="2">
        <v>0.2</v>
      </c>
      <c r="BK1215" s="2">
        <v>1</v>
      </c>
      <c r="BL1215" s="2">
        <v>32.380000000000003</v>
      </c>
      <c r="BM1215" s="2">
        <v>4.53</v>
      </c>
      <c r="BN1215" s="2">
        <v>36.909999999999997</v>
      </c>
      <c r="BO1215" s="2">
        <v>36.909999999999997</v>
      </c>
      <c r="BP1215" s="2"/>
      <c r="BQ1215" s="2" t="s">
        <v>108</v>
      </c>
      <c r="BR1215" s="2" t="s">
        <v>84</v>
      </c>
      <c r="BS1215" s="3">
        <v>42961</v>
      </c>
      <c r="BT1215" s="4">
        <v>0.32430555555555557</v>
      </c>
      <c r="BU1215" s="2" t="s">
        <v>1939</v>
      </c>
      <c r="BV1215" s="2" t="s">
        <v>95</v>
      </c>
      <c r="BW1215" s="2"/>
      <c r="BX1215" s="2"/>
      <c r="BY1215" s="2">
        <v>1200</v>
      </c>
      <c r="BZ1215" s="2"/>
      <c r="CA1215" s="2" t="s">
        <v>1617</v>
      </c>
      <c r="CB1215" s="2"/>
      <c r="CC1215" s="2" t="s">
        <v>171</v>
      </c>
      <c r="CD1215" s="2">
        <v>1401</v>
      </c>
      <c r="CE1215" s="2" t="s">
        <v>104</v>
      </c>
      <c r="CF1215" s="5">
        <v>42962</v>
      </c>
      <c r="CG1215" s="2"/>
      <c r="CH1215" s="2"/>
      <c r="CI1215" s="2">
        <v>1</v>
      </c>
      <c r="CJ1215" s="2">
        <v>1</v>
      </c>
      <c r="CK1215" s="2">
        <v>22</v>
      </c>
      <c r="CL1215" s="2" t="s">
        <v>86</v>
      </c>
      <c r="CM1215" s="2"/>
    </row>
    <row r="1216" spans="1:91">
      <c r="A1216" s="2" t="s">
        <v>71</v>
      </c>
      <c r="B1216" s="2" t="s">
        <v>72</v>
      </c>
      <c r="C1216" s="2" t="s">
        <v>73</v>
      </c>
      <c r="D1216" s="2"/>
      <c r="E1216" s="2" t="str">
        <f>"FES1162568326"</f>
        <v>FES1162568326</v>
      </c>
      <c r="F1216" s="3">
        <v>42958</v>
      </c>
      <c r="G1216" s="2">
        <v>201802</v>
      </c>
      <c r="H1216" s="2" t="s">
        <v>74</v>
      </c>
      <c r="I1216" s="2" t="s">
        <v>75</v>
      </c>
      <c r="J1216" s="2" t="s">
        <v>76</v>
      </c>
      <c r="K1216" s="2" t="s">
        <v>77</v>
      </c>
      <c r="L1216" s="2" t="s">
        <v>170</v>
      </c>
      <c r="M1216" s="2" t="s">
        <v>171</v>
      </c>
      <c r="N1216" s="2" t="s">
        <v>1940</v>
      </c>
      <c r="O1216" s="2" t="s">
        <v>100</v>
      </c>
      <c r="P1216" s="2" t="str">
        <f>"2170581975                    "</f>
        <v xml:space="preserve">2170581975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3.13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1</v>
      </c>
      <c r="BJ1216" s="2">
        <v>0.2</v>
      </c>
      <c r="BK1216" s="2">
        <v>1</v>
      </c>
      <c r="BL1216" s="2">
        <v>32.380000000000003</v>
      </c>
      <c r="BM1216" s="2">
        <v>4.53</v>
      </c>
      <c r="BN1216" s="2">
        <v>36.909999999999997</v>
      </c>
      <c r="BO1216" s="2">
        <v>36.909999999999997</v>
      </c>
      <c r="BP1216" s="2"/>
      <c r="BQ1216" s="2" t="s">
        <v>83</v>
      </c>
      <c r="BR1216" s="2" t="s">
        <v>84</v>
      </c>
      <c r="BS1216" s="3">
        <v>42961</v>
      </c>
      <c r="BT1216" s="4">
        <v>0.4375</v>
      </c>
      <c r="BU1216" s="2" t="s">
        <v>1941</v>
      </c>
      <c r="BV1216" s="2" t="s">
        <v>95</v>
      </c>
      <c r="BW1216" s="2"/>
      <c r="BX1216" s="2"/>
      <c r="BY1216" s="2">
        <v>1200</v>
      </c>
      <c r="BZ1216" s="2"/>
      <c r="CA1216" s="2" t="s">
        <v>1617</v>
      </c>
      <c r="CB1216" s="2"/>
      <c r="CC1216" s="2" t="s">
        <v>171</v>
      </c>
      <c r="CD1216" s="2">
        <v>1401</v>
      </c>
      <c r="CE1216" s="2" t="s">
        <v>104</v>
      </c>
      <c r="CF1216" s="5">
        <v>42962</v>
      </c>
      <c r="CG1216" s="2"/>
      <c r="CH1216" s="2"/>
      <c r="CI1216" s="2">
        <v>1</v>
      </c>
      <c r="CJ1216" s="2">
        <v>1</v>
      </c>
      <c r="CK1216" s="2">
        <v>22</v>
      </c>
      <c r="CL1216" s="2" t="s">
        <v>86</v>
      </c>
      <c r="CM1216" s="2"/>
    </row>
    <row r="1217" spans="1:91">
      <c r="A1217" s="2" t="s">
        <v>71</v>
      </c>
      <c r="B1217" s="2" t="s">
        <v>72</v>
      </c>
      <c r="C1217" s="2" t="s">
        <v>73</v>
      </c>
      <c r="D1217" s="2"/>
      <c r="E1217" s="2" t="str">
        <f>"FES1162568446"</f>
        <v>FES1162568446</v>
      </c>
      <c r="F1217" s="3">
        <v>42958</v>
      </c>
      <c r="G1217" s="2">
        <v>201802</v>
      </c>
      <c r="H1217" s="2" t="s">
        <v>74</v>
      </c>
      <c r="I1217" s="2" t="s">
        <v>75</v>
      </c>
      <c r="J1217" s="2" t="s">
        <v>76</v>
      </c>
      <c r="K1217" s="2" t="s">
        <v>77</v>
      </c>
      <c r="L1217" s="2" t="s">
        <v>105</v>
      </c>
      <c r="M1217" s="2" t="s">
        <v>106</v>
      </c>
      <c r="N1217" s="2" t="s">
        <v>397</v>
      </c>
      <c r="O1217" s="2" t="s">
        <v>100</v>
      </c>
      <c r="P1217" s="2" t="str">
        <f>"2170584552                    "</f>
        <v xml:space="preserve">2170584552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4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1</v>
      </c>
      <c r="BJ1217" s="2">
        <v>0.2</v>
      </c>
      <c r="BK1217" s="2">
        <v>1</v>
      </c>
      <c r="BL1217" s="2">
        <v>41.44</v>
      </c>
      <c r="BM1217" s="2">
        <v>5.8</v>
      </c>
      <c r="BN1217" s="2">
        <v>47.24</v>
      </c>
      <c r="BO1217" s="2">
        <v>47.24</v>
      </c>
      <c r="BP1217" s="2"/>
      <c r="BQ1217" s="2" t="s">
        <v>83</v>
      </c>
      <c r="BR1217" s="2" t="s">
        <v>84</v>
      </c>
      <c r="BS1217" s="3">
        <v>42961</v>
      </c>
      <c r="BT1217" s="4">
        <v>0.3666666666666667</v>
      </c>
      <c r="BU1217" s="2" t="s">
        <v>1942</v>
      </c>
      <c r="BV1217" s="2" t="s">
        <v>95</v>
      </c>
      <c r="BW1217" s="2"/>
      <c r="BX1217" s="2"/>
      <c r="BY1217" s="2">
        <v>1200</v>
      </c>
      <c r="BZ1217" s="2"/>
      <c r="CA1217" s="2" t="s">
        <v>856</v>
      </c>
      <c r="CB1217" s="2"/>
      <c r="CC1217" s="2" t="s">
        <v>106</v>
      </c>
      <c r="CD1217" s="2">
        <v>7405</v>
      </c>
      <c r="CE1217" s="2" t="s">
        <v>104</v>
      </c>
      <c r="CF1217" s="5">
        <v>42962</v>
      </c>
      <c r="CG1217" s="2"/>
      <c r="CH1217" s="2"/>
      <c r="CI1217" s="2">
        <v>1</v>
      </c>
      <c r="CJ1217" s="2">
        <v>1</v>
      </c>
      <c r="CK1217" s="2">
        <v>21</v>
      </c>
      <c r="CL1217" s="2" t="s">
        <v>86</v>
      </c>
      <c r="CM1217" s="2"/>
    </row>
    <row r="1218" spans="1:91">
      <c r="A1218" s="2" t="s">
        <v>71</v>
      </c>
      <c r="B1218" s="2" t="s">
        <v>72</v>
      </c>
      <c r="C1218" s="2" t="s">
        <v>73</v>
      </c>
      <c r="D1218" s="2"/>
      <c r="E1218" s="2" t="str">
        <f>"FES1162568445"</f>
        <v>FES1162568445</v>
      </c>
      <c r="F1218" s="3">
        <v>42958</v>
      </c>
      <c r="G1218" s="2">
        <v>201802</v>
      </c>
      <c r="H1218" s="2" t="s">
        <v>74</v>
      </c>
      <c r="I1218" s="2" t="s">
        <v>75</v>
      </c>
      <c r="J1218" s="2" t="s">
        <v>76</v>
      </c>
      <c r="K1218" s="2" t="s">
        <v>77</v>
      </c>
      <c r="L1218" s="2" t="s">
        <v>105</v>
      </c>
      <c r="M1218" s="2" t="s">
        <v>106</v>
      </c>
      <c r="N1218" s="2" t="s">
        <v>364</v>
      </c>
      <c r="O1218" s="2" t="s">
        <v>100</v>
      </c>
      <c r="P1218" s="2" t="str">
        <f>"2170584551                    "</f>
        <v xml:space="preserve">2170584551  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4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1</v>
      </c>
      <c r="BI1218" s="2">
        <v>1</v>
      </c>
      <c r="BJ1218" s="2">
        <v>0.2</v>
      </c>
      <c r="BK1218" s="2">
        <v>1</v>
      </c>
      <c r="BL1218" s="2">
        <v>41.44</v>
      </c>
      <c r="BM1218" s="2">
        <v>5.8</v>
      </c>
      <c r="BN1218" s="2">
        <v>47.24</v>
      </c>
      <c r="BO1218" s="2">
        <v>47.24</v>
      </c>
      <c r="BP1218" s="2"/>
      <c r="BQ1218" s="2" t="s">
        <v>83</v>
      </c>
      <c r="BR1218" s="2" t="s">
        <v>84</v>
      </c>
      <c r="BS1218" s="3">
        <v>42961</v>
      </c>
      <c r="BT1218" s="4">
        <v>0.4236111111111111</v>
      </c>
      <c r="BU1218" s="2" t="s">
        <v>1943</v>
      </c>
      <c r="BV1218" s="2" t="s">
        <v>95</v>
      </c>
      <c r="BW1218" s="2"/>
      <c r="BX1218" s="2"/>
      <c r="BY1218" s="2">
        <v>1200</v>
      </c>
      <c r="BZ1218" s="2"/>
      <c r="CA1218" s="2" t="s">
        <v>148</v>
      </c>
      <c r="CB1218" s="2"/>
      <c r="CC1218" s="2" t="s">
        <v>106</v>
      </c>
      <c r="CD1218" s="2">
        <v>7560</v>
      </c>
      <c r="CE1218" s="2" t="s">
        <v>104</v>
      </c>
      <c r="CF1218" s="5">
        <v>42962</v>
      </c>
      <c r="CG1218" s="2"/>
      <c r="CH1218" s="2"/>
      <c r="CI1218" s="2">
        <v>1</v>
      </c>
      <c r="CJ1218" s="2">
        <v>1</v>
      </c>
      <c r="CK1218" s="2">
        <v>21</v>
      </c>
      <c r="CL1218" s="2" t="s">
        <v>86</v>
      </c>
      <c r="CM1218" s="2"/>
    </row>
    <row r="1219" spans="1:91">
      <c r="A1219" s="2" t="s">
        <v>71</v>
      </c>
      <c r="B1219" s="2" t="s">
        <v>72</v>
      </c>
      <c r="C1219" s="2" t="s">
        <v>73</v>
      </c>
      <c r="D1219" s="2"/>
      <c r="E1219" s="2" t="str">
        <f>"FES1162568430"</f>
        <v>FES1162568430</v>
      </c>
      <c r="F1219" s="3">
        <v>42958</v>
      </c>
      <c r="G1219" s="2">
        <v>201802</v>
      </c>
      <c r="H1219" s="2" t="s">
        <v>74</v>
      </c>
      <c r="I1219" s="2" t="s">
        <v>75</v>
      </c>
      <c r="J1219" s="2" t="s">
        <v>76</v>
      </c>
      <c r="K1219" s="2" t="s">
        <v>77</v>
      </c>
      <c r="L1219" s="2" t="s">
        <v>362</v>
      </c>
      <c r="M1219" s="2" t="s">
        <v>363</v>
      </c>
      <c r="N1219" s="2" t="s">
        <v>1944</v>
      </c>
      <c r="O1219" s="2" t="s">
        <v>100</v>
      </c>
      <c r="P1219" s="2" t="str">
        <f>"2170584529                    "</f>
        <v xml:space="preserve">2170584529  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4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1</v>
      </c>
      <c r="BJ1219" s="2">
        <v>0.2</v>
      </c>
      <c r="BK1219" s="2">
        <v>1</v>
      </c>
      <c r="BL1219" s="2">
        <v>41.44</v>
      </c>
      <c r="BM1219" s="2">
        <v>5.8</v>
      </c>
      <c r="BN1219" s="2">
        <v>47.24</v>
      </c>
      <c r="BO1219" s="2">
        <v>47.24</v>
      </c>
      <c r="BP1219" s="2"/>
      <c r="BQ1219" s="2" t="s">
        <v>288</v>
      </c>
      <c r="BR1219" s="2" t="s">
        <v>84</v>
      </c>
      <c r="BS1219" s="3">
        <v>42961</v>
      </c>
      <c r="BT1219" s="4">
        <v>0.41319444444444442</v>
      </c>
      <c r="BU1219" s="2" t="s">
        <v>1945</v>
      </c>
      <c r="BV1219" s="2" t="s">
        <v>95</v>
      </c>
      <c r="BW1219" s="2"/>
      <c r="BX1219" s="2"/>
      <c r="BY1219" s="2">
        <v>1200</v>
      </c>
      <c r="BZ1219" s="2"/>
      <c r="CA1219" s="2" t="s">
        <v>379</v>
      </c>
      <c r="CB1219" s="2"/>
      <c r="CC1219" s="2" t="s">
        <v>363</v>
      </c>
      <c r="CD1219" s="2">
        <v>3201</v>
      </c>
      <c r="CE1219" s="2" t="s">
        <v>104</v>
      </c>
      <c r="CF1219" s="5">
        <v>42962</v>
      </c>
      <c r="CG1219" s="2"/>
      <c r="CH1219" s="2"/>
      <c r="CI1219" s="2">
        <v>1</v>
      </c>
      <c r="CJ1219" s="2">
        <v>1</v>
      </c>
      <c r="CK1219" s="2">
        <v>21</v>
      </c>
      <c r="CL1219" s="2" t="s">
        <v>86</v>
      </c>
      <c r="CM1219" s="2"/>
    </row>
    <row r="1220" spans="1:91">
      <c r="A1220" s="2" t="s">
        <v>71</v>
      </c>
      <c r="B1220" s="2" t="s">
        <v>72</v>
      </c>
      <c r="C1220" s="2" t="s">
        <v>73</v>
      </c>
      <c r="D1220" s="2"/>
      <c r="E1220" s="2" t="str">
        <f>"FES1162568424"</f>
        <v>FES1162568424</v>
      </c>
      <c r="F1220" s="3">
        <v>42958</v>
      </c>
      <c r="G1220" s="2">
        <v>201802</v>
      </c>
      <c r="H1220" s="2" t="s">
        <v>74</v>
      </c>
      <c r="I1220" s="2" t="s">
        <v>75</v>
      </c>
      <c r="J1220" s="2" t="s">
        <v>76</v>
      </c>
      <c r="K1220" s="2" t="s">
        <v>77</v>
      </c>
      <c r="L1220" s="2" t="s">
        <v>237</v>
      </c>
      <c r="M1220" s="2" t="s">
        <v>238</v>
      </c>
      <c r="N1220" s="2" t="s">
        <v>1766</v>
      </c>
      <c r="O1220" s="2" t="s">
        <v>100</v>
      </c>
      <c r="P1220" s="2" t="str">
        <f>"2170584521                    "</f>
        <v xml:space="preserve">2170584521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4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1</v>
      </c>
      <c r="BI1220" s="2">
        <v>1</v>
      </c>
      <c r="BJ1220" s="2">
        <v>0.2</v>
      </c>
      <c r="BK1220" s="2">
        <v>1</v>
      </c>
      <c r="BL1220" s="2">
        <v>41.44</v>
      </c>
      <c r="BM1220" s="2">
        <v>5.8</v>
      </c>
      <c r="BN1220" s="2">
        <v>47.24</v>
      </c>
      <c r="BO1220" s="2">
        <v>47.24</v>
      </c>
      <c r="BP1220" s="2"/>
      <c r="BQ1220" s="2" t="s">
        <v>108</v>
      </c>
      <c r="BR1220" s="2" t="s">
        <v>84</v>
      </c>
      <c r="BS1220" s="3">
        <v>42961</v>
      </c>
      <c r="BT1220" s="4">
        <v>0.4152777777777778</v>
      </c>
      <c r="BU1220" s="2" t="s">
        <v>428</v>
      </c>
      <c r="BV1220" s="2" t="s">
        <v>95</v>
      </c>
      <c r="BW1220" s="2"/>
      <c r="BX1220" s="2"/>
      <c r="BY1220" s="2">
        <v>1200</v>
      </c>
      <c r="BZ1220" s="2"/>
      <c r="CA1220" s="2" t="s">
        <v>401</v>
      </c>
      <c r="CB1220" s="2"/>
      <c r="CC1220" s="2" t="s">
        <v>238</v>
      </c>
      <c r="CD1220" s="2">
        <v>3620</v>
      </c>
      <c r="CE1220" s="2" t="s">
        <v>104</v>
      </c>
      <c r="CF1220" s="5">
        <v>42962</v>
      </c>
      <c r="CG1220" s="2"/>
      <c r="CH1220" s="2"/>
      <c r="CI1220" s="2">
        <v>1</v>
      </c>
      <c r="CJ1220" s="2">
        <v>1</v>
      </c>
      <c r="CK1220" s="2">
        <v>21</v>
      </c>
      <c r="CL1220" s="2" t="s">
        <v>86</v>
      </c>
      <c r="CM1220" s="2"/>
    </row>
    <row r="1221" spans="1:91">
      <c r="A1221" s="2" t="s">
        <v>71</v>
      </c>
      <c r="B1221" s="2" t="s">
        <v>72</v>
      </c>
      <c r="C1221" s="2" t="s">
        <v>73</v>
      </c>
      <c r="D1221" s="2"/>
      <c r="E1221" s="2" t="str">
        <f>"FES1162568427"</f>
        <v>FES1162568427</v>
      </c>
      <c r="F1221" s="3">
        <v>42958</v>
      </c>
      <c r="G1221" s="2">
        <v>201802</v>
      </c>
      <c r="H1221" s="2" t="s">
        <v>74</v>
      </c>
      <c r="I1221" s="2" t="s">
        <v>75</v>
      </c>
      <c r="J1221" s="2" t="s">
        <v>76</v>
      </c>
      <c r="K1221" s="2" t="s">
        <v>77</v>
      </c>
      <c r="L1221" s="2" t="s">
        <v>343</v>
      </c>
      <c r="M1221" s="2" t="s">
        <v>344</v>
      </c>
      <c r="N1221" s="2" t="s">
        <v>1225</v>
      </c>
      <c r="O1221" s="2" t="s">
        <v>100</v>
      </c>
      <c r="P1221" s="2" t="str">
        <f>"2170584530                    "</f>
        <v xml:space="preserve">2170584530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4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1</v>
      </c>
      <c r="BJ1221" s="2">
        <v>0.2</v>
      </c>
      <c r="BK1221" s="2">
        <v>1</v>
      </c>
      <c r="BL1221" s="2">
        <v>41.44</v>
      </c>
      <c r="BM1221" s="2">
        <v>5.8</v>
      </c>
      <c r="BN1221" s="2">
        <v>47.24</v>
      </c>
      <c r="BO1221" s="2">
        <v>47.24</v>
      </c>
      <c r="BP1221" s="2"/>
      <c r="BQ1221" s="2" t="s">
        <v>288</v>
      </c>
      <c r="BR1221" s="2" t="s">
        <v>84</v>
      </c>
      <c r="BS1221" s="3">
        <v>42961</v>
      </c>
      <c r="BT1221" s="4">
        <v>0.4375</v>
      </c>
      <c r="BU1221" s="2" t="s">
        <v>1946</v>
      </c>
      <c r="BV1221" s="2" t="s">
        <v>95</v>
      </c>
      <c r="BW1221" s="2"/>
      <c r="BX1221" s="2"/>
      <c r="BY1221" s="2">
        <v>1200</v>
      </c>
      <c r="BZ1221" s="2"/>
      <c r="CA1221" s="2" t="s">
        <v>347</v>
      </c>
      <c r="CB1221" s="2"/>
      <c r="CC1221" s="2" t="s">
        <v>344</v>
      </c>
      <c r="CD1221" s="2">
        <v>4133</v>
      </c>
      <c r="CE1221" s="2" t="s">
        <v>104</v>
      </c>
      <c r="CF1221" s="5">
        <v>42962</v>
      </c>
      <c r="CG1221" s="2"/>
      <c r="CH1221" s="2"/>
      <c r="CI1221" s="2">
        <v>1</v>
      </c>
      <c r="CJ1221" s="2">
        <v>1</v>
      </c>
      <c r="CK1221" s="2">
        <v>21</v>
      </c>
      <c r="CL1221" s="2" t="s">
        <v>86</v>
      </c>
      <c r="CM1221" s="2"/>
    </row>
    <row r="1222" spans="1:91">
      <c r="A1222" s="2" t="s">
        <v>71</v>
      </c>
      <c r="B1222" s="2" t="s">
        <v>72</v>
      </c>
      <c r="C1222" s="2" t="s">
        <v>73</v>
      </c>
      <c r="D1222" s="2"/>
      <c r="E1222" s="2" t="str">
        <f>"FES1162568384"</f>
        <v>FES1162568384</v>
      </c>
      <c r="F1222" s="3">
        <v>42958</v>
      </c>
      <c r="G1222" s="2">
        <v>201802</v>
      </c>
      <c r="H1222" s="2" t="s">
        <v>74</v>
      </c>
      <c r="I1222" s="2" t="s">
        <v>75</v>
      </c>
      <c r="J1222" s="2" t="s">
        <v>76</v>
      </c>
      <c r="K1222" s="2" t="s">
        <v>77</v>
      </c>
      <c r="L1222" s="2" t="s">
        <v>149</v>
      </c>
      <c r="M1222" s="2" t="s">
        <v>150</v>
      </c>
      <c r="N1222" s="2" t="s">
        <v>1947</v>
      </c>
      <c r="O1222" s="2" t="s">
        <v>100</v>
      </c>
      <c r="P1222" s="2" t="str">
        <f>"2170584476                    "</f>
        <v xml:space="preserve">2170584476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4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1</v>
      </c>
      <c r="BI1222" s="2">
        <v>1</v>
      </c>
      <c r="BJ1222" s="2">
        <v>0.2</v>
      </c>
      <c r="BK1222" s="2">
        <v>1</v>
      </c>
      <c r="BL1222" s="2">
        <v>41.44</v>
      </c>
      <c r="BM1222" s="2">
        <v>5.8</v>
      </c>
      <c r="BN1222" s="2">
        <v>47.24</v>
      </c>
      <c r="BO1222" s="2">
        <v>47.24</v>
      </c>
      <c r="BP1222" s="2"/>
      <c r="BQ1222" s="2" t="s">
        <v>83</v>
      </c>
      <c r="BR1222" s="2" t="s">
        <v>84</v>
      </c>
      <c r="BS1222" s="3">
        <v>42961</v>
      </c>
      <c r="BT1222" s="4">
        <v>0.33402777777777781</v>
      </c>
      <c r="BU1222" s="2" t="s">
        <v>1948</v>
      </c>
      <c r="BV1222" s="2" t="s">
        <v>95</v>
      </c>
      <c r="BW1222" s="2"/>
      <c r="BX1222" s="2"/>
      <c r="BY1222" s="2">
        <v>1200</v>
      </c>
      <c r="BZ1222" s="2"/>
      <c r="CA1222" s="2" t="s">
        <v>1949</v>
      </c>
      <c r="CB1222" s="2"/>
      <c r="CC1222" s="2" t="s">
        <v>150</v>
      </c>
      <c r="CD1222" s="2">
        <v>4064</v>
      </c>
      <c r="CE1222" s="2" t="s">
        <v>104</v>
      </c>
      <c r="CF1222" s="5">
        <v>42962</v>
      </c>
      <c r="CG1222" s="2"/>
      <c r="CH1222" s="2"/>
      <c r="CI1222" s="2">
        <v>1</v>
      </c>
      <c r="CJ1222" s="2">
        <v>1</v>
      </c>
      <c r="CK1222" s="2">
        <v>21</v>
      </c>
      <c r="CL1222" s="2" t="s">
        <v>86</v>
      </c>
      <c r="CM1222" s="2"/>
    </row>
    <row r="1223" spans="1:91">
      <c r="A1223" s="2" t="s">
        <v>71</v>
      </c>
      <c r="B1223" s="2" t="s">
        <v>72</v>
      </c>
      <c r="C1223" s="2" t="s">
        <v>73</v>
      </c>
      <c r="D1223" s="2"/>
      <c r="E1223" s="2" t="str">
        <f>"FES1162568403"</f>
        <v>FES1162568403</v>
      </c>
      <c r="F1223" s="3">
        <v>42958</v>
      </c>
      <c r="G1223" s="2">
        <v>201802</v>
      </c>
      <c r="H1223" s="2" t="s">
        <v>74</v>
      </c>
      <c r="I1223" s="2" t="s">
        <v>75</v>
      </c>
      <c r="J1223" s="2" t="s">
        <v>76</v>
      </c>
      <c r="K1223" s="2" t="s">
        <v>77</v>
      </c>
      <c r="L1223" s="2" t="s">
        <v>353</v>
      </c>
      <c r="M1223" s="2" t="s">
        <v>354</v>
      </c>
      <c r="N1223" s="2" t="s">
        <v>686</v>
      </c>
      <c r="O1223" s="2" t="s">
        <v>100</v>
      </c>
      <c r="P1223" s="2" t="str">
        <f>"217058403                     "</f>
        <v xml:space="preserve">217058403 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4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1</v>
      </c>
      <c r="BJ1223" s="2">
        <v>0.2</v>
      </c>
      <c r="BK1223" s="2">
        <v>1</v>
      </c>
      <c r="BL1223" s="2">
        <v>41.44</v>
      </c>
      <c r="BM1223" s="2">
        <v>5.8</v>
      </c>
      <c r="BN1223" s="2">
        <v>47.24</v>
      </c>
      <c r="BO1223" s="2">
        <v>47.24</v>
      </c>
      <c r="BP1223" s="2"/>
      <c r="BQ1223" s="2" t="s">
        <v>108</v>
      </c>
      <c r="BR1223" s="2" t="s">
        <v>84</v>
      </c>
      <c r="BS1223" s="3">
        <v>42961</v>
      </c>
      <c r="BT1223" s="4">
        <v>0.42638888888888887</v>
      </c>
      <c r="BU1223" s="2" t="s">
        <v>681</v>
      </c>
      <c r="BV1223" s="2" t="s">
        <v>95</v>
      </c>
      <c r="BW1223" s="2"/>
      <c r="BX1223" s="2"/>
      <c r="BY1223" s="2">
        <v>1200</v>
      </c>
      <c r="BZ1223" s="2"/>
      <c r="CA1223" s="2" t="s">
        <v>668</v>
      </c>
      <c r="CB1223" s="2"/>
      <c r="CC1223" s="2" t="s">
        <v>354</v>
      </c>
      <c r="CD1223" s="2">
        <v>3699</v>
      </c>
      <c r="CE1223" s="2" t="s">
        <v>104</v>
      </c>
      <c r="CF1223" s="5">
        <v>42962</v>
      </c>
      <c r="CG1223" s="2"/>
      <c r="CH1223" s="2"/>
      <c r="CI1223" s="2">
        <v>1</v>
      </c>
      <c r="CJ1223" s="2">
        <v>1</v>
      </c>
      <c r="CK1223" s="2">
        <v>21</v>
      </c>
      <c r="CL1223" s="2" t="s">
        <v>86</v>
      </c>
      <c r="CM1223" s="2"/>
    </row>
    <row r="1224" spans="1:91">
      <c r="A1224" s="2" t="s">
        <v>71</v>
      </c>
      <c r="B1224" s="2" t="s">
        <v>72</v>
      </c>
      <c r="C1224" s="2" t="s">
        <v>73</v>
      </c>
      <c r="D1224" s="2"/>
      <c r="E1224" s="2" t="str">
        <f>"FES1162568447"</f>
        <v>FES1162568447</v>
      </c>
      <c r="F1224" s="3">
        <v>42958</v>
      </c>
      <c r="G1224" s="2">
        <v>201802</v>
      </c>
      <c r="H1224" s="2" t="s">
        <v>74</v>
      </c>
      <c r="I1224" s="2" t="s">
        <v>75</v>
      </c>
      <c r="J1224" s="2" t="s">
        <v>76</v>
      </c>
      <c r="K1224" s="2" t="s">
        <v>77</v>
      </c>
      <c r="L1224" s="2" t="s">
        <v>105</v>
      </c>
      <c r="M1224" s="2" t="s">
        <v>106</v>
      </c>
      <c r="N1224" s="2" t="s">
        <v>364</v>
      </c>
      <c r="O1224" s="2" t="s">
        <v>100</v>
      </c>
      <c r="P1224" s="2" t="str">
        <f>"2170584553                    "</f>
        <v xml:space="preserve">2170584553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4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1</v>
      </c>
      <c r="BJ1224" s="2">
        <v>0.2</v>
      </c>
      <c r="BK1224" s="2">
        <v>1</v>
      </c>
      <c r="BL1224" s="2">
        <v>41.44</v>
      </c>
      <c r="BM1224" s="2">
        <v>5.8</v>
      </c>
      <c r="BN1224" s="2">
        <v>47.24</v>
      </c>
      <c r="BO1224" s="2">
        <v>47.24</v>
      </c>
      <c r="BP1224" s="2"/>
      <c r="BQ1224" s="2" t="s">
        <v>83</v>
      </c>
      <c r="BR1224" s="2" t="s">
        <v>84</v>
      </c>
      <c r="BS1224" s="3">
        <v>42961</v>
      </c>
      <c r="BT1224" s="4">
        <v>0.4236111111111111</v>
      </c>
      <c r="BU1224" s="2" t="s">
        <v>1943</v>
      </c>
      <c r="BV1224" s="2" t="s">
        <v>95</v>
      </c>
      <c r="BW1224" s="2"/>
      <c r="BX1224" s="2"/>
      <c r="BY1224" s="2">
        <v>1200</v>
      </c>
      <c r="BZ1224" s="2"/>
      <c r="CA1224" s="2" t="s">
        <v>148</v>
      </c>
      <c r="CB1224" s="2"/>
      <c r="CC1224" s="2" t="s">
        <v>106</v>
      </c>
      <c r="CD1224" s="2">
        <v>7560</v>
      </c>
      <c r="CE1224" s="2" t="s">
        <v>104</v>
      </c>
      <c r="CF1224" s="5">
        <v>42962</v>
      </c>
      <c r="CG1224" s="2"/>
      <c r="CH1224" s="2"/>
      <c r="CI1224" s="2">
        <v>1</v>
      </c>
      <c r="CJ1224" s="2">
        <v>1</v>
      </c>
      <c r="CK1224" s="2">
        <v>21</v>
      </c>
      <c r="CL1224" s="2" t="s">
        <v>86</v>
      </c>
      <c r="CM1224" s="2"/>
    </row>
    <row r="1225" spans="1:91">
      <c r="A1225" s="2" t="s">
        <v>71</v>
      </c>
      <c r="B1225" s="2" t="s">
        <v>72</v>
      </c>
      <c r="C1225" s="2" t="s">
        <v>73</v>
      </c>
      <c r="D1225" s="2"/>
      <c r="E1225" s="2" t="str">
        <f>"FES1162568252"</f>
        <v>FES1162568252</v>
      </c>
      <c r="F1225" s="3">
        <v>42958</v>
      </c>
      <c r="G1225" s="2">
        <v>201802</v>
      </c>
      <c r="H1225" s="2" t="s">
        <v>74</v>
      </c>
      <c r="I1225" s="2" t="s">
        <v>75</v>
      </c>
      <c r="J1225" s="2" t="s">
        <v>76</v>
      </c>
      <c r="K1225" s="2" t="s">
        <v>77</v>
      </c>
      <c r="L1225" s="2" t="s">
        <v>144</v>
      </c>
      <c r="M1225" s="2" t="s">
        <v>145</v>
      </c>
      <c r="N1225" s="2" t="s">
        <v>1950</v>
      </c>
      <c r="O1225" s="2" t="s">
        <v>100</v>
      </c>
      <c r="P1225" s="2" t="str">
        <f>"2170583935                    "</f>
        <v xml:space="preserve">2170583935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3.13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1</v>
      </c>
      <c r="BJ1225" s="2">
        <v>0.2</v>
      </c>
      <c r="BK1225" s="2">
        <v>1</v>
      </c>
      <c r="BL1225" s="2">
        <v>32.380000000000003</v>
      </c>
      <c r="BM1225" s="2">
        <v>4.53</v>
      </c>
      <c r="BN1225" s="2">
        <v>36.909999999999997</v>
      </c>
      <c r="BO1225" s="2">
        <v>36.909999999999997</v>
      </c>
      <c r="BP1225" s="2"/>
      <c r="BQ1225" s="2" t="s">
        <v>83</v>
      </c>
      <c r="BR1225" s="2" t="s">
        <v>84</v>
      </c>
      <c r="BS1225" s="3">
        <v>42961</v>
      </c>
      <c r="BT1225" s="4">
        <v>0.44097222222222227</v>
      </c>
      <c r="BU1225" s="2" t="s">
        <v>1951</v>
      </c>
      <c r="BV1225" s="2" t="s">
        <v>95</v>
      </c>
      <c r="BW1225" s="2"/>
      <c r="BX1225" s="2"/>
      <c r="BY1225" s="2">
        <v>1200</v>
      </c>
      <c r="BZ1225" s="2"/>
      <c r="CA1225" s="2" t="s">
        <v>1952</v>
      </c>
      <c r="CB1225" s="2"/>
      <c r="CC1225" s="2" t="s">
        <v>145</v>
      </c>
      <c r="CD1225" s="2">
        <v>2090</v>
      </c>
      <c r="CE1225" s="2" t="s">
        <v>104</v>
      </c>
      <c r="CF1225" s="5">
        <v>42962</v>
      </c>
      <c r="CG1225" s="2"/>
      <c r="CH1225" s="2"/>
      <c r="CI1225" s="2">
        <v>1</v>
      </c>
      <c r="CJ1225" s="2">
        <v>1</v>
      </c>
      <c r="CK1225" s="2">
        <v>22</v>
      </c>
      <c r="CL1225" s="2" t="s">
        <v>86</v>
      </c>
      <c r="CM1225" s="2"/>
    </row>
    <row r="1226" spans="1:91">
      <c r="A1226" s="2" t="s">
        <v>71</v>
      </c>
      <c r="B1226" s="2" t="s">
        <v>72</v>
      </c>
      <c r="C1226" s="2" t="s">
        <v>73</v>
      </c>
      <c r="D1226" s="2"/>
      <c r="E1226" s="2" t="str">
        <f>"FES1162568275"</f>
        <v>FES1162568275</v>
      </c>
      <c r="F1226" s="3">
        <v>42958</v>
      </c>
      <c r="G1226" s="2">
        <v>201802</v>
      </c>
      <c r="H1226" s="2" t="s">
        <v>74</v>
      </c>
      <c r="I1226" s="2" t="s">
        <v>75</v>
      </c>
      <c r="J1226" s="2" t="s">
        <v>76</v>
      </c>
      <c r="K1226" s="2" t="s">
        <v>77</v>
      </c>
      <c r="L1226" s="2" t="s">
        <v>144</v>
      </c>
      <c r="M1226" s="2" t="s">
        <v>145</v>
      </c>
      <c r="N1226" s="2" t="s">
        <v>146</v>
      </c>
      <c r="O1226" s="2" t="s">
        <v>100</v>
      </c>
      <c r="P1226" s="2" t="str">
        <f>"2170583606                    "</f>
        <v xml:space="preserve">2170583606 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3.13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1</v>
      </c>
      <c r="BJ1226" s="2">
        <v>0.2</v>
      </c>
      <c r="BK1226" s="2">
        <v>1</v>
      </c>
      <c r="BL1226" s="2">
        <v>32.380000000000003</v>
      </c>
      <c r="BM1226" s="2">
        <v>4.53</v>
      </c>
      <c r="BN1226" s="2">
        <v>36.909999999999997</v>
      </c>
      <c r="BO1226" s="2">
        <v>36.909999999999997</v>
      </c>
      <c r="BP1226" s="2"/>
      <c r="BQ1226" s="2" t="s">
        <v>83</v>
      </c>
      <c r="BR1226" s="2" t="s">
        <v>84</v>
      </c>
      <c r="BS1226" s="3">
        <v>42961</v>
      </c>
      <c r="BT1226" s="4">
        <v>0.38541666666666669</v>
      </c>
      <c r="BU1226" s="2" t="s">
        <v>1893</v>
      </c>
      <c r="BV1226" s="2" t="s">
        <v>95</v>
      </c>
      <c r="BW1226" s="2"/>
      <c r="BX1226" s="2"/>
      <c r="BY1226" s="2">
        <v>1200</v>
      </c>
      <c r="BZ1226" s="2"/>
      <c r="CA1226" s="2" t="s">
        <v>274</v>
      </c>
      <c r="CB1226" s="2"/>
      <c r="CC1226" s="2" t="s">
        <v>145</v>
      </c>
      <c r="CD1226" s="2">
        <v>2094</v>
      </c>
      <c r="CE1226" s="2" t="s">
        <v>104</v>
      </c>
      <c r="CF1226" s="5">
        <v>42962</v>
      </c>
      <c r="CG1226" s="2"/>
      <c r="CH1226" s="2"/>
      <c r="CI1226" s="2">
        <v>1</v>
      </c>
      <c r="CJ1226" s="2">
        <v>1</v>
      </c>
      <c r="CK1226" s="2">
        <v>22</v>
      </c>
      <c r="CL1226" s="2" t="s">
        <v>86</v>
      </c>
      <c r="CM1226" s="2"/>
    </row>
    <row r="1227" spans="1:91">
      <c r="A1227" s="2" t="s">
        <v>71</v>
      </c>
      <c r="B1227" s="2" t="s">
        <v>72</v>
      </c>
      <c r="C1227" s="2" t="s">
        <v>73</v>
      </c>
      <c r="D1227" s="2"/>
      <c r="E1227" s="2" t="str">
        <f>"FES1162258405"</f>
        <v>FES1162258405</v>
      </c>
      <c r="F1227" s="3">
        <v>42958</v>
      </c>
      <c r="G1227" s="2">
        <v>201802</v>
      </c>
      <c r="H1227" s="2" t="s">
        <v>74</v>
      </c>
      <c r="I1227" s="2" t="s">
        <v>75</v>
      </c>
      <c r="J1227" s="2" t="s">
        <v>76</v>
      </c>
      <c r="K1227" s="2" t="s">
        <v>77</v>
      </c>
      <c r="L1227" s="2" t="s">
        <v>144</v>
      </c>
      <c r="M1227" s="2" t="s">
        <v>145</v>
      </c>
      <c r="N1227" s="2" t="s">
        <v>1953</v>
      </c>
      <c r="O1227" s="2" t="s">
        <v>100</v>
      </c>
      <c r="P1227" s="2" t="str">
        <f>"2170584502                    "</f>
        <v xml:space="preserve">2170584502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3.13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1</v>
      </c>
      <c r="BJ1227" s="2">
        <v>0.2</v>
      </c>
      <c r="BK1227" s="2">
        <v>1</v>
      </c>
      <c r="BL1227" s="2">
        <v>32.380000000000003</v>
      </c>
      <c r="BM1227" s="2">
        <v>4.53</v>
      </c>
      <c r="BN1227" s="2">
        <v>36.909999999999997</v>
      </c>
      <c r="BO1227" s="2">
        <v>36.909999999999997</v>
      </c>
      <c r="BP1227" s="2"/>
      <c r="BQ1227" s="2" t="s">
        <v>83</v>
      </c>
      <c r="BR1227" s="2" t="s">
        <v>84</v>
      </c>
      <c r="BS1227" s="3">
        <v>42961</v>
      </c>
      <c r="BT1227" s="4">
        <v>0.4291666666666667</v>
      </c>
      <c r="BU1227" s="2" t="s">
        <v>1360</v>
      </c>
      <c r="BV1227" s="2" t="s">
        <v>95</v>
      </c>
      <c r="BW1227" s="2"/>
      <c r="BX1227" s="2"/>
      <c r="BY1227" s="2">
        <v>1200</v>
      </c>
      <c r="BZ1227" s="2"/>
      <c r="CA1227" s="2" t="s">
        <v>722</v>
      </c>
      <c r="CB1227" s="2"/>
      <c r="CC1227" s="2" t="s">
        <v>145</v>
      </c>
      <c r="CD1227" s="2">
        <v>2040</v>
      </c>
      <c r="CE1227" s="2" t="s">
        <v>104</v>
      </c>
      <c r="CF1227" s="5">
        <v>42975</v>
      </c>
      <c r="CG1227" s="2"/>
      <c r="CH1227" s="2"/>
      <c r="CI1227" s="2">
        <v>1</v>
      </c>
      <c r="CJ1227" s="2">
        <v>1</v>
      </c>
      <c r="CK1227" s="2">
        <v>22</v>
      </c>
      <c r="CL1227" s="2" t="s">
        <v>86</v>
      </c>
      <c r="CM1227" s="2"/>
    </row>
    <row r="1228" spans="1:91">
      <c r="A1228" s="2" t="s">
        <v>71</v>
      </c>
      <c r="B1228" s="2" t="s">
        <v>72</v>
      </c>
      <c r="C1228" s="2" t="s">
        <v>73</v>
      </c>
      <c r="D1228" s="2"/>
      <c r="E1228" s="2" t="str">
        <f>"FES1162568432"</f>
        <v>FES1162568432</v>
      </c>
      <c r="F1228" s="3">
        <v>42958</v>
      </c>
      <c r="G1228" s="2">
        <v>201802</v>
      </c>
      <c r="H1228" s="2" t="s">
        <v>74</v>
      </c>
      <c r="I1228" s="2" t="s">
        <v>75</v>
      </c>
      <c r="J1228" s="2" t="s">
        <v>76</v>
      </c>
      <c r="K1228" s="2" t="s">
        <v>77</v>
      </c>
      <c r="L1228" s="2" t="s">
        <v>74</v>
      </c>
      <c r="M1228" s="2" t="s">
        <v>75</v>
      </c>
      <c r="N1228" s="2" t="s">
        <v>1843</v>
      </c>
      <c r="O1228" s="2" t="s">
        <v>100</v>
      </c>
      <c r="P1228" s="2" t="str">
        <f>"2170584532                    "</f>
        <v xml:space="preserve">2170584532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3.13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1</v>
      </c>
      <c r="BI1228" s="2">
        <v>3</v>
      </c>
      <c r="BJ1228" s="2">
        <v>2.9</v>
      </c>
      <c r="BK1228" s="2">
        <v>3</v>
      </c>
      <c r="BL1228" s="2">
        <v>32.380000000000003</v>
      </c>
      <c r="BM1228" s="2">
        <v>4.53</v>
      </c>
      <c r="BN1228" s="2">
        <v>36.909999999999997</v>
      </c>
      <c r="BO1228" s="2">
        <v>36.909999999999997</v>
      </c>
      <c r="BP1228" s="2"/>
      <c r="BQ1228" s="2" t="s">
        <v>108</v>
      </c>
      <c r="BR1228" s="2" t="s">
        <v>84</v>
      </c>
      <c r="BS1228" s="3">
        <v>42961</v>
      </c>
      <c r="BT1228" s="4">
        <v>0.41666666666666669</v>
      </c>
      <c r="BU1228" s="2" t="s">
        <v>1954</v>
      </c>
      <c r="BV1228" s="2" t="s">
        <v>95</v>
      </c>
      <c r="BW1228" s="2"/>
      <c r="BX1228" s="2"/>
      <c r="BY1228" s="2">
        <v>14400</v>
      </c>
      <c r="BZ1228" s="2"/>
      <c r="CA1228" s="2"/>
      <c r="CB1228" s="2"/>
      <c r="CC1228" s="2" t="s">
        <v>75</v>
      </c>
      <c r="CD1228" s="2">
        <v>1600</v>
      </c>
      <c r="CE1228" s="2" t="s">
        <v>89</v>
      </c>
      <c r="CF1228" s="5">
        <v>42963</v>
      </c>
      <c r="CG1228" s="2"/>
      <c r="CH1228" s="2"/>
      <c r="CI1228" s="2">
        <v>1</v>
      </c>
      <c r="CJ1228" s="2">
        <v>0</v>
      </c>
      <c r="CK1228" s="2">
        <v>22</v>
      </c>
      <c r="CL1228" s="2" t="s">
        <v>86</v>
      </c>
      <c r="CM1228" s="2"/>
    </row>
    <row r="1229" spans="1:91">
      <c r="A1229" s="2" t="s">
        <v>71</v>
      </c>
      <c r="B1229" s="2" t="s">
        <v>72</v>
      </c>
      <c r="C1229" s="2" t="s">
        <v>73</v>
      </c>
      <c r="D1229" s="2"/>
      <c r="E1229" s="2" t="str">
        <f>"FES1162568111"</f>
        <v>FES1162568111</v>
      </c>
      <c r="F1229" s="3">
        <v>42958</v>
      </c>
      <c r="G1229" s="2">
        <v>201802</v>
      </c>
      <c r="H1229" s="2" t="s">
        <v>74</v>
      </c>
      <c r="I1229" s="2" t="s">
        <v>75</v>
      </c>
      <c r="J1229" s="2" t="s">
        <v>76</v>
      </c>
      <c r="K1229" s="2" t="s">
        <v>77</v>
      </c>
      <c r="L1229" s="2" t="s">
        <v>470</v>
      </c>
      <c r="M1229" s="2" t="s">
        <v>471</v>
      </c>
      <c r="N1229" s="2" t="s">
        <v>965</v>
      </c>
      <c r="O1229" s="2" t="s">
        <v>100</v>
      </c>
      <c r="P1229" s="2" t="str">
        <f>"2170582869                    "</f>
        <v xml:space="preserve">2170582869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6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3</v>
      </c>
      <c r="BJ1229" s="2">
        <v>1.7</v>
      </c>
      <c r="BK1229" s="2">
        <v>3</v>
      </c>
      <c r="BL1229" s="2">
        <v>62.16</v>
      </c>
      <c r="BM1229" s="2">
        <v>8.6999999999999993</v>
      </c>
      <c r="BN1229" s="2">
        <v>70.86</v>
      </c>
      <c r="BO1229" s="2">
        <v>70.86</v>
      </c>
      <c r="BP1229" s="2"/>
      <c r="BQ1229" s="2" t="s">
        <v>83</v>
      </c>
      <c r="BR1229" s="2" t="s">
        <v>84</v>
      </c>
      <c r="BS1229" s="3">
        <v>42961</v>
      </c>
      <c r="BT1229" s="4">
        <v>0.38750000000000001</v>
      </c>
      <c r="BU1229" s="2" t="s">
        <v>966</v>
      </c>
      <c r="BV1229" s="2" t="s">
        <v>95</v>
      </c>
      <c r="BW1229" s="2"/>
      <c r="BX1229" s="2"/>
      <c r="BY1229" s="2">
        <v>8496</v>
      </c>
      <c r="BZ1229" s="2"/>
      <c r="CA1229" s="2" t="s">
        <v>703</v>
      </c>
      <c r="CB1229" s="2"/>
      <c r="CC1229" s="2" t="s">
        <v>471</v>
      </c>
      <c r="CD1229" s="2">
        <v>1900</v>
      </c>
      <c r="CE1229" s="2" t="s">
        <v>135</v>
      </c>
      <c r="CF1229" s="5">
        <v>42962</v>
      </c>
      <c r="CG1229" s="2"/>
      <c r="CH1229" s="2"/>
      <c r="CI1229" s="2">
        <v>1</v>
      </c>
      <c r="CJ1229" s="2">
        <v>1</v>
      </c>
      <c r="CK1229" s="2">
        <v>21</v>
      </c>
      <c r="CL1229" s="2" t="s">
        <v>86</v>
      </c>
      <c r="CM1229" s="2"/>
    </row>
    <row r="1230" spans="1:91">
      <c r="A1230" s="2" t="s">
        <v>71</v>
      </c>
      <c r="B1230" s="2" t="s">
        <v>72</v>
      </c>
      <c r="C1230" s="2" t="s">
        <v>73</v>
      </c>
      <c r="D1230" s="2"/>
      <c r="E1230" s="2" t="str">
        <f>"FES1162568258"</f>
        <v>FES1162568258</v>
      </c>
      <c r="F1230" s="3">
        <v>42958</v>
      </c>
      <c r="G1230" s="2">
        <v>201802</v>
      </c>
      <c r="H1230" s="2" t="s">
        <v>74</v>
      </c>
      <c r="I1230" s="2" t="s">
        <v>75</v>
      </c>
      <c r="J1230" s="2" t="s">
        <v>76</v>
      </c>
      <c r="K1230" s="2" t="s">
        <v>77</v>
      </c>
      <c r="L1230" s="2" t="s">
        <v>97</v>
      </c>
      <c r="M1230" s="2" t="s">
        <v>98</v>
      </c>
      <c r="N1230" s="2" t="s">
        <v>248</v>
      </c>
      <c r="O1230" s="2" t="s">
        <v>100</v>
      </c>
      <c r="P1230" s="2" t="str">
        <f>"2170579811                    "</f>
        <v xml:space="preserve">2170579811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4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1</v>
      </c>
      <c r="BI1230" s="2">
        <v>1</v>
      </c>
      <c r="BJ1230" s="2">
        <v>0.2</v>
      </c>
      <c r="BK1230" s="2">
        <v>1</v>
      </c>
      <c r="BL1230" s="2">
        <v>41.44</v>
      </c>
      <c r="BM1230" s="2">
        <v>5.8</v>
      </c>
      <c r="BN1230" s="2">
        <v>47.24</v>
      </c>
      <c r="BO1230" s="2">
        <v>47.24</v>
      </c>
      <c r="BP1230" s="2"/>
      <c r="BQ1230" s="2" t="s">
        <v>83</v>
      </c>
      <c r="BR1230" s="2" t="s">
        <v>84</v>
      </c>
      <c r="BS1230" s="3">
        <v>42961</v>
      </c>
      <c r="BT1230" s="4">
        <v>0.33333333333333331</v>
      </c>
      <c r="BU1230" s="2" t="s">
        <v>390</v>
      </c>
      <c r="BV1230" s="2" t="s">
        <v>95</v>
      </c>
      <c r="BW1230" s="2"/>
      <c r="BX1230" s="2"/>
      <c r="BY1230" s="2">
        <v>1200</v>
      </c>
      <c r="BZ1230" s="2"/>
      <c r="CA1230" s="2" t="s">
        <v>294</v>
      </c>
      <c r="CB1230" s="2"/>
      <c r="CC1230" s="2" t="s">
        <v>98</v>
      </c>
      <c r="CD1230" s="2">
        <v>6001</v>
      </c>
      <c r="CE1230" s="2" t="s">
        <v>104</v>
      </c>
      <c r="CF1230" s="5">
        <v>42962</v>
      </c>
      <c r="CG1230" s="2"/>
      <c r="CH1230" s="2"/>
      <c r="CI1230" s="2">
        <v>1</v>
      </c>
      <c r="CJ1230" s="2">
        <v>1</v>
      </c>
      <c r="CK1230" s="2">
        <v>21</v>
      </c>
      <c r="CL1230" s="2" t="s">
        <v>86</v>
      </c>
      <c r="CM1230" s="2"/>
    </row>
    <row r="1231" spans="1:91">
      <c r="A1231" s="2" t="s">
        <v>71</v>
      </c>
      <c r="B1231" s="2" t="s">
        <v>72</v>
      </c>
      <c r="C1231" s="2" t="s">
        <v>73</v>
      </c>
      <c r="D1231" s="2"/>
      <c r="E1231" s="2" t="str">
        <f>"FES1162568284"</f>
        <v>FES1162568284</v>
      </c>
      <c r="F1231" s="3">
        <v>42958</v>
      </c>
      <c r="G1231" s="2">
        <v>201802</v>
      </c>
      <c r="H1231" s="2" t="s">
        <v>74</v>
      </c>
      <c r="I1231" s="2" t="s">
        <v>75</v>
      </c>
      <c r="J1231" s="2" t="s">
        <v>76</v>
      </c>
      <c r="K1231" s="2" t="s">
        <v>77</v>
      </c>
      <c r="L1231" s="2" t="s">
        <v>97</v>
      </c>
      <c r="M1231" s="2" t="s">
        <v>98</v>
      </c>
      <c r="N1231" s="2" t="s">
        <v>214</v>
      </c>
      <c r="O1231" s="2" t="s">
        <v>100</v>
      </c>
      <c r="P1231" s="2" t="str">
        <f>"2170584397                    "</f>
        <v xml:space="preserve">2170584397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4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1</v>
      </c>
      <c r="BJ1231" s="2">
        <v>0.2</v>
      </c>
      <c r="BK1231" s="2">
        <v>1</v>
      </c>
      <c r="BL1231" s="2">
        <v>41.44</v>
      </c>
      <c r="BM1231" s="2">
        <v>5.8</v>
      </c>
      <c r="BN1231" s="2">
        <v>47.24</v>
      </c>
      <c r="BO1231" s="2">
        <v>47.24</v>
      </c>
      <c r="BP1231" s="2"/>
      <c r="BQ1231" s="2" t="s">
        <v>108</v>
      </c>
      <c r="BR1231" s="2" t="s">
        <v>84</v>
      </c>
      <c r="BS1231" s="3">
        <v>42961</v>
      </c>
      <c r="BT1231" s="4">
        <v>0.30624999999999997</v>
      </c>
      <c r="BU1231" s="2" t="s">
        <v>1131</v>
      </c>
      <c r="BV1231" s="2" t="s">
        <v>95</v>
      </c>
      <c r="BW1231" s="2"/>
      <c r="BX1231" s="2"/>
      <c r="BY1231" s="2">
        <v>1200</v>
      </c>
      <c r="BZ1231" s="2"/>
      <c r="CA1231" s="2" t="s">
        <v>213</v>
      </c>
      <c r="CB1231" s="2"/>
      <c r="CC1231" s="2" t="s">
        <v>98</v>
      </c>
      <c r="CD1231" s="2">
        <v>6001</v>
      </c>
      <c r="CE1231" s="2" t="s">
        <v>104</v>
      </c>
      <c r="CF1231" s="5">
        <v>42962</v>
      </c>
      <c r="CG1231" s="2"/>
      <c r="CH1231" s="2"/>
      <c r="CI1231" s="2">
        <v>1</v>
      </c>
      <c r="CJ1231" s="2">
        <v>1</v>
      </c>
      <c r="CK1231" s="2">
        <v>21</v>
      </c>
      <c r="CL1231" s="2" t="s">
        <v>86</v>
      </c>
      <c r="CM1231" s="2"/>
    </row>
    <row r="1232" spans="1:91">
      <c r="A1232" s="2" t="s">
        <v>71</v>
      </c>
      <c r="B1232" s="2" t="s">
        <v>72</v>
      </c>
      <c r="C1232" s="2" t="s">
        <v>73</v>
      </c>
      <c r="D1232" s="2"/>
      <c r="E1232" s="2" t="str">
        <f>"FES1162568256"</f>
        <v>FES1162568256</v>
      </c>
      <c r="F1232" s="3">
        <v>42958</v>
      </c>
      <c r="G1232" s="2">
        <v>201802</v>
      </c>
      <c r="H1232" s="2" t="s">
        <v>74</v>
      </c>
      <c r="I1232" s="2" t="s">
        <v>75</v>
      </c>
      <c r="J1232" s="2" t="s">
        <v>76</v>
      </c>
      <c r="K1232" s="2" t="s">
        <v>77</v>
      </c>
      <c r="L1232" s="2" t="s">
        <v>97</v>
      </c>
      <c r="M1232" s="2" t="s">
        <v>98</v>
      </c>
      <c r="N1232" s="2" t="s">
        <v>380</v>
      </c>
      <c r="O1232" s="2" t="s">
        <v>100</v>
      </c>
      <c r="P1232" s="2" t="str">
        <f>"2170579122                    "</f>
        <v xml:space="preserve">2170579122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4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1</v>
      </c>
      <c r="BJ1232" s="2">
        <v>0.2</v>
      </c>
      <c r="BK1232" s="2">
        <v>1</v>
      </c>
      <c r="BL1232" s="2">
        <v>41.44</v>
      </c>
      <c r="BM1232" s="2">
        <v>5.8</v>
      </c>
      <c r="BN1232" s="2">
        <v>47.24</v>
      </c>
      <c r="BO1232" s="2">
        <v>47.24</v>
      </c>
      <c r="BP1232" s="2"/>
      <c r="BQ1232" s="2" t="s">
        <v>108</v>
      </c>
      <c r="BR1232" s="2" t="s">
        <v>84</v>
      </c>
      <c r="BS1232" s="3">
        <v>42961</v>
      </c>
      <c r="BT1232" s="4">
        <v>0.42638888888888887</v>
      </c>
      <c r="BU1232" s="2" t="s">
        <v>1955</v>
      </c>
      <c r="BV1232" s="2" t="s">
        <v>95</v>
      </c>
      <c r="BW1232" s="2"/>
      <c r="BX1232" s="2"/>
      <c r="BY1232" s="2">
        <v>1200</v>
      </c>
      <c r="BZ1232" s="2"/>
      <c r="CA1232" s="2" t="s">
        <v>213</v>
      </c>
      <c r="CB1232" s="2"/>
      <c r="CC1232" s="2" t="s">
        <v>98</v>
      </c>
      <c r="CD1232" s="2">
        <v>6001</v>
      </c>
      <c r="CE1232" s="2" t="s">
        <v>104</v>
      </c>
      <c r="CF1232" s="5">
        <v>42962</v>
      </c>
      <c r="CG1232" s="2"/>
      <c r="CH1232" s="2"/>
      <c r="CI1232" s="2">
        <v>1</v>
      </c>
      <c r="CJ1232" s="2">
        <v>1</v>
      </c>
      <c r="CK1232" s="2">
        <v>21</v>
      </c>
      <c r="CL1232" s="2" t="s">
        <v>86</v>
      </c>
      <c r="CM1232" s="2"/>
    </row>
    <row r="1233" spans="1:91">
      <c r="A1233" s="2" t="s">
        <v>71</v>
      </c>
      <c r="B1233" s="2" t="s">
        <v>72</v>
      </c>
      <c r="C1233" s="2" t="s">
        <v>73</v>
      </c>
      <c r="D1233" s="2"/>
      <c r="E1233" s="2" t="str">
        <f>"FES1162568266"</f>
        <v>FES1162568266</v>
      </c>
      <c r="F1233" s="3">
        <v>42958</v>
      </c>
      <c r="G1233" s="2">
        <v>201802</v>
      </c>
      <c r="H1233" s="2" t="s">
        <v>74</v>
      </c>
      <c r="I1233" s="2" t="s">
        <v>75</v>
      </c>
      <c r="J1233" s="2" t="s">
        <v>76</v>
      </c>
      <c r="K1233" s="2" t="s">
        <v>77</v>
      </c>
      <c r="L1233" s="2" t="s">
        <v>97</v>
      </c>
      <c r="M1233" s="2" t="s">
        <v>98</v>
      </c>
      <c r="N1233" s="2" t="s">
        <v>1956</v>
      </c>
      <c r="O1233" s="2" t="s">
        <v>100</v>
      </c>
      <c r="P1233" s="2" t="str">
        <f>"2170582486                    "</f>
        <v xml:space="preserve">2170582486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4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1</v>
      </c>
      <c r="BJ1233" s="2">
        <v>0.2</v>
      </c>
      <c r="BK1233" s="2">
        <v>1</v>
      </c>
      <c r="BL1233" s="2">
        <v>41.44</v>
      </c>
      <c r="BM1233" s="2">
        <v>5.8</v>
      </c>
      <c r="BN1233" s="2">
        <v>47.24</v>
      </c>
      <c r="BO1233" s="2">
        <v>47.24</v>
      </c>
      <c r="BP1233" s="2"/>
      <c r="BQ1233" s="2" t="s">
        <v>108</v>
      </c>
      <c r="BR1233" s="2" t="s">
        <v>84</v>
      </c>
      <c r="BS1233" s="3">
        <v>42961</v>
      </c>
      <c r="BT1233" s="4">
        <v>0.3430555555555555</v>
      </c>
      <c r="BU1233" s="2" t="s">
        <v>1957</v>
      </c>
      <c r="BV1233" s="2" t="s">
        <v>95</v>
      </c>
      <c r="BW1233" s="2"/>
      <c r="BX1233" s="2"/>
      <c r="BY1233" s="2">
        <v>1200</v>
      </c>
      <c r="BZ1233" s="2"/>
      <c r="CA1233" s="2" t="s">
        <v>600</v>
      </c>
      <c r="CB1233" s="2"/>
      <c r="CC1233" s="2" t="s">
        <v>98</v>
      </c>
      <c r="CD1233" s="2">
        <v>6045</v>
      </c>
      <c r="CE1233" s="2" t="s">
        <v>104</v>
      </c>
      <c r="CF1233" s="5">
        <v>42962</v>
      </c>
      <c r="CG1233" s="2"/>
      <c r="CH1233" s="2"/>
      <c r="CI1233" s="2">
        <v>1</v>
      </c>
      <c r="CJ1233" s="2">
        <v>1</v>
      </c>
      <c r="CK1233" s="2">
        <v>21</v>
      </c>
      <c r="CL1233" s="2" t="s">
        <v>86</v>
      </c>
      <c r="CM1233" s="2"/>
    </row>
    <row r="1234" spans="1:91">
      <c r="A1234" s="2" t="s">
        <v>71</v>
      </c>
      <c r="B1234" s="2" t="s">
        <v>72</v>
      </c>
      <c r="C1234" s="2" t="s">
        <v>73</v>
      </c>
      <c r="D1234" s="2"/>
      <c r="E1234" s="2" t="str">
        <f>"FES1162568255"</f>
        <v>FES1162568255</v>
      </c>
      <c r="F1234" s="3">
        <v>42958</v>
      </c>
      <c r="G1234" s="2">
        <v>201802</v>
      </c>
      <c r="H1234" s="2" t="s">
        <v>74</v>
      </c>
      <c r="I1234" s="2" t="s">
        <v>75</v>
      </c>
      <c r="J1234" s="2" t="s">
        <v>76</v>
      </c>
      <c r="K1234" s="2" t="s">
        <v>77</v>
      </c>
      <c r="L1234" s="2" t="s">
        <v>97</v>
      </c>
      <c r="M1234" s="2" t="s">
        <v>98</v>
      </c>
      <c r="N1234" s="2" t="s">
        <v>248</v>
      </c>
      <c r="O1234" s="2" t="s">
        <v>100</v>
      </c>
      <c r="P1234" s="2" t="str">
        <f>"2170576706                    "</f>
        <v xml:space="preserve">2170576706 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4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1</v>
      </c>
      <c r="BJ1234" s="2">
        <v>0.2</v>
      </c>
      <c r="BK1234" s="2">
        <v>1</v>
      </c>
      <c r="BL1234" s="2">
        <v>41.44</v>
      </c>
      <c r="BM1234" s="2">
        <v>5.8</v>
      </c>
      <c r="BN1234" s="2">
        <v>47.24</v>
      </c>
      <c r="BO1234" s="2">
        <v>47.24</v>
      </c>
      <c r="BP1234" s="2"/>
      <c r="BQ1234" s="2" t="s">
        <v>83</v>
      </c>
      <c r="BR1234" s="2" t="s">
        <v>84</v>
      </c>
      <c r="BS1234" s="3">
        <v>42961</v>
      </c>
      <c r="BT1234" s="4">
        <v>0.33333333333333331</v>
      </c>
      <c r="BU1234" s="2" t="s">
        <v>390</v>
      </c>
      <c r="BV1234" s="2" t="s">
        <v>95</v>
      </c>
      <c r="BW1234" s="2"/>
      <c r="BX1234" s="2"/>
      <c r="BY1234" s="2">
        <v>1200</v>
      </c>
      <c r="BZ1234" s="2"/>
      <c r="CA1234" s="2" t="s">
        <v>294</v>
      </c>
      <c r="CB1234" s="2"/>
      <c r="CC1234" s="2" t="s">
        <v>98</v>
      </c>
      <c r="CD1234" s="2">
        <v>6001</v>
      </c>
      <c r="CE1234" s="2" t="s">
        <v>104</v>
      </c>
      <c r="CF1234" s="5">
        <v>42962</v>
      </c>
      <c r="CG1234" s="2"/>
      <c r="CH1234" s="2"/>
      <c r="CI1234" s="2">
        <v>1</v>
      </c>
      <c r="CJ1234" s="2">
        <v>1</v>
      </c>
      <c r="CK1234" s="2">
        <v>21</v>
      </c>
      <c r="CL1234" s="2" t="s">
        <v>86</v>
      </c>
      <c r="CM1234" s="2"/>
    </row>
    <row r="1235" spans="1:91">
      <c r="A1235" s="2" t="s">
        <v>71</v>
      </c>
      <c r="B1235" s="2" t="s">
        <v>72</v>
      </c>
      <c r="C1235" s="2" t="s">
        <v>73</v>
      </c>
      <c r="D1235" s="2"/>
      <c r="E1235" s="2" t="str">
        <f>"FES1162568274"</f>
        <v>FES1162568274</v>
      </c>
      <c r="F1235" s="3">
        <v>42958</v>
      </c>
      <c r="G1235" s="2">
        <v>201802</v>
      </c>
      <c r="H1235" s="2" t="s">
        <v>74</v>
      </c>
      <c r="I1235" s="2" t="s">
        <v>75</v>
      </c>
      <c r="J1235" s="2" t="s">
        <v>76</v>
      </c>
      <c r="K1235" s="2" t="s">
        <v>77</v>
      </c>
      <c r="L1235" s="2" t="s">
        <v>174</v>
      </c>
      <c r="M1235" s="2" t="s">
        <v>175</v>
      </c>
      <c r="N1235" s="2" t="s">
        <v>920</v>
      </c>
      <c r="O1235" s="2" t="s">
        <v>100</v>
      </c>
      <c r="P1235" s="2" t="str">
        <f>"2170583294                    "</f>
        <v xml:space="preserve">2170583294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4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1</v>
      </c>
      <c r="BJ1235" s="2">
        <v>0.2</v>
      </c>
      <c r="BK1235" s="2">
        <v>1</v>
      </c>
      <c r="BL1235" s="2">
        <v>41.44</v>
      </c>
      <c r="BM1235" s="2">
        <v>5.8</v>
      </c>
      <c r="BN1235" s="2">
        <v>47.24</v>
      </c>
      <c r="BO1235" s="2">
        <v>47.24</v>
      </c>
      <c r="BP1235" s="2"/>
      <c r="BQ1235" s="2" t="s">
        <v>108</v>
      </c>
      <c r="BR1235" s="2" t="s">
        <v>84</v>
      </c>
      <c r="BS1235" s="3">
        <v>42961</v>
      </c>
      <c r="BT1235" s="4">
        <v>0.37152777777777773</v>
      </c>
      <c r="BU1235" s="2" t="s">
        <v>1218</v>
      </c>
      <c r="BV1235" s="2" t="s">
        <v>95</v>
      </c>
      <c r="BW1235" s="2"/>
      <c r="BX1235" s="2"/>
      <c r="BY1235" s="2">
        <v>1200</v>
      </c>
      <c r="BZ1235" s="2"/>
      <c r="CA1235" s="2"/>
      <c r="CB1235" s="2"/>
      <c r="CC1235" s="2" t="s">
        <v>175</v>
      </c>
      <c r="CD1235" s="2">
        <v>5201</v>
      </c>
      <c r="CE1235" s="2" t="s">
        <v>104</v>
      </c>
      <c r="CF1235" s="5">
        <v>42963</v>
      </c>
      <c r="CG1235" s="2"/>
      <c r="CH1235" s="2"/>
      <c r="CI1235" s="2">
        <v>1</v>
      </c>
      <c r="CJ1235" s="2">
        <v>1</v>
      </c>
      <c r="CK1235" s="2">
        <v>21</v>
      </c>
      <c r="CL1235" s="2" t="s">
        <v>86</v>
      </c>
      <c r="CM1235" s="2"/>
    </row>
    <row r="1236" spans="1:91">
      <c r="A1236" s="2" t="s">
        <v>71</v>
      </c>
      <c r="B1236" s="2" t="s">
        <v>72</v>
      </c>
      <c r="C1236" s="2" t="s">
        <v>73</v>
      </c>
      <c r="D1236" s="2"/>
      <c r="E1236" s="2" t="str">
        <f>"RFES1162566654"</f>
        <v>RFES1162566654</v>
      </c>
      <c r="F1236" s="3">
        <v>42958</v>
      </c>
      <c r="G1236" s="2">
        <v>201802</v>
      </c>
      <c r="H1236" s="2" t="s">
        <v>170</v>
      </c>
      <c r="I1236" s="2" t="s">
        <v>171</v>
      </c>
      <c r="J1236" s="2" t="s">
        <v>1862</v>
      </c>
      <c r="K1236" s="2" t="s">
        <v>77</v>
      </c>
      <c r="L1236" s="2" t="s">
        <v>74</v>
      </c>
      <c r="M1236" s="2" t="s">
        <v>75</v>
      </c>
      <c r="N1236" s="2" t="s">
        <v>76</v>
      </c>
      <c r="O1236" s="2" t="s">
        <v>100</v>
      </c>
      <c r="P1236" s="2" t="str">
        <f>"2170579379 J16290             "</f>
        <v xml:space="preserve">2170579379 J16290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3.13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1</v>
      </c>
      <c r="BJ1236" s="2">
        <v>0.2</v>
      </c>
      <c r="BK1236" s="2">
        <v>1</v>
      </c>
      <c r="BL1236" s="2">
        <v>32.380000000000003</v>
      </c>
      <c r="BM1236" s="2">
        <v>4.53</v>
      </c>
      <c r="BN1236" s="2">
        <v>36.909999999999997</v>
      </c>
      <c r="BO1236" s="2">
        <v>36.909999999999997</v>
      </c>
      <c r="BP1236" s="2"/>
      <c r="BQ1236" s="2" t="s">
        <v>84</v>
      </c>
      <c r="BR1236" s="2" t="s">
        <v>108</v>
      </c>
      <c r="BS1236" s="3">
        <v>42961</v>
      </c>
      <c r="BT1236" s="4">
        <v>0.40138888888888885</v>
      </c>
      <c r="BU1236" s="2" t="s">
        <v>1049</v>
      </c>
      <c r="BV1236" s="2" t="s">
        <v>95</v>
      </c>
      <c r="BW1236" s="2"/>
      <c r="BX1236" s="2"/>
      <c r="BY1236" s="2">
        <v>1200</v>
      </c>
      <c r="BZ1236" s="2"/>
      <c r="CA1236" s="2" t="s">
        <v>328</v>
      </c>
      <c r="CB1236" s="2"/>
      <c r="CC1236" s="2" t="s">
        <v>75</v>
      </c>
      <c r="CD1236" s="2">
        <v>1600</v>
      </c>
      <c r="CE1236" s="2" t="s">
        <v>104</v>
      </c>
      <c r="CF1236" s="5">
        <v>42962</v>
      </c>
      <c r="CG1236" s="2"/>
      <c r="CH1236" s="2"/>
      <c r="CI1236" s="2">
        <v>1</v>
      </c>
      <c r="CJ1236" s="2">
        <v>0</v>
      </c>
      <c r="CK1236" s="2">
        <v>22</v>
      </c>
      <c r="CL1236" s="2" t="s">
        <v>86</v>
      </c>
      <c r="CM1236" s="2"/>
    </row>
    <row r="1237" spans="1:91">
      <c r="A1237" s="2" t="s">
        <v>71</v>
      </c>
      <c r="B1237" s="2" t="s">
        <v>72</v>
      </c>
      <c r="C1237" s="2" t="s">
        <v>73</v>
      </c>
      <c r="D1237" s="2"/>
      <c r="E1237" s="2" t="str">
        <f>"FES1162563593D"</f>
        <v>FES1162563593D</v>
      </c>
      <c r="F1237" s="3">
        <v>42935</v>
      </c>
      <c r="G1237" s="2">
        <v>201802</v>
      </c>
      <c r="H1237" s="2" t="s">
        <v>74</v>
      </c>
      <c r="I1237" s="2" t="s">
        <v>75</v>
      </c>
      <c r="J1237" s="2" t="s">
        <v>118</v>
      </c>
      <c r="K1237" s="2" t="s">
        <v>77</v>
      </c>
      <c r="L1237" s="2" t="s">
        <v>268</v>
      </c>
      <c r="M1237" s="2" t="s">
        <v>269</v>
      </c>
      <c r="N1237" s="2" t="s">
        <v>701</v>
      </c>
      <c r="O1237" s="2" t="s">
        <v>100</v>
      </c>
      <c r="P1237" s="2" t="str">
        <f>"                              "</f>
        <v xml:space="preserve">          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3.63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1</v>
      </c>
      <c r="BJ1237" s="2">
        <v>0.2</v>
      </c>
      <c r="BK1237" s="2">
        <v>1</v>
      </c>
      <c r="BL1237" s="2">
        <v>41.07</v>
      </c>
      <c r="BM1237" s="2">
        <v>5.75</v>
      </c>
      <c r="BN1237" s="2">
        <v>46.82</v>
      </c>
      <c r="BO1237" s="2">
        <v>46.82</v>
      </c>
      <c r="BP1237" s="2"/>
      <c r="BQ1237" s="2" t="s">
        <v>1926</v>
      </c>
      <c r="BR1237" s="2" t="s">
        <v>187</v>
      </c>
      <c r="BS1237" s="3">
        <v>42936</v>
      </c>
      <c r="BT1237" s="4">
        <v>0.33888888888888885</v>
      </c>
      <c r="BU1237" s="2" t="s">
        <v>1958</v>
      </c>
      <c r="BV1237" s="2" t="s">
        <v>95</v>
      </c>
      <c r="BW1237" s="2"/>
      <c r="BX1237" s="2"/>
      <c r="BY1237" s="2">
        <v>1200</v>
      </c>
      <c r="BZ1237" s="2"/>
      <c r="CA1237" s="2" t="s">
        <v>970</v>
      </c>
      <c r="CB1237" s="2"/>
      <c r="CC1237" s="2" t="s">
        <v>269</v>
      </c>
      <c r="CD1237" s="2">
        <v>157</v>
      </c>
      <c r="CE1237" s="2" t="s">
        <v>104</v>
      </c>
      <c r="CF1237" s="5">
        <v>42945</v>
      </c>
      <c r="CG1237" s="2"/>
      <c r="CH1237" s="2"/>
      <c r="CI1237" s="2">
        <v>1</v>
      </c>
      <c r="CJ1237" s="2">
        <v>1</v>
      </c>
      <c r="CK1237" s="2">
        <v>21</v>
      </c>
      <c r="CL1237" s="2" t="s">
        <v>86</v>
      </c>
      <c r="CM1237" s="2"/>
    </row>
    <row r="1238" spans="1:91">
      <c r="A1238" s="2" t="s">
        <v>71</v>
      </c>
      <c r="B1238" s="2" t="s">
        <v>72</v>
      </c>
      <c r="C1238" s="2" t="s">
        <v>73</v>
      </c>
      <c r="D1238" s="2"/>
      <c r="E1238" s="2" t="str">
        <f>"FES1162564853D"</f>
        <v>FES1162564853D</v>
      </c>
      <c r="F1238" s="3">
        <v>42942</v>
      </c>
      <c r="G1238" s="2">
        <v>201802</v>
      </c>
      <c r="H1238" s="2" t="s">
        <v>74</v>
      </c>
      <c r="I1238" s="2" t="s">
        <v>75</v>
      </c>
      <c r="J1238" s="2" t="s">
        <v>118</v>
      </c>
      <c r="K1238" s="2" t="s">
        <v>77</v>
      </c>
      <c r="L1238" s="2" t="s">
        <v>170</v>
      </c>
      <c r="M1238" s="2" t="s">
        <v>171</v>
      </c>
      <c r="N1238" s="2" t="s">
        <v>1959</v>
      </c>
      <c r="O1238" s="2" t="s">
        <v>100</v>
      </c>
      <c r="P1238" s="2" t="str">
        <f>"                              "</f>
        <v xml:space="preserve">          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2.83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1</v>
      </c>
      <c r="BJ1238" s="2">
        <v>0.2</v>
      </c>
      <c r="BK1238" s="2">
        <v>1</v>
      </c>
      <c r="BL1238" s="2">
        <v>32.08</v>
      </c>
      <c r="BM1238" s="2">
        <v>4.49</v>
      </c>
      <c r="BN1238" s="2">
        <v>36.57</v>
      </c>
      <c r="BO1238" s="2">
        <v>36.57</v>
      </c>
      <c r="BP1238" s="2"/>
      <c r="BQ1238" s="2" t="s">
        <v>108</v>
      </c>
      <c r="BR1238" s="2" t="s">
        <v>187</v>
      </c>
      <c r="BS1238" s="3">
        <v>42943</v>
      </c>
      <c r="BT1238" s="4">
        <v>0.36527777777777781</v>
      </c>
      <c r="BU1238" s="2" t="s">
        <v>1960</v>
      </c>
      <c r="BV1238" s="2" t="s">
        <v>95</v>
      </c>
      <c r="BW1238" s="2"/>
      <c r="BX1238" s="2"/>
      <c r="BY1238" s="2">
        <v>1200</v>
      </c>
      <c r="BZ1238" s="2"/>
      <c r="CA1238" s="2" t="s">
        <v>1441</v>
      </c>
      <c r="CB1238" s="2"/>
      <c r="CC1238" s="2" t="s">
        <v>171</v>
      </c>
      <c r="CD1238" s="2">
        <v>1406</v>
      </c>
      <c r="CE1238" s="2" t="s">
        <v>104</v>
      </c>
      <c r="CF1238" s="5">
        <v>42944</v>
      </c>
      <c r="CG1238" s="2"/>
      <c r="CH1238" s="2"/>
      <c r="CI1238" s="2">
        <v>1</v>
      </c>
      <c r="CJ1238" s="2">
        <v>1</v>
      </c>
      <c r="CK1238" s="2">
        <v>22</v>
      </c>
      <c r="CL1238" s="2" t="s">
        <v>86</v>
      </c>
      <c r="CM1238" s="2"/>
    </row>
    <row r="1239" spans="1:91">
      <c r="A1239" s="2" t="s">
        <v>71</v>
      </c>
      <c r="B1239" s="2" t="s">
        <v>72</v>
      </c>
      <c r="C1239" s="2" t="s">
        <v>73</v>
      </c>
      <c r="D1239" s="2"/>
      <c r="E1239" s="2" t="str">
        <f>"FES1162568467"</f>
        <v>FES1162568467</v>
      </c>
      <c r="F1239" s="3">
        <v>42958</v>
      </c>
      <c r="G1239" s="2">
        <v>201802</v>
      </c>
      <c r="H1239" s="2" t="s">
        <v>74</v>
      </c>
      <c r="I1239" s="2" t="s">
        <v>75</v>
      </c>
      <c r="J1239" s="2" t="s">
        <v>76</v>
      </c>
      <c r="K1239" s="2" t="s">
        <v>77</v>
      </c>
      <c r="L1239" s="2" t="s">
        <v>105</v>
      </c>
      <c r="M1239" s="2" t="s">
        <v>106</v>
      </c>
      <c r="N1239" s="2" t="s">
        <v>107</v>
      </c>
      <c r="O1239" s="2" t="s">
        <v>100</v>
      </c>
      <c r="P1239" s="2" t="str">
        <f>"2170584560                    "</f>
        <v xml:space="preserve">2170584560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4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</v>
      </c>
      <c r="BJ1239" s="2">
        <v>0.2</v>
      </c>
      <c r="BK1239" s="2">
        <v>1</v>
      </c>
      <c r="BL1239" s="2">
        <v>41.44</v>
      </c>
      <c r="BM1239" s="2">
        <v>5.8</v>
      </c>
      <c r="BN1239" s="2">
        <v>47.24</v>
      </c>
      <c r="BO1239" s="2">
        <v>47.24</v>
      </c>
      <c r="BP1239" s="2"/>
      <c r="BQ1239" s="2" t="s">
        <v>108</v>
      </c>
      <c r="BR1239" s="2" t="s">
        <v>84</v>
      </c>
      <c r="BS1239" s="3">
        <v>42961</v>
      </c>
      <c r="BT1239" s="4">
        <v>0.39374999999999999</v>
      </c>
      <c r="BU1239" s="2" t="s">
        <v>1888</v>
      </c>
      <c r="BV1239" s="2" t="s">
        <v>95</v>
      </c>
      <c r="BW1239" s="2"/>
      <c r="BX1239" s="2"/>
      <c r="BY1239" s="2">
        <v>1200</v>
      </c>
      <c r="BZ1239" s="2"/>
      <c r="CA1239" s="2" t="s">
        <v>856</v>
      </c>
      <c r="CB1239" s="2"/>
      <c r="CC1239" s="2" t="s">
        <v>106</v>
      </c>
      <c r="CD1239" s="2">
        <v>7405</v>
      </c>
      <c r="CE1239" s="2" t="s">
        <v>104</v>
      </c>
      <c r="CF1239" s="5">
        <v>42962</v>
      </c>
      <c r="CG1239" s="2"/>
      <c r="CH1239" s="2"/>
      <c r="CI1239" s="2">
        <v>1</v>
      </c>
      <c r="CJ1239" s="2">
        <v>1</v>
      </c>
      <c r="CK1239" s="2">
        <v>21</v>
      </c>
      <c r="CL1239" s="2" t="s">
        <v>86</v>
      </c>
      <c r="CM1239" s="2"/>
    </row>
    <row r="1240" spans="1:91">
      <c r="A1240" s="2" t="s">
        <v>71</v>
      </c>
      <c r="B1240" s="2" t="s">
        <v>72</v>
      </c>
      <c r="C1240" s="2" t="s">
        <v>73</v>
      </c>
      <c r="D1240" s="2"/>
      <c r="E1240" s="2" t="str">
        <f>"FES1162560393"</f>
        <v>FES1162560393</v>
      </c>
      <c r="F1240" s="3">
        <v>42958</v>
      </c>
      <c r="G1240" s="2">
        <v>201802</v>
      </c>
      <c r="H1240" s="2" t="s">
        <v>74</v>
      </c>
      <c r="I1240" s="2" t="s">
        <v>75</v>
      </c>
      <c r="J1240" s="2" t="s">
        <v>76</v>
      </c>
      <c r="K1240" s="2" t="s">
        <v>77</v>
      </c>
      <c r="L1240" s="2" t="s">
        <v>343</v>
      </c>
      <c r="M1240" s="2" t="s">
        <v>344</v>
      </c>
      <c r="N1240" s="2" t="s">
        <v>1961</v>
      </c>
      <c r="O1240" s="2" t="s">
        <v>100</v>
      </c>
      <c r="P1240" s="2" t="str">
        <f>"2170572285                    "</f>
        <v xml:space="preserve">2170572285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4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1</v>
      </c>
      <c r="BJ1240" s="2">
        <v>0.2</v>
      </c>
      <c r="BK1240" s="2">
        <v>1</v>
      </c>
      <c r="BL1240" s="2">
        <v>41.44</v>
      </c>
      <c r="BM1240" s="2">
        <v>5.8</v>
      </c>
      <c r="BN1240" s="2">
        <v>47.24</v>
      </c>
      <c r="BO1240" s="2">
        <v>47.24</v>
      </c>
      <c r="BP1240" s="2"/>
      <c r="BQ1240" s="2" t="s">
        <v>288</v>
      </c>
      <c r="BR1240" s="2" t="s">
        <v>84</v>
      </c>
      <c r="BS1240" s="3">
        <v>42961</v>
      </c>
      <c r="BT1240" s="4">
        <v>0.4375</v>
      </c>
      <c r="BU1240" s="2" t="s">
        <v>1946</v>
      </c>
      <c r="BV1240" s="2" t="s">
        <v>95</v>
      </c>
      <c r="BW1240" s="2"/>
      <c r="BX1240" s="2"/>
      <c r="BY1240" s="2">
        <v>1200</v>
      </c>
      <c r="BZ1240" s="2" t="s">
        <v>27</v>
      </c>
      <c r="CA1240" s="2" t="s">
        <v>347</v>
      </c>
      <c r="CB1240" s="2"/>
      <c r="CC1240" s="2" t="s">
        <v>344</v>
      </c>
      <c r="CD1240" s="2">
        <v>4133</v>
      </c>
      <c r="CE1240" s="2" t="s">
        <v>104</v>
      </c>
      <c r="CF1240" s="5">
        <v>42962</v>
      </c>
      <c r="CG1240" s="2"/>
      <c r="CH1240" s="2"/>
      <c r="CI1240" s="2">
        <v>1</v>
      </c>
      <c r="CJ1240" s="2">
        <v>1</v>
      </c>
      <c r="CK1240" s="2">
        <v>21</v>
      </c>
      <c r="CL1240" s="2" t="s">
        <v>86</v>
      </c>
      <c r="CM1240" s="2"/>
    </row>
    <row r="1241" spans="1:91">
      <c r="A1241" s="2" t="s">
        <v>71</v>
      </c>
      <c r="B1241" s="2" t="s">
        <v>72</v>
      </c>
      <c r="C1241" s="2" t="s">
        <v>73</v>
      </c>
      <c r="D1241" s="2"/>
      <c r="E1241" s="2" t="str">
        <f>"FES1162567740"</f>
        <v>FES1162567740</v>
      </c>
      <c r="F1241" s="3">
        <v>42955</v>
      </c>
      <c r="G1241" s="2">
        <v>201802</v>
      </c>
      <c r="H1241" s="2" t="s">
        <v>74</v>
      </c>
      <c r="I1241" s="2" t="s">
        <v>75</v>
      </c>
      <c r="J1241" s="2" t="s">
        <v>76</v>
      </c>
      <c r="K1241" s="2" t="s">
        <v>77</v>
      </c>
      <c r="L1241" s="2" t="s">
        <v>311</v>
      </c>
      <c r="M1241" s="2" t="s">
        <v>312</v>
      </c>
      <c r="N1241" s="2" t="s">
        <v>1761</v>
      </c>
      <c r="O1241" s="2" t="s">
        <v>100</v>
      </c>
      <c r="P1241" s="2" t="str">
        <f>"2170583877                    "</f>
        <v xml:space="preserve">2170583877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3.13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1</v>
      </c>
      <c r="BI1241" s="2">
        <v>0.5</v>
      </c>
      <c r="BJ1241" s="2">
        <v>0.2</v>
      </c>
      <c r="BK1241" s="2">
        <v>1</v>
      </c>
      <c r="BL1241" s="2">
        <v>32.380000000000003</v>
      </c>
      <c r="BM1241" s="2">
        <v>4.53</v>
      </c>
      <c r="BN1241" s="2">
        <v>36.909999999999997</v>
      </c>
      <c r="BO1241" s="2">
        <v>36.909999999999997</v>
      </c>
      <c r="BP1241" s="2" t="s">
        <v>101</v>
      </c>
      <c r="BQ1241" s="2" t="s">
        <v>288</v>
      </c>
      <c r="BR1241" s="2" t="s">
        <v>84</v>
      </c>
      <c r="BS1241" s="3">
        <v>42961</v>
      </c>
      <c r="BT1241" s="4">
        <v>0.35138888888888892</v>
      </c>
      <c r="BU1241" s="2" t="s">
        <v>1962</v>
      </c>
      <c r="BV1241" s="2" t="s">
        <v>86</v>
      </c>
      <c r="BW1241" s="2" t="s">
        <v>124</v>
      </c>
      <c r="BX1241" s="2" t="s">
        <v>125</v>
      </c>
      <c r="BY1241" s="2">
        <v>1200</v>
      </c>
      <c r="BZ1241" s="2"/>
      <c r="CA1241" s="2" t="s">
        <v>148</v>
      </c>
      <c r="CB1241" s="2"/>
      <c r="CC1241" s="2" t="s">
        <v>312</v>
      </c>
      <c r="CD1241" s="2">
        <v>1559</v>
      </c>
      <c r="CE1241" s="2" t="s">
        <v>104</v>
      </c>
      <c r="CF1241" s="5">
        <v>42963</v>
      </c>
      <c r="CG1241" s="2"/>
      <c r="CH1241" s="2"/>
      <c r="CI1241" s="2">
        <v>1</v>
      </c>
      <c r="CJ1241" s="2">
        <v>4</v>
      </c>
      <c r="CK1241" s="2">
        <v>22</v>
      </c>
      <c r="CL1241" s="2" t="s">
        <v>86</v>
      </c>
      <c r="CM1241" s="2"/>
    </row>
    <row r="1242" spans="1:91">
      <c r="A1242" s="2" t="s">
        <v>71</v>
      </c>
      <c r="B1242" s="2" t="s">
        <v>72</v>
      </c>
      <c r="C1242" s="2" t="s">
        <v>73</v>
      </c>
      <c r="D1242" s="2"/>
      <c r="E1242" s="2" t="str">
        <f>"FES1162563596D"</f>
        <v>FES1162563596D</v>
      </c>
      <c r="F1242" s="3">
        <v>42935</v>
      </c>
      <c r="G1242" s="2">
        <v>201802</v>
      </c>
      <c r="H1242" s="2" t="s">
        <v>74</v>
      </c>
      <c r="I1242" s="2" t="s">
        <v>75</v>
      </c>
      <c r="J1242" s="2" t="s">
        <v>118</v>
      </c>
      <c r="K1242" s="2" t="s">
        <v>77</v>
      </c>
      <c r="L1242" s="2" t="s">
        <v>144</v>
      </c>
      <c r="M1242" s="2" t="s">
        <v>145</v>
      </c>
      <c r="N1242" s="2" t="s">
        <v>1963</v>
      </c>
      <c r="O1242" s="2" t="s">
        <v>100</v>
      </c>
      <c r="P1242" s="2" t="str">
        <f>"                              "</f>
        <v xml:space="preserve">          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2.83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1.9</v>
      </c>
      <c r="BJ1242" s="2">
        <v>2.4</v>
      </c>
      <c r="BK1242" s="2">
        <v>3</v>
      </c>
      <c r="BL1242" s="2">
        <v>32.08</v>
      </c>
      <c r="BM1242" s="2">
        <v>4.49</v>
      </c>
      <c r="BN1242" s="2">
        <v>36.57</v>
      </c>
      <c r="BO1242" s="2">
        <v>36.57</v>
      </c>
      <c r="BP1242" s="2"/>
      <c r="BQ1242" s="2"/>
      <c r="BR1242" s="2" t="s">
        <v>187</v>
      </c>
      <c r="BS1242" s="3">
        <v>42936</v>
      </c>
      <c r="BT1242" s="4">
        <v>0.37916666666666665</v>
      </c>
      <c r="BU1242" s="2" t="s">
        <v>330</v>
      </c>
      <c r="BV1242" s="2" t="s">
        <v>95</v>
      </c>
      <c r="BW1242" s="2"/>
      <c r="BX1242" s="2"/>
      <c r="BY1242" s="2">
        <v>12245.69</v>
      </c>
      <c r="BZ1242" s="2"/>
      <c r="CA1242" s="2" t="s">
        <v>1355</v>
      </c>
      <c r="CB1242" s="2"/>
      <c r="CC1242" s="2" t="s">
        <v>145</v>
      </c>
      <c r="CD1242" s="2">
        <v>2013</v>
      </c>
      <c r="CE1242" s="2" t="s">
        <v>104</v>
      </c>
      <c r="CF1242" s="5">
        <v>42947</v>
      </c>
      <c r="CG1242" s="2"/>
      <c r="CH1242" s="2"/>
      <c r="CI1242" s="2">
        <v>1</v>
      </c>
      <c r="CJ1242" s="2">
        <v>1</v>
      </c>
      <c r="CK1242" s="2">
        <v>22</v>
      </c>
      <c r="CL1242" s="2" t="s">
        <v>86</v>
      </c>
      <c r="CM1242" s="2"/>
    </row>
    <row r="1243" spans="1:91">
      <c r="A1243" s="2" t="s">
        <v>71</v>
      </c>
      <c r="B1243" s="2" t="s">
        <v>72</v>
      </c>
      <c r="C1243" s="2" t="s">
        <v>73</v>
      </c>
      <c r="D1243" s="2"/>
      <c r="E1243" s="2" t="str">
        <f>"FES1162568474"</f>
        <v>FES1162568474</v>
      </c>
      <c r="F1243" s="3">
        <v>42958</v>
      </c>
      <c r="G1243" s="2">
        <v>201802</v>
      </c>
      <c r="H1243" s="2" t="s">
        <v>74</v>
      </c>
      <c r="I1243" s="2" t="s">
        <v>75</v>
      </c>
      <c r="J1243" s="2" t="s">
        <v>76</v>
      </c>
      <c r="K1243" s="2" t="s">
        <v>77</v>
      </c>
      <c r="L1243" s="2" t="s">
        <v>105</v>
      </c>
      <c r="M1243" s="2" t="s">
        <v>106</v>
      </c>
      <c r="N1243" s="2" t="s">
        <v>705</v>
      </c>
      <c r="O1243" s="2" t="s">
        <v>100</v>
      </c>
      <c r="P1243" s="2" t="str">
        <f>"2170584569                    "</f>
        <v xml:space="preserve">2170584569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4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1</v>
      </c>
      <c r="BJ1243" s="2">
        <v>0.2</v>
      </c>
      <c r="BK1243" s="2">
        <v>1</v>
      </c>
      <c r="BL1243" s="2">
        <v>41.44</v>
      </c>
      <c r="BM1243" s="2">
        <v>5.8</v>
      </c>
      <c r="BN1243" s="2">
        <v>47.24</v>
      </c>
      <c r="BO1243" s="2">
        <v>47.24</v>
      </c>
      <c r="BP1243" s="2"/>
      <c r="BQ1243" s="2" t="s">
        <v>108</v>
      </c>
      <c r="BR1243" s="2" t="s">
        <v>84</v>
      </c>
      <c r="BS1243" s="3">
        <v>42961</v>
      </c>
      <c r="BT1243" s="4">
        <v>0.36249999999999999</v>
      </c>
      <c r="BU1243" s="2" t="s">
        <v>706</v>
      </c>
      <c r="BV1243" s="2" t="s">
        <v>95</v>
      </c>
      <c r="BW1243" s="2"/>
      <c r="BX1243" s="2"/>
      <c r="BY1243" s="2">
        <v>1200</v>
      </c>
      <c r="BZ1243" s="2" t="s">
        <v>27</v>
      </c>
      <c r="CA1243" s="2" t="s">
        <v>291</v>
      </c>
      <c r="CB1243" s="2"/>
      <c r="CC1243" s="2" t="s">
        <v>106</v>
      </c>
      <c r="CD1243" s="2">
        <v>7441</v>
      </c>
      <c r="CE1243" s="2" t="s">
        <v>104</v>
      </c>
      <c r="CF1243" s="5">
        <v>42962</v>
      </c>
      <c r="CG1243" s="2"/>
      <c r="CH1243" s="2"/>
      <c r="CI1243" s="2">
        <v>1</v>
      </c>
      <c r="CJ1243" s="2">
        <v>1</v>
      </c>
      <c r="CK1243" s="2">
        <v>21</v>
      </c>
      <c r="CL1243" s="2" t="s">
        <v>86</v>
      </c>
      <c r="CM1243" s="2"/>
    </row>
    <row r="1244" spans="1:91">
      <c r="A1244" s="2" t="s">
        <v>71</v>
      </c>
      <c r="B1244" s="2" t="s">
        <v>72</v>
      </c>
      <c r="C1244" s="2" t="s">
        <v>73</v>
      </c>
      <c r="D1244" s="2"/>
      <c r="E1244" s="2" t="str">
        <f>"FES1162564858D"</f>
        <v>FES1162564858D</v>
      </c>
      <c r="F1244" s="3">
        <v>42942</v>
      </c>
      <c r="G1244" s="2">
        <v>201802</v>
      </c>
      <c r="H1244" s="2" t="s">
        <v>74</v>
      </c>
      <c r="I1244" s="2" t="s">
        <v>75</v>
      </c>
      <c r="J1244" s="2" t="s">
        <v>118</v>
      </c>
      <c r="K1244" s="2" t="s">
        <v>77</v>
      </c>
      <c r="L1244" s="2" t="s">
        <v>144</v>
      </c>
      <c r="M1244" s="2" t="s">
        <v>145</v>
      </c>
      <c r="N1244" s="2" t="s">
        <v>1964</v>
      </c>
      <c r="O1244" s="2" t="s">
        <v>100</v>
      </c>
      <c r="P1244" s="2" t="str">
        <f>"                              "</f>
        <v xml:space="preserve">           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2.83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1</v>
      </c>
      <c r="BJ1244" s="2">
        <v>0.2</v>
      </c>
      <c r="BK1244" s="2">
        <v>1</v>
      </c>
      <c r="BL1244" s="2">
        <v>32.08</v>
      </c>
      <c r="BM1244" s="2">
        <v>4.49</v>
      </c>
      <c r="BN1244" s="2">
        <v>36.57</v>
      </c>
      <c r="BO1244" s="2">
        <v>36.57</v>
      </c>
      <c r="BP1244" s="2"/>
      <c r="BQ1244" s="2" t="s">
        <v>83</v>
      </c>
      <c r="BR1244" s="2" t="s">
        <v>187</v>
      </c>
      <c r="BS1244" s="3">
        <v>42943</v>
      </c>
      <c r="BT1244" s="4">
        <v>0.3576388888888889</v>
      </c>
      <c r="BU1244" s="2" t="s">
        <v>1965</v>
      </c>
      <c r="BV1244" s="2" t="s">
        <v>95</v>
      </c>
      <c r="BW1244" s="2"/>
      <c r="BX1244" s="2"/>
      <c r="BY1244" s="2">
        <v>1200</v>
      </c>
      <c r="BZ1244" s="2"/>
      <c r="CA1244" s="2" t="s">
        <v>923</v>
      </c>
      <c r="CB1244" s="2"/>
      <c r="CC1244" s="2" t="s">
        <v>145</v>
      </c>
      <c r="CD1244" s="2">
        <v>2093</v>
      </c>
      <c r="CE1244" s="2" t="s">
        <v>104</v>
      </c>
      <c r="CF1244" s="5">
        <v>42944</v>
      </c>
      <c r="CG1244" s="2"/>
      <c r="CH1244" s="2"/>
      <c r="CI1244" s="2">
        <v>1</v>
      </c>
      <c r="CJ1244" s="2">
        <v>1</v>
      </c>
      <c r="CK1244" s="2">
        <v>22</v>
      </c>
      <c r="CL1244" s="2" t="s">
        <v>86</v>
      </c>
      <c r="CM1244" s="2"/>
    </row>
    <row r="1245" spans="1:91">
      <c r="A1245" s="2" t="s">
        <v>71</v>
      </c>
      <c r="B1245" s="2" t="s">
        <v>72</v>
      </c>
      <c r="C1245" s="2" t="s">
        <v>73</v>
      </c>
      <c r="D1245" s="2"/>
      <c r="E1245" s="2" t="str">
        <f>"FES1162568433"</f>
        <v>FES1162568433</v>
      </c>
      <c r="F1245" s="3">
        <v>42958</v>
      </c>
      <c r="G1245" s="2">
        <v>201802</v>
      </c>
      <c r="H1245" s="2" t="s">
        <v>74</v>
      </c>
      <c r="I1245" s="2" t="s">
        <v>75</v>
      </c>
      <c r="J1245" s="2" t="s">
        <v>76</v>
      </c>
      <c r="K1245" s="2" t="s">
        <v>77</v>
      </c>
      <c r="L1245" s="2" t="s">
        <v>74</v>
      </c>
      <c r="M1245" s="2" t="s">
        <v>75</v>
      </c>
      <c r="N1245" s="2" t="s">
        <v>192</v>
      </c>
      <c r="O1245" s="2" t="s">
        <v>100</v>
      </c>
      <c r="P1245" s="2" t="str">
        <f>"2170584533                    "</f>
        <v xml:space="preserve">2170584533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3.13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1</v>
      </c>
      <c r="BJ1245" s="2">
        <v>0.2</v>
      </c>
      <c r="BK1245" s="2">
        <v>1</v>
      </c>
      <c r="BL1245" s="2">
        <v>32.380000000000003</v>
      </c>
      <c r="BM1245" s="2">
        <v>4.53</v>
      </c>
      <c r="BN1245" s="2">
        <v>36.909999999999997</v>
      </c>
      <c r="BO1245" s="2">
        <v>36.909999999999997</v>
      </c>
      <c r="BP1245" s="2"/>
      <c r="BQ1245" s="2" t="s">
        <v>83</v>
      </c>
      <c r="BR1245" s="2" t="s">
        <v>84</v>
      </c>
      <c r="BS1245" s="3">
        <v>42961</v>
      </c>
      <c r="BT1245" s="4">
        <v>0.34027777777777773</v>
      </c>
      <c r="BU1245" s="2" t="s">
        <v>193</v>
      </c>
      <c r="BV1245" s="2" t="s">
        <v>95</v>
      </c>
      <c r="BW1245" s="2"/>
      <c r="BX1245" s="2"/>
      <c r="BY1245" s="2">
        <v>1200</v>
      </c>
      <c r="BZ1245" s="2"/>
      <c r="CA1245" s="2" t="s">
        <v>194</v>
      </c>
      <c r="CB1245" s="2"/>
      <c r="CC1245" s="2" t="s">
        <v>75</v>
      </c>
      <c r="CD1245" s="2">
        <v>1665</v>
      </c>
      <c r="CE1245" s="2" t="s">
        <v>104</v>
      </c>
      <c r="CF1245" s="5">
        <v>42962</v>
      </c>
      <c r="CG1245" s="2"/>
      <c r="CH1245" s="2"/>
      <c r="CI1245" s="2">
        <v>1</v>
      </c>
      <c r="CJ1245" s="2">
        <v>1</v>
      </c>
      <c r="CK1245" s="2">
        <v>22</v>
      </c>
      <c r="CL1245" s="2" t="s">
        <v>86</v>
      </c>
      <c r="CM1245" s="2"/>
    </row>
    <row r="1246" spans="1:91">
      <c r="A1246" s="2" t="s">
        <v>71</v>
      </c>
      <c r="B1246" s="2" t="s">
        <v>72</v>
      </c>
      <c r="C1246" s="2" t="s">
        <v>73</v>
      </c>
      <c r="D1246" s="2"/>
      <c r="E1246" s="2" t="str">
        <f>"FES1162568473"</f>
        <v>FES1162568473</v>
      </c>
      <c r="F1246" s="3">
        <v>42958</v>
      </c>
      <c r="G1246" s="2">
        <v>201802</v>
      </c>
      <c r="H1246" s="2" t="s">
        <v>74</v>
      </c>
      <c r="I1246" s="2" t="s">
        <v>75</v>
      </c>
      <c r="J1246" s="2" t="s">
        <v>76</v>
      </c>
      <c r="K1246" s="2" t="s">
        <v>77</v>
      </c>
      <c r="L1246" s="2" t="s">
        <v>105</v>
      </c>
      <c r="M1246" s="2" t="s">
        <v>106</v>
      </c>
      <c r="N1246" s="2" t="s">
        <v>1484</v>
      </c>
      <c r="O1246" s="2" t="s">
        <v>100</v>
      </c>
      <c r="P1246" s="2" t="str">
        <f>"2170584568                    "</f>
        <v xml:space="preserve">2170584568 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4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1</v>
      </c>
      <c r="BJ1246" s="2">
        <v>0.2</v>
      </c>
      <c r="BK1246" s="2">
        <v>1</v>
      </c>
      <c r="BL1246" s="2">
        <v>41.44</v>
      </c>
      <c r="BM1246" s="2">
        <v>5.8</v>
      </c>
      <c r="BN1246" s="2">
        <v>47.24</v>
      </c>
      <c r="BO1246" s="2">
        <v>47.24</v>
      </c>
      <c r="BP1246" s="2"/>
      <c r="BQ1246" s="2" t="s">
        <v>83</v>
      </c>
      <c r="BR1246" s="2" t="s">
        <v>84</v>
      </c>
      <c r="BS1246" s="3">
        <v>42961</v>
      </c>
      <c r="BT1246" s="4">
        <v>0.41250000000000003</v>
      </c>
      <c r="BU1246" s="2" t="s">
        <v>1966</v>
      </c>
      <c r="BV1246" s="2" t="s">
        <v>95</v>
      </c>
      <c r="BW1246" s="2"/>
      <c r="BX1246" s="2"/>
      <c r="BY1246" s="2">
        <v>1200</v>
      </c>
      <c r="BZ1246" s="2" t="s">
        <v>27</v>
      </c>
      <c r="CA1246" s="2" t="s">
        <v>748</v>
      </c>
      <c r="CB1246" s="2"/>
      <c r="CC1246" s="2" t="s">
        <v>106</v>
      </c>
      <c r="CD1246" s="2">
        <v>7441</v>
      </c>
      <c r="CE1246" s="2" t="s">
        <v>104</v>
      </c>
      <c r="CF1246" s="5">
        <v>42962</v>
      </c>
      <c r="CG1246" s="2"/>
      <c r="CH1246" s="2"/>
      <c r="CI1246" s="2">
        <v>1</v>
      </c>
      <c r="CJ1246" s="2">
        <v>1</v>
      </c>
      <c r="CK1246" s="2">
        <v>21</v>
      </c>
      <c r="CL1246" s="2" t="s">
        <v>86</v>
      </c>
      <c r="CM1246" s="2"/>
    </row>
    <row r="1247" spans="1:91">
      <c r="A1247" s="2" t="s">
        <v>71</v>
      </c>
      <c r="B1247" s="2" t="s">
        <v>72</v>
      </c>
      <c r="C1247" s="2" t="s">
        <v>73</v>
      </c>
      <c r="D1247" s="2"/>
      <c r="E1247" s="2" t="str">
        <f>"FES1162564860D"</f>
        <v>FES1162564860D</v>
      </c>
      <c r="F1247" s="3">
        <v>42942</v>
      </c>
      <c r="G1247" s="2">
        <v>201802</v>
      </c>
      <c r="H1247" s="2" t="s">
        <v>74</v>
      </c>
      <c r="I1247" s="2" t="s">
        <v>75</v>
      </c>
      <c r="J1247" s="2" t="s">
        <v>118</v>
      </c>
      <c r="K1247" s="2" t="s">
        <v>77</v>
      </c>
      <c r="L1247" s="2" t="s">
        <v>593</v>
      </c>
      <c r="M1247" s="2" t="s">
        <v>594</v>
      </c>
      <c r="N1247" s="2" t="s">
        <v>1967</v>
      </c>
      <c r="O1247" s="2" t="s">
        <v>100</v>
      </c>
      <c r="P1247" s="2" t="str">
        <f>"                              "</f>
        <v xml:space="preserve">             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2.83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1</v>
      </c>
      <c r="BJ1247" s="2">
        <v>0.2</v>
      </c>
      <c r="BK1247" s="2">
        <v>1</v>
      </c>
      <c r="BL1247" s="2">
        <v>32.08</v>
      </c>
      <c r="BM1247" s="2">
        <v>4.49</v>
      </c>
      <c r="BN1247" s="2">
        <v>36.57</v>
      </c>
      <c r="BO1247" s="2">
        <v>36.57</v>
      </c>
      <c r="BP1247" s="2"/>
      <c r="BQ1247" s="2" t="s">
        <v>83</v>
      </c>
      <c r="BR1247" s="2" t="s">
        <v>187</v>
      </c>
      <c r="BS1247" s="3">
        <v>42943</v>
      </c>
      <c r="BT1247" s="4">
        <v>0.38611111111111113</v>
      </c>
      <c r="BU1247" s="2" t="s">
        <v>1968</v>
      </c>
      <c r="BV1247" s="2" t="s">
        <v>95</v>
      </c>
      <c r="BW1247" s="2"/>
      <c r="BX1247" s="2"/>
      <c r="BY1247" s="2">
        <v>1200</v>
      </c>
      <c r="BZ1247" s="2"/>
      <c r="CA1247" s="2"/>
      <c r="CB1247" s="2"/>
      <c r="CC1247" s="2" t="s">
        <v>594</v>
      </c>
      <c r="CD1247" s="2">
        <v>1682</v>
      </c>
      <c r="CE1247" s="2" t="s">
        <v>104</v>
      </c>
      <c r="CF1247" s="5">
        <v>42944</v>
      </c>
      <c r="CG1247" s="2"/>
      <c r="CH1247" s="2"/>
      <c r="CI1247" s="2">
        <v>1</v>
      </c>
      <c r="CJ1247" s="2">
        <v>1</v>
      </c>
      <c r="CK1247" s="2">
        <v>22</v>
      </c>
      <c r="CL1247" s="2" t="s">
        <v>86</v>
      </c>
      <c r="CM1247" s="2"/>
    </row>
    <row r="1248" spans="1:91">
      <c r="A1248" s="2" t="s">
        <v>71</v>
      </c>
      <c r="B1248" s="2" t="s">
        <v>72</v>
      </c>
      <c r="C1248" s="2" t="s">
        <v>73</v>
      </c>
      <c r="D1248" s="2"/>
      <c r="E1248" s="2" t="str">
        <f>"FES1162568468"</f>
        <v>FES1162568468</v>
      </c>
      <c r="F1248" s="3">
        <v>42958</v>
      </c>
      <c r="G1248" s="2">
        <v>201802</v>
      </c>
      <c r="H1248" s="2" t="s">
        <v>74</v>
      </c>
      <c r="I1248" s="2" t="s">
        <v>75</v>
      </c>
      <c r="J1248" s="2" t="s">
        <v>76</v>
      </c>
      <c r="K1248" s="2" t="s">
        <v>77</v>
      </c>
      <c r="L1248" s="2" t="s">
        <v>164</v>
      </c>
      <c r="M1248" s="2" t="s">
        <v>165</v>
      </c>
      <c r="N1248" s="2" t="s">
        <v>675</v>
      </c>
      <c r="O1248" s="2" t="s">
        <v>100</v>
      </c>
      <c r="P1248" s="2" t="str">
        <f>"2170584563                    "</f>
        <v xml:space="preserve">2170584563  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4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1</v>
      </c>
      <c r="BJ1248" s="2">
        <v>0.2</v>
      </c>
      <c r="BK1248" s="2">
        <v>1</v>
      </c>
      <c r="BL1248" s="2">
        <v>41.44</v>
      </c>
      <c r="BM1248" s="2">
        <v>5.8</v>
      </c>
      <c r="BN1248" s="2">
        <v>47.24</v>
      </c>
      <c r="BO1248" s="2">
        <v>47.24</v>
      </c>
      <c r="BP1248" s="2"/>
      <c r="BQ1248" s="2" t="s">
        <v>83</v>
      </c>
      <c r="BR1248" s="2" t="s">
        <v>84</v>
      </c>
      <c r="BS1248" s="3">
        <v>42961</v>
      </c>
      <c r="BT1248" s="4">
        <v>0.41041666666666665</v>
      </c>
      <c r="BU1248" s="2" t="s">
        <v>1969</v>
      </c>
      <c r="BV1248" s="2" t="s">
        <v>95</v>
      </c>
      <c r="BW1248" s="2"/>
      <c r="BX1248" s="2"/>
      <c r="BY1248" s="2">
        <v>1200</v>
      </c>
      <c r="BZ1248" s="2"/>
      <c r="CA1248" s="2" t="s">
        <v>1193</v>
      </c>
      <c r="CB1248" s="2"/>
      <c r="CC1248" s="2" t="s">
        <v>165</v>
      </c>
      <c r="CD1248" s="2">
        <v>6850</v>
      </c>
      <c r="CE1248" s="2" t="s">
        <v>104</v>
      </c>
      <c r="CF1248" s="5">
        <v>42962</v>
      </c>
      <c r="CG1248" s="2"/>
      <c r="CH1248" s="2"/>
      <c r="CI1248" s="2">
        <v>3</v>
      </c>
      <c r="CJ1248" s="2">
        <v>1</v>
      </c>
      <c r="CK1248" s="2">
        <v>21</v>
      </c>
      <c r="CL1248" s="2" t="s">
        <v>86</v>
      </c>
      <c r="CM1248" s="2"/>
    </row>
    <row r="1249" spans="1:91">
      <c r="A1249" s="2" t="s">
        <v>71</v>
      </c>
      <c r="B1249" s="2" t="s">
        <v>72</v>
      </c>
      <c r="C1249" s="2" t="s">
        <v>73</v>
      </c>
      <c r="D1249" s="2"/>
      <c r="E1249" s="2" t="str">
        <f>"FES1162563587D"</f>
        <v>FES1162563587D</v>
      </c>
      <c r="F1249" s="3">
        <v>42935</v>
      </c>
      <c r="G1249" s="2">
        <v>201802</v>
      </c>
      <c r="H1249" s="2" t="s">
        <v>74</v>
      </c>
      <c r="I1249" s="2" t="s">
        <v>75</v>
      </c>
      <c r="J1249" s="2" t="s">
        <v>118</v>
      </c>
      <c r="K1249" s="2" t="s">
        <v>77</v>
      </c>
      <c r="L1249" s="2" t="s">
        <v>74</v>
      </c>
      <c r="M1249" s="2" t="s">
        <v>75</v>
      </c>
      <c r="N1249" s="2" t="s">
        <v>407</v>
      </c>
      <c r="O1249" s="2" t="s">
        <v>100</v>
      </c>
      <c r="P1249" s="2" t="str">
        <f>"                              "</f>
        <v xml:space="preserve">          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2.83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3</v>
      </c>
      <c r="BJ1249" s="2">
        <v>4.0999999999999996</v>
      </c>
      <c r="BK1249" s="2">
        <v>5</v>
      </c>
      <c r="BL1249" s="2">
        <v>32.08</v>
      </c>
      <c r="BM1249" s="2">
        <v>4.49</v>
      </c>
      <c r="BN1249" s="2">
        <v>36.57</v>
      </c>
      <c r="BO1249" s="2">
        <v>36.57</v>
      </c>
      <c r="BP1249" s="2"/>
      <c r="BQ1249" s="2" t="s">
        <v>108</v>
      </c>
      <c r="BR1249" s="2" t="s">
        <v>187</v>
      </c>
      <c r="BS1249" s="3">
        <v>42936</v>
      </c>
      <c r="BT1249" s="4">
        <v>0.4375</v>
      </c>
      <c r="BU1249" s="2" t="s">
        <v>1970</v>
      </c>
      <c r="BV1249" s="2" t="s">
        <v>95</v>
      </c>
      <c r="BW1249" s="2"/>
      <c r="BX1249" s="2"/>
      <c r="BY1249" s="2">
        <v>20358</v>
      </c>
      <c r="BZ1249" s="2"/>
      <c r="CA1249" s="2" t="s">
        <v>267</v>
      </c>
      <c r="CB1249" s="2"/>
      <c r="CC1249" s="2" t="s">
        <v>75</v>
      </c>
      <c r="CD1249" s="2">
        <v>1645</v>
      </c>
      <c r="CE1249" s="2" t="s">
        <v>89</v>
      </c>
      <c r="CF1249" s="5">
        <v>42947</v>
      </c>
      <c r="CG1249" s="2"/>
      <c r="CH1249" s="2"/>
      <c r="CI1249" s="2">
        <v>1</v>
      </c>
      <c r="CJ1249" s="2">
        <v>1</v>
      </c>
      <c r="CK1249" s="2">
        <v>22</v>
      </c>
      <c r="CL1249" s="2" t="s">
        <v>86</v>
      </c>
      <c r="CM1249" s="2"/>
    </row>
    <row r="1250" spans="1:91">
      <c r="A1250" s="2" t="s">
        <v>71</v>
      </c>
      <c r="B1250" s="2" t="s">
        <v>72</v>
      </c>
      <c r="C1250" s="2" t="s">
        <v>73</v>
      </c>
      <c r="D1250" s="2"/>
      <c r="E1250" s="2" t="str">
        <f>"FES1162565317"</f>
        <v>FES1162565317</v>
      </c>
      <c r="F1250" s="3">
        <v>42958</v>
      </c>
      <c r="G1250" s="2">
        <v>201802</v>
      </c>
      <c r="H1250" s="2" t="s">
        <v>74</v>
      </c>
      <c r="I1250" s="2" t="s">
        <v>75</v>
      </c>
      <c r="J1250" s="2" t="s">
        <v>76</v>
      </c>
      <c r="K1250" s="2" t="s">
        <v>77</v>
      </c>
      <c r="L1250" s="2" t="s">
        <v>144</v>
      </c>
      <c r="M1250" s="2" t="s">
        <v>145</v>
      </c>
      <c r="N1250" s="2" t="s">
        <v>1971</v>
      </c>
      <c r="O1250" s="2" t="s">
        <v>100</v>
      </c>
      <c r="P1250" s="2" t="str">
        <f>"2170581825                    "</f>
        <v xml:space="preserve">2170581825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3.13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2</v>
      </c>
      <c r="BI1250" s="2">
        <v>6</v>
      </c>
      <c r="BJ1250" s="2">
        <v>5.7</v>
      </c>
      <c r="BK1250" s="2">
        <v>6</v>
      </c>
      <c r="BL1250" s="2">
        <v>32.380000000000003</v>
      </c>
      <c r="BM1250" s="2">
        <v>4.53</v>
      </c>
      <c r="BN1250" s="2">
        <v>36.909999999999997</v>
      </c>
      <c r="BO1250" s="2">
        <v>36.909999999999997</v>
      </c>
      <c r="BP1250" s="2"/>
      <c r="BQ1250" s="2" t="s">
        <v>83</v>
      </c>
      <c r="BR1250" s="2" t="s">
        <v>84</v>
      </c>
      <c r="BS1250" s="3">
        <v>42961</v>
      </c>
      <c r="BT1250" s="4">
        <v>0.34791666666666665</v>
      </c>
      <c r="BU1250" s="2" t="s">
        <v>330</v>
      </c>
      <c r="BV1250" s="2" t="s">
        <v>95</v>
      </c>
      <c r="BW1250" s="2"/>
      <c r="BX1250" s="2"/>
      <c r="BY1250" s="2">
        <v>28458</v>
      </c>
      <c r="BZ1250" s="2" t="s">
        <v>27</v>
      </c>
      <c r="CA1250" s="2" t="s">
        <v>1355</v>
      </c>
      <c r="CB1250" s="2"/>
      <c r="CC1250" s="2" t="s">
        <v>145</v>
      </c>
      <c r="CD1250" s="2">
        <v>2013</v>
      </c>
      <c r="CE1250" s="2" t="s">
        <v>89</v>
      </c>
      <c r="CF1250" s="5">
        <v>42962</v>
      </c>
      <c r="CG1250" s="2"/>
      <c r="CH1250" s="2"/>
      <c r="CI1250" s="2">
        <v>1</v>
      </c>
      <c r="CJ1250" s="2">
        <v>1</v>
      </c>
      <c r="CK1250" s="2">
        <v>22</v>
      </c>
      <c r="CL1250" s="2" t="s">
        <v>86</v>
      </c>
      <c r="CM1250" s="2"/>
    </row>
    <row r="1251" spans="1:91">
      <c r="A1251" s="2" t="s">
        <v>71</v>
      </c>
      <c r="B1251" s="2" t="s">
        <v>72</v>
      </c>
      <c r="C1251" s="2" t="s">
        <v>73</v>
      </c>
      <c r="D1251" s="2"/>
      <c r="E1251" s="2" t="str">
        <f>"FES1162564863D"</f>
        <v>FES1162564863D</v>
      </c>
      <c r="F1251" s="3">
        <v>42942</v>
      </c>
      <c r="G1251" s="2">
        <v>201802</v>
      </c>
      <c r="H1251" s="2" t="s">
        <v>74</v>
      </c>
      <c r="I1251" s="2" t="s">
        <v>75</v>
      </c>
      <c r="J1251" s="2" t="s">
        <v>118</v>
      </c>
      <c r="K1251" s="2" t="s">
        <v>77</v>
      </c>
      <c r="L1251" s="2" t="s">
        <v>97</v>
      </c>
      <c r="M1251" s="2" t="s">
        <v>98</v>
      </c>
      <c r="N1251" s="2" t="s">
        <v>380</v>
      </c>
      <c r="O1251" s="2" t="s">
        <v>100</v>
      </c>
      <c r="P1251" s="2" t="str">
        <f>"                              "</f>
        <v xml:space="preserve">           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3.63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1</v>
      </c>
      <c r="BJ1251" s="2">
        <v>0.2</v>
      </c>
      <c r="BK1251" s="2">
        <v>1</v>
      </c>
      <c r="BL1251" s="2">
        <v>41.07</v>
      </c>
      <c r="BM1251" s="2">
        <v>5.75</v>
      </c>
      <c r="BN1251" s="2">
        <v>46.82</v>
      </c>
      <c r="BO1251" s="2">
        <v>46.82</v>
      </c>
      <c r="BP1251" s="2"/>
      <c r="BQ1251" s="2" t="s">
        <v>108</v>
      </c>
      <c r="BR1251" s="2" t="s">
        <v>187</v>
      </c>
      <c r="BS1251" s="3">
        <v>42943</v>
      </c>
      <c r="BT1251" s="4">
        <v>0.3125</v>
      </c>
      <c r="BU1251" s="2" t="s">
        <v>1972</v>
      </c>
      <c r="BV1251" s="2" t="s">
        <v>95</v>
      </c>
      <c r="BW1251" s="2"/>
      <c r="BX1251" s="2"/>
      <c r="BY1251" s="2">
        <v>1200</v>
      </c>
      <c r="BZ1251" s="2"/>
      <c r="CA1251" s="2" t="s">
        <v>213</v>
      </c>
      <c r="CB1251" s="2"/>
      <c r="CC1251" s="2" t="s">
        <v>98</v>
      </c>
      <c r="CD1251" s="2">
        <v>6001</v>
      </c>
      <c r="CE1251" s="2" t="s">
        <v>104</v>
      </c>
      <c r="CF1251" s="5">
        <v>42944</v>
      </c>
      <c r="CG1251" s="2"/>
      <c r="CH1251" s="2"/>
      <c r="CI1251" s="2">
        <v>1</v>
      </c>
      <c r="CJ1251" s="2">
        <v>1</v>
      </c>
      <c r="CK1251" s="2">
        <v>21</v>
      </c>
      <c r="CL1251" s="2" t="s">
        <v>86</v>
      </c>
      <c r="CM1251" s="2"/>
    </row>
    <row r="1252" spans="1:91">
      <c r="A1252" s="2" t="s">
        <v>71</v>
      </c>
      <c r="B1252" s="2" t="s">
        <v>72</v>
      </c>
      <c r="C1252" s="2" t="s">
        <v>73</v>
      </c>
      <c r="D1252" s="2"/>
      <c r="E1252" s="2" t="str">
        <f>"FES1162568466"</f>
        <v>FES1162568466</v>
      </c>
      <c r="F1252" s="3">
        <v>42958</v>
      </c>
      <c r="G1252" s="2">
        <v>201802</v>
      </c>
      <c r="H1252" s="2" t="s">
        <v>74</v>
      </c>
      <c r="I1252" s="2" t="s">
        <v>75</v>
      </c>
      <c r="J1252" s="2" t="s">
        <v>76</v>
      </c>
      <c r="K1252" s="2" t="s">
        <v>77</v>
      </c>
      <c r="L1252" s="2" t="s">
        <v>321</v>
      </c>
      <c r="M1252" s="2" t="s">
        <v>322</v>
      </c>
      <c r="N1252" s="2" t="s">
        <v>323</v>
      </c>
      <c r="O1252" s="2" t="s">
        <v>100</v>
      </c>
      <c r="P1252" s="2" t="str">
        <f>"2170584559                    "</f>
        <v xml:space="preserve">2170584559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4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1</v>
      </c>
      <c r="BJ1252" s="2">
        <v>0.2</v>
      </c>
      <c r="BK1252" s="2">
        <v>1</v>
      </c>
      <c r="BL1252" s="2">
        <v>41.44</v>
      </c>
      <c r="BM1252" s="2">
        <v>5.8</v>
      </c>
      <c r="BN1252" s="2">
        <v>47.24</v>
      </c>
      <c r="BO1252" s="2">
        <v>47.24</v>
      </c>
      <c r="BP1252" s="2"/>
      <c r="BQ1252" s="2" t="s">
        <v>83</v>
      </c>
      <c r="BR1252" s="2" t="s">
        <v>84</v>
      </c>
      <c r="BS1252" s="3">
        <v>42961</v>
      </c>
      <c r="BT1252" s="4">
        <v>0.3972222222222222</v>
      </c>
      <c r="BU1252" s="2" t="s">
        <v>324</v>
      </c>
      <c r="BV1252" s="2" t="s">
        <v>95</v>
      </c>
      <c r="BW1252" s="2"/>
      <c r="BX1252" s="2"/>
      <c r="BY1252" s="2">
        <v>1200</v>
      </c>
      <c r="BZ1252" s="2"/>
      <c r="CA1252" s="2" t="s">
        <v>103</v>
      </c>
      <c r="CB1252" s="2"/>
      <c r="CC1252" s="2" t="s">
        <v>322</v>
      </c>
      <c r="CD1252" s="2">
        <v>6220</v>
      </c>
      <c r="CE1252" s="2" t="s">
        <v>104</v>
      </c>
      <c r="CF1252" s="5">
        <v>42962</v>
      </c>
      <c r="CG1252" s="2"/>
      <c r="CH1252" s="2"/>
      <c r="CI1252" s="2">
        <v>1</v>
      </c>
      <c r="CJ1252" s="2">
        <v>1</v>
      </c>
      <c r="CK1252" s="2">
        <v>21</v>
      </c>
      <c r="CL1252" s="2" t="s">
        <v>86</v>
      </c>
      <c r="CM1252" s="2"/>
    </row>
    <row r="1253" spans="1:91">
      <c r="A1253" s="2" t="s">
        <v>71</v>
      </c>
      <c r="B1253" s="2" t="s">
        <v>72</v>
      </c>
      <c r="C1253" s="2" t="s">
        <v>73</v>
      </c>
      <c r="D1253" s="2"/>
      <c r="E1253" s="2" t="str">
        <f>"FES1162546840D"</f>
        <v>FES1162546840D</v>
      </c>
      <c r="F1253" s="3">
        <v>42942</v>
      </c>
      <c r="G1253" s="2">
        <v>201802</v>
      </c>
      <c r="H1253" s="2" t="s">
        <v>74</v>
      </c>
      <c r="I1253" s="2" t="s">
        <v>75</v>
      </c>
      <c r="J1253" s="2" t="s">
        <v>118</v>
      </c>
      <c r="K1253" s="2" t="s">
        <v>77</v>
      </c>
      <c r="L1253" s="2" t="s">
        <v>105</v>
      </c>
      <c r="M1253" s="2" t="s">
        <v>106</v>
      </c>
      <c r="N1253" s="2" t="s">
        <v>870</v>
      </c>
      <c r="O1253" s="2" t="s">
        <v>100</v>
      </c>
      <c r="P1253" s="2" t="str">
        <f>"                              "</f>
        <v xml:space="preserve">            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3.63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1</v>
      </c>
      <c r="BJ1253" s="2">
        <v>0.2</v>
      </c>
      <c r="BK1253" s="2">
        <v>1</v>
      </c>
      <c r="BL1253" s="2">
        <v>41.07</v>
      </c>
      <c r="BM1253" s="2">
        <v>5.75</v>
      </c>
      <c r="BN1253" s="2">
        <v>46.82</v>
      </c>
      <c r="BO1253" s="2">
        <v>46.82</v>
      </c>
      <c r="BP1253" s="2"/>
      <c r="BQ1253" s="2" t="s">
        <v>83</v>
      </c>
      <c r="BR1253" s="2" t="s">
        <v>187</v>
      </c>
      <c r="BS1253" s="3">
        <v>42943</v>
      </c>
      <c r="BT1253" s="4">
        <v>0.41666666666666669</v>
      </c>
      <c r="BU1253" s="2" t="s">
        <v>1973</v>
      </c>
      <c r="BV1253" s="2" t="s">
        <v>95</v>
      </c>
      <c r="BW1253" s="2"/>
      <c r="BX1253" s="2"/>
      <c r="BY1253" s="2">
        <v>1200</v>
      </c>
      <c r="BZ1253" s="2"/>
      <c r="CA1253" s="2"/>
      <c r="CB1253" s="2"/>
      <c r="CC1253" s="2" t="s">
        <v>106</v>
      </c>
      <c r="CD1253" s="2">
        <v>8000</v>
      </c>
      <c r="CE1253" s="2" t="s">
        <v>104</v>
      </c>
      <c r="CF1253" s="2"/>
      <c r="CG1253" s="2"/>
      <c r="CH1253" s="2"/>
      <c r="CI1253" s="2">
        <v>1</v>
      </c>
      <c r="CJ1253" s="2">
        <v>1</v>
      </c>
      <c r="CK1253" s="2">
        <v>21</v>
      </c>
      <c r="CL1253" s="2" t="s">
        <v>86</v>
      </c>
      <c r="CM1253" s="2"/>
    </row>
    <row r="1254" spans="1:91">
      <c r="A1254" s="2" t="s">
        <v>71</v>
      </c>
      <c r="B1254" s="2" t="s">
        <v>72</v>
      </c>
      <c r="C1254" s="2" t="s">
        <v>73</v>
      </c>
      <c r="D1254" s="2"/>
      <c r="E1254" s="2" t="str">
        <f>"FES1162568502"</f>
        <v>FES1162568502</v>
      </c>
      <c r="F1254" s="3">
        <v>42958</v>
      </c>
      <c r="G1254" s="2">
        <v>201802</v>
      </c>
      <c r="H1254" s="2" t="s">
        <v>74</v>
      </c>
      <c r="I1254" s="2" t="s">
        <v>75</v>
      </c>
      <c r="J1254" s="2" t="s">
        <v>76</v>
      </c>
      <c r="K1254" s="2" t="s">
        <v>77</v>
      </c>
      <c r="L1254" s="2" t="s">
        <v>105</v>
      </c>
      <c r="M1254" s="2" t="s">
        <v>106</v>
      </c>
      <c r="N1254" s="2" t="s">
        <v>397</v>
      </c>
      <c r="O1254" s="2" t="s">
        <v>100</v>
      </c>
      <c r="P1254" s="2" t="str">
        <f>"2170584592                    "</f>
        <v xml:space="preserve">2170584592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4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1</v>
      </c>
      <c r="BJ1254" s="2">
        <v>0.2</v>
      </c>
      <c r="BK1254" s="2">
        <v>1</v>
      </c>
      <c r="BL1254" s="2">
        <v>41.44</v>
      </c>
      <c r="BM1254" s="2">
        <v>5.8</v>
      </c>
      <c r="BN1254" s="2">
        <v>47.24</v>
      </c>
      <c r="BO1254" s="2">
        <v>47.24</v>
      </c>
      <c r="BP1254" s="2"/>
      <c r="BQ1254" s="2" t="s">
        <v>83</v>
      </c>
      <c r="BR1254" s="2" t="s">
        <v>84</v>
      </c>
      <c r="BS1254" s="3">
        <v>42961</v>
      </c>
      <c r="BT1254" s="4">
        <v>0.36736111111111108</v>
      </c>
      <c r="BU1254" s="2" t="s">
        <v>1942</v>
      </c>
      <c r="BV1254" s="2" t="s">
        <v>95</v>
      </c>
      <c r="BW1254" s="2"/>
      <c r="BX1254" s="2"/>
      <c r="BY1254" s="2">
        <v>1200</v>
      </c>
      <c r="BZ1254" s="2" t="s">
        <v>27</v>
      </c>
      <c r="CA1254" s="2" t="s">
        <v>856</v>
      </c>
      <c r="CB1254" s="2"/>
      <c r="CC1254" s="2" t="s">
        <v>106</v>
      </c>
      <c r="CD1254" s="2">
        <v>7405</v>
      </c>
      <c r="CE1254" s="2" t="s">
        <v>104</v>
      </c>
      <c r="CF1254" s="5">
        <v>42962</v>
      </c>
      <c r="CG1254" s="2"/>
      <c r="CH1254" s="2"/>
      <c r="CI1254" s="2">
        <v>1</v>
      </c>
      <c r="CJ1254" s="2">
        <v>1</v>
      </c>
      <c r="CK1254" s="2">
        <v>21</v>
      </c>
      <c r="CL1254" s="2" t="s">
        <v>86</v>
      </c>
      <c r="CM1254" s="2"/>
    </row>
    <row r="1255" spans="1:91">
      <c r="A1255" s="2" t="s">
        <v>71</v>
      </c>
      <c r="B1255" s="2" t="s">
        <v>72</v>
      </c>
      <c r="C1255" s="2" t="s">
        <v>73</v>
      </c>
      <c r="D1255" s="2"/>
      <c r="E1255" s="2" t="str">
        <f>"FES1162564864D"</f>
        <v>FES1162564864D</v>
      </c>
      <c r="F1255" s="3">
        <v>42942</v>
      </c>
      <c r="G1255" s="2">
        <v>201802</v>
      </c>
      <c r="H1255" s="2" t="s">
        <v>74</v>
      </c>
      <c r="I1255" s="2" t="s">
        <v>75</v>
      </c>
      <c r="J1255" s="2" t="s">
        <v>118</v>
      </c>
      <c r="K1255" s="2" t="s">
        <v>77</v>
      </c>
      <c r="L1255" s="2" t="s">
        <v>128</v>
      </c>
      <c r="M1255" s="2" t="s">
        <v>129</v>
      </c>
      <c r="N1255" s="2" t="s">
        <v>1974</v>
      </c>
      <c r="O1255" s="2" t="s">
        <v>100</v>
      </c>
      <c r="P1255" s="2" t="str">
        <f>"                              "</f>
        <v xml:space="preserve">          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2.83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1</v>
      </c>
      <c r="BJ1255" s="2">
        <v>0.2</v>
      </c>
      <c r="BK1255" s="2">
        <v>1</v>
      </c>
      <c r="BL1255" s="2">
        <v>32.08</v>
      </c>
      <c r="BM1255" s="2">
        <v>4.49</v>
      </c>
      <c r="BN1255" s="2">
        <v>36.57</v>
      </c>
      <c r="BO1255" s="2">
        <v>36.57</v>
      </c>
      <c r="BP1255" s="2"/>
      <c r="BQ1255" s="2" t="s">
        <v>83</v>
      </c>
      <c r="BR1255" s="2" t="s">
        <v>187</v>
      </c>
      <c r="BS1255" s="3">
        <v>42943</v>
      </c>
      <c r="BT1255" s="4">
        <v>0.34375</v>
      </c>
      <c r="BU1255" s="2" t="s">
        <v>1975</v>
      </c>
      <c r="BV1255" s="2" t="s">
        <v>95</v>
      </c>
      <c r="BW1255" s="2"/>
      <c r="BX1255" s="2"/>
      <c r="BY1255" s="2">
        <v>1200</v>
      </c>
      <c r="BZ1255" s="2"/>
      <c r="CA1255" s="2" t="s">
        <v>923</v>
      </c>
      <c r="CB1255" s="2"/>
      <c r="CC1255" s="2" t="s">
        <v>129</v>
      </c>
      <c r="CD1255" s="2">
        <v>1709</v>
      </c>
      <c r="CE1255" s="2" t="s">
        <v>104</v>
      </c>
      <c r="CF1255" s="5">
        <v>42944</v>
      </c>
      <c r="CG1255" s="2"/>
      <c r="CH1255" s="2"/>
      <c r="CI1255" s="2">
        <v>1</v>
      </c>
      <c r="CJ1255" s="2">
        <v>1</v>
      </c>
      <c r="CK1255" s="2">
        <v>22</v>
      </c>
      <c r="CL1255" s="2" t="s">
        <v>86</v>
      </c>
      <c r="CM1255" s="2"/>
    </row>
    <row r="1256" spans="1:91">
      <c r="A1256" s="2" t="s">
        <v>71</v>
      </c>
      <c r="B1256" s="2" t="s">
        <v>72</v>
      </c>
      <c r="C1256" s="2" t="s">
        <v>73</v>
      </c>
      <c r="D1256" s="2"/>
      <c r="E1256" s="2" t="str">
        <f>"FES1162568442"</f>
        <v>FES1162568442</v>
      </c>
      <c r="F1256" s="3">
        <v>42958</v>
      </c>
      <c r="G1256" s="2">
        <v>201802</v>
      </c>
      <c r="H1256" s="2" t="s">
        <v>74</v>
      </c>
      <c r="I1256" s="2" t="s">
        <v>75</v>
      </c>
      <c r="J1256" s="2" t="s">
        <v>76</v>
      </c>
      <c r="K1256" s="2" t="s">
        <v>77</v>
      </c>
      <c r="L1256" s="2" t="s">
        <v>1912</v>
      </c>
      <c r="M1256" s="2" t="s">
        <v>1913</v>
      </c>
      <c r="N1256" s="2" t="s">
        <v>1976</v>
      </c>
      <c r="O1256" s="2" t="s">
        <v>100</v>
      </c>
      <c r="P1256" s="2" t="str">
        <f>"2170584528                    "</f>
        <v xml:space="preserve">2170584528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4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234</v>
      </c>
      <c r="BF1256" s="2">
        <v>0</v>
      </c>
      <c r="BG1256" s="2">
        <v>0</v>
      </c>
      <c r="BH1256" s="2">
        <v>1</v>
      </c>
      <c r="BI1256" s="2">
        <v>1</v>
      </c>
      <c r="BJ1256" s="2">
        <v>0.2</v>
      </c>
      <c r="BK1256" s="2">
        <v>1</v>
      </c>
      <c r="BL1256" s="2">
        <v>275.44</v>
      </c>
      <c r="BM1256" s="2">
        <v>38.56</v>
      </c>
      <c r="BN1256" s="2">
        <v>314</v>
      </c>
      <c r="BO1256" s="2">
        <v>314</v>
      </c>
      <c r="BP1256" s="2" t="s">
        <v>910</v>
      </c>
      <c r="BQ1256" s="2" t="s">
        <v>1977</v>
      </c>
      <c r="BR1256" s="2" t="s">
        <v>84</v>
      </c>
      <c r="BS1256" s="3">
        <v>42959</v>
      </c>
      <c r="BT1256" s="4">
        <v>0.36458333333333331</v>
      </c>
      <c r="BU1256" s="2" t="s">
        <v>1978</v>
      </c>
      <c r="BV1256" s="2" t="s">
        <v>95</v>
      </c>
      <c r="BW1256" s="2"/>
      <c r="BX1256" s="2"/>
      <c r="BY1256" s="2">
        <v>1200</v>
      </c>
      <c r="BZ1256" s="2" t="s">
        <v>1979</v>
      </c>
      <c r="CA1256" s="2" t="s">
        <v>1980</v>
      </c>
      <c r="CB1256" s="2"/>
      <c r="CC1256" s="2" t="s">
        <v>1913</v>
      </c>
      <c r="CD1256" s="2">
        <v>4120</v>
      </c>
      <c r="CE1256" s="2" t="s">
        <v>104</v>
      </c>
      <c r="CF1256" s="5">
        <v>42962</v>
      </c>
      <c r="CG1256" s="2"/>
      <c r="CH1256" s="2"/>
      <c r="CI1256" s="2">
        <v>1</v>
      </c>
      <c r="CJ1256" s="2">
        <v>1</v>
      </c>
      <c r="CK1256" s="2">
        <v>21</v>
      </c>
      <c r="CL1256" s="2" t="s">
        <v>86</v>
      </c>
      <c r="CM1256" s="2"/>
    </row>
    <row r="1257" spans="1:91">
      <c r="A1257" s="2" t="s">
        <v>71</v>
      </c>
      <c r="B1257" s="2" t="s">
        <v>72</v>
      </c>
      <c r="C1257" s="2" t="s">
        <v>73</v>
      </c>
      <c r="D1257" s="2"/>
      <c r="E1257" s="2" t="str">
        <f>"FES1162563599D"</f>
        <v>FES1162563599D</v>
      </c>
      <c r="F1257" s="3">
        <v>42935</v>
      </c>
      <c r="G1257" s="2">
        <v>201802</v>
      </c>
      <c r="H1257" s="2" t="s">
        <v>74</v>
      </c>
      <c r="I1257" s="2" t="s">
        <v>75</v>
      </c>
      <c r="J1257" s="2" t="s">
        <v>118</v>
      </c>
      <c r="K1257" s="2" t="s">
        <v>77</v>
      </c>
      <c r="L1257" s="2" t="s">
        <v>268</v>
      </c>
      <c r="M1257" s="2" t="s">
        <v>269</v>
      </c>
      <c r="N1257" s="2" t="s">
        <v>635</v>
      </c>
      <c r="O1257" s="2" t="s">
        <v>100</v>
      </c>
      <c r="P1257" s="2" t="str">
        <f>"                              "</f>
        <v xml:space="preserve">          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3.63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0.7</v>
      </c>
      <c r="BJ1257" s="2">
        <v>1.7</v>
      </c>
      <c r="BK1257" s="2">
        <v>2</v>
      </c>
      <c r="BL1257" s="2">
        <v>41.07</v>
      </c>
      <c r="BM1257" s="2">
        <v>5.75</v>
      </c>
      <c r="BN1257" s="2">
        <v>46.82</v>
      </c>
      <c r="BO1257" s="2">
        <v>46.82</v>
      </c>
      <c r="BP1257" s="2"/>
      <c r="BQ1257" s="2" t="s">
        <v>636</v>
      </c>
      <c r="BR1257" s="2" t="s">
        <v>187</v>
      </c>
      <c r="BS1257" s="3">
        <v>42936</v>
      </c>
      <c r="BT1257" s="4">
        <v>0.3298611111111111</v>
      </c>
      <c r="BU1257" s="2" t="s">
        <v>664</v>
      </c>
      <c r="BV1257" s="2" t="s">
        <v>95</v>
      </c>
      <c r="BW1257" s="2"/>
      <c r="BX1257" s="2"/>
      <c r="BY1257" s="2">
        <v>8340.9</v>
      </c>
      <c r="BZ1257" s="2"/>
      <c r="CA1257" s="2" t="s">
        <v>638</v>
      </c>
      <c r="CB1257" s="2"/>
      <c r="CC1257" s="2" t="s">
        <v>269</v>
      </c>
      <c r="CD1257" s="2">
        <v>184</v>
      </c>
      <c r="CE1257" s="2" t="s">
        <v>89</v>
      </c>
      <c r="CF1257" s="5">
        <v>42945</v>
      </c>
      <c r="CG1257" s="2"/>
      <c r="CH1257" s="2"/>
      <c r="CI1257" s="2">
        <v>1</v>
      </c>
      <c r="CJ1257" s="2">
        <v>1</v>
      </c>
      <c r="CK1257" s="2">
        <v>21</v>
      </c>
      <c r="CL1257" s="2" t="s">
        <v>86</v>
      </c>
      <c r="CM1257" s="2"/>
    </row>
    <row r="1258" spans="1:91">
      <c r="A1258" s="2" t="s">
        <v>71</v>
      </c>
      <c r="B1258" s="2" t="s">
        <v>72</v>
      </c>
      <c r="C1258" s="2" t="s">
        <v>73</v>
      </c>
      <c r="D1258" s="2"/>
      <c r="E1258" s="2" t="str">
        <f>"FES1162564866D"</f>
        <v>FES1162564866D</v>
      </c>
      <c r="F1258" s="3">
        <v>42942</v>
      </c>
      <c r="G1258" s="2">
        <v>201802</v>
      </c>
      <c r="H1258" s="2" t="s">
        <v>74</v>
      </c>
      <c r="I1258" s="2" t="s">
        <v>75</v>
      </c>
      <c r="J1258" s="2" t="s">
        <v>118</v>
      </c>
      <c r="K1258" s="2" t="s">
        <v>77</v>
      </c>
      <c r="L1258" s="2" t="s">
        <v>417</v>
      </c>
      <c r="M1258" s="2" t="s">
        <v>417</v>
      </c>
      <c r="N1258" s="2" t="s">
        <v>475</v>
      </c>
      <c r="O1258" s="2" t="s">
        <v>100</v>
      </c>
      <c r="P1258" s="2" t="str">
        <f>"                              "</f>
        <v xml:space="preserve">          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3.63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1</v>
      </c>
      <c r="BJ1258" s="2">
        <v>0.2</v>
      </c>
      <c r="BK1258" s="2">
        <v>1</v>
      </c>
      <c r="BL1258" s="2">
        <v>41.07</v>
      </c>
      <c r="BM1258" s="2">
        <v>5.75</v>
      </c>
      <c r="BN1258" s="2">
        <v>46.82</v>
      </c>
      <c r="BO1258" s="2">
        <v>46.82</v>
      </c>
      <c r="BP1258" s="2"/>
      <c r="BQ1258" s="2" t="s">
        <v>108</v>
      </c>
      <c r="BR1258" s="2" t="s">
        <v>187</v>
      </c>
      <c r="BS1258" s="3">
        <v>42943</v>
      </c>
      <c r="BT1258" s="4">
        <v>0.47152777777777777</v>
      </c>
      <c r="BU1258" s="2" t="s">
        <v>476</v>
      </c>
      <c r="BV1258" s="2" t="s">
        <v>95</v>
      </c>
      <c r="BW1258" s="2"/>
      <c r="BX1258" s="2"/>
      <c r="BY1258" s="2">
        <v>1200</v>
      </c>
      <c r="BZ1258" s="2"/>
      <c r="CA1258" s="2" t="s">
        <v>460</v>
      </c>
      <c r="CB1258" s="2"/>
      <c r="CC1258" s="2" t="s">
        <v>417</v>
      </c>
      <c r="CD1258" s="2">
        <v>7646</v>
      </c>
      <c r="CE1258" s="2" t="s">
        <v>104</v>
      </c>
      <c r="CF1258" s="5">
        <v>42945</v>
      </c>
      <c r="CG1258" s="2"/>
      <c r="CH1258" s="2"/>
      <c r="CI1258" s="2">
        <v>1</v>
      </c>
      <c r="CJ1258" s="2">
        <v>1</v>
      </c>
      <c r="CK1258" s="2">
        <v>21</v>
      </c>
      <c r="CL1258" s="2" t="s">
        <v>86</v>
      </c>
      <c r="CM1258" s="2"/>
    </row>
    <row r="1259" spans="1:91">
      <c r="A1259" s="2" t="s">
        <v>71</v>
      </c>
      <c r="B1259" s="2" t="s">
        <v>72</v>
      </c>
      <c r="C1259" s="2" t="s">
        <v>73</v>
      </c>
      <c r="D1259" s="2"/>
      <c r="E1259" s="2" t="str">
        <f>"FES1162568440"</f>
        <v>FES1162568440</v>
      </c>
      <c r="F1259" s="3">
        <v>42958</v>
      </c>
      <c r="G1259" s="2">
        <v>201802</v>
      </c>
      <c r="H1259" s="2" t="s">
        <v>74</v>
      </c>
      <c r="I1259" s="2" t="s">
        <v>75</v>
      </c>
      <c r="J1259" s="2" t="s">
        <v>76</v>
      </c>
      <c r="K1259" s="2" t="s">
        <v>77</v>
      </c>
      <c r="L1259" s="2" t="s">
        <v>149</v>
      </c>
      <c r="M1259" s="2" t="s">
        <v>150</v>
      </c>
      <c r="N1259" s="2" t="s">
        <v>1947</v>
      </c>
      <c r="O1259" s="2" t="s">
        <v>100</v>
      </c>
      <c r="P1259" s="2" t="str">
        <f>"2170584541                    "</f>
        <v xml:space="preserve">2170584541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4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1</v>
      </c>
      <c r="BJ1259" s="2">
        <v>0.2</v>
      </c>
      <c r="BK1259" s="2">
        <v>1</v>
      </c>
      <c r="BL1259" s="2">
        <v>41.44</v>
      </c>
      <c r="BM1259" s="2">
        <v>5.8</v>
      </c>
      <c r="BN1259" s="2">
        <v>47.24</v>
      </c>
      <c r="BO1259" s="2">
        <v>47.24</v>
      </c>
      <c r="BP1259" s="2"/>
      <c r="BQ1259" s="2" t="s">
        <v>1981</v>
      </c>
      <c r="BR1259" s="2" t="s">
        <v>84</v>
      </c>
      <c r="BS1259" s="3">
        <v>42961</v>
      </c>
      <c r="BT1259" s="4">
        <v>0.33402777777777781</v>
      </c>
      <c r="BU1259" s="2" t="s">
        <v>1948</v>
      </c>
      <c r="BV1259" s="2" t="s">
        <v>95</v>
      </c>
      <c r="BW1259" s="2"/>
      <c r="BX1259" s="2"/>
      <c r="BY1259" s="2">
        <v>1200</v>
      </c>
      <c r="BZ1259" s="2" t="s">
        <v>27</v>
      </c>
      <c r="CA1259" s="2" t="s">
        <v>1949</v>
      </c>
      <c r="CB1259" s="2"/>
      <c r="CC1259" s="2" t="s">
        <v>150</v>
      </c>
      <c r="CD1259" s="2">
        <v>4064</v>
      </c>
      <c r="CE1259" s="2" t="s">
        <v>104</v>
      </c>
      <c r="CF1259" s="5">
        <v>42962</v>
      </c>
      <c r="CG1259" s="2"/>
      <c r="CH1259" s="2"/>
      <c r="CI1259" s="2">
        <v>1</v>
      </c>
      <c r="CJ1259" s="2">
        <v>1</v>
      </c>
      <c r="CK1259" s="2">
        <v>21</v>
      </c>
      <c r="CL1259" s="2" t="s">
        <v>86</v>
      </c>
      <c r="CM1259" s="2"/>
    </row>
    <row r="1260" spans="1:91">
      <c r="A1260" s="2" t="s">
        <v>71</v>
      </c>
      <c r="B1260" s="2" t="s">
        <v>72</v>
      </c>
      <c r="C1260" s="2" t="s">
        <v>73</v>
      </c>
      <c r="D1260" s="2"/>
      <c r="E1260" s="2" t="str">
        <f>"FES1162563624D"</f>
        <v>FES1162563624D</v>
      </c>
      <c r="F1260" s="3">
        <v>42935</v>
      </c>
      <c r="G1260" s="2">
        <v>201802</v>
      </c>
      <c r="H1260" s="2" t="s">
        <v>74</v>
      </c>
      <c r="I1260" s="2" t="s">
        <v>75</v>
      </c>
      <c r="J1260" s="2" t="s">
        <v>118</v>
      </c>
      <c r="K1260" s="2" t="s">
        <v>77</v>
      </c>
      <c r="L1260" s="2" t="s">
        <v>1202</v>
      </c>
      <c r="M1260" s="2" t="s">
        <v>1203</v>
      </c>
      <c r="N1260" s="2" t="s">
        <v>1982</v>
      </c>
      <c r="O1260" s="2" t="s">
        <v>100</v>
      </c>
      <c r="P1260" s="2" t="str">
        <f>"                              "</f>
        <v xml:space="preserve">          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2.83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2.5</v>
      </c>
      <c r="BJ1260" s="2">
        <v>1</v>
      </c>
      <c r="BK1260" s="2">
        <v>3</v>
      </c>
      <c r="BL1260" s="2">
        <v>32.08</v>
      </c>
      <c r="BM1260" s="2">
        <v>4.49</v>
      </c>
      <c r="BN1260" s="2">
        <v>36.57</v>
      </c>
      <c r="BO1260" s="2">
        <v>36.57</v>
      </c>
      <c r="BP1260" s="2"/>
      <c r="BQ1260" s="2" t="s">
        <v>1983</v>
      </c>
      <c r="BR1260" s="2" t="s">
        <v>187</v>
      </c>
      <c r="BS1260" s="3">
        <v>42936</v>
      </c>
      <c r="BT1260" s="4">
        <v>0.28402777777777777</v>
      </c>
      <c r="BU1260" s="2" t="s">
        <v>1984</v>
      </c>
      <c r="BV1260" s="2" t="s">
        <v>95</v>
      </c>
      <c r="BW1260" s="2"/>
      <c r="BX1260" s="2"/>
      <c r="BY1260" s="2">
        <v>4920.8100000000004</v>
      </c>
      <c r="BZ1260" s="2"/>
      <c r="CA1260" s="2" t="s">
        <v>499</v>
      </c>
      <c r="CB1260" s="2"/>
      <c r="CC1260" s="2" t="s">
        <v>1203</v>
      </c>
      <c r="CD1260" s="2">
        <v>1501</v>
      </c>
      <c r="CE1260" s="2" t="s">
        <v>89</v>
      </c>
      <c r="CF1260" s="5">
        <v>42947</v>
      </c>
      <c r="CG1260" s="2"/>
      <c r="CH1260" s="2"/>
      <c r="CI1260" s="2">
        <v>1</v>
      </c>
      <c r="CJ1260" s="2">
        <v>1</v>
      </c>
      <c r="CK1260" s="2">
        <v>22</v>
      </c>
      <c r="CL1260" s="2" t="s">
        <v>86</v>
      </c>
      <c r="CM1260" s="2"/>
    </row>
    <row r="1261" spans="1:91">
      <c r="A1261" s="2" t="s">
        <v>71</v>
      </c>
      <c r="B1261" s="2" t="s">
        <v>72</v>
      </c>
      <c r="C1261" s="2" t="s">
        <v>73</v>
      </c>
      <c r="D1261" s="2"/>
      <c r="E1261" s="2" t="str">
        <f>"FES1162559705"</f>
        <v>FES1162559705</v>
      </c>
      <c r="F1261" s="3">
        <v>42958</v>
      </c>
      <c r="G1261" s="2">
        <v>201802</v>
      </c>
      <c r="H1261" s="2" t="s">
        <v>74</v>
      </c>
      <c r="I1261" s="2" t="s">
        <v>75</v>
      </c>
      <c r="J1261" s="2" t="s">
        <v>76</v>
      </c>
      <c r="K1261" s="2" t="s">
        <v>77</v>
      </c>
      <c r="L1261" s="2" t="s">
        <v>343</v>
      </c>
      <c r="M1261" s="2" t="s">
        <v>344</v>
      </c>
      <c r="N1261" s="2" t="s">
        <v>1225</v>
      </c>
      <c r="O1261" s="2" t="s">
        <v>100</v>
      </c>
      <c r="P1261" s="2" t="str">
        <f>"2170576716                    "</f>
        <v xml:space="preserve">2170576716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4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2</v>
      </c>
      <c r="BJ1261" s="2">
        <v>0.2</v>
      </c>
      <c r="BK1261" s="2">
        <v>2</v>
      </c>
      <c r="BL1261" s="2">
        <v>41.44</v>
      </c>
      <c r="BM1261" s="2">
        <v>5.8</v>
      </c>
      <c r="BN1261" s="2">
        <v>47.24</v>
      </c>
      <c r="BO1261" s="2">
        <v>47.24</v>
      </c>
      <c r="BP1261" s="2"/>
      <c r="BQ1261" s="2" t="s">
        <v>288</v>
      </c>
      <c r="BR1261" s="2" t="s">
        <v>84</v>
      </c>
      <c r="BS1261" s="3">
        <v>42961</v>
      </c>
      <c r="BT1261" s="4">
        <v>0.4375</v>
      </c>
      <c r="BU1261" s="2" t="s">
        <v>1946</v>
      </c>
      <c r="BV1261" s="2" t="s">
        <v>95</v>
      </c>
      <c r="BW1261" s="2"/>
      <c r="BX1261" s="2"/>
      <c r="BY1261" s="2">
        <v>1200</v>
      </c>
      <c r="BZ1261" s="2" t="s">
        <v>27</v>
      </c>
      <c r="CA1261" s="2" t="s">
        <v>347</v>
      </c>
      <c r="CB1261" s="2"/>
      <c r="CC1261" s="2" t="s">
        <v>344</v>
      </c>
      <c r="CD1261" s="2">
        <v>4133</v>
      </c>
      <c r="CE1261" s="2" t="s">
        <v>104</v>
      </c>
      <c r="CF1261" s="5">
        <v>42962</v>
      </c>
      <c r="CG1261" s="2"/>
      <c r="CH1261" s="2"/>
      <c r="CI1261" s="2">
        <v>1</v>
      </c>
      <c r="CJ1261" s="2">
        <v>1</v>
      </c>
      <c r="CK1261" s="2">
        <v>21</v>
      </c>
      <c r="CL1261" s="2" t="s">
        <v>86</v>
      </c>
      <c r="CM1261" s="2"/>
    </row>
    <row r="1262" spans="1:91">
      <c r="A1262" s="2" t="s">
        <v>71</v>
      </c>
      <c r="B1262" s="2" t="s">
        <v>72</v>
      </c>
      <c r="C1262" s="2" t="s">
        <v>73</v>
      </c>
      <c r="D1262" s="2"/>
      <c r="E1262" s="2" t="str">
        <f>"FES1162564867D"</f>
        <v>FES1162564867D</v>
      </c>
      <c r="F1262" s="3">
        <v>42942</v>
      </c>
      <c r="G1262" s="2">
        <v>201802</v>
      </c>
      <c r="H1262" s="2" t="s">
        <v>74</v>
      </c>
      <c r="I1262" s="2" t="s">
        <v>75</v>
      </c>
      <c r="J1262" s="2" t="s">
        <v>118</v>
      </c>
      <c r="K1262" s="2" t="s">
        <v>77</v>
      </c>
      <c r="L1262" s="2" t="s">
        <v>321</v>
      </c>
      <c r="M1262" s="2" t="s">
        <v>322</v>
      </c>
      <c r="N1262" s="2" t="s">
        <v>1362</v>
      </c>
      <c r="O1262" s="2" t="s">
        <v>100</v>
      </c>
      <c r="P1262" s="2" t="str">
        <f>"                              "</f>
        <v xml:space="preserve">           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3.63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1</v>
      </c>
      <c r="BJ1262" s="2">
        <v>0.2</v>
      </c>
      <c r="BK1262" s="2">
        <v>1</v>
      </c>
      <c r="BL1262" s="2">
        <v>41.07</v>
      </c>
      <c r="BM1262" s="2">
        <v>5.75</v>
      </c>
      <c r="BN1262" s="2">
        <v>46.82</v>
      </c>
      <c r="BO1262" s="2">
        <v>46.82</v>
      </c>
      <c r="BP1262" s="2"/>
      <c r="BQ1262" s="2" t="s">
        <v>108</v>
      </c>
      <c r="BR1262" s="2" t="s">
        <v>187</v>
      </c>
      <c r="BS1262" s="3">
        <v>42943</v>
      </c>
      <c r="BT1262" s="4">
        <v>0.37222222222222223</v>
      </c>
      <c r="BU1262" s="2" t="s">
        <v>1985</v>
      </c>
      <c r="BV1262" s="2" t="s">
        <v>95</v>
      </c>
      <c r="BW1262" s="2"/>
      <c r="BX1262" s="2"/>
      <c r="BY1262" s="2">
        <v>1200</v>
      </c>
      <c r="BZ1262" s="2"/>
      <c r="CA1262" s="2" t="s">
        <v>103</v>
      </c>
      <c r="CB1262" s="2"/>
      <c r="CC1262" s="2" t="s">
        <v>322</v>
      </c>
      <c r="CD1262" s="2">
        <v>6220</v>
      </c>
      <c r="CE1262" s="2" t="s">
        <v>104</v>
      </c>
      <c r="CF1262" s="5">
        <v>42944</v>
      </c>
      <c r="CG1262" s="2"/>
      <c r="CH1262" s="2"/>
      <c r="CI1262" s="2">
        <v>1</v>
      </c>
      <c r="CJ1262" s="2">
        <v>1</v>
      </c>
      <c r="CK1262" s="2">
        <v>21</v>
      </c>
      <c r="CL1262" s="2" t="s">
        <v>86</v>
      </c>
      <c r="CM1262" s="2"/>
    </row>
    <row r="1263" spans="1:91">
      <c r="A1263" s="2" t="s">
        <v>71</v>
      </c>
      <c r="B1263" s="2" t="s">
        <v>72</v>
      </c>
      <c r="C1263" s="2" t="s">
        <v>73</v>
      </c>
      <c r="D1263" s="2"/>
      <c r="E1263" s="2" t="str">
        <f>"FES1162568480"</f>
        <v>FES1162568480</v>
      </c>
      <c r="F1263" s="3">
        <v>42958</v>
      </c>
      <c r="G1263" s="2">
        <v>201802</v>
      </c>
      <c r="H1263" s="2" t="s">
        <v>74</v>
      </c>
      <c r="I1263" s="2" t="s">
        <v>75</v>
      </c>
      <c r="J1263" s="2" t="s">
        <v>76</v>
      </c>
      <c r="K1263" s="2" t="s">
        <v>77</v>
      </c>
      <c r="L1263" s="2" t="s">
        <v>343</v>
      </c>
      <c r="M1263" s="2" t="s">
        <v>344</v>
      </c>
      <c r="N1263" s="2" t="s">
        <v>351</v>
      </c>
      <c r="O1263" s="2" t="s">
        <v>100</v>
      </c>
      <c r="P1263" s="2" t="str">
        <f>"2170584399                    "</f>
        <v xml:space="preserve">2170584399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4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1</v>
      </c>
      <c r="BI1263" s="2">
        <v>1</v>
      </c>
      <c r="BJ1263" s="2">
        <v>0.2</v>
      </c>
      <c r="BK1263" s="2">
        <v>1</v>
      </c>
      <c r="BL1263" s="2">
        <v>41.44</v>
      </c>
      <c r="BM1263" s="2">
        <v>5.8</v>
      </c>
      <c r="BN1263" s="2">
        <v>47.24</v>
      </c>
      <c r="BO1263" s="2">
        <v>47.24</v>
      </c>
      <c r="BP1263" s="2"/>
      <c r="BQ1263" s="2" t="s">
        <v>1582</v>
      </c>
      <c r="BR1263" s="2" t="s">
        <v>84</v>
      </c>
      <c r="BS1263" s="3">
        <v>42961</v>
      </c>
      <c r="BT1263" s="4">
        <v>0.38541666666666669</v>
      </c>
      <c r="BU1263" s="2" t="s">
        <v>352</v>
      </c>
      <c r="BV1263" s="2" t="s">
        <v>95</v>
      </c>
      <c r="BW1263" s="2"/>
      <c r="BX1263" s="2"/>
      <c r="BY1263" s="2">
        <v>1200</v>
      </c>
      <c r="BZ1263" s="2" t="s">
        <v>27</v>
      </c>
      <c r="CA1263" s="2" t="s">
        <v>347</v>
      </c>
      <c r="CB1263" s="2"/>
      <c r="CC1263" s="2" t="s">
        <v>344</v>
      </c>
      <c r="CD1263" s="2">
        <v>4133</v>
      </c>
      <c r="CE1263" s="2" t="s">
        <v>104</v>
      </c>
      <c r="CF1263" s="5">
        <v>42962</v>
      </c>
      <c r="CG1263" s="2"/>
      <c r="CH1263" s="2"/>
      <c r="CI1263" s="2">
        <v>1</v>
      </c>
      <c r="CJ1263" s="2">
        <v>1</v>
      </c>
      <c r="CK1263" s="2">
        <v>21</v>
      </c>
      <c r="CL1263" s="2" t="s">
        <v>86</v>
      </c>
      <c r="CM1263" s="2"/>
    </row>
    <row r="1264" spans="1:91">
      <c r="A1264" s="2" t="s">
        <v>71</v>
      </c>
      <c r="B1264" s="2" t="s">
        <v>72</v>
      </c>
      <c r="C1264" s="2" t="s">
        <v>73</v>
      </c>
      <c r="D1264" s="2"/>
      <c r="E1264" s="2" t="str">
        <f>"FES1162568478"</f>
        <v>FES1162568478</v>
      </c>
      <c r="F1264" s="3">
        <v>42958</v>
      </c>
      <c r="G1264" s="2">
        <v>201802</v>
      </c>
      <c r="H1264" s="2" t="s">
        <v>74</v>
      </c>
      <c r="I1264" s="2" t="s">
        <v>75</v>
      </c>
      <c r="J1264" s="2" t="s">
        <v>76</v>
      </c>
      <c r="K1264" s="2" t="s">
        <v>77</v>
      </c>
      <c r="L1264" s="2" t="s">
        <v>237</v>
      </c>
      <c r="M1264" s="2" t="s">
        <v>238</v>
      </c>
      <c r="N1264" s="2" t="s">
        <v>1986</v>
      </c>
      <c r="O1264" s="2" t="s">
        <v>100</v>
      </c>
      <c r="P1264" s="2" t="str">
        <f>"2170584574                    "</f>
        <v xml:space="preserve">2170584574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4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1</v>
      </c>
      <c r="BJ1264" s="2">
        <v>0.2</v>
      </c>
      <c r="BK1264" s="2">
        <v>1</v>
      </c>
      <c r="BL1264" s="2">
        <v>41.44</v>
      </c>
      <c r="BM1264" s="2">
        <v>5.8</v>
      </c>
      <c r="BN1264" s="2">
        <v>47.24</v>
      </c>
      <c r="BO1264" s="2">
        <v>47.24</v>
      </c>
      <c r="BP1264" s="2"/>
      <c r="BQ1264" s="2" t="s">
        <v>288</v>
      </c>
      <c r="BR1264" s="2" t="s">
        <v>84</v>
      </c>
      <c r="BS1264" s="3">
        <v>42961</v>
      </c>
      <c r="BT1264" s="4">
        <v>0.36805555555555558</v>
      </c>
      <c r="BU1264" s="2" t="s">
        <v>1651</v>
      </c>
      <c r="BV1264" s="2" t="s">
        <v>95</v>
      </c>
      <c r="BW1264" s="2"/>
      <c r="BX1264" s="2"/>
      <c r="BY1264" s="2">
        <v>1200</v>
      </c>
      <c r="BZ1264" s="2" t="s">
        <v>27</v>
      </c>
      <c r="CA1264" s="2" t="s">
        <v>401</v>
      </c>
      <c r="CB1264" s="2"/>
      <c r="CC1264" s="2" t="s">
        <v>238</v>
      </c>
      <c r="CD1264" s="2">
        <v>3610</v>
      </c>
      <c r="CE1264" s="2" t="s">
        <v>104</v>
      </c>
      <c r="CF1264" s="5">
        <v>42962</v>
      </c>
      <c r="CG1264" s="2"/>
      <c r="CH1264" s="2"/>
      <c r="CI1264" s="2">
        <v>1</v>
      </c>
      <c r="CJ1264" s="2">
        <v>1</v>
      </c>
      <c r="CK1264" s="2">
        <v>21</v>
      </c>
      <c r="CL1264" s="2" t="s">
        <v>86</v>
      </c>
      <c r="CM1264" s="2"/>
    </row>
    <row r="1265" spans="1:91">
      <c r="A1265" s="2" t="s">
        <v>71</v>
      </c>
      <c r="B1265" s="2" t="s">
        <v>72</v>
      </c>
      <c r="C1265" s="2" t="s">
        <v>73</v>
      </c>
      <c r="D1265" s="2"/>
      <c r="E1265" s="2" t="str">
        <f>"FES1162564871D"</f>
        <v>FES1162564871D</v>
      </c>
      <c r="F1265" s="3">
        <v>42942</v>
      </c>
      <c r="G1265" s="2">
        <v>201802</v>
      </c>
      <c r="H1265" s="2" t="s">
        <v>74</v>
      </c>
      <c r="I1265" s="2" t="s">
        <v>75</v>
      </c>
      <c r="J1265" s="2" t="s">
        <v>118</v>
      </c>
      <c r="K1265" s="2" t="s">
        <v>77</v>
      </c>
      <c r="L1265" s="2" t="s">
        <v>268</v>
      </c>
      <c r="M1265" s="2" t="s">
        <v>269</v>
      </c>
      <c r="N1265" s="2" t="s">
        <v>351</v>
      </c>
      <c r="O1265" s="2" t="s">
        <v>100</v>
      </c>
      <c r="P1265" s="2" t="str">
        <f>"                              "</f>
        <v xml:space="preserve">          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3.63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</v>
      </c>
      <c r="BJ1265" s="2">
        <v>0.2</v>
      </c>
      <c r="BK1265" s="2">
        <v>1</v>
      </c>
      <c r="BL1265" s="2">
        <v>41.07</v>
      </c>
      <c r="BM1265" s="2">
        <v>5.75</v>
      </c>
      <c r="BN1265" s="2">
        <v>46.82</v>
      </c>
      <c r="BO1265" s="2">
        <v>46.82</v>
      </c>
      <c r="BP1265" s="2"/>
      <c r="BQ1265" s="2" t="s">
        <v>108</v>
      </c>
      <c r="BR1265" s="2" t="s">
        <v>187</v>
      </c>
      <c r="BS1265" s="3">
        <v>42943</v>
      </c>
      <c r="BT1265" s="4">
        <v>0.43402777777777773</v>
      </c>
      <c r="BU1265" s="2" t="s">
        <v>392</v>
      </c>
      <c r="BV1265" s="2" t="s">
        <v>95</v>
      </c>
      <c r="BW1265" s="2"/>
      <c r="BX1265" s="2"/>
      <c r="BY1265" s="2">
        <v>1200</v>
      </c>
      <c r="BZ1265" s="2"/>
      <c r="CA1265" s="2"/>
      <c r="CB1265" s="2"/>
      <c r="CC1265" s="2" t="s">
        <v>269</v>
      </c>
      <c r="CD1265" s="2">
        <v>200</v>
      </c>
      <c r="CE1265" s="2" t="s">
        <v>104</v>
      </c>
      <c r="CF1265" s="5">
        <v>42944</v>
      </c>
      <c r="CG1265" s="2"/>
      <c r="CH1265" s="2"/>
      <c r="CI1265" s="2">
        <v>1</v>
      </c>
      <c r="CJ1265" s="2">
        <v>1</v>
      </c>
      <c r="CK1265" s="2">
        <v>21</v>
      </c>
      <c r="CL1265" s="2" t="s">
        <v>86</v>
      </c>
      <c r="CM1265" s="2"/>
    </row>
    <row r="1266" spans="1:91">
      <c r="A1266" s="2" t="s">
        <v>71</v>
      </c>
      <c r="B1266" s="2" t="s">
        <v>72</v>
      </c>
      <c r="C1266" s="2" t="s">
        <v>73</v>
      </c>
      <c r="D1266" s="2"/>
      <c r="E1266" s="2" t="str">
        <f>"FES1162568434"</f>
        <v>FES1162568434</v>
      </c>
      <c r="F1266" s="3">
        <v>42958</v>
      </c>
      <c r="G1266" s="2">
        <v>201802</v>
      </c>
      <c r="H1266" s="2" t="s">
        <v>74</v>
      </c>
      <c r="I1266" s="2" t="s">
        <v>75</v>
      </c>
      <c r="J1266" s="2" t="s">
        <v>76</v>
      </c>
      <c r="K1266" s="2" t="s">
        <v>77</v>
      </c>
      <c r="L1266" s="2" t="s">
        <v>343</v>
      </c>
      <c r="M1266" s="2" t="s">
        <v>344</v>
      </c>
      <c r="N1266" s="2" t="s">
        <v>1961</v>
      </c>
      <c r="O1266" s="2" t="s">
        <v>100</v>
      </c>
      <c r="P1266" s="2" t="str">
        <f>"2170584537                    "</f>
        <v xml:space="preserve">2170584537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4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1</v>
      </c>
      <c r="BI1266" s="2">
        <v>1</v>
      </c>
      <c r="BJ1266" s="2">
        <v>0.2</v>
      </c>
      <c r="BK1266" s="2">
        <v>1</v>
      </c>
      <c r="BL1266" s="2">
        <v>41.44</v>
      </c>
      <c r="BM1266" s="2">
        <v>5.8</v>
      </c>
      <c r="BN1266" s="2">
        <v>47.24</v>
      </c>
      <c r="BO1266" s="2">
        <v>47.24</v>
      </c>
      <c r="BP1266" s="2"/>
      <c r="BQ1266" s="2" t="s">
        <v>288</v>
      </c>
      <c r="BR1266" s="2" t="s">
        <v>84</v>
      </c>
      <c r="BS1266" s="3">
        <v>42961</v>
      </c>
      <c r="BT1266" s="4">
        <v>0.4375</v>
      </c>
      <c r="BU1266" s="2" t="s">
        <v>1822</v>
      </c>
      <c r="BV1266" s="2" t="s">
        <v>95</v>
      </c>
      <c r="BW1266" s="2"/>
      <c r="BX1266" s="2"/>
      <c r="BY1266" s="2">
        <v>1200</v>
      </c>
      <c r="BZ1266" s="2" t="s">
        <v>27</v>
      </c>
      <c r="CA1266" s="2" t="s">
        <v>347</v>
      </c>
      <c r="CB1266" s="2"/>
      <c r="CC1266" s="2" t="s">
        <v>344</v>
      </c>
      <c r="CD1266" s="2">
        <v>4133</v>
      </c>
      <c r="CE1266" s="2" t="s">
        <v>104</v>
      </c>
      <c r="CF1266" s="5">
        <v>42962</v>
      </c>
      <c r="CG1266" s="2"/>
      <c r="CH1266" s="2"/>
      <c r="CI1266" s="2">
        <v>1</v>
      </c>
      <c r="CJ1266" s="2">
        <v>1</v>
      </c>
      <c r="CK1266" s="2">
        <v>21</v>
      </c>
      <c r="CL1266" s="2" t="s">
        <v>86</v>
      </c>
      <c r="CM1266" s="2"/>
    </row>
    <row r="1267" spans="1:91">
      <c r="A1267" s="2" t="s">
        <v>71</v>
      </c>
      <c r="B1267" s="2" t="s">
        <v>72</v>
      </c>
      <c r="C1267" s="2" t="s">
        <v>73</v>
      </c>
      <c r="D1267" s="2"/>
      <c r="E1267" s="2" t="str">
        <f>"FES1162568488"</f>
        <v>FES1162568488</v>
      </c>
      <c r="F1267" s="3">
        <v>42958</v>
      </c>
      <c r="G1267" s="2">
        <v>201802</v>
      </c>
      <c r="H1267" s="2" t="s">
        <v>74</v>
      </c>
      <c r="I1267" s="2" t="s">
        <v>75</v>
      </c>
      <c r="J1267" s="2" t="s">
        <v>76</v>
      </c>
      <c r="K1267" s="2" t="s">
        <v>77</v>
      </c>
      <c r="L1267" s="2" t="s">
        <v>306</v>
      </c>
      <c r="M1267" s="2" t="s">
        <v>307</v>
      </c>
      <c r="N1267" s="2" t="s">
        <v>1987</v>
      </c>
      <c r="O1267" s="2" t="s">
        <v>100</v>
      </c>
      <c r="P1267" s="2" t="str">
        <f>"2170584025                    "</f>
        <v xml:space="preserve">2170584025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4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1</v>
      </c>
      <c r="BI1267" s="2">
        <v>2</v>
      </c>
      <c r="BJ1267" s="2">
        <v>1.5</v>
      </c>
      <c r="BK1267" s="2">
        <v>2</v>
      </c>
      <c r="BL1267" s="2">
        <v>41.44</v>
      </c>
      <c r="BM1267" s="2">
        <v>5.8</v>
      </c>
      <c r="BN1267" s="2">
        <v>47.24</v>
      </c>
      <c r="BO1267" s="2">
        <v>47.24</v>
      </c>
      <c r="BP1267" s="2"/>
      <c r="BQ1267" s="2" t="s">
        <v>83</v>
      </c>
      <c r="BR1267" s="2" t="s">
        <v>84</v>
      </c>
      <c r="BS1267" s="3">
        <v>42961</v>
      </c>
      <c r="BT1267" s="4">
        <v>0.40416666666666662</v>
      </c>
      <c r="BU1267" s="2" t="s">
        <v>1988</v>
      </c>
      <c r="BV1267" s="2" t="s">
        <v>95</v>
      </c>
      <c r="BW1267" s="2"/>
      <c r="BX1267" s="2"/>
      <c r="BY1267" s="2">
        <v>7540</v>
      </c>
      <c r="BZ1267" s="2" t="s">
        <v>27</v>
      </c>
      <c r="CA1267" s="2" t="s">
        <v>951</v>
      </c>
      <c r="CB1267" s="2"/>
      <c r="CC1267" s="2" t="s">
        <v>307</v>
      </c>
      <c r="CD1267" s="2">
        <v>1961</v>
      </c>
      <c r="CE1267" s="2" t="s">
        <v>89</v>
      </c>
      <c r="CF1267" s="5">
        <v>42962</v>
      </c>
      <c r="CG1267" s="2"/>
      <c r="CH1267" s="2"/>
      <c r="CI1267" s="2">
        <v>1</v>
      </c>
      <c r="CJ1267" s="2">
        <v>1</v>
      </c>
      <c r="CK1267" s="2">
        <v>21</v>
      </c>
      <c r="CL1267" s="2" t="s">
        <v>86</v>
      </c>
      <c r="CM1267" s="2"/>
    </row>
    <row r="1268" spans="1:91">
      <c r="A1268" s="2" t="s">
        <v>71</v>
      </c>
      <c r="B1268" s="2" t="s">
        <v>72</v>
      </c>
      <c r="C1268" s="2" t="s">
        <v>73</v>
      </c>
      <c r="D1268" s="2"/>
      <c r="E1268" s="2" t="str">
        <f>"FES1162564872D"</f>
        <v>FES1162564872D</v>
      </c>
      <c r="F1268" s="3">
        <v>42942</v>
      </c>
      <c r="G1268" s="2">
        <v>201802</v>
      </c>
      <c r="H1268" s="2" t="s">
        <v>74</v>
      </c>
      <c r="I1268" s="2" t="s">
        <v>75</v>
      </c>
      <c r="J1268" s="2" t="s">
        <v>118</v>
      </c>
      <c r="K1268" s="2" t="s">
        <v>77</v>
      </c>
      <c r="L1268" s="2" t="s">
        <v>1989</v>
      </c>
      <c r="M1268" s="2" t="s">
        <v>1990</v>
      </c>
      <c r="N1268" s="2" t="s">
        <v>1991</v>
      </c>
      <c r="O1268" s="2" t="s">
        <v>100</v>
      </c>
      <c r="P1268" s="2" t="str">
        <f>"                              "</f>
        <v xml:space="preserve">          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7.03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1</v>
      </c>
      <c r="BJ1268" s="2">
        <v>0.2</v>
      </c>
      <c r="BK1268" s="2">
        <v>1</v>
      </c>
      <c r="BL1268" s="2">
        <v>79.569999999999993</v>
      </c>
      <c r="BM1268" s="2">
        <v>11.14</v>
      </c>
      <c r="BN1268" s="2">
        <v>90.71</v>
      </c>
      <c r="BO1268" s="2">
        <v>90.71</v>
      </c>
      <c r="BP1268" s="2"/>
      <c r="BQ1268" s="2" t="s">
        <v>83</v>
      </c>
      <c r="BR1268" s="2" t="s">
        <v>187</v>
      </c>
      <c r="BS1268" s="3">
        <v>42943</v>
      </c>
      <c r="BT1268" s="4">
        <v>0.43055555555555558</v>
      </c>
      <c r="BU1268" s="2" t="s">
        <v>1992</v>
      </c>
      <c r="BV1268" s="2" t="s">
        <v>95</v>
      </c>
      <c r="BW1268" s="2"/>
      <c r="BX1268" s="2"/>
      <c r="BY1268" s="2">
        <v>1200</v>
      </c>
      <c r="BZ1268" s="2"/>
      <c r="CA1268" s="2" t="s">
        <v>1993</v>
      </c>
      <c r="CB1268" s="2"/>
      <c r="CC1268" s="2" t="s">
        <v>1990</v>
      </c>
      <c r="CD1268" s="2">
        <v>6506</v>
      </c>
      <c r="CE1268" s="2" t="s">
        <v>104</v>
      </c>
      <c r="CF1268" s="5">
        <v>42944</v>
      </c>
      <c r="CG1268" s="2"/>
      <c r="CH1268" s="2"/>
      <c r="CI1268" s="2">
        <v>1</v>
      </c>
      <c r="CJ1268" s="2">
        <v>1</v>
      </c>
      <c r="CK1268" s="2">
        <v>23</v>
      </c>
      <c r="CL1268" s="2" t="s">
        <v>86</v>
      </c>
      <c r="CM1268" s="2"/>
    </row>
    <row r="1269" spans="1:91">
      <c r="A1269" s="2" t="s">
        <v>71</v>
      </c>
      <c r="B1269" s="2" t="s">
        <v>72</v>
      </c>
      <c r="C1269" s="2" t="s">
        <v>73</v>
      </c>
      <c r="D1269" s="2"/>
      <c r="E1269" s="2" t="str">
        <f>"FES1162568477"</f>
        <v>FES1162568477</v>
      </c>
      <c r="F1269" s="3">
        <v>42958</v>
      </c>
      <c r="G1269" s="2">
        <v>201802</v>
      </c>
      <c r="H1269" s="2" t="s">
        <v>74</v>
      </c>
      <c r="I1269" s="2" t="s">
        <v>75</v>
      </c>
      <c r="J1269" s="2" t="s">
        <v>76</v>
      </c>
      <c r="K1269" s="2" t="s">
        <v>77</v>
      </c>
      <c r="L1269" s="2" t="s">
        <v>105</v>
      </c>
      <c r="M1269" s="2" t="s">
        <v>106</v>
      </c>
      <c r="N1269" s="2" t="s">
        <v>1994</v>
      </c>
      <c r="O1269" s="2" t="s">
        <v>100</v>
      </c>
      <c r="P1269" s="2" t="str">
        <f>"2170584573                    "</f>
        <v xml:space="preserve">2170584573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4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1</v>
      </c>
      <c r="BI1269" s="2">
        <v>1</v>
      </c>
      <c r="BJ1269" s="2">
        <v>0.2</v>
      </c>
      <c r="BK1269" s="2">
        <v>1</v>
      </c>
      <c r="BL1269" s="2">
        <v>41.44</v>
      </c>
      <c r="BM1269" s="2">
        <v>5.8</v>
      </c>
      <c r="BN1269" s="2">
        <v>47.24</v>
      </c>
      <c r="BO1269" s="2">
        <v>47.24</v>
      </c>
      <c r="BP1269" s="2"/>
      <c r="BQ1269" s="2" t="s">
        <v>288</v>
      </c>
      <c r="BR1269" s="2" t="s">
        <v>84</v>
      </c>
      <c r="BS1269" s="3">
        <v>42961</v>
      </c>
      <c r="BT1269" s="4">
        <v>0.3840277777777778</v>
      </c>
      <c r="BU1269" s="2" t="s">
        <v>1995</v>
      </c>
      <c r="BV1269" s="2" t="s">
        <v>95</v>
      </c>
      <c r="BW1269" s="2"/>
      <c r="BX1269" s="2"/>
      <c r="BY1269" s="2">
        <v>1200</v>
      </c>
      <c r="BZ1269" s="2" t="s">
        <v>27</v>
      </c>
      <c r="CA1269" s="2" t="s">
        <v>1591</v>
      </c>
      <c r="CB1269" s="2"/>
      <c r="CC1269" s="2" t="s">
        <v>106</v>
      </c>
      <c r="CD1269" s="2">
        <v>7780</v>
      </c>
      <c r="CE1269" s="2" t="s">
        <v>104</v>
      </c>
      <c r="CF1269" s="5">
        <v>42962</v>
      </c>
      <c r="CG1269" s="2"/>
      <c r="CH1269" s="2"/>
      <c r="CI1269" s="2">
        <v>1</v>
      </c>
      <c r="CJ1269" s="2">
        <v>1</v>
      </c>
      <c r="CK1269" s="2">
        <v>21</v>
      </c>
      <c r="CL1269" s="2" t="s">
        <v>86</v>
      </c>
      <c r="CM1269" s="2"/>
    </row>
    <row r="1270" spans="1:91">
      <c r="A1270" s="2" t="s">
        <v>71</v>
      </c>
      <c r="B1270" s="2" t="s">
        <v>72</v>
      </c>
      <c r="C1270" s="2" t="s">
        <v>73</v>
      </c>
      <c r="D1270" s="2"/>
      <c r="E1270" s="2" t="str">
        <f>"FES1162568503"</f>
        <v>FES1162568503</v>
      </c>
      <c r="F1270" s="3">
        <v>42958</v>
      </c>
      <c r="G1270" s="2">
        <v>201802</v>
      </c>
      <c r="H1270" s="2" t="s">
        <v>74</v>
      </c>
      <c r="I1270" s="2" t="s">
        <v>75</v>
      </c>
      <c r="J1270" s="2" t="s">
        <v>76</v>
      </c>
      <c r="K1270" s="2" t="s">
        <v>77</v>
      </c>
      <c r="L1270" s="2" t="s">
        <v>1663</v>
      </c>
      <c r="M1270" s="2" t="s">
        <v>1664</v>
      </c>
      <c r="N1270" s="2" t="s">
        <v>1996</v>
      </c>
      <c r="O1270" s="2" t="s">
        <v>100</v>
      </c>
      <c r="P1270" s="2" t="str">
        <f>"2170584593                    "</f>
        <v xml:space="preserve">2170584593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4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1</v>
      </c>
      <c r="BJ1270" s="2">
        <v>0.2</v>
      </c>
      <c r="BK1270" s="2">
        <v>1</v>
      </c>
      <c r="BL1270" s="2">
        <v>41.44</v>
      </c>
      <c r="BM1270" s="2">
        <v>5.8</v>
      </c>
      <c r="BN1270" s="2">
        <v>47.24</v>
      </c>
      <c r="BO1270" s="2">
        <v>47.24</v>
      </c>
      <c r="BP1270" s="2"/>
      <c r="BQ1270" s="2" t="s">
        <v>288</v>
      </c>
      <c r="BR1270" s="2" t="s">
        <v>84</v>
      </c>
      <c r="BS1270" s="3">
        <v>42961</v>
      </c>
      <c r="BT1270" s="4">
        <v>0.45833333333333331</v>
      </c>
      <c r="BU1270" s="2" t="s">
        <v>1997</v>
      </c>
      <c r="BV1270" s="2" t="s">
        <v>95</v>
      </c>
      <c r="BW1270" s="2"/>
      <c r="BX1270" s="2"/>
      <c r="BY1270" s="2">
        <v>1200</v>
      </c>
      <c r="BZ1270" s="2" t="s">
        <v>27</v>
      </c>
      <c r="CA1270" s="2" t="s">
        <v>148</v>
      </c>
      <c r="CB1270" s="2"/>
      <c r="CC1270" s="2" t="s">
        <v>1664</v>
      </c>
      <c r="CD1270" s="2">
        <v>3310</v>
      </c>
      <c r="CE1270" s="2" t="s">
        <v>104</v>
      </c>
      <c r="CF1270" s="5">
        <v>42963</v>
      </c>
      <c r="CG1270" s="2"/>
      <c r="CH1270" s="2"/>
      <c r="CI1270" s="2">
        <v>1</v>
      </c>
      <c r="CJ1270" s="2">
        <v>1</v>
      </c>
      <c r="CK1270" s="2">
        <v>21</v>
      </c>
      <c r="CL1270" s="2" t="s">
        <v>86</v>
      </c>
      <c r="CM1270" s="2"/>
    </row>
    <row r="1271" spans="1:91">
      <c r="A1271" s="2" t="s">
        <v>71</v>
      </c>
      <c r="B1271" s="2" t="s">
        <v>72</v>
      </c>
      <c r="C1271" s="2" t="s">
        <v>73</v>
      </c>
      <c r="D1271" s="2"/>
      <c r="E1271" s="2" t="str">
        <f>"FES1162564876D"</f>
        <v>FES1162564876D</v>
      </c>
      <c r="F1271" s="3">
        <v>42942</v>
      </c>
      <c r="G1271" s="2">
        <v>201802</v>
      </c>
      <c r="H1271" s="2" t="s">
        <v>74</v>
      </c>
      <c r="I1271" s="2" t="s">
        <v>75</v>
      </c>
      <c r="J1271" s="2" t="s">
        <v>118</v>
      </c>
      <c r="K1271" s="2" t="s">
        <v>77</v>
      </c>
      <c r="L1271" s="2" t="s">
        <v>144</v>
      </c>
      <c r="M1271" s="2" t="s">
        <v>145</v>
      </c>
      <c r="N1271" s="2" t="s">
        <v>282</v>
      </c>
      <c r="O1271" s="2" t="s">
        <v>100</v>
      </c>
      <c r="P1271" s="2" t="str">
        <f>"                              "</f>
        <v xml:space="preserve">          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2.83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0.9</v>
      </c>
      <c r="BJ1271" s="2">
        <v>1.3</v>
      </c>
      <c r="BK1271" s="2">
        <v>2</v>
      </c>
      <c r="BL1271" s="2">
        <v>32.08</v>
      </c>
      <c r="BM1271" s="2">
        <v>4.49</v>
      </c>
      <c r="BN1271" s="2">
        <v>36.57</v>
      </c>
      <c r="BO1271" s="2">
        <v>36.57</v>
      </c>
      <c r="BP1271" s="2"/>
      <c r="BQ1271" s="2" t="s">
        <v>83</v>
      </c>
      <c r="BR1271" s="2" t="s">
        <v>187</v>
      </c>
      <c r="BS1271" s="3">
        <v>42943</v>
      </c>
      <c r="BT1271" s="4">
        <v>0.33124999999999999</v>
      </c>
      <c r="BU1271" s="2" t="s">
        <v>1998</v>
      </c>
      <c r="BV1271" s="2" t="s">
        <v>95</v>
      </c>
      <c r="BW1271" s="2"/>
      <c r="BX1271" s="2"/>
      <c r="BY1271" s="2">
        <v>6636.83</v>
      </c>
      <c r="BZ1271" s="2"/>
      <c r="CA1271" s="2" t="s">
        <v>1238</v>
      </c>
      <c r="CB1271" s="2"/>
      <c r="CC1271" s="2" t="s">
        <v>145</v>
      </c>
      <c r="CD1271" s="2">
        <v>2094</v>
      </c>
      <c r="CE1271" s="2" t="s">
        <v>104</v>
      </c>
      <c r="CF1271" s="5">
        <v>42944</v>
      </c>
      <c r="CG1271" s="2"/>
      <c r="CH1271" s="2"/>
      <c r="CI1271" s="2">
        <v>1</v>
      </c>
      <c r="CJ1271" s="2">
        <v>1</v>
      </c>
      <c r="CK1271" s="2">
        <v>22</v>
      </c>
      <c r="CL1271" s="2" t="s">
        <v>86</v>
      </c>
      <c r="CM1271" s="2"/>
    </row>
    <row r="1272" spans="1:91">
      <c r="A1272" s="2" t="s">
        <v>71</v>
      </c>
      <c r="B1272" s="2" t="s">
        <v>72</v>
      </c>
      <c r="C1272" s="2" t="s">
        <v>73</v>
      </c>
      <c r="D1272" s="2"/>
      <c r="E1272" s="2" t="str">
        <f>"FES1162565443"</f>
        <v>FES1162565443</v>
      </c>
      <c r="F1272" s="3">
        <v>42958</v>
      </c>
      <c r="G1272" s="2">
        <v>201802</v>
      </c>
      <c r="H1272" s="2" t="s">
        <v>74</v>
      </c>
      <c r="I1272" s="2" t="s">
        <v>75</v>
      </c>
      <c r="J1272" s="2" t="s">
        <v>76</v>
      </c>
      <c r="K1272" s="2" t="s">
        <v>77</v>
      </c>
      <c r="L1272" s="2" t="s">
        <v>343</v>
      </c>
      <c r="M1272" s="2" t="s">
        <v>344</v>
      </c>
      <c r="N1272" s="2" t="s">
        <v>1225</v>
      </c>
      <c r="O1272" s="2" t="s">
        <v>100</v>
      </c>
      <c r="P1272" s="2" t="str">
        <f>"2170582004                    "</f>
        <v xml:space="preserve">2170582004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4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1</v>
      </c>
      <c r="BJ1272" s="2">
        <v>0.2</v>
      </c>
      <c r="BK1272" s="2">
        <v>1</v>
      </c>
      <c r="BL1272" s="2">
        <v>41.44</v>
      </c>
      <c r="BM1272" s="2">
        <v>5.8</v>
      </c>
      <c r="BN1272" s="2">
        <v>47.24</v>
      </c>
      <c r="BO1272" s="2">
        <v>47.24</v>
      </c>
      <c r="BP1272" s="2"/>
      <c r="BQ1272" s="2" t="s">
        <v>288</v>
      </c>
      <c r="BR1272" s="2" t="s">
        <v>84</v>
      </c>
      <c r="BS1272" s="3">
        <v>42961</v>
      </c>
      <c r="BT1272" s="4">
        <v>0.4375</v>
      </c>
      <c r="BU1272" s="2" t="s">
        <v>1999</v>
      </c>
      <c r="BV1272" s="2" t="s">
        <v>95</v>
      </c>
      <c r="BW1272" s="2"/>
      <c r="BX1272" s="2"/>
      <c r="BY1272" s="2">
        <v>1200</v>
      </c>
      <c r="BZ1272" s="2" t="s">
        <v>27</v>
      </c>
      <c r="CA1272" s="2" t="s">
        <v>347</v>
      </c>
      <c r="CB1272" s="2"/>
      <c r="CC1272" s="2" t="s">
        <v>344</v>
      </c>
      <c r="CD1272" s="2">
        <v>4133</v>
      </c>
      <c r="CE1272" s="2" t="s">
        <v>104</v>
      </c>
      <c r="CF1272" s="5">
        <v>42962</v>
      </c>
      <c r="CG1272" s="2"/>
      <c r="CH1272" s="2"/>
      <c r="CI1272" s="2">
        <v>1</v>
      </c>
      <c r="CJ1272" s="2">
        <v>1</v>
      </c>
      <c r="CK1272" s="2">
        <v>21</v>
      </c>
      <c r="CL1272" s="2" t="s">
        <v>86</v>
      </c>
      <c r="CM1272" s="2"/>
    </row>
    <row r="1273" spans="1:91">
      <c r="A1273" s="2" t="s">
        <v>71</v>
      </c>
      <c r="B1273" s="2" t="s">
        <v>72</v>
      </c>
      <c r="C1273" s="2" t="s">
        <v>73</v>
      </c>
      <c r="D1273" s="2"/>
      <c r="E1273" s="2" t="str">
        <f>"FES1162563621D"</f>
        <v>FES1162563621D</v>
      </c>
      <c r="F1273" s="3">
        <v>42935</v>
      </c>
      <c r="G1273" s="2">
        <v>201802</v>
      </c>
      <c r="H1273" s="2" t="s">
        <v>74</v>
      </c>
      <c r="I1273" s="2" t="s">
        <v>75</v>
      </c>
      <c r="J1273" s="2" t="s">
        <v>118</v>
      </c>
      <c r="K1273" s="2" t="s">
        <v>77</v>
      </c>
      <c r="L1273" s="2" t="s">
        <v>1202</v>
      </c>
      <c r="M1273" s="2" t="s">
        <v>1203</v>
      </c>
      <c r="N1273" s="2" t="s">
        <v>1982</v>
      </c>
      <c r="O1273" s="2" t="s">
        <v>100</v>
      </c>
      <c r="P1273" s="2" t="str">
        <f>"                              "</f>
        <v xml:space="preserve">          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2.83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1</v>
      </c>
      <c r="BI1273" s="2">
        <v>2</v>
      </c>
      <c r="BJ1273" s="2">
        <v>2.8</v>
      </c>
      <c r="BK1273" s="2">
        <v>3</v>
      </c>
      <c r="BL1273" s="2">
        <v>32.08</v>
      </c>
      <c r="BM1273" s="2">
        <v>4.49</v>
      </c>
      <c r="BN1273" s="2">
        <v>36.57</v>
      </c>
      <c r="BO1273" s="2">
        <v>36.57</v>
      </c>
      <c r="BP1273" s="2"/>
      <c r="BQ1273" s="2" t="s">
        <v>1983</v>
      </c>
      <c r="BR1273" s="2" t="s">
        <v>187</v>
      </c>
      <c r="BS1273" s="3">
        <v>42936</v>
      </c>
      <c r="BT1273" s="4">
        <v>0.28333333333333333</v>
      </c>
      <c r="BU1273" s="2" t="s">
        <v>1984</v>
      </c>
      <c r="BV1273" s="2" t="s">
        <v>95</v>
      </c>
      <c r="BW1273" s="2"/>
      <c r="BX1273" s="2"/>
      <c r="BY1273" s="2">
        <v>13864.01</v>
      </c>
      <c r="BZ1273" s="2"/>
      <c r="CA1273" s="2" t="s">
        <v>499</v>
      </c>
      <c r="CB1273" s="2"/>
      <c r="CC1273" s="2" t="s">
        <v>1203</v>
      </c>
      <c r="CD1273" s="2">
        <v>1501</v>
      </c>
      <c r="CE1273" s="2" t="s">
        <v>104</v>
      </c>
      <c r="CF1273" s="5">
        <v>42947</v>
      </c>
      <c r="CG1273" s="2"/>
      <c r="CH1273" s="2"/>
      <c r="CI1273" s="2">
        <v>1</v>
      </c>
      <c r="CJ1273" s="2">
        <v>1</v>
      </c>
      <c r="CK1273" s="2">
        <v>22</v>
      </c>
      <c r="CL1273" s="2" t="s">
        <v>86</v>
      </c>
      <c r="CM1273" s="2"/>
    </row>
    <row r="1274" spans="1:91">
      <c r="A1274" s="2" t="s">
        <v>71</v>
      </c>
      <c r="B1274" s="2" t="s">
        <v>72</v>
      </c>
      <c r="C1274" s="2" t="s">
        <v>73</v>
      </c>
      <c r="D1274" s="2"/>
      <c r="E1274" s="2" t="str">
        <f>"FES1162568492"</f>
        <v>FES1162568492</v>
      </c>
      <c r="F1274" s="3">
        <v>42958</v>
      </c>
      <c r="G1274" s="2">
        <v>201802</v>
      </c>
      <c r="H1274" s="2" t="s">
        <v>74</v>
      </c>
      <c r="I1274" s="2" t="s">
        <v>75</v>
      </c>
      <c r="J1274" s="2" t="s">
        <v>76</v>
      </c>
      <c r="K1274" s="2" t="s">
        <v>77</v>
      </c>
      <c r="L1274" s="2" t="s">
        <v>539</v>
      </c>
      <c r="M1274" s="2" t="s">
        <v>540</v>
      </c>
      <c r="N1274" s="2" t="s">
        <v>1753</v>
      </c>
      <c r="O1274" s="2" t="s">
        <v>100</v>
      </c>
      <c r="P1274" s="2" t="str">
        <f>"2170584211                    "</f>
        <v xml:space="preserve">2170584211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3.13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2.6</v>
      </c>
      <c r="BJ1274" s="2">
        <v>1.6</v>
      </c>
      <c r="BK1274" s="2">
        <v>3</v>
      </c>
      <c r="BL1274" s="2">
        <v>32.380000000000003</v>
      </c>
      <c r="BM1274" s="2">
        <v>4.53</v>
      </c>
      <c r="BN1274" s="2">
        <v>36.909999999999997</v>
      </c>
      <c r="BO1274" s="2">
        <v>36.909999999999997</v>
      </c>
      <c r="BP1274" s="2"/>
      <c r="BQ1274" s="2" t="s">
        <v>209</v>
      </c>
      <c r="BR1274" s="2" t="s">
        <v>84</v>
      </c>
      <c r="BS1274" s="3">
        <v>42961</v>
      </c>
      <c r="BT1274" s="4">
        <v>0.46527777777777773</v>
      </c>
      <c r="BU1274" s="2" t="s">
        <v>2000</v>
      </c>
      <c r="BV1274" s="2" t="s">
        <v>95</v>
      </c>
      <c r="BW1274" s="2"/>
      <c r="BX1274" s="2"/>
      <c r="BY1274" s="2">
        <v>8151.34</v>
      </c>
      <c r="BZ1274" s="2" t="s">
        <v>27</v>
      </c>
      <c r="CA1274" s="2" t="s">
        <v>200</v>
      </c>
      <c r="CB1274" s="2"/>
      <c r="CC1274" s="2" t="s">
        <v>540</v>
      </c>
      <c r="CD1274" s="2">
        <v>2163</v>
      </c>
      <c r="CE1274" s="2" t="s">
        <v>89</v>
      </c>
      <c r="CF1274" s="5">
        <v>42962</v>
      </c>
      <c r="CG1274" s="2"/>
      <c r="CH1274" s="2"/>
      <c r="CI1274" s="2">
        <v>1</v>
      </c>
      <c r="CJ1274" s="2">
        <v>1</v>
      </c>
      <c r="CK1274" s="2">
        <v>22</v>
      </c>
      <c r="CL1274" s="2" t="s">
        <v>86</v>
      </c>
      <c r="CM1274" s="2"/>
    </row>
    <row r="1275" spans="1:91">
      <c r="A1275" s="2" t="s">
        <v>71</v>
      </c>
      <c r="B1275" s="2" t="s">
        <v>72</v>
      </c>
      <c r="C1275" s="2" t="s">
        <v>73</v>
      </c>
      <c r="D1275" s="2"/>
      <c r="E1275" s="2" t="str">
        <f>"FES1162564881D"</f>
        <v>FES1162564881D</v>
      </c>
      <c r="F1275" s="3">
        <v>42942</v>
      </c>
      <c r="G1275" s="2">
        <v>201802</v>
      </c>
      <c r="H1275" s="2" t="s">
        <v>74</v>
      </c>
      <c r="I1275" s="2" t="s">
        <v>75</v>
      </c>
      <c r="J1275" s="2" t="s">
        <v>118</v>
      </c>
      <c r="K1275" s="2" t="s">
        <v>77</v>
      </c>
      <c r="L1275" s="2" t="s">
        <v>417</v>
      </c>
      <c r="M1275" s="2" t="s">
        <v>417</v>
      </c>
      <c r="N1275" s="2" t="s">
        <v>1414</v>
      </c>
      <c r="O1275" s="2" t="s">
        <v>100</v>
      </c>
      <c r="P1275" s="2" t="str">
        <f>"                              "</f>
        <v xml:space="preserve">          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3.63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1</v>
      </c>
      <c r="BJ1275" s="2">
        <v>0.2</v>
      </c>
      <c r="BK1275" s="2">
        <v>1</v>
      </c>
      <c r="BL1275" s="2">
        <v>41.07</v>
      </c>
      <c r="BM1275" s="2">
        <v>5.75</v>
      </c>
      <c r="BN1275" s="2">
        <v>46.82</v>
      </c>
      <c r="BO1275" s="2">
        <v>46.82</v>
      </c>
      <c r="BP1275" s="2"/>
      <c r="BQ1275" s="2" t="s">
        <v>108</v>
      </c>
      <c r="BR1275" s="2" t="s">
        <v>187</v>
      </c>
      <c r="BS1275" s="3">
        <v>42943</v>
      </c>
      <c r="BT1275" s="4">
        <v>0.54999999999999993</v>
      </c>
      <c r="BU1275" s="2" t="s">
        <v>2001</v>
      </c>
      <c r="BV1275" s="2" t="s">
        <v>95</v>
      </c>
      <c r="BW1275" s="2"/>
      <c r="BX1275" s="2"/>
      <c r="BY1275" s="2">
        <v>1200</v>
      </c>
      <c r="BZ1275" s="2"/>
      <c r="CA1275" s="2" t="s">
        <v>148</v>
      </c>
      <c r="CB1275" s="2"/>
      <c r="CC1275" s="2" t="s">
        <v>417</v>
      </c>
      <c r="CD1275" s="2">
        <v>7646</v>
      </c>
      <c r="CE1275" s="2" t="s">
        <v>104</v>
      </c>
      <c r="CF1275" s="5">
        <v>42945</v>
      </c>
      <c r="CG1275" s="2"/>
      <c r="CH1275" s="2"/>
      <c r="CI1275" s="2">
        <v>1</v>
      </c>
      <c r="CJ1275" s="2">
        <v>1</v>
      </c>
      <c r="CK1275" s="2">
        <v>21</v>
      </c>
      <c r="CL1275" s="2" t="s">
        <v>86</v>
      </c>
      <c r="CM1275" s="2"/>
    </row>
    <row r="1276" spans="1:91">
      <c r="A1276" s="2" t="s">
        <v>71</v>
      </c>
      <c r="B1276" s="2" t="s">
        <v>72</v>
      </c>
      <c r="C1276" s="2" t="s">
        <v>73</v>
      </c>
      <c r="D1276" s="2"/>
      <c r="E1276" s="2" t="str">
        <f>"FES1162560442"</f>
        <v>FES1162560442</v>
      </c>
      <c r="F1276" s="3">
        <v>42958</v>
      </c>
      <c r="G1276" s="2">
        <v>201802</v>
      </c>
      <c r="H1276" s="2" t="s">
        <v>74</v>
      </c>
      <c r="I1276" s="2" t="s">
        <v>75</v>
      </c>
      <c r="J1276" s="2" t="s">
        <v>76</v>
      </c>
      <c r="K1276" s="2" t="s">
        <v>77</v>
      </c>
      <c r="L1276" s="2" t="s">
        <v>343</v>
      </c>
      <c r="M1276" s="2" t="s">
        <v>344</v>
      </c>
      <c r="N1276" s="2" t="s">
        <v>1961</v>
      </c>
      <c r="O1276" s="2" t="s">
        <v>100</v>
      </c>
      <c r="P1276" s="2" t="str">
        <f>"2170577012                    "</f>
        <v xml:space="preserve">2170577012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4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1</v>
      </c>
      <c r="BJ1276" s="2">
        <v>0.2</v>
      </c>
      <c r="BK1276" s="2">
        <v>1</v>
      </c>
      <c r="BL1276" s="2">
        <v>41.44</v>
      </c>
      <c r="BM1276" s="2">
        <v>5.8</v>
      </c>
      <c r="BN1276" s="2">
        <v>47.24</v>
      </c>
      <c r="BO1276" s="2">
        <v>47.24</v>
      </c>
      <c r="BP1276" s="2"/>
      <c r="BQ1276" s="2" t="s">
        <v>288</v>
      </c>
      <c r="BR1276" s="2" t="s">
        <v>84</v>
      </c>
      <c r="BS1276" s="3">
        <v>42961</v>
      </c>
      <c r="BT1276" s="4">
        <v>0.4375</v>
      </c>
      <c r="BU1276" s="2" t="s">
        <v>1946</v>
      </c>
      <c r="BV1276" s="2" t="s">
        <v>95</v>
      </c>
      <c r="BW1276" s="2"/>
      <c r="BX1276" s="2"/>
      <c r="BY1276" s="2">
        <v>1200</v>
      </c>
      <c r="BZ1276" s="2" t="s">
        <v>27</v>
      </c>
      <c r="CA1276" s="2" t="s">
        <v>347</v>
      </c>
      <c r="CB1276" s="2"/>
      <c r="CC1276" s="2" t="s">
        <v>344</v>
      </c>
      <c r="CD1276" s="2">
        <v>4133</v>
      </c>
      <c r="CE1276" s="2" t="s">
        <v>104</v>
      </c>
      <c r="CF1276" s="5">
        <v>42962</v>
      </c>
      <c r="CG1276" s="2"/>
      <c r="CH1276" s="2"/>
      <c r="CI1276" s="2">
        <v>1</v>
      </c>
      <c r="CJ1276" s="2">
        <v>1</v>
      </c>
      <c r="CK1276" s="2">
        <v>21</v>
      </c>
      <c r="CL1276" s="2" t="s">
        <v>86</v>
      </c>
      <c r="CM1276" s="2"/>
    </row>
    <row r="1277" spans="1:91">
      <c r="A1277" s="2" t="s">
        <v>71</v>
      </c>
      <c r="B1277" s="2" t="s">
        <v>72</v>
      </c>
      <c r="C1277" s="2" t="s">
        <v>73</v>
      </c>
      <c r="D1277" s="2"/>
      <c r="E1277" s="2" t="str">
        <f>"FES1162568487"</f>
        <v>FES1162568487</v>
      </c>
      <c r="F1277" s="3">
        <v>42958</v>
      </c>
      <c r="G1277" s="2">
        <v>201802</v>
      </c>
      <c r="H1277" s="2" t="s">
        <v>74</v>
      </c>
      <c r="I1277" s="2" t="s">
        <v>75</v>
      </c>
      <c r="J1277" s="2" t="s">
        <v>76</v>
      </c>
      <c r="K1277" s="2" t="s">
        <v>77</v>
      </c>
      <c r="L1277" s="2" t="s">
        <v>237</v>
      </c>
      <c r="M1277" s="2" t="s">
        <v>238</v>
      </c>
      <c r="N1277" s="2" t="s">
        <v>2002</v>
      </c>
      <c r="O1277" s="2" t="s">
        <v>100</v>
      </c>
      <c r="P1277" s="2" t="str">
        <f>"2170580896                    "</f>
        <v xml:space="preserve">2170580896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4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1.4</v>
      </c>
      <c r="BJ1277" s="2">
        <v>0.9</v>
      </c>
      <c r="BK1277" s="2">
        <v>1.5</v>
      </c>
      <c r="BL1277" s="2">
        <v>41.44</v>
      </c>
      <c r="BM1277" s="2">
        <v>5.8</v>
      </c>
      <c r="BN1277" s="2">
        <v>47.24</v>
      </c>
      <c r="BO1277" s="2">
        <v>47.24</v>
      </c>
      <c r="BP1277" s="2"/>
      <c r="BQ1277" s="2" t="s">
        <v>108</v>
      </c>
      <c r="BR1277" s="2" t="s">
        <v>84</v>
      </c>
      <c r="BS1277" s="3">
        <v>42961</v>
      </c>
      <c r="BT1277" s="4">
        <v>0.37222222222222223</v>
      </c>
      <c r="BU1277" s="2" t="s">
        <v>671</v>
      </c>
      <c r="BV1277" s="2" t="s">
        <v>95</v>
      </c>
      <c r="BW1277" s="2"/>
      <c r="BX1277" s="2"/>
      <c r="BY1277" s="2">
        <v>4701.1899999999996</v>
      </c>
      <c r="BZ1277" s="2" t="s">
        <v>27</v>
      </c>
      <c r="CA1277" s="2" t="s">
        <v>672</v>
      </c>
      <c r="CB1277" s="2"/>
      <c r="CC1277" s="2" t="s">
        <v>238</v>
      </c>
      <c r="CD1277" s="2">
        <v>3610</v>
      </c>
      <c r="CE1277" s="2" t="s">
        <v>89</v>
      </c>
      <c r="CF1277" s="5">
        <v>42962</v>
      </c>
      <c r="CG1277" s="2"/>
      <c r="CH1277" s="2"/>
      <c r="CI1277" s="2">
        <v>1</v>
      </c>
      <c r="CJ1277" s="2">
        <v>1</v>
      </c>
      <c r="CK1277" s="2">
        <v>21</v>
      </c>
      <c r="CL1277" s="2" t="s">
        <v>86</v>
      </c>
      <c r="CM1277" s="2"/>
    </row>
    <row r="1278" spans="1:91">
      <c r="A1278" s="2" t="s">
        <v>71</v>
      </c>
      <c r="B1278" s="2" t="s">
        <v>72</v>
      </c>
      <c r="C1278" s="2" t="s">
        <v>73</v>
      </c>
      <c r="D1278" s="2"/>
      <c r="E1278" s="2" t="str">
        <f>"FES1162564884D"</f>
        <v>FES1162564884D</v>
      </c>
      <c r="F1278" s="3">
        <v>42942</v>
      </c>
      <c r="G1278" s="2">
        <v>201802</v>
      </c>
      <c r="H1278" s="2" t="s">
        <v>74</v>
      </c>
      <c r="I1278" s="2" t="s">
        <v>75</v>
      </c>
      <c r="J1278" s="2" t="s">
        <v>118</v>
      </c>
      <c r="K1278" s="2" t="s">
        <v>77</v>
      </c>
      <c r="L1278" s="2" t="s">
        <v>206</v>
      </c>
      <c r="M1278" s="2" t="s">
        <v>207</v>
      </c>
      <c r="N1278" s="2" t="s">
        <v>650</v>
      </c>
      <c r="O1278" s="2" t="s">
        <v>100</v>
      </c>
      <c r="P1278" s="2" t="str">
        <f>"                              "</f>
        <v xml:space="preserve">          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5.0999999999999996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1</v>
      </c>
      <c r="BJ1278" s="2">
        <v>0.2</v>
      </c>
      <c r="BK1278" s="2">
        <v>1</v>
      </c>
      <c r="BL1278" s="2">
        <v>57.75</v>
      </c>
      <c r="BM1278" s="2">
        <v>8.09</v>
      </c>
      <c r="BN1278" s="2">
        <v>65.84</v>
      </c>
      <c r="BO1278" s="2">
        <v>65.84</v>
      </c>
      <c r="BP1278" s="2"/>
      <c r="BQ1278" s="2" t="s">
        <v>108</v>
      </c>
      <c r="BR1278" s="2" t="s">
        <v>187</v>
      </c>
      <c r="BS1278" s="3">
        <v>42943</v>
      </c>
      <c r="BT1278" s="4">
        <v>0.51597222222222217</v>
      </c>
      <c r="BU1278" s="2" t="s">
        <v>1360</v>
      </c>
      <c r="BV1278" s="2" t="s">
        <v>95</v>
      </c>
      <c r="BW1278" s="2"/>
      <c r="BX1278" s="2"/>
      <c r="BY1278" s="2">
        <v>1200</v>
      </c>
      <c r="BZ1278" s="2"/>
      <c r="CA1278" s="2" t="s">
        <v>2003</v>
      </c>
      <c r="CB1278" s="2"/>
      <c r="CC1278" s="2" t="s">
        <v>207</v>
      </c>
      <c r="CD1278" s="2">
        <v>250</v>
      </c>
      <c r="CE1278" s="2" t="s">
        <v>104</v>
      </c>
      <c r="CF1278" s="5">
        <v>42947</v>
      </c>
      <c r="CG1278" s="2"/>
      <c r="CH1278" s="2"/>
      <c r="CI1278" s="2">
        <v>1</v>
      </c>
      <c r="CJ1278" s="2">
        <v>1</v>
      </c>
      <c r="CK1278" s="2">
        <v>24</v>
      </c>
      <c r="CL1278" s="2" t="s">
        <v>86</v>
      </c>
      <c r="CM1278" s="2"/>
    </row>
    <row r="1279" spans="1:91">
      <c r="A1279" s="2" t="s">
        <v>71</v>
      </c>
      <c r="B1279" s="2" t="s">
        <v>72</v>
      </c>
      <c r="C1279" s="2" t="s">
        <v>73</v>
      </c>
      <c r="D1279" s="2"/>
      <c r="E1279" s="2" t="str">
        <f>"FES1162562516"</f>
        <v>FES1162562516</v>
      </c>
      <c r="F1279" s="3">
        <v>42958</v>
      </c>
      <c r="G1279" s="2">
        <v>201802</v>
      </c>
      <c r="H1279" s="2" t="s">
        <v>74</v>
      </c>
      <c r="I1279" s="2" t="s">
        <v>75</v>
      </c>
      <c r="J1279" s="2" t="s">
        <v>76</v>
      </c>
      <c r="K1279" s="2" t="s">
        <v>77</v>
      </c>
      <c r="L1279" s="2" t="s">
        <v>343</v>
      </c>
      <c r="M1279" s="2" t="s">
        <v>344</v>
      </c>
      <c r="N1279" s="2" t="s">
        <v>1961</v>
      </c>
      <c r="O1279" s="2" t="s">
        <v>100</v>
      </c>
      <c r="P1279" s="2" t="str">
        <f>"2170578839                    "</f>
        <v xml:space="preserve">2170578839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4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1</v>
      </c>
      <c r="BJ1279" s="2">
        <v>0.2</v>
      </c>
      <c r="BK1279" s="2">
        <v>1</v>
      </c>
      <c r="BL1279" s="2">
        <v>41.44</v>
      </c>
      <c r="BM1279" s="2">
        <v>5.8</v>
      </c>
      <c r="BN1279" s="2">
        <v>47.24</v>
      </c>
      <c r="BO1279" s="2">
        <v>47.24</v>
      </c>
      <c r="BP1279" s="2"/>
      <c r="BQ1279" s="2" t="s">
        <v>288</v>
      </c>
      <c r="BR1279" s="2" t="s">
        <v>84</v>
      </c>
      <c r="BS1279" s="3">
        <v>42961</v>
      </c>
      <c r="BT1279" s="4">
        <v>0.4375</v>
      </c>
      <c r="BU1279" s="2" t="s">
        <v>1946</v>
      </c>
      <c r="BV1279" s="2" t="s">
        <v>95</v>
      </c>
      <c r="BW1279" s="2"/>
      <c r="BX1279" s="2"/>
      <c r="BY1279" s="2">
        <v>1200</v>
      </c>
      <c r="BZ1279" s="2" t="s">
        <v>27</v>
      </c>
      <c r="CA1279" s="2" t="s">
        <v>347</v>
      </c>
      <c r="CB1279" s="2"/>
      <c r="CC1279" s="2" t="s">
        <v>344</v>
      </c>
      <c r="CD1279" s="2">
        <v>4133</v>
      </c>
      <c r="CE1279" s="2" t="s">
        <v>104</v>
      </c>
      <c r="CF1279" s="5">
        <v>42962</v>
      </c>
      <c r="CG1279" s="2"/>
      <c r="CH1279" s="2"/>
      <c r="CI1279" s="2">
        <v>1</v>
      </c>
      <c r="CJ1279" s="2">
        <v>1</v>
      </c>
      <c r="CK1279" s="2">
        <v>21</v>
      </c>
      <c r="CL1279" s="2" t="s">
        <v>86</v>
      </c>
      <c r="CM1279" s="2"/>
    </row>
    <row r="1280" spans="1:91">
      <c r="A1280" s="2" t="s">
        <v>71</v>
      </c>
      <c r="B1280" s="2" t="s">
        <v>72</v>
      </c>
      <c r="C1280" s="2" t="s">
        <v>73</v>
      </c>
      <c r="D1280" s="2"/>
      <c r="E1280" s="2" t="str">
        <f>"FES1162563610D"</f>
        <v>FES1162563610D</v>
      </c>
      <c r="F1280" s="3">
        <v>42935</v>
      </c>
      <c r="G1280" s="2">
        <v>201802</v>
      </c>
      <c r="H1280" s="2" t="s">
        <v>74</v>
      </c>
      <c r="I1280" s="2" t="s">
        <v>75</v>
      </c>
      <c r="J1280" s="2" t="s">
        <v>118</v>
      </c>
      <c r="K1280" s="2" t="s">
        <v>77</v>
      </c>
      <c r="L1280" s="2" t="s">
        <v>74</v>
      </c>
      <c r="M1280" s="2" t="s">
        <v>75</v>
      </c>
      <c r="N1280" s="2" t="s">
        <v>2004</v>
      </c>
      <c r="O1280" s="2" t="s">
        <v>100</v>
      </c>
      <c r="P1280" s="2" t="str">
        <f>"                              "</f>
        <v xml:space="preserve">           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2.83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1</v>
      </c>
      <c r="BJ1280" s="2">
        <v>0.2</v>
      </c>
      <c r="BK1280" s="2">
        <v>1</v>
      </c>
      <c r="BL1280" s="2">
        <v>32.08</v>
      </c>
      <c r="BM1280" s="2">
        <v>4.49</v>
      </c>
      <c r="BN1280" s="2">
        <v>36.57</v>
      </c>
      <c r="BO1280" s="2">
        <v>36.57</v>
      </c>
      <c r="BP1280" s="2"/>
      <c r="BQ1280" s="2"/>
      <c r="BR1280" s="2" t="s">
        <v>187</v>
      </c>
      <c r="BS1280" s="3">
        <v>42936</v>
      </c>
      <c r="BT1280" s="4">
        <v>0.3527777777777778</v>
      </c>
      <c r="BU1280" s="2" t="s">
        <v>2005</v>
      </c>
      <c r="BV1280" s="2" t="s">
        <v>95</v>
      </c>
      <c r="BW1280" s="2"/>
      <c r="BX1280" s="2"/>
      <c r="BY1280" s="2">
        <v>1200</v>
      </c>
      <c r="BZ1280" s="2"/>
      <c r="CA1280" s="2" t="s">
        <v>194</v>
      </c>
      <c r="CB1280" s="2"/>
      <c r="CC1280" s="2" t="s">
        <v>75</v>
      </c>
      <c r="CD1280" s="2">
        <v>1666</v>
      </c>
      <c r="CE1280" s="2" t="s">
        <v>104</v>
      </c>
      <c r="CF1280" s="5">
        <v>42947</v>
      </c>
      <c r="CG1280" s="2"/>
      <c r="CH1280" s="2"/>
      <c r="CI1280" s="2">
        <v>1</v>
      </c>
      <c r="CJ1280" s="2">
        <v>1</v>
      </c>
      <c r="CK1280" s="2">
        <v>22</v>
      </c>
      <c r="CL1280" s="2" t="s">
        <v>86</v>
      </c>
      <c r="CM1280" s="2"/>
    </row>
    <row r="1281" spans="1:91">
      <c r="A1281" s="2" t="s">
        <v>71</v>
      </c>
      <c r="B1281" s="2" t="s">
        <v>72</v>
      </c>
      <c r="C1281" s="2" t="s">
        <v>73</v>
      </c>
      <c r="D1281" s="2"/>
      <c r="E1281" s="2" t="str">
        <f>"FES1162568510"</f>
        <v>FES1162568510</v>
      </c>
      <c r="F1281" s="3">
        <v>42958</v>
      </c>
      <c r="G1281" s="2">
        <v>201802</v>
      </c>
      <c r="H1281" s="2" t="s">
        <v>74</v>
      </c>
      <c r="I1281" s="2" t="s">
        <v>75</v>
      </c>
      <c r="J1281" s="2" t="s">
        <v>76</v>
      </c>
      <c r="K1281" s="2" t="s">
        <v>77</v>
      </c>
      <c r="L1281" s="2" t="s">
        <v>343</v>
      </c>
      <c r="M1281" s="2" t="s">
        <v>344</v>
      </c>
      <c r="N1281" s="2" t="s">
        <v>1225</v>
      </c>
      <c r="O1281" s="2" t="s">
        <v>100</v>
      </c>
      <c r="P1281" s="2" t="str">
        <f>"2170584562                    "</f>
        <v xml:space="preserve">2170584562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4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1</v>
      </c>
      <c r="BJ1281" s="2">
        <v>0.2</v>
      </c>
      <c r="BK1281" s="2">
        <v>1</v>
      </c>
      <c r="BL1281" s="2">
        <v>41.44</v>
      </c>
      <c r="BM1281" s="2">
        <v>5.8</v>
      </c>
      <c r="BN1281" s="2">
        <v>47.24</v>
      </c>
      <c r="BO1281" s="2">
        <v>47.24</v>
      </c>
      <c r="BP1281" s="2"/>
      <c r="BQ1281" s="2" t="s">
        <v>83</v>
      </c>
      <c r="BR1281" s="2" t="s">
        <v>84</v>
      </c>
      <c r="BS1281" s="3">
        <v>42961</v>
      </c>
      <c r="BT1281" s="4">
        <v>0.4375</v>
      </c>
      <c r="BU1281" s="2" t="s">
        <v>1999</v>
      </c>
      <c r="BV1281" s="2" t="s">
        <v>95</v>
      </c>
      <c r="BW1281" s="2"/>
      <c r="BX1281" s="2"/>
      <c r="BY1281" s="2">
        <v>1200</v>
      </c>
      <c r="BZ1281" s="2" t="s">
        <v>27</v>
      </c>
      <c r="CA1281" s="2" t="s">
        <v>347</v>
      </c>
      <c r="CB1281" s="2"/>
      <c r="CC1281" s="2" t="s">
        <v>344</v>
      </c>
      <c r="CD1281" s="2">
        <v>4113</v>
      </c>
      <c r="CE1281" s="2" t="s">
        <v>104</v>
      </c>
      <c r="CF1281" s="5">
        <v>42962</v>
      </c>
      <c r="CG1281" s="2"/>
      <c r="CH1281" s="2"/>
      <c r="CI1281" s="2">
        <v>1</v>
      </c>
      <c r="CJ1281" s="2">
        <v>1</v>
      </c>
      <c r="CK1281" s="2">
        <v>21</v>
      </c>
      <c r="CL1281" s="2" t="s">
        <v>86</v>
      </c>
      <c r="CM1281" s="2"/>
    </row>
    <row r="1282" spans="1:91">
      <c r="A1282" s="2" t="s">
        <v>71</v>
      </c>
      <c r="B1282" s="2" t="s">
        <v>72</v>
      </c>
      <c r="C1282" s="2" t="s">
        <v>73</v>
      </c>
      <c r="D1282" s="2"/>
      <c r="E1282" s="2" t="str">
        <f>"FES1162564888D"</f>
        <v>FES1162564888D</v>
      </c>
      <c r="F1282" s="3">
        <v>42942</v>
      </c>
      <c r="G1282" s="2">
        <v>201802</v>
      </c>
      <c r="H1282" s="2" t="s">
        <v>74</v>
      </c>
      <c r="I1282" s="2" t="s">
        <v>75</v>
      </c>
      <c r="J1282" s="2" t="s">
        <v>118</v>
      </c>
      <c r="K1282" s="2" t="s">
        <v>77</v>
      </c>
      <c r="L1282" s="2" t="s">
        <v>417</v>
      </c>
      <c r="M1282" s="2" t="s">
        <v>417</v>
      </c>
      <c r="N1282" s="2" t="s">
        <v>1414</v>
      </c>
      <c r="O1282" s="2" t="s">
        <v>100</v>
      </c>
      <c r="P1282" s="2" t="str">
        <f>"                              "</f>
        <v xml:space="preserve">          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3.63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</v>
      </c>
      <c r="BJ1282" s="2">
        <v>0.2</v>
      </c>
      <c r="BK1282" s="2">
        <v>1</v>
      </c>
      <c r="BL1282" s="2">
        <v>41.07</v>
      </c>
      <c r="BM1282" s="2">
        <v>5.75</v>
      </c>
      <c r="BN1282" s="2">
        <v>46.82</v>
      </c>
      <c r="BO1282" s="2">
        <v>46.82</v>
      </c>
      <c r="BP1282" s="2"/>
      <c r="BQ1282" s="2" t="s">
        <v>108</v>
      </c>
      <c r="BR1282" s="2" t="s">
        <v>187</v>
      </c>
      <c r="BS1282" s="3">
        <v>42943</v>
      </c>
      <c r="BT1282" s="4">
        <v>0.54999999999999993</v>
      </c>
      <c r="BU1282" s="2" t="s">
        <v>2001</v>
      </c>
      <c r="BV1282" s="2" t="s">
        <v>95</v>
      </c>
      <c r="BW1282" s="2"/>
      <c r="BX1282" s="2"/>
      <c r="BY1282" s="2">
        <v>1200</v>
      </c>
      <c r="BZ1282" s="2"/>
      <c r="CA1282" s="2" t="s">
        <v>148</v>
      </c>
      <c r="CB1282" s="2"/>
      <c r="CC1282" s="2" t="s">
        <v>417</v>
      </c>
      <c r="CD1282" s="2">
        <v>7646</v>
      </c>
      <c r="CE1282" s="2" t="s">
        <v>104</v>
      </c>
      <c r="CF1282" s="5">
        <v>42945</v>
      </c>
      <c r="CG1282" s="2"/>
      <c r="CH1282" s="2"/>
      <c r="CI1282" s="2">
        <v>1</v>
      </c>
      <c r="CJ1282" s="2">
        <v>1</v>
      </c>
      <c r="CK1282" s="2">
        <v>21</v>
      </c>
      <c r="CL1282" s="2" t="s">
        <v>86</v>
      </c>
      <c r="CM1282" s="2"/>
    </row>
    <row r="1283" spans="1:91">
      <c r="A1283" s="2" t="s">
        <v>71</v>
      </c>
      <c r="B1283" s="2" t="s">
        <v>72</v>
      </c>
      <c r="C1283" s="2" t="s">
        <v>73</v>
      </c>
      <c r="D1283" s="2"/>
      <c r="E1283" s="2" t="str">
        <f>"FES1162568485"</f>
        <v>FES1162568485</v>
      </c>
      <c r="F1283" s="3">
        <v>42958</v>
      </c>
      <c r="G1283" s="2">
        <v>201802</v>
      </c>
      <c r="H1283" s="2" t="s">
        <v>74</v>
      </c>
      <c r="I1283" s="2" t="s">
        <v>75</v>
      </c>
      <c r="J1283" s="2" t="s">
        <v>76</v>
      </c>
      <c r="K1283" s="2" t="s">
        <v>77</v>
      </c>
      <c r="L1283" s="2" t="s">
        <v>237</v>
      </c>
      <c r="M1283" s="2" t="s">
        <v>238</v>
      </c>
      <c r="N1283" s="2" t="s">
        <v>851</v>
      </c>
      <c r="O1283" s="2" t="s">
        <v>100</v>
      </c>
      <c r="P1283" s="2" t="str">
        <f>"2170584579                    "</f>
        <v xml:space="preserve">2170584579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4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</v>
      </c>
      <c r="BJ1283" s="2">
        <v>0.2</v>
      </c>
      <c r="BK1283" s="2">
        <v>1</v>
      </c>
      <c r="BL1283" s="2">
        <v>41.44</v>
      </c>
      <c r="BM1283" s="2">
        <v>5.8</v>
      </c>
      <c r="BN1283" s="2">
        <v>47.24</v>
      </c>
      <c r="BO1283" s="2">
        <v>47.24</v>
      </c>
      <c r="BP1283" s="2"/>
      <c r="BQ1283" s="2" t="s">
        <v>2006</v>
      </c>
      <c r="BR1283" s="2" t="s">
        <v>84</v>
      </c>
      <c r="BS1283" s="3">
        <v>42961</v>
      </c>
      <c r="BT1283" s="4">
        <v>0.35972222222222222</v>
      </c>
      <c r="BU1283" s="2" t="s">
        <v>2007</v>
      </c>
      <c r="BV1283" s="2" t="s">
        <v>95</v>
      </c>
      <c r="BW1283" s="2"/>
      <c r="BX1283" s="2"/>
      <c r="BY1283" s="2">
        <v>1200</v>
      </c>
      <c r="BZ1283" s="2" t="s">
        <v>27</v>
      </c>
      <c r="CA1283" s="2" t="s">
        <v>401</v>
      </c>
      <c r="CB1283" s="2"/>
      <c r="CC1283" s="2" t="s">
        <v>238</v>
      </c>
      <c r="CD1283" s="2">
        <v>3610</v>
      </c>
      <c r="CE1283" s="2" t="s">
        <v>104</v>
      </c>
      <c r="CF1283" s="5">
        <v>42962</v>
      </c>
      <c r="CG1283" s="2"/>
      <c r="CH1283" s="2"/>
      <c r="CI1283" s="2">
        <v>1</v>
      </c>
      <c r="CJ1283" s="2">
        <v>1</v>
      </c>
      <c r="CK1283" s="2">
        <v>21</v>
      </c>
      <c r="CL1283" s="2" t="s">
        <v>86</v>
      </c>
      <c r="CM1283" s="2"/>
    </row>
    <row r="1284" spans="1:91">
      <c r="A1284" s="2" t="s">
        <v>71</v>
      </c>
      <c r="B1284" s="2" t="s">
        <v>72</v>
      </c>
      <c r="C1284" s="2" t="s">
        <v>73</v>
      </c>
      <c r="D1284" s="2"/>
      <c r="E1284" s="2" t="str">
        <f>"FES1162563601D"</f>
        <v>FES1162563601D</v>
      </c>
      <c r="F1284" s="3">
        <v>42935</v>
      </c>
      <c r="G1284" s="2">
        <v>201802</v>
      </c>
      <c r="H1284" s="2" t="s">
        <v>74</v>
      </c>
      <c r="I1284" s="2" t="s">
        <v>75</v>
      </c>
      <c r="J1284" s="2" t="s">
        <v>118</v>
      </c>
      <c r="K1284" s="2" t="s">
        <v>77</v>
      </c>
      <c r="L1284" s="2" t="s">
        <v>268</v>
      </c>
      <c r="M1284" s="2" t="s">
        <v>269</v>
      </c>
      <c r="N1284" s="2" t="s">
        <v>635</v>
      </c>
      <c r="O1284" s="2" t="s">
        <v>100</v>
      </c>
      <c r="P1284" s="2" t="str">
        <f>"                              "</f>
        <v xml:space="preserve">          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3.63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1</v>
      </c>
      <c r="BJ1284" s="2">
        <v>0.2</v>
      </c>
      <c r="BK1284" s="2">
        <v>1</v>
      </c>
      <c r="BL1284" s="2">
        <v>41.07</v>
      </c>
      <c r="BM1284" s="2">
        <v>5.75</v>
      </c>
      <c r="BN1284" s="2">
        <v>46.82</v>
      </c>
      <c r="BO1284" s="2">
        <v>46.82</v>
      </c>
      <c r="BP1284" s="2"/>
      <c r="BQ1284" s="2" t="s">
        <v>636</v>
      </c>
      <c r="BR1284" s="2" t="s">
        <v>187</v>
      </c>
      <c r="BS1284" s="3">
        <v>42936</v>
      </c>
      <c r="BT1284" s="4">
        <v>0.3298611111111111</v>
      </c>
      <c r="BU1284" s="2" t="s">
        <v>2008</v>
      </c>
      <c r="BV1284" s="2" t="s">
        <v>95</v>
      </c>
      <c r="BW1284" s="2"/>
      <c r="BX1284" s="2"/>
      <c r="BY1284" s="2">
        <v>1200</v>
      </c>
      <c r="BZ1284" s="2"/>
      <c r="CA1284" s="2"/>
      <c r="CB1284" s="2"/>
      <c r="CC1284" s="2" t="s">
        <v>269</v>
      </c>
      <c r="CD1284" s="2">
        <v>184</v>
      </c>
      <c r="CE1284" s="2" t="s">
        <v>104</v>
      </c>
      <c r="CF1284" s="5">
        <v>42945</v>
      </c>
      <c r="CG1284" s="2"/>
      <c r="CH1284" s="2"/>
      <c r="CI1284" s="2">
        <v>1</v>
      </c>
      <c r="CJ1284" s="2">
        <v>1</v>
      </c>
      <c r="CK1284" s="2">
        <v>21</v>
      </c>
      <c r="CL1284" s="2" t="s">
        <v>86</v>
      </c>
      <c r="CM1284" s="2"/>
    </row>
    <row r="1285" spans="1:91">
      <c r="A1285" s="2" t="s">
        <v>71</v>
      </c>
      <c r="B1285" s="2" t="s">
        <v>72</v>
      </c>
      <c r="C1285" s="2" t="s">
        <v>73</v>
      </c>
      <c r="D1285" s="2"/>
      <c r="E1285" s="2" t="str">
        <f>"FES1162566454"</f>
        <v>FES1162566454</v>
      </c>
      <c r="F1285" s="3">
        <v>42958</v>
      </c>
      <c r="G1285" s="2">
        <v>201802</v>
      </c>
      <c r="H1285" s="2" t="s">
        <v>74</v>
      </c>
      <c r="I1285" s="2" t="s">
        <v>75</v>
      </c>
      <c r="J1285" s="2" t="s">
        <v>76</v>
      </c>
      <c r="K1285" s="2" t="s">
        <v>77</v>
      </c>
      <c r="L1285" s="2" t="s">
        <v>144</v>
      </c>
      <c r="M1285" s="2" t="s">
        <v>145</v>
      </c>
      <c r="N1285" s="2" t="s">
        <v>1971</v>
      </c>
      <c r="O1285" s="2" t="s">
        <v>100</v>
      </c>
      <c r="P1285" s="2" t="str">
        <f>"2170577585                    "</f>
        <v xml:space="preserve">2170577585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3.13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2.5</v>
      </c>
      <c r="BJ1285" s="2">
        <v>0.9</v>
      </c>
      <c r="BK1285" s="2">
        <v>3</v>
      </c>
      <c r="BL1285" s="2">
        <v>32.380000000000003</v>
      </c>
      <c r="BM1285" s="2">
        <v>4.53</v>
      </c>
      <c r="BN1285" s="2">
        <v>36.909999999999997</v>
      </c>
      <c r="BO1285" s="2">
        <v>36.909999999999997</v>
      </c>
      <c r="BP1285" s="2"/>
      <c r="BQ1285" s="2" t="s">
        <v>83</v>
      </c>
      <c r="BR1285" s="2" t="s">
        <v>84</v>
      </c>
      <c r="BS1285" s="3">
        <v>42961</v>
      </c>
      <c r="BT1285" s="4">
        <v>0.34861111111111115</v>
      </c>
      <c r="BU1285" s="2" t="s">
        <v>330</v>
      </c>
      <c r="BV1285" s="2" t="s">
        <v>95</v>
      </c>
      <c r="BW1285" s="2"/>
      <c r="BX1285" s="2"/>
      <c r="BY1285" s="2">
        <v>4705.45</v>
      </c>
      <c r="BZ1285" s="2" t="s">
        <v>27</v>
      </c>
      <c r="CA1285" s="2" t="s">
        <v>1355</v>
      </c>
      <c r="CB1285" s="2"/>
      <c r="CC1285" s="2" t="s">
        <v>145</v>
      </c>
      <c r="CD1285" s="2">
        <v>2013</v>
      </c>
      <c r="CE1285" s="2" t="s">
        <v>89</v>
      </c>
      <c r="CF1285" s="5">
        <v>42962</v>
      </c>
      <c r="CG1285" s="2"/>
      <c r="CH1285" s="2"/>
      <c r="CI1285" s="2">
        <v>1</v>
      </c>
      <c r="CJ1285" s="2">
        <v>1</v>
      </c>
      <c r="CK1285" s="2">
        <v>22</v>
      </c>
      <c r="CL1285" s="2" t="s">
        <v>86</v>
      </c>
      <c r="CM1285" s="2"/>
    </row>
    <row r="1286" spans="1:91">
      <c r="A1286" s="2" t="s">
        <v>71</v>
      </c>
      <c r="B1286" s="2" t="s">
        <v>72</v>
      </c>
      <c r="C1286" s="2" t="s">
        <v>73</v>
      </c>
      <c r="D1286" s="2"/>
      <c r="E1286" s="2" t="str">
        <f>"FES1162564889D"</f>
        <v>FES1162564889D</v>
      </c>
      <c r="F1286" s="3">
        <v>42942</v>
      </c>
      <c r="G1286" s="2">
        <v>201802</v>
      </c>
      <c r="H1286" s="2" t="s">
        <v>74</v>
      </c>
      <c r="I1286" s="2" t="s">
        <v>75</v>
      </c>
      <c r="J1286" s="2" t="s">
        <v>118</v>
      </c>
      <c r="K1286" s="2" t="s">
        <v>77</v>
      </c>
      <c r="L1286" s="2" t="s">
        <v>362</v>
      </c>
      <c r="M1286" s="2" t="s">
        <v>363</v>
      </c>
      <c r="N1286" s="2" t="s">
        <v>1020</v>
      </c>
      <c r="O1286" s="2" t="s">
        <v>100</v>
      </c>
      <c r="P1286" s="2" t="str">
        <f>"                              "</f>
        <v xml:space="preserve">          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3.63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1</v>
      </c>
      <c r="BJ1286" s="2">
        <v>0.2</v>
      </c>
      <c r="BK1286" s="2">
        <v>1</v>
      </c>
      <c r="BL1286" s="2">
        <v>41.07</v>
      </c>
      <c r="BM1286" s="2">
        <v>5.75</v>
      </c>
      <c r="BN1286" s="2">
        <v>46.82</v>
      </c>
      <c r="BO1286" s="2">
        <v>46.82</v>
      </c>
      <c r="BP1286" s="2"/>
      <c r="BQ1286" s="2" t="s">
        <v>83</v>
      </c>
      <c r="BR1286" s="2" t="s">
        <v>187</v>
      </c>
      <c r="BS1286" s="3">
        <v>42943</v>
      </c>
      <c r="BT1286" s="4">
        <v>0.4375</v>
      </c>
      <c r="BU1286" s="2" t="s">
        <v>805</v>
      </c>
      <c r="BV1286" s="2" t="s">
        <v>95</v>
      </c>
      <c r="BW1286" s="2"/>
      <c r="BX1286" s="2"/>
      <c r="BY1286" s="2">
        <v>1200</v>
      </c>
      <c r="BZ1286" s="2"/>
      <c r="CA1286" s="2" t="s">
        <v>367</v>
      </c>
      <c r="CB1286" s="2"/>
      <c r="CC1286" s="2" t="s">
        <v>363</v>
      </c>
      <c r="CD1286" s="2">
        <v>3200</v>
      </c>
      <c r="CE1286" s="2" t="s">
        <v>104</v>
      </c>
      <c r="CF1286" s="5">
        <v>42944</v>
      </c>
      <c r="CG1286" s="2"/>
      <c r="CH1286" s="2"/>
      <c r="CI1286" s="2">
        <v>1</v>
      </c>
      <c r="CJ1286" s="2">
        <v>1</v>
      </c>
      <c r="CK1286" s="2">
        <v>21</v>
      </c>
      <c r="CL1286" s="2" t="s">
        <v>86</v>
      </c>
      <c r="CM1286" s="2"/>
    </row>
    <row r="1287" spans="1:91">
      <c r="A1287" s="2" t="s">
        <v>71</v>
      </c>
      <c r="B1287" s="2" t="s">
        <v>72</v>
      </c>
      <c r="C1287" s="2" t="s">
        <v>73</v>
      </c>
      <c r="D1287" s="2"/>
      <c r="E1287" s="2" t="str">
        <f>"FES1162568483"</f>
        <v>FES1162568483</v>
      </c>
      <c r="F1287" s="3">
        <v>42958</v>
      </c>
      <c r="G1287" s="2">
        <v>201802</v>
      </c>
      <c r="H1287" s="2" t="s">
        <v>74</v>
      </c>
      <c r="I1287" s="2" t="s">
        <v>75</v>
      </c>
      <c r="J1287" s="2" t="s">
        <v>76</v>
      </c>
      <c r="K1287" s="2" t="s">
        <v>77</v>
      </c>
      <c r="L1287" s="2" t="s">
        <v>74</v>
      </c>
      <c r="M1287" s="2" t="s">
        <v>75</v>
      </c>
      <c r="N1287" s="2" t="s">
        <v>329</v>
      </c>
      <c r="O1287" s="2" t="s">
        <v>100</v>
      </c>
      <c r="P1287" s="2" t="str">
        <f>"2170584577                    "</f>
        <v xml:space="preserve">2170584577            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3.13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1</v>
      </c>
      <c r="BI1287" s="2">
        <v>4.5999999999999996</v>
      </c>
      <c r="BJ1287" s="2">
        <v>1.6</v>
      </c>
      <c r="BK1287" s="2">
        <v>5</v>
      </c>
      <c r="BL1287" s="2">
        <v>32.380000000000003</v>
      </c>
      <c r="BM1287" s="2">
        <v>4.53</v>
      </c>
      <c r="BN1287" s="2">
        <v>36.909999999999997</v>
      </c>
      <c r="BO1287" s="2">
        <v>36.909999999999997</v>
      </c>
      <c r="BP1287" s="2"/>
      <c r="BQ1287" s="2" t="s">
        <v>83</v>
      </c>
      <c r="BR1287" s="2" t="s">
        <v>84</v>
      </c>
      <c r="BS1287" s="3">
        <v>42961</v>
      </c>
      <c r="BT1287" s="4">
        <v>0.34236111111111112</v>
      </c>
      <c r="BU1287" s="2" t="s">
        <v>2009</v>
      </c>
      <c r="BV1287" s="2" t="s">
        <v>95</v>
      </c>
      <c r="BW1287" s="2"/>
      <c r="BX1287" s="2"/>
      <c r="BY1287" s="2">
        <v>8067.66</v>
      </c>
      <c r="BZ1287" s="2" t="s">
        <v>27</v>
      </c>
      <c r="CA1287" s="2" t="s">
        <v>1289</v>
      </c>
      <c r="CB1287" s="2"/>
      <c r="CC1287" s="2" t="s">
        <v>75</v>
      </c>
      <c r="CD1287" s="2">
        <v>1600</v>
      </c>
      <c r="CE1287" s="2" t="s">
        <v>89</v>
      </c>
      <c r="CF1287" s="5">
        <v>42962</v>
      </c>
      <c r="CG1287" s="2"/>
      <c r="CH1287" s="2"/>
      <c r="CI1287" s="2">
        <v>1</v>
      </c>
      <c r="CJ1287" s="2">
        <v>1</v>
      </c>
      <c r="CK1287" s="2">
        <v>22</v>
      </c>
      <c r="CL1287" s="2" t="s">
        <v>86</v>
      </c>
      <c r="CM1287" s="2"/>
    </row>
    <row r="1288" spans="1:91">
      <c r="A1288" s="2" t="s">
        <v>71</v>
      </c>
      <c r="B1288" s="2" t="s">
        <v>72</v>
      </c>
      <c r="C1288" s="2" t="s">
        <v>73</v>
      </c>
      <c r="D1288" s="2"/>
      <c r="E1288" s="2" t="str">
        <f>"FES1162563405D"</f>
        <v>FES1162563405D</v>
      </c>
      <c r="F1288" s="3">
        <v>42935</v>
      </c>
      <c r="G1288" s="2">
        <v>201802</v>
      </c>
      <c r="H1288" s="2" t="s">
        <v>74</v>
      </c>
      <c r="I1288" s="2" t="s">
        <v>75</v>
      </c>
      <c r="J1288" s="2" t="s">
        <v>118</v>
      </c>
      <c r="K1288" s="2" t="s">
        <v>77</v>
      </c>
      <c r="L1288" s="2" t="s">
        <v>268</v>
      </c>
      <c r="M1288" s="2" t="s">
        <v>269</v>
      </c>
      <c r="N1288" s="2" t="s">
        <v>1675</v>
      </c>
      <c r="O1288" s="2" t="s">
        <v>100</v>
      </c>
      <c r="P1288" s="2" t="str">
        <f>"                              "</f>
        <v xml:space="preserve">          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3.63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1</v>
      </c>
      <c r="BJ1288" s="2">
        <v>0.2</v>
      </c>
      <c r="BK1288" s="2">
        <v>1</v>
      </c>
      <c r="BL1288" s="2">
        <v>41.07</v>
      </c>
      <c r="BM1288" s="2">
        <v>5.75</v>
      </c>
      <c r="BN1288" s="2">
        <v>46.82</v>
      </c>
      <c r="BO1288" s="2">
        <v>46.82</v>
      </c>
      <c r="BP1288" s="2"/>
      <c r="BQ1288" s="2" t="s">
        <v>2010</v>
      </c>
      <c r="BR1288" s="2" t="s">
        <v>187</v>
      </c>
      <c r="BS1288" s="3">
        <v>42936</v>
      </c>
      <c r="BT1288" s="4">
        <v>0.3611111111111111</v>
      </c>
      <c r="BU1288" s="2" t="s">
        <v>85</v>
      </c>
      <c r="BV1288" s="2" t="s">
        <v>95</v>
      </c>
      <c r="BW1288" s="2"/>
      <c r="BX1288" s="2"/>
      <c r="BY1288" s="2">
        <v>1200</v>
      </c>
      <c r="BZ1288" s="2"/>
      <c r="CA1288" s="2"/>
      <c r="CB1288" s="2"/>
      <c r="CC1288" s="2" t="s">
        <v>269</v>
      </c>
      <c r="CD1288" s="2">
        <v>186</v>
      </c>
      <c r="CE1288" s="2" t="s">
        <v>104</v>
      </c>
      <c r="CF1288" s="5">
        <v>42945</v>
      </c>
      <c r="CG1288" s="2"/>
      <c r="CH1288" s="2"/>
      <c r="CI1288" s="2">
        <v>1</v>
      </c>
      <c r="CJ1288" s="2">
        <v>1</v>
      </c>
      <c r="CK1288" s="2">
        <v>21</v>
      </c>
      <c r="CL1288" s="2" t="s">
        <v>86</v>
      </c>
      <c r="CM1288" s="2"/>
    </row>
    <row r="1289" spans="1:91">
      <c r="A1289" s="2" t="s">
        <v>71</v>
      </c>
      <c r="B1289" s="2" t="s">
        <v>72</v>
      </c>
      <c r="C1289" s="2" t="s">
        <v>73</v>
      </c>
      <c r="D1289" s="2"/>
      <c r="E1289" s="2" t="str">
        <f>"FES1162568500"</f>
        <v>FES1162568500</v>
      </c>
      <c r="F1289" s="3">
        <v>42958</v>
      </c>
      <c r="G1289" s="2">
        <v>201802</v>
      </c>
      <c r="H1289" s="2" t="s">
        <v>74</v>
      </c>
      <c r="I1289" s="2" t="s">
        <v>75</v>
      </c>
      <c r="J1289" s="2" t="s">
        <v>76</v>
      </c>
      <c r="K1289" s="2" t="s">
        <v>77</v>
      </c>
      <c r="L1289" s="2" t="s">
        <v>144</v>
      </c>
      <c r="M1289" s="2" t="s">
        <v>145</v>
      </c>
      <c r="N1289" s="2" t="s">
        <v>146</v>
      </c>
      <c r="O1289" s="2" t="s">
        <v>100</v>
      </c>
      <c r="P1289" s="2" t="str">
        <f>"2170584590                    "</f>
        <v xml:space="preserve">2170584590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3.13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1</v>
      </c>
      <c r="BJ1289" s="2">
        <v>0.2</v>
      </c>
      <c r="BK1289" s="2">
        <v>1</v>
      </c>
      <c r="BL1289" s="2">
        <v>32.380000000000003</v>
      </c>
      <c r="BM1289" s="2">
        <v>4.53</v>
      </c>
      <c r="BN1289" s="2">
        <v>36.909999999999997</v>
      </c>
      <c r="BO1289" s="2">
        <v>36.909999999999997</v>
      </c>
      <c r="BP1289" s="2"/>
      <c r="BQ1289" s="2" t="s">
        <v>83</v>
      </c>
      <c r="BR1289" s="2" t="s">
        <v>84</v>
      </c>
      <c r="BS1289" s="3">
        <v>42961</v>
      </c>
      <c r="BT1289" s="4">
        <v>0.38541666666666669</v>
      </c>
      <c r="BU1289" s="2" t="s">
        <v>1893</v>
      </c>
      <c r="BV1289" s="2" t="s">
        <v>95</v>
      </c>
      <c r="BW1289" s="2"/>
      <c r="BX1289" s="2"/>
      <c r="BY1289" s="2">
        <v>1200</v>
      </c>
      <c r="BZ1289" s="2" t="s">
        <v>27</v>
      </c>
      <c r="CA1289" s="2" t="s">
        <v>274</v>
      </c>
      <c r="CB1289" s="2"/>
      <c r="CC1289" s="2" t="s">
        <v>145</v>
      </c>
      <c r="CD1289" s="2">
        <v>2094</v>
      </c>
      <c r="CE1289" s="2" t="s">
        <v>104</v>
      </c>
      <c r="CF1289" s="5">
        <v>42962</v>
      </c>
      <c r="CG1289" s="2"/>
      <c r="CH1289" s="2"/>
      <c r="CI1289" s="2">
        <v>1</v>
      </c>
      <c r="CJ1289" s="2">
        <v>1</v>
      </c>
      <c r="CK1289" s="2">
        <v>22</v>
      </c>
      <c r="CL1289" s="2" t="s">
        <v>86</v>
      </c>
      <c r="CM1289" s="2"/>
    </row>
    <row r="1290" spans="1:91">
      <c r="A1290" s="2" t="s">
        <v>71</v>
      </c>
      <c r="B1290" s="2" t="s">
        <v>72</v>
      </c>
      <c r="C1290" s="2" t="s">
        <v>73</v>
      </c>
      <c r="D1290" s="2"/>
      <c r="E1290" s="2" t="str">
        <f>"FES1162564900D"</f>
        <v>FES1162564900D</v>
      </c>
      <c r="F1290" s="3">
        <v>42942</v>
      </c>
      <c r="G1290" s="2">
        <v>201802</v>
      </c>
      <c r="H1290" s="2" t="s">
        <v>74</v>
      </c>
      <c r="I1290" s="2" t="s">
        <v>75</v>
      </c>
      <c r="J1290" s="2" t="s">
        <v>118</v>
      </c>
      <c r="K1290" s="2" t="s">
        <v>77</v>
      </c>
      <c r="L1290" s="2" t="s">
        <v>97</v>
      </c>
      <c r="M1290" s="2" t="s">
        <v>98</v>
      </c>
      <c r="N1290" s="2" t="s">
        <v>292</v>
      </c>
      <c r="O1290" s="2" t="s">
        <v>100</v>
      </c>
      <c r="P1290" s="2" t="str">
        <f>"                              "</f>
        <v xml:space="preserve">                            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3.63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1</v>
      </c>
      <c r="BI1290" s="2">
        <v>1</v>
      </c>
      <c r="BJ1290" s="2">
        <v>0.2</v>
      </c>
      <c r="BK1290" s="2">
        <v>1</v>
      </c>
      <c r="BL1290" s="2">
        <v>41.07</v>
      </c>
      <c r="BM1290" s="2">
        <v>5.75</v>
      </c>
      <c r="BN1290" s="2">
        <v>46.82</v>
      </c>
      <c r="BO1290" s="2">
        <v>46.82</v>
      </c>
      <c r="BP1290" s="2"/>
      <c r="BQ1290" s="2" t="s">
        <v>83</v>
      </c>
      <c r="BR1290" s="2" t="s">
        <v>187</v>
      </c>
      <c r="BS1290" s="3">
        <v>42943</v>
      </c>
      <c r="BT1290" s="4">
        <v>0.3263888888888889</v>
      </c>
      <c r="BU1290" s="2" t="s">
        <v>2011</v>
      </c>
      <c r="BV1290" s="2" t="s">
        <v>95</v>
      </c>
      <c r="BW1290" s="2"/>
      <c r="BX1290" s="2"/>
      <c r="BY1290" s="2">
        <v>1200</v>
      </c>
      <c r="BZ1290" s="2"/>
      <c r="CA1290" s="2" t="s">
        <v>804</v>
      </c>
      <c r="CB1290" s="2"/>
      <c r="CC1290" s="2" t="s">
        <v>98</v>
      </c>
      <c r="CD1290" s="2">
        <v>6001</v>
      </c>
      <c r="CE1290" s="2" t="s">
        <v>104</v>
      </c>
      <c r="CF1290" s="5">
        <v>42944</v>
      </c>
      <c r="CG1290" s="2"/>
      <c r="CH1290" s="2"/>
      <c r="CI1290" s="2">
        <v>1</v>
      </c>
      <c r="CJ1290" s="2">
        <v>1</v>
      </c>
      <c r="CK1290" s="2">
        <v>21</v>
      </c>
      <c r="CL1290" s="2" t="s">
        <v>86</v>
      </c>
      <c r="CM1290" s="2"/>
    </row>
    <row r="1291" spans="1:91">
      <c r="A1291" s="2" t="s">
        <v>71</v>
      </c>
      <c r="B1291" s="2" t="s">
        <v>72</v>
      </c>
      <c r="C1291" s="2" t="s">
        <v>73</v>
      </c>
      <c r="D1291" s="2"/>
      <c r="E1291" s="2" t="str">
        <f>"FES1162564675"</f>
        <v>FES1162564675</v>
      </c>
      <c r="F1291" s="3">
        <v>42958</v>
      </c>
      <c r="G1291" s="2">
        <v>201802</v>
      </c>
      <c r="H1291" s="2" t="s">
        <v>74</v>
      </c>
      <c r="I1291" s="2" t="s">
        <v>75</v>
      </c>
      <c r="J1291" s="2" t="s">
        <v>76</v>
      </c>
      <c r="K1291" s="2" t="s">
        <v>77</v>
      </c>
      <c r="L1291" s="2" t="s">
        <v>144</v>
      </c>
      <c r="M1291" s="2" t="s">
        <v>145</v>
      </c>
      <c r="N1291" s="2" t="s">
        <v>1971</v>
      </c>
      <c r="O1291" s="2" t="s">
        <v>100</v>
      </c>
      <c r="P1291" s="2" t="str">
        <f>"2170581192                    "</f>
        <v xml:space="preserve">2170581192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3.13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1</v>
      </c>
      <c r="BJ1291" s="2">
        <v>0.2</v>
      </c>
      <c r="BK1291" s="2">
        <v>1</v>
      </c>
      <c r="BL1291" s="2">
        <v>32.380000000000003</v>
      </c>
      <c r="BM1291" s="2">
        <v>4.53</v>
      </c>
      <c r="BN1291" s="2">
        <v>36.909999999999997</v>
      </c>
      <c r="BO1291" s="2">
        <v>36.909999999999997</v>
      </c>
      <c r="BP1291" s="2"/>
      <c r="BQ1291" s="2" t="s">
        <v>83</v>
      </c>
      <c r="BR1291" s="2" t="s">
        <v>84</v>
      </c>
      <c r="BS1291" s="3">
        <v>42961</v>
      </c>
      <c r="BT1291" s="4">
        <v>0.34861111111111115</v>
      </c>
      <c r="BU1291" s="2" t="s">
        <v>330</v>
      </c>
      <c r="BV1291" s="2" t="s">
        <v>95</v>
      </c>
      <c r="BW1291" s="2"/>
      <c r="BX1291" s="2"/>
      <c r="BY1291" s="2">
        <v>1200</v>
      </c>
      <c r="BZ1291" s="2" t="s">
        <v>27</v>
      </c>
      <c r="CA1291" s="2" t="s">
        <v>1355</v>
      </c>
      <c r="CB1291" s="2"/>
      <c r="CC1291" s="2" t="s">
        <v>145</v>
      </c>
      <c r="CD1291" s="2">
        <v>2013</v>
      </c>
      <c r="CE1291" s="2" t="s">
        <v>104</v>
      </c>
      <c r="CF1291" s="5">
        <v>42962</v>
      </c>
      <c r="CG1291" s="2"/>
      <c r="CH1291" s="2"/>
      <c r="CI1291" s="2">
        <v>1</v>
      </c>
      <c r="CJ1291" s="2">
        <v>1</v>
      </c>
      <c r="CK1291" s="2">
        <v>22</v>
      </c>
      <c r="CL1291" s="2" t="s">
        <v>86</v>
      </c>
      <c r="CM1291" s="2"/>
    </row>
    <row r="1292" spans="1:91">
      <c r="A1292" s="2" t="s">
        <v>71</v>
      </c>
      <c r="B1292" s="2" t="s">
        <v>72</v>
      </c>
      <c r="C1292" s="2" t="s">
        <v>73</v>
      </c>
      <c r="D1292" s="2"/>
      <c r="E1292" s="2" t="str">
        <f>"FES1162563600D"</f>
        <v>FES1162563600D</v>
      </c>
      <c r="F1292" s="3">
        <v>42935</v>
      </c>
      <c r="G1292" s="2">
        <v>201802</v>
      </c>
      <c r="H1292" s="2" t="s">
        <v>74</v>
      </c>
      <c r="I1292" s="2" t="s">
        <v>75</v>
      </c>
      <c r="J1292" s="2" t="s">
        <v>118</v>
      </c>
      <c r="K1292" s="2" t="s">
        <v>77</v>
      </c>
      <c r="L1292" s="2" t="s">
        <v>268</v>
      </c>
      <c r="M1292" s="2" t="s">
        <v>269</v>
      </c>
      <c r="N1292" s="2" t="s">
        <v>635</v>
      </c>
      <c r="O1292" s="2" t="s">
        <v>100</v>
      </c>
      <c r="P1292" s="2" t="str">
        <f>"                              "</f>
        <v xml:space="preserve">          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4.53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0.3</v>
      </c>
      <c r="BJ1292" s="2">
        <v>2.5</v>
      </c>
      <c r="BK1292" s="2">
        <v>2.5</v>
      </c>
      <c r="BL1292" s="2">
        <v>51.33</v>
      </c>
      <c r="BM1292" s="2">
        <v>7.19</v>
      </c>
      <c r="BN1292" s="2">
        <v>58.52</v>
      </c>
      <c r="BO1292" s="2">
        <v>58.52</v>
      </c>
      <c r="BP1292" s="2"/>
      <c r="BQ1292" s="2" t="s">
        <v>636</v>
      </c>
      <c r="BR1292" s="2" t="s">
        <v>187</v>
      </c>
      <c r="BS1292" s="3">
        <v>42936</v>
      </c>
      <c r="BT1292" s="4">
        <v>0.3298611111111111</v>
      </c>
      <c r="BU1292" s="2" t="s">
        <v>2008</v>
      </c>
      <c r="BV1292" s="2" t="s">
        <v>95</v>
      </c>
      <c r="BW1292" s="2"/>
      <c r="BX1292" s="2"/>
      <c r="BY1292" s="2">
        <v>12469.73</v>
      </c>
      <c r="BZ1292" s="2"/>
      <c r="CA1292" s="2"/>
      <c r="CB1292" s="2"/>
      <c r="CC1292" s="2" t="s">
        <v>269</v>
      </c>
      <c r="CD1292" s="2">
        <v>184</v>
      </c>
      <c r="CE1292" s="2" t="s">
        <v>104</v>
      </c>
      <c r="CF1292" s="5">
        <v>42945</v>
      </c>
      <c r="CG1292" s="2"/>
      <c r="CH1292" s="2"/>
      <c r="CI1292" s="2">
        <v>1</v>
      </c>
      <c r="CJ1292" s="2">
        <v>1</v>
      </c>
      <c r="CK1292" s="2">
        <v>21</v>
      </c>
      <c r="CL1292" s="2" t="s">
        <v>86</v>
      </c>
      <c r="CM1292" s="2"/>
    </row>
    <row r="1293" spans="1:91">
      <c r="A1293" s="2" t="s">
        <v>71</v>
      </c>
      <c r="B1293" s="2" t="s">
        <v>72</v>
      </c>
      <c r="C1293" s="2" t="s">
        <v>73</v>
      </c>
      <c r="D1293" s="2"/>
      <c r="E1293" s="2" t="str">
        <f>"FES1162568499"</f>
        <v>FES1162568499</v>
      </c>
      <c r="F1293" s="3">
        <v>42958</v>
      </c>
      <c r="G1293" s="2">
        <v>201802</v>
      </c>
      <c r="H1293" s="2" t="s">
        <v>74</v>
      </c>
      <c r="I1293" s="2" t="s">
        <v>75</v>
      </c>
      <c r="J1293" s="2" t="s">
        <v>76</v>
      </c>
      <c r="K1293" s="2" t="s">
        <v>77</v>
      </c>
      <c r="L1293" s="2" t="s">
        <v>144</v>
      </c>
      <c r="M1293" s="2" t="s">
        <v>145</v>
      </c>
      <c r="N1293" s="2" t="s">
        <v>146</v>
      </c>
      <c r="O1293" s="2" t="s">
        <v>100</v>
      </c>
      <c r="P1293" s="2" t="str">
        <f>"2170584589                    "</f>
        <v xml:space="preserve">2170584589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3.13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1</v>
      </c>
      <c r="BJ1293" s="2">
        <v>0.2</v>
      </c>
      <c r="BK1293" s="2">
        <v>1</v>
      </c>
      <c r="BL1293" s="2">
        <v>32.380000000000003</v>
      </c>
      <c r="BM1293" s="2">
        <v>4.53</v>
      </c>
      <c r="BN1293" s="2">
        <v>36.909999999999997</v>
      </c>
      <c r="BO1293" s="2">
        <v>36.909999999999997</v>
      </c>
      <c r="BP1293" s="2"/>
      <c r="BQ1293" s="2" t="s">
        <v>83</v>
      </c>
      <c r="BR1293" s="2" t="s">
        <v>84</v>
      </c>
      <c r="BS1293" s="3">
        <v>42961</v>
      </c>
      <c r="BT1293" s="4">
        <v>0.38541666666666669</v>
      </c>
      <c r="BU1293" s="2" t="s">
        <v>1893</v>
      </c>
      <c r="BV1293" s="2" t="s">
        <v>95</v>
      </c>
      <c r="BW1293" s="2"/>
      <c r="BX1293" s="2"/>
      <c r="BY1293" s="2">
        <v>1200</v>
      </c>
      <c r="BZ1293" s="2" t="s">
        <v>27</v>
      </c>
      <c r="CA1293" s="2" t="s">
        <v>274</v>
      </c>
      <c r="CB1293" s="2"/>
      <c r="CC1293" s="2" t="s">
        <v>145</v>
      </c>
      <c r="CD1293" s="2">
        <v>2094</v>
      </c>
      <c r="CE1293" s="2" t="s">
        <v>104</v>
      </c>
      <c r="CF1293" s="5">
        <v>42962</v>
      </c>
      <c r="CG1293" s="2"/>
      <c r="CH1293" s="2"/>
      <c r="CI1293" s="2">
        <v>1</v>
      </c>
      <c r="CJ1293" s="2">
        <v>1</v>
      </c>
      <c r="CK1293" s="2">
        <v>22</v>
      </c>
      <c r="CL1293" s="2" t="s">
        <v>86</v>
      </c>
      <c r="CM1293" s="2"/>
    </row>
    <row r="1294" spans="1:91">
      <c r="A1294" s="2" t="s">
        <v>71</v>
      </c>
      <c r="B1294" s="2" t="s">
        <v>72</v>
      </c>
      <c r="C1294" s="2" t="s">
        <v>73</v>
      </c>
      <c r="D1294" s="2"/>
      <c r="E1294" s="2" t="str">
        <f>"FES1162564901D"</f>
        <v>FES1162564901D</v>
      </c>
      <c r="F1294" s="3">
        <v>42942</v>
      </c>
      <c r="G1294" s="2">
        <v>201802</v>
      </c>
      <c r="H1294" s="2" t="s">
        <v>74</v>
      </c>
      <c r="I1294" s="2" t="s">
        <v>75</v>
      </c>
      <c r="J1294" s="2" t="s">
        <v>118</v>
      </c>
      <c r="K1294" s="2" t="s">
        <v>77</v>
      </c>
      <c r="L1294" s="2" t="s">
        <v>221</v>
      </c>
      <c r="M1294" s="2" t="s">
        <v>222</v>
      </c>
      <c r="N1294" s="2" t="s">
        <v>415</v>
      </c>
      <c r="O1294" s="2" t="s">
        <v>100</v>
      </c>
      <c r="P1294" s="2" t="str">
        <f>"                              "</f>
        <v xml:space="preserve">           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3.63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1</v>
      </c>
      <c r="BI1294" s="2">
        <v>1</v>
      </c>
      <c r="BJ1294" s="2">
        <v>0.2</v>
      </c>
      <c r="BK1294" s="2">
        <v>1</v>
      </c>
      <c r="BL1294" s="2">
        <v>41.07</v>
      </c>
      <c r="BM1294" s="2">
        <v>5.75</v>
      </c>
      <c r="BN1294" s="2">
        <v>46.82</v>
      </c>
      <c r="BO1294" s="2">
        <v>46.82</v>
      </c>
      <c r="BP1294" s="2"/>
      <c r="BQ1294" s="2" t="s">
        <v>108</v>
      </c>
      <c r="BR1294" s="2" t="s">
        <v>187</v>
      </c>
      <c r="BS1294" s="3">
        <v>42943</v>
      </c>
      <c r="BT1294" s="4">
        <v>0.3527777777777778</v>
      </c>
      <c r="BU1294" s="2" t="s">
        <v>933</v>
      </c>
      <c r="BV1294" s="2" t="s">
        <v>95</v>
      </c>
      <c r="BW1294" s="2"/>
      <c r="BX1294" s="2"/>
      <c r="BY1294" s="2">
        <v>1200</v>
      </c>
      <c r="BZ1294" s="2"/>
      <c r="CA1294" s="2" t="s">
        <v>225</v>
      </c>
      <c r="CB1294" s="2"/>
      <c r="CC1294" s="2" t="s">
        <v>222</v>
      </c>
      <c r="CD1294" s="2">
        <v>4302</v>
      </c>
      <c r="CE1294" s="2" t="s">
        <v>104</v>
      </c>
      <c r="CF1294" s="5">
        <v>42944</v>
      </c>
      <c r="CG1294" s="2"/>
      <c r="CH1294" s="2"/>
      <c r="CI1294" s="2">
        <v>1</v>
      </c>
      <c r="CJ1294" s="2">
        <v>1</v>
      </c>
      <c r="CK1294" s="2">
        <v>21</v>
      </c>
      <c r="CL1294" s="2" t="s">
        <v>86</v>
      </c>
      <c r="CM1294" s="2"/>
    </row>
    <row r="1295" spans="1:91">
      <c r="A1295" s="2" t="s">
        <v>71</v>
      </c>
      <c r="B1295" s="2" t="s">
        <v>72</v>
      </c>
      <c r="C1295" s="2" t="s">
        <v>73</v>
      </c>
      <c r="D1295" s="2"/>
      <c r="E1295" s="2" t="str">
        <f>"FES1162568475"</f>
        <v>FES1162568475</v>
      </c>
      <c r="F1295" s="3">
        <v>42958</v>
      </c>
      <c r="G1295" s="2">
        <v>201802</v>
      </c>
      <c r="H1295" s="2" t="s">
        <v>74</v>
      </c>
      <c r="I1295" s="2" t="s">
        <v>75</v>
      </c>
      <c r="J1295" s="2" t="s">
        <v>76</v>
      </c>
      <c r="K1295" s="2" t="s">
        <v>77</v>
      </c>
      <c r="L1295" s="2" t="s">
        <v>216</v>
      </c>
      <c r="M1295" s="2" t="s">
        <v>217</v>
      </c>
      <c r="N1295" s="2" t="s">
        <v>351</v>
      </c>
      <c r="O1295" s="2" t="s">
        <v>100</v>
      </c>
      <c r="P1295" s="2" t="str">
        <f>"2170584571                    "</f>
        <v xml:space="preserve">2170584571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3.13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1</v>
      </c>
      <c r="BI1295" s="2">
        <v>7</v>
      </c>
      <c r="BJ1295" s="2">
        <v>3.9</v>
      </c>
      <c r="BK1295" s="2">
        <v>7</v>
      </c>
      <c r="BL1295" s="2">
        <v>32.380000000000003</v>
      </c>
      <c r="BM1295" s="2">
        <v>4.53</v>
      </c>
      <c r="BN1295" s="2">
        <v>36.909999999999997</v>
      </c>
      <c r="BO1295" s="2">
        <v>36.909999999999997</v>
      </c>
      <c r="BP1295" s="2"/>
      <c r="BQ1295" s="2" t="s">
        <v>83</v>
      </c>
      <c r="BR1295" s="2" t="s">
        <v>84</v>
      </c>
      <c r="BS1295" s="3">
        <v>42962</v>
      </c>
      <c r="BT1295" s="4">
        <v>0.39166666666666666</v>
      </c>
      <c r="BU1295" s="2" t="s">
        <v>1451</v>
      </c>
      <c r="BV1295" s="2" t="s">
        <v>86</v>
      </c>
      <c r="BW1295" s="2" t="s">
        <v>124</v>
      </c>
      <c r="BX1295" s="2" t="s">
        <v>327</v>
      </c>
      <c r="BY1295" s="2">
        <v>19440</v>
      </c>
      <c r="BZ1295" s="2" t="s">
        <v>27</v>
      </c>
      <c r="CA1295" s="2" t="s">
        <v>220</v>
      </c>
      <c r="CB1295" s="2"/>
      <c r="CC1295" s="2" t="s">
        <v>217</v>
      </c>
      <c r="CD1295" s="2">
        <v>1451</v>
      </c>
      <c r="CE1295" s="2" t="s">
        <v>89</v>
      </c>
      <c r="CF1295" s="5">
        <v>42963</v>
      </c>
      <c r="CG1295" s="2"/>
      <c r="CH1295" s="2"/>
      <c r="CI1295" s="2">
        <v>1</v>
      </c>
      <c r="CJ1295" s="2">
        <v>2</v>
      </c>
      <c r="CK1295" s="2">
        <v>22</v>
      </c>
      <c r="CL1295" s="2" t="s">
        <v>86</v>
      </c>
      <c r="CM1295" s="2"/>
    </row>
    <row r="1296" spans="1:91">
      <c r="A1296" s="2" t="s">
        <v>71</v>
      </c>
      <c r="B1296" s="2" t="s">
        <v>72</v>
      </c>
      <c r="C1296" s="2" t="s">
        <v>73</v>
      </c>
      <c r="D1296" s="2"/>
      <c r="E1296" s="2" t="str">
        <f>"FES1162562938D"</f>
        <v>FES1162562938D</v>
      </c>
      <c r="F1296" s="3">
        <v>42935</v>
      </c>
      <c r="G1296" s="2">
        <v>201802</v>
      </c>
      <c r="H1296" s="2" t="s">
        <v>74</v>
      </c>
      <c r="I1296" s="2" t="s">
        <v>75</v>
      </c>
      <c r="J1296" s="2" t="s">
        <v>118</v>
      </c>
      <c r="K1296" s="2" t="s">
        <v>77</v>
      </c>
      <c r="L1296" s="2" t="s">
        <v>144</v>
      </c>
      <c r="M1296" s="2" t="s">
        <v>145</v>
      </c>
      <c r="N1296" s="2" t="s">
        <v>146</v>
      </c>
      <c r="O1296" s="2" t="s">
        <v>100</v>
      </c>
      <c r="P1296" s="2" t="str">
        <f>"                              "</f>
        <v xml:space="preserve">            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2.83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0.4</v>
      </c>
      <c r="BJ1296" s="2">
        <v>1.6</v>
      </c>
      <c r="BK1296" s="2">
        <v>2</v>
      </c>
      <c r="BL1296" s="2">
        <v>32.08</v>
      </c>
      <c r="BM1296" s="2">
        <v>4.49</v>
      </c>
      <c r="BN1296" s="2">
        <v>36.57</v>
      </c>
      <c r="BO1296" s="2">
        <v>36.57</v>
      </c>
      <c r="BP1296" s="2"/>
      <c r="BQ1296" s="2" t="s">
        <v>83</v>
      </c>
      <c r="BR1296" s="2" t="s">
        <v>187</v>
      </c>
      <c r="BS1296" s="3">
        <v>42936</v>
      </c>
      <c r="BT1296" s="4">
        <v>0.39583333333333331</v>
      </c>
      <c r="BU1296" s="2" t="s">
        <v>1176</v>
      </c>
      <c r="BV1296" s="2" t="s">
        <v>95</v>
      </c>
      <c r="BW1296" s="2"/>
      <c r="BX1296" s="2"/>
      <c r="BY1296" s="2">
        <v>8056.38</v>
      </c>
      <c r="BZ1296" s="2"/>
      <c r="CA1296" s="2" t="s">
        <v>729</v>
      </c>
      <c r="CB1296" s="2"/>
      <c r="CC1296" s="2" t="s">
        <v>145</v>
      </c>
      <c r="CD1296" s="2">
        <v>2094</v>
      </c>
      <c r="CE1296" s="2" t="s">
        <v>104</v>
      </c>
      <c r="CF1296" s="5">
        <v>42947</v>
      </c>
      <c r="CG1296" s="2"/>
      <c r="CH1296" s="2"/>
      <c r="CI1296" s="2">
        <v>1</v>
      </c>
      <c r="CJ1296" s="2">
        <v>1</v>
      </c>
      <c r="CK1296" s="2">
        <v>22</v>
      </c>
      <c r="CL1296" s="2" t="s">
        <v>86</v>
      </c>
      <c r="CM1296" s="2"/>
    </row>
    <row r="1297" spans="1:91">
      <c r="A1297" s="2" t="s">
        <v>71</v>
      </c>
      <c r="B1297" s="2" t="s">
        <v>72</v>
      </c>
      <c r="C1297" s="2" t="s">
        <v>73</v>
      </c>
      <c r="D1297" s="2"/>
      <c r="E1297" s="2" t="str">
        <f>"FES1162568489"</f>
        <v>FES1162568489</v>
      </c>
      <c r="F1297" s="3">
        <v>42958</v>
      </c>
      <c r="G1297" s="2">
        <v>201802</v>
      </c>
      <c r="H1297" s="2" t="s">
        <v>74</v>
      </c>
      <c r="I1297" s="2" t="s">
        <v>75</v>
      </c>
      <c r="J1297" s="2" t="s">
        <v>76</v>
      </c>
      <c r="K1297" s="2" t="s">
        <v>77</v>
      </c>
      <c r="L1297" s="2" t="s">
        <v>105</v>
      </c>
      <c r="M1297" s="2" t="s">
        <v>106</v>
      </c>
      <c r="N1297" s="2" t="s">
        <v>644</v>
      </c>
      <c r="O1297" s="2" t="s">
        <v>100</v>
      </c>
      <c r="P1297" s="2" t="str">
        <f>"2170584092                    "</f>
        <v xml:space="preserve">2170584092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4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1.5</v>
      </c>
      <c r="BJ1297" s="2">
        <v>1.1000000000000001</v>
      </c>
      <c r="BK1297" s="2">
        <v>1.5</v>
      </c>
      <c r="BL1297" s="2">
        <v>41.44</v>
      </c>
      <c r="BM1297" s="2">
        <v>5.8</v>
      </c>
      <c r="BN1297" s="2">
        <v>47.24</v>
      </c>
      <c r="BO1297" s="2">
        <v>47.24</v>
      </c>
      <c r="BP1297" s="2"/>
      <c r="BQ1297" s="2" t="s">
        <v>108</v>
      </c>
      <c r="BR1297" s="2" t="s">
        <v>84</v>
      </c>
      <c r="BS1297" s="3">
        <v>42961</v>
      </c>
      <c r="BT1297" s="4">
        <v>0.45763888888888887</v>
      </c>
      <c r="BU1297" s="2" t="s">
        <v>2012</v>
      </c>
      <c r="BV1297" s="2" t="s">
        <v>95</v>
      </c>
      <c r="BW1297" s="2"/>
      <c r="BX1297" s="2"/>
      <c r="BY1297" s="2">
        <v>5395.8</v>
      </c>
      <c r="BZ1297" s="2" t="s">
        <v>27</v>
      </c>
      <c r="CA1297" s="2" t="s">
        <v>856</v>
      </c>
      <c r="CB1297" s="2"/>
      <c r="CC1297" s="2" t="s">
        <v>106</v>
      </c>
      <c r="CD1297" s="2">
        <v>7441</v>
      </c>
      <c r="CE1297" s="2" t="s">
        <v>135</v>
      </c>
      <c r="CF1297" s="5">
        <v>42961</v>
      </c>
      <c r="CG1297" s="2"/>
      <c r="CH1297" s="2"/>
      <c r="CI1297" s="2">
        <v>1</v>
      </c>
      <c r="CJ1297" s="2">
        <v>1</v>
      </c>
      <c r="CK1297" s="2">
        <v>21</v>
      </c>
      <c r="CL1297" s="2" t="s">
        <v>86</v>
      </c>
      <c r="CM1297" s="2"/>
    </row>
    <row r="1298" spans="1:91">
      <c r="A1298" s="2" t="s">
        <v>71</v>
      </c>
      <c r="B1298" s="2" t="s">
        <v>72</v>
      </c>
      <c r="C1298" s="2" t="s">
        <v>73</v>
      </c>
      <c r="D1298" s="2"/>
      <c r="E1298" s="2" t="str">
        <f>"FES1162564907D"</f>
        <v>FES1162564907D</v>
      </c>
      <c r="F1298" s="3">
        <v>42942</v>
      </c>
      <c r="G1298" s="2">
        <v>201802</v>
      </c>
      <c r="H1298" s="2" t="s">
        <v>74</v>
      </c>
      <c r="I1298" s="2" t="s">
        <v>75</v>
      </c>
      <c r="J1298" s="2" t="s">
        <v>118</v>
      </c>
      <c r="K1298" s="2" t="s">
        <v>77</v>
      </c>
      <c r="L1298" s="2" t="s">
        <v>105</v>
      </c>
      <c r="M1298" s="2" t="s">
        <v>106</v>
      </c>
      <c r="N1298" s="2" t="s">
        <v>1851</v>
      </c>
      <c r="O1298" s="2" t="s">
        <v>100</v>
      </c>
      <c r="P1298" s="2" t="str">
        <f>"                              "</f>
        <v xml:space="preserve">          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3.63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1</v>
      </c>
      <c r="BJ1298" s="2">
        <v>0.2</v>
      </c>
      <c r="BK1298" s="2">
        <v>1</v>
      </c>
      <c r="BL1298" s="2">
        <v>41.07</v>
      </c>
      <c r="BM1298" s="2">
        <v>5.75</v>
      </c>
      <c r="BN1298" s="2">
        <v>46.82</v>
      </c>
      <c r="BO1298" s="2">
        <v>46.82</v>
      </c>
      <c r="BP1298" s="2"/>
      <c r="BQ1298" s="2" t="s">
        <v>83</v>
      </c>
      <c r="BR1298" s="2" t="s">
        <v>187</v>
      </c>
      <c r="BS1298" s="3">
        <v>42943</v>
      </c>
      <c r="BT1298" s="4">
        <v>0.35347222222222219</v>
      </c>
      <c r="BU1298" s="2" t="s">
        <v>2013</v>
      </c>
      <c r="BV1298" s="2" t="s">
        <v>95</v>
      </c>
      <c r="BW1298" s="2"/>
      <c r="BX1298" s="2"/>
      <c r="BY1298" s="2">
        <v>1200</v>
      </c>
      <c r="BZ1298" s="2"/>
      <c r="CA1298" s="2" t="s">
        <v>302</v>
      </c>
      <c r="CB1298" s="2"/>
      <c r="CC1298" s="2" t="s">
        <v>106</v>
      </c>
      <c r="CD1298" s="2">
        <v>7530</v>
      </c>
      <c r="CE1298" s="2" t="s">
        <v>104</v>
      </c>
      <c r="CF1298" s="5">
        <v>42944</v>
      </c>
      <c r="CG1298" s="2"/>
      <c r="CH1298" s="2"/>
      <c r="CI1298" s="2">
        <v>1</v>
      </c>
      <c r="CJ1298" s="2">
        <v>1</v>
      </c>
      <c r="CK1298" s="2">
        <v>21</v>
      </c>
      <c r="CL1298" s="2" t="s">
        <v>86</v>
      </c>
      <c r="CM1298" s="2"/>
    </row>
    <row r="1299" spans="1:91">
      <c r="A1299" s="2" t="s">
        <v>71</v>
      </c>
      <c r="B1299" s="2" t="s">
        <v>72</v>
      </c>
      <c r="C1299" s="2" t="s">
        <v>73</v>
      </c>
      <c r="D1299" s="2"/>
      <c r="E1299" s="2" t="str">
        <f>"FES1162568471"</f>
        <v>FES1162568471</v>
      </c>
      <c r="F1299" s="3">
        <v>42958</v>
      </c>
      <c r="G1299" s="2">
        <v>201802</v>
      </c>
      <c r="H1299" s="2" t="s">
        <v>74</v>
      </c>
      <c r="I1299" s="2" t="s">
        <v>75</v>
      </c>
      <c r="J1299" s="2" t="s">
        <v>76</v>
      </c>
      <c r="K1299" s="2" t="s">
        <v>77</v>
      </c>
      <c r="L1299" s="2" t="s">
        <v>74</v>
      </c>
      <c r="M1299" s="2" t="s">
        <v>75</v>
      </c>
      <c r="N1299" s="2" t="s">
        <v>2014</v>
      </c>
      <c r="O1299" s="2" t="s">
        <v>100</v>
      </c>
      <c r="P1299" s="2" t="str">
        <f>"2170584566                    "</f>
        <v xml:space="preserve">2170584566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3.13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1</v>
      </c>
      <c r="BJ1299" s="2">
        <v>0.2</v>
      </c>
      <c r="BK1299" s="2">
        <v>1</v>
      </c>
      <c r="BL1299" s="2">
        <v>32.380000000000003</v>
      </c>
      <c r="BM1299" s="2">
        <v>4.53</v>
      </c>
      <c r="BN1299" s="2">
        <v>36.909999999999997</v>
      </c>
      <c r="BO1299" s="2">
        <v>36.909999999999997</v>
      </c>
      <c r="BP1299" s="2"/>
      <c r="BQ1299" s="2" t="s">
        <v>108</v>
      </c>
      <c r="BR1299" s="2" t="s">
        <v>84</v>
      </c>
      <c r="BS1299" s="3">
        <v>42961</v>
      </c>
      <c r="BT1299" s="4">
        <v>0.3756944444444445</v>
      </c>
      <c r="BU1299" s="2" t="s">
        <v>2015</v>
      </c>
      <c r="BV1299" s="2" t="s">
        <v>95</v>
      </c>
      <c r="BW1299" s="2"/>
      <c r="BX1299" s="2"/>
      <c r="BY1299" s="2">
        <v>1200</v>
      </c>
      <c r="BZ1299" s="2" t="s">
        <v>27</v>
      </c>
      <c r="CA1299" s="2" t="s">
        <v>194</v>
      </c>
      <c r="CB1299" s="2"/>
      <c r="CC1299" s="2" t="s">
        <v>75</v>
      </c>
      <c r="CD1299" s="2">
        <v>1666</v>
      </c>
      <c r="CE1299" s="2" t="s">
        <v>104</v>
      </c>
      <c r="CF1299" s="5">
        <v>42962</v>
      </c>
      <c r="CG1299" s="2"/>
      <c r="CH1299" s="2"/>
      <c r="CI1299" s="2">
        <v>1</v>
      </c>
      <c r="CJ1299" s="2">
        <v>1</v>
      </c>
      <c r="CK1299" s="2">
        <v>22</v>
      </c>
      <c r="CL1299" s="2" t="s">
        <v>86</v>
      </c>
      <c r="CM1299" s="2"/>
    </row>
    <row r="1300" spans="1:91">
      <c r="A1300" s="2" t="s">
        <v>71</v>
      </c>
      <c r="B1300" s="2" t="s">
        <v>72</v>
      </c>
      <c r="C1300" s="2" t="s">
        <v>73</v>
      </c>
      <c r="D1300" s="2"/>
      <c r="E1300" s="2" t="str">
        <f>"FES1162563463D"</f>
        <v>FES1162563463D</v>
      </c>
      <c r="F1300" s="3">
        <v>42935</v>
      </c>
      <c r="G1300" s="2">
        <v>201802</v>
      </c>
      <c r="H1300" s="2" t="s">
        <v>74</v>
      </c>
      <c r="I1300" s="2" t="s">
        <v>75</v>
      </c>
      <c r="J1300" s="2" t="s">
        <v>118</v>
      </c>
      <c r="K1300" s="2" t="s">
        <v>77</v>
      </c>
      <c r="L1300" s="2" t="s">
        <v>268</v>
      </c>
      <c r="M1300" s="2" t="s">
        <v>269</v>
      </c>
      <c r="N1300" s="2" t="s">
        <v>635</v>
      </c>
      <c r="O1300" s="2" t="s">
        <v>100</v>
      </c>
      <c r="P1300" s="2" t="str">
        <f>"                              "</f>
        <v xml:space="preserve">          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3.63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0.5</v>
      </c>
      <c r="BJ1300" s="2">
        <v>1.7</v>
      </c>
      <c r="BK1300" s="2">
        <v>2</v>
      </c>
      <c r="BL1300" s="2">
        <v>41.07</v>
      </c>
      <c r="BM1300" s="2">
        <v>5.75</v>
      </c>
      <c r="BN1300" s="2">
        <v>46.82</v>
      </c>
      <c r="BO1300" s="2">
        <v>46.82</v>
      </c>
      <c r="BP1300" s="2"/>
      <c r="BQ1300" s="2" t="s">
        <v>636</v>
      </c>
      <c r="BR1300" s="2" t="s">
        <v>187</v>
      </c>
      <c r="BS1300" s="3">
        <v>42936</v>
      </c>
      <c r="BT1300" s="4">
        <v>0.3298611111111111</v>
      </c>
      <c r="BU1300" s="2" t="s">
        <v>2008</v>
      </c>
      <c r="BV1300" s="2" t="s">
        <v>95</v>
      </c>
      <c r="BW1300" s="2"/>
      <c r="BX1300" s="2"/>
      <c r="BY1300" s="2">
        <v>8407.68</v>
      </c>
      <c r="BZ1300" s="2"/>
      <c r="CA1300" s="2" t="s">
        <v>638</v>
      </c>
      <c r="CB1300" s="2"/>
      <c r="CC1300" s="2" t="s">
        <v>269</v>
      </c>
      <c r="CD1300" s="2">
        <v>184</v>
      </c>
      <c r="CE1300" s="2" t="s">
        <v>89</v>
      </c>
      <c r="CF1300" s="5">
        <v>42945</v>
      </c>
      <c r="CG1300" s="2"/>
      <c r="CH1300" s="2"/>
      <c r="CI1300" s="2">
        <v>1</v>
      </c>
      <c r="CJ1300" s="2">
        <v>1</v>
      </c>
      <c r="CK1300" s="2">
        <v>21</v>
      </c>
      <c r="CL1300" s="2" t="s">
        <v>86</v>
      </c>
      <c r="CM1300" s="2"/>
    </row>
    <row r="1301" spans="1:91">
      <c r="A1301" s="2" t="s">
        <v>71</v>
      </c>
      <c r="B1301" s="2" t="s">
        <v>72</v>
      </c>
      <c r="C1301" s="2" t="s">
        <v>73</v>
      </c>
      <c r="D1301" s="2"/>
      <c r="E1301" s="2" t="str">
        <f>"FES1162568493"</f>
        <v>FES1162568493</v>
      </c>
      <c r="F1301" s="3">
        <v>42958</v>
      </c>
      <c r="G1301" s="2">
        <v>201802</v>
      </c>
      <c r="H1301" s="2" t="s">
        <v>74</v>
      </c>
      <c r="I1301" s="2" t="s">
        <v>75</v>
      </c>
      <c r="J1301" s="2" t="s">
        <v>76</v>
      </c>
      <c r="K1301" s="2" t="s">
        <v>77</v>
      </c>
      <c r="L1301" s="2" t="s">
        <v>244</v>
      </c>
      <c r="M1301" s="2" t="s">
        <v>245</v>
      </c>
      <c r="N1301" s="2" t="s">
        <v>882</v>
      </c>
      <c r="O1301" s="2" t="s">
        <v>100</v>
      </c>
      <c r="P1301" s="2" t="str">
        <f>"2170584369                    "</f>
        <v xml:space="preserve">2170584369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3.13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3</v>
      </c>
      <c r="BJ1301" s="2">
        <v>1.6</v>
      </c>
      <c r="BK1301" s="2">
        <v>3</v>
      </c>
      <c r="BL1301" s="2">
        <v>32.380000000000003</v>
      </c>
      <c r="BM1301" s="2">
        <v>4.53</v>
      </c>
      <c r="BN1301" s="2">
        <v>36.909999999999997</v>
      </c>
      <c r="BO1301" s="2">
        <v>36.909999999999997</v>
      </c>
      <c r="BP1301" s="2"/>
      <c r="BQ1301" s="2" t="s">
        <v>108</v>
      </c>
      <c r="BR1301" s="2" t="s">
        <v>84</v>
      </c>
      <c r="BS1301" s="3">
        <v>42961</v>
      </c>
      <c r="BT1301" s="4">
        <v>0.31597222222222221</v>
      </c>
      <c r="BU1301" s="2" t="s">
        <v>2016</v>
      </c>
      <c r="BV1301" s="2" t="s">
        <v>95</v>
      </c>
      <c r="BW1301" s="2"/>
      <c r="BX1301" s="2"/>
      <c r="BY1301" s="2">
        <v>8208</v>
      </c>
      <c r="BZ1301" s="2" t="s">
        <v>27</v>
      </c>
      <c r="CA1301" s="2" t="s">
        <v>733</v>
      </c>
      <c r="CB1301" s="2"/>
      <c r="CC1301" s="2" t="s">
        <v>245</v>
      </c>
      <c r="CD1301" s="2">
        <v>1459</v>
      </c>
      <c r="CE1301" s="2" t="s">
        <v>89</v>
      </c>
      <c r="CF1301" s="5">
        <v>42962</v>
      </c>
      <c r="CG1301" s="2"/>
      <c r="CH1301" s="2"/>
      <c r="CI1301" s="2">
        <v>1</v>
      </c>
      <c r="CJ1301" s="2">
        <v>1</v>
      </c>
      <c r="CK1301" s="2">
        <v>22</v>
      </c>
      <c r="CL1301" s="2" t="s">
        <v>86</v>
      </c>
      <c r="CM1301" s="2"/>
    </row>
    <row r="1302" spans="1:91">
      <c r="A1302" s="2" t="s">
        <v>71</v>
      </c>
      <c r="B1302" s="2" t="s">
        <v>72</v>
      </c>
      <c r="C1302" s="2" t="s">
        <v>73</v>
      </c>
      <c r="D1302" s="2"/>
      <c r="E1302" s="2" t="str">
        <f>"FES1162564909D"</f>
        <v>FES1162564909D</v>
      </c>
      <c r="F1302" s="3">
        <v>42942</v>
      </c>
      <c r="G1302" s="2">
        <v>201802</v>
      </c>
      <c r="H1302" s="2" t="s">
        <v>74</v>
      </c>
      <c r="I1302" s="2" t="s">
        <v>75</v>
      </c>
      <c r="J1302" s="2" t="s">
        <v>118</v>
      </c>
      <c r="K1302" s="2" t="s">
        <v>77</v>
      </c>
      <c r="L1302" s="2" t="s">
        <v>723</v>
      </c>
      <c r="M1302" s="2" t="s">
        <v>724</v>
      </c>
      <c r="N1302" s="2" t="s">
        <v>2017</v>
      </c>
      <c r="O1302" s="2" t="s">
        <v>100</v>
      </c>
      <c r="P1302" s="2" t="str">
        <f>"                              "</f>
        <v xml:space="preserve">          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5.0999999999999996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1</v>
      </c>
      <c r="BJ1302" s="2">
        <v>0.2</v>
      </c>
      <c r="BK1302" s="2">
        <v>1</v>
      </c>
      <c r="BL1302" s="2">
        <v>57.75</v>
      </c>
      <c r="BM1302" s="2">
        <v>8.09</v>
      </c>
      <c r="BN1302" s="2">
        <v>65.84</v>
      </c>
      <c r="BO1302" s="2">
        <v>65.84</v>
      </c>
      <c r="BP1302" s="2"/>
      <c r="BQ1302" s="2" t="s">
        <v>108</v>
      </c>
      <c r="BR1302" s="2" t="s">
        <v>187</v>
      </c>
      <c r="BS1302" s="3">
        <v>42943</v>
      </c>
      <c r="BT1302" s="4">
        <v>0.3666666666666667</v>
      </c>
      <c r="BU1302" s="2" t="s">
        <v>2018</v>
      </c>
      <c r="BV1302" s="2" t="s">
        <v>95</v>
      </c>
      <c r="BW1302" s="2"/>
      <c r="BX1302" s="2"/>
      <c r="BY1302" s="2">
        <v>1200</v>
      </c>
      <c r="BZ1302" s="2"/>
      <c r="CA1302" s="2" t="s">
        <v>727</v>
      </c>
      <c r="CB1302" s="2"/>
      <c r="CC1302" s="2" t="s">
        <v>724</v>
      </c>
      <c r="CD1302" s="2">
        <v>1739</v>
      </c>
      <c r="CE1302" s="2" t="s">
        <v>104</v>
      </c>
      <c r="CF1302" s="5">
        <v>42944</v>
      </c>
      <c r="CG1302" s="2"/>
      <c r="CH1302" s="2"/>
      <c r="CI1302" s="2">
        <v>1</v>
      </c>
      <c r="CJ1302" s="2">
        <v>1</v>
      </c>
      <c r="CK1302" s="2">
        <v>24</v>
      </c>
      <c r="CL1302" s="2" t="s">
        <v>86</v>
      </c>
      <c r="CM1302" s="2"/>
    </row>
    <row r="1303" spans="1:91">
      <c r="A1303" s="2" t="s">
        <v>71</v>
      </c>
      <c r="B1303" s="2" t="s">
        <v>72</v>
      </c>
      <c r="C1303" s="2" t="s">
        <v>73</v>
      </c>
      <c r="D1303" s="2"/>
      <c r="E1303" s="2" t="str">
        <f>"FES1162568509"</f>
        <v>FES1162568509</v>
      </c>
      <c r="F1303" s="3">
        <v>42958</v>
      </c>
      <c r="G1303" s="2">
        <v>201802</v>
      </c>
      <c r="H1303" s="2" t="s">
        <v>74</v>
      </c>
      <c r="I1303" s="2" t="s">
        <v>75</v>
      </c>
      <c r="J1303" s="2" t="s">
        <v>76</v>
      </c>
      <c r="K1303" s="2" t="s">
        <v>77</v>
      </c>
      <c r="L1303" s="2" t="s">
        <v>417</v>
      </c>
      <c r="M1303" s="2" t="s">
        <v>417</v>
      </c>
      <c r="N1303" s="2" t="s">
        <v>475</v>
      </c>
      <c r="O1303" s="2" t="s">
        <v>100</v>
      </c>
      <c r="P1303" s="2" t="str">
        <f>"2170584599                    "</f>
        <v xml:space="preserve">2170584599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4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1</v>
      </c>
      <c r="BJ1303" s="2">
        <v>0.2</v>
      </c>
      <c r="BK1303" s="2">
        <v>1</v>
      </c>
      <c r="BL1303" s="2">
        <v>41.44</v>
      </c>
      <c r="BM1303" s="2">
        <v>5.8</v>
      </c>
      <c r="BN1303" s="2">
        <v>47.24</v>
      </c>
      <c r="BO1303" s="2">
        <v>47.24</v>
      </c>
      <c r="BP1303" s="2"/>
      <c r="BQ1303" s="2" t="s">
        <v>108</v>
      </c>
      <c r="BR1303" s="2" t="s">
        <v>84</v>
      </c>
      <c r="BS1303" s="3">
        <v>42961</v>
      </c>
      <c r="BT1303" s="4">
        <v>0.44097222222222227</v>
      </c>
      <c r="BU1303" s="2" t="s">
        <v>2019</v>
      </c>
      <c r="BV1303" s="2" t="s">
        <v>95</v>
      </c>
      <c r="BW1303" s="2"/>
      <c r="BX1303" s="2"/>
      <c r="BY1303" s="2">
        <v>1200</v>
      </c>
      <c r="BZ1303" s="2" t="s">
        <v>27</v>
      </c>
      <c r="CA1303" s="2" t="s">
        <v>460</v>
      </c>
      <c r="CB1303" s="2"/>
      <c r="CC1303" s="2" t="s">
        <v>417</v>
      </c>
      <c r="CD1303" s="2">
        <v>7646</v>
      </c>
      <c r="CE1303" s="2" t="s">
        <v>104</v>
      </c>
      <c r="CF1303" s="5">
        <v>42962</v>
      </c>
      <c r="CG1303" s="2"/>
      <c r="CH1303" s="2"/>
      <c r="CI1303" s="2">
        <v>1</v>
      </c>
      <c r="CJ1303" s="2">
        <v>1</v>
      </c>
      <c r="CK1303" s="2">
        <v>21</v>
      </c>
      <c r="CL1303" s="2" t="s">
        <v>86</v>
      </c>
      <c r="CM1303" s="2"/>
    </row>
    <row r="1304" spans="1:91">
      <c r="A1304" s="2" t="s">
        <v>71</v>
      </c>
      <c r="B1304" s="2" t="s">
        <v>72</v>
      </c>
      <c r="C1304" s="2" t="s">
        <v>73</v>
      </c>
      <c r="D1304" s="2"/>
      <c r="E1304" s="2" t="str">
        <f>"FES1162563598D"</f>
        <v>FES1162563598D</v>
      </c>
      <c r="F1304" s="3">
        <v>42935</v>
      </c>
      <c r="G1304" s="2">
        <v>201802</v>
      </c>
      <c r="H1304" s="2" t="s">
        <v>74</v>
      </c>
      <c r="I1304" s="2" t="s">
        <v>75</v>
      </c>
      <c r="J1304" s="2" t="s">
        <v>118</v>
      </c>
      <c r="K1304" s="2" t="s">
        <v>77</v>
      </c>
      <c r="L1304" s="2" t="s">
        <v>268</v>
      </c>
      <c r="M1304" s="2" t="s">
        <v>269</v>
      </c>
      <c r="N1304" s="2" t="s">
        <v>635</v>
      </c>
      <c r="O1304" s="2" t="s">
        <v>100</v>
      </c>
      <c r="P1304" s="2" t="str">
        <f>"                              "</f>
        <v xml:space="preserve">           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4.53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1.4</v>
      </c>
      <c r="BJ1304" s="2">
        <v>2.2000000000000002</v>
      </c>
      <c r="BK1304" s="2">
        <v>2.5</v>
      </c>
      <c r="BL1304" s="2">
        <v>51.33</v>
      </c>
      <c r="BM1304" s="2">
        <v>7.19</v>
      </c>
      <c r="BN1304" s="2">
        <v>58.52</v>
      </c>
      <c r="BO1304" s="2">
        <v>58.52</v>
      </c>
      <c r="BP1304" s="2"/>
      <c r="BQ1304" s="2" t="s">
        <v>636</v>
      </c>
      <c r="BR1304" s="2" t="s">
        <v>187</v>
      </c>
      <c r="BS1304" s="3">
        <v>42936</v>
      </c>
      <c r="BT1304" s="4">
        <v>0.3298611111111111</v>
      </c>
      <c r="BU1304" s="2" t="s">
        <v>664</v>
      </c>
      <c r="BV1304" s="2" t="s">
        <v>95</v>
      </c>
      <c r="BW1304" s="2"/>
      <c r="BX1304" s="2"/>
      <c r="BY1304" s="2">
        <v>10897.04</v>
      </c>
      <c r="BZ1304" s="2"/>
      <c r="CA1304" s="2" t="s">
        <v>638</v>
      </c>
      <c r="CB1304" s="2"/>
      <c r="CC1304" s="2" t="s">
        <v>269</v>
      </c>
      <c r="CD1304" s="2">
        <v>184</v>
      </c>
      <c r="CE1304" s="2" t="s">
        <v>89</v>
      </c>
      <c r="CF1304" s="5">
        <v>42945</v>
      </c>
      <c r="CG1304" s="2"/>
      <c r="CH1304" s="2"/>
      <c r="CI1304" s="2">
        <v>1</v>
      </c>
      <c r="CJ1304" s="2">
        <v>1</v>
      </c>
      <c r="CK1304" s="2">
        <v>21</v>
      </c>
      <c r="CL1304" s="2" t="s">
        <v>86</v>
      </c>
      <c r="CM1304" s="2"/>
    </row>
    <row r="1305" spans="1:91">
      <c r="A1305" s="2" t="s">
        <v>71</v>
      </c>
      <c r="B1305" s="2" t="s">
        <v>72</v>
      </c>
      <c r="C1305" s="2" t="s">
        <v>73</v>
      </c>
      <c r="D1305" s="2"/>
      <c r="E1305" s="2" t="str">
        <f>"FES1162568484"</f>
        <v>FES1162568484</v>
      </c>
      <c r="F1305" s="3">
        <v>42958</v>
      </c>
      <c r="G1305" s="2">
        <v>201802</v>
      </c>
      <c r="H1305" s="2" t="s">
        <v>74</v>
      </c>
      <c r="I1305" s="2" t="s">
        <v>75</v>
      </c>
      <c r="J1305" s="2" t="s">
        <v>76</v>
      </c>
      <c r="K1305" s="2" t="s">
        <v>77</v>
      </c>
      <c r="L1305" s="2" t="s">
        <v>144</v>
      </c>
      <c r="M1305" s="2" t="s">
        <v>145</v>
      </c>
      <c r="N1305" s="2" t="s">
        <v>2020</v>
      </c>
      <c r="O1305" s="2" t="s">
        <v>100</v>
      </c>
      <c r="P1305" s="2" t="str">
        <f>"2170584578                    "</f>
        <v xml:space="preserve">2170584578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3.13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1</v>
      </c>
      <c r="BJ1305" s="2">
        <v>0.2</v>
      </c>
      <c r="BK1305" s="2">
        <v>1</v>
      </c>
      <c r="BL1305" s="2">
        <v>32.380000000000003</v>
      </c>
      <c r="BM1305" s="2">
        <v>4.53</v>
      </c>
      <c r="BN1305" s="2">
        <v>36.909999999999997</v>
      </c>
      <c r="BO1305" s="2">
        <v>36.909999999999997</v>
      </c>
      <c r="BP1305" s="2"/>
      <c r="BQ1305" s="2" t="s">
        <v>83</v>
      </c>
      <c r="BR1305" s="2" t="s">
        <v>84</v>
      </c>
      <c r="BS1305" s="3">
        <v>42961</v>
      </c>
      <c r="BT1305" s="4">
        <v>0.43055555555555558</v>
      </c>
      <c r="BU1305" s="2" t="s">
        <v>2021</v>
      </c>
      <c r="BV1305" s="2" t="s">
        <v>95</v>
      </c>
      <c r="BW1305" s="2"/>
      <c r="BX1305" s="2"/>
      <c r="BY1305" s="2">
        <v>1200</v>
      </c>
      <c r="BZ1305" s="2" t="s">
        <v>27</v>
      </c>
      <c r="CA1305" s="2" t="s">
        <v>1355</v>
      </c>
      <c r="CB1305" s="2"/>
      <c r="CC1305" s="2" t="s">
        <v>145</v>
      </c>
      <c r="CD1305" s="2">
        <v>2091</v>
      </c>
      <c r="CE1305" s="2" t="s">
        <v>104</v>
      </c>
      <c r="CF1305" s="5">
        <v>42962</v>
      </c>
      <c r="CG1305" s="2"/>
      <c r="CH1305" s="2"/>
      <c r="CI1305" s="2">
        <v>1</v>
      </c>
      <c r="CJ1305" s="2">
        <v>1</v>
      </c>
      <c r="CK1305" s="2">
        <v>22</v>
      </c>
      <c r="CL1305" s="2" t="s">
        <v>86</v>
      </c>
      <c r="CM1305" s="2"/>
    </row>
    <row r="1306" spans="1:91">
      <c r="A1306" s="2" t="s">
        <v>71</v>
      </c>
      <c r="B1306" s="2" t="s">
        <v>72</v>
      </c>
      <c r="C1306" s="2" t="s">
        <v>73</v>
      </c>
      <c r="D1306" s="2"/>
      <c r="E1306" s="2" t="str">
        <f>"FES1162564910D"</f>
        <v>FES1162564910D</v>
      </c>
      <c r="F1306" s="3">
        <v>42942</v>
      </c>
      <c r="G1306" s="2">
        <v>201802</v>
      </c>
      <c r="H1306" s="2" t="s">
        <v>74</v>
      </c>
      <c r="I1306" s="2" t="s">
        <v>75</v>
      </c>
      <c r="J1306" s="2" t="s">
        <v>118</v>
      </c>
      <c r="K1306" s="2" t="s">
        <v>77</v>
      </c>
      <c r="L1306" s="2" t="s">
        <v>174</v>
      </c>
      <c r="M1306" s="2" t="s">
        <v>175</v>
      </c>
      <c r="N1306" s="2" t="s">
        <v>930</v>
      </c>
      <c r="O1306" s="2" t="s">
        <v>100</v>
      </c>
      <c r="P1306" s="2" t="str">
        <f>"                              "</f>
        <v xml:space="preserve">          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3.63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1</v>
      </c>
      <c r="BJ1306" s="2">
        <v>0.2</v>
      </c>
      <c r="BK1306" s="2">
        <v>1</v>
      </c>
      <c r="BL1306" s="2">
        <v>41.07</v>
      </c>
      <c r="BM1306" s="2">
        <v>5.75</v>
      </c>
      <c r="BN1306" s="2">
        <v>46.82</v>
      </c>
      <c r="BO1306" s="2">
        <v>46.82</v>
      </c>
      <c r="BP1306" s="2"/>
      <c r="BQ1306" s="2" t="s">
        <v>83</v>
      </c>
      <c r="BR1306" s="2" t="s">
        <v>187</v>
      </c>
      <c r="BS1306" s="3">
        <v>42943</v>
      </c>
      <c r="BT1306" s="4">
        <v>0.44444444444444442</v>
      </c>
      <c r="BU1306" s="2" t="s">
        <v>1372</v>
      </c>
      <c r="BV1306" s="2" t="s">
        <v>95</v>
      </c>
      <c r="BW1306" s="2"/>
      <c r="BX1306" s="2"/>
      <c r="BY1306" s="2">
        <v>1200</v>
      </c>
      <c r="BZ1306" s="2"/>
      <c r="CA1306" s="2" t="s">
        <v>1373</v>
      </c>
      <c r="CB1306" s="2"/>
      <c r="CC1306" s="2" t="s">
        <v>175</v>
      </c>
      <c r="CD1306" s="2">
        <v>5201</v>
      </c>
      <c r="CE1306" s="2" t="s">
        <v>104</v>
      </c>
      <c r="CF1306" s="5">
        <v>42944</v>
      </c>
      <c r="CG1306" s="2"/>
      <c r="CH1306" s="2"/>
      <c r="CI1306" s="2">
        <v>1</v>
      </c>
      <c r="CJ1306" s="2">
        <v>1</v>
      </c>
      <c r="CK1306" s="2">
        <v>21</v>
      </c>
      <c r="CL1306" s="2" t="s">
        <v>86</v>
      </c>
      <c r="CM1306" s="2"/>
    </row>
    <row r="1307" spans="1:91">
      <c r="A1307" s="2" t="s">
        <v>71</v>
      </c>
      <c r="B1307" s="2" t="s">
        <v>72</v>
      </c>
      <c r="C1307" s="2" t="s">
        <v>73</v>
      </c>
      <c r="D1307" s="2"/>
      <c r="E1307" s="2" t="str">
        <f>"FES1162568476"</f>
        <v>FES1162568476</v>
      </c>
      <c r="F1307" s="3">
        <v>42958</v>
      </c>
      <c r="G1307" s="2">
        <v>201802</v>
      </c>
      <c r="H1307" s="2" t="s">
        <v>74</v>
      </c>
      <c r="I1307" s="2" t="s">
        <v>75</v>
      </c>
      <c r="J1307" s="2" t="s">
        <v>76</v>
      </c>
      <c r="K1307" s="2" t="s">
        <v>77</v>
      </c>
      <c r="L1307" s="2" t="s">
        <v>97</v>
      </c>
      <c r="M1307" s="2" t="s">
        <v>98</v>
      </c>
      <c r="N1307" s="2" t="s">
        <v>2022</v>
      </c>
      <c r="O1307" s="2" t="s">
        <v>100</v>
      </c>
      <c r="P1307" s="2" t="str">
        <f>"2170584572                    "</f>
        <v xml:space="preserve">2170584572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4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1</v>
      </c>
      <c r="BI1307" s="2">
        <v>1.7</v>
      </c>
      <c r="BJ1307" s="2">
        <v>1.4</v>
      </c>
      <c r="BK1307" s="2">
        <v>2</v>
      </c>
      <c r="BL1307" s="2">
        <v>41.44</v>
      </c>
      <c r="BM1307" s="2">
        <v>5.8</v>
      </c>
      <c r="BN1307" s="2">
        <v>47.24</v>
      </c>
      <c r="BO1307" s="2">
        <v>47.24</v>
      </c>
      <c r="BP1307" s="2"/>
      <c r="BQ1307" s="2" t="s">
        <v>83</v>
      </c>
      <c r="BR1307" s="2" t="s">
        <v>84</v>
      </c>
      <c r="BS1307" s="3">
        <v>42961</v>
      </c>
      <c r="BT1307" s="4">
        <v>0.36805555555555558</v>
      </c>
      <c r="BU1307" s="2" t="s">
        <v>2023</v>
      </c>
      <c r="BV1307" s="2" t="s">
        <v>95</v>
      </c>
      <c r="BW1307" s="2"/>
      <c r="BX1307" s="2"/>
      <c r="BY1307" s="2">
        <v>6829.92</v>
      </c>
      <c r="BZ1307" s="2" t="s">
        <v>27</v>
      </c>
      <c r="CA1307" s="2" t="s">
        <v>294</v>
      </c>
      <c r="CB1307" s="2"/>
      <c r="CC1307" s="2" t="s">
        <v>98</v>
      </c>
      <c r="CD1307" s="2">
        <v>6001</v>
      </c>
      <c r="CE1307" s="2" t="s">
        <v>89</v>
      </c>
      <c r="CF1307" s="5">
        <v>42962</v>
      </c>
      <c r="CG1307" s="2"/>
      <c r="CH1307" s="2"/>
      <c r="CI1307" s="2">
        <v>1</v>
      </c>
      <c r="CJ1307" s="2">
        <v>1</v>
      </c>
      <c r="CK1307" s="2">
        <v>21</v>
      </c>
      <c r="CL1307" s="2" t="s">
        <v>86</v>
      </c>
      <c r="CM1307" s="2"/>
    </row>
    <row r="1308" spans="1:91">
      <c r="A1308" s="2" t="s">
        <v>71</v>
      </c>
      <c r="B1308" s="2" t="s">
        <v>72</v>
      </c>
      <c r="C1308" s="2" t="s">
        <v>73</v>
      </c>
      <c r="D1308" s="2"/>
      <c r="E1308" s="2" t="str">
        <f>"FES1162563548D"</f>
        <v>FES1162563548D</v>
      </c>
      <c r="F1308" s="3">
        <v>42935</v>
      </c>
      <c r="G1308" s="2">
        <v>201802</v>
      </c>
      <c r="H1308" s="2" t="s">
        <v>74</v>
      </c>
      <c r="I1308" s="2" t="s">
        <v>75</v>
      </c>
      <c r="J1308" s="2" t="s">
        <v>118</v>
      </c>
      <c r="K1308" s="2" t="s">
        <v>77</v>
      </c>
      <c r="L1308" s="2" t="s">
        <v>306</v>
      </c>
      <c r="M1308" s="2" t="s">
        <v>307</v>
      </c>
      <c r="N1308" s="2" t="s">
        <v>1881</v>
      </c>
      <c r="O1308" s="2" t="s">
        <v>100</v>
      </c>
      <c r="P1308" s="2" t="str">
        <f>"                              "</f>
        <v xml:space="preserve">          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3.63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1</v>
      </c>
      <c r="BJ1308" s="2">
        <v>0.2</v>
      </c>
      <c r="BK1308" s="2">
        <v>1</v>
      </c>
      <c r="BL1308" s="2">
        <v>41.07</v>
      </c>
      <c r="BM1308" s="2">
        <v>5.75</v>
      </c>
      <c r="BN1308" s="2">
        <v>46.82</v>
      </c>
      <c r="BO1308" s="2">
        <v>46.82</v>
      </c>
      <c r="BP1308" s="2"/>
      <c r="BQ1308" s="2"/>
      <c r="BR1308" s="2" t="s">
        <v>187</v>
      </c>
      <c r="BS1308" s="3">
        <v>42936</v>
      </c>
      <c r="BT1308" s="4">
        <v>0.54166666666666663</v>
      </c>
      <c r="BU1308" s="2" t="s">
        <v>1882</v>
      </c>
      <c r="BV1308" s="2" t="s">
        <v>86</v>
      </c>
      <c r="BW1308" s="2"/>
      <c r="BX1308" s="2"/>
      <c r="BY1308" s="2">
        <v>1200</v>
      </c>
      <c r="BZ1308" s="2"/>
      <c r="CA1308" s="2"/>
      <c r="CB1308" s="2"/>
      <c r="CC1308" s="2" t="s">
        <v>307</v>
      </c>
      <c r="CD1308" s="2">
        <v>1961</v>
      </c>
      <c r="CE1308" s="2" t="s">
        <v>104</v>
      </c>
      <c r="CF1308" s="5">
        <v>42945</v>
      </c>
      <c r="CG1308" s="2"/>
      <c r="CH1308" s="2"/>
      <c r="CI1308" s="2">
        <v>1</v>
      </c>
      <c r="CJ1308" s="2">
        <v>1</v>
      </c>
      <c r="CK1308" s="2">
        <v>21</v>
      </c>
      <c r="CL1308" s="2" t="s">
        <v>86</v>
      </c>
      <c r="CM1308" s="2"/>
    </row>
    <row r="1309" spans="1:91">
      <c r="A1309" s="2" t="s">
        <v>71</v>
      </c>
      <c r="B1309" s="2" t="s">
        <v>72</v>
      </c>
      <c r="C1309" s="2" t="s">
        <v>73</v>
      </c>
      <c r="D1309" s="2"/>
      <c r="E1309" s="2" t="str">
        <f>"FES1162564916D"</f>
        <v>FES1162564916D</v>
      </c>
      <c r="F1309" s="3">
        <v>42942</v>
      </c>
      <c r="G1309" s="2">
        <v>201802</v>
      </c>
      <c r="H1309" s="2" t="s">
        <v>74</v>
      </c>
      <c r="I1309" s="2" t="s">
        <v>75</v>
      </c>
      <c r="J1309" s="2" t="s">
        <v>118</v>
      </c>
      <c r="K1309" s="2" t="s">
        <v>77</v>
      </c>
      <c r="L1309" s="2" t="s">
        <v>449</v>
      </c>
      <c r="M1309" s="2" t="s">
        <v>1263</v>
      </c>
      <c r="N1309" s="2" t="s">
        <v>1868</v>
      </c>
      <c r="O1309" s="2" t="s">
        <v>100</v>
      </c>
      <c r="P1309" s="2" t="str">
        <f>"                              "</f>
        <v xml:space="preserve">          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7.03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1</v>
      </c>
      <c r="BJ1309" s="2">
        <v>0.2</v>
      </c>
      <c r="BK1309" s="2">
        <v>1</v>
      </c>
      <c r="BL1309" s="2">
        <v>79.569999999999993</v>
      </c>
      <c r="BM1309" s="2">
        <v>11.14</v>
      </c>
      <c r="BN1309" s="2">
        <v>90.71</v>
      </c>
      <c r="BO1309" s="2">
        <v>90.71</v>
      </c>
      <c r="BP1309" s="2"/>
      <c r="BQ1309" s="2" t="s">
        <v>108</v>
      </c>
      <c r="BR1309" s="2" t="s">
        <v>187</v>
      </c>
      <c r="BS1309" s="3">
        <v>42943</v>
      </c>
      <c r="BT1309" s="4">
        <v>0.41666666666666669</v>
      </c>
      <c r="BU1309" s="2" t="s">
        <v>1265</v>
      </c>
      <c r="BV1309" s="2" t="s">
        <v>95</v>
      </c>
      <c r="BW1309" s="2"/>
      <c r="BX1309" s="2"/>
      <c r="BY1309" s="2">
        <v>1200</v>
      </c>
      <c r="BZ1309" s="2"/>
      <c r="CA1309" s="2"/>
      <c r="CB1309" s="2"/>
      <c r="CC1309" s="2" t="s">
        <v>1263</v>
      </c>
      <c r="CD1309" s="2">
        <v>5319</v>
      </c>
      <c r="CE1309" s="2" t="s">
        <v>104</v>
      </c>
      <c r="CF1309" s="5">
        <v>42950</v>
      </c>
      <c r="CG1309" s="2"/>
      <c r="CH1309" s="2"/>
      <c r="CI1309" s="2">
        <v>4</v>
      </c>
      <c r="CJ1309" s="2">
        <v>1</v>
      </c>
      <c r="CK1309" s="2">
        <v>23</v>
      </c>
      <c r="CL1309" s="2" t="s">
        <v>86</v>
      </c>
      <c r="CM1309" s="2"/>
    </row>
    <row r="1310" spans="1:91">
      <c r="A1310" s="2" t="s">
        <v>71</v>
      </c>
      <c r="B1310" s="2" t="s">
        <v>72</v>
      </c>
      <c r="C1310" s="2" t="s">
        <v>73</v>
      </c>
      <c r="D1310" s="2"/>
      <c r="E1310" s="2" t="str">
        <f>"FES1162568472"</f>
        <v>FES1162568472</v>
      </c>
      <c r="F1310" s="3">
        <v>42958</v>
      </c>
      <c r="G1310" s="2">
        <v>201802</v>
      </c>
      <c r="H1310" s="2" t="s">
        <v>74</v>
      </c>
      <c r="I1310" s="2" t="s">
        <v>75</v>
      </c>
      <c r="J1310" s="2" t="s">
        <v>76</v>
      </c>
      <c r="K1310" s="2" t="s">
        <v>77</v>
      </c>
      <c r="L1310" s="2" t="s">
        <v>268</v>
      </c>
      <c r="M1310" s="2" t="s">
        <v>269</v>
      </c>
      <c r="N1310" s="2" t="s">
        <v>432</v>
      </c>
      <c r="O1310" s="2" t="s">
        <v>100</v>
      </c>
      <c r="P1310" s="2" t="str">
        <f>"2170584567                    "</f>
        <v xml:space="preserve">2170584567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4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1</v>
      </c>
      <c r="BJ1310" s="2">
        <v>0.2</v>
      </c>
      <c r="BK1310" s="2">
        <v>1</v>
      </c>
      <c r="BL1310" s="2">
        <v>41.44</v>
      </c>
      <c r="BM1310" s="2">
        <v>5.8</v>
      </c>
      <c r="BN1310" s="2">
        <v>47.24</v>
      </c>
      <c r="BO1310" s="2">
        <v>47.24</v>
      </c>
      <c r="BP1310" s="2"/>
      <c r="BQ1310" s="2" t="s">
        <v>83</v>
      </c>
      <c r="BR1310" s="2" t="s">
        <v>84</v>
      </c>
      <c r="BS1310" s="3">
        <v>42961</v>
      </c>
      <c r="BT1310" s="4">
        <v>0.42291666666666666</v>
      </c>
      <c r="BU1310" s="2" t="s">
        <v>2024</v>
      </c>
      <c r="BV1310" s="2" t="s">
        <v>95</v>
      </c>
      <c r="BW1310" s="2"/>
      <c r="BX1310" s="2"/>
      <c r="BY1310" s="2">
        <v>1200</v>
      </c>
      <c r="BZ1310" s="2" t="s">
        <v>27</v>
      </c>
      <c r="CA1310" s="2"/>
      <c r="CB1310" s="2"/>
      <c r="CC1310" s="2" t="s">
        <v>269</v>
      </c>
      <c r="CD1310" s="2">
        <v>117</v>
      </c>
      <c r="CE1310" s="2" t="s">
        <v>104</v>
      </c>
      <c r="CF1310" s="5">
        <v>42962</v>
      </c>
      <c r="CG1310" s="2"/>
      <c r="CH1310" s="2"/>
      <c r="CI1310" s="2">
        <v>1</v>
      </c>
      <c r="CJ1310" s="2">
        <v>1</v>
      </c>
      <c r="CK1310" s="2">
        <v>21</v>
      </c>
      <c r="CL1310" s="2" t="s">
        <v>86</v>
      </c>
      <c r="CM1310" s="2"/>
    </row>
    <row r="1311" spans="1:91">
      <c r="A1311" s="2" t="s">
        <v>71</v>
      </c>
      <c r="B1311" s="2" t="s">
        <v>72</v>
      </c>
      <c r="C1311" s="2" t="s">
        <v>73</v>
      </c>
      <c r="D1311" s="2"/>
      <c r="E1311" s="2" t="str">
        <f>"FES1162563579D"</f>
        <v>FES1162563579D</v>
      </c>
      <c r="F1311" s="3">
        <v>42935</v>
      </c>
      <c r="G1311" s="2">
        <v>201802</v>
      </c>
      <c r="H1311" s="2" t="s">
        <v>74</v>
      </c>
      <c r="I1311" s="2" t="s">
        <v>75</v>
      </c>
      <c r="J1311" s="2" t="s">
        <v>118</v>
      </c>
      <c r="K1311" s="2" t="s">
        <v>77</v>
      </c>
      <c r="L1311" s="2" t="s">
        <v>216</v>
      </c>
      <c r="M1311" s="2" t="s">
        <v>217</v>
      </c>
      <c r="N1311" s="2" t="s">
        <v>1501</v>
      </c>
      <c r="O1311" s="2" t="s">
        <v>100</v>
      </c>
      <c r="P1311" s="2" t="str">
        <f>"                              "</f>
        <v xml:space="preserve">           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2.83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0.7</v>
      </c>
      <c r="BJ1311" s="2">
        <v>4.5999999999999996</v>
      </c>
      <c r="BK1311" s="2">
        <v>5</v>
      </c>
      <c r="BL1311" s="2">
        <v>32.08</v>
      </c>
      <c r="BM1311" s="2">
        <v>4.49</v>
      </c>
      <c r="BN1311" s="2">
        <v>36.57</v>
      </c>
      <c r="BO1311" s="2">
        <v>36.57</v>
      </c>
      <c r="BP1311" s="2"/>
      <c r="BQ1311" s="2" t="s">
        <v>209</v>
      </c>
      <c r="BR1311" s="2" t="s">
        <v>187</v>
      </c>
      <c r="BS1311" s="3">
        <v>42936</v>
      </c>
      <c r="BT1311" s="4">
        <v>0.42708333333333331</v>
      </c>
      <c r="BU1311" s="2" t="s">
        <v>2025</v>
      </c>
      <c r="BV1311" s="2" t="s">
        <v>95</v>
      </c>
      <c r="BW1311" s="2"/>
      <c r="BX1311" s="2"/>
      <c r="BY1311" s="2">
        <v>22969.21</v>
      </c>
      <c r="BZ1311" s="2"/>
      <c r="CA1311" s="2" t="s">
        <v>220</v>
      </c>
      <c r="CB1311" s="2"/>
      <c r="CC1311" s="2" t="s">
        <v>217</v>
      </c>
      <c r="CD1311" s="2">
        <v>1451</v>
      </c>
      <c r="CE1311" s="2" t="s">
        <v>104</v>
      </c>
      <c r="CF1311" s="5">
        <v>42947</v>
      </c>
      <c r="CG1311" s="2"/>
      <c r="CH1311" s="2"/>
      <c r="CI1311" s="2">
        <v>1</v>
      </c>
      <c r="CJ1311" s="2">
        <v>1</v>
      </c>
      <c r="CK1311" s="2">
        <v>22</v>
      </c>
      <c r="CL1311" s="2" t="s">
        <v>86</v>
      </c>
      <c r="CM1311" s="2"/>
    </row>
    <row r="1312" spans="1:91">
      <c r="A1312" s="2" t="s">
        <v>71</v>
      </c>
      <c r="B1312" s="2" t="s">
        <v>72</v>
      </c>
      <c r="C1312" s="2" t="s">
        <v>73</v>
      </c>
      <c r="D1312" s="2"/>
      <c r="E1312" s="2" t="str">
        <f>"FES1162564918D"</f>
        <v>FES1162564918D</v>
      </c>
      <c r="F1312" s="3">
        <v>42942</v>
      </c>
      <c r="G1312" s="2">
        <v>201802</v>
      </c>
      <c r="H1312" s="2" t="s">
        <v>74</v>
      </c>
      <c r="I1312" s="2" t="s">
        <v>75</v>
      </c>
      <c r="J1312" s="2" t="s">
        <v>118</v>
      </c>
      <c r="K1312" s="2" t="s">
        <v>77</v>
      </c>
      <c r="L1312" s="2" t="s">
        <v>105</v>
      </c>
      <c r="M1312" s="2" t="s">
        <v>106</v>
      </c>
      <c r="N1312" s="2" t="s">
        <v>397</v>
      </c>
      <c r="O1312" s="2" t="s">
        <v>100</v>
      </c>
      <c r="P1312" s="2" t="str">
        <f>"                              "</f>
        <v xml:space="preserve">          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3.63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1</v>
      </c>
      <c r="BJ1312" s="2">
        <v>0.2</v>
      </c>
      <c r="BK1312" s="2">
        <v>1</v>
      </c>
      <c r="BL1312" s="2">
        <v>41.07</v>
      </c>
      <c r="BM1312" s="2">
        <v>5.75</v>
      </c>
      <c r="BN1312" s="2">
        <v>46.82</v>
      </c>
      <c r="BO1312" s="2">
        <v>46.82</v>
      </c>
      <c r="BP1312" s="2"/>
      <c r="BQ1312" s="2" t="s">
        <v>83</v>
      </c>
      <c r="BR1312" s="2" t="s">
        <v>187</v>
      </c>
      <c r="BS1312" s="3">
        <v>42943</v>
      </c>
      <c r="BT1312" s="4">
        <v>0.36388888888888887</v>
      </c>
      <c r="BU1312" s="2" t="s">
        <v>2026</v>
      </c>
      <c r="BV1312" s="2" t="s">
        <v>95</v>
      </c>
      <c r="BW1312" s="2"/>
      <c r="BX1312" s="2"/>
      <c r="BY1312" s="2">
        <v>1200</v>
      </c>
      <c r="BZ1312" s="2"/>
      <c r="CA1312" s="2" t="s">
        <v>112</v>
      </c>
      <c r="CB1312" s="2"/>
      <c r="CC1312" s="2" t="s">
        <v>106</v>
      </c>
      <c r="CD1312" s="2">
        <v>7405</v>
      </c>
      <c r="CE1312" s="2" t="s">
        <v>104</v>
      </c>
      <c r="CF1312" s="5">
        <v>42944</v>
      </c>
      <c r="CG1312" s="2"/>
      <c r="CH1312" s="2"/>
      <c r="CI1312" s="2">
        <v>1</v>
      </c>
      <c r="CJ1312" s="2">
        <v>1</v>
      </c>
      <c r="CK1312" s="2">
        <v>21</v>
      </c>
      <c r="CL1312" s="2" t="s">
        <v>86</v>
      </c>
      <c r="CM1312" s="2"/>
    </row>
    <row r="1313" spans="1:91">
      <c r="A1313" s="2" t="s">
        <v>71</v>
      </c>
      <c r="B1313" s="2" t="s">
        <v>72</v>
      </c>
      <c r="C1313" s="2" t="s">
        <v>73</v>
      </c>
      <c r="D1313" s="2"/>
      <c r="E1313" s="2" t="str">
        <f>"FES1162568454"</f>
        <v>FES1162568454</v>
      </c>
      <c r="F1313" s="3">
        <v>42958</v>
      </c>
      <c r="G1313" s="2">
        <v>201802</v>
      </c>
      <c r="H1313" s="2" t="s">
        <v>74</v>
      </c>
      <c r="I1313" s="2" t="s">
        <v>75</v>
      </c>
      <c r="J1313" s="2" t="s">
        <v>76</v>
      </c>
      <c r="K1313" s="2" t="s">
        <v>77</v>
      </c>
      <c r="L1313" s="2" t="s">
        <v>170</v>
      </c>
      <c r="M1313" s="2" t="s">
        <v>171</v>
      </c>
      <c r="N1313" s="2" t="s">
        <v>1381</v>
      </c>
      <c r="O1313" s="2" t="s">
        <v>100</v>
      </c>
      <c r="P1313" s="2" t="str">
        <f>"2170584558                    "</f>
        <v xml:space="preserve">2170584558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3.13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</v>
      </c>
      <c r="BJ1313" s="2">
        <v>0.2</v>
      </c>
      <c r="BK1313" s="2">
        <v>1</v>
      </c>
      <c r="BL1313" s="2">
        <v>32.380000000000003</v>
      </c>
      <c r="BM1313" s="2">
        <v>4.53</v>
      </c>
      <c r="BN1313" s="2">
        <v>36.909999999999997</v>
      </c>
      <c r="BO1313" s="2">
        <v>36.909999999999997</v>
      </c>
      <c r="BP1313" s="2"/>
      <c r="BQ1313" s="2" t="s">
        <v>108</v>
      </c>
      <c r="BR1313" s="2" t="s">
        <v>84</v>
      </c>
      <c r="BS1313" s="3">
        <v>42961</v>
      </c>
      <c r="BT1313" s="4">
        <v>0.46597222222222223</v>
      </c>
      <c r="BU1313" s="2" t="s">
        <v>2027</v>
      </c>
      <c r="BV1313" s="2" t="s">
        <v>86</v>
      </c>
      <c r="BW1313" s="2" t="s">
        <v>110</v>
      </c>
      <c r="BX1313" s="2" t="s">
        <v>327</v>
      </c>
      <c r="BY1313" s="2">
        <v>1200</v>
      </c>
      <c r="BZ1313" s="2" t="s">
        <v>27</v>
      </c>
      <c r="CA1313" s="2" t="s">
        <v>2028</v>
      </c>
      <c r="CB1313" s="2"/>
      <c r="CC1313" s="2" t="s">
        <v>171</v>
      </c>
      <c r="CD1313" s="2">
        <v>1401</v>
      </c>
      <c r="CE1313" s="2" t="s">
        <v>104</v>
      </c>
      <c r="CF1313" s="5">
        <v>42962</v>
      </c>
      <c r="CG1313" s="2"/>
      <c r="CH1313" s="2"/>
      <c r="CI1313" s="2">
        <v>1</v>
      </c>
      <c r="CJ1313" s="2">
        <v>1</v>
      </c>
      <c r="CK1313" s="2">
        <v>22</v>
      </c>
      <c r="CL1313" s="2" t="s">
        <v>86</v>
      </c>
      <c r="CM1313" s="2"/>
    </row>
    <row r="1314" spans="1:91">
      <c r="A1314" s="2" t="s">
        <v>71</v>
      </c>
      <c r="B1314" s="2" t="s">
        <v>72</v>
      </c>
      <c r="C1314" s="2" t="s">
        <v>73</v>
      </c>
      <c r="D1314" s="2"/>
      <c r="E1314" s="2" t="str">
        <f>"FES1162564920D"</f>
        <v>FES1162564920D</v>
      </c>
      <c r="F1314" s="3">
        <v>42942</v>
      </c>
      <c r="G1314" s="2">
        <v>201802</v>
      </c>
      <c r="H1314" s="2" t="s">
        <v>74</v>
      </c>
      <c r="I1314" s="2" t="s">
        <v>75</v>
      </c>
      <c r="J1314" s="2" t="s">
        <v>118</v>
      </c>
      <c r="K1314" s="2" t="s">
        <v>77</v>
      </c>
      <c r="L1314" s="2" t="s">
        <v>417</v>
      </c>
      <c r="M1314" s="2" t="s">
        <v>417</v>
      </c>
      <c r="N1314" s="2" t="s">
        <v>475</v>
      </c>
      <c r="O1314" s="2" t="s">
        <v>100</v>
      </c>
      <c r="P1314" s="2" t="str">
        <f>"                              "</f>
        <v xml:space="preserve">          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4.53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2.1</v>
      </c>
      <c r="BJ1314" s="2">
        <v>1.5</v>
      </c>
      <c r="BK1314" s="2">
        <v>2.5</v>
      </c>
      <c r="BL1314" s="2">
        <v>51.33</v>
      </c>
      <c r="BM1314" s="2">
        <v>7.19</v>
      </c>
      <c r="BN1314" s="2">
        <v>58.52</v>
      </c>
      <c r="BO1314" s="2">
        <v>58.52</v>
      </c>
      <c r="BP1314" s="2"/>
      <c r="BQ1314" s="2" t="s">
        <v>108</v>
      </c>
      <c r="BR1314" s="2" t="s">
        <v>187</v>
      </c>
      <c r="BS1314" s="3">
        <v>42943</v>
      </c>
      <c r="BT1314" s="4">
        <v>0.47222222222222227</v>
      </c>
      <c r="BU1314" s="2" t="s">
        <v>2029</v>
      </c>
      <c r="BV1314" s="2" t="s">
        <v>95</v>
      </c>
      <c r="BW1314" s="2"/>
      <c r="BX1314" s="2"/>
      <c r="BY1314" s="2">
        <v>7561.06</v>
      </c>
      <c r="BZ1314" s="2"/>
      <c r="CA1314" s="2"/>
      <c r="CB1314" s="2"/>
      <c r="CC1314" s="2" t="s">
        <v>417</v>
      </c>
      <c r="CD1314" s="2">
        <v>7646</v>
      </c>
      <c r="CE1314" s="2" t="s">
        <v>89</v>
      </c>
      <c r="CF1314" s="5">
        <v>42945</v>
      </c>
      <c r="CG1314" s="2"/>
      <c r="CH1314" s="2"/>
      <c r="CI1314" s="2">
        <v>1</v>
      </c>
      <c r="CJ1314" s="2">
        <v>1</v>
      </c>
      <c r="CK1314" s="2">
        <v>21</v>
      </c>
      <c r="CL1314" s="2" t="s">
        <v>86</v>
      </c>
      <c r="CM1314" s="2"/>
    </row>
    <row r="1315" spans="1:91">
      <c r="A1315" s="2" t="s">
        <v>71</v>
      </c>
      <c r="B1315" s="2" t="s">
        <v>72</v>
      </c>
      <c r="C1315" s="2" t="s">
        <v>73</v>
      </c>
      <c r="D1315" s="2"/>
      <c r="E1315" s="2" t="str">
        <f>"FES1162564931D"</f>
        <v>FES1162564931D</v>
      </c>
      <c r="F1315" s="3">
        <v>42942</v>
      </c>
      <c r="G1315" s="2">
        <v>201802</v>
      </c>
      <c r="H1315" s="2" t="s">
        <v>74</v>
      </c>
      <c r="I1315" s="2" t="s">
        <v>75</v>
      </c>
      <c r="J1315" s="2" t="s">
        <v>118</v>
      </c>
      <c r="K1315" s="2" t="s">
        <v>77</v>
      </c>
      <c r="L1315" s="2" t="s">
        <v>149</v>
      </c>
      <c r="M1315" s="2" t="s">
        <v>150</v>
      </c>
      <c r="N1315" s="2" t="s">
        <v>1652</v>
      </c>
      <c r="O1315" s="2" t="s">
        <v>100</v>
      </c>
      <c r="P1315" s="2" t="str">
        <f>"                              "</f>
        <v xml:space="preserve">          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3.63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1</v>
      </c>
      <c r="BJ1315" s="2">
        <v>0.2</v>
      </c>
      <c r="BK1315" s="2">
        <v>1</v>
      </c>
      <c r="BL1315" s="2">
        <v>41.07</v>
      </c>
      <c r="BM1315" s="2">
        <v>5.75</v>
      </c>
      <c r="BN1315" s="2">
        <v>46.82</v>
      </c>
      <c r="BO1315" s="2">
        <v>46.82</v>
      </c>
      <c r="BP1315" s="2"/>
      <c r="BQ1315" s="2" t="s">
        <v>1653</v>
      </c>
      <c r="BR1315" s="2" t="s">
        <v>187</v>
      </c>
      <c r="BS1315" s="3">
        <v>42943</v>
      </c>
      <c r="BT1315" s="4">
        <v>0.2902777777777778</v>
      </c>
      <c r="BU1315" s="2" t="s">
        <v>2030</v>
      </c>
      <c r="BV1315" s="2" t="s">
        <v>95</v>
      </c>
      <c r="BW1315" s="2"/>
      <c r="BX1315" s="2"/>
      <c r="BY1315" s="2">
        <v>1200</v>
      </c>
      <c r="BZ1315" s="2"/>
      <c r="CA1315" s="2" t="s">
        <v>774</v>
      </c>
      <c r="CB1315" s="2"/>
      <c r="CC1315" s="2" t="s">
        <v>150</v>
      </c>
      <c r="CD1315" s="2">
        <v>4001</v>
      </c>
      <c r="CE1315" s="2" t="s">
        <v>104</v>
      </c>
      <c r="CF1315" s="5">
        <v>42944</v>
      </c>
      <c r="CG1315" s="2"/>
      <c r="CH1315" s="2"/>
      <c r="CI1315" s="2">
        <v>1</v>
      </c>
      <c r="CJ1315" s="2">
        <v>1</v>
      </c>
      <c r="CK1315" s="2">
        <v>21</v>
      </c>
      <c r="CL1315" s="2" t="s">
        <v>86</v>
      </c>
      <c r="CM1315" s="2"/>
    </row>
    <row r="1316" spans="1:91">
      <c r="A1316" s="2" t="s">
        <v>71</v>
      </c>
      <c r="B1316" s="2" t="s">
        <v>72</v>
      </c>
      <c r="C1316" s="2" t="s">
        <v>73</v>
      </c>
      <c r="D1316" s="2"/>
      <c r="E1316" s="2" t="str">
        <f>"FES1162568479"</f>
        <v>FES1162568479</v>
      </c>
      <c r="F1316" s="3">
        <v>42958</v>
      </c>
      <c r="G1316" s="2">
        <v>201802</v>
      </c>
      <c r="H1316" s="2" t="s">
        <v>74</v>
      </c>
      <c r="I1316" s="2" t="s">
        <v>75</v>
      </c>
      <c r="J1316" s="2" t="s">
        <v>76</v>
      </c>
      <c r="K1316" s="2" t="s">
        <v>77</v>
      </c>
      <c r="L1316" s="2" t="s">
        <v>105</v>
      </c>
      <c r="M1316" s="2" t="s">
        <v>106</v>
      </c>
      <c r="N1316" s="2" t="s">
        <v>1851</v>
      </c>
      <c r="O1316" s="2" t="s">
        <v>100</v>
      </c>
      <c r="P1316" s="2" t="str">
        <f>"2170584575                    "</f>
        <v xml:space="preserve">2170584575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4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1</v>
      </c>
      <c r="BJ1316" s="2">
        <v>1.1000000000000001</v>
      </c>
      <c r="BK1316" s="2">
        <v>1.5</v>
      </c>
      <c r="BL1316" s="2">
        <v>41.44</v>
      </c>
      <c r="BM1316" s="2">
        <v>5.8</v>
      </c>
      <c r="BN1316" s="2">
        <v>47.24</v>
      </c>
      <c r="BO1316" s="2">
        <v>47.24</v>
      </c>
      <c r="BP1316" s="2"/>
      <c r="BQ1316" s="2" t="s">
        <v>83</v>
      </c>
      <c r="BR1316" s="2" t="s">
        <v>84</v>
      </c>
      <c r="BS1316" s="3">
        <v>42961</v>
      </c>
      <c r="BT1316" s="4">
        <v>0.37708333333333338</v>
      </c>
      <c r="BU1316" s="2" t="s">
        <v>1891</v>
      </c>
      <c r="BV1316" s="2" t="s">
        <v>95</v>
      </c>
      <c r="BW1316" s="2"/>
      <c r="BX1316" s="2"/>
      <c r="BY1316" s="2">
        <v>5320</v>
      </c>
      <c r="BZ1316" s="2" t="s">
        <v>27</v>
      </c>
      <c r="CA1316" s="2" t="s">
        <v>1424</v>
      </c>
      <c r="CB1316" s="2"/>
      <c r="CC1316" s="2" t="s">
        <v>106</v>
      </c>
      <c r="CD1316" s="2">
        <v>7530</v>
      </c>
      <c r="CE1316" s="2" t="s">
        <v>89</v>
      </c>
      <c r="CF1316" s="5">
        <v>42962</v>
      </c>
      <c r="CG1316" s="2"/>
      <c r="CH1316" s="2"/>
      <c r="CI1316" s="2">
        <v>1</v>
      </c>
      <c r="CJ1316" s="2">
        <v>1</v>
      </c>
      <c r="CK1316" s="2">
        <v>21</v>
      </c>
      <c r="CL1316" s="2" t="s">
        <v>86</v>
      </c>
      <c r="CM1316" s="2"/>
    </row>
    <row r="1317" spans="1:91">
      <c r="A1317" s="2" t="s">
        <v>71</v>
      </c>
      <c r="B1317" s="2" t="s">
        <v>72</v>
      </c>
      <c r="C1317" s="2" t="s">
        <v>73</v>
      </c>
      <c r="D1317" s="2"/>
      <c r="E1317" s="2" t="str">
        <f>"FES1162568385"</f>
        <v>FES1162568385</v>
      </c>
      <c r="F1317" s="3">
        <v>42958</v>
      </c>
      <c r="G1317" s="2">
        <v>201802</v>
      </c>
      <c r="H1317" s="2" t="s">
        <v>74</v>
      </c>
      <c r="I1317" s="2" t="s">
        <v>75</v>
      </c>
      <c r="J1317" s="2" t="s">
        <v>76</v>
      </c>
      <c r="K1317" s="2" t="s">
        <v>77</v>
      </c>
      <c r="L1317" s="2" t="s">
        <v>149</v>
      </c>
      <c r="M1317" s="2" t="s">
        <v>150</v>
      </c>
      <c r="N1317" s="2" t="s">
        <v>2031</v>
      </c>
      <c r="O1317" s="2" t="s">
        <v>100</v>
      </c>
      <c r="P1317" s="2" t="str">
        <f>"2170582410                    "</f>
        <v xml:space="preserve">2170582410 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4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1</v>
      </c>
      <c r="BI1317" s="2">
        <v>1.1000000000000001</v>
      </c>
      <c r="BJ1317" s="2">
        <v>1.6</v>
      </c>
      <c r="BK1317" s="2">
        <v>2</v>
      </c>
      <c r="BL1317" s="2">
        <v>41.44</v>
      </c>
      <c r="BM1317" s="2">
        <v>5.8</v>
      </c>
      <c r="BN1317" s="2">
        <v>47.24</v>
      </c>
      <c r="BO1317" s="2">
        <v>47.24</v>
      </c>
      <c r="BP1317" s="2"/>
      <c r="BQ1317" s="2" t="s">
        <v>83</v>
      </c>
      <c r="BR1317" s="2" t="s">
        <v>84</v>
      </c>
      <c r="BS1317" s="3">
        <v>42961</v>
      </c>
      <c r="BT1317" s="4">
        <v>0.34930555555555554</v>
      </c>
      <c r="BU1317" s="2" t="s">
        <v>2032</v>
      </c>
      <c r="BV1317" s="2" t="s">
        <v>95</v>
      </c>
      <c r="BW1317" s="2"/>
      <c r="BX1317" s="2"/>
      <c r="BY1317" s="2">
        <v>8000.88</v>
      </c>
      <c r="BZ1317" s="2" t="s">
        <v>27</v>
      </c>
      <c r="CA1317" s="2" t="s">
        <v>235</v>
      </c>
      <c r="CB1317" s="2"/>
      <c r="CC1317" s="2" t="s">
        <v>150</v>
      </c>
      <c r="CD1317" s="2">
        <v>4052</v>
      </c>
      <c r="CE1317" s="2" t="s">
        <v>89</v>
      </c>
      <c r="CF1317" s="5">
        <v>42962</v>
      </c>
      <c r="CG1317" s="2"/>
      <c r="CH1317" s="2"/>
      <c r="CI1317" s="2">
        <v>1</v>
      </c>
      <c r="CJ1317" s="2">
        <v>1</v>
      </c>
      <c r="CK1317" s="2">
        <v>21</v>
      </c>
      <c r="CL1317" s="2" t="s">
        <v>86</v>
      </c>
      <c r="CM1317" s="2"/>
    </row>
    <row r="1318" spans="1:91">
      <c r="A1318" s="2" t="s">
        <v>71</v>
      </c>
      <c r="B1318" s="2" t="s">
        <v>72</v>
      </c>
      <c r="C1318" s="2" t="s">
        <v>73</v>
      </c>
      <c r="D1318" s="2"/>
      <c r="E1318" s="2" t="str">
        <f>"FES1162564938D"</f>
        <v>FES1162564938D</v>
      </c>
      <c r="F1318" s="3">
        <v>42942</v>
      </c>
      <c r="G1318" s="2">
        <v>201802</v>
      </c>
      <c r="H1318" s="2" t="s">
        <v>74</v>
      </c>
      <c r="I1318" s="2" t="s">
        <v>75</v>
      </c>
      <c r="J1318" s="2" t="s">
        <v>118</v>
      </c>
      <c r="K1318" s="2" t="s">
        <v>77</v>
      </c>
      <c r="L1318" s="2" t="s">
        <v>149</v>
      </c>
      <c r="M1318" s="2" t="s">
        <v>150</v>
      </c>
      <c r="N1318" s="2" t="s">
        <v>1592</v>
      </c>
      <c r="O1318" s="2" t="s">
        <v>100</v>
      </c>
      <c r="P1318" s="2" t="str">
        <f>"                              "</f>
        <v xml:space="preserve">          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9.07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1</v>
      </c>
      <c r="BI1318" s="2">
        <v>4.8</v>
      </c>
      <c r="BJ1318" s="2">
        <v>1.5</v>
      </c>
      <c r="BK1318" s="2">
        <v>5</v>
      </c>
      <c r="BL1318" s="2">
        <v>102.67</v>
      </c>
      <c r="BM1318" s="2">
        <v>14.37</v>
      </c>
      <c r="BN1318" s="2">
        <v>117.04</v>
      </c>
      <c r="BO1318" s="2">
        <v>117.04</v>
      </c>
      <c r="BP1318" s="2"/>
      <c r="BQ1318" s="2" t="s">
        <v>83</v>
      </c>
      <c r="BR1318" s="2" t="s">
        <v>187</v>
      </c>
      <c r="BS1318" s="3">
        <v>42943</v>
      </c>
      <c r="BT1318" s="4">
        <v>0.34791666666666665</v>
      </c>
      <c r="BU1318" s="2" t="s">
        <v>2033</v>
      </c>
      <c r="BV1318" s="2" t="s">
        <v>95</v>
      </c>
      <c r="BW1318" s="2"/>
      <c r="BX1318" s="2"/>
      <c r="BY1318" s="2">
        <v>7435.69</v>
      </c>
      <c r="BZ1318" s="2"/>
      <c r="CA1318" s="2" t="s">
        <v>1163</v>
      </c>
      <c r="CB1318" s="2"/>
      <c r="CC1318" s="2" t="s">
        <v>150</v>
      </c>
      <c r="CD1318" s="2">
        <v>4094</v>
      </c>
      <c r="CE1318" s="2" t="s">
        <v>89</v>
      </c>
      <c r="CF1318" s="5">
        <v>42944</v>
      </c>
      <c r="CG1318" s="2"/>
      <c r="CH1318" s="2"/>
      <c r="CI1318" s="2">
        <v>1</v>
      </c>
      <c r="CJ1318" s="2">
        <v>1</v>
      </c>
      <c r="CK1318" s="2">
        <v>21</v>
      </c>
      <c r="CL1318" s="2" t="s">
        <v>86</v>
      </c>
      <c r="CM1318" s="2"/>
    </row>
    <row r="1319" spans="1:91">
      <c r="A1319" s="2" t="s">
        <v>71</v>
      </c>
      <c r="B1319" s="2" t="s">
        <v>72</v>
      </c>
      <c r="C1319" s="2" t="s">
        <v>73</v>
      </c>
      <c r="D1319" s="2"/>
      <c r="E1319" s="2" t="str">
        <f>"FES1162568272"</f>
        <v>FES1162568272</v>
      </c>
      <c r="F1319" s="3">
        <v>42958</v>
      </c>
      <c r="G1319" s="2">
        <v>201802</v>
      </c>
      <c r="H1319" s="2" t="s">
        <v>74</v>
      </c>
      <c r="I1319" s="2" t="s">
        <v>75</v>
      </c>
      <c r="J1319" s="2" t="s">
        <v>76</v>
      </c>
      <c r="K1319" s="2" t="s">
        <v>77</v>
      </c>
      <c r="L1319" s="2" t="s">
        <v>846</v>
      </c>
      <c r="M1319" s="2" t="s">
        <v>847</v>
      </c>
      <c r="N1319" s="2" t="s">
        <v>848</v>
      </c>
      <c r="O1319" s="2" t="s">
        <v>100</v>
      </c>
      <c r="P1319" s="2" t="str">
        <f>"217058272                     "</f>
        <v xml:space="preserve">217058272      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13.01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1</v>
      </c>
      <c r="BI1319" s="2">
        <v>3.4</v>
      </c>
      <c r="BJ1319" s="2">
        <v>1.6</v>
      </c>
      <c r="BK1319" s="2">
        <v>3.5</v>
      </c>
      <c r="BL1319" s="2">
        <v>134.69</v>
      </c>
      <c r="BM1319" s="2">
        <v>18.86</v>
      </c>
      <c r="BN1319" s="2">
        <v>153.55000000000001</v>
      </c>
      <c r="BO1319" s="2">
        <v>153.55000000000001</v>
      </c>
      <c r="BP1319" s="2"/>
      <c r="BQ1319" s="2" t="s">
        <v>83</v>
      </c>
      <c r="BR1319" s="2" t="s">
        <v>84</v>
      </c>
      <c r="BS1319" s="3">
        <v>42961</v>
      </c>
      <c r="BT1319" s="4">
        <v>0.56319444444444444</v>
      </c>
      <c r="BU1319" s="2" t="s">
        <v>2034</v>
      </c>
      <c r="BV1319" s="2" t="s">
        <v>95</v>
      </c>
      <c r="BW1319" s="2"/>
      <c r="BX1319" s="2"/>
      <c r="BY1319" s="2">
        <v>7987.14</v>
      </c>
      <c r="BZ1319" s="2"/>
      <c r="CA1319" s="2" t="s">
        <v>2035</v>
      </c>
      <c r="CB1319" s="2"/>
      <c r="CC1319" s="2" t="s">
        <v>847</v>
      </c>
      <c r="CD1319" s="2">
        <v>7349</v>
      </c>
      <c r="CE1319" s="2" t="s">
        <v>89</v>
      </c>
      <c r="CF1319" s="5">
        <v>42962</v>
      </c>
      <c r="CG1319" s="2"/>
      <c r="CH1319" s="2"/>
      <c r="CI1319" s="2">
        <v>1</v>
      </c>
      <c r="CJ1319" s="2">
        <v>1</v>
      </c>
      <c r="CK1319" s="2">
        <v>23</v>
      </c>
      <c r="CL1319" s="2" t="s">
        <v>86</v>
      </c>
      <c r="CM1319" s="2"/>
    </row>
    <row r="1320" spans="1:91">
      <c r="A1320" s="2" t="s">
        <v>71</v>
      </c>
      <c r="B1320" s="2" t="s">
        <v>72</v>
      </c>
      <c r="C1320" s="2" t="s">
        <v>73</v>
      </c>
      <c r="D1320" s="2"/>
      <c r="E1320" s="2" t="str">
        <f>"FES1162564939D"</f>
        <v>FES1162564939D</v>
      </c>
      <c r="F1320" s="3">
        <v>42942</v>
      </c>
      <c r="G1320" s="2">
        <v>201802</v>
      </c>
      <c r="H1320" s="2" t="s">
        <v>74</v>
      </c>
      <c r="I1320" s="2" t="s">
        <v>75</v>
      </c>
      <c r="J1320" s="2" t="s">
        <v>118</v>
      </c>
      <c r="K1320" s="2" t="s">
        <v>77</v>
      </c>
      <c r="L1320" s="2" t="s">
        <v>1781</v>
      </c>
      <c r="M1320" s="2" t="s">
        <v>1781</v>
      </c>
      <c r="N1320" s="2" t="s">
        <v>1782</v>
      </c>
      <c r="O1320" s="2" t="s">
        <v>100</v>
      </c>
      <c r="P1320" s="2" t="str">
        <f>"                              "</f>
        <v xml:space="preserve">          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7.03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1</v>
      </c>
      <c r="BJ1320" s="2">
        <v>0.2</v>
      </c>
      <c r="BK1320" s="2">
        <v>1</v>
      </c>
      <c r="BL1320" s="2">
        <v>79.569999999999993</v>
      </c>
      <c r="BM1320" s="2">
        <v>11.14</v>
      </c>
      <c r="BN1320" s="2">
        <v>90.71</v>
      </c>
      <c r="BO1320" s="2">
        <v>90.71</v>
      </c>
      <c r="BP1320" s="2"/>
      <c r="BQ1320" s="2" t="s">
        <v>108</v>
      </c>
      <c r="BR1320" s="2" t="s">
        <v>187</v>
      </c>
      <c r="BS1320" s="3">
        <v>42944</v>
      </c>
      <c r="BT1320" s="4">
        <v>0.41666666666666669</v>
      </c>
      <c r="BU1320" s="2" t="s">
        <v>1360</v>
      </c>
      <c r="BV1320" s="2" t="s">
        <v>95</v>
      </c>
      <c r="BW1320" s="2"/>
      <c r="BX1320" s="2"/>
      <c r="BY1320" s="2">
        <v>1200</v>
      </c>
      <c r="BZ1320" s="2"/>
      <c r="CA1320" s="2"/>
      <c r="CB1320" s="2"/>
      <c r="CC1320" s="2" t="s">
        <v>1781</v>
      </c>
      <c r="CD1320" s="2">
        <v>5470</v>
      </c>
      <c r="CE1320" s="2" t="s">
        <v>104</v>
      </c>
      <c r="CF1320" s="5">
        <v>42954</v>
      </c>
      <c r="CG1320" s="2"/>
      <c r="CH1320" s="2"/>
      <c r="CI1320" s="2">
        <v>4</v>
      </c>
      <c r="CJ1320" s="2">
        <v>2</v>
      </c>
      <c r="CK1320" s="2">
        <v>23</v>
      </c>
      <c r="CL1320" s="2" t="s">
        <v>86</v>
      </c>
      <c r="CM1320" s="2"/>
    </row>
    <row r="1321" spans="1:91">
      <c r="A1321" s="2" t="s">
        <v>71</v>
      </c>
      <c r="B1321" s="2" t="s">
        <v>72</v>
      </c>
      <c r="C1321" s="2" t="s">
        <v>73</v>
      </c>
      <c r="D1321" s="2"/>
      <c r="E1321" s="2" t="str">
        <f>"FES1162568370"</f>
        <v>FES1162568370</v>
      </c>
      <c r="F1321" s="3">
        <v>42958</v>
      </c>
      <c r="G1321" s="2">
        <v>201802</v>
      </c>
      <c r="H1321" s="2" t="s">
        <v>74</v>
      </c>
      <c r="I1321" s="2" t="s">
        <v>75</v>
      </c>
      <c r="J1321" s="2" t="s">
        <v>76</v>
      </c>
      <c r="K1321" s="2" t="s">
        <v>77</v>
      </c>
      <c r="L1321" s="2" t="s">
        <v>417</v>
      </c>
      <c r="M1321" s="2" t="s">
        <v>417</v>
      </c>
      <c r="N1321" s="2" t="s">
        <v>1309</v>
      </c>
      <c r="O1321" s="2" t="s">
        <v>100</v>
      </c>
      <c r="P1321" s="2" t="str">
        <f>"2170584458                    "</f>
        <v xml:space="preserve">2170584458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4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1.6</v>
      </c>
      <c r="BJ1321" s="2">
        <v>1.2</v>
      </c>
      <c r="BK1321" s="2">
        <v>2</v>
      </c>
      <c r="BL1321" s="2">
        <v>41.44</v>
      </c>
      <c r="BM1321" s="2">
        <v>5.8</v>
      </c>
      <c r="BN1321" s="2">
        <v>47.24</v>
      </c>
      <c r="BO1321" s="2">
        <v>47.24</v>
      </c>
      <c r="BP1321" s="2"/>
      <c r="BQ1321" s="2" t="s">
        <v>83</v>
      </c>
      <c r="BR1321" s="2" t="s">
        <v>84</v>
      </c>
      <c r="BS1321" s="3">
        <v>42961</v>
      </c>
      <c r="BT1321" s="4">
        <v>0.4368055555555555</v>
      </c>
      <c r="BU1321" s="2" t="s">
        <v>2036</v>
      </c>
      <c r="BV1321" s="2" t="s">
        <v>95</v>
      </c>
      <c r="BW1321" s="2"/>
      <c r="BX1321" s="2"/>
      <c r="BY1321" s="2">
        <v>5753.91</v>
      </c>
      <c r="BZ1321" s="2"/>
      <c r="CA1321" s="2" t="s">
        <v>460</v>
      </c>
      <c r="CB1321" s="2"/>
      <c r="CC1321" s="2" t="s">
        <v>417</v>
      </c>
      <c r="CD1321" s="2">
        <v>7646</v>
      </c>
      <c r="CE1321" s="2" t="s">
        <v>89</v>
      </c>
      <c r="CF1321" s="5">
        <v>42962</v>
      </c>
      <c r="CG1321" s="2"/>
      <c r="CH1321" s="2"/>
      <c r="CI1321" s="2">
        <v>1</v>
      </c>
      <c r="CJ1321" s="2">
        <v>1</v>
      </c>
      <c r="CK1321" s="2">
        <v>21</v>
      </c>
      <c r="CL1321" s="2" t="s">
        <v>86</v>
      </c>
      <c r="CM1321" s="2"/>
    </row>
    <row r="1322" spans="1:91">
      <c r="A1322" s="2" t="s">
        <v>71</v>
      </c>
      <c r="B1322" s="2" t="s">
        <v>72</v>
      </c>
      <c r="C1322" s="2" t="s">
        <v>73</v>
      </c>
      <c r="D1322" s="2"/>
      <c r="E1322" s="2" t="str">
        <f>"FES1162564956D"</f>
        <v>FES1162564956D</v>
      </c>
      <c r="F1322" s="3">
        <v>42942</v>
      </c>
      <c r="G1322" s="2">
        <v>201802</v>
      </c>
      <c r="H1322" s="2" t="s">
        <v>74</v>
      </c>
      <c r="I1322" s="2" t="s">
        <v>75</v>
      </c>
      <c r="J1322" s="2" t="s">
        <v>118</v>
      </c>
      <c r="K1322" s="2" t="s">
        <v>77</v>
      </c>
      <c r="L1322" s="2" t="s">
        <v>149</v>
      </c>
      <c r="M1322" s="2" t="s">
        <v>150</v>
      </c>
      <c r="N1322" s="2" t="s">
        <v>1268</v>
      </c>
      <c r="O1322" s="2" t="s">
        <v>100</v>
      </c>
      <c r="P1322" s="2" t="str">
        <f>"                              "</f>
        <v xml:space="preserve">          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11.79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6.3</v>
      </c>
      <c r="BJ1322" s="2">
        <v>1.5</v>
      </c>
      <c r="BK1322" s="2">
        <v>6.5</v>
      </c>
      <c r="BL1322" s="2">
        <v>133.47</v>
      </c>
      <c r="BM1322" s="2">
        <v>18.690000000000001</v>
      </c>
      <c r="BN1322" s="2">
        <v>152.16</v>
      </c>
      <c r="BO1322" s="2">
        <v>152.16</v>
      </c>
      <c r="BP1322" s="2"/>
      <c r="BQ1322" s="2" t="s">
        <v>83</v>
      </c>
      <c r="BR1322" s="2" t="s">
        <v>187</v>
      </c>
      <c r="BS1322" s="3">
        <v>42943</v>
      </c>
      <c r="BT1322" s="4">
        <v>0.45624999999999999</v>
      </c>
      <c r="BU1322" s="2" t="s">
        <v>1817</v>
      </c>
      <c r="BV1322" s="2" t="s">
        <v>95</v>
      </c>
      <c r="BW1322" s="2"/>
      <c r="BX1322" s="2"/>
      <c r="BY1322" s="2">
        <v>7527.3</v>
      </c>
      <c r="BZ1322" s="2"/>
      <c r="CA1322" s="2" t="s">
        <v>682</v>
      </c>
      <c r="CB1322" s="2"/>
      <c r="CC1322" s="2" t="s">
        <v>150</v>
      </c>
      <c r="CD1322" s="2">
        <v>4001</v>
      </c>
      <c r="CE1322" s="2" t="s">
        <v>89</v>
      </c>
      <c r="CF1322" s="5">
        <v>42944</v>
      </c>
      <c r="CG1322" s="2"/>
      <c r="CH1322" s="2"/>
      <c r="CI1322" s="2">
        <v>1</v>
      </c>
      <c r="CJ1322" s="2">
        <v>1</v>
      </c>
      <c r="CK1322" s="2">
        <v>21</v>
      </c>
      <c r="CL1322" s="2" t="s">
        <v>86</v>
      </c>
      <c r="CM1322" s="2"/>
    </row>
    <row r="1323" spans="1:91">
      <c r="A1323" s="2" t="s">
        <v>71</v>
      </c>
      <c r="B1323" s="2" t="s">
        <v>72</v>
      </c>
      <c r="C1323" s="2" t="s">
        <v>73</v>
      </c>
      <c r="D1323" s="2"/>
      <c r="E1323" s="2" t="str">
        <f>"FES1162568386"</f>
        <v>FES1162568386</v>
      </c>
      <c r="F1323" s="3">
        <v>42958</v>
      </c>
      <c r="G1323" s="2">
        <v>201802</v>
      </c>
      <c r="H1323" s="2" t="s">
        <v>74</v>
      </c>
      <c r="I1323" s="2" t="s">
        <v>75</v>
      </c>
      <c r="J1323" s="2" t="s">
        <v>76</v>
      </c>
      <c r="K1323" s="2" t="s">
        <v>77</v>
      </c>
      <c r="L1323" s="2" t="s">
        <v>105</v>
      </c>
      <c r="M1323" s="2" t="s">
        <v>106</v>
      </c>
      <c r="N1323" s="2" t="s">
        <v>253</v>
      </c>
      <c r="O1323" s="2" t="s">
        <v>100</v>
      </c>
      <c r="P1323" s="2" t="str">
        <f>"2170584212                    "</f>
        <v xml:space="preserve">2170584212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4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1.1000000000000001</v>
      </c>
      <c r="BJ1323" s="2">
        <v>1.4</v>
      </c>
      <c r="BK1323" s="2">
        <v>1.5</v>
      </c>
      <c r="BL1323" s="2">
        <v>41.44</v>
      </c>
      <c r="BM1323" s="2">
        <v>5.8</v>
      </c>
      <c r="BN1323" s="2">
        <v>47.24</v>
      </c>
      <c r="BO1323" s="2">
        <v>47.24</v>
      </c>
      <c r="BP1323" s="2"/>
      <c r="BQ1323" s="2" t="s">
        <v>108</v>
      </c>
      <c r="BR1323" s="2" t="s">
        <v>84</v>
      </c>
      <c r="BS1323" s="3">
        <v>42961</v>
      </c>
      <c r="BT1323" s="4">
        <v>0.42499999999999999</v>
      </c>
      <c r="BU1323" s="2" t="s">
        <v>1876</v>
      </c>
      <c r="BV1323" s="2" t="s">
        <v>95</v>
      </c>
      <c r="BW1323" s="2"/>
      <c r="BX1323" s="2"/>
      <c r="BY1323" s="2">
        <v>7113.75</v>
      </c>
      <c r="BZ1323" s="2"/>
      <c r="CA1323" s="2" t="s">
        <v>278</v>
      </c>
      <c r="CB1323" s="2"/>
      <c r="CC1323" s="2" t="s">
        <v>106</v>
      </c>
      <c r="CD1323" s="2">
        <v>7490</v>
      </c>
      <c r="CE1323" s="2" t="s">
        <v>89</v>
      </c>
      <c r="CF1323" s="5">
        <v>42962</v>
      </c>
      <c r="CG1323" s="2"/>
      <c r="CH1323" s="2"/>
      <c r="CI1323" s="2">
        <v>1</v>
      </c>
      <c r="CJ1323" s="2">
        <v>1</v>
      </c>
      <c r="CK1323" s="2">
        <v>21</v>
      </c>
      <c r="CL1323" s="2" t="s">
        <v>86</v>
      </c>
      <c r="CM1323" s="2"/>
    </row>
    <row r="1324" spans="1:91">
      <c r="A1324" s="2" t="s">
        <v>71</v>
      </c>
      <c r="B1324" s="2" t="s">
        <v>72</v>
      </c>
      <c r="C1324" s="2" t="s">
        <v>73</v>
      </c>
      <c r="D1324" s="2"/>
      <c r="E1324" s="2" t="str">
        <f>"FES1162564957D"</f>
        <v>FES1162564957D</v>
      </c>
      <c r="F1324" s="3">
        <v>42942</v>
      </c>
      <c r="G1324" s="2">
        <v>201802</v>
      </c>
      <c r="H1324" s="2" t="s">
        <v>74</v>
      </c>
      <c r="I1324" s="2" t="s">
        <v>75</v>
      </c>
      <c r="J1324" s="2" t="s">
        <v>118</v>
      </c>
      <c r="K1324" s="2" t="s">
        <v>77</v>
      </c>
      <c r="L1324" s="2" t="s">
        <v>237</v>
      </c>
      <c r="M1324" s="2" t="s">
        <v>238</v>
      </c>
      <c r="N1324" s="2" t="s">
        <v>769</v>
      </c>
      <c r="O1324" s="2" t="s">
        <v>100</v>
      </c>
      <c r="P1324" s="2" t="str">
        <f>"                              "</f>
        <v xml:space="preserve">          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3.63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1</v>
      </c>
      <c r="BJ1324" s="2">
        <v>0.2</v>
      </c>
      <c r="BK1324" s="2">
        <v>1</v>
      </c>
      <c r="BL1324" s="2">
        <v>41.07</v>
      </c>
      <c r="BM1324" s="2">
        <v>5.75</v>
      </c>
      <c r="BN1324" s="2">
        <v>46.82</v>
      </c>
      <c r="BO1324" s="2">
        <v>46.82</v>
      </c>
      <c r="BP1324" s="2"/>
      <c r="BQ1324" s="2" t="s">
        <v>83</v>
      </c>
      <c r="BR1324" s="2" t="s">
        <v>187</v>
      </c>
      <c r="BS1324" s="3">
        <v>42943</v>
      </c>
      <c r="BT1324" s="4">
        <v>0.39513888888888887</v>
      </c>
      <c r="BU1324" s="2" t="s">
        <v>2037</v>
      </c>
      <c r="BV1324" s="2" t="s">
        <v>95</v>
      </c>
      <c r="BW1324" s="2"/>
      <c r="BX1324" s="2"/>
      <c r="BY1324" s="2">
        <v>1200</v>
      </c>
      <c r="BZ1324" s="2"/>
      <c r="CA1324" s="2" t="s">
        <v>389</v>
      </c>
      <c r="CB1324" s="2"/>
      <c r="CC1324" s="2" t="s">
        <v>238</v>
      </c>
      <c r="CD1324" s="2">
        <v>3600</v>
      </c>
      <c r="CE1324" s="2" t="s">
        <v>104</v>
      </c>
      <c r="CF1324" s="5">
        <v>42944</v>
      </c>
      <c r="CG1324" s="2"/>
      <c r="CH1324" s="2"/>
      <c r="CI1324" s="2">
        <v>1</v>
      </c>
      <c r="CJ1324" s="2">
        <v>1</v>
      </c>
      <c r="CK1324" s="2">
        <v>21</v>
      </c>
      <c r="CL1324" s="2" t="s">
        <v>86</v>
      </c>
      <c r="CM1324" s="2"/>
    </row>
    <row r="1325" spans="1:91">
      <c r="A1325" s="2" t="s">
        <v>71</v>
      </c>
      <c r="B1325" s="2" t="s">
        <v>72</v>
      </c>
      <c r="C1325" s="2" t="s">
        <v>73</v>
      </c>
      <c r="D1325" s="2"/>
      <c r="E1325" s="2" t="str">
        <f>"FES1162568367"</f>
        <v>FES1162568367</v>
      </c>
      <c r="F1325" s="3">
        <v>42958</v>
      </c>
      <c r="G1325" s="2">
        <v>201802</v>
      </c>
      <c r="H1325" s="2" t="s">
        <v>74</v>
      </c>
      <c r="I1325" s="2" t="s">
        <v>75</v>
      </c>
      <c r="J1325" s="2" t="s">
        <v>76</v>
      </c>
      <c r="K1325" s="2" t="s">
        <v>77</v>
      </c>
      <c r="L1325" s="2" t="s">
        <v>437</v>
      </c>
      <c r="M1325" s="2" t="s">
        <v>438</v>
      </c>
      <c r="N1325" s="2" t="s">
        <v>439</v>
      </c>
      <c r="O1325" s="2" t="s">
        <v>358</v>
      </c>
      <c r="P1325" s="2" t="str">
        <f>"2170584453                    "</f>
        <v xml:space="preserve">2170584453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30.02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2</v>
      </c>
      <c r="BI1325" s="2">
        <v>11.7</v>
      </c>
      <c r="BJ1325" s="2">
        <v>15.6</v>
      </c>
      <c r="BK1325" s="2">
        <v>16</v>
      </c>
      <c r="BL1325" s="2">
        <v>310.82</v>
      </c>
      <c r="BM1325" s="2">
        <v>43.51</v>
      </c>
      <c r="BN1325" s="2">
        <v>354.33</v>
      </c>
      <c r="BO1325" s="2">
        <v>354.33</v>
      </c>
      <c r="BP1325" s="2"/>
      <c r="BQ1325" s="2" t="s">
        <v>108</v>
      </c>
      <c r="BR1325" s="2" t="s">
        <v>84</v>
      </c>
      <c r="BS1325" s="3">
        <v>42961</v>
      </c>
      <c r="BT1325" s="4">
        <v>0.41666666666666669</v>
      </c>
      <c r="BU1325" s="2" t="s">
        <v>440</v>
      </c>
      <c r="BV1325" s="2" t="s">
        <v>95</v>
      </c>
      <c r="BW1325" s="2"/>
      <c r="BX1325" s="2"/>
      <c r="BY1325" s="2">
        <v>77884.039999999994</v>
      </c>
      <c r="BZ1325" s="2"/>
      <c r="CA1325" s="2" t="s">
        <v>441</v>
      </c>
      <c r="CB1325" s="2"/>
      <c r="CC1325" s="2" t="s">
        <v>438</v>
      </c>
      <c r="CD1325" s="2">
        <v>6536</v>
      </c>
      <c r="CE1325" s="2" t="s">
        <v>89</v>
      </c>
      <c r="CF1325" s="5">
        <v>42962</v>
      </c>
      <c r="CG1325" s="2"/>
      <c r="CH1325" s="2"/>
      <c r="CI1325" s="2">
        <v>1</v>
      </c>
      <c r="CJ1325" s="2">
        <v>1</v>
      </c>
      <c r="CK1325" s="2">
        <v>31</v>
      </c>
      <c r="CL1325" s="2" t="s">
        <v>86</v>
      </c>
      <c r="CM1325" s="2"/>
    </row>
    <row r="1326" spans="1:91">
      <c r="A1326" s="2" t="s">
        <v>71</v>
      </c>
      <c r="B1326" s="2" t="s">
        <v>72</v>
      </c>
      <c r="C1326" s="2" t="s">
        <v>73</v>
      </c>
      <c r="D1326" s="2"/>
      <c r="E1326" s="2" t="str">
        <f>"FES1162564964D"</f>
        <v>FES1162564964D</v>
      </c>
      <c r="F1326" s="3">
        <v>42942</v>
      </c>
      <c r="G1326" s="2">
        <v>201802</v>
      </c>
      <c r="H1326" s="2" t="s">
        <v>74</v>
      </c>
      <c r="I1326" s="2" t="s">
        <v>75</v>
      </c>
      <c r="J1326" s="2" t="s">
        <v>118</v>
      </c>
      <c r="K1326" s="2" t="s">
        <v>77</v>
      </c>
      <c r="L1326" s="2" t="s">
        <v>174</v>
      </c>
      <c r="M1326" s="2" t="s">
        <v>175</v>
      </c>
      <c r="N1326" s="2" t="s">
        <v>851</v>
      </c>
      <c r="O1326" s="2" t="s">
        <v>100</v>
      </c>
      <c r="P1326" s="2" t="str">
        <f>"                              "</f>
        <v xml:space="preserve">          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10.88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5.7</v>
      </c>
      <c r="BJ1326" s="2">
        <v>3.5</v>
      </c>
      <c r="BK1326" s="2">
        <v>6</v>
      </c>
      <c r="BL1326" s="2">
        <v>123.2</v>
      </c>
      <c r="BM1326" s="2">
        <v>17.25</v>
      </c>
      <c r="BN1326" s="2">
        <v>140.44999999999999</v>
      </c>
      <c r="BO1326" s="2">
        <v>140.44999999999999</v>
      </c>
      <c r="BP1326" s="2"/>
      <c r="BQ1326" s="2" t="s">
        <v>83</v>
      </c>
      <c r="BR1326" s="2" t="s">
        <v>187</v>
      </c>
      <c r="BS1326" s="3">
        <v>42943</v>
      </c>
      <c r="BT1326" s="4">
        <v>0.3611111111111111</v>
      </c>
      <c r="BU1326" s="2" t="s">
        <v>1607</v>
      </c>
      <c r="BV1326" s="2" t="s">
        <v>95</v>
      </c>
      <c r="BW1326" s="2"/>
      <c r="BX1326" s="2"/>
      <c r="BY1326" s="2">
        <v>17488.55</v>
      </c>
      <c r="BZ1326" s="2"/>
      <c r="CA1326" s="2" t="s">
        <v>1420</v>
      </c>
      <c r="CB1326" s="2"/>
      <c r="CC1326" s="2" t="s">
        <v>175</v>
      </c>
      <c r="CD1326" s="2">
        <v>5201</v>
      </c>
      <c r="CE1326" s="2" t="s">
        <v>89</v>
      </c>
      <c r="CF1326" s="5">
        <v>42944</v>
      </c>
      <c r="CG1326" s="2"/>
      <c r="CH1326" s="2"/>
      <c r="CI1326" s="2">
        <v>1</v>
      </c>
      <c r="CJ1326" s="2">
        <v>1</v>
      </c>
      <c r="CK1326" s="2">
        <v>21</v>
      </c>
      <c r="CL1326" s="2" t="s">
        <v>86</v>
      </c>
      <c r="CM1326" s="2"/>
    </row>
    <row r="1327" spans="1:91">
      <c r="A1327" s="2" t="s">
        <v>71</v>
      </c>
      <c r="B1327" s="2" t="s">
        <v>72</v>
      </c>
      <c r="C1327" s="2" t="s">
        <v>73</v>
      </c>
      <c r="D1327" s="2"/>
      <c r="E1327" s="2" t="str">
        <f>"FES1162564969D"</f>
        <v>FES1162564969D</v>
      </c>
      <c r="F1327" s="3">
        <v>42942</v>
      </c>
      <c r="G1327" s="2">
        <v>201802</v>
      </c>
      <c r="H1327" s="2" t="s">
        <v>74</v>
      </c>
      <c r="I1327" s="2" t="s">
        <v>75</v>
      </c>
      <c r="J1327" s="2" t="s">
        <v>118</v>
      </c>
      <c r="K1327" s="2" t="s">
        <v>77</v>
      </c>
      <c r="L1327" s="2" t="s">
        <v>105</v>
      </c>
      <c r="M1327" s="2" t="s">
        <v>106</v>
      </c>
      <c r="N1327" s="2" t="s">
        <v>486</v>
      </c>
      <c r="O1327" s="2" t="s">
        <v>100</v>
      </c>
      <c r="P1327" s="2" t="str">
        <f>"                              "</f>
        <v xml:space="preserve">          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3.63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1</v>
      </c>
      <c r="BJ1327" s="2">
        <v>0.2</v>
      </c>
      <c r="BK1327" s="2">
        <v>1</v>
      </c>
      <c r="BL1327" s="2">
        <v>41.07</v>
      </c>
      <c r="BM1327" s="2">
        <v>5.75</v>
      </c>
      <c r="BN1327" s="2">
        <v>46.82</v>
      </c>
      <c r="BO1327" s="2">
        <v>46.82</v>
      </c>
      <c r="BP1327" s="2"/>
      <c r="BQ1327" s="2" t="s">
        <v>365</v>
      </c>
      <c r="BR1327" s="2" t="s">
        <v>187</v>
      </c>
      <c r="BS1327" s="3">
        <v>42943</v>
      </c>
      <c r="BT1327" s="4">
        <v>0.43611111111111112</v>
      </c>
      <c r="BU1327" s="2" t="s">
        <v>2038</v>
      </c>
      <c r="BV1327" s="2" t="s">
        <v>95</v>
      </c>
      <c r="BW1327" s="2"/>
      <c r="BX1327" s="2"/>
      <c r="BY1327" s="2">
        <v>1200</v>
      </c>
      <c r="BZ1327" s="2"/>
      <c r="CA1327" s="2" t="s">
        <v>291</v>
      </c>
      <c r="CB1327" s="2"/>
      <c r="CC1327" s="2" t="s">
        <v>106</v>
      </c>
      <c r="CD1327" s="2">
        <v>7441</v>
      </c>
      <c r="CE1327" s="2" t="s">
        <v>104</v>
      </c>
      <c r="CF1327" s="5">
        <v>42944</v>
      </c>
      <c r="CG1327" s="2"/>
      <c r="CH1327" s="2"/>
      <c r="CI1327" s="2">
        <v>1</v>
      </c>
      <c r="CJ1327" s="2">
        <v>1</v>
      </c>
      <c r="CK1327" s="2">
        <v>21</v>
      </c>
      <c r="CL1327" s="2" t="s">
        <v>86</v>
      </c>
      <c r="CM1327" s="2"/>
    </row>
    <row r="1328" spans="1:91">
      <c r="A1328" s="2" t="s">
        <v>71</v>
      </c>
      <c r="B1328" s="2" t="s">
        <v>72</v>
      </c>
      <c r="C1328" s="2" t="s">
        <v>73</v>
      </c>
      <c r="D1328" s="2"/>
      <c r="E1328" s="2" t="str">
        <f>"FES1162568279"</f>
        <v>FES1162568279</v>
      </c>
      <c r="F1328" s="3">
        <v>42958</v>
      </c>
      <c r="G1328" s="2">
        <v>201802</v>
      </c>
      <c r="H1328" s="2" t="s">
        <v>74</v>
      </c>
      <c r="I1328" s="2" t="s">
        <v>75</v>
      </c>
      <c r="J1328" s="2" t="s">
        <v>76</v>
      </c>
      <c r="K1328" s="2" t="s">
        <v>77</v>
      </c>
      <c r="L1328" s="2" t="s">
        <v>417</v>
      </c>
      <c r="M1328" s="2" t="s">
        <v>417</v>
      </c>
      <c r="N1328" s="2" t="s">
        <v>475</v>
      </c>
      <c r="O1328" s="2" t="s">
        <v>100</v>
      </c>
      <c r="P1328" s="2" t="str">
        <f>"2170584280                    "</f>
        <v xml:space="preserve">2170584280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4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1.5</v>
      </c>
      <c r="BJ1328" s="2">
        <v>1.5</v>
      </c>
      <c r="BK1328" s="2">
        <v>1.5</v>
      </c>
      <c r="BL1328" s="2">
        <v>41.44</v>
      </c>
      <c r="BM1328" s="2">
        <v>5.8</v>
      </c>
      <c r="BN1328" s="2">
        <v>47.24</v>
      </c>
      <c r="BO1328" s="2">
        <v>47.24</v>
      </c>
      <c r="BP1328" s="2"/>
      <c r="BQ1328" s="2" t="s">
        <v>108</v>
      </c>
      <c r="BR1328" s="2" t="s">
        <v>84</v>
      </c>
      <c r="BS1328" s="3">
        <v>42961</v>
      </c>
      <c r="BT1328" s="4">
        <v>0.44097222222222227</v>
      </c>
      <c r="BU1328" s="2" t="s">
        <v>2019</v>
      </c>
      <c r="BV1328" s="2" t="s">
        <v>95</v>
      </c>
      <c r="BW1328" s="2"/>
      <c r="BX1328" s="2"/>
      <c r="BY1328" s="2">
        <v>7389.87</v>
      </c>
      <c r="BZ1328" s="2"/>
      <c r="CA1328" s="2" t="s">
        <v>460</v>
      </c>
      <c r="CB1328" s="2"/>
      <c r="CC1328" s="2" t="s">
        <v>417</v>
      </c>
      <c r="CD1328" s="2">
        <v>7646</v>
      </c>
      <c r="CE1328" s="2" t="s">
        <v>89</v>
      </c>
      <c r="CF1328" s="5">
        <v>42962</v>
      </c>
      <c r="CG1328" s="2"/>
      <c r="CH1328" s="2"/>
      <c r="CI1328" s="2">
        <v>1</v>
      </c>
      <c r="CJ1328" s="2">
        <v>1</v>
      </c>
      <c r="CK1328" s="2">
        <v>21</v>
      </c>
      <c r="CL1328" s="2" t="s">
        <v>86</v>
      </c>
      <c r="CM1328" s="2"/>
    </row>
    <row r="1329" spans="1:91">
      <c r="A1329" s="2" t="s">
        <v>71</v>
      </c>
      <c r="B1329" s="2" t="s">
        <v>72</v>
      </c>
      <c r="C1329" s="2" t="s">
        <v>73</v>
      </c>
      <c r="D1329" s="2"/>
      <c r="E1329" s="2" t="str">
        <f>"FES1162564974D"</f>
        <v>FES1162564974D</v>
      </c>
      <c r="F1329" s="3">
        <v>42942</v>
      </c>
      <c r="G1329" s="2">
        <v>201802</v>
      </c>
      <c r="H1329" s="2" t="s">
        <v>74</v>
      </c>
      <c r="I1329" s="2" t="s">
        <v>75</v>
      </c>
      <c r="J1329" s="2" t="s">
        <v>118</v>
      </c>
      <c r="K1329" s="2" t="s">
        <v>77</v>
      </c>
      <c r="L1329" s="2" t="s">
        <v>97</v>
      </c>
      <c r="M1329" s="2" t="s">
        <v>98</v>
      </c>
      <c r="N1329" s="2" t="s">
        <v>292</v>
      </c>
      <c r="O1329" s="2" t="s">
        <v>100</v>
      </c>
      <c r="P1329" s="2" t="str">
        <f>"                              "</f>
        <v xml:space="preserve">          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3.63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1</v>
      </c>
      <c r="BJ1329" s="2">
        <v>0.2</v>
      </c>
      <c r="BK1329" s="2">
        <v>1</v>
      </c>
      <c r="BL1329" s="2">
        <v>41.07</v>
      </c>
      <c r="BM1329" s="2">
        <v>5.75</v>
      </c>
      <c r="BN1329" s="2">
        <v>46.82</v>
      </c>
      <c r="BO1329" s="2">
        <v>46.82</v>
      </c>
      <c r="BP1329" s="2"/>
      <c r="BQ1329" s="2" t="s">
        <v>83</v>
      </c>
      <c r="BR1329" s="2" t="s">
        <v>187</v>
      </c>
      <c r="BS1329" s="3">
        <v>42943</v>
      </c>
      <c r="BT1329" s="4">
        <v>0.3263888888888889</v>
      </c>
      <c r="BU1329" s="2" t="s">
        <v>2011</v>
      </c>
      <c r="BV1329" s="2" t="s">
        <v>95</v>
      </c>
      <c r="BW1329" s="2"/>
      <c r="BX1329" s="2"/>
      <c r="BY1329" s="2">
        <v>1200</v>
      </c>
      <c r="BZ1329" s="2"/>
      <c r="CA1329" s="2" t="s">
        <v>804</v>
      </c>
      <c r="CB1329" s="2"/>
      <c r="CC1329" s="2" t="s">
        <v>98</v>
      </c>
      <c r="CD1329" s="2">
        <v>6001</v>
      </c>
      <c r="CE1329" s="2" t="s">
        <v>104</v>
      </c>
      <c r="CF1329" s="5">
        <v>42944</v>
      </c>
      <c r="CG1329" s="2"/>
      <c r="CH1329" s="2"/>
      <c r="CI1329" s="2">
        <v>1</v>
      </c>
      <c r="CJ1329" s="2">
        <v>1</v>
      </c>
      <c r="CK1329" s="2">
        <v>21</v>
      </c>
      <c r="CL1329" s="2" t="s">
        <v>86</v>
      </c>
      <c r="CM1329" s="2"/>
    </row>
    <row r="1330" spans="1:91">
      <c r="A1330" s="2" t="s">
        <v>71</v>
      </c>
      <c r="B1330" s="2" t="s">
        <v>72</v>
      </c>
      <c r="C1330" s="2" t="s">
        <v>73</v>
      </c>
      <c r="D1330" s="2"/>
      <c r="E1330" s="2" t="str">
        <f>"FES1162568394"</f>
        <v>FES1162568394</v>
      </c>
      <c r="F1330" s="3">
        <v>42958</v>
      </c>
      <c r="G1330" s="2">
        <v>201802</v>
      </c>
      <c r="H1330" s="2" t="s">
        <v>74</v>
      </c>
      <c r="I1330" s="2" t="s">
        <v>75</v>
      </c>
      <c r="J1330" s="2" t="s">
        <v>76</v>
      </c>
      <c r="K1330" s="2" t="s">
        <v>77</v>
      </c>
      <c r="L1330" s="2" t="s">
        <v>144</v>
      </c>
      <c r="M1330" s="2" t="s">
        <v>145</v>
      </c>
      <c r="N1330" s="2" t="s">
        <v>2039</v>
      </c>
      <c r="O1330" s="2" t="s">
        <v>100</v>
      </c>
      <c r="P1330" s="2" t="str">
        <f>"2170584484                    "</f>
        <v xml:space="preserve">2170584484             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3.13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2.8</v>
      </c>
      <c r="BJ1330" s="2">
        <v>1</v>
      </c>
      <c r="BK1330" s="2">
        <v>3</v>
      </c>
      <c r="BL1330" s="2">
        <v>32.380000000000003</v>
      </c>
      <c r="BM1330" s="2">
        <v>4.53</v>
      </c>
      <c r="BN1330" s="2">
        <v>36.909999999999997</v>
      </c>
      <c r="BO1330" s="2">
        <v>36.909999999999997</v>
      </c>
      <c r="BP1330" s="2"/>
      <c r="BQ1330" s="2" t="s">
        <v>83</v>
      </c>
      <c r="BR1330" s="2" t="s">
        <v>84</v>
      </c>
      <c r="BS1330" s="3">
        <v>42961</v>
      </c>
      <c r="BT1330" s="4">
        <v>0.35972222222222222</v>
      </c>
      <c r="BU1330" s="2" t="s">
        <v>330</v>
      </c>
      <c r="BV1330" s="2" t="s">
        <v>95</v>
      </c>
      <c r="BW1330" s="2"/>
      <c r="BX1330" s="2"/>
      <c r="BY1330" s="2">
        <v>4961.55</v>
      </c>
      <c r="BZ1330" s="2"/>
      <c r="CA1330" s="2" t="s">
        <v>1355</v>
      </c>
      <c r="CB1330" s="2"/>
      <c r="CC1330" s="2" t="s">
        <v>145</v>
      </c>
      <c r="CD1330" s="2">
        <v>2013</v>
      </c>
      <c r="CE1330" s="2" t="s">
        <v>89</v>
      </c>
      <c r="CF1330" s="5">
        <v>42962</v>
      </c>
      <c r="CG1330" s="2"/>
      <c r="CH1330" s="2"/>
      <c r="CI1330" s="2">
        <v>1</v>
      </c>
      <c r="CJ1330" s="2">
        <v>1</v>
      </c>
      <c r="CK1330" s="2">
        <v>22</v>
      </c>
      <c r="CL1330" s="2" t="s">
        <v>86</v>
      </c>
      <c r="CM1330" s="2"/>
    </row>
    <row r="1331" spans="1:91">
      <c r="A1331" s="2" t="s">
        <v>71</v>
      </c>
      <c r="B1331" s="2" t="s">
        <v>72</v>
      </c>
      <c r="C1331" s="2" t="s">
        <v>73</v>
      </c>
      <c r="D1331" s="2"/>
      <c r="E1331" s="2" t="str">
        <f>"FES1162564975D"</f>
        <v>FES1162564975D</v>
      </c>
      <c r="F1331" s="3">
        <v>42942</v>
      </c>
      <c r="G1331" s="2">
        <v>201802</v>
      </c>
      <c r="H1331" s="2" t="s">
        <v>74</v>
      </c>
      <c r="I1331" s="2" t="s">
        <v>75</v>
      </c>
      <c r="J1331" s="2" t="s">
        <v>118</v>
      </c>
      <c r="K1331" s="2" t="s">
        <v>77</v>
      </c>
      <c r="L1331" s="2" t="s">
        <v>268</v>
      </c>
      <c r="M1331" s="2" t="s">
        <v>269</v>
      </c>
      <c r="N1331" s="2" t="s">
        <v>1166</v>
      </c>
      <c r="O1331" s="2" t="s">
        <v>100</v>
      </c>
      <c r="P1331" s="2" t="str">
        <f>"                              "</f>
        <v xml:space="preserve">           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3.63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1</v>
      </c>
      <c r="BJ1331" s="2">
        <v>0.2</v>
      </c>
      <c r="BK1331" s="2">
        <v>1</v>
      </c>
      <c r="BL1331" s="2">
        <v>41.07</v>
      </c>
      <c r="BM1331" s="2">
        <v>5.75</v>
      </c>
      <c r="BN1331" s="2">
        <v>46.82</v>
      </c>
      <c r="BO1331" s="2">
        <v>46.82</v>
      </c>
      <c r="BP1331" s="2"/>
      <c r="BQ1331" s="2" t="s">
        <v>108</v>
      </c>
      <c r="BR1331" s="2" t="s">
        <v>187</v>
      </c>
      <c r="BS1331" s="3">
        <v>42943</v>
      </c>
      <c r="BT1331" s="4">
        <v>0.5625</v>
      </c>
      <c r="BU1331" s="2" t="s">
        <v>392</v>
      </c>
      <c r="BV1331" s="2" t="s">
        <v>86</v>
      </c>
      <c r="BW1331" s="2"/>
      <c r="BX1331" s="2"/>
      <c r="BY1331" s="2">
        <v>1200</v>
      </c>
      <c r="BZ1331" s="2"/>
      <c r="CA1331" s="2"/>
      <c r="CB1331" s="2"/>
      <c r="CC1331" s="2" t="s">
        <v>269</v>
      </c>
      <c r="CD1331" s="2">
        <v>200</v>
      </c>
      <c r="CE1331" s="2" t="s">
        <v>104</v>
      </c>
      <c r="CF1331" s="5">
        <v>42944</v>
      </c>
      <c r="CG1331" s="2"/>
      <c r="CH1331" s="2"/>
      <c r="CI1331" s="2">
        <v>1</v>
      </c>
      <c r="CJ1331" s="2">
        <v>1</v>
      </c>
      <c r="CK1331" s="2">
        <v>21</v>
      </c>
      <c r="CL1331" s="2" t="s">
        <v>86</v>
      </c>
      <c r="CM1331" s="2"/>
    </row>
    <row r="1332" spans="1:91">
      <c r="A1332" s="2" t="s">
        <v>71</v>
      </c>
      <c r="B1332" s="2" t="s">
        <v>72</v>
      </c>
      <c r="C1332" s="2" t="s">
        <v>73</v>
      </c>
      <c r="D1332" s="2"/>
      <c r="E1332" s="2" t="str">
        <f>"FES1162564976D"</f>
        <v>FES1162564976D</v>
      </c>
      <c r="F1332" s="3">
        <v>42942</v>
      </c>
      <c r="G1332" s="2">
        <v>201802</v>
      </c>
      <c r="H1332" s="2" t="s">
        <v>74</v>
      </c>
      <c r="I1332" s="2" t="s">
        <v>75</v>
      </c>
      <c r="J1332" s="2" t="s">
        <v>118</v>
      </c>
      <c r="K1332" s="2" t="s">
        <v>77</v>
      </c>
      <c r="L1332" s="2" t="s">
        <v>237</v>
      </c>
      <c r="M1332" s="2" t="s">
        <v>238</v>
      </c>
      <c r="N1332" s="2" t="s">
        <v>2040</v>
      </c>
      <c r="O1332" s="2" t="s">
        <v>100</v>
      </c>
      <c r="P1332" s="2" t="str">
        <f>"                              "</f>
        <v xml:space="preserve">          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3.63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0.9</v>
      </c>
      <c r="BJ1332" s="2">
        <v>1</v>
      </c>
      <c r="BK1332" s="2">
        <v>1</v>
      </c>
      <c r="BL1332" s="2">
        <v>41.07</v>
      </c>
      <c r="BM1332" s="2">
        <v>5.75</v>
      </c>
      <c r="BN1332" s="2">
        <v>46.82</v>
      </c>
      <c r="BO1332" s="2">
        <v>46.82</v>
      </c>
      <c r="BP1332" s="2"/>
      <c r="BQ1332" s="2" t="s">
        <v>83</v>
      </c>
      <c r="BR1332" s="2" t="s">
        <v>187</v>
      </c>
      <c r="BS1332" s="3">
        <v>42943</v>
      </c>
      <c r="BT1332" s="4">
        <v>0.44097222222222227</v>
      </c>
      <c r="BU1332" s="2" t="s">
        <v>2041</v>
      </c>
      <c r="BV1332" s="2" t="s">
        <v>95</v>
      </c>
      <c r="BW1332" s="2"/>
      <c r="BX1332" s="2"/>
      <c r="BY1332" s="2">
        <v>5084.96</v>
      </c>
      <c r="BZ1332" s="2"/>
      <c r="CA1332" s="2" t="s">
        <v>401</v>
      </c>
      <c r="CB1332" s="2"/>
      <c r="CC1332" s="2" t="s">
        <v>238</v>
      </c>
      <c r="CD1332" s="2">
        <v>3610</v>
      </c>
      <c r="CE1332" s="2" t="s">
        <v>89</v>
      </c>
      <c r="CF1332" s="5">
        <v>42944</v>
      </c>
      <c r="CG1332" s="2"/>
      <c r="CH1332" s="2"/>
      <c r="CI1332" s="2">
        <v>1</v>
      </c>
      <c r="CJ1332" s="2">
        <v>1</v>
      </c>
      <c r="CK1332" s="2">
        <v>21</v>
      </c>
      <c r="CL1332" s="2" t="s">
        <v>86</v>
      </c>
      <c r="CM1332" s="2"/>
    </row>
    <row r="1333" spans="1:91">
      <c r="A1333" s="2" t="s">
        <v>71</v>
      </c>
      <c r="B1333" s="2" t="s">
        <v>72</v>
      </c>
      <c r="C1333" s="2" t="s">
        <v>73</v>
      </c>
      <c r="D1333" s="2"/>
      <c r="E1333" s="2" t="str">
        <f>"FES1162568428"</f>
        <v>FES1162568428</v>
      </c>
      <c r="F1333" s="3">
        <v>42958</v>
      </c>
      <c r="G1333" s="2">
        <v>201802</v>
      </c>
      <c r="H1333" s="2" t="s">
        <v>74</v>
      </c>
      <c r="I1333" s="2" t="s">
        <v>75</v>
      </c>
      <c r="J1333" s="2" t="s">
        <v>76</v>
      </c>
      <c r="K1333" s="2" t="s">
        <v>77</v>
      </c>
      <c r="L1333" s="2" t="s">
        <v>510</v>
      </c>
      <c r="M1333" s="2" t="s">
        <v>511</v>
      </c>
      <c r="N1333" s="2" t="s">
        <v>1504</v>
      </c>
      <c r="O1333" s="2" t="s">
        <v>100</v>
      </c>
      <c r="P1333" s="2" t="str">
        <f>"2170584525                    "</f>
        <v xml:space="preserve">2170584525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9.01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0.6</v>
      </c>
      <c r="BJ1333" s="2">
        <v>4.0999999999999996</v>
      </c>
      <c r="BK1333" s="2">
        <v>4.5</v>
      </c>
      <c r="BL1333" s="2">
        <v>93.25</v>
      </c>
      <c r="BM1333" s="2">
        <v>13.06</v>
      </c>
      <c r="BN1333" s="2">
        <v>106.31</v>
      </c>
      <c r="BO1333" s="2">
        <v>106.31</v>
      </c>
      <c r="BP1333" s="2"/>
      <c r="BQ1333" s="2" t="s">
        <v>108</v>
      </c>
      <c r="BR1333" s="2" t="s">
        <v>84</v>
      </c>
      <c r="BS1333" s="3">
        <v>42961</v>
      </c>
      <c r="BT1333" s="4">
        <v>0.31319444444444444</v>
      </c>
      <c r="BU1333" s="2" t="s">
        <v>2042</v>
      </c>
      <c r="BV1333" s="2" t="s">
        <v>95</v>
      </c>
      <c r="BW1333" s="2"/>
      <c r="BX1333" s="2"/>
      <c r="BY1333" s="2">
        <v>20285.63</v>
      </c>
      <c r="BZ1333" s="2"/>
      <c r="CA1333" s="2" t="s">
        <v>872</v>
      </c>
      <c r="CB1333" s="2"/>
      <c r="CC1333" s="2" t="s">
        <v>511</v>
      </c>
      <c r="CD1333" s="2">
        <v>6230</v>
      </c>
      <c r="CE1333" s="2" t="s">
        <v>104</v>
      </c>
      <c r="CF1333" s="5">
        <v>42962</v>
      </c>
      <c r="CG1333" s="2"/>
      <c r="CH1333" s="2"/>
      <c r="CI1333" s="2">
        <v>1</v>
      </c>
      <c r="CJ1333" s="2">
        <v>1</v>
      </c>
      <c r="CK1333" s="2">
        <v>21</v>
      </c>
      <c r="CL1333" s="2" t="s">
        <v>86</v>
      </c>
      <c r="CM1333" s="2"/>
    </row>
    <row r="1334" spans="1:91">
      <c r="A1334" s="2" t="s">
        <v>71</v>
      </c>
      <c r="B1334" s="2" t="s">
        <v>72</v>
      </c>
      <c r="C1334" s="2" t="s">
        <v>73</v>
      </c>
      <c r="D1334" s="2"/>
      <c r="E1334" s="2" t="str">
        <f>"FES1162564984D"</f>
        <v>FES1162564984D</v>
      </c>
      <c r="F1334" s="3">
        <v>42942</v>
      </c>
      <c r="G1334" s="2">
        <v>201802</v>
      </c>
      <c r="H1334" s="2" t="s">
        <v>74</v>
      </c>
      <c r="I1334" s="2" t="s">
        <v>75</v>
      </c>
      <c r="J1334" s="2" t="s">
        <v>118</v>
      </c>
      <c r="K1334" s="2" t="s">
        <v>77</v>
      </c>
      <c r="L1334" s="2" t="s">
        <v>105</v>
      </c>
      <c r="M1334" s="2" t="s">
        <v>106</v>
      </c>
      <c r="N1334" s="2" t="s">
        <v>107</v>
      </c>
      <c r="O1334" s="2" t="s">
        <v>100</v>
      </c>
      <c r="P1334" s="2" t="str">
        <f>"                              "</f>
        <v xml:space="preserve">          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3.63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1</v>
      </c>
      <c r="BJ1334" s="2">
        <v>0.2</v>
      </c>
      <c r="BK1334" s="2">
        <v>1</v>
      </c>
      <c r="BL1334" s="2">
        <v>41.07</v>
      </c>
      <c r="BM1334" s="2">
        <v>5.75</v>
      </c>
      <c r="BN1334" s="2">
        <v>46.82</v>
      </c>
      <c r="BO1334" s="2">
        <v>46.82</v>
      </c>
      <c r="BP1334" s="2"/>
      <c r="BQ1334" s="2" t="s">
        <v>2043</v>
      </c>
      <c r="BR1334" s="2" t="s">
        <v>187</v>
      </c>
      <c r="BS1334" s="3">
        <v>42943</v>
      </c>
      <c r="BT1334" s="4">
        <v>0.3972222222222222</v>
      </c>
      <c r="BU1334" s="2" t="s">
        <v>1503</v>
      </c>
      <c r="BV1334" s="2" t="s">
        <v>95</v>
      </c>
      <c r="BW1334" s="2"/>
      <c r="BX1334" s="2"/>
      <c r="BY1334" s="2">
        <v>1200</v>
      </c>
      <c r="BZ1334" s="2"/>
      <c r="CA1334" s="2" t="s">
        <v>112</v>
      </c>
      <c r="CB1334" s="2"/>
      <c r="CC1334" s="2" t="s">
        <v>106</v>
      </c>
      <c r="CD1334" s="2">
        <v>7405</v>
      </c>
      <c r="CE1334" s="2" t="s">
        <v>104</v>
      </c>
      <c r="CF1334" s="5">
        <v>42944</v>
      </c>
      <c r="CG1334" s="2"/>
      <c r="CH1334" s="2"/>
      <c r="CI1334" s="2">
        <v>1</v>
      </c>
      <c r="CJ1334" s="2">
        <v>1</v>
      </c>
      <c r="CK1334" s="2">
        <v>21</v>
      </c>
      <c r="CL1334" s="2" t="s">
        <v>86</v>
      </c>
      <c r="CM1334" s="2"/>
    </row>
    <row r="1335" spans="1:91">
      <c r="A1335" s="2" t="s">
        <v>71</v>
      </c>
      <c r="B1335" s="2" t="s">
        <v>72</v>
      </c>
      <c r="C1335" s="2" t="s">
        <v>73</v>
      </c>
      <c r="D1335" s="2"/>
      <c r="E1335" s="2" t="str">
        <f>"FES1162568438"</f>
        <v>FES1162568438</v>
      </c>
      <c r="F1335" s="3">
        <v>42958</v>
      </c>
      <c r="G1335" s="2">
        <v>201802</v>
      </c>
      <c r="H1335" s="2" t="s">
        <v>74</v>
      </c>
      <c r="I1335" s="2" t="s">
        <v>75</v>
      </c>
      <c r="J1335" s="2" t="s">
        <v>76</v>
      </c>
      <c r="K1335" s="2" t="s">
        <v>77</v>
      </c>
      <c r="L1335" s="2" t="s">
        <v>97</v>
      </c>
      <c r="M1335" s="2" t="s">
        <v>98</v>
      </c>
      <c r="N1335" s="2" t="s">
        <v>248</v>
      </c>
      <c r="O1335" s="2" t="s">
        <v>100</v>
      </c>
      <c r="P1335" s="2" t="str">
        <f>"2170584538                    "</f>
        <v xml:space="preserve">2170584538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7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1</v>
      </c>
      <c r="BI1335" s="2">
        <v>0.9</v>
      </c>
      <c r="BJ1335" s="2">
        <v>3.4</v>
      </c>
      <c r="BK1335" s="2">
        <v>3.5</v>
      </c>
      <c r="BL1335" s="2">
        <v>72.52</v>
      </c>
      <c r="BM1335" s="2">
        <v>10.15</v>
      </c>
      <c r="BN1335" s="2">
        <v>82.67</v>
      </c>
      <c r="BO1335" s="2">
        <v>82.67</v>
      </c>
      <c r="BP1335" s="2"/>
      <c r="BQ1335" s="2" t="s">
        <v>83</v>
      </c>
      <c r="BR1335" s="2" t="s">
        <v>84</v>
      </c>
      <c r="BS1335" s="3">
        <v>42961</v>
      </c>
      <c r="BT1335" s="4">
        <v>0.33333333333333331</v>
      </c>
      <c r="BU1335" s="2" t="s">
        <v>390</v>
      </c>
      <c r="BV1335" s="2" t="s">
        <v>95</v>
      </c>
      <c r="BW1335" s="2"/>
      <c r="BX1335" s="2"/>
      <c r="BY1335" s="2">
        <v>16809.87</v>
      </c>
      <c r="BZ1335" s="2"/>
      <c r="CA1335" s="2" t="s">
        <v>294</v>
      </c>
      <c r="CB1335" s="2"/>
      <c r="CC1335" s="2" t="s">
        <v>98</v>
      </c>
      <c r="CD1335" s="2">
        <v>6001</v>
      </c>
      <c r="CE1335" s="2" t="s">
        <v>89</v>
      </c>
      <c r="CF1335" s="5">
        <v>42962</v>
      </c>
      <c r="CG1335" s="2"/>
      <c r="CH1335" s="2"/>
      <c r="CI1335" s="2">
        <v>1</v>
      </c>
      <c r="CJ1335" s="2">
        <v>1</v>
      </c>
      <c r="CK1335" s="2">
        <v>21</v>
      </c>
      <c r="CL1335" s="2" t="s">
        <v>86</v>
      </c>
      <c r="CM1335" s="2"/>
    </row>
    <row r="1336" spans="1:91">
      <c r="A1336" s="2" t="s">
        <v>71</v>
      </c>
      <c r="B1336" s="2" t="s">
        <v>72</v>
      </c>
      <c r="C1336" s="2" t="s">
        <v>73</v>
      </c>
      <c r="D1336" s="2"/>
      <c r="E1336" s="2" t="str">
        <f>"FES1162564986D"</f>
        <v>FES1162564986D</v>
      </c>
      <c r="F1336" s="3">
        <v>42942</v>
      </c>
      <c r="G1336" s="2">
        <v>201802</v>
      </c>
      <c r="H1336" s="2" t="s">
        <v>74</v>
      </c>
      <c r="I1336" s="2" t="s">
        <v>75</v>
      </c>
      <c r="J1336" s="2" t="s">
        <v>118</v>
      </c>
      <c r="K1336" s="2" t="s">
        <v>77</v>
      </c>
      <c r="L1336" s="2" t="s">
        <v>170</v>
      </c>
      <c r="M1336" s="2" t="s">
        <v>171</v>
      </c>
      <c r="N1336" s="2" t="s">
        <v>2044</v>
      </c>
      <c r="O1336" s="2" t="s">
        <v>100</v>
      </c>
      <c r="P1336" s="2" t="str">
        <f>"                              "</f>
        <v xml:space="preserve">           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2.83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1</v>
      </c>
      <c r="BI1336" s="2">
        <v>1</v>
      </c>
      <c r="BJ1336" s="2">
        <v>0.2</v>
      </c>
      <c r="BK1336" s="2">
        <v>1</v>
      </c>
      <c r="BL1336" s="2">
        <v>32.08</v>
      </c>
      <c r="BM1336" s="2">
        <v>4.49</v>
      </c>
      <c r="BN1336" s="2">
        <v>36.57</v>
      </c>
      <c r="BO1336" s="2">
        <v>36.57</v>
      </c>
      <c r="BP1336" s="2"/>
      <c r="BQ1336" s="2" t="s">
        <v>108</v>
      </c>
      <c r="BR1336" s="2" t="s">
        <v>187</v>
      </c>
      <c r="BS1336" s="3">
        <v>42943</v>
      </c>
      <c r="BT1336" s="4">
        <v>0.4375</v>
      </c>
      <c r="BU1336" s="2" t="s">
        <v>2045</v>
      </c>
      <c r="BV1336" s="2" t="s">
        <v>95</v>
      </c>
      <c r="BW1336" s="2"/>
      <c r="BX1336" s="2"/>
      <c r="BY1336" s="2">
        <v>1200</v>
      </c>
      <c r="BZ1336" s="2"/>
      <c r="CA1336" s="2"/>
      <c r="CB1336" s="2"/>
      <c r="CC1336" s="2" t="s">
        <v>171</v>
      </c>
      <c r="CD1336" s="2">
        <v>1428</v>
      </c>
      <c r="CE1336" s="2" t="s">
        <v>104</v>
      </c>
      <c r="CF1336" s="5">
        <v>42944</v>
      </c>
      <c r="CG1336" s="2"/>
      <c r="CH1336" s="2"/>
      <c r="CI1336" s="2">
        <v>1</v>
      </c>
      <c r="CJ1336" s="2">
        <v>1</v>
      </c>
      <c r="CK1336" s="2">
        <v>22</v>
      </c>
      <c r="CL1336" s="2" t="s">
        <v>86</v>
      </c>
      <c r="CM1336" s="2"/>
    </row>
    <row r="1337" spans="1:91">
      <c r="A1337" s="2" t="s">
        <v>71</v>
      </c>
      <c r="B1337" s="2" t="s">
        <v>72</v>
      </c>
      <c r="C1337" s="2" t="s">
        <v>73</v>
      </c>
      <c r="D1337" s="2"/>
      <c r="E1337" s="2" t="str">
        <f>"FES1162568411"</f>
        <v>FES1162568411</v>
      </c>
      <c r="F1337" s="3">
        <v>42958</v>
      </c>
      <c r="G1337" s="2">
        <v>201802</v>
      </c>
      <c r="H1337" s="2" t="s">
        <v>74</v>
      </c>
      <c r="I1337" s="2" t="s">
        <v>75</v>
      </c>
      <c r="J1337" s="2" t="s">
        <v>76</v>
      </c>
      <c r="K1337" s="2" t="s">
        <v>77</v>
      </c>
      <c r="L1337" s="2" t="s">
        <v>149</v>
      </c>
      <c r="M1337" s="2" t="s">
        <v>150</v>
      </c>
      <c r="N1337" s="2" t="s">
        <v>151</v>
      </c>
      <c r="O1337" s="2" t="s">
        <v>100</v>
      </c>
      <c r="P1337" s="2" t="str">
        <f>"2170584505                    "</f>
        <v xml:space="preserve">2170584505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39.020000000000003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9</v>
      </c>
      <c r="BJ1337" s="2">
        <v>19.3</v>
      </c>
      <c r="BK1337" s="2">
        <v>19.5</v>
      </c>
      <c r="BL1337" s="2">
        <v>404.06</v>
      </c>
      <c r="BM1337" s="2">
        <v>56.57</v>
      </c>
      <c r="BN1337" s="2">
        <v>460.63</v>
      </c>
      <c r="BO1337" s="2">
        <v>460.63</v>
      </c>
      <c r="BP1337" s="2"/>
      <c r="BQ1337" s="2" t="s">
        <v>83</v>
      </c>
      <c r="BR1337" s="2" t="s">
        <v>84</v>
      </c>
      <c r="BS1337" s="3">
        <v>42961</v>
      </c>
      <c r="BT1337" s="4">
        <v>0.31875000000000003</v>
      </c>
      <c r="BU1337" s="2" t="s">
        <v>2046</v>
      </c>
      <c r="BV1337" s="2" t="s">
        <v>95</v>
      </c>
      <c r="BW1337" s="2"/>
      <c r="BX1337" s="2"/>
      <c r="BY1337" s="2">
        <v>96460.1</v>
      </c>
      <c r="BZ1337" s="2"/>
      <c r="CA1337" s="2" t="s">
        <v>774</v>
      </c>
      <c r="CB1337" s="2"/>
      <c r="CC1337" s="2" t="s">
        <v>150</v>
      </c>
      <c r="CD1337" s="2">
        <v>4017</v>
      </c>
      <c r="CE1337" s="2" t="s">
        <v>89</v>
      </c>
      <c r="CF1337" s="5">
        <v>42962</v>
      </c>
      <c r="CG1337" s="2"/>
      <c r="CH1337" s="2"/>
      <c r="CI1337" s="2">
        <v>1</v>
      </c>
      <c r="CJ1337" s="2">
        <v>1</v>
      </c>
      <c r="CK1337" s="2">
        <v>21</v>
      </c>
      <c r="CL1337" s="2" t="s">
        <v>86</v>
      </c>
      <c r="CM1337" s="2"/>
    </row>
    <row r="1338" spans="1:91">
      <c r="A1338" s="2" t="s">
        <v>71</v>
      </c>
      <c r="B1338" s="2" t="s">
        <v>72</v>
      </c>
      <c r="C1338" s="2" t="s">
        <v>73</v>
      </c>
      <c r="D1338" s="2"/>
      <c r="E1338" s="2" t="str">
        <f>"FES1162564987D"</f>
        <v>FES1162564987D</v>
      </c>
      <c r="F1338" s="3">
        <v>42942</v>
      </c>
      <c r="G1338" s="2">
        <v>201802</v>
      </c>
      <c r="H1338" s="2" t="s">
        <v>74</v>
      </c>
      <c r="I1338" s="2" t="s">
        <v>75</v>
      </c>
      <c r="J1338" s="2" t="s">
        <v>118</v>
      </c>
      <c r="K1338" s="2" t="s">
        <v>77</v>
      </c>
      <c r="L1338" s="2" t="s">
        <v>105</v>
      </c>
      <c r="M1338" s="2" t="s">
        <v>106</v>
      </c>
      <c r="N1338" s="2" t="s">
        <v>397</v>
      </c>
      <c r="O1338" s="2" t="s">
        <v>100</v>
      </c>
      <c r="P1338" s="2" t="str">
        <f>"                              "</f>
        <v xml:space="preserve">          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3.63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1</v>
      </c>
      <c r="BJ1338" s="2">
        <v>0.2</v>
      </c>
      <c r="BK1338" s="2">
        <v>1</v>
      </c>
      <c r="BL1338" s="2">
        <v>41.07</v>
      </c>
      <c r="BM1338" s="2">
        <v>5.75</v>
      </c>
      <c r="BN1338" s="2">
        <v>46.82</v>
      </c>
      <c r="BO1338" s="2">
        <v>46.82</v>
      </c>
      <c r="BP1338" s="2"/>
      <c r="BQ1338" s="2" t="s">
        <v>83</v>
      </c>
      <c r="BR1338" s="2" t="s">
        <v>187</v>
      </c>
      <c r="BS1338" s="3">
        <v>42943</v>
      </c>
      <c r="BT1338" s="4">
        <v>0.36458333333333331</v>
      </c>
      <c r="BU1338" s="2" t="s">
        <v>2026</v>
      </c>
      <c r="BV1338" s="2" t="s">
        <v>95</v>
      </c>
      <c r="BW1338" s="2"/>
      <c r="BX1338" s="2"/>
      <c r="BY1338" s="2">
        <v>1200</v>
      </c>
      <c r="BZ1338" s="2"/>
      <c r="CA1338" s="2" t="s">
        <v>112</v>
      </c>
      <c r="CB1338" s="2"/>
      <c r="CC1338" s="2" t="s">
        <v>106</v>
      </c>
      <c r="CD1338" s="2">
        <v>7405</v>
      </c>
      <c r="CE1338" s="2" t="s">
        <v>104</v>
      </c>
      <c r="CF1338" s="5">
        <v>42944</v>
      </c>
      <c r="CG1338" s="2"/>
      <c r="CH1338" s="2"/>
      <c r="CI1338" s="2">
        <v>1</v>
      </c>
      <c r="CJ1338" s="2">
        <v>1</v>
      </c>
      <c r="CK1338" s="2">
        <v>21</v>
      </c>
      <c r="CL1338" s="2" t="s">
        <v>86</v>
      </c>
      <c r="CM1338" s="2"/>
    </row>
    <row r="1339" spans="1:91">
      <c r="A1339" s="2" t="s">
        <v>71</v>
      </c>
      <c r="B1339" s="2" t="s">
        <v>72</v>
      </c>
      <c r="C1339" s="2" t="s">
        <v>73</v>
      </c>
      <c r="D1339" s="2"/>
      <c r="E1339" s="2" t="str">
        <f>"FES1162568277"</f>
        <v>FES1162568277</v>
      </c>
      <c r="F1339" s="3">
        <v>42958</v>
      </c>
      <c r="G1339" s="2">
        <v>201802</v>
      </c>
      <c r="H1339" s="2" t="s">
        <v>74</v>
      </c>
      <c r="I1339" s="2" t="s">
        <v>75</v>
      </c>
      <c r="J1339" s="2" t="s">
        <v>76</v>
      </c>
      <c r="K1339" s="2" t="s">
        <v>77</v>
      </c>
      <c r="L1339" s="2" t="s">
        <v>268</v>
      </c>
      <c r="M1339" s="2" t="s">
        <v>269</v>
      </c>
      <c r="N1339" s="2" t="s">
        <v>351</v>
      </c>
      <c r="O1339" s="2" t="s">
        <v>100</v>
      </c>
      <c r="P1339" s="2" t="str">
        <f>"2170584104                    "</f>
        <v xml:space="preserve">2170584104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5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0.8</v>
      </c>
      <c r="BJ1339" s="2">
        <v>2.4</v>
      </c>
      <c r="BK1339" s="2">
        <v>2.5</v>
      </c>
      <c r="BL1339" s="2">
        <v>51.8</v>
      </c>
      <c r="BM1339" s="2">
        <v>7.25</v>
      </c>
      <c r="BN1339" s="2">
        <v>59.05</v>
      </c>
      <c r="BO1339" s="2">
        <v>59.05</v>
      </c>
      <c r="BP1339" s="2">
        <v>1</v>
      </c>
      <c r="BQ1339" s="2" t="s">
        <v>108</v>
      </c>
      <c r="BR1339" s="2" t="s">
        <v>84</v>
      </c>
      <c r="BS1339" s="3">
        <v>42961</v>
      </c>
      <c r="BT1339" s="4">
        <v>0.51736111111111105</v>
      </c>
      <c r="BU1339" s="2" t="s">
        <v>1136</v>
      </c>
      <c r="BV1339" s="2" t="s">
        <v>86</v>
      </c>
      <c r="BW1339" s="2" t="s">
        <v>110</v>
      </c>
      <c r="BX1339" s="2" t="s">
        <v>623</v>
      </c>
      <c r="BY1339" s="2">
        <v>11965.21</v>
      </c>
      <c r="BZ1339" s="2"/>
      <c r="CA1339" s="2" t="s">
        <v>272</v>
      </c>
      <c r="CB1339" s="2"/>
      <c r="CC1339" s="2" t="s">
        <v>269</v>
      </c>
      <c r="CD1339" s="2">
        <v>200</v>
      </c>
      <c r="CE1339" s="2" t="s">
        <v>948</v>
      </c>
      <c r="CF1339" s="5">
        <v>42962</v>
      </c>
      <c r="CG1339" s="2"/>
      <c r="CH1339" s="2"/>
      <c r="CI1339" s="2">
        <v>1</v>
      </c>
      <c r="CJ1339" s="2">
        <v>1</v>
      </c>
      <c r="CK1339" s="2">
        <v>21</v>
      </c>
      <c r="CL1339" s="2" t="s">
        <v>86</v>
      </c>
      <c r="CM1339" s="2"/>
    </row>
    <row r="1340" spans="1:91">
      <c r="A1340" s="2" t="s">
        <v>71</v>
      </c>
      <c r="B1340" s="2" t="s">
        <v>72</v>
      </c>
      <c r="C1340" s="2" t="s">
        <v>73</v>
      </c>
      <c r="D1340" s="2"/>
      <c r="E1340" s="2" t="str">
        <f>"FES1162564991D"</f>
        <v>FES1162564991D</v>
      </c>
      <c r="F1340" s="3">
        <v>42942</v>
      </c>
      <c r="G1340" s="2">
        <v>201802</v>
      </c>
      <c r="H1340" s="2" t="s">
        <v>74</v>
      </c>
      <c r="I1340" s="2" t="s">
        <v>75</v>
      </c>
      <c r="J1340" s="2" t="s">
        <v>118</v>
      </c>
      <c r="K1340" s="2" t="s">
        <v>77</v>
      </c>
      <c r="L1340" s="2" t="s">
        <v>170</v>
      </c>
      <c r="M1340" s="2" t="s">
        <v>171</v>
      </c>
      <c r="N1340" s="2" t="s">
        <v>585</v>
      </c>
      <c r="O1340" s="2" t="s">
        <v>100</v>
      </c>
      <c r="P1340" s="2" t="str">
        <f>"                              "</f>
        <v xml:space="preserve">          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2.83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1</v>
      </c>
      <c r="BJ1340" s="2">
        <v>0.2</v>
      </c>
      <c r="BK1340" s="2">
        <v>1</v>
      </c>
      <c r="BL1340" s="2">
        <v>32.08</v>
      </c>
      <c r="BM1340" s="2">
        <v>4.49</v>
      </c>
      <c r="BN1340" s="2">
        <v>36.57</v>
      </c>
      <c r="BO1340" s="2">
        <v>36.57</v>
      </c>
      <c r="BP1340" s="2"/>
      <c r="BQ1340" s="2" t="s">
        <v>108</v>
      </c>
      <c r="BR1340" s="2" t="s">
        <v>187</v>
      </c>
      <c r="BS1340" s="3">
        <v>42943</v>
      </c>
      <c r="BT1340" s="4">
        <v>0.34791666666666665</v>
      </c>
      <c r="BU1340" s="2" t="s">
        <v>1739</v>
      </c>
      <c r="BV1340" s="2" t="s">
        <v>95</v>
      </c>
      <c r="BW1340" s="2"/>
      <c r="BX1340" s="2"/>
      <c r="BY1340" s="2">
        <v>1200</v>
      </c>
      <c r="BZ1340" s="2"/>
      <c r="CA1340" s="2" t="s">
        <v>1441</v>
      </c>
      <c r="CB1340" s="2"/>
      <c r="CC1340" s="2" t="s">
        <v>171</v>
      </c>
      <c r="CD1340" s="2">
        <v>1406</v>
      </c>
      <c r="CE1340" s="2" t="s">
        <v>104</v>
      </c>
      <c r="CF1340" s="5">
        <v>42944</v>
      </c>
      <c r="CG1340" s="2"/>
      <c r="CH1340" s="2"/>
      <c r="CI1340" s="2">
        <v>1</v>
      </c>
      <c r="CJ1340" s="2">
        <v>1</v>
      </c>
      <c r="CK1340" s="2">
        <v>22</v>
      </c>
      <c r="CL1340" s="2" t="s">
        <v>86</v>
      </c>
      <c r="CM1340" s="2"/>
    </row>
    <row r="1341" spans="1:91">
      <c r="A1341" s="2" t="s">
        <v>71</v>
      </c>
      <c r="B1341" s="2" t="s">
        <v>72</v>
      </c>
      <c r="C1341" s="2" t="s">
        <v>73</v>
      </c>
      <c r="D1341" s="2"/>
      <c r="E1341" s="2" t="str">
        <f>"FES1162565048D"</f>
        <v>FES1162565048D</v>
      </c>
      <c r="F1341" s="3">
        <v>42942</v>
      </c>
      <c r="G1341" s="2">
        <v>201802</v>
      </c>
      <c r="H1341" s="2" t="s">
        <v>74</v>
      </c>
      <c r="I1341" s="2" t="s">
        <v>75</v>
      </c>
      <c r="J1341" s="2" t="s">
        <v>118</v>
      </c>
      <c r="K1341" s="2" t="s">
        <v>77</v>
      </c>
      <c r="L1341" s="2" t="s">
        <v>170</v>
      </c>
      <c r="M1341" s="2" t="s">
        <v>171</v>
      </c>
      <c r="N1341" s="2" t="s">
        <v>730</v>
      </c>
      <c r="O1341" s="2" t="s">
        <v>100</v>
      </c>
      <c r="P1341" s="2" t="str">
        <f>"                              "</f>
        <v xml:space="preserve">          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2.83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1</v>
      </c>
      <c r="BJ1341" s="2">
        <v>0.2</v>
      </c>
      <c r="BK1341" s="2">
        <v>1</v>
      </c>
      <c r="BL1341" s="2">
        <v>32.08</v>
      </c>
      <c r="BM1341" s="2">
        <v>4.49</v>
      </c>
      <c r="BN1341" s="2">
        <v>36.57</v>
      </c>
      <c r="BO1341" s="2">
        <v>36.57</v>
      </c>
      <c r="BP1341" s="2"/>
      <c r="BQ1341" s="2" t="s">
        <v>83</v>
      </c>
      <c r="BR1341" s="2" t="s">
        <v>187</v>
      </c>
      <c r="BS1341" s="3">
        <v>42943</v>
      </c>
      <c r="BT1341" s="4">
        <v>0.4375</v>
      </c>
      <c r="BU1341" s="2" t="s">
        <v>2047</v>
      </c>
      <c r="BV1341" s="2" t="s">
        <v>95</v>
      </c>
      <c r="BW1341" s="2"/>
      <c r="BX1341" s="2"/>
      <c r="BY1341" s="2">
        <v>1200</v>
      </c>
      <c r="BZ1341" s="2"/>
      <c r="CA1341" s="2"/>
      <c r="CB1341" s="2"/>
      <c r="CC1341" s="2" t="s">
        <v>171</v>
      </c>
      <c r="CD1341" s="2">
        <v>1428</v>
      </c>
      <c r="CE1341" s="2" t="s">
        <v>104</v>
      </c>
      <c r="CF1341" s="5">
        <v>42944</v>
      </c>
      <c r="CG1341" s="2"/>
      <c r="CH1341" s="2"/>
      <c r="CI1341" s="2">
        <v>1</v>
      </c>
      <c r="CJ1341" s="2">
        <v>1</v>
      </c>
      <c r="CK1341" s="2">
        <v>22</v>
      </c>
      <c r="CL1341" s="2" t="s">
        <v>86</v>
      </c>
      <c r="CM1341" s="2"/>
    </row>
    <row r="1342" spans="1:91">
      <c r="A1342" s="2" t="s">
        <v>71</v>
      </c>
      <c r="B1342" s="2" t="s">
        <v>72</v>
      </c>
      <c r="C1342" s="2" t="s">
        <v>73</v>
      </c>
      <c r="D1342" s="2"/>
      <c r="E1342" s="2" t="str">
        <f>"FES1162568393"</f>
        <v>FES1162568393</v>
      </c>
      <c r="F1342" s="3">
        <v>42958</v>
      </c>
      <c r="G1342" s="2">
        <v>201802</v>
      </c>
      <c r="H1342" s="2" t="s">
        <v>74</v>
      </c>
      <c r="I1342" s="2" t="s">
        <v>75</v>
      </c>
      <c r="J1342" s="2" t="s">
        <v>76</v>
      </c>
      <c r="K1342" s="2" t="s">
        <v>77</v>
      </c>
      <c r="L1342" s="2" t="s">
        <v>321</v>
      </c>
      <c r="M1342" s="2" t="s">
        <v>322</v>
      </c>
      <c r="N1342" s="2" t="s">
        <v>323</v>
      </c>
      <c r="O1342" s="2" t="s">
        <v>100</v>
      </c>
      <c r="P1342" s="2" t="str">
        <f>"2170584480                    "</f>
        <v xml:space="preserve">2170584480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7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1.8</v>
      </c>
      <c r="BJ1342" s="2">
        <v>3.3</v>
      </c>
      <c r="BK1342" s="2">
        <v>3.5</v>
      </c>
      <c r="BL1342" s="2">
        <v>72.52</v>
      </c>
      <c r="BM1342" s="2">
        <v>10.15</v>
      </c>
      <c r="BN1342" s="2">
        <v>82.67</v>
      </c>
      <c r="BO1342" s="2">
        <v>82.67</v>
      </c>
      <c r="BP1342" s="2">
        <v>1</v>
      </c>
      <c r="BQ1342" s="2" t="s">
        <v>83</v>
      </c>
      <c r="BR1342" s="2" t="s">
        <v>84</v>
      </c>
      <c r="BS1342" s="3">
        <v>42961</v>
      </c>
      <c r="BT1342" s="4">
        <v>0.39652777777777781</v>
      </c>
      <c r="BU1342" s="2" t="s">
        <v>2048</v>
      </c>
      <c r="BV1342" s="2" t="s">
        <v>95</v>
      </c>
      <c r="BW1342" s="2"/>
      <c r="BX1342" s="2"/>
      <c r="BY1342" s="2">
        <v>16493.490000000002</v>
      </c>
      <c r="BZ1342" s="2"/>
      <c r="CA1342" s="2" t="s">
        <v>103</v>
      </c>
      <c r="CB1342" s="2"/>
      <c r="CC1342" s="2" t="s">
        <v>322</v>
      </c>
      <c r="CD1342" s="2">
        <v>6220</v>
      </c>
      <c r="CE1342" s="2" t="s">
        <v>104</v>
      </c>
      <c r="CF1342" s="5">
        <v>42962</v>
      </c>
      <c r="CG1342" s="2"/>
      <c r="CH1342" s="2"/>
      <c r="CI1342" s="2">
        <v>1</v>
      </c>
      <c r="CJ1342" s="2">
        <v>1</v>
      </c>
      <c r="CK1342" s="2">
        <v>21</v>
      </c>
      <c r="CL1342" s="2" t="s">
        <v>86</v>
      </c>
      <c r="CM1342" s="2"/>
    </row>
    <row r="1343" spans="1:91">
      <c r="A1343" s="2" t="s">
        <v>71</v>
      </c>
      <c r="B1343" s="2" t="s">
        <v>72</v>
      </c>
      <c r="C1343" s="2" t="s">
        <v>73</v>
      </c>
      <c r="D1343" s="2"/>
      <c r="E1343" s="2" t="str">
        <f>"FES1162565049D"</f>
        <v>FES1162565049D</v>
      </c>
      <c r="F1343" s="3">
        <v>42942</v>
      </c>
      <c r="G1343" s="2">
        <v>201802</v>
      </c>
      <c r="H1343" s="2" t="s">
        <v>74</v>
      </c>
      <c r="I1343" s="2" t="s">
        <v>75</v>
      </c>
      <c r="J1343" s="2" t="s">
        <v>118</v>
      </c>
      <c r="K1343" s="2" t="s">
        <v>77</v>
      </c>
      <c r="L1343" s="2" t="s">
        <v>174</v>
      </c>
      <c r="M1343" s="2" t="s">
        <v>175</v>
      </c>
      <c r="N1343" s="2" t="s">
        <v>930</v>
      </c>
      <c r="O1343" s="2" t="s">
        <v>100</v>
      </c>
      <c r="P1343" s="2" t="str">
        <f>"                              "</f>
        <v xml:space="preserve">          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3.63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1</v>
      </c>
      <c r="BJ1343" s="2">
        <v>0.2</v>
      </c>
      <c r="BK1343" s="2">
        <v>1</v>
      </c>
      <c r="BL1343" s="2">
        <v>41.07</v>
      </c>
      <c r="BM1343" s="2">
        <v>5.75</v>
      </c>
      <c r="BN1343" s="2">
        <v>46.82</v>
      </c>
      <c r="BO1343" s="2">
        <v>46.82</v>
      </c>
      <c r="BP1343" s="2"/>
      <c r="BQ1343" s="2" t="s">
        <v>83</v>
      </c>
      <c r="BR1343" s="2" t="s">
        <v>187</v>
      </c>
      <c r="BS1343" s="3">
        <v>42943</v>
      </c>
      <c r="BT1343" s="4">
        <v>0.44444444444444442</v>
      </c>
      <c r="BU1343" s="2" t="s">
        <v>1372</v>
      </c>
      <c r="BV1343" s="2" t="s">
        <v>95</v>
      </c>
      <c r="BW1343" s="2"/>
      <c r="BX1343" s="2"/>
      <c r="BY1343" s="2">
        <v>1200</v>
      </c>
      <c r="BZ1343" s="2"/>
      <c r="CA1343" s="2" t="s">
        <v>1373</v>
      </c>
      <c r="CB1343" s="2"/>
      <c r="CC1343" s="2" t="s">
        <v>175</v>
      </c>
      <c r="CD1343" s="2">
        <v>5201</v>
      </c>
      <c r="CE1343" s="2" t="s">
        <v>104</v>
      </c>
      <c r="CF1343" s="5">
        <v>42944</v>
      </c>
      <c r="CG1343" s="2"/>
      <c r="CH1343" s="2"/>
      <c r="CI1343" s="2">
        <v>1</v>
      </c>
      <c r="CJ1343" s="2">
        <v>1</v>
      </c>
      <c r="CK1343" s="2">
        <v>21</v>
      </c>
      <c r="CL1343" s="2" t="s">
        <v>86</v>
      </c>
      <c r="CM1343" s="2"/>
    </row>
    <row r="1344" spans="1:91">
      <c r="A1344" s="2" t="s">
        <v>71</v>
      </c>
      <c r="B1344" s="2" t="s">
        <v>72</v>
      </c>
      <c r="C1344" s="2" t="s">
        <v>73</v>
      </c>
      <c r="D1344" s="2"/>
      <c r="E1344" s="2" t="str">
        <f>"FES1162568390"</f>
        <v>FES1162568390</v>
      </c>
      <c r="F1344" s="3">
        <v>42958</v>
      </c>
      <c r="G1344" s="2">
        <v>201802</v>
      </c>
      <c r="H1344" s="2" t="s">
        <v>74</v>
      </c>
      <c r="I1344" s="2" t="s">
        <v>75</v>
      </c>
      <c r="J1344" s="2" t="s">
        <v>76</v>
      </c>
      <c r="K1344" s="2" t="s">
        <v>77</v>
      </c>
      <c r="L1344" s="2" t="s">
        <v>321</v>
      </c>
      <c r="M1344" s="2" t="s">
        <v>322</v>
      </c>
      <c r="N1344" s="2" t="s">
        <v>1947</v>
      </c>
      <c r="O1344" s="2" t="s">
        <v>100</v>
      </c>
      <c r="P1344" s="2" t="str">
        <f>"2170579286                    "</f>
        <v xml:space="preserve">2170579286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4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0.1</v>
      </c>
      <c r="BJ1344" s="2">
        <v>1.4</v>
      </c>
      <c r="BK1344" s="2">
        <v>1.5</v>
      </c>
      <c r="BL1344" s="2">
        <v>41.44</v>
      </c>
      <c r="BM1344" s="2">
        <v>5.8</v>
      </c>
      <c r="BN1344" s="2">
        <v>47.24</v>
      </c>
      <c r="BO1344" s="2">
        <v>47.24</v>
      </c>
      <c r="BP1344" s="2">
        <v>1</v>
      </c>
      <c r="BQ1344" s="2" t="s">
        <v>2049</v>
      </c>
      <c r="BR1344" s="2" t="s">
        <v>84</v>
      </c>
      <c r="BS1344" s="3">
        <v>42961</v>
      </c>
      <c r="BT1344" s="4">
        <v>0.38750000000000001</v>
      </c>
      <c r="BU1344" s="2" t="s">
        <v>2050</v>
      </c>
      <c r="BV1344" s="2" t="s">
        <v>95</v>
      </c>
      <c r="BW1344" s="2"/>
      <c r="BX1344" s="2"/>
      <c r="BY1344" s="2">
        <v>7023.36</v>
      </c>
      <c r="BZ1344" s="2"/>
      <c r="CA1344" s="2" t="s">
        <v>103</v>
      </c>
      <c r="CB1344" s="2"/>
      <c r="CC1344" s="2" t="s">
        <v>322</v>
      </c>
      <c r="CD1344" s="2">
        <v>6220</v>
      </c>
      <c r="CE1344" s="2" t="s">
        <v>104</v>
      </c>
      <c r="CF1344" s="5">
        <v>42962</v>
      </c>
      <c r="CG1344" s="2"/>
      <c r="CH1344" s="2"/>
      <c r="CI1344" s="2">
        <v>1</v>
      </c>
      <c r="CJ1344" s="2">
        <v>1</v>
      </c>
      <c r="CK1344" s="2">
        <v>21</v>
      </c>
      <c r="CL1344" s="2" t="s">
        <v>86</v>
      </c>
      <c r="CM1344" s="2"/>
    </row>
    <row r="1345" spans="1:91">
      <c r="A1345" s="2" t="s">
        <v>71</v>
      </c>
      <c r="B1345" s="2" t="s">
        <v>72</v>
      </c>
      <c r="C1345" s="2" t="s">
        <v>73</v>
      </c>
      <c r="D1345" s="2"/>
      <c r="E1345" s="2" t="str">
        <f>"FES1162568365"</f>
        <v>FES1162568365</v>
      </c>
      <c r="F1345" s="3">
        <v>42958</v>
      </c>
      <c r="G1345" s="2">
        <v>201802</v>
      </c>
      <c r="H1345" s="2" t="s">
        <v>74</v>
      </c>
      <c r="I1345" s="2" t="s">
        <v>75</v>
      </c>
      <c r="J1345" s="2" t="s">
        <v>76</v>
      </c>
      <c r="K1345" s="2" t="s">
        <v>77</v>
      </c>
      <c r="L1345" s="2" t="s">
        <v>437</v>
      </c>
      <c r="M1345" s="2" t="s">
        <v>438</v>
      </c>
      <c r="N1345" s="2" t="s">
        <v>439</v>
      </c>
      <c r="O1345" s="2" t="s">
        <v>100</v>
      </c>
      <c r="P1345" s="2" t="str">
        <f>"2170584450                    "</f>
        <v xml:space="preserve">2170584450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9.01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2.8</v>
      </c>
      <c r="BJ1345" s="2">
        <v>4.5</v>
      </c>
      <c r="BK1345" s="2">
        <v>4.5</v>
      </c>
      <c r="BL1345" s="2">
        <v>93.25</v>
      </c>
      <c r="BM1345" s="2">
        <v>13.06</v>
      </c>
      <c r="BN1345" s="2">
        <v>106.31</v>
      </c>
      <c r="BO1345" s="2">
        <v>106.31</v>
      </c>
      <c r="BP1345" s="2">
        <v>1</v>
      </c>
      <c r="BQ1345" s="2" t="s">
        <v>108</v>
      </c>
      <c r="BR1345" s="2" t="s">
        <v>84</v>
      </c>
      <c r="BS1345" s="3">
        <v>42961</v>
      </c>
      <c r="BT1345" s="4">
        <v>0.41666666666666669</v>
      </c>
      <c r="BU1345" s="2" t="s">
        <v>440</v>
      </c>
      <c r="BV1345" s="2" t="s">
        <v>95</v>
      </c>
      <c r="BW1345" s="2"/>
      <c r="BX1345" s="2"/>
      <c r="BY1345" s="2">
        <v>22296.38</v>
      </c>
      <c r="BZ1345" s="2"/>
      <c r="CA1345" s="2" t="s">
        <v>441</v>
      </c>
      <c r="CB1345" s="2"/>
      <c r="CC1345" s="2" t="s">
        <v>438</v>
      </c>
      <c r="CD1345" s="2">
        <v>6536</v>
      </c>
      <c r="CE1345" s="2" t="s">
        <v>104</v>
      </c>
      <c r="CF1345" s="5">
        <v>42962</v>
      </c>
      <c r="CG1345" s="2"/>
      <c r="CH1345" s="2"/>
      <c r="CI1345" s="2">
        <v>1</v>
      </c>
      <c r="CJ1345" s="2">
        <v>1</v>
      </c>
      <c r="CK1345" s="2">
        <v>21</v>
      </c>
      <c r="CL1345" s="2" t="s">
        <v>86</v>
      </c>
      <c r="CM1345" s="2"/>
    </row>
    <row r="1346" spans="1:91">
      <c r="A1346" s="2" t="s">
        <v>71</v>
      </c>
      <c r="B1346" s="2" t="s">
        <v>72</v>
      </c>
      <c r="C1346" s="2" t="s">
        <v>73</v>
      </c>
      <c r="D1346" s="2"/>
      <c r="E1346" s="2" t="str">
        <f>"FES1162564790D"</f>
        <v>FES1162564790D</v>
      </c>
      <c r="F1346" s="3">
        <v>42942</v>
      </c>
      <c r="G1346" s="2">
        <v>201802</v>
      </c>
      <c r="H1346" s="2" t="s">
        <v>74</v>
      </c>
      <c r="I1346" s="2" t="s">
        <v>75</v>
      </c>
      <c r="J1346" s="2" t="s">
        <v>118</v>
      </c>
      <c r="K1346" s="2" t="s">
        <v>77</v>
      </c>
      <c r="L1346" s="2" t="s">
        <v>216</v>
      </c>
      <c r="M1346" s="2" t="s">
        <v>217</v>
      </c>
      <c r="N1346" s="2" t="s">
        <v>2051</v>
      </c>
      <c r="O1346" s="2" t="s">
        <v>100</v>
      </c>
      <c r="P1346" s="2" t="str">
        <f>"                              "</f>
        <v xml:space="preserve">          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2.83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1</v>
      </c>
      <c r="BJ1346" s="2">
        <v>0.2</v>
      </c>
      <c r="BK1346" s="2">
        <v>1</v>
      </c>
      <c r="BL1346" s="2">
        <v>32.08</v>
      </c>
      <c r="BM1346" s="2">
        <v>4.49</v>
      </c>
      <c r="BN1346" s="2">
        <v>36.57</v>
      </c>
      <c r="BO1346" s="2">
        <v>36.57</v>
      </c>
      <c r="BP1346" s="2"/>
      <c r="BQ1346" s="2" t="s">
        <v>2052</v>
      </c>
      <c r="BR1346" s="2" t="s">
        <v>187</v>
      </c>
      <c r="BS1346" s="3">
        <v>42943</v>
      </c>
      <c r="BT1346" s="4">
        <v>0.40625</v>
      </c>
      <c r="BU1346" s="2" t="s">
        <v>2053</v>
      </c>
      <c r="BV1346" s="2" t="s">
        <v>95</v>
      </c>
      <c r="BW1346" s="2"/>
      <c r="BX1346" s="2"/>
      <c r="BY1346" s="2">
        <v>1200</v>
      </c>
      <c r="BZ1346" s="2"/>
      <c r="CA1346" s="2" t="s">
        <v>1217</v>
      </c>
      <c r="CB1346" s="2"/>
      <c r="CC1346" s="2" t="s">
        <v>217</v>
      </c>
      <c r="CD1346" s="2">
        <v>1554</v>
      </c>
      <c r="CE1346" s="2" t="s">
        <v>104</v>
      </c>
      <c r="CF1346" s="5">
        <v>42944</v>
      </c>
      <c r="CG1346" s="2"/>
      <c r="CH1346" s="2"/>
      <c r="CI1346" s="2">
        <v>1</v>
      </c>
      <c r="CJ1346" s="2">
        <v>1</v>
      </c>
      <c r="CK1346" s="2">
        <v>22</v>
      </c>
      <c r="CL1346" s="2" t="s">
        <v>86</v>
      </c>
      <c r="CM1346" s="2"/>
    </row>
    <row r="1347" spans="1:91">
      <c r="A1347" s="2" t="s">
        <v>71</v>
      </c>
      <c r="B1347" s="2" t="s">
        <v>72</v>
      </c>
      <c r="C1347" s="2" t="s">
        <v>73</v>
      </c>
      <c r="D1347" s="2"/>
      <c r="E1347" s="2" t="str">
        <f>"FES1162568270"</f>
        <v>FES1162568270</v>
      </c>
      <c r="F1347" s="3">
        <v>42958</v>
      </c>
      <c r="G1347" s="2">
        <v>201802</v>
      </c>
      <c r="H1347" s="2" t="s">
        <v>74</v>
      </c>
      <c r="I1347" s="2" t="s">
        <v>75</v>
      </c>
      <c r="J1347" s="2" t="s">
        <v>76</v>
      </c>
      <c r="K1347" s="2" t="s">
        <v>77</v>
      </c>
      <c r="L1347" s="2" t="s">
        <v>362</v>
      </c>
      <c r="M1347" s="2" t="s">
        <v>363</v>
      </c>
      <c r="N1347" s="2" t="s">
        <v>377</v>
      </c>
      <c r="O1347" s="2" t="s">
        <v>100</v>
      </c>
      <c r="P1347" s="2" t="str">
        <f>"2170582604                    "</f>
        <v xml:space="preserve">2170582604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13.01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6.2</v>
      </c>
      <c r="BJ1347" s="2">
        <v>3.2</v>
      </c>
      <c r="BK1347" s="2">
        <v>6.5</v>
      </c>
      <c r="BL1347" s="2">
        <v>134.69</v>
      </c>
      <c r="BM1347" s="2">
        <v>18.86</v>
      </c>
      <c r="BN1347" s="2">
        <v>153.55000000000001</v>
      </c>
      <c r="BO1347" s="2">
        <v>153.55000000000001</v>
      </c>
      <c r="BP1347" s="2">
        <v>1</v>
      </c>
      <c r="BQ1347" s="2" t="s">
        <v>209</v>
      </c>
      <c r="BR1347" s="2" t="s">
        <v>84</v>
      </c>
      <c r="BS1347" s="3">
        <v>42961</v>
      </c>
      <c r="BT1347" s="4">
        <v>0.40972222222222227</v>
      </c>
      <c r="BU1347" s="2" t="s">
        <v>378</v>
      </c>
      <c r="BV1347" s="2" t="s">
        <v>95</v>
      </c>
      <c r="BW1347" s="2"/>
      <c r="BX1347" s="2"/>
      <c r="BY1347" s="2">
        <v>15759.74</v>
      </c>
      <c r="BZ1347" s="2"/>
      <c r="CA1347" s="2" t="s">
        <v>379</v>
      </c>
      <c r="CB1347" s="2"/>
      <c r="CC1347" s="2" t="s">
        <v>363</v>
      </c>
      <c r="CD1347" s="2">
        <v>3201</v>
      </c>
      <c r="CE1347" s="2" t="s">
        <v>89</v>
      </c>
      <c r="CF1347" s="5">
        <v>42962</v>
      </c>
      <c r="CG1347" s="2"/>
      <c r="CH1347" s="2"/>
      <c r="CI1347" s="2">
        <v>1</v>
      </c>
      <c r="CJ1347" s="2">
        <v>1</v>
      </c>
      <c r="CK1347" s="2">
        <v>21</v>
      </c>
      <c r="CL1347" s="2" t="s">
        <v>86</v>
      </c>
      <c r="CM1347" s="2"/>
    </row>
    <row r="1348" spans="1:91">
      <c r="A1348" s="2" t="s">
        <v>71</v>
      </c>
      <c r="B1348" s="2" t="s">
        <v>72</v>
      </c>
      <c r="C1348" s="2" t="s">
        <v>73</v>
      </c>
      <c r="D1348" s="2"/>
      <c r="E1348" s="2" t="str">
        <f>"FES1162564796D"</f>
        <v>FES1162564796D</v>
      </c>
      <c r="F1348" s="3">
        <v>42942</v>
      </c>
      <c r="G1348" s="2">
        <v>201802</v>
      </c>
      <c r="H1348" s="2" t="s">
        <v>74</v>
      </c>
      <c r="I1348" s="2" t="s">
        <v>75</v>
      </c>
      <c r="J1348" s="2" t="s">
        <v>118</v>
      </c>
      <c r="K1348" s="2" t="s">
        <v>77</v>
      </c>
      <c r="L1348" s="2" t="s">
        <v>2054</v>
      </c>
      <c r="M1348" s="2" t="s">
        <v>2055</v>
      </c>
      <c r="N1348" s="2" t="s">
        <v>2056</v>
      </c>
      <c r="O1348" s="2" t="s">
        <v>100</v>
      </c>
      <c r="P1348" s="2" t="str">
        <f>"                              "</f>
        <v xml:space="preserve">           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3.63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1</v>
      </c>
      <c r="BJ1348" s="2">
        <v>0.2</v>
      </c>
      <c r="BK1348" s="2">
        <v>1</v>
      </c>
      <c r="BL1348" s="2">
        <v>41.07</v>
      </c>
      <c r="BM1348" s="2">
        <v>5.75</v>
      </c>
      <c r="BN1348" s="2">
        <v>46.82</v>
      </c>
      <c r="BO1348" s="2">
        <v>46.82</v>
      </c>
      <c r="BP1348" s="2"/>
      <c r="BQ1348" s="2" t="s">
        <v>83</v>
      </c>
      <c r="BR1348" s="2" t="s">
        <v>187</v>
      </c>
      <c r="BS1348" s="3">
        <v>42943</v>
      </c>
      <c r="BT1348" s="4">
        <v>0.60347222222222219</v>
      </c>
      <c r="BU1348" s="2" t="s">
        <v>2057</v>
      </c>
      <c r="BV1348" s="2" t="s">
        <v>95</v>
      </c>
      <c r="BW1348" s="2"/>
      <c r="BX1348" s="2"/>
      <c r="BY1348" s="2">
        <v>1200</v>
      </c>
      <c r="BZ1348" s="2"/>
      <c r="CA1348" s="2" t="s">
        <v>668</v>
      </c>
      <c r="CB1348" s="2"/>
      <c r="CC1348" s="2" t="s">
        <v>2055</v>
      </c>
      <c r="CD1348" s="2">
        <v>3760</v>
      </c>
      <c r="CE1348" s="2" t="s">
        <v>104</v>
      </c>
      <c r="CF1348" s="5">
        <v>42944</v>
      </c>
      <c r="CG1348" s="2"/>
      <c r="CH1348" s="2"/>
      <c r="CI1348" s="2">
        <v>1</v>
      </c>
      <c r="CJ1348" s="2">
        <v>1</v>
      </c>
      <c r="CK1348" s="2">
        <v>21</v>
      </c>
      <c r="CL1348" s="2" t="s">
        <v>86</v>
      </c>
      <c r="CM1348" s="2"/>
    </row>
    <row r="1349" spans="1:91">
      <c r="A1349" s="2" t="s">
        <v>71</v>
      </c>
      <c r="B1349" s="2" t="s">
        <v>72</v>
      </c>
      <c r="C1349" s="2" t="s">
        <v>73</v>
      </c>
      <c r="D1349" s="2"/>
      <c r="E1349" s="2" t="str">
        <f>"FES1162568404"</f>
        <v>FES1162568404</v>
      </c>
      <c r="F1349" s="3">
        <v>42958</v>
      </c>
      <c r="G1349" s="2">
        <v>201802</v>
      </c>
      <c r="H1349" s="2" t="s">
        <v>74</v>
      </c>
      <c r="I1349" s="2" t="s">
        <v>75</v>
      </c>
      <c r="J1349" s="2" t="s">
        <v>76</v>
      </c>
      <c r="K1349" s="2" t="s">
        <v>77</v>
      </c>
      <c r="L1349" s="2" t="s">
        <v>105</v>
      </c>
      <c r="M1349" s="2" t="s">
        <v>106</v>
      </c>
      <c r="N1349" s="2" t="s">
        <v>2058</v>
      </c>
      <c r="O1349" s="2" t="s">
        <v>100</v>
      </c>
      <c r="P1349" s="2" t="str">
        <f>"2170584498                    "</f>
        <v xml:space="preserve">2170584498 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9.01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2.5</v>
      </c>
      <c r="BJ1349" s="2">
        <v>4.5</v>
      </c>
      <c r="BK1349" s="2">
        <v>4.5</v>
      </c>
      <c r="BL1349" s="2">
        <v>93.25</v>
      </c>
      <c r="BM1349" s="2">
        <v>13.06</v>
      </c>
      <c r="BN1349" s="2">
        <v>106.31</v>
      </c>
      <c r="BO1349" s="2">
        <v>106.31</v>
      </c>
      <c r="BP1349" s="2"/>
      <c r="BQ1349" s="2" t="s">
        <v>2059</v>
      </c>
      <c r="BR1349" s="2" t="s">
        <v>84</v>
      </c>
      <c r="BS1349" s="3">
        <v>42961</v>
      </c>
      <c r="BT1349" s="4">
        <v>0.4145833333333333</v>
      </c>
      <c r="BU1349" s="2" t="s">
        <v>2060</v>
      </c>
      <c r="BV1349" s="2" t="s">
        <v>95</v>
      </c>
      <c r="BW1349" s="2"/>
      <c r="BX1349" s="2"/>
      <c r="BY1349" s="2">
        <v>22477.1</v>
      </c>
      <c r="BZ1349" s="2"/>
      <c r="CA1349" s="2" t="s">
        <v>748</v>
      </c>
      <c r="CB1349" s="2"/>
      <c r="CC1349" s="2" t="s">
        <v>106</v>
      </c>
      <c r="CD1349" s="2">
        <v>7441</v>
      </c>
      <c r="CE1349" s="2" t="s">
        <v>89</v>
      </c>
      <c r="CF1349" s="5">
        <v>42962</v>
      </c>
      <c r="CG1349" s="2"/>
      <c r="CH1349" s="2"/>
      <c r="CI1349" s="2">
        <v>1</v>
      </c>
      <c r="CJ1349" s="2">
        <v>1</v>
      </c>
      <c r="CK1349" s="2">
        <v>21</v>
      </c>
      <c r="CL1349" s="2" t="s">
        <v>86</v>
      </c>
      <c r="CM1349" s="2"/>
    </row>
    <row r="1350" spans="1:91">
      <c r="A1350" s="2" t="s">
        <v>71</v>
      </c>
      <c r="B1350" s="2" t="s">
        <v>72</v>
      </c>
      <c r="C1350" s="2" t="s">
        <v>73</v>
      </c>
      <c r="D1350" s="2"/>
      <c r="E1350" s="2" t="str">
        <f>"FES1162564797D"</f>
        <v>FES1162564797D</v>
      </c>
      <c r="F1350" s="3">
        <v>42942</v>
      </c>
      <c r="G1350" s="2">
        <v>201802</v>
      </c>
      <c r="H1350" s="2" t="s">
        <v>74</v>
      </c>
      <c r="I1350" s="2" t="s">
        <v>75</v>
      </c>
      <c r="J1350" s="2" t="s">
        <v>118</v>
      </c>
      <c r="K1350" s="2" t="s">
        <v>77</v>
      </c>
      <c r="L1350" s="2" t="s">
        <v>149</v>
      </c>
      <c r="M1350" s="2" t="s">
        <v>150</v>
      </c>
      <c r="N1350" s="2" t="s">
        <v>1655</v>
      </c>
      <c r="O1350" s="2" t="s">
        <v>100</v>
      </c>
      <c r="P1350" s="2" t="str">
        <f>"                              "</f>
        <v xml:space="preserve">          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3.63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1</v>
      </c>
      <c r="BJ1350" s="2">
        <v>0.2</v>
      </c>
      <c r="BK1350" s="2">
        <v>1</v>
      </c>
      <c r="BL1350" s="2">
        <v>41.07</v>
      </c>
      <c r="BM1350" s="2">
        <v>5.75</v>
      </c>
      <c r="BN1350" s="2">
        <v>46.82</v>
      </c>
      <c r="BO1350" s="2">
        <v>46.82</v>
      </c>
      <c r="BP1350" s="2"/>
      <c r="BQ1350" s="2" t="s">
        <v>83</v>
      </c>
      <c r="BR1350" s="2" t="s">
        <v>187</v>
      </c>
      <c r="BS1350" s="3">
        <v>42943</v>
      </c>
      <c r="BT1350" s="4">
        <v>0.35902777777777778</v>
      </c>
      <c r="BU1350" s="2" t="s">
        <v>1657</v>
      </c>
      <c r="BV1350" s="2" t="s">
        <v>95</v>
      </c>
      <c r="BW1350" s="2"/>
      <c r="BX1350" s="2"/>
      <c r="BY1350" s="2">
        <v>1200</v>
      </c>
      <c r="BZ1350" s="2"/>
      <c r="CA1350" s="2" t="s">
        <v>774</v>
      </c>
      <c r="CB1350" s="2"/>
      <c r="CC1350" s="2" t="s">
        <v>150</v>
      </c>
      <c r="CD1350" s="2">
        <v>4051</v>
      </c>
      <c r="CE1350" s="2" t="s">
        <v>104</v>
      </c>
      <c r="CF1350" s="5">
        <v>42944</v>
      </c>
      <c r="CG1350" s="2"/>
      <c r="CH1350" s="2"/>
      <c r="CI1350" s="2">
        <v>1</v>
      </c>
      <c r="CJ1350" s="2">
        <v>1</v>
      </c>
      <c r="CK1350" s="2">
        <v>21</v>
      </c>
      <c r="CL1350" s="2" t="s">
        <v>86</v>
      </c>
      <c r="CM1350" s="2"/>
    </row>
    <row r="1351" spans="1:91">
      <c r="A1351" s="2" t="s">
        <v>71</v>
      </c>
      <c r="B1351" s="2" t="s">
        <v>72</v>
      </c>
      <c r="C1351" s="2" t="s">
        <v>73</v>
      </c>
      <c r="D1351" s="2"/>
      <c r="E1351" s="2" t="str">
        <f>"FES1162568356"</f>
        <v>FES1162568356</v>
      </c>
      <c r="F1351" s="3">
        <v>42958</v>
      </c>
      <c r="G1351" s="2">
        <v>201802</v>
      </c>
      <c r="H1351" s="2" t="s">
        <v>74</v>
      </c>
      <c r="I1351" s="2" t="s">
        <v>75</v>
      </c>
      <c r="J1351" s="2" t="s">
        <v>76</v>
      </c>
      <c r="K1351" s="2" t="s">
        <v>77</v>
      </c>
      <c r="L1351" s="2" t="s">
        <v>97</v>
      </c>
      <c r="M1351" s="2" t="s">
        <v>98</v>
      </c>
      <c r="N1351" s="2" t="s">
        <v>292</v>
      </c>
      <c r="O1351" s="2" t="s">
        <v>100</v>
      </c>
      <c r="P1351" s="2" t="str">
        <f>"2170584443                    "</f>
        <v xml:space="preserve">2170584443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11.01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1</v>
      </c>
      <c r="BI1351" s="2">
        <v>0.8</v>
      </c>
      <c r="BJ1351" s="2">
        <v>5.3</v>
      </c>
      <c r="BK1351" s="2">
        <v>5.5</v>
      </c>
      <c r="BL1351" s="2">
        <v>113.97</v>
      </c>
      <c r="BM1351" s="2">
        <v>15.96</v>
      </c>
      <c r="BN1351" s="2">
        <v>129.93</v>
      </c>
      <c r="BO1351" s="2">
        <v>129.93</v>
      </c>
      <c r="BP1351" s="2">
        <v>1</v>
      </c>
      <c r="BQ1351" s="2" t="s">
        <v>83</v>
      </c>
      <c r="BR1351" s="2" t="s">
        <v>84</v>
      </c>
      <c r="BS1351" s="3">
        <v>42961</v>
      </c>
      <c r="BT1351" s="4">
        <v>0.31944444444444448</v>
      </c>
      <c r="BU1351" s="2" t="s">
        <v>1288</v>
      </c>
      <c r="BV1351" s="2" t="s">
        <v>95</v>
      </c>
      <c r="BW1351" s="2"/>
      <c r="BX1351" s="2"/>
      <c r="BY1351" s="2">
        <v>26446.45</v>
      </c>
      <c r="BZ1351" s="2"/>
      <c r="CA1351" s="2" t="s">
        <v>294</v>
      </c>
      <c r="CB1351" s="2"/>
      <c r="CC1351" s="2" t="s">
        <v>98</v>
      </c>
      <c r="CD1351" s="2">
        <v>6001</v>
      </c>
      <c r="CE1351" s="2" t="s">
        <v>104</v>
      </c>
      <c r="CF1351" s="5">
        <v>42962</v>
      </c>
      <c r="CG1351" s="2"/>
      <c r="CH1351" s="2"/>
      <c r="CI1351" s="2">
        <v>1</v>
      </c>
      <c r="CJ1351" s="2">
        <v>1</v>
      </c>
      <c r="CK1351" s="2">
        <v>21</v>
      </c>
      <c r="CL1351" s="2" t="s">
        <v>86</v>
      </c>
      <c r="CM1351" s="2"/>
    </row>
    <row r="1352" spans="1:91">
      <c r="A1352" s="2" t="s">
        <v>71</v>
      </c>
      <c r="B1352" s="2" t="s">
        <v>72</v>
      </c>
      <c r="C1352" s="2" t="s">
        <v>73</v>
      </c>
      <c r="D1352" s="2"/>
      <c r="E1352" s="2" t="str">
        <f>"FES1162564798D"</f>
        <v>FES1162564798D</v>
      </c>
      <c r="F1352" s="3">
        <v>42942</v>
      </c>
      <c r="G1352" s="2">
        <v>201802</v>
      </c>
      <c r="H1352" s="2" t="s">
        <v>74</v>
      </c>
      <c r="I1352" s="2" t="s">
        <v>75</v>
      </c>
      <c r="J1352" s="2" t="s">
        <v>118</v>
      </c>
      <c r="K1352" s="2" t="s">
        <v>77</v>
      </c>
      <c r="L1352" s="2" t="s">
        <v>268</v>
      </c>
      <c r="M1352" s="2" t="s">
        <v>269</v>
      </c>
      <c r="N1352" s="2" t="s">
        <v>432</v>
      </c>
      <c r="O1352" s="2" t="s">
        <v>100</v>
      </c>
      <c r="P1352" s="2" t="str">
        <f>"                              "</f>
        <v xml:space="preserve">          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5.44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1.4</v>
      </c>
      <c r="BJ1352" s="2">
        <v>2.6</v>
      </c>
      <c r="BK1352" s="2">
        <v>3</v>
      </c>
      <c r="BL1352" s="2">
        <v>61.6</v>
      </c>
      <c r="BM1352" s="2">
        <v>8.6199999999999992</v>
      </c>
      <c r="BN1352" s="2">
        <v>70.22</v>
      </c>
      <c r="BO1352" s="2">
        <v>70.22</v>
      </c>
      <c r="BP1352" s="2"/>
      <c r="BQ1352" s="2" t="s">
        <v>83</v>
      </c>
      <c r="BR1352" s="2" t="s">
        <v>187</v>
      </c>
      <c r="BS1352" s="3">
        <v>42943</v>
      </c>
      <c r="BT1352" s="4">
        <v>0.51527777777777783</v>
      </c>
      <c r="BU1352" s="2" t="s">
        <v>2061</v>
      </c>
      <c r="BV1352" s="2" t="s">
        <v>86</v>
      </c>
      <c r="BW1352" s="2"/>
      <c r="BX1352" s="2"/>
      <c r="BY1352" s="2">
        <v>12987.86</v>
      </c>
      <c r="BZ1352" s="2"/>
      <c r="CA1352" s="2" t="s">
        <v>981</v>
      </c>
      <c r="CB1352" s="2"/>
      <c r="CC1352" s="2" t="s">
        <v>269</v>
      </c>
      <c r="CD1352" s="2">
        <v>117</v>
      </c>
      <c r="CE1352" s="2" t="s">
        <v>104</v>
      </c>
      <c r="CF1352" s="5">
        <v>42944</v>
      </c>
      <c r="CG1352" s="2"/>
      <c r="CH1352" s="2"/>
      <c r="CI1352" s="2">
        <v>1</v>
      </c>
      <c r="CJ1352" s="2">
        <v>1</v>
      </c>
      <c r="CK1352" s="2">
        <v>21</v>
      </c>
      <c r="CL1352" s="2" t="s">
        <v>86</v>
      </c>
      <c r="CM1352" s="2"/>
    </row>
    <row r="1353" spans="1:91">
      <c r="A1353" s="2" t="s">
        <v>71</v>
      </c>
      <c r="B1353" s="2" t="s">
        <v>72</v>
      </c>
      <c r="C1353" s="2" t="s">
        <v>73</v>
      </c>
      <c r="D1353" s="2"/>
      <c r="E1353" s="2" t="str">
        <f>"FES1162568302"</f>
        <v>FES1162568302</v>
      </c>
      <c r="F1353" s="3">
        <v>42958</v>
      </c>
      <c r="G1353" s="2">
        <v>201802</v>
      </c>
      <c r="H1353" s="2" t="s">
        <v>74</v>
      </c>
      <c r="I1353" s="2" t="s">
        <v>75</v>
      </c>
      <c r="J1353" s="2" t="s">
        <v>76</v>
      </c>
      <c r="K1353" s="2" t="s">
        <v>77</v>
      </c>
      <c r="L1353" s="2" t="s">
        <v>144</v>
      </c>
      <c r="M1353" s="2" t="s">
        <v>145</v>
      </c>
      <c r="N1353" s="2" t="s">
        <v>2062</v>
      </c>
      <c r="O1353" s="2" t="s">
        <v>358</v>
      </c>
      <c r="P1353" s="2" t="str">
        <f>"2170584420                    "</f>
        <v xml:space="preserve">2170584420 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5.93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1</v>
      </c>
      <c r="BI1353" s="2">
        <v>15.7</v>
      </c>
      <c r="BJ1353" s="2">
        <v>9.1</v>
      </c>
      <c r="BK1353" s="2">
        <v>16</v>
      </c>
      <c r="BL1353" s="2">
        <v>61.42</v>
      </c>
      <c r="BM1353" s="2">
        <v>8.6</v>
      </c>
      <c r="BN1353" s="2">
        <v>70.02</v>
      </c>
      <c r="BO1353" s="2">
        <v>70.02</v>
      </c>
      <c r="BP1353" s="2"/>
      <c r="BQ1353" s="2" t="s">
        <v>83</v>
      </c>
      <c r="BR1353" s="2" t="s">
        <v>84</v>
      </c>
      <c r="BS1353" s="3">
        <v>42961</v>
      </c>
      <c r="BT1353" s="4">
        <v>0.43055555555555558</v>
      </c>
      <c r="BU1353" s="2" t="s">
        <v>2063</v>
      </c>
      <c r="BV1353" s="2" t="s">
        <v>95</v>
      </c>
      <c r="BW1353" s="2"/>
      <c r="BX1353" s="2"/>
      <c r="BY1353" s="2">
        <v>45505.45</v>
      </c>
      <c r="BZ1353" s="2"/>
      <c r="CA1353" s="2" t="s">
        <v>1355</v>
      </c>
      <c r="CB1353" s="2"/>
      <c r="CC1353" s="2" t="s">
        <v>145</v>
      </c>
      <c r="CD1353" s="2">
        <v>2091</v>
      </c>
      <c r="CE1353" s="2" t="s">
        <v>89</v>
      </c>
      <c r="CF1353" s="5">
        <v>42962</v>
      </c>
      <c r="CG1353" s="2"/>
      <c r="CH1353" s="2"/>
      <c r="CI1353" s="2">
        <v>1</v>
      </c>
      <c r="CJ1353" s="2">
        <v>1</v>
      </c>
      <c r="CK1353" s="2">
        <v>32</v>
      </c>
      <c r="CL1353" s="2" t="s">
        <v>86</v>
      </c>
      <c r="CM1353" s="2"/>
    </row>
    <row r="1354" spans="1:91">
      <c r="A1354" s="2" t="s">
        <v>71</v>
      </c>
      <c r="B1354" s="2" t="s">
        <v>72</v>
      </c>
      <c r="C1354" s="2" t="s">
        <v>73</v>
      </c>
      <c r="D1354" s="2"/>
      <c r="E1354" s="2" t="str">
        <f>"FES1162564799D"</f>
        <v>FES1162564799D</v>
      </c>
      <c r="F1354" s="3">
        <v>42942</v>
      </c>
      <c r="G1354" s="2">
        <v>201802</v>
      </c>
      <c r="H1354" s="2" t="s">
        <v>74</v>
      </c>
      <c r="I1354" s="2" t="s">
        <v>75</v>
      </c>
      <c r="J1354" s="2" t="s">
        <v>118</v>
      </c>
      <c r="K1354" s="2" t="s">
        <v>77</v>
      </c>
      <c r="L1354" s="2" t="s">
        <v>97</v>
      </c>
      <c r="M1354" s="2" t="s">
        <v>98</v>
      </c>
      <c r="N1354" s="2" t="s">
        <v>1544</v>
      </c>
      <c r="O1354" s="2" t="s">
        <v>100</v>
      </c>
      <c r="P1354" s="2" t="str">
        <f>"                              "</f>
        <v xml:space="preserve">          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3.63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</v>
      </c>
      <c r="BJ1354" s="2">
        <v>0.2</v>
      </c>
      <c r="BK1354" s="2">
        <v>1</v>
      </c>
      <c r="BL1354" s="2">
        <v>41.07</v>
      </c>
      <c r="BM1354" s="2">
        <v>5.75</v>
      </c>
      <c r="BN1354" s="2">
        <v>46.82</v>
      </c>
      <c r="BO1354" s="2">
        <v>46.82</v>
      </c>
      <c r="BP1354" s="2"/>
      <c r="BQ1354" s="2" t="s">
        <v>83</v>
      </c>
      <c r="BR1354" s="2" t="s">
        <v>187</v>
      </c>
      <c r="BS1354" s="3">
        <v>42943</v>
      </c>
      <c r="BT1354" s="4">
        <v>0.29652777777777778</v>
      </c>
      <c r="BU1354" s="2" t="s">
        <v>2064</v>
      </c>
      <c r="BV1354" s="2" t="s">
        <v>95</v>
      </c>
      <c r="BW1354" s="2"/>
      <c r="BX1354" s="2"/>
      <c r="BY1354" s="2">
        <v>1200</v>
      </c>
      <c r="BZ1354" s="2"/>
      <c r="CA1354" s="2" t="s">
        <v>2065</v>
      </c>
      <c r="CB1354" s="2"/>
      <c r="CC1354" s="2" t="s">
        <v>98</v>
      </c>
      <c r="CD1354" s="2">
        <v>6045</v>
      </c>
      <c r="CE1354" s="2" t="s">
        <v>104</v>
      </c>
      <c r="CF1354" s="5">
        <v>42944</v>
      </c>
      <c r="CG1354" s="2"/>
      <c r="CH1354" s="2"/>
      <c r="CI1354" s="2">
        <v>1</v>
      </c>
      <c r="CJ1354" s="2">
        <v>1</v>
      </c>
      <c r="CK1354" s="2">
        <v>21</v>
      </c>
      <c r="CL1354" s="2" t="s">
        <v>86</v>
      </c>
      <c r="CM1354" s="2"/>
    </row>
    <row r="1355" spans="1:91">
      <c r="A1355" s="2" t="s">
        <v>71</v>
      </c>
      <c r="B1355" s="2" t="s">
        <v>72</v>
      </c>
      <c r="C1355" s="2" t="s">
        <v>73</v>
      </c>
      <c r="D1355" s="2"/>
      <c r="E1355" s="2" t="str">
        <f>"FES1162568257"</f>
        <v>FES1162568257</v>
      </c>
      <c r="F1355" s="3">
        <v>42958</v>
      </c>
      <c r="G1355" s="2">
        <v>201802</v>
      </c>
      <c r="H1355" s="2" t="s">
        <v>74</v>
      </c>
      <c r="I1355" s="2" t="s">
        <v>75</v>
      </c>
      <c r="J1355" s="2" t="s">
        <v>76</v>
      </c>
      <c r="K1355" s="2" t="s">
        <v>77</v>
      </c>
      <c r="L1355" s="2" t="s">
        <v>97</v>
      </c>
      <c r="M1355" s="2" t="s">
        <v>98</v>
      </c>
      <c r="N1355" s="2" t="s">
        <v>248</v>
      </c>
      <c r="O1355" s="2" t="s">
        <v>358</v>
      </c>
      <c r="P1355" s="2" t="str">
        <f>"2170579562                    "</f>
        <v xml:space="preserve">2170579562                   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31.89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1</v>
      </c>
      <c r="BI1355" s="2">
        <v>16.2</v>
      </c>
      <c r="BJ1355" s="2">
        <v>3.6</v>
      </c>
      <c r="BK1355" s="2">
        <v>17</v>
      </c>
      <c r="BL1355" s="2">
        <v>330.24</v>
      </c>
      <c r="BM1355" s="2">
        <v>46.23</v>
      </c>
      <c r="BN1355" s="2">
        <v>376.47</v>
      </c>
      <c r="BO1355" s="2">
        <v>376.47</v>
      </c>
      <c r="BP1355" s="2"/>
      <c r="BQ1355" s="2" t="s">
        <v>83</v>
      </c>
      <c r="BR1355" s="2" t="s">
        <v>84</v>
      </c>
      <c r="BS1355" s="3">
        <v>42961</v>
      </c>
      <c r="BT1355" s="4">
        <v>0.33333333333333331</v>
      </c>
      <c r="BU1355" s="2" t="s">
        <v>390</v>
      </c>
      <c r="BV1355" s="2" t="s">
        <v>95</v>
      </c>
      <c r="BW1355" s="2"/>
      <c r="BX1355" s="2"/>
      <c r="BY1355" s="2">
        <v>18118.099999999999</v>
      </c>
      <c r="BZ1355" s="2"/>
      <c r="CA1355" s="2" t="s">
        <v>294</v>
      </c>
      <c r="CB1355" s="2"/>
      <c r="CC1355" s="2" t="s">
        <v>98</v>
      </c>
      <c r="CD1355" s="2">
        <v>6001</v>
      </c>
      <c r="CE1355" s="2" t="s">
        <v>89</v>
      </c>
      <c r="CF1355" s="5">
        <v>42962</v>
      </c>
      <c r="CG1355" s="2"/>
      <c r="CH1355" s="2"/>
      <c r="CI1355" s="2">
        <v>1</v>
      </c>
      <c r="CJ1355" s="2">
        <v>1</v>
      </c>
      <c r="CK1355" s="2">
        <v>31</v>
      </c>
      <c r="CL1355" s="2" t="s">
        <v>86</v>
      </c>
      <c r="CM1355" s="2"/>
    </row>
    <row r="1356" spans="1:91">
      <c r="A1356" s="2" t="s">
        <v>71</v>
      </c>
      <c r="B1356" s="2" t="s">
        <v>72</v>
      </c>
      <c r="C1356" s="2" t="s">
        <v>73</v>
      </c>
      <c r="D1356" s="2"/>
      <c r="E1356" s="2" t="str">
        <f>"FES1162564801D"</f>
        <v>FES1162564801D</v>
      </c>
      <c r="F1356" s="3">
        <v>42942</v>
      </c>
      <c r="G1356" s="2">
        <v>201802</v>
      </c>
      <c r="H1356" s="2" t="s">
        <v>74</v>
      </c>
      <c r="I1356" s="2" t="s">
        <v>75</v>
      </c>
      <c r="J1356" s="2" t="s">
        <v>118</v>
      </c>
      <c r="K1356" s="2" t="s">
        <v>77</v>
      </c>
      <c r="L1356" s="2" t="s">
        <v>105</v>
      </c>
      <c r="M1356" s="2" t="s">
        <v>106</v>
      </c>
      <c r="N1356" s="2" t="s">
        <v>2066</v>
      </c>
      <c r="O1356" s="2" t="s">
        <v>100</v>
      </c>
      <c r="P1356" s="2" t="str">
        <f>"                              "</f>
        <v xml:space="preserve">          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3.63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1</v>
      </c>
      <c r="BI1356" s="2">
        <v>1</v>
      </c>
      <c r="BJ1356" s="2">
        <v>0.2</v>
      </c>
      <c r="BK1356" s="2">
        <v>1</v>
      </c>
      <c r="BL1356" s="2">
        <v>41.07</v>
      </c>
      <c r="BM1356" s="2">
        <v>5.75</v>
      </c>
      <c r="BN1356" s="2">
        <v>46.82</v>
      </c>
      <c r="BO1356" s="2">
        <v>46.82</v>
      </c>
      <c r="BP1356" s="2"/>
      <c r="BQ1356" s="2" t="s">
        <v>83</v>
      </c>
      <c r="BR1356" s="2" t="s">
        <v>187</v>
      </c>
      <c r="BS1356" s="3">
        <v>42943</v>
      </c>
      <c r="BT1356" s="4">
        <v>0.51041666666666663</v>
      </c>
      <c r="BU1356" s="2" t="s">
        <v>2067</v>
      </c>
      <c r="BV1356" s="2" t="s">
        <v>86</v>
      </c>
      <c r="BW1356" s="2"/>
      <c r="BX1356" s="2"/>
      <c r="BY1356" s="2">
        <v>1200</v>
      </c>
      <c r="BZ1356" s="2"/>
      <c r="CA1356" s="2" t="s">
        <v>302</v>
      </c>
      <c r="CB1356" s="2"/>
      <c r="CC1356" s="2" t="s">
        <v>106</v>
      </c>
      <c r="CD1356" s="2">
        <v>7580</v>
      </c>
      <c r="CE1356" s="2" t="s">
        <v>104</v>
      </c>
      <c r="CF1356" s="5">
        <v>42944</v>
      </c>
      <c r="CG1356" s="2"/>
      <c r="CH1356" s="2"/>
      <c r="CI1356" s="2">
        <v>1</v>
      </c>
      <c r="CJ1356" s="2">
        <v>1</v>
      </c>
      <c r="CK1356" s="2">
        <v>21</v>
      </c>
      <c r="CL1356" s="2" t="s">
        <v>86</v>
      </c>
      <c r="CM1356" s="2"/>
    </row>
    <row r="1357" spans="1:91">
      <c r="A1357" s="2" t="s">
        <v>71</v>
      </c>
      <c r="B1357" s="2" t="s">
        <v>72</v>
      </c>
      <c r="C1357" s="2" t="s">
        <v>73</v>
      </c>
      <c r="D1357" s="2"/>
      <c r="E1357" s="2" t="str">
        <f>"FES1162567809"</f>
        <v>FES1162567809</v>
      </c>
      <c r="F1357" s="3">
        <v>42958</v>
      </c>
      <c r="G1357" s="2">
        <v>201802</v>
      </c>
      <c r="H1357" s="2" t="s">
        <v>74</v>
      </c>
      <c r="I1357" s="2" t="s">
        <v>75</v>
      </c>
      <c r="J1357" s="2" t="s">
        <v>76</v>
      </c>
      <c r="K1357" s="2" t="s">
        <v>77</v>
      </c>
      <c r="L1357" s="2" t="s">
        <v>756</v>
      </c>
      <c r="M1357" s="2" t="s">
        <v>757</v>
      </c>
      <c r="N1357" s="2" t="s">
        <v>758</v>
      </c>
      <c r="O1357" s="2" t="s">
        <v>100</v>
      </c>
      <c r="P1357" s="2" t="str">
        <f>"2170583558                    "</f>
        <v xml:space="preserve">2170583558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9.51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1</v>
      </c>
      <c r="BI1357" s="2">
        <v>2.5</v>
      </c>
      <c r="BJ1357" s="2">
        <v>1.1000000000000001</v>
      </c>
      <c r="BK1357" s="2">
        <v>2.5</v>
      </c>
      <c r="BL1357" s="2">
        <v>98.43</v>
      </c>
      <c r="BM1357" s="2">
        <v>13.78</v>
      </c>
      <c r="BN1357" s="2">
        <v>112.21</v>
      </c>
      <c r="BO1357" s="2">
        <v>112.21</v>
      </c>
      <c r="BP1357" s="2"/>
      <c r="BQ1357" s="2" t="s">
        <v>288</v>
      </c>
      <c r="BR1357" s="2" t="s">
        <v>84</v>
      </c>
      <c r="BS1357" s="3">
        <v>42961</v>
      </c>
      <c r="BT1357" s="4">
        <v>0.5</v>
      </c>
      <c r="BU1357" s="2" t="s">
        <v>1884</v>
      </c>
      <c r="BV1357" s="2" t="s">
        <v>95</v>
      </c>
      <c r="BW1357" s="2"/>
      <c r="BX1357" s="2"/>
      <c r="BY1357" s="2">
        <v>5628.81</v>
      </c>
      <c r="BZ1357" s="2"/>
      <c r="CA1357" s="2" t="s">
        <v>1885</v>
      </c>
      <c r="CB1357" s="2"/>
      <c r="CC1357" s="2" t="s">
        <v>757</v>
      </c>
      <c r="CD1357" s="2">
        <v>4276</v>
      </c>
      <c r="CE1357" s="2" t="s">
        <v>89</v>
      </c>
      <c r="CF1357" s="5">
        <v>42962</v>
      </c>
      <c r="CG1357" s="2"/>
      <c r="CH1357" s="2"/>
      <c r="CI1357" s="2">
        <v>1</v>
      </c>
      <c r="CJ1357" s="2">
        <v>1</v>
      </c>
      <c r="CK1357" s="2">
        <v>23</v>
      </c>
      <c r="CL1357" s="2" t="s">
        <v>86</v>
      </c>
      <c r="CM1357" s="2"/>
    </row>
    <row r="1358" spans="1:91">
      <c r="A1358" s="2" t="s">
        <v>71</v>
      </c>
      <c r="B1358" s="2" t="s">
        <v>72</v>
      </c>
      <c r="C1358" s="2" t="s">
        <v>73</v>
      </c>
      <c r="D1358" s="2"/>
      <c r="E1358" s="2" t="str">
        <f>"FES1162564802D"</f>
        <v>FES1162564802D</v>
      </c>
      <c r="F1358" s="3">
        <v>42942</v>
      </c>
      <c r="G1358" s="2">
        <v>201802</v>
      </c>
      <c r="H1358" s="2" t="s">
        <v>74</v>
      </c>
      <c r="I1358" s="2" t="s">
        <v>75</v>
      </c>
      <c r="J1358" s="2" t="s">
        <v>118</v>
      </c>
      <c r="K1358" s="2" t="s">
        <v>77</v>
      </c>
      <c r="L1358" s="2" t="s">
        <v>144</v>
      </c>
      <c r="M1358" s="2" t="s">
        <v>145</v>
      </c>
      <c r="N1358" s="2" t="s">
        <v>146</v>
      </c>
      <c r="O1358" s="2" t="s">
        <v>100</v>
      </c>
      <c r="P1358" s="2" t="str">
        <f>"                              "</f>
        <v xml:space="preserve">          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2.83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1</v>
      </c>
      <c r="BI1358" s="2">
        <v>2</v>
      </c>
      <c r="BJ1358" s="2">
        <v>1.8</v>
      </c>
      <c r="BK1358" s="2">
        <v>2</v>
      </c>
      <c r="BL1358" s="2">
        <v>32.08</v>
      </c>
      <c r="BM1358" s="2">
        <v>4.49</v>
      </c>
      <c r="BN1358" s="2">
        <v>36.57</v>
      </c>
      <c r="BO1358" s="2">
        <v>36.57</v>
      </c>
      <c r="BP1358" s="2"/>
      <c r="BQ1358" s="2" t="s">
        <v>83</v>
      </c>
      <c r="BR1358" s="2" t="s">
        <v>187</v>
      </c>
      <c r="BS1358" s="3">
        <v>42943</v>
      </c>
      <c r="BT1358" s="4">
        <v>0.38680555555555557</v>
      </c>
      <c r="BU1358" s="2" t="s">
        <v>1176</v>
      </c>
      <c r="BV1358" s="2" t="s">
        <v>95</v>
      </c>
      <c r="BW1358" s="2"/>
      <c r="BX1358" s="2"/>
      <c r="BY1358" s="2">
        <v>8948.61</v>
      </c>
      <c r="BZ1358" s="2"/>
      <c r="CA1358" s="2" t="s">
        <v>729</v>
      </c>
      <c r="CB1358" s="2"/>
      <c r="CC1358" s="2" t="s">
        <v>145</v>
      </c>
      <c r="CD1358" s="2">
        <v>2094</v>
      </c>
      <c r="CE1358" s="2" t="s">
        <v>104</v>
      </c>
      <c r="CF1358" s="5">
        <v>42944</v>
      </c>
      <c r="CG1358" s="2"/>
      <c r="CH1358" s="2"/>
      <c r="CI1358" s="2">
        <v>1</v>
      </c>
      <c r="CJ1358" s="2">
        <v>1</v>
      </c>
      <c r="CK1358" s="2">
        <v>22</v>
      </c>
      <c r="CL1358" s="2" t="s">
        <v>86</v>
      </c>
      <c r="CM1358" s="2"/>
    </row>
    <row r="1359" spans="1:91">
      <c r="A1359" s="2" t="s">
        <v>71</v>
      </c>
      <c r="B1359" s="2" t="s">
        <v>72</v>
      </c>
      <c r="C1359" s="2" t="s">
        <v>73</v>
      </c>
      <c r="D1359" s="2"/>
      <c r="E1359" s="2" t="str">
        <f>"FES1162564806D"</f>
        <v>FES1162564806D</v>
      </c>
      <c r="F1359" s="3">
        <v>42942</v>
      </c>
      <c r="G1359" s="2">
        <v>201802</v>
      </c>
      <c r="H1359" s="2" t="s">
        <v>74</v>
      </c>
      <c r="I1359" s="2" t="s">
        <v>75</v>
      </c>
      <c r="J1359" s="2" t="s">
        <v>118</v>
      </c>
      <c r="K1359" s="2" t="s">
        <v>77</v>
      </c>
      <c r="L1359" s="2" t="s">
        <v>144</v>
      </c>
      <c r="M1359" s="2" t="s">
        <v>145</v>
      </c>
      <c r="N1359" s="2" t="s">
        <v>2068</v>
      </c>
      <c r="O1359" s="2" t="s">
        <v>100</v>
      </c>
      <c r="P1359" s="2" t="str">
        <f>"                              "</f>
        <v xml:space="preserve">           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5.0999999999999996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</v>
      </c>
      <c r="BJ1359" s="2">
        <v>0.2</v>
      </c>
      <c r="BK1359" s="2">
        <v>1</v>
      </c>
      <c r="BL1359" s="2">
        <v>57.75</v>
      </c>
      <c r="BM1359" s="2">
        <v>8.09</v>
      </c>
      <c r="BN1359" s="2">
        <v>65.84</v>
      </c>
      <c r="BO1359" s="2">
        <v>65.84</v>
      </c>
      <c r="BP1359" s="2"/>
      <c r="BQ1359" s="2" t="s">
        <v>108</v>
      </c>
      <c r="BR1359" s="2" t="s">
        <v>187</v>
      </c>
      <c r="BS1359" s="3">
        <v>42944</v>
      </c>
      <c r="BT1359" s="4">
        <v>0.55902777777777779</v>
      </c>
      <c r="BU1359" s="2" t="s">
        <v>2069</v>
      </c>
      <c r="BV1359" s="2" t="s">
        <v>86</v>
      </c>
      <c r="BW1359" s="2"/>
      <c r="BX1359" s="2"/>
      <c r="BY1359" s="2">
        <v>1200</v>
      </c>
      <c r="BZ1359" s="2"/>
      <c r="CA1359" s="2"/>
      <c r="CB1359" s="2"/>
      <c r="CC1359" s="2" t="s">
        <v>145</v>
      </c>
      <c r="CD1359" s="2">
        <v>1438</v>
      </c>
      <c r="CE1359" s="2" t="s">
        <v>104</v>
      </c>
      <c r="CF1359" s="5">
        <v>42947</v>
      </c>
      <c r="CG1359" s="2"/>
      <c r="CH1359" s="2"/>
      <c r="CI1359" s="2">
        <v>1</v>
      </c>
      <c r="CJ1359" s="2">
        <v>2</v>
      </c>
      <c r="CK1359" s="2">
        <v>24</v>
      </c>
      <c r="CL1359" s="2" t="s">
        <v>86</v>
      </c>
      <c r="CM1359" s="2"/>
    </row>
    <row r="1360" spans="1:91">
      <c r="A1360" s="2" t="s">
        <v>71</v>
      </c>
      <c r="B1360" s="2" t="s">
        <v>72</v>
      </c>
      <c r="C1360" s="2" t="s">
        <v>73</v>
      </c>
      <c r="D1360" s="2"/>
      <c r="E1360" s="2" t="str">
        <f>"FES1162568271"</f>
        <v>FES1162568271</v>
      </c>
      <c r="F1360" s="3">
        <v>42958</v>
      </c>
      <c r="G1360" s="2">
        <v>201802</v>
      </c>
      <c r="H1360" s="2" t="s">
        <v>74</v>
      </c>
      <c r="I1360" s="2" t="s">
        <v>75</v>
      </c>
      <c r="J1360" s="2" t="s">
        <v>76</v>
      </c>
      <c r="K1360" s="2" t="s">
        <v>77</v>
      </c>
      <c r="L1360" s="2" t="s">
        <v>144</v>
      </c>
      <c r="M1360" s="2" t="s">
        <v>145</v>
      </c>
      <c r="N1360" s="2" t="s">
        <v>146</v>
      </c>
      <c r="O1360" s="2" t="s">
        <v>100</v>
      </c>
      <c r="P1360" s="2" t="str">
        <f>"2170582720                    "</f>
        <v xml:space="preserve">2170582720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3.13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1.9</v>
      </c>
      <c r="BJ1360" s="2">
        <v>1</v>
      </c>
      <c r="BK1360" s="2">
        <v>2</v>
      </c>
      <c r="BL1360" s="2">
        <v>32.380000000000003</v>
      </c>
      <c r="BM1360" s="2">
        <v>4.53</v>
      </c>
      <c r="BN1360" s="2">
        <v>36.909999999999997</v>
      </c>
      <c r="BO1360" s="2">
        <v>36.909999999999997</v>
      </c>
      <c r="BP1360" s="2"/>
      <c r="BQ1360" s="2" t="s">
        <v>83</v>
      </c>
      <c r="BR1360" s="2" t="s">
        <v>84</v>
      </c>
      <c r="BS1360" s="3">
        <v>42961</v>
      </c>
      <c r="BT1360" s="4">
        <v>0.38541666666666669</v>
      </c>
      <c r="BU1360" s="2" t="s">
        <v>1893</v>
      </c>
      <c r="BV1360" s="2" t="s">
        <v>95</v>
      </c>
      <c r="BW1360" s="2"/>
      <c r="BX1360" s="2"/>
      <c r="BY1360" s="2">
        <v>4932.38</v>
      </c>
      <c r="BZ1360" s="2"/>
      <c r="CA1360" s="2" t="s">
        <v>274</v>
      </c>
      <c r="CB1360" s="2"/>
      <c r="CC1360" s="2" t="s">
        <v>145</v>
      </c>
      <c r="CD1360" s="2">
        <v>2094</v>
      </c>
      <c r="CE1360" s="2" t="s">
        <v>89</v>
      </c>
      <c r="CF1360" s="5">
        <v>42962</v>
      </c>
      <c r="CG1360" s="2"/>
      <c r="CH1360" s="2"/>
      <c r="CI1360" s="2">
        <v>1</v>
      </c>
      <c r="CJ1360" s="2">
        <v>1</v>
      </c>
      <c r="CK1360" s="2">
        <v>22</v>
      </c>
      <c r="CL1360" s="2" t="s">
        <v>86</v>
      </c>
      <c r="CM1360" s="2"/>
    </row>
    <row r="1361" spans="1:91">
      <c r="A1361" s="2" t="s">
        <v>71</v>
      </c>
      <c r="B1361" s="2" t="s">
        <v>72</v>
      </c>
      <c r="C1361" s="2" t="s">
        <v>73</v>
      </c>
      <c r="D1361" s="2"/>
      <c r="E1361" s="2" t="str">
        <f>"FES1162564808D"</f>
        <v>FES1162564808D</v>
      </c>
      <c r="F1361" s="3">
        <v>42942</v>
      </c>
      <c r="G1361" s="2">
        <v>201802</v>
      </c>
      <c r="H1361" s="2" t="s">
        <v>74</v>
      </c>
      <c r="I1361" s="2" t="s">
        <v>75</v>
      </c>
      <c r="J1361" s="2" t="s">
        <v>118</v>
      </c>
      <c r="K1361" s="2" t="s">
        <v>77</v>
      </c>
      <c r="L1361" s="2" t="s">
        <v>221</v>
      </c>
      <c r="M1361" s="2" t="s">
        <v>222</v>
      </c>
      <c r="N1361" s="2" t="s">
        <v>415</v>
      </c>
      <c r="O1361" s="2" t="s">
        <v>100</v>
      </c>
      <c r="P1361" s="2" t="str">
        <f>"                              "</f>
        <v xml:space="preserve">          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3.63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1</v>
      </c>
      <c r="BJ1361" s="2">
        <v>0.2</v>
      </c>
      <c r="BK1361" s="2">
        <v>1</v>
      </c>
      <c r="BL1361" s="2">
        <v>41.07</v>
      </c>
      <c r="BM1361" s="2">
        <v>5.75</v>
      </c>
      <c r="BN1361" s="2">
        <v>46.82</v>
      </c>
      <c r="BO1361" s="2">
        <v>46.82</v>
      </c>
      <c r="BP1361" s="2"/>
      <c r="BQ1361" s="2" t="s">
        <v>108</v>
      </c>
      <c r="BR1361" s="2" t="s">
        <v>187</v>
      </c>
      <c r="BS1361" s="3">
        <v>42943</v>
      </c>
      <c r="BT1361" s="4">
        <v>0.3527777777777778</v>
      </c>
      <c r="BU1361" s="2" t="s">
        <v>933</v>
      </c>
      <c r="BV1361" s="2" t="s">
        <v>95</v>
      </c>
      <c r="BW1361" s="2"/>
      <c r="BX1361" s="2"/>
      <c r="BY1361" s="2">
        <v>1200</v>
      </c>
      <c r="BZ1361" s="2"/>
      <c r="CA1361" s="2" t="s">
        <v>225</v>
      </c>
      <c r="CB1361" s="2"/>
      <c r="CC1361" s="2" t="s">
        <v>222</v>
      </c>
      <c r="CD1361" s="2">
        <v>4302</v>
      </c>
      <c r="CE1361" s="2" t="s">
        <v>104</v>
      </c>
      <c r="CF1361" s="5">
        <v>42944</v>
      </c>
      <c r="CG1361" s="2"/>
      <c r="CH1361" s="2"/>
      <c r="CI1361" s="2">
        <v>1</v>
      </c>
      <c r="CJ1361" s="2">
        <v>1</v>
      </c>
      <c r="CK1361" s="2">
        <v>21</v>
      </c>
      <c r="CL1361" s="2" t="s">
        <v>86</v>
      </c>
      <c r="CM1361" s="2"/>
    </row>
    <row r="1362" spans="1:91">
      <c r="A1362" s="2" t="s">
        <v>71</v>
      </c>
      <c r="B1362" s="2" t="s">
        <v>72</v>
      </c>
      <c r="C1362" s="2" t="s">
        <v>73</v>
      </c>
      <c r="D1362" s="2"/>
      <c r="E1362" s="2" t="str">
        <f>"FES1162564810D"</f>
        <v>FES1162564810D</v>
      </c>
      <c r="F1362" s="3">
        <v>42942</v>
      </c>
      <c r="G1362" s="2">
        <v>201802</v>
      </c>
      <c r="H1362" s="2" t="s">
        <v>74</v>
      </c>
      <c r="I1362" s="2" t="s">
        <v>75</v>
      </c>
      <c r="J1362" s="2" t="s">
        <v>118</v>
      </c>
      <c r="K1362" s="2" t="s">
        <v>77</v>
      </c>
      <c r="L1362" s="2" t="s">
        <v>174</v>
      </c>
      <c r="M1362" s="2" t="s">
        <v>175</v>
      </c>
      <c r="N1362" s="2" t="s">
        <v>930</v>
      </c>
      <c r="O1362" s="2" t="s">
        <v>100</v>
      </c>
      <c r="P1362" s="2" t="str">
        <f>"                              "</f>
        <v xml:space="preserve">          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3.63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2</v>
      </c>
      <c r="BJ1362" s="2">
        <v>0.2</v>
      </c>
      <c r="BK1362" s="2">
        <v>2</v>
      </c>
      <c r="BL1362" s="2">
        <v>41.07</v>
      </c>
      <c r="BM1362" s="2">
        <v>5.75</v>
      </c>
      <c r="BN1362" s="2">
        <v>46.82</v>
      </c>
      <c r="BO1362" s="2">
        <v>46.82</v>
      </c>
      <c r="BP1362" s="2"/>
      <c r="BQ1362" s="2" t="s">
        <v>83</v>
      </c>
      <c r="BR1362" s="2" t="s">
        <v>187</v>
      </c>
      <c r="BS1362" s="3">
        <v>42943</v>
      </c>
      <c r="BT1362" s="4">
        <v>0.44444444444444442</v>
      </c>
      <c r="BU1362" s="2" t="s">
        <v>1372</v>
      </c>
      <c r="BV1362" s="2" t="s">
        <v>95</v>
      </c>
      <c r="BW1362" s="2"/>
      <c r="BX1362" s="2"/>
      <c r="BY1362" s="2">
        <v>1200</v>
      </c>
      <c r="BZ1362" s="2"/>
      <c r="CA1362" s="2" t="s">
        <v>1373</v>
      </c>
      <c r="CB1362" s="2"/>
      <c r="CC1362" s="2" t="s">
        <v>175</v>
      </c>
      <c r="CD1362" s="2">
        <v>5201</v>
      </c>
      <c r="CE1362" s="2" t="s">
        <v>104</v>
      </c>
      <c r="CF1362" s="5">
        <v>42944</v>
      </c>
      <c r="CG1362" s="2"/>
      <c r="CH1362" s="2"/>
      <c r="CI1362" s="2">
        <v>1</v>
      </c>
      <c r="CJ1362" s="2">
        <v>1</v>
      </c>
      <c r="CK1362" s="2">
        <v>21</v>
      </c>
      <c r="CL1362" s="2" t="s">
        <v>86</v>
      </c>
      <c r="CM1362" s="2"/>
    </row>
    <row r="1363" spans="1:91">
      <c r="A1363" s="2" t="s">
        <v>71</v>
      </c>
      <c r="B1363" s="2" t="s">
        <v>72</v>
      </c>
      <c r="C1363" s="2" t="s">
        <v>73</v>
      </c>
      <c r="D1363" s="2"/>
      <c r="E1363" s="2" t="str">
        <f>"FES1162564811D"</f>
        <v>FES1162564811D</v>
      </c>
      <c r="F1363" s="3">
        <v>42942</v>
      </c>
      <c r="G1363" s="2">
        <v>201802</v>
      </c>
      <c r="H1363" s="2" t="s">
        <v>74</v>
      </c>
      <c r="I1363" s="2" t="s">
        <v>75</v>
      </c>
      <c r="J1363" s="2" t="s">
        <v>118</v>
      </c>
      <c r="K1363" s="2" t="s">
        <v>77</v>
      </c>
      <c r="L1363" s="2" t="s">
        <v>353</v>
      </c>
      <c r="M1363" s="2" t="s">
        <v>354</v>
      </c>
      <c r="N1363" s="2" t="s">
        <v>686</v>
      </c>
      <c r="O1363" s="2" t="s">
        <v>100</v>
      </c>
      <c r="P1363" s="2" t="str">
        <f>"                              "</f>
        <v xml:space="preserve">           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3.63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1</v>
      </c>
      <c r="BJ1363" s="2">
        <v>0.2</v>
      </c>
      <c r="BK1363" s="2">
        <v>1</v>
      </c>
      <c r="BL1363" s="2">
        <v>41.07</v>
      </c>
      <c r="BM1363" s="2">
        <v>5.75</v>
      </c>
      <c r="BN1363" s="2">
        <v>46.82</v>
      </c>
      <c r="BO1363" s="2">
        <v>46.82</v>
      </c>
      <c r="BP1363" s="2"/>
      <c r="BQ1363" s="2" t="s">
        <v>108</v>
      </c>
      <c r="BR1363" s="2" t="s">
        <v>187</v>
      </c>
      <c r="BS1363" s="3">
        <v>42943</v>
      </c>
      <c r="BT1363" s="4">
        <v>0.4375</v>
      </c>
      <c r="BU1363" s="2" t="s">
        <v>2070</v>
      </c>
      <c r="BV1363" s="2" t="s">
        <v>95</v>
      </c>
      <c r="BW1363" s="2"/>
      <c r="BX1363" s="2"/>
      <c r="BY1363" s="2">
        <v>1200</v>
      </c>
      <c r="BZ1363" s="2"/>
      <c r="CA1363" s="2"/>
      <c r="CB1363" s="2"/>
      <c r="CC1363" s="2" t="s">
        <v>354</v>
      </c>
      <c r="CD1363" s="2">
        <v>3699</v>
      </c>
      <c r="CE1363" s="2" t="s">
        <v>104</v>
      </c>
      <c r="CF1363" s="5">
        <v>42944</v>
      </c>
      <c r="CG1363" s="2"/>
      <c r="CH1363" s="2"/>
      <c r="CI1363" s="2">
        <v>1</v>
      </c>
      <c r="CJ1363" s="2">
        <v>1</v>
      </c>
      <c r="CK1363" s="2">
        <v>21</v>
      </c>
      <c r="CL1363" s="2" t="s">
        <v>86</v>
      </c>
      <c r="CM1363" s="2"/>
    </row>
    <row r="1364" spans="1:91">
      <c r="A1364" s="2" t="s">
        <v>71</v>
      </c>
      <c r="B1364" s="2" t="s">
        <v>72</v>
      </c>
      <c r="C1364" s="2" t="s">
        <v>73</v>
      </c>
      <c r="D1364" s="2"/>
      <c r="E1364" s="2" t="str">
        <f>"FES1162568396"</f>
        <v>FES1162568396</v>
      </c>
      <c r="F1364" s="3">
        <v>42958</v>
      </c>
      <c r="G1364" s="2">
        <v>201802</v>
      </c>
      <c r="H1364" s="2" t="s">
        <v>74</v>
      </c>
      <c r="I1364" s="2" t="s">
        <v>75</v>
      </c>
      <c r="J1364" s="2" t="s">
        <v>76</v>
      </c>
      <c r="K1364" s="2" t="s">
        <v>77</v>
      </c>
      <c r="L1364" s="2" t="s">
        <v>97</v>
      </c>
      <c r="M1364" s="2" t="s">
        <v>98</v>
      </c>
      <c r="N1364" s="2" t="s">
        <v>214</v>
      </c>
      <c r="O1364" s="2" t="s">
        <v>100</v>
      </c>
      <c r="P1364" s="2" t="str">
        <f>"2170584486                    "</f>
        <v xml:space="preserve">2170584486  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4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1.3</v>
      </c>
      <c r="BJ1364" s="2">
        <v>1.8</v>
      </c>
      <c r="BK1364" s="2">
        <v>2</v>
      </c>
      <c r="BL1364" s="2">
        <v>41.44</v>
      </c>
      <c r="BM1364" s="2">
        <v>5.8</v>
      </c>
      <c r="BN1364" s="2">
        <v>47.24</v>
      </c>
      <c r="BO1364" s="2">
        <v>47.24</v>
      </c>
      <c r="BP1364" s="2"/>
      <c r="BQ1364" s="2" t="s">
        <v>108</v>
      </c>
      <c r="BR1364" s="2" t="s">
        <v>84</v>
      </c>
      <c r="BS1364" s="3">
        <v>42961</v>
      </c>
      <c r="BT1364" s="4">
        <v>0.30763888888888891</v>
      </c>
      <c r="BU1364" s="2" t="s">
        <v>1131</v>
      </c>
      <c r="BV1364" s="2" t="s">
        <v>95</v>
      </c>
      <c r="BW1364" s="2"/>
      <c r="BX1364" s="2"/>
      <c r="BY1364" s="2">
        <v>8806.64</v>
      </c>
      <c r="BZ1364" s="2"/>
      <c r="CA1364" s="2" t="s">
        <v>213</v>
      </c>
      <c r="CB1364" s="2"/>
      <c r="CC1364" s="2" t="s">
        <v>98</v>
      </c>
      <c r="CD1364" s="2">
        <v>6001</v>
      </c>
      <c r="CE1364" s="2" t="s">
        <v>89</v>
      </c>
      <c r="CF1364" s="5">
        <v>42962</v>
      </c>
      <c r="CG1364" s="2"/>
      <c r="CH1364" s="2"/>
      <c r="CI1364" s="2">
        <v>1</v>
      </c>
      <c r="CJ1364" s="2">
        <v>1</v>
      </c>
      <c r="CK1364" s="2">
        <v>21</v>
      </c>
      <c r="CL1364" s="2" t="s">
        <v>86</v>
      </c>
      <c r="CM1364" s="2"/>
    </row>
    <row r="1365" spans="1:91">
      <c r="A1365" s="2" t="s">
        <v>71</v>
      </c>
      <c r="B1365" s="2" t="s">
        <v>72</v>
      </c>
      <c r="C1365" s="2" t="s">
        <v>73</v>
      </c>
      <c r="D1365" s="2"/>
      <c r="E1365" s="2" t="str">
        <f>"FES1162564814D"</f>
        <v>FES1162564814D</v>
      </c>
      <c r="F1365" s="3">
        <v>42942</v>
      </c>
      <c r="G1365" s="2">
        <v>201802</v>
      </c>
      <c r="H1365" s="2" t="s">
        <v>74</v>
      </c>
      <c r="I1365" s="2" t="s">
        <v>75</v>
      </c>
      <c r="J1365" s="2" t="s">
        <v>118</v>
      </c>
      <c r="K1365" s="2" t="s">
        <v>77</v>
      </c>
      <c r="L1365" s="2" t="s">
        <v>74</v>
      </c>
      <c r="M1365" s="2" t="s">
        <v>75</v>
      </c>
      <c r="N1365" s="2" t="s">
        <v>985</v>
      </c>
      <c r="O1365" s="2" t="s">
        <v>100</v>
      </c>
      <c r="P1365" s="2" t="str">
        <f>"                              "</f>
        <v xml:space="preserve">          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2.83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1</v>
      </c>
      <c r="BI1365" s="2">
        <v>1</v>
      </c>
      <c r="BJ1365" s="2">
        <v>0.2</v>
      </c>
      <c r="BK1365" s="2">
        <v>1</v>
      </c>
      <c r="BL1365" s="2">
        <v>32.08</v>
      </c>
      <c r="BM1365" s="2">
        <v>4.49</v>
      </c>
      <c r="BN1365" s="2">
        <v>36.57</v>
      </c>
      <c r="BO1365" s="2">
        <v>36.57</v>
      </c>
      <c r="BP1365" s="2"/>
      <c r="BQ1365" s="2" t="s">
        <v>2071</v>
      </c>
      <c r="BR1365" s="2" t="s">
        <v>187</v>
      </c>
      <c r="BS1365" s="3">
        <v>42943</v>
      </c>
      <c r="BT1365" s="4">
        <v>0.32083333333333336</v>
      </c>
      <c r="BU1365" s="2" t="s">
        <v>2072</v>
      </c>
      <c r="BV1365" s="2" t="s">
        <v>95</v>
      </c>
      <c r="BW1365" s="2"/>
      <c r="BX1365" s="2"/>
      <c r="BY1365" s="2">
        <v>1200</v>
      </c>
      <c r="BZ1365" s="2"/>
      <c r="CA1365" s="2" t="s">
        <v>331</v>
      </c>
      <c r="CB1365" s="2"/>
      <c r="CC1365" s="2" t="s">
        <v>75</v>
      </c>
      <c r="CD1365" s="2">
        <v>1600</v>
      </c>
      <c r="CE1365" s="2" t="s">
        <v>104</v>
      </c>
      <c r="CF1365" s="5">
        <v>42944</v>
      </c>
      <c r="CG1365" s="2"/>
      <c r="CH1365" s="2"/>
      <c r="CI1365" s="2">
        <v>1</v>
      </c>
      <c r="CJ1365" s="2">
        <v>1</v>
      </c>
      <c r="CK1365" s="2">
        <v>22</v>
      </c>
      <c r="CL1365" s="2" t="s">
        <v>86</v>
      </c>
      <c r="CM1365" s="2"/>
    </row>
    <row r="1366" spans="1:91">
      <c r="A1366" s="2" t="s">
        <v>71</v>
      </c>
      <c r="B1366" s="2" t="s">
        <v>72</v>
      </c>
      <c r="C1366" s="2" t="s">
        <v>73</v>
      </c>
      <c r="D1366" s="2"/>
      <c r="E1366" s="2" t="str">
        <f>"FES1162568342"</f>
        <v>FES1162568342</v>
      </c>
      <c r="F1366" s="3">
        <v>42958</v>
      </c>
      <c r="G1366" s="2">
        <v>201802</v>
      </c>
      <c r="H1366" s="2" t="s">
        <v>74</v>
      </c>
      <c r="I1366" s="2" t="s">
        <v>75</v>
      </c>
      <c r="J1366" s="2" t="s">
        <v>76</v>
      </c>
      <c r="K1366" s="2" t="s">
        <v>77</v>
      </c>
      <c r="L1366" s="2" t="s">
        <v>105</v>
      </c>
      <c r="M1366" s="2" t="s">
        <v>106</v>
      </c>
      <c r="N1366" s="2" t="s">
        <v>851</v>
      </c>
      <c r="O1366" s="2" t="s">
        <v>100</v>
      </c>
      <c r="P1366" s="2" t="str">
        <f>"2170584427                    "</f>
        <v xml:space="preserve">2170584427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4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1.1000000000000001</v>
      </c>
      <c r="BJ1366" s="2">
        <v>1.5</v>
      </c>
      <c r="BK1366" s="2">
        <v>1.5</v>
      </c>
      <c r="BL1366" s="2">
        <v>41.44</v>
      </c>
      <c r="BM1366" s="2">
        <v>5.8</v>
      </c>
      <c r="BN1366" s="2">
        <v>47.24</v>
      </c>
      <c r="BO1366" s="2">
        <v>47.24</v>
      </c>
      <c r="BP1366" s="2"/>
      <c r="BQ1366" s="2" t="s">
        <v>2073</v>
      </c>
      <c r="BR1366" s="2" t="s">
        <v>84</v>
      </c>
      <c r="BS1366" s="3">
        <v>42961</v>
      </c>
      <c r="BT1366" s="4">
        <v>0.48819444444444443</v>
      </c>
      <c r="BU1366" s="2" t="s">
        <v>2074</v>
      </c>
      <c r="BV1366" s="2" t="s">
        <v>86</v>
      </c>
      <c r="BW1366" s="2" t="s">
        <v>115</v>
      </c>
      <c r="BX1366" s="2" t="s">
        <v>116</v>
      </c>
      <c r="BY1366" s="2">
        <v>7413</v>
      </c>
      <c r="BZ1366" s="2"/>
      <c r="CA1366" s="2" t="s">
        <v>255</v>
      </c>
      <c r="CB1366" s="2"/>
      <c r="CC1366" s="2" t="s">
        <v>106</v>
      </c>
      <c r="CD1366" s="2">
        <v>7800</v>
      </c>
      <c r="CE1366" s="2" t="s">
        <v>104</v>
      </c>
      <c r="CF1366" s="5">
        <v>42962</v>
      </c>
      <c r="CG1366" s="2"/>
      <c r="CH1366" s="2"/>
      <c r="CI1366" s="2">
        <v>1</v>
      </c>
      <c r="CJ1366" s="2">
        <v>1</v>
      </c>
      <c r="CK1366" s="2">
        <v>21</v>
      </c>
      <c r="CL1366" s="2" t="s">
        <v>86</v>
      </c>
      <c r="CM1366" s="2"/>
    </row>
    <row r="1367" spans="1:91">
      <c r="A1367" s="2" t="s">
        <v>71</v>
      </c>
      <c r="B1367" s="2" t="s">
        <v>72</v>
      </c>
      <c r="C1367" s="2" t="s">
        <v>73</v>
      </c>
      <c r="D1367" s="2"/>
      <c r="E1367" s="2" t="str">
        <f>"FES1162564824D"</f>
        <v>FES1162564824D</v>
      </c>
      <c r="F1367" s="3">
        <v>42942</v>
      </c>
      <c r="G1367" s="2">
        <v>201802</v>
      </c>
      <c r="H1367" s="2" t="s">
        <v>74</v>
      </c>
      <c r="I1367" s="2" t="s">
        <v>75</v>
      </c>
      <c r="J1367" s="2" t="s">
        <v>118</v>
      </c>
      <c r="K1367" s="2" t="s">
        <v>77</v>
      </c>
      <c r="L1367" s="2" t="s">
        <v>105</v>
      </c>
      <c r="M1367" s="2" t="s">
        <v>106</v>
      </c>
      <c r="N1367" s="2" t="s">
        <v>253</v>
      </c>
      <c r="O1367" s="2" t="s">
        <v>100</v>
      </c>
      <c r="P1367" s="2" t="str">
        <f>"                              "</f>
        <v xml:space="preserve">           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5.44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1</v>
      </c>
      <c r="BI1367" s="2">
        <v>3</v>
      </c>
      <c r="BJ1367" s="2">
        <v>0.9</v>
      </c>
      <c r="BK1367" s="2">
        <v>3</v>
      </c>
      <c r="BL1367" s="2">
        <v>61.6</v>
      </c>
      <c r="BM1367" s="2">
        <v>8.6199999999999992</v>
      </c>
      <c r="BN1367" s="2">
        <v>70.22</v>
      </c>
      <c r="BO1367" s="2">
        <v>70.22</v>
      </c>
      <c r="BP1367" s="2"/>
      <c r="BQ1367" s="2" t="s">
        <v>83</v>
      </c>
      <c r="BR1367" s="2" t="s">
        <v>187</v>
      </c>
      <c r="BS1367" s="3">
        <v>42943</v>
      </c>
      <c r="BT1367" s="4">
        <v>0.42499999999999999</v>
      </c>
      <c r="BU1367" s="2" t="s">
        <v>1074</v>
      </c>
      <c r="BV1367" s="2" t="s">
        <v>95</v>
      </c>
      <c r="BW1367" s="2"/>
      <c r="BX1367" s="2"/>
      <c r="BY1367" s="2">
        <v>4500</v>
      </c>
      <c r="BZ1367" s="2"/>
      <c r="CA1367" s="2" t="s">
        <v>654</v>
      </c>
      <c r="CB1367" s="2"/>
      <c r="CC1367" s="2" t="s">
        <v>106</v>
      </c>
      <c r="CD1367" s="2">
        <v>7490</v>
      </c>
      <c r="CE1367" s="2" t="s">
        <v>89</v>
      </c>
      <c r="CF1367" s="5">
        <v>42944</v>
      </c>
      <c r="CG1367" s="2"/>
      <c r="CH1367" s="2"/>
      <c r="CI1367" s="2">
        <v>1</v>
      </c>
      <c r="CJ1367" s="2">
        <v>1</v>
      </c>
      <c r="CK1367" s="2">
        <v>21</v>
      </c>
      <c r="CL1367" s="2" t="s">
        <v>86</v>
      </c>
      <c r="CM1367" s="2"/>
    </row>
    <row r="1368" spans="1:91">
      <c r="A1368" s="2" t="s">
        <v>71</v>
      </c>
      <c r="B1368" s="2" t="s">
        <v>72</v>
      </c>
      <c r="C1368" s="2" t="s">
        <v>73</v>
      </c>
      <c r="D1368" s="2"/>
      <c r="E1368" s="2" t="str">
        <f>"FES1162568295"</f>
        <v>FES1162568295</v>
      </c>
      <c r="F1368" s="3">
        <v>42958</v>
      </c>
      <c r="G1368" s="2">
        <v>201802</v>
      </c>
      <c r="H1368" s="2" t="s">
        <v>74</v>
      </c>
      <c r="I1368" s="2" t="s">
        <v>75</v>
      </c>
      <c r="J1368" s="2" t="s">
        <v>76</v>
      </c>
      <c r="K1368" s="2" t="s">
        <v>77</v>
      </c>
      <c r="L1368" s="2" t="s">
        <v>576</v>
      </c>
      <c r="M1368" s="2" t="s">
        <v>577</v>
      </c>
      <c r="N1368" s="2" t="s">
        <v>578</v>
      </c>
      <c r="O1368" s="2" t="s">
        <v>100</v>
      </c>
      <c r="P1368" s="2" t="str">
        <f>"2170584415                    "</f>
        <v xml:space="preserve">2170584415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9.51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1</v>
      </c>
      <c r="BI1368" s="2">
        <v>2.4</v>
      </c>
      <c r="BJ1368" s="2">
        <v>1.7</v>
      </c>
      <c r="BK1368" s="2">
        <v>2.5</v>
      </c>
      <c r="BL1368" s="2">
        <v>98.43</v>
      </c>
      <c r="BM1368" s="2">
        <v>13.78</v>
      </c>
      <c r="BN1368" s="2">
        <v>112.21</v>
      </c>
      <c r="BO1368" s="2">
        <v>112.21</v>
      </c>
      <c r="BP1368" s="2"/>
      <c r="BQ1368" s="2" t="s">
        <v>288</v>
      </c>
      <c r="BR1368" s="2" t="s">
        <v>84</v>
      </c>
      <c r="BS1368" s="3">
        <v>42961</v>
      </c>
      <c r="BT1368" s="4">
        <v>0.4284722222222222</v>
      </c>
      <c r="BU1368" s="2" t="s">
        <v>1910</v>
      </c>
      <c r="BV1368" s="2" t="s">
        <v>95</v>
      </c>
      <c r="BW1368" s="2"/>
      <c r="BX1368" s="2"/>
      <c r="BY1368" s="2">
        <v>8331.7000000000007</v>
      </c>
      <c r="BZ1368" s="2"/>
      <c r="CA1368" s="2" t="s">
        <v>1911</v>
      </c>
      <c r="CB1368" s="2"/>
      <c r="CC1368" s="2" t="s">
        <v>577</v>
      </c>
      <c r="CD1368" s="2">
        <v>3236</v>
      </c>
      <c r="CE1368" s="2" t="s">
        <v>104</v>
      </c>
      <c r="CF1368" s="5">
        <v>42963</v>
      </c>
      <c r="CG1368" s="2"/>
      <c r="CH1368" s="2"/>
      <c r="CI1368" s="2">
        <v>1</v>
      </c>
      <c r="CJ1368" s="2">
        <v>1</v>
      </c>
      <c r="CK1368" s="2">
        <v>23</v>
      </c>
      <c r="CL1368" s="2" t="s">
        <v>86</v>
      </c>
      <c r="CM1368" s="2"/>
    </row>
    <row r="1369" spans="1:91">
      <c r="A1369" s="2" t="s">
        <v>71</v>
      </c>
      <c r="B1369" s="2" t="s">
        <v>72</v>
      </c>
      <c r="C1369" s="2" t="s">
        <v>73</v>
      </c>
      <c r="D1369" s="2"/>
      <c r="E1369" s="2" t="str">
        <f>"FES1162564826D"</f>
        <v>FES1162564826D</v>
      </c>
      <c r="F1369" s="3">
        <v>42942</v>
      </c>
      <c r="G1369" s="2">
        <v>201802</v>
      </c>
      <c r="H1369" s="2" t="s">
        <v>74</v>
      </c>
      <c r="I1369" s="2" t="s">
        <v>75</v>
      </c>
      <c r="J1369" s="2" t="s">
        <v>118</v>
      </c>
      <c r="K1369" s="2" t="s">
        <v>77</v>
      </c>
      <c r="L1369" s="2" t="s">
        <v>128</v>
      </c>
      <c r="M1369" s="2" t="s">
        <v>129</v>
      </c>
      <c r="N1369" s="2" t="s">
        <v>2075</v>
      </c>
      <c r="O1369" s="2" t="s">
        <v>100</v>
      </c>
      <c r="P1369" s="2" t="str">
        <f>"                              "</f>
        <v xml:space="preserve">          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2.83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1</v>
      </c>
      <c r="BJ1369" s="2">
        <v>0.2</v>
      </c>
      <c r="BK1369" s="2">
        <v>1</v>
      </c>
      <c r="BL1369" s="2">
        <v>32.08</v>
      </c>
      <c r="BM1369" s="2">
        <v>4.49</v>
      </c>
      <c r="BN1369" s="2">
        <v>36.57</v>
      </c>
      <c r="BO1369" s="2">
        <v>36.57</v>
      </c>
      <c r="BP1369" s="2"/>
      <c r="BQ1369" s="2" t="s">
        <v>83</v>
      </c>
      <c r="BR1369" s="2" t="s">
        <v>187</v>
      </c>
      <c r="BS1369" s="3">
        <v>42943</v>
      </c>
      <c r="BT1369" s="4">
        <v>0.4055555555555555</v>
      </c>
      <c r="BU1369" s="2" t="s">
        <v>2076</v>
      </c>
      <c r="BV1369" s="2" t="s">
        <v>95</v>
      </c>
      <c r="BW1369" s="2"/>
      <c r="BX1369" s="2"/>
      <c r="BY1369" s="2">
        <v>1200</v>
      </c>
      <c r="BZ1369" s="2"/>
      <c r="CA1369" s="2" t="s">
        <v>923</v>
      </c>
      <c r="CB1369" s="2"/>
      <c r="CC1369" s="2" t="s">
        <v>129</v>
      </c>
      <c r="CD1369" s="2">
        <v>1709</v>
      </c>
      <c r="CE1369" s="2" t="s">
        <v>104</v>
      </c>
      <c r="CF1369" s="5">
        <v>42944</v>
      </c>
      <c r="CG1369" s="2"/>
      <c r="CH1369" s="2"/>
      <c r="CI1369" s="2">
        <v>1</v>
      </c>
      <c r="CJ1369" s="2">
        <v>1</v>
      </c>
      <c r="CK1369" s="2">
        <v>22</v>
      </c>
      <c r="CL1369" s="2" t="s">
        <v>86</v>
      </c>
      <c r="CM1369" s="2"/>
    </row>
    <row r="1370" spans="1:91">
      <c r="A1370" s="2" t="s">
        <v>71</v>
      </c>
      <c r="B1370" s="2" t="s">
        <v>72</v>
      </c>
      <c r="C1370" s="2" t="s">
        <v>73</v>
      </c>
      <c r="D1370" s="2"/>
      <c r="E1370" s="2" t="str">
        <f>"FES1162564829D"</f>
        <v>FES1162564829D</v>
      </c>
      <c r="F1370" s="3">
        <v>42942</v>
      </c>
      <c r="G1370" s="2">
        <v>201802</v>
      </c>
      <c r="H1370" s="2" t="s">
        <v>74</v>
      </c>
      <c r="I1370" s="2" t="s">
        <v>75</v>
      </c>
      <c r="J1370" s="2" t="s">
        <v>118</v>
      </c>
      <c r="K1370" s="2" t="s">
        <v>77</v>
      </c>
      <c r="L1370" s="2" t="s">
        <v>846</v>
      </c>
      <c r="M1370" s="2" t="s">
        <v>847</v>
      </c>
      <c r="N1370" s="2" t="s">
        <v>1017</v>
      </c>
      <c r="O1370" s="2" t="s">
        <v>100</v>
      </c>
      <c r="P1370" s="2" t="str">
        <f>"                              "</f>
        <v xml:space="preserve">          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7.03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1</v>
      </c>
      <c r="BI1370" s="2">
        <v>1</v>
      </c>
      <c r="BJ1370" s="2">
        <v>0.2</v>
      </c>
      <c r="BK1370" s="2">
        <v>1</v>
      </c>
      <c r="BL1370" s="2">
        <v>79.569999999999993</v>
      </c>
      <c r="BM1370" s="2">
        <v>11.14</v>
      </c>
      <c r="BN1370" s="2">
        <v>90.71</v>
      </c>
      <c r="BO1370" s="2">
        <v>90.71</v>
      </c>
      <c r="BP1370" s="2"/>
      <c r="BQ1370" s="2" t="s">
        <v>83</v>
      </c>
      <c r="BR1370" s="2" t="s">
        <v>187</v>
      </c>
      <c r="BS1370" s="3">
        <v>42943</v>
      </c>
      <c r="BT1370" s="4">
        <v>0.59513888888888888</v>
      </c>
      <c r="BU1370" s="2" t="s">
        <v>2077</v>
      </c>
      <c r="BV1370" s="2" t="s">
        <v>86</v>
      </c>
      <c r="BW1370" s="2"/>
      <c r="BX1370" s="2"/>
      <c r="BY1370" s="2">
        <v>1200</v>
      </c>
      <c r="BZ1370" s="2"/>
      <c r="CA1370" s="2" t="s">
        <v>850</v>
      </c>
      <c r="CB1370" s="2"/>
      <c r="CC1370" s="2" t="s">
        <v>847</v>
      </c>
      <c r="CD1370" s="2">
        <v>7349</v>
      </c>
      <c r="CE1370" s="2" t="s">
        <v>104</v>
      </c>
      <c r="CF1370" s="5">
        <v>42944</v>
      </c>
      <c r="CG1370" s="2"/>
      <c r="CH1370" s="2"/>
      <c r="CI1370" s="2">
        <v>1</v>
      </c>
      <c r="CJ1370" s="2">
        <v>1</v>
      </c>
      <c r="CK1370" s="2">
        <v>23</v>
      </c>
      <c r="CL1370" s="2" t="s">
        <v>86</v>
      </c>
      <c r="CM1370" s="2"/>
    </row>
    <row r="1371" spans="1:91">
      <c r="A1371" s="2" t="s">
        <v>71</v>
      </c>
      <c r="B1371" s="2" t="s">
        <v>72</v>
      </c>
      <c r="C1371" s="2" t="s">
        <v>73</v>
      </c>
      <c r="D1371" s="2"/>
      <c r="E1371" s="2" t="str">
        <f>"FES1162564830D"</f>
        <v>FES1162564830D</v>
      </c>
      <c r="F1371" s="3">
        <v>42942</v>
      </c>
      <c r="G1371" s="2">
        <v>201802</v>
      </c>
      <c r="H1371" s="2" t="s">
        <v>74</v>
      </c>
      <c r="I1371" s="2" t="s">
        <v>75</v>
      </c>
      <c r="J1371" s="2" t="s">
        <v>118</v>
      </c>
      <c r="K1371" s="2" t="s">
        <v>77</v>
      </c>
      <c r="L1371" s="2" t="s">
        <v>74</v>
      </c>
      <c r="M1371" s="2" t="s">
        <v>75</v>
      </c>
      <c r="N1371" s="2" t="s">
        <v>407</v>
      </c>
      <c r="O1371" s="2" t="s">
        <v>100</v>
      </c>
      <c r="P1371" s="2" t="str">
        <f>"                              "</f>
        <v xml:space="preserve">           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2.83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1</v>
      </c>
      <c r="BI1371" s="2">
        <v>1</v>
      </c>
      <c r="BJ1371" s="2">
        <v>0.2</v>
      </c>
      <c r="BK1371" s="2">
        <v>1</v>
      </c>
      <c r="BL1371" s="2">
        <v>32.08</v>
      </c>
      <c r="BM1371" s="2">
        <v>4.49</v>
      </c>
      <c r="BN1371" s="2">
        <v>36.57</v>
      </c>
      <c r="BO1371" s="2">
        <v>36.57</v>
      </c>
      <c r="BP1371" s="2"/>
      <c r="BQ1371" s="2" t="s">
        <v>108</v>
      </c>
      <c r="BR1371" s="2" t="s">
        <v>187</v>
      </c>
      <c r="BS1371" s="3">
        <v>42943</v>
      </c>
      <c r="BT1371" s="4">
        <v>0.33402777777777781</v>
      </c>
      <c r="BU1371" s="2" t="s">
        <v>935</v>
      </c>
      <c r="BV1371" s="2" t="s">
        <v>95</v>
      </c>
      <c r="BW1371" s="2"/>
      <c r="BX1371" s="2"/>
      <c r="BY1371" s="2">
        <v>1200</v>
      </c>
      <c r="BZ1371" s="2"/>
      <c r="CA1371" s="2" t="s">
        <v>267</v>
      </c>
      <c r="CB1371" s="2"/>
      <c r="CC1371" s="2" t="s">
        <v>75</v>
      </c>
      <c r="CD1371" s="2">
        <v>1645</v>
      </c>
      <c r="CE1371" s="2" t="s">
        <v>104</v>
      </c>
      <c r="CF1371" s="5">
        <v>42944</v>
      </c>
      <c r="CG1371" s="2"/>
      <c r="CH1371" s="2"/>
      <c r="CI1371" s="2">
        <v>1</v>
      </c>
      <c r="CJ1371" s="2">
        <v>1</v>
      </c>
      <c r="CK1371" s="2">
        <v>22</v>
      </c>
      <c r="CL1371" s="2" t="s">
        <v>86</v>
      </c>
      <c r="CM1371" s="2"/>
    </row>
    <row r="1372" spans="1:91">
      <c r="A1372" s="2" t="s">
        <v>71</v>
      </c>
      <c r="B1372" s="2" t="s">
        <v>72</v>
      </c>
      <c r="C1372" s="2" t="s">
        <v>73</v>
      </c>
      <c r="D1372" s="2"/>
      <c r="E1372" s="2" t="str">
        <f>"FES1162568333"</f>
        <v>FES1162568333</v>
      </c>
      <c r="F1372" s="3">
        <v>42958</v>
      </c>
      <c r="G1372" s="2">
        <v>201802</v>
      </c>
      <c r="H1372" s="2" t="s">
        <v>74</v>
      </c>
      <c r="I1372" s="2" t="s">
        <v>75</v>
      </c>
      <c r="J1372" s="2" t="s">
        <v>76</v>
      </c>
      <c r="K1372" s="2" t="s">
        <v>77</v>
      </c>
      <c r="L1372" s="2" t="s">
        <v>362</v>
      </c>
      <c r="M1372" s="2" t="s">
        <v>363</v>
      </c>
      <c r="N1372" s="2" t="s">
        <v>377</v>
      </c>
      <c r="O1372" s="2" t="s">
        <v>100</v>
      </c>
      <c r="P1372" s="2" t="str">
        <f>"2170582604                    "</f>
        <v xml:space="preserve">2170582604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6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2.8</v>
      </c>
      <c r="BJ1372" s="2">
        <v>2.1</v>
      </c>
      <c r="BK1372" s="2">
        <v>3</v>
      </c>
      <c r="BL1372" s="2">
        <v>62.16</v>
      </c>
      <c r="BM1372" s="2">
        <v>8.6999999999999993</v>
      </c>
      <c r="BN1372" s="2">
        <v>70.86</v>
      </c>
      <c r="BO1372" s="2">
        <v>70.86</v>
      </c>
      <c r="BP1372" s="2"/>
      <c r="BQ1372" s="2" t="s">
        <v>209</v>
      </c>
      <c r="BR1372" s="2" t="s">
        <v>84</v>
      </c>
      <c r="BS1372" s="3">
        <v>42961</v>
      </c>
      <c r="BT1372" s="4">
        <v>0.40972222222222227</v>
      </c>
      <c r="BU1372" s="2" t="s">
        <v>378</v>
      </c>
      <c r="BV1372" s="2" t="s">
        <v>95</v>
      </c>
      <c r="BW1372" s="2"/>
      <c r="BX1372" s="2"/>
      <c r="BY1372" s="2">
        <v>10521.58</v>
      </c>
      <c r="BZ1372" s="2"/>
      <c r="CA1372" s="2" t="s">
        <v>379</v>
      </c>
      <c r="CB1372" s="2"/>
      <c r="CC1372" s="2" t="s">
        <v>363</v>
      </c>
      <c r="CD1372" s="2">
        <v>3201</v>
      </c>
      <c r="CE1372" s="2" t="s">
        <v>104</v>
      </c>
      <c r="CF1372" s="5">
        <v>42962</v>
      </c>
      <c r="CG1372" s="2"/>
      <c r="CH1372" s="2"/>
      <c r="CI1372" s="2">
        <v>1</v>
      </c>
      <c r="CJ1372" s="2">
        <v>1</v>
      </c>
      <c r="CK1372" s="2">
        <v>21</v>
      </c>
      <c r="CL1372" s="2" t="s">
        <v>86</v>
      </c>
      <c r="CM1372" s="2"/>
    </row>
    <row r="1373" spans="1:91">
      <c r="A1373" s="2" t="s">
        <v>71</v>
      </c>
      <c r="B1373" s="2" t="s">
        <v>72</v>
      </c>
      <c r="C1373" s="2" t="s">
        <v>73</v>
      </c>
      <c r="D1373" s="2"/>
      <c r="E1373" s="2" t="str">
        <f>"FES1162564833D"</f>
        <v>FES1162564833D</v>
      </c>
      <c r="F1373" s="3">
        <v>42942</v>
      </c>
      <c r="G1373" s="2">
        <v>201802</v>
      </c>
      <c r="H1373" s="2" t="s">
        <v>74</v>
      </c>
      <c r="I1373" s="2" t="s">
        <v>75</v>
      </c>
      <c r="J1373" s="2" t="s">
        <v>118</v>
      </c>
      <c r="K1373" s="2" t="s">
        <v>77</v>
      </c>
      <c r="L1373" s="2" t="s">
        <v>149</v>
      </c>
      <c r="M1373" s="2" t="s">
        <v>150</v>
      </c>
      <c r="N1373" s="2" t="s">
        <v>1268</v>
      </c>
      <c r="O1373" s="2" t="s">
        <v>100</v>
      </c>
      <c r="P1373" s="2" t="str">
        <f>"                              "</f>
        <v xml:space="preserve">          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3.63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1</v>
      </c>
      <c r="BJ1373" s="2">
        <v>0.2</v>
      </c>
      <c r="BK1373" s="2">
        <v>1</v>
      </c>
      <c r="BL1373" s="2">
        <v>41.07</v>
      </c>
      <c r="BM1373" s="2">
        <v>5.75</v>
      </c>
      <c r="BN1373" s="2">
        <v>46.82</v>
      </c>
      <c r="BO1373" s="2">
        <v>46.82</v>
      </c>
      <c r="BP1373" s="2"/>
      <c r="BQ1373" s="2" t="s">
        <v>83</v>
      </c>
      <c r="BR1373" s="2" t="s">
        <v>187</v>
      </c>
      <c r="BS1373" s="3">
        <v>42943</v>
      </c>
      <c r="BT1373" s="4">
        <v>0.45763888888888887</v>
      </c>
      <c r="BU1373" s="2" t="s">
        <v>1269</v>
      </c>
      <c r="BV1373" s="2" t="s">
        <v>95</v>
      </c>
      <c r="BW1373" s="2"/>
      <c r="BX1373" s="2"/>
      <c r="BY1373" s="2">
        <v>1200</v>
      </c>
      <c r="BZ1373" s="2"/>
      <c r="CA1373" s="2" t="s">
        <v>682</v>
      </c>
      <c r="CB1373" s="2"/>
      <c r="CC1373" s="2" t="s">
        <v>150</v>
      </c>
      <c r="CD1373" s="2">
        <v>4001</v>
      </c>
      <c r="CE1373" s="2" t="s">
        <v>104</v>
      </c>
      <c r="CF1373" s="5">
        <v>42943</v>
      </c>
      <c r="CG1373" s="2"/>
      <c r="CH1373" s="2"/>
      <c r="CI1373" s="2">
        <v>1</v>
      </c>
      <c r="CJ1373" s="2">
        <v>1</v>
      </c>
      <c r="CK1373" s="2">
        <v>21</v>
      </c>
      <c r="CL1373" s="2" t="s">
        <v>86</v>
      </c>
      <c r="CM1373" s="2"/>
    </row>
    <row r="1374" spans="1:91">
      <c r="A1374" s="2" t="s">
        <v>71</v>
      </c>
      <c r="B1374" s="2" t="s">
        <v>72</v>
      </c>
      <c r="C1374" s="2" t="s">
        <v>73</v>
      </c>
      <c r="D1374" s="2"/>
      <c r="E1374" s="2" t="str">
        <f>"FES1162568254"</f>
        <v>FES1162568254</v>
      </c>
      <c r="F1374" s="3">
        <v>42958</v>
      </c>
      <c r="G1374" s="2">
        <v>201802</v>
      </c>
      <c r="H1374" s="2" t="s">
        <v>74</v>
      </c>
      <c r="I1374" s="2" t="s">
        <v>75</v>
      </c>
      <c r="J1374" s="2" t="s">
        <v>76</v>
      </c>
      <c r="K1374" s="2" t="s">
        <v>77</v>
      </c>
      <c r="L1374" s="2" t="s">
        <v>105</v>
      </c>
      <c r="M1374" s="2" t="s">
        <v>106</v>
      </c>
      <c r="N1374" s="2" t="s">
        <v>2078</v>
      </c>
      <c r="O1374" s="2" t="s">
        <v>100</v>
      </c>
      <c r="P1374" s="2" t="str">
        <f>"2170584388                    "</f>
        <v xml:space="preserve">2170584388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4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0.6</v>
      </c>
      <c r="BJ1374" s="2">
        <v>0.8</v>
      </c>
      <c r="BK1374" s="2">
        <v>1</v>
      </c>
      <c r="BL1374" s="2">
        <v>41.44</v>
      </c>
      <c r="BM1374" s="2">
        <v>5.8</v>
      </c>
      <c r="BN1374" s="2">
        <v>47.24</v>
      </c>
      <c r="BO1374" s="2">
        <v>47.24</v>
      </c>
      <c r="BP1374" s="2"/>
      <c r="BQ1374" s="2" t="s">
        <v>83</v>
      </c>
      <c r="BR1374" s="2" t="s">
        <v>84</v>
      </c>
      <c r="BS1374" s="3">
        <v>42961</v>
      </c>
      <c r="BT1374" s="4">
        <v>0.30555555555555552</v>
      </c>
      <c r="BU1374" s="2" t="s">
        <v>2079</v>
      </c>
      <c r="BV1374" s="2" t="s">
        <v>95</v>
      </c>
      <c r="BW1374" s="2"/>
      <c r="BX1374" s="2"/>
      <c r="BY1374" s="2">
        <v>4195.99</v>
      </c>
      <c r="BZ1374" s="2"/>
      <c r="CA1374" s="2" t="s">
        <v>148</v>
      </c>
      <c r="CB1374" s="2"/>
      <c r="CC1374" s="2" t="s">
        <v>106</v>
      </c>
      <c r="CD1374" s="2">
        <v>7530</v>
      </c>
      <c r="CE1374" s="2" t="s">
        <v>89</v>
      </c>
      <c r="CF1374" s="5">
        <v>42962</v>
      </c>
      <c r="CG1374" s="2"/>
      <c r="CH1374" s="2"/>
      <c r="CI1374" s="2">
        <v>1</v>
      </c>
      <c r="CJ1374" s="2">
        <v>1</v>
      </c>
      <c r="CK1374" s="2">
        <v>21</v>
      </c>
      <c r="CL1374" s="2" t="s">
        <v>86</v>
      </c>
      <c r="CM1374" s="2"/>
    </row>
    <row r="1375" spans="1:91">
      <c r="A1375" s="2" t="s">
        <v>71</v>
      </c>
      <c r="B1375" s="2" t="s">
        <v>72</v>
      </c>
      <c r="C1375" s="2" t="s">
        <v>73</v>
      </c>
      <c r="D1375" s="2"/>
      <c r="E1375" s="2" t="str">
        <f>"FES1162564834D"</f>
        <v>FES1162564834D</v>
      </c>
      <c r="F1375" s="3">
        <v>42942</v>
      </c>
      <c r="G1375" s="2">
        <v>201802</v>
      </c>
      <c r="H1375" s="2" t="s">
        <v>74</v>
      </c>
      <c r="I1375" s="2" t="s">
        <v>75</v>
      </c>
      <c r="J1375" s="2" t="s">
        <v>118</v>
      </c>
      <c r="K1375" s="2" t="s">
        <v>77</v>
      </c>
      <c r="L1375" s="2" t="s">
        <v>237</v>
      </c>
      <c r="M1375" s="2" t="s">
        <v>238</v>
      </c>
      <c r="N1375" s="2" t="s">
        <v>2080</v>
      </c>
      <c r="O1375" s="2" t="s">
        <v>100</v>
      </c>
      <c r="P1375" s="2" t="str">
        <f>"                              "</f>
        <v xml:space="preserve">           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3.63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0.5</v>
      </c>
      <c r="BJ1375" s="2">
        <v>1.3</v>
      </c>
      <c r="BK1375" s="2">
        <v>1.5</v>
      </c>
      <c r="BL1375" s="2">
        <v>41.07</v>
      </c>
      <c r="BM1375" s="2">
        <v>5.75</v>
      </c>
      <c r="BN1375" s="2">
        <v>46.82</v>
      </c>
      <c r="BO1375" s="2">
        <v>46.82</v>
      </c>
      <c r="BP1375" s="2"/>
      <c r="BQ1375" s="2" t="s">
        <v>83</v>
      </c>
      <c r="BR1375" s="2" t="s">
        <v>187</v>
      </c>
      <c r="BS1375" s="3">
        <v>42943</v>
      </c>
      <c r="BT1375" s="4">
        <v>0.41666666666666669</v>
      </c>
      <c r="BU1375" s="2" t="s">
        <v>2081</v>
      </c>
      <c r="BV1375" s="2" t="s">
        <v>95</v>
      </c>
      <c r="BW1375" s="2"/>
      <c r="BX1375" s="2"/>
      <c r="BY1375" s="2">
        <v>6278.62</v>
      </c>
      <c r="BZ1375" s="2"/>
      <c r="CA1375" s="2" t="s">
        <v>401</v>
      </c>
      <c r="CB1375" s="2"/>
      <c r="CC1375" s="2" t="s">
        <v>238</v>
      </c>
      <c r="CD1375" s="2">
        <v>3610</v>
      </c>
      <c r="CE1375" s="2" t="s">
        <v>89</v>
      </c>
      <c r="CF1375" s="5">
        <v>42944</v>
      </c>
      <c r="CG1375" s="2"/>
      <c r="CH1375" s="2"/>
      <c r="CI1375" s="2">
        <v>1</v>
      </c>
      <c r="CJ1375" s="2">
        <v>1</v>
      </c>
      <c r="CK1375" s="2">
        <v>21</v>
      </c>
      <c r="CL1375" s="2" t="s">
        <v>86</v>
      </c>
      <c r="CM1375" s="2"/>
    </row>
    <row r="1376" spans="1:91">
      <c r="A1376" s="2" t="s">
        <v>71</v>
      </c>
      <c r="B1376" s="2" t="s">
        <v>72</v>
      </c>
      <c r="C1376" s="2" t="s">
        <v>73</v>
      </c>
      <c r="D1376" s="2"/>
      <c r="E1376" s="2" t="str">
        <f>"FES1162564835D"</f>
        <v>FES1162564835D</v>
      </c>
      <c r="F1376" s="3">
        <v>42942</v>
      </c>
      <c r="G1376" s="2">
        <v>201802</v>
      </c>
      <c r="H1376" s="2" t="s">
        <v>74</v>
      </c>
      <c r="I1376" s="2" t="s">
        <v>75</v>
      </c>
      <c r="J1376" s="2" t="s">
        <v>118</v>
      </c>
      <c r="K1376" s="2" t="s">
        <v>77</v>
      </c>
      <c r="L1376" s="2" t="s">
        <v>539</v>
      </c>
      <c r="M1376" s="2" t="s">
        <v>540</v>
      </c>
      <c r="N1376" s="2" t="s">
        <v>541</v>
      </c>
      <c r="O1376" s="2" t="s">
        <v>100</v>
      </c>
      <c r="P1376" s="2" t="str">
        <f>"                              "</f>
        <v xml:space="preserve">          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2.83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4</v>
      </c>
      <c r="BJ1376" s="2">
        <v>0.2</v>
      </c>
      <c r="BK1376" s="2">
        <v>4</v>
      </c>
      <c r="BL1376" s="2">
        <v>32.08</v>
      </c>
      <c r="BM1376" s="2">
        <v>4.49</v>
      </c>
      <c r="BN1376" s="2">
        <v>36.57</v>
      </c>
      <c r="BO1376" s="2">
        <v>36.57</v>
      </c>
      <c r="BP1376" s="2"/>
      <c r="BQ1376" s="2" t="s">
        <v>83</v>
      </c>
      <c r="BR1376" s="2" t="s">
        <v>187</v>
      </c>
      <c r="BS1376" s="3">
        <v>42943</v>
      </c>
      <c r="BT1376" s="4">
        <v>0.41319444444444442</v>
      </c>
      <c r="BU1376" s="2" t="s">
        <v>330</v>
      </c>
      <c r="BV1376" s="2" t="s">
        <v>95</v>
      </c>
      <c r="BW1376" s="2"/>
      <c r="BX1376" s="2"/>
      <c r="BY1376" s="2">
        <v>925</v>
      </c>
      <c r="BZ1376" s="2"/>
      <c r="CA1376" s="2" t="s">
        <v>722</v>
      </c>
      <c r="CB1376" s="2"/>
      <c r="CC1376" s="2" t="s">
        <v>540</v>
      </c>
      <c r="CD1376" s="2">
        <v>2162</v>
      </c>
      <c r="CE1376" s="2" t="s">
        <v>89</v>
      </c>
      <c r="CF1376" s="5">
        <v>42944</v>
      </c>
      <c r="CG1376" s="2"/>
      <c r="CH1376" s="2"/>
      <c r="CI1376" s="2">
        <v>1</v>
      </c>
      <c r="CJ1376" s="2">
        <v>1</v>
      </c>
      <c r="CK1376" s="2">
        <v>22</v>
      </c>
      <c r="CL1376" s="2" t="s">
        <v>86</v>
      </c>
      <c r="CM1376" s="2"/>
    </row>
    <row r="1377" spans="1:91">
      <c r="A1377" s="2" t="s">
        <v>71</v>
      </c>
      <c r="B1377" s="2" t="s">
        <v>72</v>
      </c>
      <c r="C1377" s="2" t="s">
        <v>73</v>
      </c>
      <c r="D1377" s="2"/>
      <c r="E1377" s="2" t="str">
        <f>"FES1162567875"</f>
        <v>FES1162567875</v>
      </c>
      <c r="F1377" s="3">
        <v>42958</v>
      </c>
      <c r="G1377" s="2">
        <v>201802</v>
      </c>
      <c r="H1377" s="2" t="s">
        <v>74</v>
      </c>
      <c r="I1377" s="2" t="s">
        <v>75</v>
      </c>
      <c r="J1377" s="2" t="s">
        <v>76</v>
      </c>
      <c r="K1377" s="2" t="s">
        <v>77</v>
      </c>
      <c r="L1377" s="2" t="s">
        <v>149</v>
      </c>
      <c r="M1377" s="2" t="s">
        <v>150</v>
      </c>
      <c r="N1377" s="2" t="s">
        <v>2082</v>
      </c>
      <c r="O1377" s="2" t="s">
        <v>100</v>
      </c>
      <c r="P1377" s="2" t="str">
        <f>"2170584038                    "</f>
        <v xml:space="preserve">2170584038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8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1</v>
      </c>
      <c r="BI1377" s="2">
        <v>3.9</v>
      </c>
      <c r="BJ1377" s="2">
        <v>1.6</v>
      </c>
      <c r="BK1377" s="2">
        <v>4</v>
      </c>
      <c r="BL1377" s="2">
        <v>82.88</v>
      </c>
      <c r="BM1377" s="2">
        <v>11.6</v>
      </c>
      <c r="BN1377" s="2">
        <v>94.48</v>
      </c>
      <c r="BO1377" s="2">
        <v>94.48</v>
      </c>
      <c r="BP1377" s="2">
        <v>1</v>
      </c>
      <c r="BQ1377" s="2" t="s">
        <v>2083</v>
      </c>
      <c r="BR1377" s="2" t="s">
        <v>84</v>
      </c>
      <c r="BS1377" s="3">
        <v>42961</v>
      </c>
      <c r="BT1377" s="4">
        <v>0.42708333333333331</v>
      </c>
      <c r="BU1377" s="2" t="s">
        <v>2084</v>
      </c>
      <c r="BV1377" s="2" t="s">
        <v>95</v>
      </c>
      <c r="BW1377" s="2"/>
      <c r="BX1377" s="2"/>
      <c r="BY1377" s="2">
        <v>8104.1</v>
      </c>
      <c r="BZ1377" s="2"/>
      <c r="CA1377" s="2" t="s">
        <v>1163</v>
      </c>
      <c r="CB1377" s="2"/>
      <c r="CC1377" s="2" t="s">
        <v>150</v>
      </c>
      <c r="CD1377" s="2">
        <v>4001</v>
      </c>
      <c r="CE1377" s="2" t="s">
        <v>89</v>
      </c>
      <c r="CF1377" s="5">
        <v>42962</v>
      </c>
      <c r="CG1377" s="2"/>
      <c r="CH1377" s="2"/>
      <c r="CI1377" s="2">
        <v>1</v>
      </c>
      <c r="CJ1377" s="2">
        <v>1</v>
      </c>
      <c r="CK1377" s="2">
        <v>21</v>
      </c>
      <c r="CL1377" s="2" t="s">
        <v>86</v>
      </c>
      <c r="CM1377" s="2"/>
    </row>
    <row r="1378" spans="1:91">
      <c r="A1378" s="2" t="s">
        <v>71</v>
      </c>
      <c r="B1378" s="2" t="s">
        <v>72</v>
      </c>
      <c r="C1378" s="2" t="s">
        <v>73</v>
      </c>
      <c r="D1378" s="2"/>
      <c r="E1378" s="2" t="str">
        <f>"FES1162564839D"</f>
        <v>FES1162564839D</v>
      </c>
      <c r="F1378" s="3">
        <v>42942</v>
      </c>
      <c r="G1378" s="2">
        <v>201802</v>
      </c>
      <c r="H1378" s="2" t="s">
        <v>74</v>
      </c>
      <c r="I1378" s="2" t="s">
        <v>75</v>
      </c>
      <c r="J1378" s="2" t="s">
        <v>118</v>
      </c>
      <c r="K1378" s="2" t="s">
        <v>77</v>
      </c>
      <c r="L1378" s="2" t="s">
        <v>1781</v>
      </c>
      <c r="M1378" s="2" t="s">
        <v>1781</v>
      </c>
      <c r="N1378" s="2" t="s">
        <v>1782</v>
      </c>
      <c r="O1378" s="2" t="s">
        <v>100</v>
      </c>
      <c r="P1378" s="2" t="str">
        <f>"                              "</f>
        <v xml:space="preserve">          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7.03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1</v>
      </c>
      <c r="BI1378" s="2">
        <v>1</v>
      </c>
      <c r="BJ1378" s="2">
        <v>0.2</v>
      </c>
      <c r="BK1378" s="2">
        <v>1</v>
      </c>
      <c r="BL1378" s="2">
        <v>79.569999999999993</v>
      </c>
      <c r="BM1378" s="2">
        <v>11.14</v>
      </c>
      <c r="BN1378" s="2">
        <v>90.71</v>
      </c>
      <c r="BO1378" s="2">
        <v>90.71</v>
      </c>
      <c r="BP1378" s="2"/>
      <c r="BQ1378" s="2" t="s">
        <v>108</v>
      </c>
      <c r="BR1378" s="2" t="s">
        <v>187</v>
      </c>
      <c r="BS1378" s="3">
        <v>42944</v>
      </c>
      <c r="BT1378" s="4">
        <v>0.41666666666666669</v>
      </c>
      <c r="BU1378" s="2" t="s">
        <v>1360</v>
      </c>
      <c r="BV1378" s="2" t="s">
        <v>95</v>
      </c>
      <c r="BW1378" s="2"/>
      <c r="BX1378" s="2"/>
      <c r="BY1378" s="2">
        <v>1200</v>
      </c>
      <c r="BZ1378" s="2"/>
      <c r="CA1378" s="2"/>
      <c r="CB1378" s="2"/>
      <c r="CC1378" s="2" t="s">
        <v>1781</v>
      </c>
      <c r="CD1378" s="2">
        <v>5470</v>
      </c>
      <c r="CE1378" s="2" t="s">
        <v>104</v>
      </c>
      <c r="CF1378" s="5">
        <v>42954</v>
      </c>
      <c r="CG1378" s="2"/>
      <c r="CH1378" s="2"/>
      <c r="CI1378" s="2">
        <v>4</v>
      </c>
      <c r="CJ1378" s="2">
        <v>2</v>
      </c>
      <c r="CK1378" s="2">
        <v>23</v>
      </c>
      <c r="CL1378" s="2" t="s">
        <v>86</v>
      </c>
      <c r="CM1378" s="2"/>
    </row>
    <row r="1379" spans="1:91">
      <c r="A1379" s="2" t="s">
        <v>71</v>
      </c>
      <c r="B1379" s="2" t="s">
        <v>72</v>
      </c>
      <c r="C1379" s="2" t="s">
        <v>73</v>
      </c>
      <c r="D1379" s="2"/>
      <c r="E1379" s="2" t="str">
        <f>"FES1162568363"</f>
        <v>FES1162568363</v>
      </c>
      <c r="F1379" s="3">
        <v>42958</v>
      </c>
      <c r="G1379" s="2">
        <v>201802</v>
      </c>
      <c r="H1379" s="2" t="s">
        <v>74</v>
      </c>
      <c r="I1379" s="2" t="s">
        <v>75</v>
      </c>
      <c r="J1379" s="2" t="s">
        <v>76</v>
      </c>
      <c r="K1379" s="2" t="s">
        <v>77</v>
      </c>
      <c r="L1379" s="2" t="s">
        <v>105</v>
      </c>
      <c r="M1379" s="2" t="s">
        <v>106</v>
      </c>
      <c r="N1379" s="2" t="s">
        <v>397</v>
      </c>
      <c r="O1379" s="2" t="s">
        <v>100</v>
      </c>
      <c r="P1379" s="2" t="str">
        <f>"2170584448                    "</f>
        <v xml:space="preserve">2170584448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10.01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5</v>
      </c>
      <c r="BJ1379" s="2">
        <v>1.9</v>
      </c>
      <c r="BK1379" s="2">
        <v>5</v>
      </c>
      <c r="BL1379" s="2">
        <v>103.61</v>
      </c>
      <c r="BM1379" s="2">
        <v>14.51</v>
      </c>
      <c r="BN1379" s="2">
        <v>118.12</v>
      </c>
      <c r="BO1379" s="2">
        <v>118.12</v>
      </c>
      <c r="BP1379" s="2"/>
      <c r="BQ1379" s="2" t="s">
        <v>83</v>
      </c>
      <c r="BR1379" s="2" t="s">
        <v>84</v>
      </c>
      <c r="BS1379" s="3">
        <v>42961</v>
      </c>
      <c r="BT1379" s="4">
        <v>0.36736111111111108</v>
      </c>
      <c r="BU1379" s="2" t="s">
        <v>1942</v>
      </c>
      <c r="BV1379" s="2" t="s">
        <v>95</v>
      </c>
      <c r="BW1379" s="2"/>
      <c r="BX1379" s="2"/>
      <c r="BY1379" s="2">
        <v>9343.7999999999993</v>
      </c>
      <c r="BZ1379" s="2"/>
      <c r="CA1379" s="2" t="s">
        <v>856</v>
      </c>
      <c r="CB1379" s="2"/>
      <c r="CC1379" s="2" t="s">
        <v>106</v>
      </c>
      <c r="CD1379" s="2">
        <v>7405</v>
      </c>
      <c r="CE1379" s="2" t="s">
        <v>89</v>
      </c>
      <c r="CF1379" s="5">
        <v>42962</v>
      </c>
      <c r="CG1379" s="2"/>
      <c r="CH1379" s="2"/>
      <c r="CI1379" s="2">
        <v>1</v>
      </c>
      <c r="CJ1379" s="2">
        <v>1</v>
      </c>
      <c r="CK1379" s="2">
        <v>21</v>
      </c>
      <c r="CL1379" s="2" t="s">
        <v>86</v>
      </c>
      <c r="CM1379" s="2"/>
    </row>
    <row r="1380" spans="1:91">
      <c r="A1380" s="2" t="s">
        <v>71</v>
      </c>
      <c r="B1380" s="2" t="s">
        <v>72</v>
      </c>
      <c r="C1380" s="2" t="s">
        <v>73</v>
      </c>
      <c r="D1380" s="2"/>
      <c r="E1380" s="2" t="str">
        <f>"FES1162564842D"</f>
        <v>FES1162564842D</v>
      </c>
      <c r="F1380" s="3">
        <v>42942</v>
      </c>
      <c r="G1380" s="2">
        <v>201802</v>
      </c>
      <c r="H1380" s="2" t="s">
        <v>74</v>
      </c>
      <c r="I1380" s="2" t="s">
        <v>75</v>
      </c>
      <c r="J1380" s="2" t="s">
        <v>118</v>
      </c>
      <c r="K1380" s="2" t="s">
        <v>77</v>
      </c>
      <c r="L1380" s="2" t="s">
        <v>105</v>
      </c>
      <c r="M1380" s="2" t="s">
        <v>106</v>
      </c>
      <c r="N1380" s="2" t="s">
        <v>782</v>
      </c>
      <c r="O1380" s="2" t="s">
        <v>100</v>
      </c>
      <c r="P1380" s="2" t="str">
        <f>"                              "</f>
        <v xml:space="preserve">          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3.63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1</v>
      </c>
      <c r="BJ1380" s="2">
        <v>0.2</v>
      </c>
      <c r="BK1380" s="2">
        <v>1</v>
      </c>
      <c r="BL1380" s="2">
        <v>41.07</v>
      </c>
      <c r="BM1380" s="2">
        <v>5.75</v>
      </c>
      <c r="BN1380" s="2">
        <v>46.82</v>
      </c>
      <c r="BO1380" s="2">
        <v>46.82</v>
      </c>
      <c r="BP1380" s="2"/>
      <c r="BQ1380" s="2" t="s">
        <v>108</v>
      </c>
      <c r="BR1380" s="2" t="s">
        <v>187</v>
      </c>
      <c r="BS1380" s="3">
        <v>42943</v>
      </c>
      <c r="BT1380" s="4">
        <v>0.3923611111111111</v>
      </c>
      <c r="BU1380" s="2" t="s">
        <v>2085</v>
      </c>
      <c r="BV1380" s="2" t="s">
        <v>95</v>
      </c>
      <c r="BW1380" s="2"/>
      <c r="BX1380" s="2"/>
      <c r="BY1380" s="2">
        <v>1200</v>
      </c>
      <c r="BZ1380" s="2"/>
      <c r="CA1380" s="2"/>
      <c r="CB1380" s="2"/>
      <c r="CC1380" s="2" t="s">
        <v>106</v>
      </c>
      <c r="CD1380" s="2">
        <v>7802</v>
      </c>
      <c r="CE1380" s="2" t="s">
        <v>104</v>
      </c>
      <c r="CF1380" s="5">
        <v>42944</v>
      </c>
      <c r="CG1380" s="2"/>
      <c r="CH1380" s="2"/>
      <c r="CI1380" s="2">
        <v>1</v>
      </c>
      <c r="CJ1380" s="2">
        <v>1</v>
      </c>
      <c r="CK1380" s="2">
        <v>21</v>
      </c>
      <c r="CL1380" s="2" t="s">
        <v>86</v>
      </c>
      <c r="CM1380" s="2"/>
    </row>
    <row r="1381" spans="1:91">
      <c r="A1381" s="2" t="s">
        <v>71</v>
      </c>
      <c r="B1381" s="2" t="s">
        <v>72</v>
      </c>
      <c r="C1381" s="2" t="s">
        <v>73</v>
      </c>
      <c r="D1381" s="2"/>
      <c r="E1381" s="2" t="str">
        <f>"FES1162568260"</f>
        <v>FES1162568260</v>
      </c>
      <c r="F1381" s="3">
        <v>42958</v>
      </c>
      <c r="G1381" s="2">
        <v>201802</v>
      </c>
      <c r="H1381" s="2" t="s">
        <v>74</v>
      </c>
      <c r="I1381" s="2" t="s">
        <v>75</v>
      </c>
      <c r="J1381" s="2" t="s">
        <v>76</v>
      </c>
      <c r="K1381" s="2" t="s">
        <v>77</v>
      </c>
      <c r="L1381" s="2" t="s">
        <v>164</v>
      </c>
      <c r="M1381" s="2" t="s">
        <v>165</v>
      </c>
      <c r="N1381" s="2" t="s">
        <v>166</v>
      </c>
      <c r="O1381" s="2" t="s">
        <v>100</v>
      </c>
      <c r="P1381" s="2" t="str">
        <f>"2170580902                    "</f>
        <v xml:space="preserve">2170580902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18.010000000000002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7.5</v>
      </c>
      <c r="BJ1381" s="2">
        <v>9</v>
      </c>
      <c r="BK1381" s="2">
        <v>9</v>
      </c>
      <c r="BL1381" s="2">
        <v>186.49</v>
      </c>
      <c r="BM1381" s="2">
        <v>26.11</v>
      </c>
      <c r="BN1381" s="2">
        <v>212.6</v>
      </c>
      <c r="BO1381" s="2">
        <v>212.6</v>
      </c>
      <c r="BP1381" s="2"/>
      <c r="BQ1381" s="2" t="s">
        <v>83</v>
      </c>
      <c r="BR1381" s="2" t="s">
        <v>84</v>
      </c>
      <c r="BS1381" s="3">
        <v>42961</v>
      </c>
      <c r="BT1381" s="4">
        <v>0.41666666666666669</v>
      </c>
      <c r="BU1381" s="2" t="s">
        <v>2086</v>
      </c>
      <c r="BV1381" s="2" t="s">
        <v>95</v>
      </c>
      <c r="BW1381" s="2"/>
      <c r="BX1381" s="2"/>
      <c r="BY1381" s="2">
        <v>45190.2</v>
      </c>
      <c r="BZ1381" s="2"/>
      <c r="CA1381" s="2"/>
      <c r="CB1381" s="2"/>
      <c r="CC1381" s="2" t="s">
        <v>165</v>
      </c>
      <c r="CD1381" s="2">
        <v>6849</v>
      </c>
      <c r="CE1381" s="2" t="s">
        <v>89</v>
      </c>
      <c r="CF1381" s="5">
        <v>42962</v>
      </c>
      <c r="CG1381" s="2"/>
      <c r="CH1381" s="2"/>
      <c r="CI1381" s="2">
        <v>3</v>
      </c>
      <c r="CJ1381" s="2">
        <v>1</v>
      </c>
      <c r="CK1381" s="2">
        <v>21</v>
      </c>
      <c r="CL1381" s="2" t="s">
        <v>86</v>
      </c>
      <c r="CM1381" s="2"/>
    </row>
    <row r="1382" spans="1:91">
      <c r="A1382" s="2" t="s">
        <v>71</v>
      </c>
      <c r="B1382" s="2" t="s">
        <v>72</v>
      </c>
      <c r="C1382" s="2" t="s">
        <v>73</v>
      </c>
      <c r="D1382" s="2"/>
      <c r="E1382" s="2" t="str">
        <f>"FES1162564843D"</f>
        <v>FES1162564843D</v>
      </c>
      <c r="F1382" s="3">
        <v>42942</v>
      </c>
      <c r="G1382" s="2">
        <v>201802</v>
      </c>
      <c r="H1382" s="2" t="s">
        <v>74</v>
      </c>
      <c r="I1382" s="2" t="s">
        <v>75</v>
      </c>
      <c r="J1382" s="2" t="s">
        <v>118</v>
      </c>
      <c r="K1382" s="2" t="s">
        <v>77</v>
      </c>
      <c r="L1382" s="2" t="s">
        <v>741</v>
      </c>
      <c r="M1382" s="2" t="s">
        <v>742</v>
      </c>
      <c r="N1382" s="2" t="s">
        <v>743</v>
      </c>
      <c r="O1382" s="2" t="s">
        <v>100</v>
      </c>
      <c r="P1382" s="2" t="str">
        <f>"                              "</f>
        <v xml:space="preserve">          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7.03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1</v>
      </c>
      <c r="BJ1382" s="2">
        <v>0.2</v>
      </c>
      <c r="BK1382" s="2">
        <v>1</v>
      </c>
      <c r="BL1382" s="2">
        <v>79.569999999999993</v>
      </c>
      <c r="BM1382" s="2">
        <v>11.14</v>
      </c>
      <c r="BN1382" s="2">
        <v>90.71</v>
      </c>
      <c r="BO1382" s="2">
        <v>90.71</v>
      </c>
      <c r="BP1382" s="2"/>
      <c r="BQ1382" s="2" t="s">
        <v>288</v>
      </c>
      <c r="BR1382" s="2" t="s">
        <v>187</v>
      </c>
      <c r="BS1382" s="3">
        <v>42943</v>
      </c>
      <c r="BT1382" s="4">
        <v>0.64513888888888882</v>
      </c>
      <c r="BU1382" s="2" t="s">
        <v>2087</v>
      </c>
      <c r="BV1382" s="2" t="s">
        <v>95</v>
      </c>
      <c r="BW1382" s="2"/>
      <c r="BX1382" s="2"/>
      <c r="BY1382" s="2">
        <v>1200</v>
      </c>
      <c r="BZ1382" s="2"/>
      <c r="CA1382" s="2" t="s">
        <v>2088</v>
      </c>
      <c r="CB1382" s="2"/>
      <c r="CC1382" s="2" t="s">
        <v>742</v>
      </c>
      <c r="CD1382" s="2">
        <v>6300</v>
      </c>
      <c r="CE1382" s="2" t="s">
        <v>104</v>
      </c>
      <c r="CF1382" s="5">
        <v>42944</v>
      </c>
      <c r="CG1382" s="2"/>
      <c r="CH1382" s="2"/>
      <c r="CI1382" s="2">
        <v>3</v>
      </c>
      <c r="CJ1382" s="2">
        <v>1</v>
      </c>
      <c r="CK1382" s="2">
        <v>23</v>
      </c>
      <c r="CL1382" s="2" t="s">
        <v>86</v>
      </c>
      <c r="CM1382" s="2"/>
    </row>
    <row r="1383" spans="1:91">
      <c r="A1383" s="2" t="s">
        <v>71</v>
      </c>
      <c r="B1383" s="2" t="s">
        <v>72</v>
      </c>
      <c r="C1383" s="2" t="s">
        <v>73</v>
      </c>
      <c r="D1383" s="2"/>
      <c r="E1383" s="2" t="str">
        <f>"FES1162568299"</f>
        <v>FES1162568299</v>
      </c>
      <c r="F1383" s="3">
        <v>42958</v>
      </c>
      <c r="G1383" s="2">
        <v>201802</v>
      </c>
      <c r="H1383" s="2" t="s">
        <v>74</v>
      </c>
      <c r="I1383" s="2" t="s">
        <v>75</v>
      </c>
      <c r="J1383" s="2" t="s">
        <v>76</v>
      </c>
      <c r="K1383" s="2" t="s">
        <v>77</v>
      </c>
      <c r="L1383" s="2" t="s">
        <v>144</v>
      </c>
      <c r="M1383" s="2" t="s">
        <v>145</v>
      </c>
      <c r="N1383" s="2" t="s">
        <v>146</v>
      </c>
      <c r="O1383" s="2" t="s">
        <v>100</v>
      </c>
      <c r="P1383" s="2" t="str">
        <f>"2170584416                    "</f>
        <v xml:space="preserve">2170584416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3.13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1.9</v>
      </c>
      <c r="BJ1383" s="2">
        <v>1.6</v>
      </c>
      <c r="BK1383" s="2">
        <v>2</v>
      </c>
      <c r="BL1383" s="2">
        <v>32.380000000000003</v>
      </c>
      <c r="BM1383" s="2">
        <v>4.53</v>
      </c>
      <c r="BN1383" s="2">
        <v>36.909999999999997</v>
      </c>
      <c r="BO1383" s="2">
        <v>36.909999999999997</v>
      </c>
      <c r="BP1383" s="2"/>
      <c r="BQ1383" s="2" t="s">
        <v>83</v>
      </c>
      <c r="BR1383" s="2" t="s">
        <v>84</v>
      </c>
      <c r="BS1383" s="3">
        <v>42961</v>
      </c>
      <c r="BT1383" s="4">
        <v>0.38541666666666669</v>
      </c>
      <c r="BU1383" s="2" t="s">
        <v>1893</v>
      </c>
      <c r="BV1383" s="2" t="s">
        <v>95</v>
      </c>
      <c r="BW1383" s="2"/>
      <c r="BX1383" s="2"/>
      <c r="BY1383" s="2">
        <v>7840.92</v>
      </c>
      <c r="BZ1383" s="2"/>
      <c r="CA1383" s="2" t="s">
        <v>274</v>
      </c>
      <c r="CB1383" s="2"/>
      <c r="CC1383" s="2" t="s">
        <v>145</v>
      </c>
      <c r="CD1383" s="2">
        <v>2094</v>
      </c>
      <c r="CE1383" s="2" t="s">
        <v>89</v>
      </c>
      <c r="CF1383" s="5">
        <v>42962</v>
      </c>
      <c r="CG1383" s="2"/>
      <c r="CH1383" s="2"/>
      <c r="CI1383" s="2">
        <v>1</v>
      </c>
      <c r="CJ1383" s="2">
        <v>1</v>
      </c>
      <c r="CK1383" s="2">
        <v>22</v>
      </c>
      <c r="CL1383" s="2" t="s">
        <v>86</v>
      </c>
      <c r="CM1383" s="2"/>
    </row>
    <row r="1384" spans="1:91">
      <c r="A1384" s="2" t="s">
        <v>71</v>
      </c>
      <c r="B1384" s="2" t="s">
        <v>72</v>
      </c>
      <c r="C1384" s="2" t="s">
        <v>73</v>
      </c>
      <c r="D1384" s="2"/>
      <c r="E1384" s="2" t="str">
        <f>"FES1162564845D"</f>
        <v>FES1162564845D</v>
      </c>
      <c r="F1384" s="3">
        <v>42942</v>
      </c>
      <c r="G1384" s="2">
        <v>201802</v>
      </c>
      <c r="H1384" s="2" t="s">
        <v>74</v>
      </c>
      <c r="I1384" s="2" t="s">
        <v>75</v>
      </c>
      <c r="J1384" s="2" t="s">
        <v>118</v>
      </c>
      <c r="K1384" s="2" t="s">
        <v>77</v>
      </c>
      <c r="L1384" s="2" t="s">
        <v>237</v>
      </c>
      <c r="M1384" s="2" t="s">
        <v>238</v>
      </c>
      <c r="N1384" s="2" t="s">
        <v>2089</v>
      </c>
      <c r="O1384" s="2" t="s">
        <v>100</v>
      </c>
      <c r="P1384" s="2" t="str">
        <f>"                              "</f>
        <v xml:space="preserve">          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3.63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1</v>
      </c>
      <c r="BJ1384" s="2">
        <v>0.2</v>
      </c>
      <c r="BK1384" s="2">
        <v>1</v>
      </c>
      <c r="BL1384" s="2">
        <v>41.07</v>
      </c>
      <c r="BM1384" s="2">
        <v>5.75</v>
      </c>
      <c r="BN1384" s="2">
        <v>46.82</v>
      </c>
      <c r="BO1384" s="2">
        <v>46.82</v>
      </c>
      <c r="BP1384" s="2"/>
      <c r="BQ1384" s="2" t="s">
        <v>83</v>
      </c>
      <c r="BR1384" s="2" t="s">
        <v>187</v>
      </c>
      <c r="BS1384" s="3">
        <v>42943</v>
      </c>
      <c r="BT1384" s="4">
        <v>0.39930555555555558</v>
      </c>
      <c r="BU1384" s="2" t="s">
        <v>1407</v>
      </c>
      <c r="BV1384" s="2" t="s">
        <v>95</v>
      </c>
      <c r="BW1384" s="2"/>
      <c r="BX1384" s="2"/>
      <c r="BY1384" s="2">
        <v>1200</v>
      </c>
      <c r="BZ1384" s="2"/>
      <c r="CA1384" s="2" t="s">
        <v>672</v>
      </c>
      <c r="CB1384" s="2"/>
      <c r="CC1384" s="2" t="s">
        <v>238</v>
      </c>
      <c r="CD1384" s="2">
        <v>3610</v>
      </c>
      <c r="CE1384" s="2" t="s">
        <v>104</v>
      </c>
      <c r="CF1384" s="5">
        <v>42944</v>
      </c>
      <c r="CG1384" s="2"/>
      <c r="CH1384" s="2"/>
      <c r="CI1384" s="2">
        <v>1</v>
      </c>
      <c r="CJ1384" s="2">
        <v>1</v>
      </c>
      <c r="CK1384" s="2">
        <v>21</v>
      </c>
      <c r="CL1384" s="2" t="s">
        <v>86</v>
      </c>
      <c r="CM1384" s="2"/>
    </row>
    <row r="1385" spans="1:91">
      <c r="A1385" s="2" t="s">
        <v>71</v>
      </c>
      <c r="B1385" s="2" t="s">
        <v>72</v>
      </c>
      <c r="C1385" s="2" t="s">
        <v>73</v>
      </c>
      <c r="D1385" s="2"/>
      <c r="E1385" s="2" t="str">
        <f>"FES1162568311"</f>
        <v>FES1162568311</v>
      </c>
      <c r="F1385" s="3">
        <v>42958</v>
      </c>
      <c r="G1385" s="2">
        <v>201802</v>
      </c>
      <c r="H1385" s="2" t="s">
        <v>74</v>
      </c>
      <c r="I1385" s="2" t="s">
        <v>75</v>
      </c>
      <c r="J1385" s="2" t="s">
        <v>76</v>
      </c>
      <c r="K1385" s="2" t="s">
        <v>77</v>
      </c>
      <c r="L1385" s="2" t="s">
        <v>137</v>
      </c>
      <c r="M1385" s="2" t="s">
        <v>138</v>
      </c>
      <c r="N1385" s="2" t="s">
        <v>368</v>
      </c>
      <c r="O1385" s="2" t="s">
        <v>100</v>
      </c>
      <c r="P1385" s="2" t="str">
        <f>"2170578043                    "</f>
        <v xml:space="preserve">2170578043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4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1.4</v>
      </c>
      <c r="BJ1385" s="2">
        <v>1.4</v>
      </c>
      <c r="BK1385" s="2">
        <v>1.5</v>
      </c>
      <c r="BL1385" s="2">
        <v>41.44</v>
      </c>
      <c r="BM1385" s="2">
        <v>5.8</v>
      </c>
      <c r="BN1385" s="2">
        <v>47.24</v>
      </c>
      <c r="BO1385" s="2">
        <v>47.24</v>
      </c>
      <c r="BP1385" s="2"/>
      <c r="BQ1385" s="2" t="s">
        <v>108</v>
      </c>
      <c r="BR1385" s="2" t="s">
        <v>84</v>
      </c>
      <c r="BS1385" s="3">
        <v>42961</v>
      </c>
      <c r="BT1385" s="4">
        <v>0.35069444444444442</v>
      </c>
      <c r="BU1385" s="2" t="s">
        <v>369</v>
      </c>
      <c r="BV1385" s="2" t="s">
        <v>95</v>
      </c>
      <c r="BW1385" s="2"/>
      <c r="BX1385" s="2"/>
      <c r="BY1385" s="2">
        <v>7123.48</v>
      </c>
      <c r="BZ1385" s="2"/>
      <c r="CA1385" s="2"/>
      <c r="CB1385" s="2"/>
      <c r="CC1385" s="2" t="s">
        <v>138</v>
      </c>
      <c r="CD1385" s="2">
        <v>157</v>
      </c>
      <c r="CE1385" s="2" t="s">
        <v>89</v>
      </c>
      <c r="CF1385" s="5">
        <v>42962</v>
      </c>
      <c r="CG1385" s="2"/>
      <c r="CH1385" s="2"/>
      <c r="CI1385" s="2">
        <v>1</v>
      </c>
      <c r="CJ1385" s="2">
        <v>1</v>
      </c>
      <c r="CK1385" s="2">
        <v>21</v>
      </c>
      <c r="CL1385" s="2" t="s">
        <v>86</v>
      </c>
      <c r="CM1385" s="2"/>
    </row>
    <row r="1386" spans="1:91">
      <c r="A1386" s="2" t="s">
        <v>71</v>
      </c>
      <c r="B1386" s="2" t="s">
        <v>72</v>
      </c>
      <c r="C1386" s="2" t="s">
        <v>73</v>
      </c>
      <c r="D1386" s="2"/>
      <c r="E1386" s="2" t="str">
        <f>"FES1162564851D"</f>
        <v>FES1162564851D</v>
      </c>
      <c r="F1386" s="3">
        <v>42942</v>
      </c>
      <c r="G1386" s="2">
        <v>201802</v>
      </c>
      <c r="H1386" s="2" t="s">
        <v>74</v>
      </c>
      <c r="I1386" s="2" t="s">
        <v>75</v>
      </c>
      <c r="J1386" s="2" t="s">
        <v>118</v>
      </c>
      <c r="K1386" s="2" t="s">
        <v>77</v>
      </c>
      <c r="L1386" s="2" t="s">
        <v>97</v>
      </c>
      <c r="M1386" s="2" t="s">
        <v>98</v>
      </c>
      <c r="N1386" s="2" t="s">
        <v>2090</v>
      </c>
      <c r="O1386" s="2" t="s">
        <v>100</v>
      </c>
      <c r="P1386" s="2" t="str">
        <f>"                              "</f>
        <v xml:space="preserve">          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3.63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0.2</v>
      </c>
      <c r="BJ1386" s="2">
        <v>1.8</v>
      </c>
      <c r="BK1386" s="2">
        <v>2</v>
      </c>
      <c r="BL1386" s="2">
        <v>41.07</v>
      </c>
      <c r="BM1386" s="2">
        <v>5.75</v>
      </c>
      <c r="BN1386" s="2">
        <v>46.82</v>
      </c>
      <c r="BO1386" s="2">
        <v>46.82</v>
      </c>
      <c r="BP1386" s="2"/>
      <c r="BQ1386" s="2" t="s">
        <v>108</v>
      </c>
      <c r="BR1386" s="2" t="s">
        <v>187</v>
      </c>
      <c r="BS1386" s="3">
        <v>42943</v>
      </c>
      <c r="BT1386" s="4">
        <v>0.33333333333333331</v>
      </c>
      <c r="BU1386" s="2" t="s">
        <v>2091</v>
      </c>
      <c r="BV1386" s="2" t="s">
        <v>95</v>
      </c>
      <c r="BW1386" s="2"/>
      <c r="BX1386" s="2"/>
      <c r="BY1386" s="2">
        <v>9180.99</v>
      </c>
      <c r="BZ1386" s="2"/>
      <c r="CA1386" s="2" t="s">
        <v>213</v>
      </c>
      <c r="CB1386" s="2"/>
      <c r="CC1386" s="2" t="s">
        <v>98</v>
      </c>
      <c r="CD1386" s="2">
        <v>6001</v>
      </c>
      <c r="CE1386" s="2" t="s">
        <v>104</v>
      </c>
      <c r="CF1386" s="5">
        <v>42944</v>
      </c>
      <c r="CG1386" s="2"/>
      <c r="CH1386" s="2"/>
      <c r="CI1386" s="2">
        <v>1</v>
      </c>
      <c r="CJ1386" s="2">
        <v>1</v>
      </c>
      <c r="CK1386" s="2">
        <v>21</v>
      </c>
      <c r="CL1386" s="2" t="s">
        <v>86</v>
      </c>
      <c r="CM1386" s="2"/>
    </row>
    <row r="1387" spans="1:91">
      <c r="A1387" s="2" t="s">
        <v>71</v>
      </c>
      <c r="B1387" s="2" t="s">
        <v>72</v>
      </c>
      <c r="C1387" s="2" t="s">
        <v>73</v>
      </c>
      <c r="D1387" s="2"/>
      <c r="E1387" s="2" t="str">
        <f>"FES1162568280"</f>
        <v>FES1162568280</v>
      </c>
      <c r="F1387" s="3">
        <v>42958</v>
      </c>
      <c r="G1387" s="2">
        <v>201802</v>
      </c>
      <c r="H1387" s="2" t="s">
        <v>74</v>
      </c>
      <c r="I1387" s="2" t="s">
        <v>75</v>
      </c>
      <c r="J1387" s="2" t="s">
        <v>76</v>
      </c>
      <c r="K1387" s="2" t="s">
        <v>77</v>
      </c>
      <c r="L1387" s="2" t="s">
        <v>149</v>
      </c>
      <c r="M1387" s="2" t="s">
        <v>150</v>
      </c>
      <c r="N1387" s="2" t="s">
        <v>2092</v>
      </c>
      <c r="O1387" s="2" t="s">
        <v>100</v>
      </c>
      <c r="P1387" s="2" t="str">
        <f>"2170584295                    "</f>
        <v xml:space="preserve">2170584295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6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1</v>
      </c>
      <c r="BI1387" s="2">
        <v>1.7</v>
      </c>
      <c r="BJ1387" s="2">
        <v>3</v>
      </c>
      <c r="BK1387" s="2">
        <v>3</v>
      </c>
      <c r="BL1387" s="2">
        <v>62.16</v>
      </c>
      <c r="BM1387" s="2">
        <v>8.6999999999999993</v>
      </c>
      <c r="BN1387" s="2">
        <v>70.86</v>
      </c>
      <c r="BO1387" s="2">
        <v>70.86</v>
      </c>
      <c r="BP1387" s="2"/>
      <c r="BQ1387" s="2" t="s">
        <v>83</v>
      </c>
      <c r="BR1387" s="2" t="s">
        <v>84</v>
      </c>
      <c r="BS1387" s="3">
        <v>42961</v>
      </c>
      <c r="BT1387" s="4">
        <v>0.39999999999999997</v>
      </c>
      <c r="BU1387" s="2" t="s">
        <v>2093</v>
      </c>
      <c r="BV1387" s="2" t="s">
        <v>95</v>
      </c>
      <c r="BW1387" s="2"/>
      <c r="BX1387" s="2"/>
      <c r="BY1387" s="2">
        <v>14754.1</v>
      </c>
      <c r="BZ1387" s="2"/>
      <c r="CA1387" s="2" t="s">
        <v>235</v>
      </c>
      <c r="CB1387" s="2"/>
      <c r="CC1387" s="2" t="s">
        <v>150</v>
      </c>
      <c r="CD1387" s="2">
        <v>4052</v>
      </c>
      <c r="CE1387" s="2" t="s">
        <v>89</v>
      </c>
      <c r="CF1387" s="5">
        <v>42962</v>
      </c>
      <c r="CG1387" s="2"/>
      <c r="CH1387" s="2"/>
      <c r="CI1387" s="2">
        <v>1</v>
      </c>
      <c r="CJ1387" s="2">
        <v>1</v>
      </c>
      <c r="CK1387" s="2">
        <v>21</v>
      </c>
      <c r="CL1387" s="2" t="s">
        <v>86</v>
      </c>
      <c r="CM1387" s="2"/>
    </row>
    <row r="1388" spans="1:91">
      <c r="A1388" s="2" t="s">
        <v>71</v>
      </c>
      <c r="B1388" s="2" t="s">
        <v>72</v>
      </c>
      <c r="C1388" s="2" t="s">
        <v>73</v>
      </c>
      <c r="D1388" s="2"/>
      <c r="E1388" s="2" t="str">
        <f>"FES1162564852D"</f>
        <v>FES1162564852D</v>
      </c>
      <c r="F1388" s="3">
        <v>42942</v>
      </c>
      <c r="G1388" s="2">
        <v>201802</v>
      </c>
      <c r="H1388" s="2" t="s">
        <v>74</v>
      </c>
      <c r="I1388" s="2" t="s">
        <v>75</v>
      </c>
      <c r="J1388" s="2" t="s">
        <v>118</v>
      </c>
      <c r="K1388" s="2" t="s">
        <v>77</v>
      </c>
      <c r="L1388" s="2" t="s">
        <v>105</v>
      </c>
      <c r="M1388" s="2" t="s">
        <v>106</v>
      </c>
      <c r="N1388" s="2" t="s">
        <v>2094</v>
      </c>
      <c r="O1388" s="2" t="s">
        <v>100</v>
      </c>
      <c r="P1388" s="2" t="str">
        <f>"                              "</f>
        <v xml:space="preserve">          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3.63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1</v>
      </c>
      <c r="BJ1388" s="2">
        <v>0.2</v>
      </c>
      <c r="BK1388" s="2">
        <v>1</v>
      </c>
      <c r="BL1388" s="2">
        <v>41.07</v>
      </c>
      <c r="BM1388" s="2">
        <v>5.75</v>
      </c>
      <c r="BN1388" s="2">
        <v>46.82</v>
      </c>
      <c r="BO1388" s="2">
        <v>46.82</v>
      </c>
      <c r="BP1388" s="2"/>
      <c r="BQ1388" s="2" t="s">
        <v>83</v>
      </c>
      <c r="BR1388" s="2" t="s">
        <v>187</v>
      </c>
      <c r="BS1388" s="3">
        <v>42943</v>
      </c>
      <c r="BT1388" s="4">
        <v>0.46388888888888885</v>
      </c>
      <c r="BU1388" s="2" t="s">
        <v>2095</v>
      </c>
      <c r="BV1388" s="2" t="s">
        <v>86</v>
      </c>
      <c r="BW1388" s="2"/>
      <c r="BX1388" s="2"/>
      <c r="BY1388" s="2">
        <v>1200</v>
      </c>
      <c r="BZ1388" s="2"/>
      <c r="CA1388" s="2" t="s">
        <v>117</v>
      </c>
      <c r="CB1388" s="2"/>
      <c r="CC1388" s="2" t="s">
        <v>106</v>
      </c>
      <c r="CD1388" s="2">
        <v>7405</v>
      </c>
      <c r="CE1388" s="2" t="s">
        <v>104</v>
      </c>
      <c r="CF1388" s="5">
        <v>42944</v>
      </c>
      <c r="CG1388" s="2"/>
      <c r="CH1388" s="2"/>
      <c r="CI1388" s="2">
        <v>1</v>
      </c>
      <c r="CJ1388" s="2">
        <v>1</v>
      </c>
      <c r="CK1388" s="2">
        <v>21</v>
      </c>
      <c r="CL1388" s="2" t="s">
        <v>86</v>
      </c>
      <c r="CM1388" s="2"/>
    </row>
    <row r="1389" spans="1:91">
      <c r="A1389" s="2" t="s">
        <v>71</v>
      </c>
      <c r="B1389" s="2" t="s">
        <v>72</v>
      </c>
      <c r="C1389" s="2" t="s">
        <v>73</v>
      </c>
      <c r="D1389" s="2"/>
      <c r="E1389" s="2" t="str">
        <f>"FES1162568263"</f>
        <v>FES1162568263</v>
      </c>
      <c r="F1389" s="3">
        <v>42958</v>
      </c>
      <c r="G1389" s="2">
        <v>201802</v>
      </c>
      <c r="H1389" s="2" t="s">
        <v>74</v>
      </c>
      <c r="I1389" s="2" t="s">
        <v>75</v>
      </c>
      <c r="J1389" s="2" t="s">
        <v>76</v>
      </c>
      <c r="K1389" s="2" t="s">
        <v>77</v>
      </c>
      <c r="L1389" s="2" t="s">
        <v>1663</v>
      </c>
      <c r="M1389" s="2" t="s">
        <v>1664</v>
      </c>
      <c r="N1389" s="2" t="s">
        <v>1996</v>
      </c>
      <c r="O1389" s="2" t="s">
        <v>100</v>
      </c>
      <c r="P1389" s="2" t="str">
        <f>"2170582254                    "</f>
        <v xml:space="preserve">2170582254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7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2.6</v>
      </c>
      <c r="BJ1389" s="2">
        <v>3.4</v>
      </c>
      <c r="BK1389" s="2">
        <v>3.5</v>
      </c>
      <c r="BL1389" s="2">
        <v>72.52</v>
      </c>
      <c r="BM1389" s="2">
        <v>10.15</v>
      </c>
      <c r="BN1389" s="2">
        <v>82.67</v>
      </c>
      <c r="BO1389" s="2">
        <v>82.67</v>
      </c>
      <c r="BP1389" s="2"/>
      <c r="BQ1389" s="2" t="s">
        <v>83</v>
      </c>
      <c r="BR1389" s="2" t="s">
        <v>84</v>
      </c>
      <c r="BS1389" s="3">
        <v>42961</v>
      </c>
      <c r="BT1389" s="4">
        <v>0.45833333333333331</v>
      </c>
      <c r="BU1389" s="2" t="s">
        <v>2096</v>
      </c>
      <c r="BV1389" s="2" t="s">
        <v>95</v>
      </c>
      <c r="BW1389" s="2"/>
      <c r="BX1389" s="2"/>
      <c r="BY1389" s="2">
        <v>17236.439999999999</v>
      </c>
      <c r="BZ1389" s="2"/>
      <c r="CA1389" s="2" t="s">
        <v>2097</v>
      </c>
      <c r="CB1389" s="2"/>
      <c r="CC1389" s="2" t="s">
        <v>1664</v>
      </c>
      <c r="CD1389" s="2">
        <v>3310</v>
      </c>
      <c r="CE1389" s="2" t="s">
        <v>89</v>
      </c>
      <c r="CF1389" s="5">
        <v>42963</v>
      </c>
      <c r="CG1389" s="2"/>
      <c r="CH1389" s="2"/>
      <c r="CI1389" s="2">
        <v>1</v>
      </c>
      <c r="CJ1389" s="2">
        <v>1</v>
      </c>
      <c r="CK1389" s="2">
        <v>21</v>
      </c>
      <c r="CL1389" s="2" t="s">
        <v>86</v>
      </c>
      <c r="CM1389" s="2"/>
    </row>
    <row r="1390" spans="1:91">
      <c r="A1390" s="2" t="s">
        <v>71</v>
      </c>
      <c r="B1390" s="2" t="s">
        <v>72</v>
      </c>
      <c r="C1390" s="2" t="s">
        <v>73</v>
      </c>
      <c r="D1390" s="2"/>
      <c r="E1390" s="2" t="str">
        <f>"FES1162564786D"</f>
        <v>FES1162564786D</v>
      </c>
      <c r="F1390" s="3">
        <v>42942</v>
      </c>
      <c r="G1390" s="2">
        <v>201802</v>
      </c>
      <c r="H1390" s="2" t="s">
        <v>74</v>
      </c>
      <c r="I1390" s="2" t="s">
        <v>75</v>
      </c>
      <c r="J1390" s="2" t="s">
        <v>118</v>
      </c>
      <c r="K1390" s="2" t="s">
        <v>77</v>
      </c>
      <c r="L1390" s="2" t="s">
        <v>268</v>
      </c>
      <c r="M1390" s="2" t="s">
        <v>269</v>
      </c>
      <c r="N1390" s="2" t="s">
        <v>1675</v>
      </c>
      <c r="O1390" s="2" t="s">
        <v>100</v>
      </c>
      <c r="P1390" s="2" t="str">
        <f>"                              "</f>
        <v xml:space="preserve">          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3.63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1</v>
      </c>
      <c r="BJ1390" s="2">
        <v>0.2</v>
      </c>
      <c r="BK1390" s="2">
        <v>1</v>
      </c>
      <c r="BL1390" s="2">
        <v>41.07</v>
      </c>
      <c r="BM1390" s="2">
        <v>5.75</v>
      </c>
      <c r="BN1390" s="2">
        <v>46.82</v>
      </c>
      <c r="BO1390" s="2">
        <v>46.82</v>
      </c>
      <c r="BP1390" s="2"/>
      <c r="BQ1390" s="2" t="s">
        <v>108</v>
      </c>
      <c r="BR1390" s="2" t="s">
        <v>187</v>
      </c>
      <c r="BS1390" s="3">
        <v>42943</v>
      </c>
      <c r="BT1390" s="4">
        <v>0.3888888888888889</v>
      </c>
      <c r="BU1390" s="2" t="s">
        <v>2098</v>
      </c>
      <c r="BV1390" s="2" t="s">
        <v>95</v>
      </c>
      <c r="BW1390" s="2"/>
      <c r="BX1390" s="2"/>
      <c r="BY1390" s="2">
        <v>1200</v>
      </c>
      <c r="BZ1390" s="2"/>
      <c r="CA1390" s="2" t="s">
        <v>878</v>
      </c>
      <c r="CB1390" s="2"/>
      <c r="CC1390" s="2" t="s">
        <v>269</v>
      </c>
      <c r="CD1390" s="2">
        <v>186</v>
      </c>
      <c r="CE1390" s="2" t="s">
        <v>104</v>
      </c>
      <c r="CF1390" s="5">
        <v>42944</v>
      </c>
      <c r="CG1390" s="2"/>
      <c r="CH1390" s="2"/>
      <c r="CI1390" s="2">
        <v>1</v>
      </c>
      <c r="CJ1390" s="2">
        <v>1</v>
      </c>
      <c r="CK1390" s="2">
        <v>21</v>
      </c>
      <c r="CL1390" s="2" t="s">
        <v>86</v>
      </c>
      <c r="CM1390" s="2"/>
    </row>
    <row r="1391" spans="1:91">
      <c r="A1391" s="2" t="s">
        <v>71</v>
      </c>
      <c r="B1391" s="2" t="s">
        <v>72</v>
      </c>
      <c r="C1391" s="2" t="s">
        <v>73</v>
      </c>
      <c r="D1391" s="2"/>
      <c r="E1391" s="2" t="str">
        <f>"FES1162565291"</f>
        <v>FES1162565291</v>
      </c>
      <c r="F1391" s="3">
        <v>42958</v>
      </c>
      <c r="G1391" s="2">
        <v>201802</v>
      </c>
      <c r="H1391" s="2" t="s">
        <v>74</v>
      </c>
      <c r="I1391" s="2" t="s">
        <v>75</v>
      </c>
      <c r="J1391" s="2" t="s">
        <v>76</v>
      </c>
      <c r="K1391" s="2" t="s">
        <v>77</v>
      </c>
      <c r="L1391" s="2" t="s">
        <v>105</v>
      </c>
      <c r="M1391" s="2" t="s">
        <v>106</v>
      </c>
      <c r="N1391" s="2" t="s">
        <v>1929</v>
      </c>
      <c r="O1391" s="2" t="s">
        <v>100</v>
      </c>
      <c r="P1391" s="2" t="str">
        <f>"2170572888                    "</f>
        <v xml:space="preserve">2170572888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14.01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5.0999999999999996</v>
      </c>
      <c r="BJ1391" s="2">
        <v>6.6</v>
      </c>
      <c r="BK1391" s="2">
        <v>7</v>
      </c>
      <c r="BL1391" s="2">
        <v>145.05000000000001</v>
      </c>
      <c r="BM1391" s="2">
        <v>20.309999999999999</v>
      </c>
      <c r="BN1391" s="2">
        <v>165.36</v>
      </c>
      <c r="BO1391" s="2">
        <v>165.36</v>
      </c>
      <c r="BP1391" s="2"/>
      <c r="BQ1391" s="2" t="s">
        <v>288</v>
      </c>
      <c r="BR1391" s="2" t="s">
        <v>84</v>
      </c>
      <c r="BS1391" s="3">
        <v>42961</v>
      </c>
      <c r="BT1391" s="4">
        <v>0.3833333333333333</v>
      </c>
      <c r="BU1391" s="2" t="s">
        <v>1930</v>
      </c>
      <c r="BV1391" s="2" t="s">
        <v>95</v>
      </c>
      <c r="BW1391" s="2"/>
      <c r="BX1391" s="2"/>
      <c r="BY1391" s="2">
        <v>33103.089999999997</v>
      </c>
      <c r="BZ1391" s="2"/>
      <c r="CA1391" s="2" t="s">
        <v>856</v>
      </c>
      <c r="CB1391" s="2"/>
      <c r="CC1391" s="2" t="s">
        <v>106</v>
      </c>
      <c r="CD1391" s="2">
        <v>7405</v>
      </c>
      <c r="CE1391" s="2" t="s">
        <v>89</v>
      </c>
      <c r="CF1391" s="5">
        <v>42962</v>
      </c>
      <c r="CG1391" s="2"/>
      <c r="CH1391" s="2"/>
      <c r="CI1391" s="2">
        <v>1</v>
      </c>
      <c r="CJ1391" s="2">
        <v>1</v>
      </c>
      <c r="CK1391" s="2">
        <v>21</v>
      </c>
      <c r="CL1391" s="2" t="s">
        <v>86</v>
      </c>
      <c r="CM1391" s="2"/>
    </row>
    <row r="1392" spans="1:91">
      <c r="A1392" s="2" t="s">
        <v>71</v>
      </c>
      <c r="B1392" s="2" t="s">
        <v>72</v>
      </c>
      <c r="C1392" s="2" t="s">
        <v>73</v>
      </c>
      <c r="D1392" s="2"/>
      <c r="E1392" s="2" t="str">
        <f>"FES1162563633D"</f>
        <v>FES1162563633D</v>
      </c>
      <c r="F1392" s="3">
        <v>42935</v>
      </c>
      <c r="G1392" s="2">
        <v>201802</v>
      </c>
      <c r="H1392" s="2" t="s">
        <v>74</v>
      </c>
      <c r="I1392" s="2" t="s">
        <v>75</v>
      </c>
      <c r="J1392" s="2" t="s">
        <v>118</v>
      </c>
      <c r="K1392" s="2" t="s">
        <v>77</v>
      </c>
      <c r="L1392" s="2" t="s">
        <v>144</v>
      </c>
      <c r="M1392" s="2" t="s">
        <v>145</v>
      </c>
      <c r="N1392" s="2" t="s">
        <v>1578</v>
      </c>
      <c r="O1392" s="2" t="s">
        <v>100</v>
      </c>
      <c r="P1392" s="2" t="str">
        <f>"                              "</f>
        <v xml:space="preserve">          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2.83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6.1</v>
      </c>
      <c r="BJ1392" s="2">
        <v>3.4</v>
      </c>
      <c r="BK1392" s="2">
        <v>7</v>
      </c>
      <c r="BL1392" s="2">
        <v>32.08</v>
      </c>
      <c r="BM1392" s="2">
        <v>4.49</v>
      </c>
      <c r="BN1392" s="2">
        <v>36.57</v>
      </c>
      <c r="BO1392" s="2">
        <v>36.57</v>
      </c>
      <c r="BP1392" s="2"/>
      <c r="BQ1392" s="2" t="s">
        <v>108</v>
      </c>
      <c r="BR1392" s="2" t="s">
        <v>187</v>
      </c>
      <c r="BS1392" s="3">
        <v>42936</v>
      </c>
      <c r="BT1392" s="4">
        <v>0.44861111111111113</v>
      </c>
      <c r="BU1392" s="2" t="s">
        <v>1754</v>
      </c>
      <c r="BV1392" s="2" t="s">
        <v>95</v>
      </c>
      <c r="BW1392" s="2"/>
      <c r="BX1392" s="2"/>
      <c r="BY1392" s="2">
        <v>16882.490000000002</v>
      </c>
      <c r="BZ1392" s="2"/>
      <c r="CA1392" s="2" t="s">
        <v>729</v>
      </c>
      <c r="CB1392" s="2"/>
      <c r="CC1392" s="2" t="s">
        <v>145</v>
      </c>
      <c r="CD1392" s="2">
        <v>2197</v>
      </c>
      <c r="CE1392" s="2" t="s">
        <v>104</v>
      </c>
      <c r="CF1392" s="5">
        <v>42947</v>
      </c>
      <c r="CG1392" s="2"/>
      <c r="CH1392" s="2"/>
      <c r="CI1392" s="2">
        <v>1</v>
      </c>
      <c r="CJ1392" s="2">
        <v>1</v>
      </c>
      <c r="CK1392" s="2">
        <v>22</v>
      </c>
      <c r="CL1392" s="2" t="s">
        <v>86</v>
      </c>
      <c r="CM1392" s="2"/>
    </row>
    <row r="1393" spans="1:91">
      <c r="A1393" s="2" t="s">
        <v>71</v>
      </c>
      <c r="B1393" s="2" t="s">
        <v>72</v>
      </c>
      <c r="C1393" s="2" t="s">
        <v>73</v>
      </c>
      <c r="D1393" s="2"/>
      <c r="E1393" s="2" t="str">
        <f>"FES1162568422"</f>
        <v>FES1162568422</v>
      </c>
      <c r="F1393" s="3">
        <v>42958</v>
      </c>
      <c r="G1393" s="2">
        <v>201802</v>
      </c>
      <c r="H1393" s="2" t="s">
        <v>74</v>
      </c>
      <c r="I1393" s="2" t="s">
        <v>75</v>
      </c>
      <c r="J1393" s="2" t="s">
        <v>76</v>
      </c>
      <c r="K1393" s="2" t="s">
        <v>77</v>
      </c>
      <c r="L1393" s="2" t="s">
        <v>74</v>
      </c>
      <c r="M1393" s="2" t="s">
        <v>75</v>
      </c>
      <c r="N1393" s="2" t="s">
        <v>2099</v>
      </c>
      <c r="O1393" s="2" t="s">
        <v>358</v>
      </c>
      <c r="P1393" s="2" t="str">
        <f>"2170584517                    "</f>
        <v xml:space="preserve">2170584517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3.83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9.4</v>
      </c>
      <c r="BJ1393" s="2">
        <v>3.2</v>
      </c>
      <c r="BK1393" s="2">
        <v>10</v>
      </c>
      <c r="BL1393" s="2">
        <v>39.64</v>
      </c>
      <c r="BM1393" s="2">
        <v>5.55</v>
      </c>
      <c r="BN1393" s="2">
        <v>45.19</v>
      </c>
      <c r="BO1393" s="2">
        <v>45.19</v>
      </c>
      <c r="BP1393" s="2"/>
      <c r="BQ1393" s="2" t="s">
        <v>83</v>
      </c>
      <c r="BR1393" s="2" t="s">
        <v>84</v>
      </c>
      <c r="BS1393" s="3">
        <v>42961</v>
      </c>
      <c r="BT1393" s="4">
        <v>0.29097222222222224</v>
      </c>
      <c r="BU1393" s="2" t="s">
        <v>2100</v>
      </c>
      <c r="BV1393" s="2" t="s">
        <v>95</v>
      </c>
      <c r="BW1393" s="2"/>
      <c r="BX1393" s="2"/>
      <c r="BY1393" s="2">
        <v>15964.66</v>
      </c>
      <c r="BZ1393" s="2"/>
      <c r="CA1393" s="2" t="s">
        <v>331</v>
      </c>
      <c r="CB1393" s="2"/>
      <c r="CC1393" s="2" t="s">
        <v>75</v>
      </c>
      <c r="CD1393" s="2">
        <v>1600</v>
      </c>
      <c r="CE1393" s="2" t="s">
        <v>89</v>
      </c>
      <c r="CF1393" s="5">
        <v>42962</v>
      </c>
      <c r="CG1393" s="2"/>
      <c r="CH1393" s="2"/>
      <c r="CI1393" s="2">
        <v>1</v>
      </c>
      <c r="CJ1393" s="2">
        <v>1</v>
      </c>
      <c r="CK1393" s="2">
        <v>32</v>
      </c>
      <c r="CL1393" s="2" t="s">
        <v>86</v>
      </c>
      <c r="CM1393" s="2"/>
    </row>
    <row r="1394" spans="1:91">
      <c r="A1394" s="2" t="s">
        <v>71</v>
      </c>
      <c r="B1394" s="2" t="s">
        <v>72</v>
      </c>
      <c r="C1394" s="2" t="s">
        <v>73</v>
      </c>
      <c r="D1394" s="2"/>
      <c r="E1394" s="2" t="str">
        <f>"FES1162563635D"</f>
        <v>FES1162563635D</v>
      </c>
      <c r="F1394" s="3">
        <v>42935</v>
      </c>
      <c r="G1394" s="2">
        <v>201802</v>
      </c>
      <c r="H1394" s="2" t="s">
        <v>74</v>
      </c>
      <c r="I1394" s="2" t="s">
        <v>75</v>
      </c>
      <c r="J1394" s="2" t="s">
        <v>118</v>
      </c>
      <c r="K1394" s="2" t="s">
        <v>77</v>
      </c>
      <c r="L1394" s="2" t="s">
        <v>144</v>
      </c>
      <c r="M1394" s="2" t="s">
        <v>145</v>
      </c>
      <c r="N1394" s="2" t="s">
        <v>146</v>
      </c>
      <c r="O1394" s="2" t="s">
        <v>100</v>
      </c>
      <c r="P1394" s="2" t="str">
        <f>"                              "</f>
        <v xml:space="preserve">          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2.83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2</v>
      </c>
      <c r="BJ1394" s="2">
        <v>1.1000000000000001</v>
      </c>
      <c r="BK1394" s="2">
        <v>2</v>
      </c>
      <c r="BL1394" s="2">
        <v>32.08</v>
      </c>
      <c r="BM1394" s="2">
        <v>4.49</v>
      </c>
      <c r="BN1394" s="2">
        <v>36.57</v>
      </c>
      <c r="BO1394" s="2">
        <v>36.57</v>
      </c>
      <c r="BP1394" s="2"/>
      <c r="BQ1394" s="2" t="s">
        <v>83</v>
      </c>
      <c r="BR1394" s="2" t="s">
        <v>187</v>
      </c>
      <c r="BS1394" s="3">
        <v>42936</v>
      </c>
      <c r="BT1394" s="4">
        <v>0.39583333333333331</v>
      </c>
      <c r="BU1394" s="2" t="s">
        <v>1176</v>
      </c>
      <c r="BV1394" s="2" t="s">
        <v>95</v>
      </c>
      <c r="BW1394" s="2"/>
      <c r="BX1394" s="2"/>
      <c r="BY1394" s="2">
        <v>5320</v>
      </c>
      <c r="BZ1394" s="2"/>
      <c r="CA1394" s="2" t="s">
        <v>729</v>
      </c>
      <c r="CB1394" s="2"/>
      <c r="CC1394" s="2" t="s">
        <v>145</v>
      </c>
      <c r="CD1394" s="2">
        <v>2094</v>
      </c>
      <c r="CE1394" s="2" t="s">
        <v>89</v>
      </c>
      <c r="CF1394" s="5">
        <v>42947</v>
      </c>
      <c r="CG1394" s="2"/>
      <c r="CH1394" s="2"/>
      <c r="CI1394" s="2">
        <v>1</v>
      </c>
      <c r="CJ1394" s="2">
        <v>1</v>
      </c>
      <c r="CK1394" s="2">
        <v>22</v>
      </c>
      <c r="CL1394" s="2" t="s">
        <v>86</v>
      </c>
      <c r="CM1394" s="2"/>
    </row>
    <row r="1395" spans="1:91">
      <c r="A1395" s="2" t="s">
        <v>71</v>
      </c>
      <c r="B1395" s="2" t="s">
        <v>72</v>
      </c>
      <c r="C1395" s="2" t="s">
        <v>73</v>
      </c>
      <c r="D1395" s="2"/>
      <c r="E1395" s="2" t="str">
        <f>"FES1162568297"</f>
        <v>FES1162568297</v>
      </c>
      <c r="F1395" s="3">
        <v>42958</v>
      </c>
      <c r="G1395" s="2">
        <v>201802</v>
      </c>
      <c r="H1395" s="2" t="s">
        <v>74</v>
      </c>
      <c r="I1395" s="2" t="s">
        <v>75</v>
      </c>
      <c r="J1395" s="2" t="s">
        <v>76</v>
      </c>
      <c r="K1395" s="2" t="s">
        <v>77</v>
      </c>
      <c r="L1395" s="2" t="s">
        <v>417</v>
      </c>
      <c r="M1395" s="2" t="s">
        <v>417</v>
      </c>
      <c r="N1395" s="2" t="s">
        <v>475</v>
      </c>
      <c r="O1395" s="2" t="s">
        <v>100</v>
      </c>
      <c r="P1395" s="2" t="str">
        <f>"2170584131                    "</f>
        <v xml:space="preserve">2170584131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4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1.6</v>
      </c>
      <c r="BJ1395" s="2">
        <v>1.4</v>
      </c>
      <c r="BK1395" s="2">
        <v>2</v>
      </c>
      <c r="BL1395" s="2">
        <v>41.44</v>
      </c>
      <c r="BM1395" s="2">
        <v>5.8</v>
      </c>
      <c r="BN1395" s="2">
        <v>47.24</v>
      </c>
      <c r="BO1395" s="2">
        <v>47.24</v>
      </c>
      <c r="BP1395" s="2"/>
      <c r="BQ1395" s="2" t="s">
        <v>108</v>
      </c>
      <c r="BR1395" s="2" t="s">
        <v>84</v>
      </c>
      <c r="BS1395" s="3">
        <v>42961</v>
      </c>
      <c r="BT1395" s="4">
        <v>0.44097222222222227</v>
      </c>
      <c r="BU1395" s="2" t="s">
        <v>2019</v>
      </c>
      <c r="BV1395" s="2" t="s">
        <v>95</v>
      </c>
      <c r="BW1395" s="2"/>
      <c r="BX1395" s="2"/>
      <c r="BY1395" s="2">
        <v>6992.86</v>
      </c>
      <c r="BZ1395" s="2"/>
      <c r="CA1395" s="2" t="s">
        <v>460</v>
      </c>
      <c r="CB1395" s="2"/>
      <c r="CC1395" s="2" t="s">
        <v>417</v>
      </c>
      <c r="CD1395" s="2">
        <v>7646</v>
      </c>
      <c r="CE1395" s="2" t="s">
        <v>89</v>
      </c>
      <c r="CF1395" s="5">
        <v>42962</v>
      </c>
      <c r="CG1395" s="2"/>
      <c r="CH1395" s="2"/>
      <c r="CI1395" s="2">
        <v>1</v>
      </c>
      <c r="CJ1395" s="2">
        <v>1</v>
      </c>
      <c r="CK1395" s="2">
        <v>21</v>
      </c>
      <c r="CL1395" s="2" t="s">
        <v>86</v>
      </c>
      <c r="CM1395" s="2"/>
    </row>
    <row r="1396" spans="1:91">
      <c r="A1396" s="2" t="s">
        <v>71</v>
      </c>
      <c r="B1396" s="2" t="s">
        <v>72</v>
      </c>
      <c r="C1396" s="2" t="s">
        <v>73</v>
      </c>
      <c r="D1396" s="2"/>
      <c r="E1396" s="2" t="str">
        <f>"FES1162563641D"</f>
        <v>FES1162563641D</v>
      </c>
      <c r="F1396" s="3">
        <v>42935</v>
      </c>
      <c r="G1396" s="2">
        <v>201802</v>
      </c>
      <c r="H1396" s="2" t="s">
        <v>74</v>
      </c>
      <c r="I1396" s="2" t="s">
        <v>75</v>
      </c>
      <c r="J1396" s="2" t="s">
        <v>118</v>
      </c>
      <c r="K1396" s="2" t="s">
        <v>77</v>
      </c>
      <c r="L1396" s="2" t="s">
        <v>446</v>
      </c>
      <c r="M1396" s="2" t="s">
        <v>447</v>
      </c>
      <c r="N1396" s="2" t="s">
        <v>961</v>
      </c>
      <c r="O1396" s="2" t="s">
        <v>100</v>
      </c>
      <c r="P1396" s="2" t="str">
        <f t="shared" ref="P1396:P1410" si="0">"                              "</f>
        <v xml:space="preserve">          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5.0999999999999996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1</v>
      </c>
      <c r="BJ1396" s="2">
        <v>0.2</v>
      </c>
      <c r="BK1396" s="2">
        <v>1</v>
      </c>
      <c r="BL1396" s="2">
        <v>57.75</v>
      </c>
      <c r="BM1396" s="2">
        <v>8.09</v>
      </c>
      <c r="BN1396" s="2">
        <v>65.84</v>
      </c>
      <c r="BO1396" s="2">
        <v>65.84</v>
      </c>
      <c r="BP1396" s="2"/>
      <c r="BQ1396" s="2" t="s">
        <v>962</v>
      </c>
      <c r="BR1396" s="2" t="s">
        <v>187</v>
      </c>
      <c r="BS1396" s="3">
        <v>42936</v>
      </c>
      <c r="BT1396" s="4">
        <v>0.54166666666666663</v>
      </c>
      <c r="BU1396" s="2" t="s">
        <v>2101</v>
      </c>
      <c r="BV1396" s="2" t="s">
        <v>95</v>
      </c>
      <c r="BW1396" s="2"/>
      <c r="BX1396" s="2"/>
      <c r="BY1396" s="2">
        <v>1200</v>
      </c>
      <c r="BZ1396" s="2"/>
      <c r="CA1396" s="2"/>
      <c r="CB1396" s="2"/>
      <c r="CC1396" s="2" t="s">
        <v>447</v>
      </c>
      <c r="CD1396" s="2">
        <v>1759</v>
      </c>
      <c r="CE1396" s="2" t="s">
        <v>104</v>
      </c>
      <c r="CF1396" s="5">
        <v>42945</v>
      </c>
      <c r="CG1396" s="2"/>
      <c r="CH1396" s="2"/>
      <c r="CI1396" s="2">
        <v>1</v>
      </c>
      <c r="CJ1396" s="2">
        <v>1</v>
      </c>
      <c r="CK1396" s="2">
        <v>24</v>
      </c>
      <c r="CL1396" s="2" t="s">
        <v>86</v>
      </c>
      <c r="CM1396" s="2"/>
    </row>
    <row r="1397" spans="1:91">
      <c r="A1397" s="2" t="s">
        <v>71</v>
      </c>
      <c r="B1397" s="2" t="s">
        <v>72</v>
      </c>
      <c r="C1397" s="2" t="s">
        <v>73</v>
      </c>
      <c r="D1397" s="2"/>
      <c r="E1397" s="2" t="str">
        <f>"FES1162564768D"</f>
        <v>FES1162564768D</v>
      </c>
      <c r="F1397" s="3">
        <v>42942</v>
      </c>
      <c r="G1397" s="2">
        <v>201802</v>
      </c>
      <c r="H1397" s="2" t="s">
        <v>74</v>
      </c>
      <c r="I1397" s="2" t="s">
        <v>75</v>
      </c>
      <c r="J1397" s="2" t="s">
        <v>118</v>
      </c>
      <c r="K1397" s="2" t="s">
        <v>77</v>
      </c>
      <c r="L1397" s="2" t="s">
        <v>510</v>
      </c>
      <c r="M1397" s="2" t="s">
        <v>511</v>
      </c>
      <c r="N1397" s="2" t="s">
        <v>2102</v>
      </c>
      <c r="O1397" s="2" t="s">
        <v>358</v>
      </c>
      <c r="P1397" s="2" t="str">
        <f t="shared" si="0"/>
        <v xml:space="preserve">          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10.199999999999999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1</v>
      </c>
      <c r="BI1397" s="2">
        <v>6</v>
      </c>
      <c r="BJ1397" s="2">
        <v>3.4</v>
      </c>
      <c r="BK1397" s="2">
        <v>6</v>
      </c>
      <c r="BL1397" s="2">
        <v>115.5</v>
      </c>
      <c r="BM1397" s="2">
        <v>16.170000000000002</v>
      </c>
      <c r="BN1397" s="2">
        <v>131.66999999999999</v>
      </c>
      <c r="BO1397" s="2">
        <v>131.66999999999999</v>
      </c>
      <c r="BP1397" s="2"/>
      <c r="BQ1397" s="2" t="s">
        <v>108</v>
      </c>
      <c r="BR1397" s="2" t="s">
        <v>187</v>
      </c>
      <c r="BS1397" s="3">
        <v>42943</v>
      </c>
      <c r="BT1397" s="4">
        <v>0.31597222222222221</v>
      </c>
      <c r="BU1397" s="2" t="s">
        <v>2103</v>
      </c>
      <c r="BV1397" s="2" t="s">
        <v>95</v>
      </c>
      <c r="BW1397" s="2"/>
      <c r="BX1397" s="2"/>
      <c r="BY1397" s="2">
        <v>16859.66</v>
      </c>
      <c r="BZ1397" s="2"/>
      <c r="CA1397" s="2" t="s">
        <v>514</v>
      </c>
      <c r="CB1397" s="2"/>
      <c r="CC1397" s="2" t="s">
        <v>511</v>
      </c>
      <c r="CD1397" s="2">
        <v>6229</v>
      </c>
      <c r="CE1397" s="2" t="s">
        <v>89</v>
      </c>
      <c r="CF1397" s="5">
        <v>42944</v>
      </c>
      <c r="CG1397" s="2"/>
      <c r="CH1397" s="2"/>
      <c r="CI1397" s="2">
        <v>1</v>
      </c>
      <c r="CJ1397" s="2">
        <v>1</v>
      </c>
      <c r="CK1397" s="2">
        <v>31</v>
      </c>
      <c r="CL1397" s="2" t="s">
        <v>86</v>
      </c>
      <c r="CM1397" s="2"/>
    </row>
    <row r="1398" spans="1:91">
      <c r="A1398" s="2" t="s">
        <v>71</v>
      </c>
      <c r="B1398" s="2" t="s">
        <v>72</v>
      </c>
      <c r="C1398" s="2" t="s">
        <v>73</v>
      </c>
      <c r="D1398" s="2"/>
      <c r="E1398" s="2" t="str">
        <f>"FES1162563649D"</f>
        <v>FES1162563649D</v>
      </c>
      <c r="F1398" s="3">
        <v>42935</v>
      </c>
      <c r="G1398" s="2">
        <v>201802</v>
      </c>
      <c r="H1398" s="2" t="s">
        <v>74</v>
      </c>
      <c r="I1398" s="2" t="s">
        <v>75</v>
      </c>
      <c r="J1398" s="2" t="s">
        <v>118</v>
      </c>
      <c r="K1398" s="2" t="s">
        <v>77</v>
      </c>
      <c r="L1398" s="2" t="s">
        <v>268</v>
      </c>
      <c r="M1398" s="2" t="s">
        <v>269</v>
      </c>
      <c r="N1398" s="2" t="s">
        <v>2104</v>
      </c>
      <c r="O1398" s="2" t="s">
        <v>100</v>
      </c>
      <c r="P1398" s="2" t="str">
        <f t="shared" si="0"/>
        <v xml:space="preserve">          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4.53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1</v>
      </c>
      <c r="BI1398" s="2">
        <v>0.9</v>
      </c>
      <c r="BJ1398" s="2">
        <v>2.2000000000000002</v>
      </c>
      <c r="BK1398" s="2">
        <v>2.5</v>
      </c>
      <c r="BL1398" s="2">
        <v>51.33</v>
      </c>
      <c r="BM1398" s="2">
        <v>7.19</v>
      </c>
      <c r="BN1398" s="2">
        <v>58.52</v>
      </c>
      <c r="BO1398" s="2">
        <v>58.52</v>
      </c>
      <c r="BP1398" s="2"/>
      <c r="BQ1398" s="2"/>
      <c r="BR1398" s="2" t="s">
        <v>187</v>
      </c>
      <c r="BS1398" s="3">
        <v>42936</v>
      </c>
      <c r="BT1398" s="4">
        <v>0.4777777777777778</v>
      </c>
      <c r="BU1398" s="2" t="s">
        <v>2105</v>
      </c>
      <c r="BV1398" s="2" t="s">
        <v>95</v>
      </c>
      <c r="BW1398" s="2"/>
      <c r="BX1398" s="2"/>
      <c r="BY1398" s="2">
        <v>11184.8</v>
      </c>
      <c r="BZ1398" s="2"/>
      <c r="CA1398" s="2" t="s">
        <v>2106</v>
      </c>
      <c r="CB1398" s="2"/>
      <c r="CC1398" s="2" t="s">
        <v>269</v>
      </c>
      <c r="CD1398" s="2">
        <v>157</v>
      </c>
      <c r="CE1398" s="2" t="s">
        <v>948</v>
      </c>
      <c r="CF1398" s="5">
        <v>42945</v>
      </c>
      <c r="CG1398" s="2"/>
      <c r="CH1398" s="2"/>
      <c r="CI1398" s="2">
        <v>1</v>
      </c>
      <c r="CJ1398" s="2">
        <v>1</v>
      </c>
      <c r="CK1398" s="2">
        <v>21</v>
      </c>
      <c r="CL1398" s="2" t="s">
        <v>86</v>
      </c>
      <c r="CM1398" s="2"/>
    </row>
    <row r="1399" spans="1:91">
      <c r="A1399" s="2" t="s">
        <v>71</v>
      </c>
      <c r="B1399" s="2" t="s">
        <v>72</v>
      </c>
      <c r="C1399" s="2" t="s">
        <v>73</v>
      </c>
      <c r="D1399" s="2"/>
      <c r="E1399" s="2" t="str">
        <f>"FES1162563654D"</f>
        <v>FES1162563654D</v>
      </c>
      <c r="F1399" s="3">
        <v>42935</v>
      </c>
      <c r="G1399" s="2">
        <v>201802</v>
      </c>
      <c r="H1399" s="2" t="s">
        <v>74</v>
      </c>
      <c r="I1399" s="2" t="s">
        <v>75</v>
      </c>
      <c r="J1399" s="2" t="s">
        <v>118</v>
      </c>
      <c r="K1399" s="2" t="s">
        <v>77</v>
      </c>
      <c r="L1399" s="2" t="s">
        <v>723</v>
      </c>
      <c r="M1399" s="2" t="s">
        <v>724</v>
      </c>
      <c r="N1399" s="2" t="s">
        <v>1719</v>
      </c>
      <c r="O1399" s="2" t="s">
        <v>100</v>
      </c>
      <c r="P1399" s="2" t="str">
        <f t="shared" si="0"/>
        <v xml:space="preserve">           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5.0999999999999996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1.8</v>
      </c>
      <c r="BJ1399" s="2">
        <v>1.5</v>
      </c>
      <c r="BK1399" s="2">
        <v>2</v>
      </c>
      <c r="BL1399" s="2">
        <v>57.75</v>
      </c>
      <c r="BM1399" s="2">
        <v>8.09</v>
      </c>
      <c r="BN1399" s="2">
        <v>65.84</v>
      </c>
      <c r="BO1399" s="2">
        <v>65.84</v>
      </c>
      <c r="BP1399" s="2"/>
      <c r="BQ1399" s="2" t="s">
        <v>1720</v>
      </c>
      <c r="BR1399" s="2" t="s">
        <v>187</v>
      </c>
      <c r="BS1399" s="3">
        <v>42936</v>
      </c>
      <c r="BT1399" s="4">
        <v>0.37847222222222227</v>
      </c>
      <c r="BU1399" s="2" t="s">
        <v>2107</v>
      </c>
      <c r="BV1399" s="2" t="s">
        <v>95</v>
      </c>
      <c r="BW1399" s="2"/>
      <c r="BX1399" s="2"/>
      <c r="BY1399" s="2">
        <v>7629.3</v>
      </c>
      <c r="BZ1399" s="2"/>
      <c r="CA1399" s="2"/>
      <c r="CB1399" s="2"/>
      <c r="CC1399" s="2" t="s">
        <v>724</v>
      </c>
      <c r="CD1399" s="2">
        <v>1739</v>
      </c>
      <c r="CE1399" s="2" t="s">
        <v>104</v>
      </c>
      <c r="CF1399" s="5">
        <v>42947</v>
      </c>
      <c r="CG1399" s="2"/>
      <c r="CH1399" s="2"/>
      <c r="CI1399" s="2">
        <v>1</v>
      </c>
      <c r="CJ1399" s="2">
        <v>1</v>
      </c>
      <c r="CK1399" s="2">
        <v>24</v>
      </c>
      <c r="CL1399" s="2" t="s">
        <v>86</v>
      </c>
      <c r="CM1399" s="2"/>
    </row>
    <row r="1400" spans="1:91">
      <c r="A1400" s="2" t="s">
        <v>71</v>
      </c>
      <c r="B1400" s="2" t="s">
        <v>72</v>
      </c>
      <c r="C1400" s="2" t="s">
        <v>73</v>
      </c>
      <c r="D1400" s="2"/>
      <c r="E1400" s="2" t="str">
        <f>"FES1162563655D"</f>
        <v>FES1162563655D</v>
      </c>
      <c r="F1400" s="3">
        <v>42935</v>
      </c>
      <c r="G1400" s="2">
        <v>201802</v>
      </c>
      <c r="H1400" s="2" t="s">
        <v>74</v>
      </c>
      <c r="I1400" s="2" t="s">
        <v>75</v>
      </c>
      <c r="J1400" s="2" t="s">
        <v>118</v>
      </c>
      <c r="K1400" s="2" t="s">
        <v>77</v>
      </c>
      <c r="L1400" s="2" t="s">
        <v>144</v>
      </c>
      <c r="M1400" s="2" t="s">
        <v>145</v>
      </c>
      <c r="N1400" s="2" t="s">
        <v>1578</v>
      </c>
      <c r="O1400" s="2" t="s">
        <v>100</v>
      </c>
      <c r="P1400" s="2" t="str">
        <f t="shared" si="0"/>
        <v xml:space="preserve">          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2.83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1</v>
      </c>
      <c r="BI1400" s="2">
        <v>0.4</v>
      </c>
      <c r="BJ1400" s="2">
        <v>1.3</v>
      </c>
      <c r="BK1400" s="2">
        <v>2</v>
      </c>
      <c r="BL1400" s="2">
        <v>32.08</v>
      </c>
      <c r="BM1400" s="2">
        <v>4.49</v>
      </c>
      <c r="BN1400" s="2">
        <v>36.57</v>
      </c>
      <c r="BO1400" s="2">
        <v>36.57</v>
      </c>
      <c r="BP1400" s="2"/>
      <c r="BQ1400" s="2" t="s">
        <v>108</v>
      </c>
      <c r="BR1400" s="2" t="s">
        <v>187</v>
      </c>
      <c r="BS1400" s="3">
        <v>42936</v>
      </c>
      <c r="BT1400" s="4">
        <v>0.44861111111111113</v>
      </c>
      <c r="BU1400" s="2" t="s">
        <v>1579</v>
      </c>
      <c r="BV1400" s="2" t="s">
        <v>95</v>
      </c>
      <c r="BW1400" s="2"/>
      <c r="BX1400" s="2"/>
      <c r="BY1400" s="2">
        <v>6566.4</v>
      </c>
      <c r="BZ1400" s="2"/>
      <c r="CA1400" s="2" t="s">
        <v>729</v>
      </c>
      <c r="CB1400" s="2"/>
      <c r="CC1400" s="2" t="s">
        <v>145</v>
      </c>
      <c r="CD1400" s="2">
        <v>2197</v>
      </c>
      <c r="CE1400" s="2" t="s">
        <v>104</v>
      </c>
      <c r="CF1400" s="5">
        <v>42947</v>
      </c>
      <c r="CG1400" s="2"/>
      <c r="CH1400" s="2"/>
      <c r="CI1400" s="2">
        <v>1</v>
      </c>
      <c r="CJ1400" s="2">
        <v>1</v>
      </c>
      <c r="CK1400" s="2">
        <v>22</v>
      </c>
      <c r="CL1400" s="2" t="s">
        <v>86</v>
      </c>
      <c r="CM1400" s="2"/>
    </row>
    <row r="1401" spans="1:91">
      <c r="A1401" s="2" t="s">
        <v>71</v>
      </c>
      <c r="B1401" s="2" t="s">
        <v>72</v>
      </c>
      <c r="C1401" s="2" t="s">
        <v>73</v>
      </c>
      <c r="D1401" s="2"/>
      <c r="E1401" s="2" t="str">
        <f>"FES1162564757D"</f>
        <v>FES1162564757D</v>
      </c>
      <c r="F1401" s="3">
        <v>42942</v>
      </c>
      <c r="G1401" s="2">
        <v>201802</v>
      </c>
      <c r="H1401" s="2" t="s">
        <v>74</v>
      </c>
      <c r="I1401" s="2" t="s">
        <v>75</v>
      </c>
      <c r="J1401" s="2" t="s">
        <v>118</v>
      </c>
      <c r="K1401" s="2" t="s">
        <v>77</v>
      </c>
      <c r="L1401" s="2" t="s">
        <v>97</v>
      </c>
      <c r="M1401" s="2" t="s">
        <v>98</v>
      </c>
      <c r="N1401" s="2" t="s">
        <v>248</v>
      </c>
      <c r="O1401" s="2" t="s">
        <v>100</v>
      </c>
      <c r="P1401" s="2" t="str">
        <f t="shared" si="0"/>
        <v xml:space="preserve">          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5.44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1</v>
      </c>
      <c r="BI1401" s="2">
        <v>1.3</v>
      </c>
      <c r="BJ1401" s="2">
        <v>3</v>
      </c>
      <c r="BK1401" s="2">
        <v>3</v>
      </c>
      <c r="BL1401" s="2">
        <v>61.6</v>
      </c>
      <c r="BM1401" s="2">
        <v>8.6199999999999992</v>
      </c>
      <c r="BN1401" s="2">
        <v>70.22</v>
      </c>
      <c r="BO1401" s="2">
        <v>70.22</v>
      </c>
      <c r="BP1401" s="2"/>
      <c r="BQ1401" s="2" t="s">
        <v>83</v>
      </c>
      <c r="BR1401" s="2" t="s">
        <v>187</v>
      </c>
      <c r="BS1401" s="3">
        <v>42943</v>
      </c>
      <c r="BT1401" s="4">
        <v>0.35416666666666669</v>
      </c>
      <c r="BU1401" s="2" t="s">
        <v>1130</v>
      </c>
      <c r="BV1401" s="2" t="s">
        <v>95</v>
      </c>
      <c r="BW1401" s="2"/>
      <c r="BX1401" s="2"/>
      <c r="BY1401" s="2">
        <v>14845.08</v>
      </c>
      <c r="BZ1401" s="2"/>
      <c r="CA1401" s="2" t="s">
        <v>804</v>
      </c>
      <c r="CB1401" s="2"/>
      <c r="CC1401" s="2" t="s">
        <v>98</v>
      </c>
      <c r="CD1401" s="2">
        <v>6001</v>
      </c>
      <c r="CE1401" s="2" t="s">
        <v>104</v>
      </c>
      <c r="CF1401" s="5">
        <v>42944</v>
      </c>
      <c r="CG1401" s="2"/>
      <c r="CH1401" s="2"/>
      <c r="CI1401" s="2">
        <v>1</v>
      </c>
      <c r="CJ1401" s="2">
        <v>1</v>
      </c>
      <c r="CK1401" s="2">
        <v>21</v>
      </c>
      <c r="CL1401" s="2" t="s">
        <v>86</v>
      </c>
      <c r="CM1401" s="2"/>
    </row>
    <row r="1402" spans="1:91">
      <c r="A1402" s="2" t="s">
        <v>71</v>
      </c>
      <c r="B1402" s="2" t="s">
        <v>72</v>
      </c>
      <c r="C1402" s="2" t="s">
        <v>73</v>
      </c>
      <c r="D1402" s="2"/>
      <c r="E1402" s="2" t="str">
        <f>"FES1162563673D"</f>
        <v>FES1162563673D</v>
      </c>
      <c r="F1402" s="3">
        <v>42935</v>
      </c>
      <c r="G1402" s="2">
        <v>201802</v>
      </c>
      <c r="H1402" s="2" t="s">
        <v>74</v>
      </c>
      <c r="I1402" s="2" t="s">
        <v>75</v>
      </c>
      <c r="J1402" s="2" t="s">
        <v>118</v>
      </c>
      <c r="K1402" s="2" t="s">
        <v>77</v>
      </c>
      <c r="L1402" s="2" t="s">
        <v>170</v>
      </c>
      <c r="M1402" s="2" t="s">
        <v>171</v>
      </c>
      <c r="N1402" s="2" t="s">
        <v>1935</v>
      </c>
      <c r="O1402" s="2" t="s">
        <v>100</v>
      </c>
      <c r="P1402" s="2" t="str">
        <f t="shared" si="0"/>
        <v xml:space="preserve">          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2.83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1</v>
      </c>
      <c r="BJ1402" s="2">
        <v>0.2</v>
      </c>
      <c r="BK1402" s="2">
        <v>1</v>
      </c>
      <c r="BL1402" s="2">
        <v>32.08</v>
      </c>
      <c r="BM1402" s="2">
        <v>4.49</v>
      </c>
      <c r="BN1402" s="2">
        <v>36.57</v>
      </c>
      <c r="BO1402" s="2">
        <v>36.57</v>
      </c>
      <c r="BP1402" s="2"/>
      <c r="BQ1402" s="2" t="s">
        <v>2108</v>
      </c>
      <c r="BR1402" s="2" t="s">
        <v>187</v>
      </c>
      <c r="BS1402" s="3">
        <v>42936</v>
      </c>
      <c r="BT1402" s="4">
        <v>0.40902777777777777</v>
      </c>
      <c r="BU1402" s="2" t="s">
        <v>1936</v>
      </c>
      <c r="BV1402" s="2" t="s">
        <v>95</v>
      </c>
      <c r="BW1402" s="2"/>
      <c r="BX1402" s="2"/>
      <c r="BY1402" s="2">
        <v>1200</v>
      </c>
      <c r="BZ1402" s="2"/>
      <c r="CA1402" s="2" t="s">
        <v>1441</v>
      </c>
      <c r="CB1402" s="2"/>
      <c r="CC1402" s="2" t="s">
        <v>171</v>
      </c>
      <c r="CD1402" s="2">
        <v>1406</v>
      </c>
      <c r="CE1402" s="2" t="s">
        <v>104</v>
      </c>
      <c r="CF1402" s="5">
        <v>42947</v>
      </c>
      <c r="CG1402" s="2"/>
      <c r="CH1402" s="2"/>
      <c r="CI1402" s="2">
        <v>1</v>
      </c>
      <c r="CJ1402" s="2">
        <v>1</v>
      </c>
      <c r="CK1402" s="2">
        <v>22</v>
      </c>
      <c r="CL1402" s="2" t="s">
        <v>86</v>
      </c>
      <c r="CM1402" s="2"/>
    </row>
    <row r="1403" spans="1:91">
      <c r="A1403" s="2" t="s">
        <v>71</v>
      </c>
      <c r="B1403" s="2" t="s">
        <v>72</v>
      </c>
      <c r="C1403" s="2" t="s">
        <v>73</v>
      </c>
      <c r="D1403" s="2"/>
      <c r="E1403" s="2" t="str">
        <f>"FES1162563672D"</f>
        <v>FES1162563672D</v>
      </c>
      <c r="F1403" s="3">
        <v>42935</v>
      </c>
      <c r="G1403" s="2">
        <v>201802</v>
      </c>
      <c r="H1403" s="2" t="s">
        <v>74</v>
      </c>
      <c r="I1403" s="2" t="s">
        <v>75</v>
      </c>
      <c r="J1403" s="2" t="s">
        <v>118</v>
      </c>
      <c r="K1403" s="2" t="s">
        <v>77</v>
      </c>
      <c r="L1403" s="2" t="s">
        <v>74</v>
      </c>
      <c r="M1403" s="2" t="s">
        <v>75</v>
      </c>
      <c r="N1403" s="2" t="s">
        <v>833</v>
      </c>
      <c r="O1403" s="2" t="s">
        <v>100</v>
      </c>
      <c r="P1403" s="2" t="str">
        <f t="shared" si="0"/>
        <v xml:space="preserve">          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2.83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0.8</v>
      </c>
      <c r="BJ1403" s="2">
        <v>1.5</v>
      </c>
      <c r="BK1403" s="2">
        <v>2</v>
      </c>
      <c r="BL1403" s="2">
        <v>32.08</v>
      </c>
      <c r="BM1403" s="2">
        <v>4.49</v>
      </c>
      <c r="BN1403" s="2">
        <v>36.57</v>
      </c>
      <c r="BO1403" s="2">
        <v>36.57</v>
      </c>
      <c r="BP1403" s="2"/>
      <c r="BQ1403" s="2" t="s">
        <v>2109</v>
      </c>
      <c r="BR1403" s="2" t="s">
        <v>187</v>
      </c>
      <c r="BS1403" s="3">
        <v>42936</v>
      </c>
      <c r="BT1403" s="4">
        <v>0.34583333333333338</v>
      </c>
      <c r="BU1403" s="2" t="s">
        <v>2110</v>
      </c>
      <c r="BV1403" s="2" t="s">
        <v>95</v>
      </c>
      <c r="BW1403" s="2"/>
      <c r="BX1403" s="2"/>
      <c r="BY1403" s="2">
        <v>7420.81</v>
      </c>
      <c r="BZ1403" s="2"/>
      <c r="CA1403" s="2" t="s">
        <v>194</v>
      </c>
      <c r="CB1403" s="2"/>
      <c r="CC1403" s="2" t="s">
        <v>75</v>
      </c>
      <c r="CD1403" s="2">
        <v>1666</v>
      </c>
      <c r="CE1403" s="2" t="s">
        <v>104</v>
      </c>
      <c r="CF1403" s="5">
        <v>42947</v>
      </c>
      <c r="CG1403" s="2"/>
      <c r="CH1403" s="2"/>
      <c r="CI1403" s="2">
        <v>1</v>
      </c>
      <c r="CJ1403" s="2">
        <v>1</v>
      </c>
      <c r="CK1403" s="2">
        <v>22</v>
      </c>
      <c r="CL1403" s="2" t="s">
        <v>86</v>
      </c>
      <c r="CM1403" s="2"/>
    </row>
    <row r="1404" spans="1:91">
      <c r="A1404" s="2" t="s">
        <v>71</v>
      </c>
      <c r="B1404" s="2" t="s">
        <v>72</v>
      </c>
      <c r="C1404" s="2" t="s">
        <v>73</v>
      </c>
      <c r="D1404" s="2"/>
      <c r="E1404" s="2" t="str">
        <f>"FES1162563667D"</f>
        <v>FES1162563667D</v>
      </c>
      <c r="F1404" s="3">
        <v>42935</v>
      </c>
      <c r="G1404" s="2">
        <v>201802</v>
      </c>
      <c r="H1404" s="2" t="s">
        <v>74</v>
      </c>
      <c r="I1404" s="2" t="s">
        <v>75</v>
      </c>
      <c r="J1404" s="2" t="s">
        <v>118</v>
      </c>
      <c r="K1404" s="2" t="s">
        <v>77</v>
      </c>
      <c r="L1404" s="2" t="s">
        <v>311</v>
      </c>
      <c r="M1404" s="2" t="s">
        <v>312</v>
      </c>
      <c r="N1404" s="2" t="s">
        <v>730</v>
      </c>
      <c r="O1404" s="2" t="s">
        <v>100</v>
      </c>
      <c r="P1404" s="2" t="str">
        <f t="shared" si="0"/>
        <v xml:space="preserve">           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2.83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1</v>
      </c>
      <c r="BJ1404" s="2">
        <v>0.2</v>
      </c>
      <c r="BK1404" s="2">
        <v>1</v>
      </c>
      <c r="BL1404" s="2">
        <v>32.08</v>
      </c>
      <c r="BM1404" s="2">
        <v>4.49</v>
      </c>
      <c r="BN1404" s="2">
        <v>36.57</v>
      </c>
      <c r="BO1404" s="2">
        <v>36.57</v>
      </c>
      <c r="BP1404" s="2"/>
      <c r="BQ1404" s="2" t="s">
        <v>108</v>
      </c>
      <c r="BR1404" s="2" t="s">
        <v>187</v>
      </c>
      <c r="BS1404" s="3">
        <v>42936</v>
      </c>
      <c r="BT1404" s="4">
        <v>0.4375</v>
      </c>
      <c r="BU1404" s="2" t="s">
        <v>2111</v>
      </c>
      <c r="BV1404" s="2" t="s">
        <v>95</v>
      </c>
      <c r="BW1404" s="2"/>
      <c r="BX1404" s="2"/>
      <c r="BY1404" s="2">
        <v>1200</v>
      </c>
      <c r="BZ1404" s="2"/>
      <c r="CA1404" s="2" t="s">
        <v>889</v>
      </c>
      <c r="CB1404" s="2"/>
      <c r="CC1404" s="2" t="s">
        <v>312</v>
      </c>
      <c r="CD1404" s="2">
        <v>1559</v>
      </c>
      <c r="CE1404" s="2" t="s">
        <v>104</v>
      </c>
      <c r="CF1404" s="5">
        <v>42947</v>
      </c>
      <c r="CG1404" s="2"/>
      <c r="CH1404" s="2"/>
      <c r="CI1404" s="2">
        <v>1</v>
      </c>
      <c r="CJ1404" s="2">
        <v>1</v>
      </c>
      <c r="CK1404" s="2">
        <v>22</v>
      </c>
      <c r="CL1404" s="2" t="s">
        <v>86</v>
      </c>
      <c r="CM1404" s="2"/>
    </row>
    <row r="1405" spans="1:91">
      <c r="A1405" s="2" t="s">
        <v>71</v>
      </c>
      <c r="B1405" s="2" t="s">
        <v>72</v>
      </c>
      <c r="C1405" s="2" t="s">
        <v>73</v>
      </c>
      <c r="D1405" s="2"/>
      <c r="E1405" s="2" t="str">
        <f>"FES1162564762D"</f>
        <v>FES1162564762D</v>
      </c>
      <c r="F1405" s="3">
        <v>42942</v>
      </c>
      <c r="G1405" s="2">
        <v>201802</v>
      </c>
      <c r="H1405" s="2" t="s">
        <v>74</v>
      </c>
      <c r="I1405" s="2" t="s">
        <v>75</v>
      </c>
      <c r="J1405" s="2" t="s">
        <v>118</v>
      </c>
      <c r="K1405" s="2" t="s">
        <v>77</v>
      </c>
      <c r="L1405" s="2" t="s">
        <v>510</v>
      </c>
      <c r="M1405" s="2" t="s">
        <v>511</v>
      </c>
      <c r="N1405" s="2" t="s">
        <v>2112</v>
      </c>
      <c r="O1405" s="2" t="s">
        <v>100</v>
      </c>
      <c r="P1405" s="2" t="str">
        <f t="shared" si="0"/>
        <v xml:space="preserve">          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3.63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1</v>
      </c>
      <c r="BJ1405" s="2">
        <v>0.2</v>
      </c>
      <c r="BK1405" s="2">
        <v>1</v>
      </c>
      <c r="BL1405" s="2">
        <v>41.07</v>
      </c>
      <c r="BM1405" s="2">
        <v>5.75</v>
      </c>
      <c r="BN1405" s="2">
        <v>46.82</v>
      </c>
      <c r="BO1405" s="2">
        <v>46.82</v>
      </c>
      <c r="BP1405" s="2"/>
      <c r="BQ1405" s="2" t="s">
        <v>108</v>
      </c>
      <c r="BR1405" s="2" t="s">
        <v>187</v>
      </c>
      <c r="BS1405" s="3">
        <v>42943</v>
      </c>
      <c r="BT1405" s="4">
        <v>0.40347222222222223</v>
      </c>
      <c r="BU1405" s="2" t="s">
        <v>271</v>
      </c>
      <c r="BV1405" s="2" t="s">
        <v>95</v>
      </c>
      <c r="BW1405" s="2"/>
      <c r="BX1405" s="2"/>
      <c r="BY1405" s="2">
        <v>1200</v>
      </c>
      <c r="BZ1405" s="2"/>
      <c r="CA1405" s="2" t="s">
        <v>514</v>
      </c>
      <c r="CB1405" s="2"/>
      <c r="CC1405" s="2" t="s">
        <v>511</v>
      </c>
      <c r="CD1405" s="2">
        <v>6230</v>
      </c>
      <c r="CE1405" s="2" t="s">
        <v>104</v>
      </c>
      <c r="CF1405" s="5">
        <v>42944</v>
      </c>
      <c r="CG1405" s="2"/>
      <c r="CH1405" s="2"/>
      <c r="CI1405" s="2">
        <v>1</v>
      </c>
      <c r="CJ1405" s="2">
        <v>1</v>
      </c>
      <c r="CK1405" s="2">
        <v>21</v>
      </c>
      <c r="CL1405" s="2" t="s">
        <v>86</v>
      </c>
      <c r="CM1405" s="2"/>
    </row>
    <row r="1406" spans="1:91">
      <c r="A1406" s="2" t="s">
        <v>71</v>
      </c>
      <c r="B1406" s="2" t="s">
        <v>72</v>
      </c>
      <c r="C1406" s="2" t="s">
        <v>73</v>
      </c>
      <c r="D1406" s="2"/>
      <c r="E1406" s="2" t="str">
        <f>"FES1162564776D"</f>
        <v>FES1162564776D</v>
      </c>
      <c r="F1406" s="3">
        <v>42942</v>
      </c>
      <c r="G1406" s="2">
        <v>201802</v>
      </c>
      <c r="H1406" s="2" t="s">
        <v>74</v>
      </c>
      <c r="I1406" s="2" t="s">
        <v>75</v>
      </c>
      <c r="J1406" s="2" t="s">
        <v>118</v>
      </c>
      <c r="K1406" s="2" t="s">
        <v>77</v>
      </c>
      <c r="L1406" s="2" t="s">
        <v>164</v>
      </c>
      <c r="M1406" s="2" t="s">
        <v>165</v>
      </c>
      <c r="N1406" s="2" t="s">
        <v>1480</v>
      </c>
      <c r="O1406" s="2" t="s">
        <v>100</v>
      </c>
      <c r="P1406" s="2" t="str">
        <f t="shared" si="0"/>
        <v xml:space="preserve">           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7.26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1</v>
      </c>
      <c r="BI1406" s="2">
        <v>4</v>
      </c>
      <c r="BJ1406" s="2">
        <v>1.7</v>
      </c>
      <c r="BK1406" s="2">
        <v>4</v>
      </c>
      <c r="BL1406" s="2">
        <v>82.14</v>
      </c>
      <c r="BM1406" s="2">
        <v>11.5</v>
      </c>
      <c r="BN1406" s="2">
        <v>93.64</v>
      </c>
      <c r="BO1406" s="2">
        <v>93.64</v>
      </c>
      <c r="BP1406" s="2"/>
      <c r="BQ1406" s="2" t="s">
        <v>83</v>
      </c>
      <c r="BR1406" s="2" t="s">
        <v>187</v>
      </c>
      <c r="BS1406" s="3">
        <v>42943</v>
      </c>
      <c r="BT1406" s="4">
        <v>0.41875000000000001</v>
      </c>
      <c r="BU1406" s="2" t="s">
        <v>2113</v>
      </c>
      <c r="BV1406" s="2" t="s">
        <v>95</v>
      </c>
      <c r="BW1406" s="2"/>
      <c r="BX1406" s="2"/>
      <c r="BY1406" s="2">
        <v>8469.89</v>
      </c>
      <c r="BZ1406" s="2"/>
      <c r="CA1406" s="2" t="s">
        <v>2114</v>
      </c>
      <c r="CB1406" s="2"/>
      <c r="CC1406" s="2" t="s">
        <v>165</v>
      </c>
      <c r="CD1406" s="2">
        <v>6850</v>
      </c>
      <c r="CE1406" s="2" t="s">
        <v>89</v>
      </c>
      <c r="CF1406" s="5">
        <v>42944</v>
      </c>
      <c r="CG1406" s="2"/>
      <c r="CH1406" s="2"/>
      <c r="CI1406" s="2">
        <v>3</v>
      </c>
      <c r="CJ1406" s="2">
        <v>1</v>
      </c>
      <c r="CK1406" s="2">
        <v>21</v>
      </c>
      <c r="CL1406" s="2" t="s">
        <v>86</v>
      </c>
      <c r="CM1406" s="2"/>
    </row>
    <row r="1407" spans="1:91">
      <c r="A1407" s="2" t="s">
        <v>71</v>
      </c>
      <c r="B1407" s="2" t="s">
        <v>72</v>
      </c>
      <c r="C1407" s="2" t="s">
        <v>73</v>
      </c>
      <c r="D1407" s="2"/>
      <c r="E1407" s="2" t="str">
        <f>"FES1162564779D"</f>
        <v>FES1162564779D</v>
      </c>
      <c r="F1407" s="3">
        <v>42942</v>
      </c>
      <c r="G1407" s="2">
        <v>201802</v>
      </c>
      <c r="H1407" s="2" t="s">
        <v>74</v>
      </c>
      <c r="I1407" s="2" t="s">
        <v>75</v>
      </c>
      <c r="J1407" s="2" t="s">
        <v>118</v>
      </c>
      <c r="K1407" s="2" t="s">
        <v>77</v>
      </c>
      <c r="L1407" s="2" t="s">
        <v>944</v>
      </c>
      <c r="M1407" s="2" t="s">
        <v>944</v>
      </c>
      <c r="N1407" s="2" t="s">
        <v>2115</v>
      </c>
      <c r="O1407" s="2" t="s">
        <v>100</v>
      </c>
      <c r="P1407" s="2" t="str">
        <f t="shared" si="0"/>
        <v xml:space="preserve">          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5.0999999999999996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1.1000000000000001</v>
      </c>
      <c r="BJ1407" s="2">
        <v>2</v>
      </c>
      <c r="BK1407" s="2">
        <v>2</v>
      </c>
      <c r="BL1407" s="2">
        <v>57.75</v>
      </c>
      <c r="BM1407" s="2">
        <v>8.09</v>
      </c>
      <c r="BN1407" s="2">
        <v>65.84</v>
      </c>
      <c r="BO1407" s="2">
        <v>65.84</v>
      </c>
      <c r="BP1407" s="2"/>
      <c r="BQ1407" s="2" t="s">
        <v>108</v>
      </c>
      <c r="BR1407" s="2" t="s">
        <v>187</v>
      </c>
      <c r="BS1407" s="3">
        <v>42943</v>
      </c>
      <c r="BT1407" s="4">
        <v>0.42708333333333331</v>
      </c>
      <c r="BU1407" s="2" t="s">
        <v>1842</v>
      </c>
      <c r="BV1407" s="2" t="s">
        <v>95</v>
      </c>
      <c r="BW1407" s="2"/>
      <c r="BX1407" s="2"/>
      <c r="BY1407" s="2">
        <v>9827.6299999999992</v>
      </c>
      <c r="BZ1407" s="2"/>
      <c r="CA1407" s="2"/>
      <c r="CB1407" s="2"/>
      <c r="CC1407" s="2" t="s">
        <v>944</v>
      </c>
      <c r="CD1407" s="2">
        <v>1491</v>
      </c>
      <c r="CE1407" s="2" t="s">
        <v>104</v>
      </c>
      <c r="CF1407" s="5">
        <v>42944</v>
      </c>
      <c r="CG1407" s="2"/>
      <c r="CH1407" s="2"/>
      <c r="CI1407" s="2">
        <v>1</v>
      </c>
      <c r="CJ1407" s="2">
        <v>1</v>
      </c>
      <c r="CK1407" s="2">
        <v>24</v>
      </c>
      <c r="CL1407" s="2" t="s">
        <v>86</v>
      </c>
      <c r="CM1407" s="2"/>
    </row>
    <row r="1408" spans="1:91">
      <c r="A1408" s="2" t="s">
        <v>71</v>
      </c>
      <c r="B1408" s="2" t="s">
        <v>72</v>
      </c>
      <c r="C1408" s="2" t="s">
        <v>73</v>
      </c>
      <c r="D1408" s="2"/>
      <c r="E1408" s="2" t="str">
        <f>"FES1162564771D"</f>
        <v>FES1162564771D</v>
      </c>
      <c r="F1408" s="3">
        <v>42942</v>
      </c>
      <c r="G1408" s="2">
        <v>201802</v>
      </c>
      <c r="H1408" s="2" t="s">
        <v>74</v>
      </c>
      <c r="I1408" s="2" t="s">
        <v>75</v>
      </c>
      <c r="J1408" s="2" t="s">
        <v>118</v>
      </c>
      <c r="K1408" s="2" t="s">
        <v>77</v>
      </c>
      <c r="L1408" s="2" t="s">
        <v>244</v>
      </c>
      <c r="M1408" s="2" t="s">
        <v>245</v>
      </c>
      <c r="N1408" s="2" t="s">
        <v>793</v>
      </c>
      <c r="O1408" s="2" t="s">
        <v>100</v>
      </c>
      <c r="P1408" s="2" t="str">
        <f t="shared" si="0"/>
        <v xml:space="preserve">          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2.83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1</v>
      </c>
      <c r="BJ1408" s="2">
        <v>0.2</v>
      </c>
      <c r="BK1408" s="2">
        <v>1</v>
      </c>
      <c r="BL1408" s="2">
        <v>32.08</v>
      </c>
      <c r="BM1408" s="2">
        <v>4.49</v>
      </c>
      <c r="BN1408" s="2">
        <v>36.57</v>
      </c>
      <c r="BO1408" s="2">
        <v>36.57</v>
      </c>
      <c r="BP1408" s="2"/>
      <c r="BQ1408" s="2" t="s">
        <v>108</v>
      </c>
      <c r="BR1408" s="2" t="s">
        <v>187</v>
      </c>
      <c r="BS1408" s="3">
        <v>42943</v>
      </c>
      <c r="BT1408" s="4">
        <v>0.28819444444444448</v>
      </c>
      <c r="BU1408" s="2" t="s">
        <v>2116</v>
      </c>
      <c r="BV1408" s="2" t="s">
        <v>95</v>
      </c>
      <c r="BW1408" s="2"/>
      <c r="BX1408" s="2"/>
      <c r="BY1408" s="2">
        <v>1200</v>
      </c>
      <c r="BZ1408" s="2"/>
      <c r="CA1408" s="2" t="s">
        <v>2117</v>
      </c>
      <c r="CB1408" s="2"/>
      <c r="CC1408" s="2" t="s">
        <v>245</v>
      </c>
      <c r="CD1408" s="2">
        <v>1459</v>
      </c>
      <c r="CE1408" s="2" t="s">
        <v>104</v>
      </c>
      <c r="CF1408" s="5">
        <v>42944</v>
      </c>
      <c r="CG1408" s="2"/>
      <c r="CH1408" s="2"/>
      <c r="CI1408" s="2">
        <v>1</v>
      </c>
      <c r="CJ1408" s="2">
        <v>1</v>
      </c>
      <c r="CK1408" s="2">
        <v>22</v>
      </c>
      <c r="CL1408" s="2" t="s">
        <v>86</v>
      </c>
      <c r="CM1408" s="2"/>
    </row>
    <row r="1409" spans="1:91">
      <c r="A1409" s="2" t="s">
        <v>71</v>
      </c>
      <c r="B1409" s="2" t="s">
        <v>72</v>
      </c>
      <c r="C1409" s="2" t="s">
        <v>73</v>
      </c>
      <c r="D1409" s="2"/>
      <c r="E1409" s="2" t="str">
        <f>"FES1162564765D"</f>
        <v>FES1162564765D</v>
      </c>
      <c r="F1409" s="3">
        <v>42942</v>
      </c>
      <c r="G1409" s="2">
        <v>201802</v>
      </c>
      <c r="H1409" s="2" t="s">
        <v>74</v>
      </c>
      <c r="I1409" s="2" t="s">
        <v>75</v>
      </c>
      <c r="J1409" s="2" t="s">
        <v>118</v>
      </c>
      <c r="K1409" s="2" t="s">
        <v>77</v>
      </c>
      <c r="L1409" s="2" t="s">
        <v>417</v>
      </c>
      <c r="M1409" s="2" t="s">
        <v>417</v>
      </c>
      <c r="N1409" s="2" t="s">
        <v>1414</v>
      </c>
      <c r="O1409" s="2" t="s">
        <v>100</v>
      </c>
      <c r="P1409" s="2" t="str">
        <f t="shared" si="0"/>
        <v xml:space="preserve">          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21.77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11.6</v>
      </c>
      <c r="BJ1409" s="2">
        <v>3.3</v>
      </c>
      <c r="BK1409" s="2">
        <v>12</v>
      </c>
      <c r="BL1409" s="2">
        <v>246.41</v>
      </c>
      <c r="BM1409" s="2">
        <v>34.5</v>
      </c>
      <c r="BN1409" s="2">
        <v>280.91000000000003</v>
      </c>
      <c r="BO1409" s="2">
        <v>280.91000000000003</v>
      </c>
      <c r="BP1409" s="2"/>
      <c r="BQ1409" s="2" t="s">
        <v>108</v>
      </c>
      <c r="BR1409" s="2" t="s">
        <v>187</v>
      </c>
      <c r="BS1409" s="3">
        <v>42943</v>
      </c>
      <c r="BT1409" s="4">
        <v>0.54999999999999993</v>
      </c>
      <c r="BU1409" s="2" t="s">
        <v>2118</v>
      </c>
      <c r="BV1409" s="2" t="s">
        <v>95</v>
      </c>
      <c r="BW1409" s="2"/>
      <c r="BX1409" s="2"/>
      <c r="BY1409" s="2">
        <v>16410.240000000002</v>
      </c>
      <c r="BZ1409" s="2"/>
      <c r="CA1409" s="2" t="s">
        <v>460</v>
      </c>
      <c r="CB1409" s="2"/>
      <c r="CC1409" s="2" t="s">
        <v>417</v>
      </c>
      <c r="CD1409" s="2">
        <v>7646</v>
      </c>
      <c r="CE1409" s="2" t="s">
        <v>89</v>
      </c>
      <c r="CF1409" s="5">
        <v>42945</v>
      </c>
      <c r="CG1409" s="2"/>
      <c r="CH1409" s="2"/>
      <c r="CI1409" s="2">
        <v>1</v>
      </c>
      <c r="CJ1409" s="2">
        <v>1</v>
      </c>
      <c r="CK1409" s="2">
        <v>21</v>
      </c>
      <c r="CL1409" s="2" t="s">
        <v>86</v>
      </c>
      <c r="CM1409" s="2"/>
    </row>
    <row r="1410" spans="1:91">
      <c r="A1410" s="2" t="s">
        <v>71</v>
      </c>
      <c r="B1410" s="2" t="s">
        <v>72</v>
      </c>
      <c r="C1410" s="2" t="s">
        <v>73</v>
      </c>
      <c r="D1410" s="2"/>
      <c r="E1410" s="2" t="str">
        <f>"FES1162564764D"</f>
        <v>FES1162564764D</v>
      </c>
      <c r="F1410" s="3">
        <v>42942</v>
      </c>
      <c r="G1410" s="2">
        <v>201802</v>
      </c>
      <c r="H1410" s="2" t="s">
        <v>74</v>
      </c>
      <c r="I1410" s="2" t="s">
        <v>75</v>
      </c>
      <c r="J1410" s="2" t="s">
        <v>118</v>
      </c>
      <c r="K1410" s="2" t="s">
        <v>77</v>
      </c>
      <c r="L1410" s="2" t="s">
        <v>74</v>
      </c>
      <c r="M1410" s="2" t="s">
        <v>75</v>
      </c>
      <c r="N1410" s="2" t="s">
        <v>1370</v>
      </c>
      <c r="O1410" s="2" t="s">
        <v>100</v>
      </c>
      <c r="P1410" s="2" t="str">
        <f t="shared" si="0"/>
        <v xml:space="preserve">          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2.83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1</v>
      </c>
      <c r="BI1410" s="2">
        <v>0.5</v>
      </c>
      <c r="BJ1410" s="2">
        <v>0.2</v>
      </c>
      <c r="BK1410" s="2">
        <v>1</v>
      </c>
      <c r="BL1410" s="2">
        <v>32.08</v>
      </c>
      <c r="BM1410" s="2">
        <v>4.49</v>
      </c>
      <c r="BN1410" s="2">
        <v>36.57</v>
      </c>
      <c r="BO1410" s="2">
        <v>36.57</v>
      </c>
      <c r="BP1410" s="2"/>
      <c r="BQ1410" s="2" t="s">
        <v>108</v>
      </c>
      <c r="BR1410" s="2" t="s">
        <v>187</v>
      </c>
      <c r="BS1410" s="3">
        <v>42943</v>
      </c>
      <c r="BT1410" s="4">
        <v>0.33402777777777781</v>
      </c>
      <c r="BU1410" s="2" t="s">
        <v>2119</v>
      </c>
      <c r="BV1410" s="2" t="s">
        <v>95</v>
      </c>
      <c r="BW1410" s="2"/>
      <c r="BX1410" s="2"/>
      <c r="BY1410" s="2">
        <v>1200</v>
      </c>
      <c r="BZ1410" s="2"/>
      <c r="CA1410" s="2" t="s">
        <v>1441</v>
      </c>
      <c r="CB1410" s="2"/>
      <c r="CC1410" s="2" t="s">
        <v>75</v>
      </c>
      <c r="CD1410" s="2">
        <v>1609</v>
      </c>
      <c r="CE1410" s="2" t="s">
        <v>104</v>
      </c>
      <c r="CF1410" s="5">
        <v>42944</v>
      </c>
      <c r="CG1410" s="2"/>
      <c r="CH1410" s="2"/>
      <c r="CI1410" s="2">
        <v>1</v>
      </c>
      <c r="CJ1410" s="2">
        <v>1</v>
      </c>
      <c r="CK1410" s="2">
        <v>22</v>
      </c>
      <c r="CL1410" s="2" t="s">
        <v>86</v>
      </c>
      <c r="CM1410" s="2"/>
    </row>
    <row r="1411" spans="1:91">
      <c r="A1411" s="2" t="s">
        <v>71</v>
      </c>
      <c r="B1411" s="2" t="s">
        <v>72</v>
      </c>
      <c r="C1411" s="2" t="s">
        <v>73</v>
      </c>
      <c r="D1411" s="2"/>
      <c r="E1411" s="2" t="str">
        <f>"080001702798"</f>
        <v>080001702798</v>
      </c>
      <c r="F1411" s="3">
        <v>42955</v>
      </c>
      <c r="G1411" s="2">
        <v>201802</v>
      </c>
      <c r="H1411" s="2" t="s">
        <v>470</v>
      </c>
      <c r="I1411" s="2" t="s">
        <v>471</v>
      </c>
      <c r="J1411" s="2" t="s">
        <v>2120</v>
      </c>
      <c r="K1411" s="2" t="s">
        <v>77</v>
      </c>
      <c r="L1411" s="2" t="s">
        <v>74</v>
      </c>
      <c r="M1411" s="2" t="s">
        <v>75</v>
      </c>
      <c r="N1411" s="2" t="s">
        <v>118</v>
      </c>
      <c r="O1411" s="2" t="s">
        <v>81</v>
      </c>
      <c r="P1411" s="2" t="str">
        <f>"CUSTOMER NUMBER : 17053813    "</f>
        <v xml:space="preserve">CUSTOMER NUMBER : 17053813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5.63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1</v>
      </c>
      <c r="BI1411" s="2">
        <v>14.4</v>
      </c>
      <c r="BJ1411" s="2">
        <v>1.3</v>
      </c>
      <c r="BK1411" s="2">
        <v>15</v>
      </c>
      <c r="BL1411" s="2">
        <v>63.28</v>
      </c>
      <c r="BM1411" s="2">
        <v>8.86</v>
      </c>
      <c r="BN1411" s="2">
        <v>72.14</v>
      </c>
      <c r="BO1411" s="2">
        <v>72.14</v>
      </c>
      <c r="BP1411" s="2" t="s">
        <v>2121</v>
      </c>
      <c r="BQ1411" s="2" t="s">
        <v>241</v>
      </c>
      <c r="BR1411" s="2" t="s">
        <v>2122</v>
      </c>
      <c r="BS1411" s="3">
        <v>42957</v>
      </c>
      <c r="BT1411" s="4">
        <v>0.69444444444444453</v>
      </c>
      <c r="BU1411" s="2" t="s">
        <v>179</v>
      </c>
      <c r="BV1411" s="2" t="s">
        <v>86</v>
      </c>
      <c r="BW1411" s="2" t="s">
        <v>1007</v>
      </c>
      <c r="BX1411" s="2" t="s">
        <v>1113</v>
      </c>
      <c r="BY1411" s="2">
        <v>6608</v>
      </c>
      <c r="BZ1411" s="2"/>
      <c r="CA1411" s="2"/>
      <c r="CB1411" s="2"/>
      <c r="CC1411" s="2" t="s">
        <v>75</v>
      </c>
      <c r="CD1411" s="2">
        <v>1600</v>
      </c>
      <c r="CE1411" s="2" t="s">
        <v>89</v>
      </c>
      <c r="CF1411" s="5">
        <v>42958</v>
      </c>
      <c r="CG1411" s="2"/>
      <c r="CH1411" s="2"/>
      <c r="CI1411" s="2">
        <v>0</v>
      </c>
      <c r="CJ1411" s="2">
        <v>0</v>
      </c>
      <c r="CK1411" s="2" t="s">
        <v>2123</v>
      </c>
      <c r="CL1411" s="2" t="s">
        <v>86</v>
      </c>
      <c r="CM1411" s="2"/>
    </row>
    <row r="1412" spans="1:91">
      <c r="A1412" s="2" t="s">
        <v>71</v>
      </c>
      <c r="B1412" s="2" t="s">
        <v>72</v>
      </c>
      <c r="C1412" s="2" t="s">
        <v>73</v>
      </c>
      <c r="D1412" s="2"/>
      <c r="E1412" s="2" t="str">
        <f>"FES1162568312"</f>
        <v>FES1162568312</v>
      </c>
      <c r="F1412" s="3">
        <v>42958</v>
      </c>
      <c r="G1412" s="2">
        <v>201802</v>
      </c>
      <c r="H1412" s="2" t="s">
        <v>74</v>
      </c>
      <c r="I1412" s="2" t="s">
        <v>75</v>
      </c>
      <c r="J1412" s="2" t="s">
        <v>76</v>
      </c>
      <c r="K1412" s="2" t="s">
        <v>77</v>
      </c>
      <c r="L1412" s="2" t="s">
        <v>97</v>
      </c>
      <c r="M1412" s="2" t="s">
        <v>98</v>
      </c>
      <c r="N1412" s="2" t="s">
        <v>214</v>
      </c>
      <c r="O1412" s="2" t="s">
        <v>100</v>
      </c>
      <c r="P1412" s="2" t="str">
        <f>"2170579489                    "</f>
        <v xml:space="preserve">2170579489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4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1</v>
      </c>
      <c r="BJ1412" s="2">
        <v>0.2</v>
      </c>
      <c r="BK1412" s="2">
        <v>1</v>
      </c>
      <c r="BL1412" s="2">
        <v>41.44</v>
      </c>
      <c r="BM1412" s="2">
        <v>5.8</v>
      </c>
      <c r="BN1412" s="2">
        <v>47.24</v>
      </c>
      <c r="BO1412" s="2">
        <v>47.24</v>
      </c>
      <c r="BP1412" s="2">
        <v>1</v>
      </c>
      <c r="BQ1412" s="2" t="s">
        <v>108</v>
      </c>
      <c r="BR1412" s="2" t="s">
        <v>84</v>
      </c>
      <c r="BS1412" s="3">
        <v>42961</v>
      </c>
      <c r="BT1412" s="4">
        <v>0.30486111111111108</v>
      </c>
      <c r="BU1412" s="2" t="s">
        <v>1131</v>
      </c>
      <c r="BV1412" s="2" t="s">
        <v>95</v>
      </c>
      <c r="BW1412" s="2"/>
      <c r="BX1412" s="2"/>
      <c r="BY1412" s="2">
        <v>1200</v>
      </c>
      <c r="BZ1412" s="2"/>
      <c r="CA1412" s="2" t="s">
        <v>213</v>
      </c>
      <c r="CB1412" s="2"/>
      <c r="CC1412" s="2" t="s">
        <v>98</v>
      </c>
      <c r="CD1412" s="2">
        <v>6001</v>
      </c>
      <c r="CE1412" s="2" t="s">
        <v>104</v>
      </c>
      <c r="CF1412" s="5">
        <v>42962</v>
      </c>
      <c r="CG1412" s="2"/>
      <c r="CH1412" s="2"/>
      <c r="CI1412" s="2">
        <v>1</v>
      </c>
      <c r="CJ1412" s="2">
        <v>1</v>
      </c>
      <c r="CK1412" s="2">
        <v>21</v>
      </c>
      <c r="CL1412" s="2" t="s">
        <v>86</v>
      </c>
      <c r="CM1412" s="2"/>
    </row>
    <row r="1413" spans="1:91">
      <c r="A1413" s="2" t="s">
        <v>71</v>
      </c>
      <c r="B1413" s="2" t="s">
        <v>72</v>
      </c>
      <c r="C1413" s="2" t="s">
        <v>73</v>
      </c>
      <c r="D1413" s="2"/>
      <c r="E1413" s="2" t="str">
        <f>"FES1162568501"</f>
        <v>FES1162568501</v>
      </c>
      <c r="F1413" s="3">
        <v>42958</v>
      </c>
      <c r="G1413" s="2">
        <v>201802</v>
      </c>
      <c r="H1413" s="2" t="s">
        <v>74</v>
      </c>
      <c r="I1413" s="2" t="s">
        <v>75</v>
      </c>
      <c r="J1413" s="2" t="s">
        <v>76</v>
      </c>
      <c r="K1413" s="2" t="s">
        <v>77</v>
      </c>
      <c r="L1413" s="2" t="s">
        <v>97</v>
      </c>
      <c r="M1413" s="2" t="s">
        <v>98</v>
      </c>
      <c r="N1413" s="2" t="s">
        <v>214</v>
      </c>
      <c r="O1413" s="2" t="s">
        <v>100</v>
      </c>
      <c r="P1413" s="2" t="str">
        <f>"2170584591                    "</f>
        <v xml:space="preserve">2170584591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4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1</v>
      </c>
      <c r="BI1413" s="2">
        <v>1</v>
      </c>
      <c r="BJ1413" s="2">
        <v>0.2</v>
      </c>
      <c r="BK1413" s="2">
        <v>1</v>
      </c>
      <c r="BL1413" s="2">
        <v>41.44</v>
      </c>
      <c r="BM1413" s="2">
        <v>5.8</v>
      </c>
      <c r="BN1413" s="2">
        <v>47.24</v>
      </c>
      <c r="BO1413" s="2">
        <v>47.24</v>
      </c>
      <c r="BP1413" s="2"/>
      <c r="BQ1413" s="2" t="s">
        <v>108</v>
      </c>
      <c r="BR1413" s="2" t="s">
        <v>84</v>
      </c>
      <c r="BS1413" s="3">
        <v>42961</v>
      </c>
      <c r="BT1413" s="4">
        <v>0.30555555555555552</v>
      </c>
      <c r="BU1413" s="2" t="s">
        <v>1131</v>
      </c>
      <c r="BV1413" s="2" t="s">
        <v>95</v>
      </c>
      <c r="BW1413" s="2"/>
      <c r="BX1413" s="2"/>
      <c r="BY1413" s="2">
        <v>1200</v>
      </c>
      <c r="BZ1413" s="2"/>
      <c r="CA1413" s="2" t="s">
        <v>213</v>
      </c>
      <c r="CB1413" s="2"/>
      <c r="CC1413" s="2" t="s">
        <v>98</v>
      </c>
      <c r="CD1413" s="2">
        <v>6001</v>
      </c>
      <c r="CE1413" s="2" t="s">
        <v>104</v>
      </c>
      <c r="CF1413" s="5">
        <v>42962</v>
      </c>
      <c r="CG1413" s="2"/>
      <c r="CH1413" s="2"/>
      <c r="CI1413" s="2">
        <v>1</v>
      </c>
      <c r="CJ1413" s="2">
        <v>1</v>
      </c>
      <c r="CK1413" s="2">
        <v>21</v>
      </c>
      <c r="CL1413" s="2" t="s">
        <v>86</v>
      </c>
      <c r="CM1413" s="2"/>
    </row>
    <row r="1414" spans="1:91">
      <c r="A1414" s="2" t="s">
        <v>71</v>
      </c>
      <c r="B1414" s="2" t="s">
        <v>72</v>
      </c>
      <c r="C1414" s="2" t="s">
        <v>73</v>
      </c>
      <c r="D1414" s="2"/>
      <c r="E1414" s="2" t="str">
        <f>"080001706429"</f>
        <v>080001706429</v>
      </c>
      <c r="F1414" s="3">
        <v>42957</v>
      </c>
      <c r="G1414" s="2">
        <v>201802</v>
      </c>
      <c r="H1414" s="2" t="s">
        <v>268</v>
      </c>
      <c r="I1414" s="2" t="s">
        <v>269</v>
      </c>
      <c r="J1414" s="2" t="s">
        <v>2124</v>
      </c>
      <c r="K1414" s="2" t="s">
        <v>77</v>
      </c>
      <c r="L1414" s="2" t="s">
        <v>74</v>
      </c>
      <c r="M1414" s="2" t="s">
        <v>75</v>
      </c>
      <c r="N1414" s="2" t="s">
        <v>118</v>
      </c>
      <c r="O1414" s="2" t="s">
        <v>81</v>
      </c>
      <c r="P1414" s="2" t="str">
        <f>"ZA1000659096                  "</f>
        <v xml:space="preserve">ZA1000659096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5.63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2</v>
      </c>
      <c r="BJ1414" s="2">
        <v>0.2</v>
      </c>
      <c r="BK1414" s="2">
        <v>2</v>
      </c>
      <c r="BL1414" s="2">
        <v>63.28</v>
      </c>
      <c r="BM1414" s="2">
        <v>8.86</v>
      </c>
      <c r="BN1414" s="2">
        <v>72.14</v>
      </c>
      <c r="BO1414" s="2">
        <v>72.14</v>
      </c>
      <c r="BP1414" s="2"/>
      <c r="BQ1414" s="2" t="s">
        <v>2125</v>
      </c>
      <c r="BR1414" s="2" t="s">
        <v>2126</v>
      </c>
      <c r="BS1414" s="3">
        <v>42958</v>
      </c>
      <c r="BT1414" s="4">
        <v>0.69236111111111109</v>
      </c>
      <c r="BU1414" s="2" t="s">
        <v>2127</v>
      </c>
      <c r="BV1414" s="2"/>
      <c r="BW1414" s="2"/>
      <c r="BX1414" s="2"/>
      <c r="BY1414" s="2">
        <v>1200</v>
      </c>
      <c r="BZ1414" s="2"/>
      <c r="CA1414" s="2" t="s">
        <v>158</v>
      </c>
      <c r="CB1414" s="2"/>
      <c r="CC1414" s="2" t="s">
        <v>75</v>
      </c>
      <c r="CD1414" s="2">
        <v>1600</v>
      </c>
      <c r="CE1414" s="2" t="s">
        <v>89</v>
      </c>
      <c r="CF1414" s="5">
        <v>42961</v>
      </c>
      <c r="CG1414" s="2"/>
      <c r="CH1414" s="2"/>
      <c r="CI1414" s="2">
        <v>0</v>
      </c>
      <c r="CJ1414" s="2">
        <v>0</v>
      </c>
      <c r="CK1414" s="2" t="s">
        <v>2123</v>
      </c>
      <c r="CL1414" s="2" t="s">
        <v>86</v>
      </c>
      <c r="CM1414" s="2"/>
    </row>
    <row r="1415" spans="1:91">
      <c r="A1415" s="2" t="s">
        <v>71</v>
      </c>
      <c r="B1415" s="2" t="s">
        <v>72</v>
      </c>
      <c r="C1415" s="2" t="s">
        <v>73</v>
      </c>
      <c r="D1415" s="2"/>
      <c r="E1415" s="2" t="str">
        <f>"Rfes1162568239"</f>
        <v>Rfes1162568239</v>
      </c>
      <c r="F1415" s="3">
        <v>42961</v>
      </c>
      <c r="G1415" s="2">
        <v>201802</v>
      </c>
      <c r="H1415" s="2" t="s">
        <v>216</v>
      </c>
      <c r="I1415" s="2" t="s">
        <v>217</v>
      </c>
      <c r="J1415" s="2" t="s">
        <v>1748</v>
      </c>
      <c r="K1415" s="2" t="s">
        <v>77</v>
      </c>
      <c r="L1415" s="2" t="s">
        <v>74</v>
      </c>
      <c r="M1415" s="2" t="s">
        <v>75</v>
      </c>
      <c r="N1415" s="2" t="s">
        <v>76</v>
      </c>
      <c r="O1415" s="2" t="s">
        <v>100</v>
      </c>
      <c r="P1415" s="2" t="str">
        <f>"2170584382                    "</f>
        <v xml:space="preserve">2170584382 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3.13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1</v>
      </c>
      <c r="BI1415" s="2">
        <v>1</v>
      </c>
      <c r="BJ1415" s="2">
        <v>0.2</v>
      </c>
      <c r="BK1415" s="2">
        <v>1</v>
      </c>
      <c r="BL1415" s="2">
        <v>32.380000000000003</v>
      </c>
      <c r="BM1415" s="2">
        <v>4.53</v>
      </c>
      <c r="BN1415" s="2">
        <v>36.909999999999997</v>
      </c>
      <c r="BO1415" s="2">
        <v>36.909999999999997</v>
      </c>
      <c r="BP1415" s="2">
        <v>1</v>
      </c>
      <c r="BQ1415" s="2" t="s">
        <v>84</v>
      </c>
      <c r="BR1415" s="2" t="s">
        <v>1749</v>
      </c>
      <c r="BS1415" s="3">
        <v>42962</v>
      </c>
      <c r="BT1415" s="4">
        <v>0.4381944444444445</v>
      </c>
      <c r="BU1415" s="2" t="s">
        <v>2128</v>
      </c>
      <c r="BV1415" s="2" t="s">
        <v>95</v>
      </c>
      <c r="BW1415" s="2"/>
      <c r="BX1415" s="2"/>
      <c r="BY1415" s="2">
        <v>1200</v>
      </c>
      <c r="BZ1415" s="2" t="s">
        <v>27</v>
      </c>
      <c r="CA1415" s="2" t="s">
        <v>148</v>
      </c>
      <c r="CB1415" s="2"/>
      <c r="CC1415" s="2" t="s">
        <v>75</v>
      </c>
      <c r="CD1415" s="2">
        <v>1600</v>
      </c>
      <c r="CE1415" s="2" t="s">
        <v>104</v>
      </c>
      <c r="CF1415" s="5">
        <v>42963</v>
      </c>
      <c r="CG1415" s="2"/>
      <c r="CH1415" s="2"/>
      <c r="CI1415" s="2">
        <v>1</v>
      </c>
      <c r="CJ1415" s="2">
        <v>1</v>
      </c>
      <c r="CK1415" s="2">
        <v>22</v>
      </c>
      <c r="CL1415" s="2" t="s">
        <v>86</v>
      </c>
      <c r="CM1415" s="2"/>
    </row>
    <row r="1416" spans="1:91">
      <c r="A1416" s="2" t="s">
        <v>71</v>
      </c>
      <c r="B1416" s="2" t="s">
        <v>72</v>
      </c>
      <c r="C1416" s="2" t="s">
        <v>73</v>
      </c>
      <c r="D1416" s="2"/>
      <c r="E1416" s="2" t="str">
        <f>"Rfes1162567727"</f>
        <v>Rfes1162567727</v>
      </c>
      <c r="F1416" s="3">
        <v>42961</v>
      </c>
      <c r="G1416" s="2">
        <v>201802</v>
      </c>
      <c r="H1416" s="2" t="s">
        <v>128</v>
      </c>
      <c r="I1416" s="2" t="s">
        <v>129</v>
      </c>
      <c r="J1416" s="2" t="s">
        <v>1860</v>
      </c>
      <c r="K1416" s="2" t="s">
        <v>77</v>
      </c>
      <c r="L1416" s="2" t="s">
        <v>74</v>
      </c>
      <c r="M1416" s="2" t="s">
        <v>75</v>
      </c>
      <c r="N1416" s="2" t="s">
        <v>76</v>
      </c>
      <c r="O1416" s="2" t="s">
        <v>100</v>
      </c>
      <c r="P1416" s="2" t="str">
        <f>"2170581296                    "</f>
        <v xml:space="preserve">2170581296 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3.13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1</v>
      </c>
      <c r="BJ1416" s="2">
        <v>0.2</v>
      </c>
      <c r="BK1416" s="2">
        <v>1</v>
      </c>
      <c r="BL1416" s="2">
        <v>32.380000000000003</v>
      </c>
      <c r="BM1416" s="2">
        <v>4.53</v>
      </c>
      <c r="BN1416" s="2">
        <v>36.909999999999997</v>
      </c>
      <c r="BO1416" s="2">
        <v>36.909999999999997</v>
      </c>
      <c r="BP1416" s="2"/>
      <c r="BQ1416" s="2" t="s">
        <v>84</v>
      </c>
      <c r="BR1416" s="2" t="s">
        <v>83</v>
      </c>
      <c r="BS1416" s="3">
        <v>42962</v>
      </c>
      <c r="BT1416" s="4">
        <v>0.4381944444444445</v>
      </c>
      <c r="BU1416" s="2" t="s">
        <v>631</v>
      </c>
      <c r="BV1416" s="2" t="s">
        <v>95</v>
      </c>
      <c r="BW1416" s="2"/>
      <c r="BX1416" s="2"/>
      <c r="BY1416" s="2">
        <v>1200</v>
      </c>
      <c r="BZ1416" s="2"/>
      <c r="CA1416" s="2"/>
      <c r="CB1416" s="2"/>
      <c r="CC1416" s="2" t="s">
        <v>75</v>
      </c>
      <c r="CD1416" s="2">
        <v>1600</v>
      </c>
      <c r="CE1416" s="2" t="s">
        <v>104</v>
      </c>
      <c r="CF1416" s="5">
        <v>42963</v>
      </c>
      <c r="CG1416" s="2"/>
      <c r="CH1416" s="2"/>
      <c r="CI1416" s="2">
        <v>1</v>
      </c>
      <c r="CJ1416" s="2">
        <v>1</v>
      </c>
      <c r="CK1416" s="2">
        <v>22</v>
      </c>
      <c r="CL1416" s="2" t="s">
        <v>86</v>
      </c>
      <c r="CM1416" s="2"/>
    </row>
    <row r="1417" spans="1:91">
      <c r="A1417" s="2" t="s">
        <v>71</v>
      </c>
      <c r="B1417" s="2" t="s">
        <v>72</v>
      </c>
      <c r="C1417" s="2" t="s">
        <v>73</v>
      </c>
      <c r="D1417" s="2"/>
      <c r="E1417" s="2" t="str">
        <f>"009935744246"</f>
        <v>009935744246</v>
      </c>
      <c r="F1417" s="3">
        <v>42961</v>
      </c>
      <c r="G1417" s="2">
        <v>201802</v>
      </c>
      <c r="H1417" s="2" t="s">
        <v>74</v>
      </c>
      <c r="I1417" s="2" t="s">
        <v>75</v>
      </c>
      <c r="J1417" s="2" t="s">
        <v>118</v>
      </c>
      <c r="K1417" s="2" t="s">
        <v>77</v>
      </c>
      <c r="L1417" s="2" t="s">
        <v>174</v>
      </c>
      <c r="M1417" s="2" t="s">
        <v>175</v>
      </c>
      <c r="N1417" s="2" t="s">
        <v>2129</v>
      </c>
      <c r="O1417" s="2" t="s">
        <v>120</v>
      </c>
      <c r="P1417" s="2" t="str">
        <f>"                              "</f>
        <v xml:space="preserve">          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351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48.53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5.5</v>
      </c>
      <c r="BJ1417" s="2">
        <v>0.2</v>
      </c>
      <c r="BK1417" s="2">
        <v>5.5</v>
      </c>
      <c r="BL1417" s="2">
        <v>502.49</v>
      </c>
      <c r="BM1417" s="2">
        <v>70.349999999999994</v>
      </c>
      <c r="BN1417" s="2">
        <v>572.84</v>
      </c>
      <c r="BO1417" s="2">
        <v>572.84</v>
      </c>
      <c r="BP1417" s="2" t="s">
        <v>120</v>
      </c>
      <c r="BQ1417" s="2" t="s">
        <v>2130</v>
      </c>
      <c r="BR1417" s="2" t="s">
        <v>469</v>
      </c>
      <c r="BS1417" s="3">
        <v>42960</v>
      </c>
      <c r="BT1417" s="4">
        <v>0.33333333333333331</v>
      </c>
      <c r="BU1417" s="2" t="s">
        <v>2131</v>
      </c>
      <c r="BV1417" s="2" t="s">
        <v>95</v>
      </c>
      <c r="BW1417" s="2"/>
      <c r="BX1417" s="2"/>
      <c r="BY1417" s="2">
        <v>1000</v>
      </c>
      <c r="BZ1417" s="2" t="s">
        <v>1405</v>
      </c>
      <c r="CA1417" s="2"/>
      <c r="CB1417" s="2"/>
      <c r="CC1417" s="2" t="s">
        <v>175</v>
      </c>
      <c r="CD1417" s="2">
        <v>5200</v>
      </c>
      <c r="CE1417" s="2" t="s">
        <v>89</v>
      </c>
      <c r="CF1417" s="5">
        <v>42963</v>
      </c>
      <c r="CG1417" s="2"/>
      <c r="CH1417" s="2"/>
      <c r="CI1417" s="2">
        <v>0</v>
      </c>
      <c r="CJ1417" s="2">
        <v>-1</v>
      </c>
      <c r="CK1417" s="2">
        <v>21</v>
      </c>
      <c r="CL1417" s="2" t="s">
        <v>86</v>
      </c>
      <c r="CM1417" s="2"/>
    </row>
    <row r="1418" spans="1:91">
      <c r="A1418" s="2" t="s">
        <v>71</v>
      </c>
      <c r="B1418" s="2" t="s">
        <v>72</v>
      </c>
      <c r="C1418" s="2" t="s">
        <v>73</v>
      </c>
      <c r="D1418" s="2"/>
      <c r="E1418" s="2" t="str">
        <f>"FES1162568329"</f>
        <v>FES1162568329</v>
      </c>
      <c r="F1418" s="3">
        <v>42958</v>
      </c>
      <c r="G1418" s="2">
        <v>201802</v>
      </c>
      <c r="H1418" s="2" t="s">
        <v>74</v>
      </c>
      <c r="I1418" s="2" t="s">
        <v>75</v>
      </c>
      <c r="J1418" s="2" t="s">
        <v>76</v>
      </c>
      <c r="K1418" s="2" t="s">
        <v>77</v>
      </c>
      <c r="L1418" s="2" t="s">
        <v>105</v>
      </c>
      <c r="M1418" s="2" t="s">
        <v>106</v>
      </c>
      <c r="N1418" s="2" t="s">
        <v>2132</v>
      </c>
      <c r="O1418" s="2" t="s">
        <v>100</v>
      </c>
      <c r="P1418" s="2" t="str">
        <f>"217058329                     "</f>
        <v xml:space="preserve">217058329                     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4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1</v>
      </c>
      <c r="BJ1418" s="2">
        <v>1</v>
      </c>
      <c r="BK1418" s="2">
        <v>1</v>
      </c>
      <c r="BL1418" s="2">
        <v>41.44</v>
      </c>
      <c r="BM1418" s="2">
        <v>5.8</v>
      </c>
      <c r="BN1418" s="2">
        <v>47.24</v>
      </c>
      <c r="BO1418" s="2">
        <v>47.24</v>
      </c>
      <c r="BP1418" s="2"/>
      <c r="BQ1418" s="2" t="s">
        <v>83</v>
      </c>
      <c r="BR1418" s="2" t="s">
        <v>84</v>
      </c>
      <c r="BS1418" s="3">
        <v>42971</v>
      </c>
      <c r="BT1418" s="4">
        <v>0.53749999999999998</v>
      </c>
      <c r="BU1418" s="2" t="s">
        <v>2133</v>
      </c>
      <c r="BV1418" s="2" t="s">
        <v>86</v>
      </c>
      <c r="BW1418" s="2" t="s">
        <v>124</v>
      </c>
      <c r="BX1418" s="2" t="s">
        <v>116</v>
      </c>
      <c r="BY1418" s="2">
        <v>5026.17</v>
      </c>
      <c r="BZ1418" s="2"/>
      <c r="CA1418" s="2" t="s">
        <v>2134</v>
      </c>
      <c r="CB1418" s="2"/>
      <c r="CC1418" s="2" t="s">
        <v>106</v>
      </c>
      <c r="CD1418" s="2">
        <v>7550</v>
      </c>
      <c r="CE1418" s="2" t="s">
        <v>89</v>
      </c>
      <c r="CF1418" s="5">
        <v>42972</v>
      </c>
      <c r="CG1418" s="2"/>
      <c r="CH1418" s="2"/>
      <c r="CI1418" s="2">
        <v>1</v>
      </c>
      <c r="CJ1418" s="2">
        <v>9</v>
      </c>
      <c r="CK1418" s="2">
        <v>21</v>
      </c>
      <c r="CL1418" s="2" t="s">
        <v>86</v>
      </c>
      <c r="CM1418" s="2"/>
    </row>
    <row r="1419" spans="1:91">
      <c r="A1419" s="2" t="s">
        <v>71</v>
      </c>
      <c r="B1419" s="2" t="s">
        <v>72</v>
      </c>
      <c r="C1419" s="2" t="s">
        <v>73</v>
      </c>
      <c r="D1419" s="2"/>
      <c r="E1419" s="2" t="str">
        <f>"FES1162568660"</f>
        <v>FES1162568660</v>
      </c>
      <c r="F1419" s="3">
        <v>42961</v>
      </c>
      <c r="G1419" s="2">
        <v>201802</v>
      </c>
      <c r="H1419" s="2" t="s">
        <v>74</v>
      </c>
      <c r="I1419" s="2" t="s">
        <v>75</v>
      </c>
      <c r="J1419" s="2" t="s">
        <v>76</v>
      </c>
      <c r="K1419" s="2" t="s">
        <v>77</v>
      </c>
      <c r="L1419" s="2" t="s">
        <v>2135</v>
      </c>
      <c r="M1419" s="2" t="s">
        <v>2136</v>
      </c>
      <c r="N1419" s="2" t="s">
        <v>2137</v>
      </c>
      <c r="O1419" s="2" t="s">
        <v>100</v>
      </c>
      <c r="P1419" s="2" t="str">
        <f>"2170581335                    "</f>
        <v xml:space="preserve">2170581335  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32.270000000000003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2</v>
      </c>
      <c r="BI1419" s="2">
        <v>6.5</v>
      </c>
      <c r="BJ1419" s="2">
        <v>8.9</v>
      </c>
      <c r="BK1419" s="2">
        <v>9</v>
      </c>
      <c r="BL1419" s="2">
        <v>334.13</v>
      </c>
      <c r="BM1419" s="2">
        <v>46.78</v>
      </c>
      <c r="BN1419" s="2">
        <v>380.91</v>
      </c>
      <c r="BO1419" s="2">
        <v>380.91</v>
      </c>
      <c r="BP1419" s="2"/>
      <c r="BQ1419" s="2" t="s">
        <v>2138</v>
      </c>
      <c r="BR1419" s="2" t="s">
        <v>84</v>
      </c>
      <c r="BS1419" s="3">
        <v>42962</v>
      </c>
      <c r="BT1419" s="4">
        <v>0.44722222222222219</v>
      </c>
      <c r="BU1419" s="2" t="s">
        <v>2139</v>
      </c>
      <c r="BV1419" s="2" t="s">
        <v>95</v>
      </c>
      <c r="BW1419" s="2"/>
      <c r="BX1419" s="2"/>
      <c r="BY1419" s="2">
        <v>44470.15</v>
      </c>
      <c r="BZ1419" s="2"/>
      <c r="CA1419" s="2" t="s">
        <v>2140</v>
      </c>
      <c r="CB1419" s="2"/>
      <c r="CC1419" s="2" t="s">
        <v>2136</v>
      </c>
      <c r="CD1419" s="2">
        <v>7131</v>
      </c>
      <c r="CE1419" s="2" t="s">
        <v>89</v>
      </c>
      <c r="CF1419" s="5">
        <v>42963</v>
      </c>
      <c r="CG1419" s="2"/>
      <c r="CH1419" s="2"/>
      <c r="CI1419" s="2">
        <v>1</v>
      </c>
      <c r="CJ1419" s="2">
        <v>1</v>
      </c>
      <c r="CK1419" s="2">
        <v>23</v>
      </c>
      <c r="CL1419" s="2" t="s">
        <v>86</v>
      </c>
      <c r="CM1419" s="2"/>
    </row>
    <row r="1420" spans="1:91">
      <c r="A1420" s="2" t="s">
        <v>71</v>
      </c>
      <c r="B1420" s="2" t="s">
        <v>72</v>
      </c>
      <c r="C1420" s="2" t="s">
        <v>73</v>
      </c>
      <c r="D1420" s="2"/>
      <c r="E1420" s="2" t="str">
        <f>"FES1162568362"</f>
        <v>FES1162568362</v>
      </c>
      <c r="F1420" s="3">
        <v>42958</v>
      </c>
      <c r="G1420" s="2">
        <v>201802</v>
      </c>
      <c r="H1420" s="2" t="s">
        <v>74</v>
      </c>
      <c r="I1420" s="2" t="s">
        <v>75</v>
      </c>
      <c r="J1420" s="2" t="s">
        <v>76</v>
      </c>
      <c r="K1420" s="2" t="s">
        <v>77</v>
      </c>
      <c r="L1420" s="2" t="s">
        <v>105</v>
      </c>
      <c r="M1420" s="2" t="s">
        <v>106</v>
      </c>
      <c r="N1420" s="2" t="s">
        <v>2141</v>
      </c>
      <c r="O1420" s="2" t="s">
        <v>100</v>
      </c>
      <c r="P1420" s="2" t="str">
        <f>"2170584058                    "</f>
        <v xml:space="preserve">2170584058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4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1</v>
      </c>
      <c r="BJ1420" s="2">
        <v>0.2</v>
      </c>
      <c r="BK1420" s="2">
        <v>1</v>
      </c>
      <c r="BL1420" s="2">
        <v>41.44</v>
      </c>
      <c r="BM1420" s="2">
        <v>5.8</v>
      </c>
      <c r="BN1420" s="2">
        <v>47.24</v>
      </c>
      <c r="BO1420" s="2">
        <v>47.24</v>
      </c>
      <c r="BP1420" s="2">
        <v>1</v>
      </c>
      <c r="BQ1420" s="2" t="s">
        <v>288</v>
      </c>
      <c r="BR1420" s="2" t="s">
        <v>84</v>
      </c>
      <c r="BS1420" s="3">
        <v>42962</v>
      </c>
      <c r="BT1420" s="4">
        <v>0.3756944444444445</v>
      </c>
      <c r="BU1420" s="2" t="s">
        <v>2142</v>
      </c>
      <c r="BV1420" s="2" t="s">
        <v>86</v>
      </c>
      <c r="BW1420" s="2" t="s">
        <v>110</v>
      </c>
      <c r="BX1420" s="2" t="s">
        <v>111</v>
      </c>
      <c r="BY1420" s="2">
        <v>1200</v>
      </c>
      <c r="BZ1420" s="2"/>
      <c r="CA1420" s="2" t="s">
        <v>302</v>
      </c>
      <c r="CB1420" s="2"/>
      <c r="CC1420" s="2" t="s">
        <v>106</v>
      </c>
      <c r="CD1420" s="2">
        <v>7530</v>
      </c>
      <c r="CE1420" s="2" t="s">
        <v>104</v>
      </c>
      <c r="CF1420" s="5">
        <v>42963</v>
      </c>
      <c r="CG1420" s="2"/>
      <c r="CH1420" s="2"/>
      <c r="CI1420" s="2">
        <v>1</v>
      </c>
      <c r="CJ1420" s="2">
        <v>2</v>
      </c>
      <c r="CK1420" s="2">
        <v>21</v>
      </c>
      <c r="CL1420" s="2" t="s">
        <v>86</v>
      </c>
      <c r="CM1420" s="2"/>
    </row>
    <row r="1421" spans="1:91">
      <c r="A1421" s="2" t="s">
        <v>71</v>
      </c>
      <c r="B1421" s="2" t="s">
        <v>72</v>
      </c>
      <c r="C1421" s="2" t="s">
        <v>73</v>
      </c>
      <c r="D1421" s="2"/>
      <c r="E1421" s="2" t="str">
        <f>"Rfes1162567595"</f>
        <v>Rfes1162567595</v>
      </c>
      <c r="F1421" s="3">
        <v>42961</v>
      </c>
      <c r="G1421" s="2">
        <v>201802</v>
      </c>
      <c r="H1421" s="2" t="s">
        <v>149</v>
      </c>
      <c r="I1421" s="2" t="s">
        <v>150</v>
      </c>
      <c r="J1421" s="2" t="s">
        <v>472</v>
      </c>
      <c r="K1421" s="2" t="s">
        <v>77</v>
      </c>
      <c r="L1421" s="2" t="s">
        <v>74</v>
      </c>
      <c r="M1421" s="2" t="s">
        <v>75</v>
      </c>
      <c r="N1421" s="2" t="s">
        <v>76</v>
      </c>
      <c r="O1421" s="2" t="s">
        <v>100</v>
      </c>
      <c r="P1421" s="2" t="str">
        <f>"2170583187                    "</f>
        <v xml:space="preserve">2170583187 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4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1.2</v>
      </c>
      <c r="BJ1421" s="2">
        <v>1.2</v>
      </c>
      <c r="BK1421" s="2">
        <v>1.5</v>
      </c>
      <c r="BL1421" s="2">
        <v>41.44</v>
      </c>
      <c r="BM1421" s="2">
        <v>5.8</v>
      </c>
      <c r="BN1421" s="2">
        <v>47.24</v>
      </c>
      <c r="BO1421" s="2">
        <v>47.24</v>
      </c>
      <c r="BP1421" s="2"/>
      <c r="BQ1421" s="2" t="s">
        <v>84</v>
      </c>
      <c r="BR1421" s="2" t="s">
        <v>83</v>
      </c>
      <c r="BS1421" s="3">
        <v>42962</v>
      </c>
      <c r="BT1421" s="4">
        <v>0.4375</v>
      </c>
      <c r="BU1421" s="2" t="s">
        <v>2128</v>
      </c>
      <c r="BV1421" s="2" t="s">
        <v>95</v>
      </c>
      <c r="BW1421" s="2"/>
      <c r="BX1421" s="2"/>
      <c r="BY1421" s="2">
        <v>5951.54</v>
      </c>
      <c r="BZ1421" s="2" t="s">
        <v>27</v>
      </c>
      <c r="CA1421" s="2" t="s">
        <v>953</v>
      </c>
      <c r="CB1421" s="2"/>
      <c r="CC1421" s="2" t="s">
        <v>75</v>
      </c>
      <c r="CD1421" s="2">
        <v>1600</v>
      </c>
      <c r="CE1421" s="2" t="s">
        <v>104</v>
      </c>
      <c r="CF1421" s="5">
        <v>42963</v>
      </c>
      <c r="CG1421" s="2"/>
      <c r="CH1421" s="2"/>
      <c r="CI1421" s="2">
        <v>1</v>
      </c>
      <c r="CJ1421" s="2">
        <v>1</v>
      </c>
      <c r="CK1421" s="2">
        <v>21</v>
      </c>
      <c r="CL1421" s="2" t="s">
        <v>86</v>
      </c>
      <c r="CM1421" s="2"/>
    </row>
    <row r="1422" spans="1:91">
      <c r="A1422" s="2" t="s">
        <v>71</v>
      </c>
      <c r="B1422" s="2" t="s">
        <v>72</v>
      </c>
      <c r="C1422" s="2" t="s">
        <v>73</v>
      </c>
      <c r="D1422" s="2"/>
      <c r="E1422" s="2" t="str">
        <f>"FES1162568331"</f>
        <v>FES1162568331</v>
      </c>
      <c r="F1422" s="3">
        <v>42958</v>
      </c>
      <c r="G1422" s="2">
        <v>201802</v>
      </c>
      <c r="H1422" s="2" t="s">
        <v>74</v>
      </c>
      <c r="I1422" s="2" t="s">
        <v>75</v>
      </c>
      <c r="J1422" s="2" t="s">
        <v>76</v>
      </c>
      <c r="K1422" s="2" t="s">
        <v>77</v>
      </c>
      <c r="L1422" s="2" t="s">
        <v>149</v>
      </c>
      <c r="M1422" s="2" t="s">
        <v>150</v>
      </c>
      <c r="N1422" s="2" t="s">
        <v>2143</v>
      </c>
      <c r="O1422" s="2" t="s">
        <v>100</v>
      </c>
      <c r="P1422" s="2" t="str">
        <f>"2170582393                    "</f>
        <v xml:space="preserve">2170582393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4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1</v>
      </c>
      <c r="BJ1422" s="2">
        <v>0.2</v>
      </c>
      <c r="BK1422" s="2">
        <v>1</v>
      </c>
      <c r="BL1422" s="2">
        <v>41.44</v>
      </c>
      <c r="BM1422" s="2">
        <v>5.8</v>
      </c>
      <c r="BN1422" s="2">
        <v>47.24</v>
      </c>
      <c r="BO1422" s="2">
        <v>47.24</v>
      </c>
      <c r="BP1422" s="2"/>
      <c r="BQ1422" s="2" t="s">
        <v>83</v>
      </c>
      <c r="BR1422" s="2" t="s">
        <v>84</v>
      </c>
      <c r="BS1422" s="3">
        <v>42962</v>
      </c>
      <c r="BT1422" s="4">
        <v>0.40972222222222227</v>
      </c>
      <c r="BU1422" s="2" t="s">
        <v>2144</v>
      </c>
      <c r="BV1422" s="2" t="s">
        <v>86</v>
      </c>
      <c r="BW1422" s="2" t="s">
        <v>336</v>
      </c>
      <c r="BX1422" s="2" t="s">
        <v>337</v>
      </c>
      <c r="BY1422" s="2">
        <v>1200</v>
      </c>
      <c r="BZ1422" s="2"/>
      <c r="CA1422" s="2" t="s">
        <v>839</v>
      </c>
      <c r="CB1422" s="2"/>
      <c r="CC1422" s="2" t="s">
        <v>150</v>
      </c>
      <c r="CD1422" s="2">
        <v>4051</v>
      </c>
      <c r="CE1422" s="2" t="s">
        <v>104</v>
      </c>
      <c r="CF1422" s="5">
        <v>42963</v>
      </c>
      <c r="CG1422" s="2"/>
      <c r="CH1422" s="2"/>
      <c r="CI1422" s="2">
        <v>1</v>
      </c>
      <c r="CJ1422" s="2">
        <v>2</v>
      </c>
      <c r="CK1422" s="2">
        <v>21</v>
      </c>
      <c r="CL1422" s="2" t="s">
        <v>86</v>
      </c>
      <c r="CM1422" s="2"/>
    </row>
    <row r="1423" spans="1:91">
      <c r="A1423" s="2" t="s">
        <v>71</v>
      </c>
      <c r="B1423" s="2" t="s">
        <v>72</v>
      </c>
      <c r="C1423" s="2" t="s">
        <v>73</v>
      </c>
      <c r="D1423" s="2"/>
      <c r="E1423" s="2" t="str">
        <f>"FES1162568663"</f>
        <v>FES1162568663</v>
      </c>
      <c r="F1423" s="3">
        <v>42961</v>
      </c>
      <c r="G1423" s="2">
        <v>201802</v>
      </c>
      <c r="H1423" s="2" t="s">
        <v>74</v>
      </c>
      <c r="I1423" s="2" t="s">
        <v>75</v>
      </c>
      <c r="J1423" s="2" t="s">
        <v>76</v>
      </c>
      <c r="K1423" s="2" t="s">
        <v>77</v>
      </c>
      <c r="L1423" s="2" t="s">
        <v>105</v>
      </c>
      <c r="M1423" s="2" t="s">
        <v>106</v>
      </c>
      <c r="N1423" s="2" t="s">
        <v>2145</v>
      </c>
      <c r="O1423" s="2" t="s">
        <v>100</v>
      </c>
      <c r="P1423" s="2" t="str">
        <f>"2170581735                    "</f>
        <v xml:space="preserve">2170581735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27.02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2.5</v>
      </c>
      <c r="BJ1423" s="2">
        <v>13.2</v>
      </c>
      <c r="BK1423" s="2">
        <v>13.5</v>
      </c>
      <c r="BL1423" s="2">
        <v>279.74</v>
      </c>
      <c r="BM1423" s="2">
        <v>39.159999999999997</v>
      </c>
      <c r="BN1423" s="2">
        <v>318.89999999999998</v>
      </c>
      <c r="BO1423" s="2">
        <v>318.89999999999998</v>
      </c>
      <c r="BP1423" s="2"/>
      <c r="BQ1423" s="2" t="s">
        <v>83</v>
      </c>
      <c r="BR1423" s="2" t="s">
        <v>84</v>
      </c>
      <c r="BS1423" s="3">
        <v>42962</v>
      </c>
      <c r="BT1423" s="4">
        <v>0.45347222222222222</v>
      </c>
      <c r="BU1423" s="2" t="s">
        <v>2146</v>
      </c>
      <c r="BV1423" s="2" t="s">
        <v>95</v>
      </c>
      <c r="BW1423" s="2"/>
      <c r="BX1423" s="2"/>
      <c r="BY1423" s="2">
        <v>66198.63</v>
      </c>
      <c r="BZ1423" s="2"/>
      <c r="CA1423" s="2" t="s">
        <v>869</v>
      </c>
      <c r="CB1423" s="2"/>
      <c r="CC1423" s="2" t="s">
        <v>106</v>
      </c>
      <c r="CD1423" s="2">
        <v>7460</v>
      </c>
      <c r="CE1423" s="2" t="s">
        <v>89</v>
      </c>
      <c r="CF1423" s="5">
        <v>42963</v>
      </c>
      <c r="CG1423" s="2"/>
      <c r="CH1423" s="2"/>
      <c r="CI1423" s="2">
        <v>1</v>
      </c>
      <c r="CJ1423" s="2">
        <v>1</v>
      </c>
      <c r="CK1423" s="2">
        <v>21</v>
      </c>
      <c r="CL1423" s="2" t="s">
        <v>86</v>
      </c>
      <c r="CM1423" s="2"/>
    </row>
    <row r="1424" spans="1:91">
      <c r="A1424" s="2" t="s">
        <v>71</v>
      </c>
      <c r="B1424" s="2" t="s">
        <v>72</v>
      </c>
      <c r="C1424" s="2" t="s">
        <v>73</v>
      </c>
      <c r="D1424" s="2"/>
      <c r="E1424" s="2" t="str">
        <f>"FES1162567793"</f>
        <v>FES1162567793</v>
      </c>
      <c r="F1424" s="3">
        <v>42961</v>
      </c>
      <c r="G1424" s="2">
        <v>201802</v>
      </c>
      <c r="H1424" s="2" t="s">
        <v>74</v>
      </c>
      <c r="I1424" s="2" t="s">
        <v>75</v>
      </c>
      <c r="J1424" s="2" t="s">
        <v>76</v>
      </c>
      <c r="K1424" s="2" t="s">
        <v>77</v>
      </c>
      <c r="L1424" s="2" t="s">
        <v>97</v>
      </c>
      <c r="M1424" s="2" t="s">
        <v>98</v>
      </c>
      <c r="N1424" s="2" t="s">
        <v>2147</v>
      </c>
      <c r="O1424" s="2" t="s">
        <v>100</v>
      </c>
      <c r="P1424" s="2" t="str">
        <f>"2170583938                    "</f>
        <v xml:space="preserve">2170583938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4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1</v>
      </c>
      <c r="BJ1424" s="2">
        <v>0.2</v>
      </c>
      <c r="BK1424" s="2">
        <v>1</v>
      </c>
      <c r="BL1424" s="2">
        <v>41.44</v>
      </c>
      <c r="BM1424" s="2">
        <v>5.8</v>
      </c>
      <c r="BN1424" s="2">
        <v>47.24</v>
      </c>
      <c r="BO1424" s="2">
        <v>47.24</v>
      </c>
      <c r="BP1424" s="2"/>
      <c r="BQ1424" s="2" t="s">
        <v>108</v>
      </c>
      <c r="BR1424" s="2" t="s">
        <v>84</v>
      </c>
      <c r="BS1424" s="3">
        <v>42962</v>
      </c>
      <c r="BT1424" s="4">
        <v>0.4201388888888889</v>
      </c>
      <c r="BU1424" s="2" t="s">
        <v>2148</v>
      </c>
      <c r="BV1424" s="2" t="s">
        <v>95</v>
      </c>
      <c r="BW1424" s="2"/>
      <c r="BX1424" s="2"/>
      <c r="BY1424" s="2">
        <v>1200</v>
      </c>
      <c r="BZ1424" s="2"/>
      <c r="CA1424" s="2" t="s">
        <v>294</v>
      </c>
      <c r="CB1424" s="2"/>
      <c r="CC1424" s="2" t="s">
        <v>98</v>
      </c>
      <c r="CD1424" s="2">
        <v>6012</v>
      </c>
      <c r="CE1424" s="2" t="s">
        <v>104</v>
      </c>
      <c r="CF1424" s="5">
        <v>42963</v>
      </c>
      <c r="CG1424" s="2"/>
      <c r="CH1424" s="2"/>
      <c r="CI1424" s="2">
        <v>1</v>
      </c>
      <c r="CJ1424" s="2">
        <v>1</v>
      </c>
      <c r="CK1424" s="2">
        <v>21</v>
      </c>
      <c r="CL1424" s="2" t="s">
        <v>86</v>
      </c>
      <c r="CM1424" s="2"/>
    </row>
    <row r="1425" spans="1:91">
      <c r="A1425" s="2" t="s">
        <v>71</v>
      </c>
      <c r="B1425" s="2" t="s">
        <v>72</v>
      </c>
      <c r="C1425" s="2" t="s">
        <v>73</v>
      </c>
      <c r="D1425" s="2"/>
      <c r="E1425" s="2" t="str">
        <f>"FES1162568612"</f>
        <v>FES1162568612</v>
      </c>
      <c r="F1425" s="3">
        <v>42961</v>
      </c>
      <c r="G1425" s="2">
        <v>201802</v>
      </c>
      <c r="H1425" s="2" t="s">
        <v>74</v>
      </c>
      <c r="I1425" s="2" t="s">
        <v>75</v>
      </c>
      <c r="J1425" s="2" t="s">
        <v>76</v>
      </c>
      <c r="K1425" s="2" t="s">
        <v>77</v>
      </c>
      <c r="L1425" s="2" t="s">
        <v>539</v>
      </c>
      <c r="M1425" s="2" t="s">
        <v>540</v>
      </c>
      <c r="N1425" s="2" t="s">
        <v>1753</v>
      </c>
      <c r="O1425" s="2" t="s">
        <v>100</v>
      </c>
      <c r="P1425" s="2" t="str">
        <f>"2170584682                    "</f>
        <v xml:space="preserve">2170584682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3.13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1</v>
      </c>
      <c r="BJ1425" s="2">
        <v>0.2</v>
      </c>
      <c r="BK1425" s="2">
        <v>1</v>
      </c>
      <c r="BL1425" s="2">
        <v>32.380000000000003</v>
      </c>
      <c r="BM1425" s="2">
        <v>4.53</v>
      </c>
      <c r="BN1425" s="2">
        <v>36.909999999999997</v>
      </c>
      <c r="BO1425" s="2">
        <v>36.909999999999997</v>
      </c>
      <c r="BP1425" s="2"/>
      <c r="BQ1425" s="2" t="s">
        <v>108</v>
      </c>
      <c r="BR1425" s="2" t="s">
        <v>84</v>
      </c>
      <c r="BS1425" s="3">
        <v>42962</v>
      </c>
      <c r="BT1425" s="4">
        <v>0.4201388888888889</v>
      </c>
      <c r="BU1425" s="2" t="s">
        <v>1754</v>
      </c>
      <c r="BV1425" s="2" t="s">
        <v>95</v>
      </c>
      <c r="BW1425" s="2"/>
      <c r="BX1425" s="2"/>
      <c r="BY1425" s="2">
        <v>1200</v>
      </c>
      <c r="BZ1425" s="2"/>
      <c r="CA1425" s="2" t="s">
        <v>722</v>
      </c>
      <c r="CB1425" s="2"/>
      <c r="CC1425" s="2" t="s">
        <v>540</v>
      </c>
      <c r="CD1425" s="2">
        <v>2163</v>
      </c>
      <c r="CE1425" s="2" t="s">
        <v>104</v>
      </c>
      <c r="CF1425" s="5">
        <v>42963</v>
      </c>
      <c r="CG1425" s="2"/>
      <c r="CH1425" s="2"/>
      <c r="CI1425" s="2">
        <v>1</v>
      </c>
      <c r="CJ1425" s="2">
        <v>1</v>
      </c>
      <c r="CK1425" s="2">
        <v>22</v>
      </c>
      <c r="CL1425" s="2" t="s">
        <v>86</v>
      </c>
      <c r="CM1425" s="2"/>
    </row>
    <row r="1426" spans="1:91">
      <c r="A1426" s="2" t="s">
        <v>71</v>
      </c>
      <c r="B1426" s="2" t="s">
        <v>72</v>
      </c>
      <c r="C1426" s="2" t="s">
        <v>73</v>
      </c>
      <c r="D1426" s="2"/>
      <c r="E1426" s="2" t="str">
        <f>"FES1162568646"</f>
        <v>FES1162568646</v>
      </c>
      <c r="F1426" s="3">
        <v>42961</v>
      </c>
      <c r="G1426" s="2">
        <v>201802</v>
      </c>
      <c r="H1426" s="2" t="s">
        <v>74</v>
      </c>
      <c r="I1426" s="2" t="s">
        <v>75</v>
      </c>
      <c r="J1426" s="2" t="s">
        <v>76</v>
      </c>
      <c r="K1426" s="2" t="s">
        <v>77</v>
      </c>
      <c r="L1426" s="2" t="s">
        <v>268</v>
      </c>
      <c r="M1426" s="2" t="s">
        <v>269</v>
      </c>
      <c r="N1426" s="2" t="s">
        <v>1166</v>
      </c>
      <c r="O1426" s="2" t="s">
        <v>100</v>
      </c>
      <c r="P1426" s="2" t="str">
        <f>"2170579720                    "</f>
        <v xml:space="preserve">2170579720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6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2.2999999999999998</v>
      </c>
      <c r="BJ1426" s="2">
        <v>2.8</v>
      </c>
      <c r="BK1426" s="2">
        <v>3</v>
      </c>
      <c r="BL1426" s="2">
        <v>62.16</v>
      </c>
      <c r="BM1426" s="2">
        <v>8.6999999999999993</v>
      </c>
      <c r="BN1426" s="2">
        <v>70.86</v>
      </c>
      <c r="BO1426" s="2">
        <v>70.86</v>
      </c>
      <c r="BP1426" s="2"/>
      <c r="BQ1426" s="2" t="s">
        <v>2149</v>
      </c>
      <c r="BR1426" s="2" t="s">
        <v>84</v>
      </c>
      <c r="BS1426" s="3">
        <v>42962</v>
      </c>
      <c r="BT1426" s="4">
        <v>0.52083333333333337</v>
      </c>
      <c r="BU1426" s="2" t="s">
        <v>2150</v>
      </c>
      <c r="BV1426" s="2" t="s">
        <v>86</v>
      </c>
      <c r="BW1426" s="2" t="s">
        <v>110</v>
      </c>
      <c r="BX1426" s="2" t="s">
        <v>623</v>
      </c>
      <c r="BY1426" s="2">
        <v>14170.8</v>
      </c>
      <c r="BZ1426" s="2"/>
      <c r="CA1426" s="2" t="s">
        <v>272</v>
      </c>
      <c r="CB1426" s="2"/>
      <c r="CC1426" s="2" t="s">
        <v>269</v>
      </c>
      <c r="CD1426" s="2">
        <v>200</v>
      </c>
      <c r="CE1426" s="2" t="s">
        <v>89</v>
      </c>
      <c r="CF1426" s="5">
        <v>42963</v>
      </c>
      <c r="CG1426" s="2"/>
      <c r="CH1426" s="2"/>
      <c r="CI1426" s="2">
        <v>1</v>
      </c>
      <c r="CJ1426" s="2">
        <v>1</v>
      </c>
      <c r="CK1426" s="2">
        <v>21</v>
      </c>
      <c r="CL1426" s="2" t="s">
        <v>86</v>
      </c>
      <c r="CM1426" s="2"/>
    </row>
    <row r="1427" spans="1:91">
      <c r="A1427" s="2" t="s">
        <v>71</v>
      </c>
      <c r="B1427" s="2" t="s">
        <v>72</v>
      </c>
      <c r="C1427" s="2" t="s">
        <v>73</v>
      </c>
      <c r="D1427" s="2"/>
      <c r="E1427" s="2" t="str">
        <f>"FES1162568624"</f>
        <v>FES1162568624</v>
      </c>
      <c r="F1427" s="3">
        <v>42961</v>
      </c>
      <c r="G1427" s="2">
        <v>201802</v>
      </c>
      <c r="H1427" s="2" t="s">
        <v>74</v>
      </c>
      <c r="I1427" s="2" t="s">
        <v>75</v>
      </c>
      <c r="J1427" s="2" t="s">
        <v>76</v>
      </c>
      <c r="K1427" s="2" t="s">
        <v>77</v>
      </c>
      <c r="L1427" s="2" t="s">
        <v>74</v>
      </c>
      <c r="M1427" s="2" t="s">
        <v>75</v>
      </c>
      <c r="N1427" s="2" t="s">
        <v>192</v>
      </c>
      <c r="O1427" s="2" t="s">
        <v>100</v>
      </c>
      <c r="P1427" s="2" t="str">
        <f>"2170584695                    "</f>
        <v xml:space="preserve">2170584695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3.13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1</v>
      </c>
      <c r="BI1427" s="2">
        <v>5.8</v>
      </c>
      <c r="BJ1427" s="2">
        <v>3.2</v>
      </c>
      <c r="BK1427" s="2">
        <v>6</v>
      </c>
      <c r="BL1427" s="2">
        <v>32.380000000000003</v>
      </c>
      <c r="BM1427" s="2">
        <v>4.53</v>
      </c>
      <c r="BN1427" s="2">
        <v>36.909999999999997</v>
      </c>
      <c r="BO1427" s="2">
        <v>36.909999999999997</v>
      </c>
      <c r="BP1427" s="2"/>
      <c r="BQ1427" s="2" t="s">
        <v>108</v>
      </c>
      <c r="BR1427" s="2" t="s">
        <v>84</v>
      </c>
      <c r="BS1427" s="3">
        <v>42962</v>
      </c>
      <c r="BT1427" s="4">
        <v>0.36180555555555555</v>
      </c>
      <c r="BU1427" s="2" t="s">
        <v>2151</v>
      </c>
      <c r="BV1427" s="2" t="s">
        <v>95</v>
      </c>
      <c r="BW1427" s="2"/>
      <c r="BX1427" s="2"/>
      <c r="BY1427" s="2">
        <v>16074.01</v>
      </c>
      <c r="BZ1427" s="2"/>
      <c r="CA1427" s="2" t="s">
        <v>405</v>
      </c>
      <c r="CB1427" s="2"/>
      <c r="CC1427" s="2" t="s">
        <v>75</v>
      </c>
      <c r="CD1427" s="2">
        <v>1665</v>
      </c>
      <c r="CE1427" s="2" t="s">
        <v>89</v>
      </c>
      <c r="CF1427" s="5">
        <v>42963</v>
      </c>
      <c r="CG1427" s="2"/>
      <c r="CH1427" s="2"/>
      <c r="CI1427" s="2">
        <v>1</v>
      </c>
      <c r="CJ1427" s="2">
        <v>1</v>
      </c>
      <c r="CK1427" s="2">
        <v>22</v>
      </c>
      <c r="CL1427" s="2" t="s">
        <v>86</v>
      </c>
      <c r="CM1427" s="2"/>
    </row>
    <row r="1428" spans="1:91">
      <c r="A1428" s="2" t="s">
        <v>71</v>
      </c>
      <c r="B1428" s="2" t="s">
        <v>72</v>
      </c>
      <c r="C1428" s="2" t="s">
        <v>73</v>
      </c>
      <c r="D1428" s="2"/>
      <c r="E1428" s="2" t="str">
        <f>"FES1162568666"</f>
        <v>FES1162568666</v>
      </c>
      <c r="F1428" s="3">
        <v>42961</v>
      </c>
      <c r="G1428" s="2">
        <v>201802</v>
      </c>
      <c r="H1428" s="2" t="s">
        <v>74</v>
      </c>
      <c r="I1428" s="2" t="s">
        <v>75</v>
      </c>
      <c r="J1428" s="2" t="s">
        <v>76</v>
      </c>
      <c r="K1428" s="2" t="s">
        <v>77</v>
      </c>
      <c r="L1428" s="2" t="s">
        <v>268</v>
      </c>
      <c r="M1428" s="2" t="s">
        <v>269</v>
      </c>
      <c r="N1428" s="2" t="s">
        <v>279</v>
      </c>
      <c r="O1428" s="2" t="s">
        <v>100</v>
      </c>
      <c r="P1428" s="2" t="str">
        <f>"2170582076                    "</f>
        <v xml:space="preserve">2170582076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6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1.3</v>
      </c>
      <c r="BJ1428" s="2">
        <v>2.9</v>
      </c>
      <c r="BK1428" s="2">
        <v>3</v>
      </c>
      <c r="BL1428" s="2">
        <v>62.16</v>
      </c>
      <c r="BM1428" s="2">
        <v>8.6999999999999993</v>
      </c>
      <c r="BN1428" s="2">
        <v>70.86</v>
      </c>
      <c r="BO1428" s="2">
        <v>70.86</v>
      </c>
      <c r="BP1428" s="2"/>
      <c r="BQ1428" s="2" t="s">
        <v>280</v>
      </c>
      <c r="BR1428" s="2" t="s">
        <v>84</v>
      </c>
      <c r="BS1428" s="3">
        <v>42962</v>
      </c>
      <c r="BT1428" s="4">
        <v>0.375</v>
      </c>
      <c r="BU1428" s="2" t="s">
        <v>1924</v>
      </c>
      <c r="BV1428" s="2" t="s">
        <v>95</v>
      </c>
      <c r="BW1428" s="2"/>
      <c r="BX1428" s="2"/>
      <c r="BY1428" s="2">
        <v>14455.98</v>
      </c>
      <c r="BZ1428" s="2"/>
      <c r="CA1428" s="2"/>
      <c r="CB1428" s="2"/>
      <c r="CC1428" s="2" t="s">
        <v>269</v>
      </c>
      <c r="CD1428" s="2">
        <v>117</v>
      </c>
      <c r="CE1428" s="2" t="s">
        <v>89</v>
      </c>
      <c r="CF1428" s="5">
        <v>42963</v>
      </c>
      <c r="CG1428" s="2"/>
      <c r="CH1428" s="2"/>
      <c r="CI1428" s="2">
        <v>1</v>
      </c>
      <c r="CJ1428" s="2">
        <v>1</v>
      </c>
      <c r="CK1428" s="2">
        <v>21</v>
      </c>
      <c r="CL1428" s="2" t="s">
        <v>86</v>
      </c>
      <c r="CM1428" s="2"/>
    </row>
    <row r="1429" spans="1:91">
      <c r="A1429" s="2" t="s">
        <v>71</v>
      </c>
      <c r="B1429" s="2" t="s">
        <v>72</v>
      </c>
      <c r="C1429" s="2" t="s">
        <v>73</v>
      </c>
      <c r="D1429" s="2"/>
      <c r="E1429" s="2" t="str">
        <f>"FES1162568658"</f>
        <v>FES1162568658</v>
      </c>
      <c r="F1429" s="3">
        <v>42961</v>
      </c>
      <c r="G1429" s="2">
        <v>201802</v>
      </c>
      <c r="H1429" s="2" t="s">
        <v>74</v>
      </c>
      <c r="I1429" s="2" t="s">
        <v>75</v>
      </c>
      <c r="J1429" s="2" t="s">
        <v>76</v>
      </c>
      <c r="K1429" s="2" t="s">
        <v>77</v>
      </c>
      <c r="L1429" s="2" t="s">
        <v>216</v>
      </c>
      <c r="M1429" s="2" t="s">
        <v>217</v>
      </c>
      <c r="N1429" s="2" t="s">
        <v>351</v>
      </c>
      <c r="O1429" s="2" t="s">
        <v>100</v>
      </c>
      <c r="P1429" s="2" t="str">
        <f>"2170580992                    "</f>
        <v xml:space="preserve">2170580992 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3.13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7.9</v>
      </c>
      <c r="BJ1429" s="2">
        <v>3.7</v>
      </c>
      <c r="BK1429" s="2">
        <v>8</v>
      </c>
      <c r="BL1429" s="2">
        <v>32.380000000000003</v>
      </c>
      <c r="BM1429" s="2">
        <v>4.53</v>
      </c>
      <c r="BN1429" s="2">
        <v>36.909999999999997</v>
      </c>
      <c r="BO1429" s="2">
        <v>36.909999999999997</v>
      </c>
      <c r="BP1429" s="2"/>
      <c r="BQ1429" s="2" t="s">
        <v>108</v>
      </c>
      <c r="BR1429" s="2" t="s">
        <v>84</v>
      </c>
      <c r="BS1429" s="3">
        <v>42962</v>
      </c>
      <c r="BT1429" s="4">
        <v>0.39166666666666666</v>
      </c>
      <c r="BU1429" s="2" t="s">
        <v>1451</v>
      </c>
      <c r="BV1429" s="2" t="s">
        <v>95</v>
      </c>
      <c r="BW1429" s="2"/>
      <c r="BX1429" s="2"/>
      <c r="BY1429" s="2">
        <v>18513.91</v>
      </c>
      <c r="BZ1429" s="2"/>
      <c r="CA1429" s="2" t="s">
        <v>220</v>
      </c>
      <c r="CB1429" s="2"/>
      <c r="CC1429" s="2" t="s">
        <v>217</v>
      </c>
      <c r="CD1429" s="2">
        <v>1451</v>
      </c>
      <c r="CE1429" s="2" t="s">
        <v>135</v>
      </c>
      <c r="CF1429" s="5">
        <v>42963</v>
      </c>
      <c r="CG1429" s="2"/>
      <c r="CH1429" s="2"/>
      <c r="CI1429" s="2">
        <v>1</v>
      </c>
      <c r="CJ1429" s="2">
        <v>1</v>
      </c>
      <c r="CK1429" s="2">
        <v>22</v>
      </c>
      <c r="CL1429" s="2" t="s">
        <v>86</v>
      </c>
      <c r="CM1429" s="2"/>
    </row>
    <row r="1430" spans="1:91">
      <c r="A1430" s="2" t="s">
        <v>71</v>
      </c>
      <c r="B1430" s="2" t="s">
        <v>72</v>
      </c>
      <c r="C1430" s="2" t="s">
        <v>73</v>
      </c>
      <c r="D1430" s="2"/>
      <c r="E1430" s="2" t="str">
        <f>"FES1162568642"</f>
        <v>FES1162568642</v>
      </c>
      <c r="F1430" s="3">
        <v>42961</v>
      </c>
      <c r="G1430" s="2">
        <v>201802</v>
      </c>
      <c r="H1430" s="2" t="s">
        <v>74</v>
      </c>
      <c r="I1430" s="2" t="s">
        <v>75</v>
      </c>
      <c r="J1430" s="2" t="s">
        <v>76</v>
      </c>
      <c r="K1430" s="2" t="s">
        <v>77</v>
      </c>
      <c r="L1430" s="2" t="s">
        <v>221</v>
      </c>
      <c r="M1430" s="2" t="s">
        <v>222</v>
      </c>
      <c r="N1430" s="2" t="s">
        <v>415</v>
      </c>
      <c r="O1430" s="2" t="s">
        <v>100</v>
      </c>
      <c r="P1430" s="2" t="str">
        <f>"2170577867                    "</f>
        <v xml:space="preserve">2170577867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29.02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14.1</v>
      </c>
      <c r="BJ1430" s="2">
        <v>11.8</v>
      </c>
      <c r="BK1430" s="2">
        <v>14.5</v>
      </c>
      <c r="BL1430" s="2">
        <v>300.45999999999998</v>
      </c>
      <c r="BM1430" s="2">
        <v>42.06</v>
      </c>
      <c r="BN1430" s="2">
        <v>342.52</v>
      </c>
      <c r="BO1430" s="2">
        <v>342.52</v>
      </c>
      <c r="BP1430" s="2"/>
      <c r="BQ1430" s="2" t="s">
        <v>108</v>
      </c>
      <c r="BR1430" s="2" t="s">
        <v>84</v>
      </c>
      <c r="BS1430" s="3">
        <v>42962</v>
      </c>
      <c r="BT1430" s="4">
        <v>0.3840277777777778</v>
      </c>
      <c r="BU1430" s="2" t="s">
        <v>933</v>
      </c>
      <c r="BV1430" s="2" t="s">
        <v>95</v>
      </c>
      <c r="BW1430" s="2"/>
      <c r="BX1430" s="2"/>
      <c r="BY1430" s="2">
        <v>59052</v>
      </c>
      <c r="BZ1430" s="2"/>
      <c r="CA1430" s="2" t="s">
        <v>225</v>
      </c>
      <c r="CB1430" s="2"/>
      <c r="CC1430" s="2" t="s">
        <v>222</v>
      </c>
      <c r="CD1430" s="2">
        <v>4302</v>
      </c>
      <c r="CE1430" s="2" t="s">
        <v>89</v>
      </c>
      <c r="CF1430" s="5">
        <v>42963</v>
      </c>
      <c r="CG1430" s="2"/>
      <c r="CH1430" s="2"/>
      <c r="CI1430" s="2">
        <v>1</v>
      </c>
      <c r="CJ1430" s="2">
        <v>1</v>
      </c>
      <c r="CK1430" s="2">
        <v>21</v>
      </c>
      <c r="CL1430" s="2" t="s">
        <v>86</v>
      </c>
      <c r="CM1430" s="2"/>
    </row>
    <row r="1431" spans="1:91">
      <c r="A1431" s="2" t="s">
        <v>71</v>
      </c>
      <c r="B1431" s="2" t="s">
        <v>72</v>
      </c>
      <c r="C1431" s="2" t="s">
        <v>73</v>
      </c>
      <c r="D1431" s="2"/>
      <c r="E1431" s="2" t="str">
        <f>"FES1162568659"</f>
        <v>FES1162568659</v>
      </c>
      <c r="F1431" s="3">
        <v>42961</v>
      </c>
      <c r="G1431" s="2">
        <v>201802</v>
      </c>
      <c r="H1431" s="2" t="s">
        <v>74</v>
      </c>
      <c r="I1431" s="2" t="s">
        <v>75</v>
      </c>
      <c r="J1431" s="2" t="s">
        <v>76</v>
      </c>
      <c r="K1431" s="2" t="s">
        <v>77</v>
      </c>
      <c r="L1431" s="2" t="s">
        <v>216</v>
      </c>
      <c r="M1431" s="2" t="s">
        <v>217</v>
      </c>
      <c r="N1431" s="2" t="s">
        <v>1588</v>
      </c>
      <c r="O1431" s="2" t="s">
        <v>100</v>
      </c>
      <c r="P1431" s="2" t="str">
        <f>"2170581059                    "</f>
        <v xml:space="preserve">2170581059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3.13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1</v>
      </c>
      <c r="BI1431" s="2">
        <v>2</v>
      </c>
      <c r="BJ1431" s="2">
        <v>5.6</v>
      </c>
      <c r="BK1431" s="2">
        <v>6</v>
      </c>
      <c r="BL1431" s="2">
        <v>32.380000000000003</v>
      </c>
      <c r="BM1431" s="2">
        <v>4.53</v>
      </c>
      <c r="BN1431" s="2">
        <v>36.909999999999997</v>
      </c>
      <c r="BO1431" s="2">
        <v>36.909999999999997</v>
      </c>
      <c r="BP1431" s="2"/>
      <c r="BQ1431" s="2" t="s">
        <v>108</v>
      </c>
      <c r="BR1431" s="2" t="s">
        <v>84</v>
      </c>
      <c r="BS1431" s="3">
        <v>42962</v>
      </c>
      <c r="BT1431" s="4">
        <v>0.39861111111111108</v>
      </c>
      <c r="BU1431" s="2" t="s">
        <v>825</v>
      </c>
      <c r="BV1431" s="2" t="s">
        <v>95</v>
      </c>
      <c r="BW1431" s="2"/>
      <c r="BX1431" s="2"/>
      <c r="BY1431" s="2">
        <v>28052.06</v>
      </c>
      <c r="BZ1431" s="2"/>
      <c r="CA1431" s="2" t="s">
        <v>220</v>
      </c>
      <c r="CB1431" s="2"/>
      <c r="CC1431" s="2" t="s">
        <v>217</v>
      </c>
      <c r="CD1431" s="2">
        <v>1451</v>
      </c>
      <c r="CE1431" s="2" t="s">
        <v>135</v>
      </c>
      <c r="CF1431" s="5">
        <v>42963</v>
      </c>
      <c r="CG1431" s="2"/>
      <c r="CH1431" s="2"/>
      <c r="CI1431" s="2">
        <v>1</v>
      </c>
      <c r="CJ1431" s="2">
        <v>1</v>
      </c>
      <c r="CK1431" s="2">
        <v>22</v>
      </c>
      <c r="CL1431" s="2" t="s">
        <v>86</v>
      </c>
      <c r="CM1431" s="2"/>
    </row>
    <row r="1432" spans="1:91">
      <c r="A1432" s="2" t="s">
        <v>71</v>
      </c>
      <c r="B1432" s="2" t="s">
        <v>72</v>
      </c>
      <c r="C1432" s="2" t="s">
        <v>73</v>
      </c>
      <c r="D1432" s="2"/>
      <c r="E1432" s="2" t="str">
        <f>"FES1162568673"</f>
        <v>FES1162568673</v>
      </c>
      <c r="F1432" s="3">
        <v>42961</v>
      </c>
      <c r="G1432" s="2">
        <v>201802</v>
      </c>
      <c r="H1432" s="2" t="s">
        <v>74</v>
      </c>
      <c r="I1432" s="2" t="s">
        <v>75</v>
      </c>
      <c r="J1432" s="2" t="s">
        <v>76</v>
      </c>
      <c r="K1432" s="2" t="s">
        <v>77</v>
      </c>
      <c r="L1432" s="2" t="s">
        <v>105</v>
      </c>
      <c r="M1432" s="2" t="s">
        <v>106</v>
      </c>
      <c r="N1432" s="2" t="s">
        <v>2152</v>
      </c>
      <c r="O1432" s="2" t="s">
        <v>100</v>
      </c>
      <c r="P1432" s="2" t="str">
        <f>"2170584700                    "</f>
        <v xml:space="preserve">2170584700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4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1</v>
      </c>
      <c r="BI1432" s="2">
        <v>1</v>
      </c>
      <c r="BJ1432" s="2">
        <v>0.2</v>
      </c>
      <c r="BK1432" s="2">
        <v>1</v>
      </c>
      <c r="BL1432" s="2">
        <v>41.44</v>
      </c>
      <c r="BM1432" s="2">
        <v>5.8</v>
      </c>
      <c r="BN1432" s="2">
        <v>47.24</v>
      </c>
      <c r="BO1432" s="2">
        <v>47.24</v>
      </c>
      <c r="BP1432" s="2"/>
      <c r="BQ1432" s="2" t="s">
        <v>108</v>
      </c>
      <c r="BR1432" s="2" t="s">
        <v>84</v>
      </c>
      <c r="BS1432" s="3">
        <v>42962</v>
      </c>
      <c r="BT1432" s="4">
        <v>0.40902777777777777</v>
      </c>
      <c r="BU1432" s="2" t="s">
        <v>2095</v>
      </c>
      <c r="BV1432" s="2" t="s">
        <v>95</v>
      </c>
      <c r="BW1432" s="2"/>
      <c r="BX1432" s="2"/>
      <c r="BY1432" s="2">
        <v>1200</v>
      </c>
      <c r="BZ1432" s="2"/>
      <c r="CA1432" s="2" t="s">
        <v>1591</v>
      </c>
      <c r="CB1432" s="2"/>
      <c r="CC1432" s="2" t="s">
        <v>106</v>
      </c>
      <c r="CD1432" s="2">
        <v>7780</v>
      </c>
      <c r="CE1432" s="2" t="s">
        <v>104</v>
      </c>
      <c r="CF1432" s="5">
        <v>42963</v>
      </c>
      <c r="CG1432" s="2"/>
      <c r="CH1432" s="2"/>
      <c r="CI1432" s="2">
        <v>1</v>
      </c>
      <c r="CJ1432" s="2">
        <v>1</v>
      </c>
      <c r="CK1432" s="2">
        <v>21</v>
      </c>
      <c r="CL1432" s="2" t="s">
        <v>86</v>
      </c>
      <c r="CM1432" s="2"/>
    </row>
    <row r="1433" spans="1:91">
      <c r="A1433" s="2" t="s">
        <v>71</v>
      </c>
      <c r="B1433" s="2" t="s">
        <v>72</v>
      </c>
      <c r="C1433" s="2" t="s">
        <v>73</v>
      </c>
      <c r="D1433" s="2"/>
      <c r="E1433" s="2" t="str">
        <f>"FES1162568668"</f>
        <v>FES1162568668</v>
      </c>
      <c r="F1433" s="3">
        <v>42961</v>
      </c>
      <c r="G1433" s="2">
        <v>201802</v>
      </c>
      <c r="H1433" s="2" t="s">
        <v>74</v>
      </c>
      <c r="I1433" s="2" t="s">
        <v>75</v>
      </c>
      <c r="J1433" s="2" t="s">
        <v>76</v>
      </c>
      <c r="K1433" s="2" t="s">
        <v>77</v>
      </c>
      <c r="L1433" s="2" t="s">
        <v>97</v>
      </c>
      <c r="M1433" s="2" t="s">
        <v>98</v>
      </c>
      <c r="N1433" s="2" t="s">
        <v>292</v>
      </c>
      <c r="O1433" s="2" t="s">
        <v>100</v>
      </c>
      <c r="P1433" s="2" t="str">
        <f>"2170582220                    "</f>
        <v xml:space="preserve">2170582220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17.010000000000002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8.3000000000000007</v>
      </c>
      <c r="BJ1433" s="2">
        <v>7.3</v>
      </c>
      <c r="BK1433" s="2">
        <v>8.5</v>
      </c>
      <c r="BL1433" s="2">
        <v>176.13</v>
      </c>
      <c r="BM1433" s="2">
        <v>24.66</v>
      </c>
      <c r="BN1433" s="2">
        <v>200.79</v>
      </c>
      <c r="BO1433" s="2">
        <v>200.79</v>
      </c>
      <c r="BP1433" s="2"/>
      <c r="BQ1433" s="2" t="s">
        <v>83</v>
      </c>
      <c r="BR1433" s="2" t="s">
        <v>84</v>
      </c>
      <c r="BS1433" s="3">
        <v>42962</v>
      </c>
      <c r="BT1433" s="4">
        <v>0.31944444444444448</v>
      </c>
      <c r="BU1433" s="2" t="s">
        <v>1288</v>
      </c>
      <c r="BV1433" s="2" t="s">
        <v>95</v>
      </c>
      <c r="BW1433" s="2"/>
      <c r="BX1433" s="2"/>
      <c r="BY1433" s="2">
        <v>36649.97</v>
      </c>
      <c r="BZ1433" s="2"/>
      <c r="CA1433" s="2" t="s">
        <v>294</v>
      </c>
      <c r="CB1433" s="2"/>
      <c r="CC1433" s="2" t="s">
        <v>98</v>
      </c>
      <c r="CD1433" s="2">
        <v>6001</v>
      </c>
      <c r="CE1433" s="2" t="s">
        <v>89</v>
      </c>
      <c r="CF1433" s="5">
        <v>42963</v>
      </c>
      <c r="CG1433" s="2"/>
      <c r="CH1433" s="2"/>
      <c r="CI1433" s="2">
        <v>1</v>
      </c>
      <c r="CJ1433" s="2">
        <v>1</v>
      </c>
      <c r="CK1433" s="2">
        <v>21</v>
      </c>
      <c r="CL1433" s="2" t="s">
        <v>86</v>
      </c>
      <c r="CM1433" s="2"/>
    </row>
    <row r="1434" spans="1:91">
      <c r="A1434" s="2" t="s">
        <v>71</v>
      </c>
      <c r="B1434" s="2" t="s">
        <v>72</v>
      </c>
      <c r="C1434" s="2" t="s">
        <v>73</v>
      </c>
      <c r="D1434" s="2"/>
      <c r="E1434" s="2" t="str">
        <f>"FES1162568623"</f>
        <v>FES1162568623</v>
      </c>
      <c r="F1434" s="3">
        <v>42961</v>
      </c>
      <c r="G1434" s="2">
        <v>201802</v>
      </c>
      <c r="H1434" s="2" t="s">
        <v>74</v>
      </c>
      <c r="I1434" s="2" t="s">
        <v>75</v>
      </c>
      <c r="J1434" s="2" t="s">
        <v>76</v>
      </c>
      <c r="K1434" s="2" t="s">
        <v>77</v>
      </c>
      <c r="L1434" s="2" t="s">
        <v>105</v>
      </c>
      <c r="M1434" s="2" t="s">
        <v>106</v>
      </c>
      <c r="N1434" s="2" t="s">
        <v>348</v>
      </c>
      <c r="O1434" s="2" t="s">
        <v>100</v>
      </c>
      <c r="P1434" s="2" t="str">
        <f>"2170584694                    "</f>
        <v xml:space="preserve">2170584694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4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1</v>
      </c>
      <c r="BJ1434" s="2">
        <v>0.2</v>
      </c>
      <c r="BK1434" s="2">
        <v>1</v>
      </c>
      <c r="BL1434" s="2">
        <v>41.44</v>
      </c>
      <c r="BM1434" s="2">
        <v>5.8</v>
      </c>
      <c r="BN1434" s="2">
        <v>47.24</v>
      </c>
      <c r="BO1434" s="2">
        <v>47.24</v>
      </c>
      <c r="BP1434" s="2"/>
      <c r="BQ1434" s="2" t="s">
        <v>108</v>
      </c>
      <c r="BR1434" s="2" t="s">
        <v>84</v>
      </c>
      <c r="BS1434" s="3">
        <v>42962</v>
      </c>
      <c r="BT1434" s="4">
        <v>0.41666666666666669</v>
      </c>
      <c r="BU1434" s="2" t="s">
        <v>778</v>
      </c>
      <c r="BV1434" s="2" t="s">
        <v>95</v>
      </c>
      <c r="BW1434" s="2"/>
      <c r="BX1434" s="2"/>
      <c r="BY1434" s="2">
        <v>1200</v>
      </c>
      <c r="BZ1434" s="2"/>
      <c r="CA1434" s="2"/>
      <c r="CB1434" s="2"/>
      <c r="CC1434" s="2" t="s">
        <v>106</v>
      </c>
      <c r="CD1434" s="2">
        <v>7945</v>
      </c>
      <c r="CE1434" s="2" t="s">
        <v>104</v>
      </c>
      <c r="CF1434" s="5">
        <v>42963</v>
      </c>
      <c r="CG1434" s="2"/>
      <c r="CH1434" s="2"/>
      <c r="CI1434" s="2">
        <v>1</v>
      </c>
      <c r="CJ1434" s="2">
        <v>1</v>
      </c>
      <c r="CK1434" s="2">
        <v>21</v>
      </c>
      <c r="CL1434" s="2" t="s">
        <v>86</v>
      </c>
      <c r="CM1434" s="2"/>
    </row>
    <row r="1435" spans="1:91">
      <c r="A1435" s="2" t="s">
        <v>71</v>
      </c>
      <c r="B1435" s="2" t="s">
        <v>72</v>
      </c>
      <c r="C1435" s="2" t="s">
        <v>73</v>
      </c>
      <c r="D1435" s="2"/>
      <c r="E1435" s="2" t="str">
        <f>"FES1162568670"</f>
        <v>FES1162568670</v>
      </c>
      <c r="F1435" s="3">
        <v>42961</v>
      </c>
      <c r="G1435" s="2">
        <v>201802</v>
      </c>
      <c r="H1435" s="2" t="s">
        <v>74</v>
      </c>
      <c r="I1435" s="2" t="s">
        <v>75</v>
      </c>
      <c r="J1435" s="2" t="s">
        <v>76</v>
      </c>
      <c r="K1435" s="2" t="s">
        <v>77</v>
      </c>
      <c r="L1435" s="2" t="s">
        <v>149</v>
      </c>
      <c r="M1435" s="2" t="s">
        <v>150</v>
      </c>
      <c r="N1435" s="2" t="s">
        <v>93</v>
      </c>
      <c r="O1435" s="2" t="s">
        <v>100</v>
      </c>
      <c r="P1435" s="2" t="str">
        <f>"2170583130                    "</f>
        <v xml:space="preserve">2170583130 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34.020000000000003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1</v>
      </c>
      <c r="BI1435" s="2">
        <v>17</v>
      </c>
      <c r="BJ1435" s="2">
        <v>1.3</v>
      </c>
      <c r="BK1435" s="2">
        <v>17</v>
      </c>
      <c r="BL1435" s="2">
        <v>352.26</v>
      </c>
      <c r="BM1435" s="2">
        <v>49.32</v>
      </c>
      <c r="BN1435" s="2">
        <v>401.58</v>
      </c>
      <c r="BO1435" s="2">
        <v>401.58</v>
      </c>
      <c r="BP1435" s="2"/>
      <c r="BQ1435" s="2" t="s">
        <v>288</v>
      </c>
      <c r="BR1435" s="2" t="s">
        <v>84</v>
      </c>
      <c r="BS1435" s="3">
        <v>42962</v>
      </c>
      <c r="BT1435" s="4">
        <v>0.44097222222222227</v>
      </c>
      <c r="BU1435" s="2" t="s">
        <v>2153</v>
      </c>
      <c r="BV1435" s="2" t="s">
        <v>95</v>
      </c>
      <c r="BW1435" s="2"/>
      <c r="BX1435" s="2"/>
      <c r="BY1435" s="2">
        <v>6460</v>
      </c>
      <c r="BZ1435" s="2"/>
      <c r="CA1435" s="2" t="s">
        <v>682</v>
      </c>
      <c r="CB1435" s="2"/>
      <c r="CC1435" s="2" t="s">
        <v>150</v>
      </c>
      <c r="CD1435" s="2">
        <v>4001</v>
      </c>
      <c r="CE1435" s="2" t="s">
        <v>89</v>
      </c>
      <c r="CF1435" s="5">
        <v>42963</v>
      </c>
      <c r="CG1435" s="2"/>
      <c r="CH1435" s="2"/>
      <c r="CI1435" s="2">
        <v>1</v>
      </c>
      <c r="CJ1435" s="2">
        <v>1</v>
      </c>
      <c r="CK1435" s="2">
        <v>21</v>
      </c>
      <c r="CL1435" s="2" t="s">
        <v>86</v>
      </c>
      <c r="CM1435" s="2"/>
    </row>
    <row r="1436" spans="1:91">
      <c r="A1436" s="2" t="s">
        <v>71</v>
      </c>
      <c r="B1436" s="2" t="s">
        <v>72</v>
      </c>
      <c r="C1436" s="2" t="s">
        <v>73</v>
      </c>
      <c r="D1436" s="2"/>
      <c r="E1436" s="2" t="str">
        <f>"FES1162568697"</f>
        <v>FES1162568697</v>
      </c>
      <c r="F1436" s="3">
        <v>42961</v>
      </c>
      <c r="G1436" s="2">
        <v>201802</v>
      </c>
      <c r="H1436" s="2" t="s">
        <v>74</v>
      </c>
      <c r="I1436" s="2" t="s">
        <v>75</v>
      </c>
      <c r="J1436" s="2" t="s">
        <v>76</v>
      </c>
      <c r="K1436" s="2" t="s">
        <v>77</v>
      </c>
      <c r="L1436" s="2" t="s">
        <v>362</v>
      </c>
      <c r="M1436" s="2" t="s">
        <v>363</v>
      </c>
      <c r="N1436" s="2" t="s">
        <v>683</v>
      </c>
      <c r="O1436" s="2" t="s">
        <v>100</v>
      </c>
      <c r="P1436" s="2" t="str">
        <f>"2170584439                    "</f>
        <v xml:space="preserve">2170584439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4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1</v>
      </c>
      <c r="BJ1436" s="2">
        <v>0.2</v>
      </c>
      <c r="BK1436" s="2">
        <v>1</v>
      </c>
      <c r="BL1436" s="2">
        <v>41.44</v>
      </c>
      <c r="BM1436" s="2">
        <v>5.8</v>
      </c>
      <c r="BN1436" s="2">
        <v>47.24</v>
      </c>
      <c r="BO1436" s="2">
        <v>47.24</v>
      </c>
      <c r="BP1436" s="2"/>
      <c r="BQ1436" s="2" t="s">
        <v>108</v>
      </c>
      <c r="BR1436" s="2" t="s">
        <v>84</v>
      </c>
      <c r="BS1436" s="3">
        <v>42962</v>
      </c>
      <c r="BT1436" s="4">
        <v>0.4375</v>
      </c>
      <c r="BU1436" s="2" t="s">
        <v>684</v>
      </c>
      <c r="BV1436" s="2" t="s">
        <v>95</v>
      </c>
      <c r="BW1436" s="2"/>
      <c r="BX1436" s="2"/>
      <c r="BY1436" s="2">
        <v>1200</v>
      </c>
      <c r="BZ1436" s="2"/>
      <c r="CA1436" s="2" t="s">
        <v>685</v>
      </c>
      <c r="CB1436" s="2"/>
      <c r="CC1436" s="2" t="s">
        <v>363</v>
      </c>
      <c r="CD1436" s="2">
        <v>3201</v>
      </c>
      <c r="CE1436" s="2" t="s">
        <v>104</v>
      </c>
      <c r="CF1436" s="5">
        <v>42963</v>
      </c>
      <c r="CG1436" s="2"/>
      <c r="CH1436" s="2"/>
      <c r="CI1436" s="2">
        <v>1</v>
      </c>
      <c r="CJ1436" s="2">
        <v>1</v>
      </c>
      <c r="CK1436" s="2">
        <v>21</v>
      </c>
      <c r="CL1436" s="2" t="s">
        <v>86</v>
      </c>
      <c r="CM1436" s="2"/>
    </row>
    <row r="1437" spans="1:91">
      <c r="A1437" s="2" t="s">
        <v>71</v>
      </c>
      <c r="B1437" s="2" t="s">
        <v>72</v>
      </c>
      <c r="C1437" s="2" t="s">
        <v>73</v>
      </c>
      <c r="D1437" s="2"/>
      <c r="E1437" s="2" t="str">
        <f>"FES1162568685"</f>
        <v>FES1162568685</v>
      </c>
      <c r="F1437" s="3">
        <v>42961</v>
      </c>
      <c r="G1437" s="2">
        <v>201802</v>
      </c>
      <c r="H1437" s="2" t="s">
        <v>74</v>
      </c>
      <c r="I1437" s="2" t="s">
        <v>75</v>
      </c>
      <c r="J1437" s="2" t="s">
        <v>76</v>
      </c>
      <c r="K1437" s="2" t="s">
        <v>77</v>
      </c>
      <c r="L1437" s="2" t="s">
        <v>237</v>
      </c>
      <c r="M1437" s="2" t="s">
        <v>238</v>
      </c>
      <c r="N1437" s="2" t="s">
        <v>2089</v>
      </c>
      <c r="O1437" s="2" t="s">
        <v>100</v>
      </c>
      <c r="P1437" s="2" t="str">
        <f>"2170584715                    "</f>
        <v xml:space="preserve">2170584715 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4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1</v>
      </c>
      <c r="BJ1437" s="2">
        <v>0.2</v>
      </c>
      <c r="BK1437" s="2">
        <v>1</v>
      </c>
      <c r="BL1437" s="2">
        <v>41.44</v>
      </c>
      <c r="BM1437" s="2">
        <v>5.8</v>
      </c>
      <c r="BN1437" s="2">
        <v>47.24</v>
      </c>
      <c r="BO1437" s="2">
        <v>47.24</v>
      </c>
      <c r="BP1437" s="2"/>
      <c r="BQ1437" s="2" t="s">
        <v>83</v>
      </c>
      <c r="BR1437" s="2" t="s">
        <v>84</v>
      </c>
      <c r="BS1437" s="3">
        <v>42962</v>
      </c>
      <c r="BT1437" s="4">
        <v>0.42291666666666666</v>
      </c>
      <c r="BU1437" s="2" t="s">
        <v>2154</v>
      </c>
      <c r="BV1437" s="2" t="s">
        <v>95</v>
      </c>
      <c r="BW1437" s="2"/>
      <c r="BX1437" s="2"/>
      <c r="BY1437" s="2">
        <v>1200</v>
      </c>
      <c r="BZ1437" s="2"/>
      <c r="CA1437" s="2" t="s">
        <v>2155</v>
      </c>
      <c r="CB1437" s="2"/>
      <c r="CC1437" s="2" t="s">
        <v>238</v>
      </c>
      <c r="CD1437" s="2">
        <v>3610</v>
      </c>
      <c r="CE1437" s="2" t="s">
        <v>104</v>
      </c>
      <c r="CF1437" s="5">
        <v>42963</v>
      </c>
      <c r="CG1437" s="2"/>
      <c r="CH1437" s="2"/>
      <c r="CI1437" s="2">
        <v>1</v>
      </c>
      <c r="CJ1437" s="2">
        <v>1</v>
      </c>
      <c r="CK1437" s="2">
        <v>21</v>
      </c>
      <c r="CL1437" s="2" t="s">
        <v>86</v>
      </c>
      <c r="CM1437" s="2"/>
    </row>
    <row r="1438" spans="1:91">
      <c r="A1438" s="2" t="s">
        <v>71</v>
      </c>
      <c r="B1438" s="2" t="s">
        <v>72</v>
      </c>
      <c r="C1438" s="2" t="s">
        <v>73</v>
      </c>
      <c r="D1438" s="2"/>
      <c r="E1438" s="2" t="str">
        <f>"FES1162568662"</f>
        <v>FES1162568662</v>
      </c>
      <c r="F1438" s="3">
        <v>42961</v>
      </c>
      <c r="G1438" s="2">
        <v>201802</v>
      </c>
      <c r="H1438" s="2" t="s">
        <v>74</v>
      </c>
      <c r="I1438" s="2" t="s">
        <v>75</v>
      </c>
      <c r="J1438" s="2" t="s">
        <v>76</v>
      </c>
      <c r="K1438" s="2" t="s">
        <v>77</v>
      </c>
      <c r="L1438" s="2" t="s">
        <v>149</v>
      </c>
      <c r="M1438" s="2" t="s">
        <v>150</v>
      </c>
      <c r="N1438" s="2" t="s">
        <v>1947</v>
      </c>
      <c r="O1438" s="2" t="s">
        <v>100</v>
      </c>
      <c r="P1438" s="2" t="str">
        <f>"2170581435                    "</f>
        <v xml:space="preserve">2170581435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9.01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1</v>
      </c>
      <c r="BI1438" s="2">
        <v>4.2</v>
      </c>
      <c r="BJ1438" s="2">
        <v>3.9</v>
      </c>
      <c r="BK1438" s="2">
        <v>4.5</v>
      </c>
      <c r="BL1438" s="2">
        <v>93.25</v>
      </c>
      <c r="BM1438" s="2">
        <v>13.06</v>
      </c>
      <c r="BN1438" s="2">
        <v>106.31</v>
      </c>
      <c r="BO1438" s="2">
        <v>106.31</v>
      </c>
      <c r="BP1438" s="2"/>
      <c r="BQ1438" s="2" t="s">
        <v>1981</v>
      </c>
      <c r="BR1438" s="2" t="s">
        <v>84</v>
      </c>
      <c r="BS1438" s="3">
        <v>42962</v>
      </c>
      <c r="BT1438" s="4">
        <v>0.31527777777777777</v>
      </c>
      <c r="BU1438" s="2" t="s">
        <v>1948</v>
      </c>
      <c r="BV1438" s="2" t="s">
        <v>95</v>
      </c>
      <c r="BW1438" s="2"/>
      <c r="BX1438" s="2"/>
      <c r="BY1438" s="2">
        <v>19342.189999999999</v>
      </c>
      <c r="BZ1438" s="2"/>
      <c r="CA1438" s="2" t="s">
        <v>1949</v>
      </c>
      <c r="CB1438" s="2"/>
      <c r="CC1438" s="2" t="s">
        <v>150</v>
      </c>
      <c r="CD1438" s="2">
        <v>4064</v>
      </c>
      <c r="CE1438" s="2" t="s">
        <v>89</v>
      </c>
      <c r="CF1438" s="5">
        <v>42963</v>
      </c>
      <c r="CG1438" s="2"/>
      <c r="CH1438" s="2"/>
      <c r="CI1438" s="2">
        <v>1</v>
      </c>
      <c r="CJ1438" s="2">
        <v>1</v>
      </c>
      <c r="CK1438" s="2">
        <v>21</v>
      </c>
      <c r="CL1438" s="2" t="s">
        <v>86</v>
      </c>
      <c r="CM1438" s="2"/>
    </row>
    <row r="1439" spans="1:91">
      <c r="A1439" s="2" t="s">
        <v>71</v>
      </c>
      <c r="B1439" s="2" t="s">
        <v>72</v>
      </c>
      <c r="C1439" s="2" t="s">
        <v>73</v>
      </c>
      <c r="D1439" s="2"/>
      <c r="E1439" s="2" t="str">
        <f>"FES1162568633"</f>
        <v>FES1162568633</v>
      </c>
      <c r="F1439" s="3">
        <v>42961</v>
      </c>
      <c r="G1439" s="2">
        <v>201802</v>
      </c>
      <c r="H1439" s="2" t="s">
        <v>74</v>
      </c>
      <c r="I1439" s="2" t="s">
        <v>75</v>
      </c>
      <c r="J1439" s="2" t="s">
        <v>76</v>
      </c>
      <c r="K1439" s="2" t="s">
        <v>77</v>
      </c>
      <c r="L1439" s="2" t="s">
        <v>244</v>
      </c>
      <c r="M1439" s="2" t="s">
        <v>245</v>
      </c>
      <c r="N1439" s="2" t="s">
        <v>2156</v>
      </c>
      <c r="O1439" s="2" t="s">
        <v>100</v>
      </c>
      <c r="P1439" s="2" t="str">
        <f>"2170573963                    "</f>
        <v xml:space="preserve">2170573963 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3.13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1</v>
      </c>
      <c r="BI1439" s="2">
        <v>1.3</v>
      </c>
      <c r="BJ1439" s="2">
        <v>1.2</v>
      </c>
      <c r="BK1439" s="2">
        <v>2</v>
      </c>
      <c r="BL1439" s="2">
        <v>32.380000000000003</v>
      </c>
      <c r="BM1439" s="2">
        <v>4.53</v>
      </c>
      <c r="BN1439" s="2">
        <v>36.909999999999997</v>
      </c>
      <c r="BO1439" s="2">
        <v>36.909999999999997</v>
      </c>
      <c r="BP1439" s="2"/>
      <c r="BQ1439" s="2" t="s">
        <v>108</v>
      </c>
      <c r="BR1439" s="2" t="s">
        <v>84</v>
      </c>
      <c r="BS1439" s="3">
        <v>42962</v>
      </c>
      <c r="BT1439" s="4">
        <v>0.39444444444444443</v>
      </c>
      <c r="BU1439" s="2" t="s">
        <v>2157</v>
      </c>
      <c r="BV1439" s="2" t="s">
        <v>95</v>
      </c>
      <c r="BW1439" s="2"/>
      <c r="BX1439" s="2"/>
      <c r="BY1439" s="2">
        <v>6167.77</v>
      </c>
      <c r="BZ1439" s="2"/>
      <c r="CA1439" s="2" t="s">
        <v>733</v>
      </c>
      <c r="CB1439" s="2"/>
      <c r="CC1439" s="2" t="s">
        <v>245</v>
      </c>
      <c r="CD1439" s="2">
        <v>1459</v>
      </c>
      <c r="CE1439" s="2" t="s">
        <v>89</v>
      </c>
      <c r="CF1439" s="5">
        <v>42963</v>
      </c>
      <c r="CG1439" s="2"/>
      <c r="CH1439" s="2"/>
      <c r="CI1439" s="2">
        <v>1</v>
      </c>
      <c r="CJ1439" s="2">
        <v>1</v>
      </c>
      <c r="CK1439" s="2">
        <v>22</v>
      </c>
      <c r="CL1439" s="2" t="s">
        <v>86</v>
      </c>
      <c r="CM1439" s="2"/>
    </row>
    <row r="1440" spans="1:91">
      <c r="A1440" s="2" t="s">
        <v>71</v>
      </c>
      <c r="B1440" s="2" t="s">
        <v>72</v>
      </c>
      <c r="C1440" s="2" t="s">
        <v>73</v>
      </c>
      <c r="D1440" s="2"/>
      <c r="E1440" s="2" t="str">
        <f>"FES1162568680"</f>
        <v>FES1162568680</v>
      </c>
      <c r="F1440" s="3">
        <v>42961</v>
      </c>
      <c r="G1440" s="2">
        <v>201802</v>
      </c>
      <c r="H1440" s="2" t="s">
        <v>74</v>
      </c>
      <c r="I1440" s="2" t="s">
        <v>75</v>
      </c>
      <c r="J1440" s="2" t="s">
        <v>76</v>
      </c>
      <c r="K1440" s="2" t="s">
        <v>77</v>
      </c>
      <c r="L1440" s="2" t="s">
        <v>170</v>
      </c>
      <c r="M1440" s="2" t="s">
        <v>171</v>
      </c>
      <c r="N1440" s="2" t="s">
        <v>2158</v>
      </c>
      <c r="O1440" s="2" t="s">
        <v>100</v>
      </c>
      <c r="P1440" s="2" t="str">
        <f>"2170584709                    "</f>
        <v xml:space="preserve">2170584709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3.13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1</v>
      </c>
      <c r="BI1440" s="2">
        <v>1</v>
      </c>
      <c r="BJ1440" s="2">
        <v>0.2</v>
      </c>
      <c r="BK1440" s="2">
        <v>1</v>
      </c>
      <c r="BL1440" s="2">
        <v>32.380000000000003</v>
      </c>
      <c r="BM1440" s="2">
        <v>4.53</v>
      </c>
      <c r="BN1440" s="2">
        <v>36.909999999999997</v>
      </c>
      <c r="BO1440" s="2">
        <v>36.909999999999997</v>
      </c>
      <c r="BP1440" s="2"/>
      <c r="BQ1440" s="2" t="s">
        <v>108</v>
      </c>
      <c r="BR1440" s="2" t="s">
        <v>84</v>
      </c>
      <c r="BS1440" s="3">
        <v>42962</v>
      </c>
      <c r="BT1440" s="4">
        <v>0.43541666666666662</v>
      </c>
      <c r="BU1440" s="2" t="s">
        <v>2159</v>
      </c>
      <c r="BV1440" s="2" t="s">
        <v>95</v>
      </c>
      <c r="BW1440" s="2"/>
      <c r="BX1440" s="2"/>
      <c r="BY1440" s="2">
        <v>1200</v>
      </c>
      <c r="BZ1440" s="2"/>
      <c r="CA1440" s="2" t="s">
        <v>1617</v>
      </c>
      <c r="CB1440" s="2"/>
      <c r="CC1440" s="2" t="s">
        <v>171</v>
      </c>
      <c r="CD1440" s="2">
        <v>1401</v>
      </c>
      <c r="CE1440" s="2" t="s">
        <v>104</v>
      </c>
      <c r="CF1440" s="5">
        <v>42963</v>
      </c>
      <c r="CG1440" s="2"/>
      <c r="CH1440" s="2"/>
      <c r="CI1440" s="2">
        <v>1</v>
      </c>
      <c r="CJ1440" s="2">
        <v>1</v>
      </c>
      <c r="CK1440" s="2">
        <v>22</v>
      </c>
      <c r="CL1440" s="2" t="s">
        <v>86</v>
      </c>
      <c r="CM1440" s="2"/>
    </row>
    <row r="1441" spans="1:91">
      <c r="A1441" s="2" t="s">
        <v>71</v>
      </c>
      <c r="B1441" s="2" t="s">
        <v>72</v>
      </c>
      <c r="C1441" s="2" t="s">
        <v>73</v>
      </c>
      <c r="D1441" s="2"/>
      <c r="E1441" s="2" t="str">
        <f>"FES1162568636"</f>
        <v>FES1162568636</v>
      </c>
      <c r="F1441" s="3">
        <v>42961</v>
      </c>
      <c r="G1441" s="2">
        <v>201802</v>
      </c>
      <c r="H1441" s="2" t="s">
        <v>74</v>
      </c>
      <c r="I1441" s="2" t="s">
        <v>75</v>
      </c>
      <c r="J1441" s="2" t="s">
        <v>76</v>
      </c>
      <c r="K1441" s="2" t="s">
        <v>77</v>
      </c>
      <c r="L1441" s="2" t="s">
        <v>237</v>
      </c>
      <c r="M1441" s="2" t="s">
        <v>238</v>
      </c>
      <c r="N1441" s="2" t="s">
        <v>669</v>
      </c>
      <c r="O1441" s="2" t="s">
        <v>100</v>
      </c>
      <c r="P1441" s="2" t="str">
        <f>"2170576690                    "</f>
        <v xml:space="preserve">2170576690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14.01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3.7</v>
      </c>
      <c r="BJ1441" s="2">
        <v>7</v>
      </c>
      <c r="BK1441" s="2">
        <v>7</v>
      </c>
      <c r="BL1441" s="2">
        <v>145.05000000000001</v>
      </c>
      <c r="BM1441" s="2">
        <v>20.309999999999999</v>
      </c>
      <c r="BN1441" s="2">
        <v>165.36</v>
      </c>
      <c r="BO1441" s="2">
        <v>165.36</v>
      </c>
      <c r="BP1441" s="2"/>
      <c r="BQ1441" s="2" t="s">
        <v>670</v>
      </c>
      <c r="BR1441" s="2" t="s">
        <v>84</v>
      </c>
      <c r="BS1441" s="3">
        <v>42962</v>
      </c>
      <c r="BT1441" s="4">
        <v>0.38541666666666669</v>
      </c>
      <c r="BU1441" s="2" t="s">
        <v>2160</v>
      </c>
      <c r="BV1441" s="2" t="s">
        <v>95</v>
      </c>
      <c r="BW1441" s="2"/>
      <c r="BX1441" s="2"/>
      <c r="BY1441" s="2">
        <v>34825.269999999997</v>
      </c>
      <c r="BZ1441" s="2"/>
      <c r="CA1441" s="2" t="s">
        <v>2155</v>
      </c>
      <c r="CB1441" s="2"/>
      <c r="CC1441" s="2" t="s">
        <v>238</v>
      </c>
      <c r="CD1441" s="2">
        <v>3610</v>
      </c>
      <c r="CE1441" s="2" t="s">
        <v>89</v>
      </c>
      <c r="CF1441" s="5">
        <v>42963</v>
      </c>
      <c r="CG1441" s="2"/>
      <c r="CH1441" s="2"/>
      <c r="CI1441" s="2">
        <v>1</v>
      </c>
      <c r="CJ1441" s="2">
        <v>1</v>
      </c>
      <c r="CK1441" s="2">
        <v>21</v>
      </c>
      <c r="CL1441" s="2" t="s">
        <v>86</v>
      </c>
      <c r="CM1441" s="2"/>
    </row>
    <row r="1442" spans="1:91">
      <c r="A1442" s="2" t="s">
        <v>71</v>
      </c>
      <c r="B1442" s="2" t="s">
        <v>72</v>
      </c>
      <c r="C1442" s="2" t="s">
        <v>73</v>
      </c>
      <c r="D1442" s="2"/>
      <c r="E1442" s="2" t="str">
        <f>"FES1162568644"</f>
        <v>FES1162568644</v>
      </c>
      <c r="F1442" s="3">
        <v>42961</v>
      </c>
      <c r="G1442" s="2">
        <v>201802</v>
      </c>
      <c r="H1442" s="2" t="s">
        <v>74</v>
      </c>
      <c r="I1442" s="2" t="s">
        <v>75</v>
      </c>
      <c r="J1442" s="2" t="s">
        <v>76</v>
      </c>
      <c r="K1442" s="2" t="s">
        <v>77</v>
      </c>
      <c r="L1442" s="2" t="s">
        <v>170</v>
      </c>
      <c r="M1442" s="2" t="s">
        <v>171</v>
      </c>
      <c r="N1442" s="2" t="s">
        <v>821</v>
      </c>
      <c r="O1442" s="2" t="s">
        <v>100</v>
      </c>
      <c r="P1442" s="2" t="str">
        <f>"2170579281                    "</f>
        <v xml:space="preserve">2170579281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3.13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0.9</v>
      </c>
      <c r="BJ1442" s="2">
        <v>1.2</v>
      </c>
      <c r="BK1442" s="2">
        <v>2</v>
      </c>
      <c r="BL1442" s="2">
        <v>32.380000000000003</v>
      </c>
      <c r="BM1442" s="2">
        <v>4.53</v>
      </c>
      <c r="BN1442" s="2">
        <v>36.909999999999997</v>
      </c>
      <c r="BO1442" s="2">
        <v>36.909999999999997</v>
      </c>
      <c r="BP1442" s="2"/>
      <c r="BQ1442" s="2" t="s">
        <v>1920</v>
      </c>
      <c r="BR1442" s="2" t="s">
        <v>84</v>
      </c>
      <c r="BS1442" s="3">
        <v>42962</v>
      </c>
      <c r="BT1442" s="4">
        <v>0.36874999999999997</v>
      </c>
      <c r="BU1442" s="2" t="s">
        <v>2161</v>
      </c>
      <c r="BV1442" s="2" t="s">
        <v>95</v>
      </c>
      <c r="BW1442" s="2"/>
      <c r="BX1442" s="2"/>
      <c r="BY1442" s="2">
        <v>6236.16</v>
      </c>
      <c r="BZ1442" s="2"/>
      <c r="CA1442" s="2" t="s">
        <v>492</v>
      </c>
      <c r="CB1442" s="2"/>
      <c r="CC1442" s="2" t="s">
        <v>171</v>
      </c>
      <c r="CD1442" s="2">
        <v>1422</v>
      </c>
      <c r="CE1442" s="2" t="s">
        <v>89</v>
      </c>
      <c r="CF1442" s="5">
        <v>42963</v>
      </c>
      <c r="CG1442" s="2"/>
      <c r="CH1442" s="2"/>
      <c r="CI1442" s="2">
        <v>1</v>
      </c>
      <c r="CJ1442" s="2">
        <v>1</v>
      </c>
      <c r="CK1442" s="2">
        <v>22</v>
      </c>
      <c r="CL1442" s="2" t="s">
        <v>86</v>
      </c>
      <c r="CM1442" s="2"/>
    </row>
    <row r="1443" spans="1:91">
      <c r="A1443" s="2" t="s">
        <v>71</v>
      </c>
      <c r="B1443" s="2" t="s">
        <v>72</v>
      </c>
      <c r="C1443" s="2" t="s">
        <v>73</v>
      </c>
      <c r="D1443" s="2"/>
      <c r="E1443" s="2" t="str">
        <f>"FES1162568614"</f>
        <v>FES1162568614</v>
      </c>
      <c r="F1443" s="3">
        <v>42961</v>
      </c>
      <c r="G1443" s="2">
        <v>201802</v>
      </c>
      <c r="H1443" s="2" t="s">
        <v>74</v>
      </c>
      <c r="I1443" s="2" t="s">
        <v>75</v>
      </c>
      <c r="J1443" s="2" t="s">
        <v>76</v>
      </c>
      <c r="K1443" s="2" t="s">
        <v>77</v>
      </c>
      <c r="L1443" s="2" t="s">
        <v>97</v>
      </c>
      <c r="M1443" s="2" t="s">
        <v>98</v>
      </c>
      <c r="N1443" s="2" t="s">
        <v>119</v>
      </c>
      <c r="O1443" s="2" t="s">
        <v>100</v>
      </c>
      <c r="P1443" s="2" t="str">
        <f>"2170584686                    "</f>
        <v xml:space="preserve">2170584686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4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1</v>
      </c>
      <c r="BJ1443" s="2">
        <v>0.2</v>
      </c>
      <c r="BK1443" s="2">
        <v>1</v>
      </c>
      <c r="BL1443" s="2">
        <v>41.44</v>
      </c>
      <c r="BM1443" s="2">
        <v>5.8</v>
      </c>
      <c r="BN1443" s="2">
        <v>47.24</v>
      </c>
      <c r="BO1443" s="2">
        <v>47.24</v>
      </c>
      <c r="BP1443" s="2"/>
      <c r="BQ1443" s="2" t="s">
        <v>108</v>
      </c>
      <c r="BR1443" s="2" t="s">
        <v>84</v>
      </c>
      <c r="BS1443" s="3">
        <v>42962</v>
      </c>
      <c r="BT1443" s="4">
        <v>0.33333333333333331</v>
      </c>
      <c r="BU1443" s="2" t="s">
        <v>2059</v>
      </c>
      <c r="BV1443" s="2" t="s">
        <v>95</v>
      </c>
      <c r="BW1443" s="2"/>
      <c r="BX1443" s="2"/>
      <c r="BY1443" s="2">
        <v>1200</v>
      </c>
      <c r="BZ1443" s="2"/>
      <c r="CA1443" s="2"/>
      <c r="CB1443" s="2"/>
      <c r="CC1443" s="2" t="s">
        <v>98</v>
      </c>
      <c r="CD1443" s="2">
        <v>6001</v>
      </c>
      <c r="CE1443" s="2" t="s">
        <v>104</v>
      </c>
      <c r="CF1443" s="5">
        <v>42963</v>
      </c>
      <c r="CG1443" s="2"/>
      <c r="CH1443" s="2"/>
      <c r="CI1443" s="2">
        <v>1</v>
      </c>
      <c r="CJ1443" s="2">
        <v>1</v>
      </c>
      <c r="CK1443" s="2">
        <v>21</v>
      </c>
      <c r="CL1443" s="2" t="s">
        <v>86</v>
      </c>
      <c r="CM1443" s="2"/>
    </row>
    <row r="1444" spans="1:91">
      <c r="A1444" s="2" t="s">
        <v>71</v>
      </c>
      <c r="B1444" s="2" t="s">
        <v>72</v>
      </c>
      <c r="C1444" s="2" t="s">
        <v>73</v>
      </c>
      <c r="D1444" s="2"/>
      <c r="E1444" s="2" t="str">
        <f>"FES1162568635"</f>
        <v>FES1162568635</v>
      </c>
      <c r="F1444" s="3">
        <v>42961</v>
      </c>
      <c r="G1444" s="2">
        <v>201802</v>
      </c>
      <c r="H1444" s="2" t="s">
        <v>74</v>
      </c>
      <c r="I1444" s="2" t="s">
        <v>75</v>
      </c>
      <c r="J1444" s="2" t="s">
        <v>76</v>
      </c>
      <c r="K1444" s="2" t="s">
        <v>77</v>
      </c>
      <c r="L1444" s="2" t="s">
        <v>170</v>
      </c>
      <c r="M1444" s="2" t="s">
        <v>171</v>
      </c>
      <c r="N1444" s="2" t="s">
        <v>2162</v>
      </c>
      <c r="O1444" s="2" t="s">
        <v>100</v>
      </c>
      <c r="P1444" s="2" t="str">
        <f>"2170575915                    "</f>
        <v xml:space="preserve">2170575915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3.13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2.5</v>
      </c>
      <c r="BJ1444" s="2">
        <v>2.8</v>
      </c>
      <c r="BK1444" s="2">
        <v>3</v>
      </c>
      <c r="BL1444" s="2">
        <v>32.380000000000003</v>
      </c>
      <c r="BM1444" s="2">
        <v>4.53</v>
      </c>
      <c r="BN1444" s="2">
        <v>36.909999999999997</v>
      </c>
      <c r="BO1444" s="2">
        <v>36.909999999999997</v>
      </c>
      <c r="BP1444" s="2"/>
      <c r="BQ1444" s="2" t="s">
        <v>2163</v>
      </c>
      <c r="BR1444" s="2" t="s">
        <v>84</v>
      </c>
      <c r="BS1444" s="3">
        <v>42962</v>
      </c>
      <c r="BT1444" s="4">
        <v>0.45694444444444443</v>
      </c>
      <c r="BU1444" s="2" t="s">
        <v>330</v>
      </c>
      <c r="BV1444" s="2" t="s">
        <v>95</v>
      </c>
      <c r="BW1444" s="2"/>
      <c r="BX1444" s="2"/>
      <c r="BY1444" s="2">
        <v>14148.9</v>
      </c>
      <c r="BZ1444" s="2"/>
      <c r="CA1444" s="2" t="s">
        <v>1617</v>
      </c>
      <c r="CB1444" s="2"/>
      <c r="CC1444" s="2" t="s">
        <v>171</v>
      </c>
      <c r="CD1444" s="2">
        <v>1401</v>
      </c>
      <c r="CE1444" s="2" t="s">
        <v>89</v>
      </c>
      <c r="CF1444" s="5">
        <v>42963</v>
      </c>
      <c r="CG1444" s="2"/>
      <c r="CH1444" s="2"/>
      <c r="CI1444" s="2">
        <v>1</v>
      </c>
      <c r="CJ1444" s="2">
        <v>1</v>
      </c>
      <c r="CK1444" s="2">
        <v>22</v>
      </c>
      <c r="CL1444" s="2" t="s">
        <v>86</v>
      </c>
      <c r="CM1444" s="2"/>
    </row>
    <row r="1445" spans="1:91">
      <c r="A1445" s="2" t="s">
        <v>71</v>
      </c>
      <c r="B1445" s="2" t="s">
        <v>72</v>
      </c>
      <c r="C1445" s="2" t="s">
        <v>73</v>
      </c>
      <c r="D1445" s="2"/>
      <c r="E1445" s="2" t="str">
        <f>"FES1162568676"</f>
        <v>FES1162568676</v>
      </c>
      <c r="F1445" s="3">
        <v>42961</v>
      </c>
      <c r="G1445" s="2">
        <v>201802</v>
      </c>
      <c r="H1445" s="2" t="s">
        <v>74</v>
      </c>
      <c r="I1445" s="2" t="s">
        <v>75</v>
      </c>
      <c r="J1445" s="2" t="s">
        <v>76</v>
      </c>
      <c r="K1445" s="2" t="s">
        <v>77</v>
      </c>
      <c r="L1445" s="2" t="s">
        <v>97</v>
      </c>
      <c r="M1445" s="2" t="s">
        <v>98</v>
      </c>
      <c r="N1445" s="2" t="s">
        <v>292</v>
      </c>
      <c r="O1445" s="2" t="s">
        <v>100</v>
      </c>
      <c r="P1445" s="2" t="str">
        <f>"2170584706                    "</f>
        <v xml:space="preserve">2170584706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4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1</v>
      </c>
      <c r="BI1445" s="2">
        <v>1</v>
      </c>
      <c r="BJ1445" s="2">
        <v>0.2</v>
      </c>
      <c r="BK1445" s="2">
        <v>1</v>
      </c>
      <c r="BL1445" s="2">
        <v>41.44</v>
      </c>
      <c r="BM1445" s="2">
        <v>5.8</v>
      </c>
      <c r="BN1445" s="2">
        <v>47.24</v>
      </c>
      <c r="BO1445" s="2">
        <v>47.24</v>
      </c>
      <c r="BP1445" s="2"/>
      <c r="BQ1445" s="2" t="s">
        <v>83</v>
      </c>
      <c r="BR1445" s="2" t="s">
        <v>84</v>
      </c>
      <c r="BS1445" s="3">
        <v>42962</v>
      </c>
      <c r="BT1445" s="4">
        <v>0.31944444444444448</v>
      </c>
      <c r="BU1445" s="2" t="s">
        <v>1288</v>
      </c>
      <c r="BV1445" s="2" t="s">
        <v>95</v>
      </c>
      <c r="BW1445" s="2"/>
      <c r="BX1445" s="2"/>
      <c r="BY1445" s="2">
        <v>1200</v>
      </c>
      <c r="BZ1445" s="2"/>
      <c r="CA1445" s="2" t="s">
        <v>294</v>
      </c>
      <c r="CB1445" s="2"/>
      <c r="CC1445" s="2" t="s">
        <v>98</v>
      </c>
      <c r="CD1445" s="2">
        <v>6001</v>
      </c>
      <c r="CE1445" s="2" t="s">
        <v>104</v>
      </c>
      <c r="CF1445" s="5">
        <v>42963</v>
      </c>
      <c r="CG1445" s="2"/>
      <c r="CH1445" s="2"/>
      <c r="CI1445" s="2">
        <v>1</v>
      </c>
      <c r="CJ1445" s="2">
        <v>1</v>
      </c>
      <c r="CK1445" s="2">
        <v>21</v>
      </c>
      <c r="CL1445" s="2" t="s">
        <v>86</v>
      </c>
      <c r="CM1445" s="2"/>
    </row>
    <row r="1446" spans="1:91">
      <c r="A1446" s="2" t="s">
        <v>71</v>
      </c>
      <c r="B1446" s="2" t="s">
        <v>72</v>
      </c>
      <c r="C1446" s="2" t="s">
        <v>73</v>
      </c>
      <c r="D1446" s="2"/>
      <c r="E1446" s="2" t="str">
        <f>"FES1162568710"</f>
        <v>FES1162568710</v>
      </c>
      <c r="F1446" s="3">
        <v>42961</v>
      </c>
      <c r="G1446" s="2">
        <v>201802</v>
      </c>
      <c r="H1446" s="2" t="s">
        <v>74</v>
      </c>
      <c r="I1446" s="2" t="s">
        <v>75</v>
      </c>
      <c r="J1446" s="2" t="s">
        <v>76</v>
      </c>
      <c r="K1446" s="2" t="s">
        <v>77</v>
      </c>
      <c r="L1446" s="2" t="s">
        <v>174</v>
      </c>
      <c r="M1446" s="2" t="s">
        <v>175</v>
      </c>
      <c r="N1446" s="2" t="s">
        <v>930</v>
      </c>
      <c r="O1446" s="2" t="s">
        <v>100</v>
      </c>
      <c r="P1446" s="2" t="str">
        <f>"2170584737                    "</f>
        <v xml:space="preserve">2170584737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4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1</v>
      </c>
      <c r="BJ1446" s="2">
        <v>0.2</v>
      </c>
      <c r="BK1446" s="2">
        <v>1</v>
      </c>
      <c r="BL1446" s="2">
        <v>41.44</v>
      </c>
      <c r="BM1446" s="2">
        <v>5.8</v>
      </c>
      <c r="BN1446" s="2">
        <v>47.24</v>
      </c>
      <c r="BO1446" s="2">
        <v>47.24</v>
      </c>
      <c r="BP1446" s="2"/>
      <c r="BQ1446" s="2" t="s">
        <v>83</v>
      </c>
      <c r="BR1446" s="2" t="s">
        <v>84</v>
      </c>
      <c r="BS1446" s="3">
        <v>42962</v>
      </c>
      <c r="BT1446" s="4">
        <v>0.44722222222222219</v>
      </c>
      <c r="BU1446" s="2" t="s">
        <v>2164</v>
      </c>
      <c r="BV1446" s="2" t="s">
        <v>95</v>
      </c>
      <c r="BW1446" s="2"/>
      <c r="BX1446" s="2"/>
      <c r="BY1446" s="2">
        <v>1200</v>
      </c>
      <c r="BZ1446" s="2"/>
      <c r="CA1446" s="2" t="s">
        <v>932</v>
      </c>
      <c r="CB1446" s="2"/>
      <c r="CC1446" s="2" t="s">
        <v>175</v>
      </c>
      <c r="CD1446" s="2">
        <v>5201</v>
      </c>
      <c r="CE1446" s="2" t="s">
        <v>104</v>
      </c>
      <c r="CF1446" s="5">
        <v>42963</v>
      </c>
      <c r="CG1446" s="2"/>
      <c r="CH1446" s="2"/>
      <c r="CI1446" s="2">
        <v>1</v>
      </c>
      <c r="CJ1446" s="2">
        <v>1</v>
      </c>
      <c r="CK1446" s="2">
        <v>21</v>
      </c>
      <c r="CL1446" s="2" t="s">
        <v>86</v>
      </c>
      <c r="CM1446" s="2"/>
    </row>
    <row r="1447" spans="1:91">
      <c r="A1447" s="2" t="s">
        <v>71</v>
      </c>
      <c r="B1447" s="2" t="s">
        <v>72</v>
      </c>
      <c r="C1447" s="2" t="s">
        <v>73</v>
      </c>
      <c r="D1447" s="2"/>
      <c r="E1447" s="2" t="str">
        <f>"FES1162568679"</f>
        <v>FES1162568679</v>
      </c>
      <c r="F1447" s="3">
        <v>42961</v>
      </c>
      <c r="G1447" s="2">
        <v>201802</v>
      </c>
      <c r="H1447" s="2" t="s">
        <v>74</v>
      </c>
      <c r="I1447" s="2" t="s">
        <v>75</v>
      </c>
      <c r="J1447" s="2" t="s">
        <v>76</v>
      </c>
      <c r="K1447" s="2" t="s">
        <v>77</v>
      </c>
      <c r="L1447" s="2" t="s">
        <v>97</v>
      </c>
      <c r="M1447" s="2" t="s">
        <v>98</v>
      </c>
      <c r="N1447" s="2" t="s">
        <v>292</v>
      </c>
      <c r="O1447" s="2" t="s">
        <v>100</v>
      </c>
      <c r="P1447" s="2" t="str">
        <f>"2170584708                    "</f>
        <v xml:space="preserve">2170584708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4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1</v>
      </c>
      <c r="BI1447" s="2">
        <v>1</v>
      </c>
      <c r="BJ1447" s="2">
        <v>0.2</v>
      </c>
      <c r="BK1447" s="2">
        <v>1</v>
      </c>
      <c r="BL1447" s="2">
        <v>41.44</v>
      </c>
      <c r="BM1447" s="2">
        <v>5.8</v>
      </c>
      <c r="BN1447" s="2">
        <v>47.24</v>
      </c>
      <c r="BO1447" s="2">
        <v>47.24</v>
      </c>
      <c r="BP1447" s="2"/>
      <c r="BQ1447" s="2" t="s">
        <v>83</v>
      </c>
      <c r="BR1447" s="2" t="s">
        <v>84</v>
      </c>
      <c r="BS1447" s="3">
        <v>42962</v>
      </c>
      <c r="BT1447" s="4">
        <v>0.31944444444444448</v>
      </c>
      <c r="BU1447" s="2" t="s">
        <v>1288</v>
      </c>
      <c r="BV1447" s="2" t="s">
        <v>95</v>
      </c>
      <c r="BW1447" s="2"/>
      <c r="BX1447" s="2"/>
      <c r="BY1447" s="2">
        <v>1200</v>
      </c>
      <c r="BZ1447" s="2"/>
      <c r="CA1447" s="2" t="s">
        <v>294</v>
      </c>
      <c r="CB1447" s="2"/>
      <c r="CC1447" s="2" t="s">
        <v>98</v>
      </c>
      <c r="CD1447" s="2">
        <v>6001</v>
      </c>
      <c r="CE1447" s="2" t="s">
        <v>104</v>
      </c>
      <c r="CF1447" s="5">
        <v>42963</v>
      </c>
      <c r="CG1447" s="2"/>
      <c r="CH1447" s="2"/>
      <c r="CI1447" s="2">
        <v>1</v>
      </c>
      <c r="CJ1447" s="2">
        <v>1</v>
      </c>
      <c r="CK1447" s="2">
        <v>21</v>
      </c>
      <c r="CL1447" s="2" t="s">
        <v>86</v>
      </c>
      <c r="CM1447" s="2"/>
    </row>
    <row r="1448" spans="1:91">
      <c r="A1448" s="2" t="s">
        <v>71</v>
      </c>
      <c r="B1448" s="2" t="s">
        <v>72</v>
      </c>
      <c r="C1448" s="2" t="s">
        <v>73</v>
      </c>
      <c r="D1448" s="2"/>
      <c r="E1448" s="2" t="str">
        <f>"FES1162568599"</f>
        <v>FES1162568599</v>
      </c>
      <c r="F1448" s="3">
        <v>42961</v>
      </c>
      <c r="G1448" s="2">
        <v>201802</v>
      </c>
      <c r="H1448" s="2" t="s">
        <v>74</v>
      </c>
      <c r="I1448" s="2" t="s">
        <v>75</v>
      </c>
      <c r="J1448" s="2" t="s">
        <v>76</v>
      </c>
      <c r="K1448" s="2" t="s">
        <v>77</v>
      </c>
      <c r="L1448" s="2" t="s">
        <v>244</v>
      </c>
      <c r="M1448" s="2" t="s">
        <v>245</v>
      </c>
      <c r="N1448" s="2" t="s">
        <v>882</v>
      </c>
      <c r="O1448" s="2" t="s">
        <v>100</v>
      </c>
      <c r="P1448" s="2" t="str">
        <f>"2170582852                    "</f>
        <v xml:space="preserve">2170582852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3.13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1</v>
      </c>
      <c r="BI1448" s="2">
        <v>1</v>
      </c>
      <c r="BJ1448" s="2">
        <v>0.2</v>
      </c>
      <c r="BK1448" s="2">
        <v>1</v>
      </c>
      <c r="BL1448" s="2">
        <v>32.380000000000003</v>
      </c>
      <c r="BM1448" s="2">
        <v>4.53</v>
      </c>
      <c r="BN1448" s="2">
        <v>36.909999999999997</v>
      </c>
      <c r="BO1448" s="2">
        <v>36.909999999999997</v>
      </c>
      <c r="BP1448" s="2"/>
      <c r="BQ1448" s="2" t="s">
        <v>108</v>
      </c>
      <c r="BR1448" s="2" t="s">
        <v>84</v>
      </c>
      <c r="BS1448" s="3">
        <v>42962</v>
      </c>
      <c r="BT1448" s="4">
        <v>0.30763888888888891</v>
      </c>
      <c r="BU1448" s="2" t="s">
        <v>1340</v>
      </c>
      <c r="BV1448" s="2" t="s">
        <v>95</v>
      </c>
      <c r="BW1448" s="2"/>
      <c r="BX1448" s="2"/>
      <c r="BY1448" s="2">
        <v>1200</v>
      </c>
      <c r="BZ1448" s="2"/>
      <c r="CA1448" s="2" t="s">
        <v>733</v>
      </c>
      <c r="CB1448" s="2"/>
      <c r="CC1448" s="2" t="s">
        <v>245</v>
      </c>
      <c r="CD1448" s="2">
        <v>1459</v>
      </c>
      <c r="CE1448" s="2" t="s">
        <v>104</v>
      </c>
      <c r="CF1448" s="5">
        <v>42963</v>
      </c>
      <c r="CG1448" s="2"/>
      <c r="CH1448" s="2"/>
      <c r="CI1448" s="2">
        <v>1</v>
      </c>
      <c r="CJ1448" s="2">
        <v>1</v>
      </c>
      <c r="CK1448" s="2">
        <v>22</v>
      </c>
      <c r="CL1448" s="2" t="s">
        <v>86</v>
      </c>
      <c r="CM1448" s="2"/>
    </row>
    <row r="1449" spans="1:91">
      <c r="A1449" s="2" t="s">
        <v>71</v>
      </c>
      <c r="B1449" s="2" t="s">
        <v>72</v>
      </c>
      <c r="C1449" s="2" t="s">
        <v>73</v>
      </c>
      <c r="D1449" s="2"/>
      <c r="E1449" s="2" t="str">
        <f>"FES1162568606"</f>
        <v>FES1162568606</v>
      </c>
      <c r="F1449" s="3">
        <v>42961</v>
      </c>
      <c r="G1449" s="2">
        <v>201802</v>
      </c>
      <c r="H1449" s="2" t="s">
        <v>74</v>
      </c>
      <c r="I1449" s="2" t="s">
        <v>75</v>
      </c>
      <c r="J1449" s="2" t="s">
        <v>76</v>
      </c>
      <c r="K1449" s="2" t="s">
        <v>77</v>
      </c>
      <c r="L1449" s="2" t="s">
        <v>97</v>
      </c>
      <c r="M1449" s="2" t="s">
        <v>98</v>
      </c>
      <c r="N1449" s="2" t="s">
        <v>2165</v>
      </c>
      <c r="O1449" s="2" t="s">
        <v>100</v>
      </c>
      <c r="P1449" s="2" t="str">
        <f>"2170582296                    "</f>
        <v xml:space="preserve">2170582296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16.010000000000002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1</v>
      </c>
      <c r="BI1449" s="2">
        <v>3.6</v>
      </c>
      <c r="BJ1449" s="2">
        <v>7.6</v>
      </c>
      <c r="BK1449" s="2">
        <v>8</v>
      </c>
      <c r="BL1449" s="2">
        <v>165.77</v>
      </c>
      <c r="BM1449" s="2">
        <v>23.21</v>
      </c>
      <c r="BN1449" s="2">
        <v>188.98</v>
      </c>
      <c r="BO1449" s="2">
        <v>188.98</v>
      </c>
      <c r="BP1449" s="2"/>
      <c r="BQ1449" s="2" t="s">
        <v>288</v>
      </c>
      <c r="BR1449" s="2" t="s">
        <v>84</v>
      </c>
      <c r="BS1449" s="3">
        <v>42962</v>
      </c>
      <c r="BT1449" s="4">
        <v>0.3298611111111111</v>
      </c>
      <c r="BU1449" s="2" t="s">
        <v>2166</v>
      </c>
      <c r="BV1449" s="2" t="s">
        <v>95</v>
      </c>
      <c r="BW1449" s="2"/>
      <c r="BX1449" s="2"/>
      <c r="BY1449" s="2">
        <v>37862.550000000003</v>
      </c>
      <c r="BZ1449" s="2"/>
      <c r="CA1449" s="2" t="s">
        <v>103</v>
      </c>
      <c r="CB1449" s="2"/>
      <c r="CC1449" s="2" t="s">
        <v>98</v>
      </c>
      <c r="CD1449" s="2">
        <v>6000</v>
      </c>
      <c r="CE1449" s="2" t="s">
        <v>89</v>
      </c>
      <c r="CF1449" s="5">
        <v>42963</v>
      </c>
      <c r="CG1449" s="2"/>
      <c r="CH1449" s="2"/>
      <c r="CI1449" s="2">
        <v>1</v>
      </c>
      <c r="CJ1449" s="2">
        <v>1</v>
      </c>
      <c r="CK1449" s="2">
        <v>21</v>
      </c>
      <c r="CL1449" s="2" t="s">
        <v>86</v>
      </c>
      <c r="CM1449" s="2"/>
    </row>
    <row r="1450" spans="1:91">
      <c r="A1450" s="2" t="s">
        <v>71</v>
      </c>
      <c r="B1450" s="2" t="s">
        <v>72</v>
      </c>
      <c r="C1450" s="2" t="s">
        <v>73</v>
      </c>
      <c r="D1450" s="2"/>
      <c r="E1450" s="2" t="str">
        <f>"FES1162568657"</f>
        <v>FES1162568657</v>
      </c>
      <c r="F1450" s="3">
        <v>42961</v>
      </c>
      <c r="G1450" s="2">
        <v>201802</v>
      </c>
      <c r="H1450" s="2" t="s">
        <v>74</v>
      </c>
      <c r="I1450" s="2" t="s">
        <v>75</v>
      </c>
      <c r="J1450" s="2" t="s">
        <v>76</v>
      </c>
      <c r="K1450" s="2" t="s">
        <v>77</v>
      </c>
      <c r="L1450" s="2" t="s">
        <v>74</v>
      </c>
      <c r="M1450" s="2" t="s">
        <v>75</v>
      </c>
      <c r="N1450" s="2" t="s">
        <v>407</v>
      </c>
      <c r="O1450" s="2" t="s">
        <v>100</v>
      </c>
      <c r="P1450" s="2" t="str">
        <f>"2170580820                    "</f>
        <v xml:space="preserve">2170580820 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3.13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1.8</v>
      </c>
      <c r="BJ1450" s="2">
        <v>2.9</v>
      </c>
      <c r="BK1450" s="2">
        <v>3</v>
      </c>
      <c r="BL1450" s="2">
        <v>32.380000000000003</v>
      </c>
      <c r="BM1450" s="2">
        <v>4.53</v>
      </c>
      <c r="BN1450" s="2">
        <v>36.909999999999997</v>
      </c>
      <c r="BO1450" s="2">
        <v>36.909999999999997</v>
      </c>
      <c r="BP1450" s="2"/>
      <c r="BQ1450" s="2" t="s">
        <v>108</v>
      </c>
      <c r="BR1450" s="2" t="s">
        <v>84</v>
      </c>
      <c r="BS1450" s="3">
        <v>42962</v>
      </c>
      <c r="BT1450" s="4">
        <v>0.33888888888888885</v>
      </c>
      <c r="BU1450" s="2" t="s">
        <v>1793</v>
      </c>
      <c r="BV1450" s="2" t="s">
        <v>95</v>
      </c>
      <c r="BW1450" s="2"/>
      <c r="BX1450" s="2"/>
      <c r="BY1450" s="2">
        <v>14433.33</v>
      </c>
      <c r="BZ1450" s="2"/>
      <c r="CA1450" s="2" t="s">
        <v>709</v>
      </c>
      <c r="CB1450" s="2"/>
      <c r="CC1450" s="2" t="s">
        <v>75</v>
      </c>
      <c r="CD1450" s="2">
        <v>1645</v>
      </c>
      <c r="CE1450" s="2" t="s">
        <v>89</v>
      </c>
      <c r="CF1450" s="5">
        <v>42963</v>
      </c>
      <c r="CG1450" s="2"/>
      <c r="CH1450" s="2"/>
      <c r="CI1450" s="2">
        <v>1</v>
      </c>
      <c r="CJ1450" s="2">
        <v>1</v>
      </c>
      <c r="CK1450" s="2">
        <v>22</v>
      </c>
      <c r="CL1450" s="2" t="s">
        <v>86</v>
      </c>
      <c r="CM1450" s="2"/>
    </row>
    <row r="1451" spans="1:91">
      <c r="A1451" s="2" t="s">
        <v>71</v>
      </c>
      <c r="B1451" s="2" t="s">
        <v>72</v>
      </c>
      <c r="C1451" s="2" t="s">
        <v>73</v>
      </c>
      <c r="D1451" s="2"/>
      <c r="E1451" s="2" t="str">
        <f>"FES1162568648"</f>
        <v>FES1162568648</v>
      </c>
      <c r="F1451" s="3">
        <v>42961</v>
      </c>
      <c r="G1451" s="2">
        <v>201802</v>
      </c>
      <c r="H1451" s="2" t="s">
        <v>74</v>
      </c>
      <c r="I1451" s="2" t="s">
        <v>75</v>
      </c>
      <c r="J1451" s="2" t="s">
        <v>76</v>
      </c>
      <c r="K1451" s="2" t="s">
        <v>77</v>
      </c>
      <c r="L1451" s="2" t="s">
        <v>170</v>
      </c>
      <c r="M1451" s="2" t="s">
        <v>171</v>
      </c>
      <c r="N1451" s="2" t="s">
        <v>2167</v>
      </c>
      <c r="O1451" s="2" t="s">
        <v>100</v>
      </c>
      <c r="P1451" s="2" t="str">
        <f>"2170579783                    "</f>
        <v xml:space="preserve">2170579783 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3.13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1</v>
      </c>
      <c r="BI1451" s="2">
        <v>6.5</v>
      </c>
      <c r="BJ1451" s="2">
        <v>2.9</v>
      </c>
      <c r="BK1451" s="2">
        <v>7</v>
      </c>
      <c r="BL1451" s="2">
        <v>32.380000000000003</v>
      </c>
      <c r="BM1451" s="2">
        <v>4.53</v>
      </c>
      <c r="BN1451" s="2">
        <v>36.909999999999997</v>
      </c>
      <c r="BO1451" s="2">
        <v>36.909999999999997</v>
      </c>
      <c r="BP1451" s="2"/>
      <c r="BQ1451" s="2" t="s">
        <v>2168</v>
      </c>
      <c r="BR1451" s="2" t="s">
        <v>84</v>
      </c>
      <c r="BS1451" s="3">
        <v>42962</v>
      </c>
      <c r="BT1451" s="4">
        <v>0.41666666666666669</v>
      </c>
      <c r="BU1451" s="2" t="s">
        <v>469</v>
      </c>
      <c r="BV1451" s="2" t="s">
        <v>95</v>
      </c>
      <c r="BW1451" s="2"/>
      <c r="BX1451" s="2"/>
      <c r="BY1451" s="2">
        <v>14254.94</v>
      </c>
      <c r="BZ1451" s="2"/>
      <c r="CA1451" s="2"/>
      <c r="CB1451" s="2"/>
      <c r="CC1451" s="2" t="s">
        <v>171</v>
      </c>
      <c r="CD1451" s="2">
        <v>1422</v>
      </c>
      <c r="CE1451" s="2" t="s">
        <v>89</v>
      </c>
      <c r="CF1451" s="5">
        <v>42963</v>
      </c>
      <c r="CG1451" s="2"/>
      <c r="CH1451" s="2"/>
      <c r="CI1451" s="2">
        <v>1</v>
      </c>
      <c r="CJ1451" s="2">
        <v>1</v>
      </c>
      <c r="CK1451" s="2">
        <v>22</v>
      </c>
      <c r="CL1451" s="2" t="s">
        <v>86</v>
      </c>
      <c r="CM1451" s="2"/>
    </row>
    <row r="1452" spans="1:91">
      <c r="A1452" s="2" t="s">
        <v>71</v>
      </c>
      <c r="B1452" s="2" t="s">
        <v>72</v>
      </c>
      <c r="C1452" s="2" t="s">
        <v>73</v>
      </c>
      <c r="D1452" s="2"/>
      <c r="E1452" s="2" t="str">
        <f>"FES1162568584"</f>
        <v>FES1162568584</v>
      </c>
      <c r="F1452" s="3">
        <v>42961</v>
      </c>
      <c r="G1452" s="2">
        <v>201802</v>
      </c>
      <c r="H1452" s="2" t="s">
        <v>74</v>
      </c>
      <c r="I1452" s="2" t="s">
        <v>75</v>
      </c>
      <c r="J1452" s="2" t="s">
        <v>76</v>
      </c>
      <c r="K1452" s="2" t="s">
        <v>77</v>
      </c>
      <c r="L1452" s="2" t="s">
        <v>105</v>
      </c>
      <c r="M1452" s="2" t="s">
        <v>106</v>
      </c>
      <c r="N1452" s="2" t="s">
        <v>107</v>
      </c>
      <c r="O1452" s="2" t="s">
        <v>100</v>
      </c>
      <c r="P1452" s="2" t="str">
        <f>"2170584652                    "</f>
        <v xml:space="preserve">2170584652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15.01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1</v>
      </c>
      <c r="BI1452" s="2">
        <v>7.3</v>
      </c>
      <c r="BJ1452" s="2">
        <v>2.6</v>
      </c>
      <c r="BK1452" s="2">
        <v>7.5</v>
      </c>
      <c r="BL1452" s="2">
        <v>155.41</v>
      </c>
      <c r="BM1452" s="2">
        <v>21.76</v>
      </c>
      <c r="BN1452" s="2">
        <v>177.17</v>
      </c>
      <c r="BO1452" s="2">
        <v>177.17</v>
      </c>
      <c r="BP1452" s="2"/>
      <c r="BQ1452" s="2" t="s">
        <v>288</v>
      </c>
      <c r="BR1452" s="2" t="s">
        <v>84</v>
      </c>
      <c r="BS1452" s="3">
        <v>42962</v>
      </c>
      <c r="BT1452" s="4">
        <v>0.4069444444444445</v>
      </c>
      <c r="BU1452" s="2" t="s">
        <v>236</v>
      </c>
      <c r="BV1452" s="2" t="s">
        <v>95</v>
      </c>
      <c r="BW1452" s="2"/>
      <c r="BX1452" s="2"/>
      <c r="BY1452" s="2">
        <v>13200.66</v>
      </c>
      <c r="BZ1452" s="2"/>
      <c r="CA1452" s="2" t="s">
        <v>112</v>
      </c>
      <c r="CB1452" s="2"/>
      <c r="CC1452" s="2" t="s">
        <v>106</v>
      </c>
      <c r="CD1452" s="2">
        <v>7405</v>
      </c>
      <c r="CE1452" s="2" t="s">
        <v>89</v>
      </c>
      <c r="CF1452" s="5">
        <v>42963</v>
      </c>
      <c r="CG1452" s="2"/>
      <c r="CH1452" s="2"/>
      <c r="CI1452" s="2">
        <v>1</v>
      </c>
      <c r="CJ1452" s="2">
        <v>1</v>
      </c>
      <c r="CK1452" s="2">
        <v>21</v>
      </c>
      <c r="CL1452" s="2" t="s">
        <v>86</v>
      </c>
      <c r="CM1452" s="2"/>
    </row>
    <row r="1453" spans="1:91">
      <c r="A1453" s="2" t="s">
        <v>71</v>
      </c>
      <c r="B1453" s="2" t="s">
        <v>72</v>
      </c>
      <c r="C1453" s="2" t="s">
        <v>73</v>
      </c>
      <c r="D1453" s="2"/>
      <c r="E1453" s="2" t="str">
        <f>"FES1162568711"</f>
        <v>FES1162568711</v>
      </c>
      <c r="F1453" s="3">
        <v>42961</v>
      </c>
      <c r="G1453" s="2">
        <v>201802</v>
      </c>
      <c r="H1453" s="2" t="s">
        <v>74</v>
      </c>
      <c r="I1453" s="2" t="s">
        <v>75</v>
      </c>
      <c r="J1453" s="2" t="s">
        <v>76</v>
      </c>
      <c r="K1453" s="2" t="s">
        <v>77</v>
      </c>
      <c r="L1453" s="2" t="s">
        <v>97</v>
      </c>
      <c r="M1453" s="2" t="s">
        <v>98</v>
      </c>
      <c r="N1453" s="2" t="s">
        <v>1075</v>
      </c>
      <c r="O1453" s="2" t="s">
        <v>100</v>
      </c>
      <c r="P1453" s="2" t="str">
        <f>"2170584738                    "</f>
        <v xml:space="preserve">2170584738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4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1</v>
      </c>
      <c r="BJ1453" s="2">
        <v>0.2</v>
      </c>
      <c r="BK1453" s="2">
        <v>1</v>
      </c>
      <c r="BL1453" s="2">
        <v>41.44</v>
      </c>
      <c r="BM1453" s="2">
        <v>5.8</v>
      </c>
      <c r="BN1453" s="2">
        <v>47.24</v>
      </c>
      <c r="BO1453" s="2">
        <v>47.24</v>
      </c>
      <c r="BP1453" s="2"/>
      <c r="BQ1453" s="2" t="s">
        <v>108</v>
      </c>
      <c r="BR1453" s="2" t="s">
        <v>84</v>
      </c>
      <c r="BS1453" s="3">
        <v>42962</v>
      </c>
      <c r="BT1453" s="4">
        <v>0.42291666666666666</v>
      </c>
      <c r="BU1453" s="2" t="s">
        <v>2169</v>
      </c>
      <c r="BV1453" s="2" t="s">
        <v>95</v>
      </c>
      <c r="BW1453" s="2"/>
      <c r="BX1453" s="2"/>
      <c r="BY1453" s="2">
        <v>1200</v>
      </c>
      <c r="BZ1453" s="2"/>
      <c r="CA1453" s="2" t="s">
        <v>103</v>
      </c>
      <c r="CB1453" s="2"/>
      <c r="CC1453" s="2" t="s">
        <v>98</v>
      </c>
      <c r="CD1453" s="2">
        <v>6001</v>
      </c>
      <c r="CE1453" s="2" t="s">
        <v>104</v>
      </c>
      <c r="CF1453" s="5">
        <v>42963</v>
      </c>
      <c r="CG1453" s="2"/>
      <c r="CH1453" s="2"/>
      <c r="CI1453" s="2">
        <v>1</v>
      </c>
      <c r="CJ1453" s="2">
        <v>1</v>
      </c>
      <c r="CK1453" s="2">
        <v>21</v>
      </c>
      <c r="CL1453" s="2" t="s">
        <v>86</v>
      </c>
      <c r="CM1453" s="2"/>
    </row>
    <row r="1454" spans="1:91">
      <c r="A1454" s="2" t="s">
        <v>71</v>
      </c>
      <c r="B1454" s="2" t="s">
        <v>72</v>
      </c>
      <c r="C1454" s="2" t="s">
        <v>73</v>
      </c>
      <c r="D1454" s="2"/>
      <c r="E1454" s="2" t="str">
        <f>"FES1162568706"</f>
        <v>FES1162568706</v>
      </c>
      <c r="F1454" s="3">
        <v>42961</v>
      </c>
      <c r="G1454" s="2">
        <v>201802</v>
      </c>
      <c r="H1454" s="2" t="s">
        <v>74</v>
      </c>
      <c r="I1454" s="2" t="s">
        <v>75</v>
      </c>
      <c r="J1454" s="2" t="s">
        <v>76</v>
      </c>
      <c r="K1454" s="2" t="s">
        <v>77</v>
      </c>
      <c r="L1454" s="2" t="s">
        <v>74</v>
      </c>
      <c r="M1454" s="2" t="s">
        <v>75</v>
      </c>
      <c r="N1454" s="2" t="s">
        <v>2170</v>
      </c>
      <c r="O1454" s="2" t="s">
        <v>100</v>
      </c>
      <c r="P1454" s="2" t="str">
        <f>"2170582776                    "</f>
        <v xml:space="preserve">2170582776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3.13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1</v>
      </c>
      <c r="BI1454" s="2">
        <v>1</v>
      </c>
      <c r="BJ1454" s="2">
        <v>0.2</v>
      </c>
      <c r="BK1454" s="2">
        <v>1</v>
      </c>
      <c r="BL1454" s="2">
        <v>32.380000000000003</v>
      </c>
      <c r="BM1454" s="2">
        <v>4.53</v>
      </c>
      <c r="BN1454" s="2">
        <v>36.909999999999997</v>
      </c>
      <c r="BO1454" s="2">
        <v>36.909999999999997</v>
      </c>
      <c r="BP1454" s="2"/>
      <c r="BQ1454" s="2" t="s">
        <v>288</v>
      </c>
      <c r="BR1454" s="2" t="s">
        <v>84</v>
      </c>
      <c r="BS1454" s="3">
        <v>42962</v>
      </c>
      <c r="BT1454" s="4">
        <v>0.40763888888888888</v>
      </c>
      <c r="BU1454" s="2" t="s">
        <v>2171</v>
      </c>
      <c r="BV1454" s="2" t="s">
        <v>95</v>
      </c>
      <c r="BW1454" s="2"/>
      <c r="BX1454" s="2"/>
      <c r="BY1454" s="2">
        <v>1200</v>
      </c>
      <c r="BZ1454" s="2"/>
      <c r="CA1454" s="2" t="s">
        <v>1448</v>
      </c>
      <c r="CB1454" s="2"/>
      <c r="CC1454" s="2" t="s">
        <v>75</v>
      </c>
      <c r="CD1454" s="2">
        <v>1609</v>
      </c>
      <c r="CE1454" s="2" t="s">
        <v>104</v>
      </c>
      <c r="CF1454" s="5">
        <v>42963</v>
      </c>
      <c r="CG1454" s="2"/>
      <c r="CH1454" s="2"/>
      <c r="CI1454" s="2">
        <v>1</v>
      </c>
      <c r="CJ1454" s="2">
        <v>1</v>
      </c>
      <c r="CK1454" s="2">
        <v>22</v>
      </c>
      <c r="CL1454" s="2" t="s">
        <v>86</v>
      </c>
      <c r="CM1454" s="2"/>
    </row>
    <row r="1455" spans="1:91">
      <c r="A1455" s="2" t="s">
        <v>71</v>
      </c>
      <c r="B1455" s="2" t="s">
        <v>72</v>
      </c>
      <c r="C1455" s="2" t="s">
        <v>73</v>
      </c>
      <c r="D1455" s="2"/>
      <c r="E1455" s="2" t="str">
        <f>"FES1162568686"</f>
        <v>FES1162568686</v>
      </c>
      <c r="F1455" s="3">
        <v>42961</v>
      </c>
      <c r="G1455" s="2">
        <v>201802</v>
      </c>
      <c r="H1455" s="2" t="s">
        <v>74</v>
      </c>
      <c r="I1455" s="2" t="s">
        <v>75</v>
      </c>
      <c r="J1455" s="2" t="s">
        <v>76</v>
      </c>
      <c r="K1455" s="2" t="s">
        <v>77</v>
      </c>
      <c r="L1455" s="2" t="s">
        <v>221</v>
      </c>
      <c r="M1455" s="2" t="s">
        <v>222</v>
      </c>
      <c r="N1455" s="2" t="s">
        <v>415</v>
      </c>
      <c r="O1455" s="2" t="s">
        <v>100</v>
      </c>
      <c r="P1455" s="2" t="str">
        <f>"2170584716                    "</f>
        <v xml:space="preserve">2170584716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7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2.9</v>
      </c>
      <c r="BJ1455" s="2">
        <v>3.2</v>
      </c>
      <c r="BK1455" s="2">
        <v>3.5</v>
      </c>
      <c r="BL1455" s="2">
        <v>72.52</v>
      </c>
      <c r="BM1455" s="2">
        <v>10.15</v>
      </c>
      <c r="BN1455" s="2">
        <v>82.67</v>
      </c>
      <c r="BO1455" s="2">
        <v>82.67</v>
      </c>
      <c r="BP1455" s="2"/>
      <c r="BQ1455" s="2" t="s">
        <v>108</v>
      </c>
      <c r="BR1455" s="2" t="s">
        <v>84</v>
      </c>
      <c r="BS1455" s="3">
        <v>42962</v>
      </c>
      <c r="BT1455" s="4">
        <v>0.3840277777777778</v>
      </c>
      <c r="BU1455" s="2" t="s">
        <v>933</v>
      </c>
      <c r="BV1455" s="2" t="s">
        <v>95</v>
      </c>
      <c r="BW1455" s="2"/>
      <c r="BX1455" s="2"/>
      <c r="BY1455" s="2">
        <v>16244.69</v>
      </c>
      <c r="BZ1455" s="2"/>
      <c r="CA1455" s="2" t="s">
        <v>225</v>
      </c>
      <c r="CB1455" s="2"/>
      <c r="CC1455" s="2" t="s">
        <v>222</v>
      </c>
      <c r="CD1455" s="2">
        <v>4302</v>
      </c>
      <c r="CE1455" s="2" t="s">
        <v>89</v>
      </c>
      <c r="CF1455" s="5">
        <v>42963</v>
      </c>
      <c r="CG1455" s="2"/>
      <c r="CH1455" s="2"/>
      <c r="CI1455" s="2">
        <v>1</v>
      </c>
      <c r="CJ1455" s="2">
        <v>1</v>
      </c>
      <c r="CK1455" s="2">
        <v>21</v>
      </c>
      <c r="CL1455" s="2" t="s">
        <v>86</v>
      </c>
      <c r="CM1455" s="2"/>
    </row>
    <row r="1456" spans="1:91">
      <c r="A1456" s="2" t="s">
        <v>71</v>
      </c>
      <c r="B1456" s="2" t="s">
        <v>72</v>
      </c>
      <c r="C1456" s="2" t="s">
        <v>73</v>
      </c>
      <c r="D1456" s="2"/>
      <c r="E1456" s="2" t="str">
        <f>"FES1162568629"</f>
        <v>FES1162568629</v>
      </c>
      <c r="F1456" s="3">
        <v>42961</v>
      </c>
      <c r="G1456" s="2">
        <v>201802</v>
      </c>
      <c r="H1456" s="2" t="s">
        <v>74</v>
      </c>
      <c r="I1456" s="2" t="s">
        <v>75</v>
      </c>
      <c r="J1456" s="2" t="s">
        <v>76</v>
      </c>
      <c r="K1456" s="2" t="s">
        <v>77</v>
      </c>
      <c r="L1456" s="2" t="s">
        <v>97</v>
      </c>
      <c r="M1456" s="2" t="s">
        <v>98</v>
      </c>
      <c r="N1456" s="2" t="s">
        <v>248</v>
      </c>
      <c r="O1456" s="2" t="s">
        <v>100</v>
      </c>
      <c r="P1456" s="2" t="str">
        <f>"2170572200                    "</f>
        <v xml:space="preserve">2170572200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7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1</v>
      </c>
      <c r="BI1456" s="2">
        <v>3.4</v>
      </c>
      <c r="BJ1456" s="2">
        <v>2.8</v>
      </c>
      <c r="BK1456" s="2">
        <v>3.5</v>
      </c>
      <c r="BL1456" s="2">
        <v>72.52</v>
      </c>
      <c r="BM1456" s="2">
        <v>10.15</v>
      </c>
      <c r="BN1456" s="2">
        <v>82.67</v>
      </c>
      <c r="BO1456" s="2">
        <v>82.67</v>
      </c>
      <c r="BP1456" s="2"/>
      <c r="BQ1456" s="2" t="s">
        <v>83</v>
      </c>
      <c r="BR1456" s="2" t="s">
        <v>84</v>
      </c>
      <c r="BS1456" s="3">
        <v>42962</v>
      </c>
      <c r="BT1456" s="4">
        <v>0.33333333333333331</v>
      </c>
      <c r="BU1456" s="2" t="s">
        <v>390</v>
      </c>
      <c r="BV1456" s="2" t="s">
        <v>95</v>
      </c>
      <c r="BW1456" s="2"/>
      <c r="BX1456" s="2"/>
      <c r="BY1456" s="2">
        <v>14228.88</v>
      </c>
      <c r="BZ1456" s="2"/>
      <c r="CA1456" s="2" t="s">
        <v>294</v>
      </c>
      <c r="CB1456" s="2"/>
      <c r="CC1456" s="2" t="s">
        <v>98</v>
      </c>
      <c r="CD1456" s="2">
        <v>6001</v>
      </c>
      <c r="CE1456" s="2" t="s">
        <v>89</v>
      </c>
      <c r="CF1456" s="5">
        <v>42963</v>
      </c>
      <c r="CG1456" s="2"/>
      <c r="CH1456" s="2"/>
      <c r="CI1456" s="2">
        <v>1</v>
      </c>
      <c r="CJ1456" s="2">
        <v>1</v>
      </c>
      <c r="CK1456" s="2">
        <v>21</v>
      </c>
      <c r="CL1456" s="2" t="s">
        <v>86</v>
      </c>
      <c r="CM1456" s="2"/>
    </row>
    <row r="1457" spans="1:91">
      <c r="A1457" s="2" t="s">
        <v>71</v>
      </c>
      <c r="B1457" s="2" t="s">
        <v>72</v>
      </c>
      <c r="C1457" s="2" t="s">
        <v>73</v>
      </c>
      <c r="D1457" s="2"/>
      <c r="E1457" s="2" t="str">
        <f>"FES1162568613"</f>
        <v>FES1162568613</v>
      </c>
      <c r="F1457" s="3">
        <v>42961</v>
      </c>
      <c r="G1457" s="2">
        <v>201802</v>
      </c>
      <c r="H1457" s="2" t="s">
        <v>74</v>
      </c>
      <c r="I1457" s="2" t="s">
        <v>75</v>
      </c>
      <c r="J1457" s="2" t="s">
        <v>76</v>
      </c>
      <c r="K1457" s="2" t="s">
        <v>77</v>
      </c>
      <c r="L1457" s="2" t="s">
        <v>1239</v>
      </c>
      <c r="M1457" s="2" t="s">
        <v>1240</v>
      </c>
      <c r="N1457" s="2" t="s">
        <v>1241</v>
      </c>
      <c r="O1457" s="2" t="s">
        <v>100</v>
      </c>
      <c r="P1457" s="2" t="str">
        <f>"2170584683                    "</f>
        <v xml:space="preserve">2170584683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7.75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1</v>
      </c>
      <c r="BJ1457" s="2">
        <v>0.2</v>
      </c>
      <c r="BK1457" s="2">
        <v>1</v>
      </c>
      <c r="BL1457" s="2">
        <v>80.290000000000006</v>
      </c>
      <c r="BM1457" s="2">
        <v>11.24</v>
      </c>
      <c r="BN1457" s="2">
        <v>91.53</v>
      </c>
      <c r="BO1457" s="2">
        <v>91.53</v>
      </c>
      <c r="BP1457" s="2"/>
      <c r="BQ1457" s="2" t="s">
        <v>227</v>
      </c>
      <c r="BR1457" s="2" t="s">
        <v>84</v>
      </c>
      <c r="BS1457" s="3">
        <v>42962</v>
      </c>
      <c r="BT1457" s="4">
        <v>0.47986111111111113</v>
      </c>
      <c r="BU1457" s="2" t="s">
        <v>2172</v>
      </c>
      <c r="BV1457" s="2" t="s">
        <v>95</v>
      </c>
      <c r="BW1457" s="2"/>
      <c r="BX1457" s="2"/>
      <c r="BY1457" s="2">
        <v>1200</v>
      </c>
      <c r="BZ1457" s="2"/>
      <c r="CA1457" s="2" t="s">
        <v>714</v>
      </c>
      <c r="CB1457" s="2"/>
      <c r="CC1457" s="2" t="s">
        <v>1240</v>
      </c>
      <c r="CD1457" s="2">
        <v>4399</v>
      </c>
      <c r="CE1457" s="2" t="s">
        <v>104</v>
      </c>
      <c r="CF1457" s="5">
        <v>42963</v>
      </c>
      <c r="CG1457" s="2"/>
      <c r="CH1457" s="2"/>
      <c r="CI1457" s="2">
        <v>1</v>
      </c>
      <c r="CJ1457" s="2">
        <v>1</v>
      </c>
      <c r="CK1457" s="2">
        <v>23</v>
      </c>
      <c r="CL1457" s="2" t="s">
        <v>86</v>
      </c>
      <c r="CM1457" s="2"/>
    </row>
    <row r="1458" spans="1:91">
      <c r="A1458" s="2" t="s">
        <v>71</v>
      </c>
      <c r="B1458" s="2" t="s">
        <v>72</v>
      </c>
      <c r="C1458" s="2" t="s">
        <v>73</v>
      </c>
      <c r="D1458" s="2"/>
      <c r="E1458" s="2" t="str">
        <f>"FES1162568630"</f>
        <v>FES1162568630</v>
      </c>
      <c r="F1458" s="3">
        <v>42961</v>
      </c>
      <c r="G1458" s="2">
        <v>201802</v>
      </c>
      <c r="H1458" s="2" t="s">
        <v>74</v>
      </c>
      <c r="I1458" s="2" t="s">
        <v>75</v>
      </c>
      <c r="J1458" s="2" t="s">
        <v>76</v>
      </c>
      <c r="K1458" s="2" t="s">
        <v>77</v>
      </c>
      <c r="L1458" s="2" t="s">
        <v>97</v>
      </c>
      <c r="M1458" s="2" t="s">
        <v>98</v>
      </c>
      <c r="N1458" s="2" t="s">
        <v>248</v>
      </c>
      <c r="O1458" s="2" t="s">
        <v>100</v>
      </c>
      <c r="P1458" s="2" t="str">
        <f>"2170572842                    "</f>
        <v xml:space="preserve">2170572842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4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1</v>
      </c>
      <c r="BI1458" s="2">
        <v>1.2</v>
      </c>
      <c r="BJ1458" s="2">
        <v>1.2</v>
      </c>
      <c r="BK1458" s="2">
        <v>1.5</v>
      </c>
      <c r="BL1458" s="2">
        <v>41.44</v>
      </c>
      <c r="BM1458" s="2">
        <v>5.8</v>
      </c>
      <c r="BN1458" s="2">
        <v>47.24</v>
      </c>
      <c r="BO1458" s="2">
        <v>47.24</v>
      </c>
      <c r="BP1458" s="2"/>
      <c r="BQ1458" s="2" t="s">
        <v>83</v>
      </c>
      <c r="BR1458" s="2" t="s">
        <v>84</v>
      </c>
      <c r="BS1458" s="3">
        <v>42962</v>
      </c>
      <c r="BT1458" s="4">
        <v>0.33333333333333331</v>
      </c>
      <c r="BU1458" s="2" t="s">
        <v>390</v>
      </c>
      <c r="BV1458" s="2" t="s">
        <v>95</v>
      </c>
      <c r="BW1458" s="2"/>
      <c r="BX1458" s="2"/>
      <c r="BY1458" s="2">
        <v>5913.65</v>
      </c>
      <c r="BZ1458" s="2"/>
      <c r="CA1458" s="2" t="s">
        <v>294</v>
      </c>
      <c r="CB1458" s="2"/>
      <c r="CC1458" s="2" t="s">
        <v>98</v>
      </c>
      <c r="CD1458" s="2">
        <v>6001</v>
      </c>
      <c r="CE1458" s="2" t="s">
        <v>89</v>
      </c>
      <c r="CF1458" s="5">
        <v>42963</v>
      </c>
      <c r="CG1458" s="2"/>
      <c r="CH1458" s="2"/>
      <c r="CI1458" s="2">
        <v>1</v>
      </c>
      <c r="CJ1458" s="2">
        <v>1</v>
      </c>
      <c r="CK1458" s="2">
        <v>21</v>
      </c>
      <c r="CL1458" s="2" t="s">
        <v>86</v>
      </c>
      <c r="CM1458" s="2"/>
    </row>
    <row r="1459" spans="1:91">
      <c r="A1459" s="2" t="s">
        <v>71</v>
      </c>
      <c r="B1459" s="2" t="s">
        <v>72</v>
      </c>
      <c r="C1459" s="2" t="s">
        <v>73</v>
      </c>
      <c r="D1459" s="2"/>
      <c r="E1459" s="2" t="str">
        <f>"FES1162568634"</f>
        <v>FES1162568634</v>
      </c>
      <c r="F1459" s="3">
        <v>42961</v>
      </c>
      <c r="G1459" s="2">
        <v>201802</v>
      </c>
      <c r="H1459" s="2" t="s">
        <v>74</v>
      </c>
      <c r="I1459" s="2" t="s">
        <v>75</v>
      </c>
      <c r="J1459" s="2" t="s">
        <v>76</v>
      </c>
      <c r="K1459" s="2" t="s">
        <v>77</v>
      </c>
      <c r="L1459" s="2" t="s">
        <v>149</v>
      </c>
      <c r="M1459" s="2" t="s">
        <v>150</v>
      </c>
      <c r="N1459" s="2" t="s">
        <v>435</v>
      </c>
      <c r="O1459" s="2" t="s">
        <v>100</v>
      </c>
      <c r="P1459" s="2" t="str">
        <f>"2170575444                    "</f>
        <v xml:space="preserve">2170575444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37.020000000000003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3</v>
      </c>
      <c r="BI1459" s="2">
        <v>10.7</v>
      </c>
      <c r="BJ1459" s="2">
        <v>18.399999999999999</v>
      </c>
      <c r="BK1459" s="2">
        <v>18.5</v>
      </c>
      <c r="BL1459" s="2">
        <v>383.34</v>
      </c>
      <c r="BM1459" s="2">
        <v>53.67</v>
      </c>
      <c r="BN1459" s="2">
        <v>437.01</v>
      </c>
      <c r="BO1459" s="2">
        <v>437.01</v>
      </c>
      <c r="BP1459" s="2"/>
      <c r="BQ1459" s="2" t="s">
        <v>288</v>
      </c>
      <c r="BR1459" s="2" t="s">
        <v>84</v>
      </c>
      <c r="BS1459" s="3">
        <v>42962</v>
      </c>
      <c r="BT1459" s="4">
        <v>0.36249999999999999</v>
      </c>
      <c r="BU1459" s="2" t="s">
        <v>2077</v>
      </c>
      <c r="BV1459" s="2" t="s">
        <v>95</v>
      </c>
      <c r="BW1459" s="2"/>
      <c r="BX1459" s="2"/>
      <c r="BY1459" s="2">
        <v>92123.72</v>
      </c>
      <c r="BZ1459" s="2"/>
      <c r="CA1459" s="2" t="s">
        <v>429</v>
      </c>
      <c r="CB1459" s="2"/>
      <c r="CC1459" s="2" t="s">
        <v>150</v>
      </c>
      <c r="CD1459" s="2">
        <v>4001</v>
      </c>
      <c r="CE1459" s="2" t="s">
        <v>89</v>
      </c>
      <c r="CF1459" s="5">
        <v>42963</v>
      </c>
      <c r="CG1459" s="2"/>
      <c r="CH1459" s="2"/>
      <c r="CI1459" s="2">
        <v>1</v>
      </c>
      <c r="CJ1459" s="2">
        <v>1</v>
      </c>
      <c r="CK1459" s="2">
        <v>21</v>
      </c>
      <c r="CL1459" s="2" t="s">
        <v>86</v>
      </c>
      <c r="CM1459" s="2"/>
    </row>
    <row r="1460" spans="1:91">
      <c r="A1460" s="2" t="s">
        <v>71</v>
      </c>
      <c r="B1460" s="2" t="s">
        <v>72</v>
      </c>
      <c r="C1460" s="2" t="s">
        <v>73</v>
      </c>
      <c r="D1460" s="2"/>
      <c r="E1460" s="2" t="str">
        <f>"FES1162568542"</f>
        <v>FES1162568542</v>
      </c>
      <c r="F1460" s="3">
        <v>42961</v>
      </c>
      <c r="G1460" s="2">
        <v>201802</v>
      </c>
      <c r="H1460" s="2" t="s">
        <v>74</v>
      </c>
      <c r="I1460" s="2" t="s">
        <v>75</v>
      </c>
      <c r="J1460" s="2" t="s">
        <v>76</v>
      </c>
      <c r="K1460" s="2" t="s">
        <v>77</v>
      </c>
      <c r="L1460" s="2" t="s">
        <v>144</v>
      </c>
      <c r="M1460" s="2" t="s">
        <v>145</v>
      </c>
      <c r="N1460" s="2" t="s">
        <v>295</v>
      </c>
      <c r="O1460" s="2" t="s">
        <v>100</v>
      </c>
      <c r="P1460" s="2" t="str">
        <f>"2170583695                    "</f>
        <v xml:space="preserve">2170583695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3.13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1</v>
      </c>
      <c r="BJ1460" s="2">
        <v>0.2</v>
      </c>
      <c r="BK1460" s="2">
        <v>1</v>
      </c>
      <c r="BL1460" s="2">
        <v>32.380000000000003</v>
      </c>
      <c r="BM1460" s="2">
        <v>4.53</v>
      </c>
      <c r="BN1460" s="2">
        <v>36.909999999999997</v>
      </c>
      <c r="BO1460" s="2">
        <v>36.909999999999997</v>
      </c>
      <c r="BP1460" s="2"/>
      <c r="BQ1460" s="2" t="s">
        <v>296</v>
      </c>
      <c r="BR1460" s="2" t="s">
        <v>84</v>
      </c>
      <c r="BS1460" s="3">
        <v>42962</v>
      </c>
      <c r="BT1460" s="4">
        <v>0.4375</v>
      </c>
      <c r="BU1460" s="2" t="s">
        <v>297</v>
      </c>
      <c r="BV1460" s="2" t="s">
        <v>95</v>
      </c>
      <c r="BW1460" s="2"/>
      <c r="BX1460" s="2"/>
      <c r="BY1460" s="2">
        <v>1200</v>
      </c>
      <c r="BZ1460" s="2"/>
      <c r="CA1460" s="2" t="s">
        <v>148</v>
      </c>
      <c r="CB1460" s="2"/>
      <c r="CC1460" s="2" t="s">
        <v>145</v>
      </c>
      <c r="CD1460" s="2">
        <v>2013</v>
      </c>
      <c r="CE1460" s="2" t="s">
        <v>104</v>
      </c>
      <c r="CF1460" s="5">
        <v>42963</v>
      </c>
      <c r="CG1460" s="2"/>
      <c r="CH1460" s="2"/>
      <c r="CI1460" s="2">
        <v>1</v>
      </c>
      <c r="CJ1460" s="2">
        <v>1</v>
      </c>
      <c r="CK1460" s="2">
        <v>22</v>
      </c>
      <c r="CL1460" s="2" t="s">
        <v>86</v>
      </c>
      <c r="CM1460" s="2"/>
    </row>
    <row r="1461" spans="1:91">
      <c r="A1461" s="2" t="s">
        <v>71</v>
      </c>
      <c r="B1461" s="2" t="s">
        <v>72</v>
      </c>
      <c r="C1461" s="2" t="s">
        <v>73</v>
      </c>
      <c r="D1461" s="2"/>
      <c r="E1461" s="2" t="str">
        <f>"FES1162568639"</f>
        <v>FES1162568639</v>
      </c>
      <c r="F1461" s="3">
        <v>42961</v>
      </c>
      <c r="G1461" s="2">
        <v>201802</v>
      </c>
      <c r="H1461" s="2" t="s">
        <v>74</v>
      </c>
      <c r="I1461" s="2" t="s">
        <v>75</v>
      </c>
      <c r="J1461" s="2" t="s">
        <v>76</v>
      </c>
      <c r="K1461" s="2" t="s">
        <v>77</v>
      </c>
      <c r="L1461" s="2" t="s">
        <v>237</v>
      </c>
      <c r="M1461" s="2" t="s">
        <v>238</v>
      </c>
      <c r="N1461" s="2" t="s">
        <v>1470</v>
      </c>
      <c r="O1461" s="2" t="s">
        <v>100</v>
      </c>
      <c r="P1461" s="2" t="str">
        <f>"2170577116                    "</f>
        <v xml:space="preserve">2170577116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22.01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2</v>
      </c>
      <c r="BI1461" s="2">
        <v>8.9</v>
      </c>
      <c r="BJ1461" s="2">
        <v>11</v>
      </c>
      <c r="BK1461" s="2">
        <v>11</v>
      </c>
      <c r="BL1461" s="2">
        <v>227.93</v>
      </c>
      <c r="BM1461" s="2">
        <v>31.91</v>
      </c>
      <c r="BN1461" s="2">
        <v>259.83999999999997</v>
      </c>
      <c r="BO1461" s="2">
        <v>259.83999999999997</v>
      </c>
      <c r="BP1461" s="2"/>
      <c r="BQ1461" s="2" t="s">
        <v>83</v>
      </c>
      <c r="BR1461" s="2" t="s">
        <v>84</v>
      </c>
      <c r="BS1461" s="3">
        <v>42964</v>
      </c>
      <c r="BT1461" s="4">
        <v>0.41111111111111115</v>
      </c>
      <c r="BU1461" s="2" t="s">
        <v>400</v>
      </c>
      <c r="BV1461" s="2" t="s">
        <v>86</v>
      </c>
      <c r="BW1461" s="2" t="s">
        <v>124</v>
      </c>
      <c r="BX1461" s="2" t="s">
        <v>337</v>
      </c>
      <c r="BY1461" s="2">
        <v>55205.51</v>
      </c>
      <c r="BZ1461" s="2"/>
      <c r="CA1461" s="2" t="s">
        <v>401</v>
      </c>
      <c r="CB1461" s="2"/>
      <c r="CC1461" s="2" t="s">
        <v>238</v>
      </c>
      <c r="CD1461" s="2">
        <v>3610</v>
      </c>
      <c r="CE1461" s="2" t="s">
        <v>89</v>
      </c>
      <c r="CF1461" s="5">
        <v>42964</v>
      </c>
      <c r="CG1461" s="2"/>
      <c r="CH1461" s="2"/>
      <c r="CI1461" s="2">
        <v>1</v>
      </c>
      <c r="CJ1461" s="2">
        <v>3</v>
      </c>
      <c r="CK1461" s="2">
        <v>21</v>
      </c>
      <c r="CL1461" s="2" t="s">
        <v>86</v>
      </c>
      <c r="CM1461" s="2"/>
    </row>
    <row r="1462" spans="1:91">
      <c r="A1462" s="2" t="s">
        <v>71</v>
      </c>
      <c r="B1462" s="2" t="s">
        <v>72</v>
      </c>
      <c r="C1462" s="2" t="s">
        <v>73</v>
      </c>
      <c r="D1462" s="2"/>
      <c r="E1462" s="2" t="str">
        <f>"FES1162568702"</f>
        <v>FES1162568702</v>
      </c>
      <c r="F1462" s="3">
        <v>42961</v>
      </c>
      <c r="G1462" s="2">
        <v>201802</v>
      </c>
      <c r="H1462" s="2" t="s">
        <v>74</v>
      </c>
      <c r="I1462" s="2" t="s">
        <v>75</v>
      </c>
      <c r="J1462" s="2" t="s">
        <v>76</v>
      </c>
      <c r="K1462" s="2" t="s">
        <v>77</v>
      </c>
      <c r="L1462" s="2" t="s">
        <v>268</v>
      </c>
      <c r="M1462" s="2" t="s">
        <v>269</v>
      </c>
      <c r="N1462" s="2" t="s">
        <v>442</v>
      </c>
      <c r="O1462" s="2" t="s">
        <v>100</v>
      </c>
      <c r="P1462" s="2" t="str">
        <f>"2170584726                    "</f>
        <v xml:space="preserve">2170584726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4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1</v>
      </c>
      <c r="BJ1462" s="2">
        <v>0.2</v>
      </c>
      <c r="BK1462" s="2">
        <v>1</v>
      </c>
      <c r="BL1462" s="2">
        <v>41.44</v>
      </c>
      <c r="BM1462" s="2">
        <v>5.8</v>
      </c>
      <c r="BN1462" s="2">
        <v>47.24</v>
      </c>
      <c r="BO1462" s="2">
        <v>47.24</v>
      </c>
      <c r="BP1462" s="2"/>
      <c r="BQ1462" s="2" t="s">
        <v>83</v>
      </c>
      <c r="BR1462" s="2" t="s">
        <v>84</v>
      </c>
      <c r="BS1462" s="3">
        <v>42962</v>
      </c>
      <c r="BT1462" s="4">
        <v>0.42291666666666666</v>
      </c>
      <c r="BU1462" s="2" t="s">
        <v>1157</v>
      </c>
      <c r="BV1462" s="2" t="s">
        <v>95</v>
      </c>
      <c r="BW1462" s="2"/>
      <c r="BX1462" s="2"/>
      <c r="BY1462" s="2">
        <v>1200</v>
      </c>
      <c r="BZ1462" s="2"/>
      <c r="CA1462" s="2" t="s">
        <v>1158</v>
      </c>
      <c r="CB1462" s="2"/>
      <c r="CC1462" s="2" t="s">
        <v>269</v>
      </c>
      <c r="CD1462" s="2">
        <v>1</v>
      </c>
      <c r="CE1462" s="2" t="s">
        <v>104</v>
      </c>
      <c r="CF1462" s="5">
        <v>42963</v>
      </c>
      <c r="CG1462" s="2"/>
      <c r="CH1462" s="2"/>
      <c r="CI1462" s="2">
        <v>1</v>
      </c>
      <c r="CJ1462" s="2">
        <v>1</v>
      </c>
      <c r="CK1462" s="2">
        <v>21</v>
      </c>
      <c r="CL1462" s="2" t="s">
        <v>86</v>
      </c>
      <c r="CM1462" s="2"/>
    </row>
    <row r="1463" spans="1:91">
      <c r="A1463" s="2" t="s">
        <v>71</v>
      </c>
      <c r="B1463" s="2" t="s">
        <v>72</v>
      </c>
      <c r="C1463" s="2" t="s">
        <v>73</v>
      </c>
      <c r="D1463" s="2"/>
      <c r="E1463" s="2" t="str">
        <f>"FES1162568609"</f>
        <v>FES1162568609</v>
      </c>
      <c r="F1463" s="3">
        <v>42961</v>
      </c>
      <c r="G1463" s="2">
        <v>201802</v>
      </c>
      <c r="H1463" s="2" t="s">
        <v>74</v>
      </c>
      <c r="I1463" s="2" t="s">
        <v>75</v>
      </c>
      <c r="J1463" s="2" t="s">
        <v>76</v>
      </c>
      <c r="K1463" s="2" t="s">
        <v>77</v>
      </c>
      <c r="L1463" s="2" t="s">
        <v>149</v>
      </c>
      <c r="M1463" s="2" t="s">
        <v>150</v>
      </c>
      <c r="N1463" s="2" t="s">
        <v>2173</v>
      </c>
      <c r="O1463" s="2" t="s">
        <v>100</v>
      </c>
      <c r="P1463" s="2" t="str">
        <f>"2170584603                    "</f>
        <v xml:space="preserve">2170584603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4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1</v>
      </c>
      <c r="BJ1463" s="2">
        <v>1.1000000000000001</v>
      </c>
      <c r="BK1463" s="2">
        <v>1.5</v>
      </c>
      <c r="BL1463" s="2">
        <v>41.44</v>
      </c>
      <c r="BM1463" s="2">
        <v>5.8</v>
      </c>
      <c r="BN1463" s="2">
        <v>47.24</v>
      </c>
      <c r="BO1463" s="2">
        <v>47.24</v>
      </c>
      <c r="BP1463" s="2"/>
      <c r="BQ1463" s="2" t="s">
        <v>288</v>
      </c>
      <c r="BR1463" s="2" t="s">
        <v>84</v>
      </c>
      <c r="BS1463" s="3">
        <v>42962</v>
      </c>
      <c r="BT1463" s="4">
        <v>0.34652777777777777</v>
      </c>
      <c r="BU1463" s="2" t="s">
        <v>2174</v>
      </c>
      <c r="BV1463" s="2" t="s">
        <v>95</v>
      </c>
      <c r="BW1463" s="2"/>
      <c r="BX1463" s="2"/>
      <c r="BY1463" s="2">
        <v>5656.9</v>
      </c>
      <c r="BZ1463" s="2"/>
      <c r="CA1463" s="2" t="s">
        <v>1163</v>
      </c>
      <c r="CB1463" s="2"/>
      <c r="CC1463" s="2" t="s">
        <v>150</v>
      </c>
      <c r="CD1463" s="2">
        <v>4000</v>
      </c>
      <c r="CE1463" s="2" t="s">
        <v>89</v>
      </c>
      <c r="CF1463" s="5">
        <v>42963</v>
      </c>
      <c r="CG1463" s="2"/>
      <c r="CH1463" s="2"/>
      <c r="CI1463" s="2">
        <v>1</v>
      </c>
      <c r="CJ1463" s="2">
        <v>1</v>
      </c>
      <c r="CK1463" s="2">
        <v>21</v>
      </c>
      <c r="CL1463" s="2" t="s">
        <v>86</v>
      </c>
      <c r="CM1463" s="2"/>
    </row>
    <row r="1464" spans="1:91">
      <c r="A1464" s="2" t="s">
        <v>71</v>
      </c>
      <c r="B1464" s="2" t="s">
        <v>72</v>
      </c>
      <c r="C1464" s="2" t="s">
        <v>73</v>
      </c>
      <c r="D1464" s="2"/>
      <c r="E1464" s="2" t="str">
        <f>"FES1162568656"</f>
        <v>FES1162568656</v>
      </c>
      <c r="F1464" s="3">
        <v>42961</v>
      </c>
      <c r="G1464" s="2">
        <v>201802</v>
      </c>
      <c r="H1464" s="2" t="s">
        <v>74</v>
      </c>
      <c r="I1464" s="2" t="s">
        <v>75</v>
      </c>
      <c r="J1464" s="2" t="s">
        <v>76</v>
      </c>
      <c r="K1464" s="2" t="s">
        <v>77</v>
      </c>
      <c r="L1464" s="2" t="s">
        <v>97</v>
      </c>
      <c r="M1464" s="2" t="s">
        <v>98</v>
      </c>
      <c r="N1464" s="2" t="s">
        <v>119</v>
      </c>
      <c r="O1464" s="2" t="s">
        <v>100</v>
      </c>
      <c r="P1464" s="2" t="str">
        <f>"2170580782                    "</f>
        <v xml:space="preserve">2170580782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6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1</v>
      </c>
      <c r="BJ1464" s="2">
        <v>2.8</v>
      </c>
      <c r="BK1464" s="2">
        <v>3</v>
      </c>
      <c r="BL1464" s="2">
        <v>62.16</v>
      </c>
      <c r="BM1464" s="2">
        <v>8.6999999999999993</v>
      </c>
      <c r="BN1464" s="2">
        <v>70.86</v>
      </c>
      <c r="BO1464" s="2">
        <v>70.86</v>
      </c>
      <c r="BP1464" s="2"/>
      <c r="BQ1464" s="2" t="s">
        <v>108</v>
      </c>
      <c r="BR1464" s="2" t="s">
        <v>84</v>
      </c>
      <c r="BS1464" s="3">
        <v>42962</v>
      </c>
      <c r="BT1464" s="4">
        <v>0.33333333333333331</v>
      </c>
      <c r="BU1464" s="2" t="s">
        <v>212</v>
      </c>
      <c r="BV1464" s="2" t="s">
        <v>95</v>
      </c>
      <c r="BW1464" s="2"/>
      <c r="BX1464" s="2"/>
      <c r="BY1464" s="2">
        <v>13761.63</v>
      </c>
      <c r="BZ1464" s="2"/>
      <c r="CA1464" s="2" t="s">
        <v>213</v>
      </c>
      <c r="CB1464" s="2"/>
      <c r="CC1464" s="2" t="s">
        <v>98</v>
      </c>
      <c r="CD1464" s="2">
        <v>6001</v>
      </c>
      <c r="CE1464" s="2" t="s">
        <v>89</v>
      </c>
      <c r="CF1464" s="5">
        <v>42963</v>
      </c>
      <c r="CG1464" s="2"/>
      <c r="CH1464" s="2"/>
      <c r="CI1464" s="2">
        <v>1</v>
      </c>
      <c r="CJ1464" s="2">
        <v>1</v>
      </c>
      <c r="CK1464" s="2">
        <v>21</v>
      </c>
      <c r="CL1464" s="2" t="s">
        <v>86</v>
      </c>
      <c r="CM1464" s="2"/>
    </row>
    <row r="1465" spans="1:91">
      <c r="A1465" s="2" t="s">
        <v>71</v>
      </c>
      <c r="B1465" s="2" t="s">
        <v>72</v>
      </c>
      <c r="C1465" s="2" t="s">
        <v>73</v>
      </c>
      <c r="D1465" s="2"/>
      <c r="E1465" s="2" t="str">
        <f>"FES1162568654"</f>
        <v>FES1162568654</v>
      </c>
      <c r="F1465" s="3">
        <v>42961</v>
      </c>
      <c r="G1465" s="2">
        <v>201802</v>
      </c>
      <c r="H1465" s="2" t="s">
        <v>74</v>
      </c>
      <c r="I1465" s="2" t="s">
        <v>75</v>
      </c>
      <c r="J1465" s="2" t="s">
        <v>76</v>
      </c>
      <c r="K1465" s="2" t="s">
        <v>77</v>
      </c>
      <c r="L1465" s="2" t="s">
        <v>417</v>
      </c>
      <c r="M1465" s="2" t="s">
        <v>417</v>
      </c>
      <c r="N1465" s="2" t="s">
        <v>1414</v>
      </c>
      <c r="O1465" s="2" t="s">
        <v>100</v>
      </c>
      <c r="P1465" s="2" t="str">
        <f>"2170580625                    "</f>
        <v xml:space="preserve">2170580625   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4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0.6</v>
      </c>
      <c r="BJ1465" s="2">
        <v>1.2</v>
      </c>
      <c r="BK1465" s="2">
        <v>1.5</v>
      </c>
      <c r="BL1465" s="2">
        <v>41.44</v>
      </c>
      <c r="BM1465" s="2">
        <v>5.8</v>
      </c>
      <c r="BN1465" s="2">
        <v>47.24</v>
      </c>
      <c r="BO1465" s="2">
        <v>47.24</v>
      </c>
      <c r="BP1465" s="2"/>
      <c r="BQ1465" s="2" t="s">
        <v>108</v>
      </c>
      <c r="BR1465" s="2" t="s">
        <v>84</v>
      </c>
      <c r="BS1465" s="3">
        <v>42962</v>
      </c>
      <c r="BT1465" s="4">
        <v>0.41666666666666669</v>
      </c>
      <c r="BU1465" s="2" t="s">
        <v>2175</v>
      </c>
      <c r="BV1465" s="2" t="s">
        <v>95</v>
      </c>
      <c r="BW1465" s="2"/>
      <c r="BX1465" s="2"/>
      <c r="BY1465" s="2">
        <v>6150.53</v>
      </c>
      <c r="BZ1465" s="2"/>
      <c r="CA1465" s="2"/>
      <c r="CB1465" s="2"/>
      <c r="CC1465" s="2" t="s">
        <v>417</v>
      </c>
      <c r="CD1465" s="2">
        <v>7646</v>
      </c>
      <c r="CE1465" s="2" t="s">
        <v>89</v>
      </c>
      <c r="CF1465" s="5">
        <v>42963</v>
      </c>
      <c r="CG1465" s="2"/>
      <c r="CH1465" s="2"/>
      <c r="CI1465" s="2">
        <v>1</v>
      </c>
      <c r="CJ1465" s="2">
        <v>1</v>
      </c>
      <c r="CK1465" s="2">
        <v>21</v>
      </c>
      <c r="CL1465" s="2" t="s">
        <v>86</v>
      </c>
      <c r="CM1465" s="2"/>
    </row>
    <row r="1466" spans="1:91">
      <c r="A1466" s="2" t="s">
        <v>71</v>
      </c>
      <c r="B1466" s="2" t="s">
        <v>72</v>
      </c>
      <c r="C1466" s="2" t="s">
        <v>73</v>
      </c>
      <c r="D1466" s="2"/>
      <c r="E1466" s="2" t="str">
        <f>"FES1162568745"</f>
        <v>FES1162568745</v>
      </c>
      <c r="F1466" s="3">
        <v>42961</v>
      </c>
      <c r="G1466" s="2">
        <v>201802</v>
      </c>
      <c r="H1466" s="2" t="s">
        <v>74</v>
      </c>
      <c r="I1466" s="2" t="s">
        <v>75</v>
      </c>
      <c r="J1466" s="2" t="s">
        <v>76</v>
      </c>
      <c r="K1466" s="2" t="s">
        <v>77</v>
      </c>
      <c r="L1466" s="2" t="s">
        <v>74</v>
      </c>
      <c r="M1466" s="2" t="s">
        <v>75</v>
      </c>
      <c r="N1466" s="2" t="s">
        <v>329</v>
      </c>
      <c r="O1466" s="2" t="s">
        <v>100</v>
      </c>
      <c r="P1466" s="2" t="str">
        <f>"2170584770                    "</f>
        <v xml:space="preserve">2170584770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3.13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1</v>
      </c>
      <c r="BJ1466" s="2">
        <v>0.2</v>
      </c>
      <c r="BK1466" s="2">
        <v>1</v>
      </c>
      <c r="BL1466" s="2">
        <v>32.380000000000003</v>
      </c>
      <c r="BM1466" s="2">
        <v>4.53</v>
      </c>
      <c r="BN1466" s="2">
        <v>36.909999999999997</v>
      </c>
      <c r="BO1466" s="2">
        <v>36.909999999999997</v>
      </c>
      <c r="BP1466" s="2"/>
      <c r="BQ1466" s="2" t="s">
        <v>83</v>
      </c>
      <c r="BR1466" s="2" t="s">
        <v>84</v>
      </c>
      <c r="BS1466" s="3">
        <v>42962</v>
      </c>
      <c r="BT1466" s="4">
        <v>0.375</v>
      </c>
      <c r="BU1466" s="2" t="s">
        <v>2176</v>
      </c>
      <c r="BV1466" s="2" t="s">
        <v>95</v>
      </c>
      <c r="BW1466" s="2"/>
      <c r="BX1466" s="2"/>
      <c r="BY1466" s="2">
        <v>1200</v>
      </c>
      <c r="BZ1466" s="2"/>
      <c r="CA1466" s="2" t="s">
        <v>331</v>
      </c>
      <c r="CB1466" s="2"/>
      <c r="CC1466" s="2" t="s">
        <v>75</v>
      </c>
      <c r="CD1466" s="2">
        <v>1600</v>
      </c>
      <c r="CE1466" s="2" t="s">
        <v>104</v>
      </c>
      <c r="CF1466" s="5">
        <v>42963</v>
      </c>
      <c r="CG1466" s="2"/>
      <c r="CH1466" s="2"/>
      <c r="CI1466" s="2">
        <v>1</v>
      </c>
      <c r="CJ1466" s="2">
        <v>1</v>
      </c>
      <c r="CK1466" s="2">
        <v>22</v>
      </c>
      <c r="CL1466" s="2" t="s">
        <v>86</v>
      </c>
      <c r="CM1466" s="2"/>
    </row>
    <row r="1467" spans="1:91">
      <c r="A1467" s="2" t="s">
        <v>71</v>
      </c>
      <c r="B1467" s="2" t="s">
        <v>72</v>
      </c>
      <c r="C1467" s="2" t="s">
        <v>73</v>
      </c>
      <c r="D1467" s="2"/>
      <c r="E1467" s="2" t="str">
        <f>"FES1162568664"</f>
        <v>FES1162568664</v>
      </c>
      <c r="F1467" s="3">
        <v>42961</v>
      </c>
      <c r="G1467" s="2">
        <v>201802</v>
      </c>
      <c r="H1467" s="2" t="s">
        <v>74</v>
      </c>
      <c r="I1467" s="2" t="s">
        <v>75</v>
      </c>
      <c r="J1467" s="2" t="s">
        <v>76</v>
      </c>
      <c r="K1467" s="2" t="s">
        <v>77</v>
      </c>
      <c r="L1467" s="2" t="s">
        <v>201</v>
      </c>
      <c r="M1467" s="2" t="s">
        <v>202</v>
      </c>
      <c r="N1467" s="2" t="s">
        <v>409</v>
      </c>
      <c r="O1467" s="2" t="s">
        <v>100</v>
      </c>
      <c r="P1467" s="2" t="str">
        <f>"2170581800                    "</f>
        <v xml:space="preserve">2170581800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16.010000000000002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3</v>
      </c>
      <c r="BI1467" s="2">
        <v>6.3</v>
      </c>
      <c r="BJ1467" s="2">
        <v>8</v>
      </c>
      <c r="BK1467" s="2">
        <v>8</v>
      </c>
      <c r="BL1467" s="2">
        <v>165.77</v>
      </c>
      <c r="BM1467" s="2">
        <v>23.21</v>
      </c>
      <c r="BN1467" s="2">
        <v>188.98</v>
      </c>
      <c r="BO1467" s="2">
        <v>188.98</v>
      </c>
      <c r="BP1467" s="2"/>
      <c r="BQ1467" s="2" t="s">
        <v>288</v>
      </c>
      <c r="BR1467" s="2" t="s">
        <v>84</v>
      </c>
      <c r="BS1467" s="3">
        <v>42962</v>
      </c>
      <c r="BT1467" s="4">
        <v>0.34791666666666665</v>
      </c>
      <c r="BU1467" s="2" t="s">
        <v>2177</v>
      </c>
      <c r="BV1467" s="2"/>
      <c r="BW1467" s="2"/>
      <c r="BX1467" s="2"/>
      <c r="BY1467" s="2">
        <v>39882.58</v>
      </c>
      <c r="BZ1467" s="2"/>
      <c r="CA1467" s="2" t="s">
        <v>2178</v>
      </c>
      <c r="CB1467" s="2"/>
      <c r="CC1467" s="2" t="s">
        <v>202</v>
      </c>
      <c r="CD1467" s="2">
        <v>7130</v>
      </c>
      <c r="CE1467" s="2" t="s">
        <v>89</v>
      </c>
      <c r="CF1467" s="5">
        <v>42963</v>
      </c>
      <c r="CG1467" s="2"/>
      <c r="CH1467" s="2"/>
      <c r="CI1467" s="2">
        <v>0</v>
      </c>
      <c r="CJ1467" s="2">
        <v>0</v>
      </c>
      <c r="CK1467" s="2">
        <v>21</v>
      </c>
      <c r="CL1467" s="2" t="s">
        <v>86</v>
      </c>
      <c r="CM1467" s="2"/>
    </row>
    <row r="1468" spans="1:91">
      <c r="A1468" s="2" t="s">
        <v>71</v>
      </c>
      <c r="B1468" s="2" t="s">
        <v>72</v>
      </c>
      <c r="C1468" s="2" t="s">
        <v>73</v>
      </c>
      <c r="D1468" s="2"/>
      <c r="E1468" s="2" t="str">
        <f>"FES1162568715"</f>
        <v>FES1162568715</v>
      </c>
      <c r="F1468" s="3">
        <v>42961</v>
      </c>
      <c r="G1468" s="2">
        <v>201802</v>
      </c>
      <c r="H1468" s="2" t="s">
        <v>74</v>
      </c>
      <c r="I1468" s="2" t="s">
        <v>75</v>
      </c>
      <c r="J1468" s="2" t="s">
        <v>76</v>
      </c>
      <c r="K1468" s="2" t="s">
        <v>77</v>
      </c>
      <c r="L1468" s="2" t="s">
        <v>362</v>
      </c>
      <c r="M1468" s="2" t="s">
        <v>363</v>
      </c>
      <c r="N1468" s="2" t="s">
        <v>683</v>
      </c>
      <c r="O1468" s="2" t="s">
        <v>100</v>
      </c>
      <c r="P1468" s="2" t="str">
        <f>"2170584739                    "</f>
        <v xml:space="preserve">2170584739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4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1</v>
      </c>
      <c r="BJ1468" s="2">
        <v>0.2</v>
      </c>
      <c r="BK1468" s="2">
        <v>1</v>
      </c>
      <c r="BL1468" s="2">
        <v>41.44</v>
      </c>
      <c r="BM1468" s="2">
        <v>5.8</v>
      </c>
      <c r="BN1468" s="2">
        <v>47.24</v>
      </c>
      <c r="BO1468" s="2">
        <v>47.24</v>
      </c>
      <c r="BP1468" s="2"/>
      <c r="BQ1468" s="2" t="s">
        <v>108</v>
      </c>
      <c r="BR1468" s="2" t="s">
        <v>84</v>
      </c>
      <c r="BS1468" s="3">
        <v>42962</v>
      </c>
      <c r="BT1468" s="4">
        <v>0.4375</v>
      </c>
      <c r="BU1468" s="2" t="s">
        <v>684</v>
      </c>
      <c r="BV1468" s="2" t="s">
        <v>95</v>
      </c>
      <c r="BW1468" s="2"/>
      <c r="BX1468" s="2"/>
      <c r="BY1468" s="2">
        <v>1200</v>
      </c>
      <c r="BZ1468" s="2"/>
      <c r="CA1468" s="2" t="s">
        <v>685</v>
      </c>
      <c r="CB1468" s="2"/>
      <c r="CC1468" s="2" t="s">
        <v>363</v>
      </c>
      <c r="CD1468" s="2">
        <v>3201</v>
      </c>
      <c r="CE1468" s="2" t="s">
        <v>104</v>
      </c>
      <c r="CF1468" s="5">
        <v>42963</v>
      </c>
      <c r="CG1468" s="2"/>
      <c r="CH1468" s="2"/>
      <c r="CI1468" s="2">
        <v>1</v>
      </c>
      <c r="CJ1468" s="2">
        <v>1</v>
      </c>
      <c r="CK1468" s="2">
        <v>21</v>
      </c>
      <c r="CL1468" s="2" t="s">
        <v>86</v>
      </c>
      <c r="CM1468" s="2"/>
    </row>
    <row r="1469" spans="1:91">
      <c r="A1469" s="2" t="s">
        <v>71</v>
      </c>
      <c r="B1469" s="2" t="s">
        <v>72</v>
      </c>
      <c r="C1469" s="2" t="s">
        <v>73</v>
      </c>
      <c r="D1469" s="2"/>
      <c r="E1469" s="2" t="str">
        <f>"FES1162568414"</f>
        <v>FES1162568414</v>
      </c>
      <c r="F1469" s="3">
        <v>42961</v>
      </c>
      <c r="G1469" s="2">
        <v>201802</v>
      </c>
      <c r="H1469" s="2" t="s">
        <v>74</v>
      </c>
      <c r="I1469" s="2" t="s">
        <v>75</v>
      </c>
      <c r="J1469" s="2" t="s">
        <v>76</v>
      </c>
      <c r="K1469" s="2" t="s">
        <v>77</v>
      </c>
      <c r="L1469" s="2" t="s">
        <v>128</v>
      </c>
      <c r="M1469" s="2" t="s">
        <v>129</v>
      </c>
      <c r="N1469" s="2" t="s">
        <v>2179</v>
      </c>
      <c r="O1469" s="2" t="s">
        <v>100</v>
      </c>
      <c r="P1469" s="2" t="str">
        <f>"2170584509                    "</f>
        <v xml:space="preserve">2170584509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3.13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1</v>
      </c>
      <c r="BJ1469" s="2">
        <v>0.2</v>
      </c>
      <c r="BK1469" s="2">
        <v>1</v>
      </c>
      <c r="BL1469" s="2">
        <v>32.380000000000003</v>
      </c>
      <c r="BM1469" s="2">
        <v>4.53</v>
      </c>
      <c r="BN1469" s="2">
        <v>36.909999999999997</v>
      </c>
      <c r="BO1469" s="2">
        <v>36.909999999999997</v>
      </c>
      <c r="BP1469" s="2"/>
      <c r="BQ1469" s="2" t="s">
        <v>108</v>
      </c>
      <c r="BR1469" s="2" t="s">
        <v>84</v>
      </c>
      <c r="BS1469" s="3">
        <v>42962</v>
      </c>
      <c r="BT1469" s="4">
        <v>0.4201388888888889</v>
      </c>
      <c r="BU1469" s="2" t="s">
        <v>2180</v>
      </c>
      <c r="BV1469" s="2" t="s">
        <v>95</v>
      </c>
      <c r="BW1469" s="2"/>
      <c r="BX1469" s="2"/>
      <c r="BY1469" s="2">
        <v>1200</v>
      </c>
      <c r="BZ1469" s="2"/>
      <c r="CA1469" s="2" t="s">
        <v>414</v>
      </c>
      <c r="CB1469" s="2"/>
      <c r="CC1469" s="2" t="s">
        <v>129</v>
      </c>
      <c r="CD1469" s="2">
        <v>1709</v>
      </c>
      <c r="CE1469" s="2" t="s">
        <v>104</v>
      </c>
      <c r="CF1469" s="5">
        <v>42963</v>
      </c>
      <c r="CG1469" s="2"/>
      <c r="CH1469" s="2"/>
      <c r="CI1469" s="2">
        <v>1</v>
      </c>
      <c r="CJ1469" s="2">
        <v>1</v>
      </c>
      <c r="CK1469" s="2">
        <v>22</v>
      </c>
      <c r="CL1469" s="2" t="s">
        <v>86</v>
      </c>
      <c r="CM1469" s="2"/>
    </row>
    <row r="1470" spans="1:91">
      <c r="A1470" s="2" t="s">
        <v>71</v>
      </c>
      <c r="B1470" s="2" t="s">
        <v>72</v>
      </c>
      <c r="C1470" s="2" t="s">
        <v>73</v>
      </c>
      <c r="D1470" s="2"/>
      <c r="E1470" s="2" t="str">
        <f>"FES1162568742"</f>
        <v>FES1162568742</v>
      </c>
      <c r="F1470" s="3">
        <v>42961</v>
      </c>
      <c r="G1470" s="2">
        <v>201802</v>
      </c>
      <c r="H1470" s="2" t="s">
        <v>74</v>
      </c>
      <c r="I1470" s="2" t="s">
        <v>75</v>
      </c>
      <c r="J1470" s="2" t="s">
        <v>76</v>
      </c>
      <c r="K1470" s="2" t="s">
        <v>77</v>
      </c>
      <c r="L1470" s="2" t="s">
        <v>362</v>
      </c>
      <c r="M1470" s="2" t="s">
        <v>363</v>
      </c>
      <c r="N1470" s="2" t="s">
        <v>1168</v>
      </c>
      <c r="O1470" s="2" t="s">
        <v>100</v>
      </c>
      <c r="P1470" s="2" t="str">
        <f>"2170584767                    "</f>
        <v xml:space="preserve">2170584767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4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1</v>
      </c>
      <c r="BI1470" s="2">
        <v>1</v>
      </c>
      <c r="BJ1470" s="2">
        <v>0.2</v>
      </c>
      <c r="BK1470" s="2">
        <v>1</v>
      </c>
      <c r="BL1470" s="2">
        <v>41.44</v>
      </c>
      <c r="BM1470" s="2">
        <v>5.8</v>
      </c>
      <c r="BN1470" s="2">
        <v>47.24</v>
      </c>
      <c r="BO1470" s="2">
        <v>47.24</v>
      </c>
      <c r="BP1470" s="2"/>
      <c r="BQ1470" s="2" t="s">
        <v>83</v>
      </c>
      <c r="BR1470" s="2" t="s">
        <v>84</v>
      </c>
      <c r="BS1470" s="3">
        <v>42962</v>
      </c>
      <c r="BT1470" s="4">
        <v>0.33680555555555558</v>
      </c>
      <c r="BU1470" s="2" t="s">
        <v>2181</v>
      </c>
      <c r="BV1470" s="2" t="s">
        <v>95</v>
      </c>
      <c r="BW1470" s="2"/>
      <c r="BX1470" s="2"/>
      <c r="BY1470" s="2">
        <v>1200</v>
      </c>
      <c r="BZ1470" s="2"/>
      <c r="CA1470" s="2" t="s">
        <v>1170</v>
      </c>
      <c r="CB1470" s="2"/>
      <c r="CC1470" s="2" t="s">
        <v>363</v>
      </c>
      <c r="CD1470" s="2">
        <v>3201</v>
      </c>
      <c r="CE1470" s="2" t="s">
        <v>104</v>
      </c>
      <c r="CF1470" s="5">
        <v>42963</v>
      </c>
      <c r="CG1470" s="2"/>
      <c r="CH1470" s="2"/>
      <c r="CI1470" s="2">
        <v>1</v>
      </c>
      <c r="CJ1470" s="2">
        <v>1</v>
      </c>
      <c r="CK1470" s="2">
        <v>21</v>
      </c>
      <c r="CL1470" s="2" t="s">
        <v>86</v>
      </c>
      <c r="CM1470" s="2"/>
    </row>
    <row r="1471" spans="1:91">
      <c r="A1471" s="2" t="s">
        <v>71</v>
      </c>
      <c r="B1471" s="2" t="s">
        <v>72</v>
      </c>
      <c r="C1471" s="2" t="s">
        <v>73</v>
      </c>
      <c r="D1471" s="2"/>
      <c r="E1471" s="2" t="str">
        <f>"FES1162568730"</f>
        <v>FES1162568730</v>
      </c>
      <c r="F1471" s="3">
        <v>42961</v>
      </c>
      <c r="G1471" s="2">
        <v>201802</v>
      </c>
      <c r="H1471" s="2" t="s">
        <v>74</v>
      </c>
      <c r="I1471" s="2" t="s">
        <v>75</v>
      </c>
      <c r="J1471" s="2" t="s">
        <v>76</v>
      </c>
      <c r="K1471" s="2" t="s">
        <v>77</v>
      </c>
      <c r="L1471" s="2" t="s">
        <v>97</v>
      </c>
      <c r="M1471" s="2" t="s">
        <v>98</v>
      </c>
      <c r="N1471" s="2" t="s">
        <v>500</v>
      </c>
      <c r="O1471" s="2" t="s">
        <v>100</v>
      </c>
      <c r="P1471" s="2" t="str">
        <f>"2170575604                    "</f>
        <v xml:space="preserve">2170575604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36.020000000000003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3.9</v>
      </c>
      <c r="BJ1471" s="2">
        <v>17.899999999999999</v>
      </c>
      <c r="BK1471" s="2">
        <v>18</v>
      </c>
      <c r="BL1471" s="2">
        <v>372.98</v>
      </c>
      <c r="BM1471" s="2">
        <v>52.22</v>
      </c>
      <c r="BN1471" s="2">
        <v>425.2</v>
      </c>
      <c r="BO1471" s="2">
        <v>425.2</v>
      </c>
      <c r="BP1471" s="2"/>
      <c r="BQ1471" s="2" t="s">
        <v>108</v>
      </c>
      <c r="BR1471" s="2" t="s">
        <v>84</v>
      </c>
      <c r="BS1471" s="3">
        <v>42962</v>
      </c>
      <c r="BT1471" s="4">
        <v>0.3659722222222222</v>
      </c>
      <c r="BU1471" s="2" t="s">
        <v>501</v>
      </c>
      <c r="BV1471" s="2" t="s">
        <v>95</v>
      </c>
      <c r="BW1471" s="2"/>
      <c r="BX1471" s="2"/>
      <c r="BY1471" s="2">
        <v>89335.22</v>
      </c>
      <c r="BZ1471" s="2"/>
      <c r="CA1471" s="2" t="s">
        <v>294</v>
      </c>
      <c r="CB1471" s="2"/>
      <c r="CC1471" s="2" t="s">
        <v>98</v>
      </c>
      <c r="CD1471" s="2">
        <v>6001</v>
      </c>
      <c r="CE1471" s="2" t="s">
        <v>89</v>
      </c>
      <c r="CF1471" s="5">
        <v>42963</v>
      </c>
      <c r="CG1471" s="2"/>
      <c r="CH1471" s="2"/>
      <c r="CI1471" s="2">
        <v>1</v>
      </c>
      <c r="CJ1471" s="2">
        <v>1</v>
      </c>
      <c r="CK1471" s="2">
        <v>21</v>
      </c>
      <c r="CL1471" s="2" t="s">
        <v>86</v>
      </c>
      <c r="CM1471" s="2"/>
    </row>
    <row r="1472" spans="1:91">
      <c r="A1472" s="2" t="s">
        <v>71</v>
      </c>
      <c r="B1472" s="2" t="s">
        <v>72</v>
      </c>
      <c r="C1472" s="2" t="s">
        <v>73</v>
      </c>
      <c r="D1472" s="2"/>
      <c r="E1472" s="2" t="str">
        <f>"FES1162568721"</f>
        <v>FES1162568721</v>
      </c>
      <c r="F1472" s="3">
        <v>42961</v>
      </c>
      <c r="G1472" s="2">
        <v>201802</v>
      </c>
      <c r="H1472" s="2" t="s">
        <v>74</v>
      </c>
      <c r="I1472" s="2" t="s">
        <v>75</v>
      </c>
      <c r="J1472" s="2" t="s">
        <v>76</v>
      </c>
      <c r="K1472" s="2" t="s">
        <v>77</v>
      </c>
      <c r="L1472" s="2" t="s">
        <v>237</v>
      </c>
      <c r="M1472" s="2" t="s">
        <v>238</v>
      </c>
      <c r="N1472" s="2" t="s">
        <v>669</v>
      </c>
      <c r="O1472" s="2" t="s">
        <v>100</v>
      </c>
      <c r="P1472" s="2" t="str">
        <f>"2170584748                    "</f>
        <v xml:space="preserve">2170584748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4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1</v>
      </c>
      <c r="BI1472" s="2">
        <v>1</v>
      </c>
      <c r="BJ1472" s="2">
        <v>0.2</v>
      </c>
      <c r="BK1472" s="2">
        <v>1</v>
      </c>
      <c r="BL1472" s="2">
        <v>41.44</v>
      </c>
      <c r="BM1472" s="2">
        <v>5.8</v>
      </c>
      <c r="BN1472" s="2">
        <v>47.24</v>
      </c>
      <c r="BO1472" s="2">
        <v>47.24</v>
      </c>
      <c r="BP1472" s="2"/>
      <c r="BQ1472" s="2" t="s">
        <v>670</v>
      </c>
      <c r="BR1472" s="2" t="s">
        <v>84</v>
      </c>
      <c r="BS1472" s="3">
        <v>42962</v>
      </c>
      <c r="BT1472" s="4">
        <v>0.38472222222222219</v>
      </c>
      <c r="BU1472" s="2" t="s">
        <v>2160</v>
      </c>
      <c r="BV1472" s="2" t="s">
        <v>95</v>
      </c>
      <c r="BW1472" s="2"/>
      <c r="BX1472" s="2"/>
      <c r="BY1472" s="2">
        <v>1200</v>
      </c>
      <c r="BZ1472" s="2"/>
      <c r="CA1472" s="2" t="s">
        <v>2155</v>
      </c>
      <c r="CB1472" s="2"/>
      <c r="CC1472" s="2" t="s">
        <v>238</v>
      </c>
      <c r="CD1472" s="2">
        <v>3610</v>
      </c>
      <c r="CE1472" s="2" t="s">
        <v>104</v>
      </c>
      <c r="CF1472" s="5">
        <v>42963</v>
      </c>
      <c r="CG1472" s="2"/>
      <c r="CH1472" s="2"/>
      <c r="CI1472" s="2">
        <v>1</v>
      </c>
      <c r="CJ1472" s="2">
        <v>1</v>
      </c>
      <c r="CK1472" s="2">
        <v>21</v>
      </c>
      <c r="CL1472" s="2" t="s">
        <v>86</v>
      </c>
      <c r="CM1472" s="2"/>
    </row>
    <row r="1473" spans="1:91">
      <c r="A1473" s="2" t="s">
        <v>71</v>
      </c>
      <c r="B1473" s="2" t="s">
        <v>72</v>
      </c>
      <c r="C1473" s="2" t="s">
        <v>73</v>
      </c>
      <c r="D1473" s="2"/>
      <c r="E1473" s="2" t="str">
        <f>"FES1162568726"</f>
        <v>FES1162568726</v>
      </c>
      <c r="F1473" s="3">
        <v>42961</v>
      </c>
      <c r="G1473" s="2">
        <v>201802</v>
      </c>
      <c r="H1473" s="2" t="s">
        <v>74</v>
      </c>
      <c r="I1473" s="2" t="s">
        <v>75</v>
      </c>
      <c r="J1473" s="2" t="s">
        <v>76</v>
      </c>
      <c r="K1473" s="2" t="s">
        <v>77</v>
      </c>
      <c r="L1473" s="2" t="s">
        <v>97</v>
      </c>
      <c r="M1473" s="2" t="s">
        <v>98</v>
      </c>
      <c r="N1473" s="2" t="s">
        <v>214</v>
      </c>
      <c r="O1473" s="2" t="s">
        <v>100</v>
      </c>
      <c r="P1473" s="2" t="str">
        <f>"2170584751                    "</f>
        <v xml:space="preserve">2170584751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7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1</v>
      </c>
      <c r="BI1473" s="2">
        <v>3.3</v>
      </c>
      <c r="BJ1473" s="2">
        <v>1</v>
      </c>
      <c r="BK1473" s="2">
        <v>3.5</v>
      </c>
      <c r="BL1473" s="2">
        <v>72.52</v>
      </c>
      <c r="BM1473" s="2">
        <v>10.15</v>
      </c>
      <c r="BN1473" s="2">
        <v>82.67</v>
      </c>
      <c r="BO1473" s="2">
        <v>82.67</v>
      </c>
      <c r="BP1473" s="2"/>
      <c r="BQ1473" s="2" t="s">
        <v>108</v>
      </c>
      <c r="BR1473" s="2" t="s">
        <v>84</v>
      </c>
      <c r="BS1473" s="3">
        <v>42962</v>
      </c>
      <c r="BT1473" s="4">
        <v>0.31805555555555554</v>
      </c>
      <c r="BU1473" s="2" t="s">
        <v>215</v>
      </c>
      <c r="BV1473" s="2" t="s">
        <v>95</v>
      </c>
      <c r="BW1473" s="2"/>
      <c r="BX1473" s="2"/>
      <c r="BY1473" s="2">
        <v>5179.8</v>
      </c>
      <c r="BZ1473" s="2"/>
      <c r="CA1473" s="2" t="s">
        <v>213</v>
      </c>
      <c r="CB1473" s="2"/>
      <c r="CC1473" s="2" t="s">
        <v>98</v>
      </c>
      <c r="CD1473" s="2">
        <v>6001</v>
      </c>
      <c r="CE1473" s="2" t="s">
        <v>89</v>
      </c>
      <c r="CF1473" s="5">
        <v>42963</v>
      </c>
      <c r="CG1473" s="2"/>
      <c r="CH1473" s="2"/>
      <c r="CI1473" s="2">
        <v>1</v>
      </c>
      <c r="CJ1473" s="2">
        <v>1</v>
      </c>
      <c r="CK1473" s="2">
        <v>21</v>
      </c>
      <c r="CL1473" s="2" t="s">
        <v>86</v>
      </c>
      <c r="CM1473" s="2"/>
    </row>
    <row r="1474" spans="1:91">
      <c r="A1474" s="2" t="s">
        <v>71</v>
      </c>
      <c r="B1474" s="2" t="s">
        <v>72</v>
      </c>
      <c r="C1474" s="2" t="s">
        <v>73</v>
      </c>
      <c r="D1474" s="2"/>
      <c r="E1474" s="2" t="str">
        <f>"FES1162568746"</f>
        <v>FES1162568746</v>
      </c>
      <c r="F1474" s="3">
        <v>42961</v>
      </c>
      <c r="G1474" s="2">
        <v>201802</v>
      </c>
      <c r="H1474" s="2" t="s">
        <v>74</v>
      </c>
      <c r="I1474" s="2" t="s">
        <v>75</v>
      </c>
      <c r="J1474" s="2" t="s">
        <v>76</v>
      </c>
      <c r="K1474" s="2" t="s">
        <v>77</v>
      </c>
      <c r="L1474" s="2" t="s">
        <v>74</v>
      </c>
      <c r="M1474" s="2" t="s">
        <v>75</v>
      </c>
      <c r="N1474" s="2" t="s">
        <v>329</v>
      </c>
      <c r="O1474" s="2" t="s">
        <v>100</v>
      </c>
      <c r="P1474" s="2" t="str">
        <f>"2170584771                    "</f>
        <v xml:space="preserve">2170584771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3.13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1</v>
      </c>
      <c r="BJ1474" s="2">
        <v>0.2</v>
      </c>
      <c r="BK1474" s="2">
        <v>1</v>
      </c>
      <c r="BL1474" s="2">
        <v>32.380000000000003</v>
      </c>
      <c r="BM1474" s="2">
        <v>4.53</v>
      </c>
      <c r="BN1474" s="2">
        <v>36.909999999999997</v>
      </c>
      <c r="BO1474" s="2">
        <v>36.909999999999997</v>
      </c>
      <c r="BP1474" s="2"/>
      <c r="BQ1474" s="2" t="s">
        <v>83</v>
      </c>
      <c r="BR1474" s="2" t="s">
        <v>84</v>
      </c>
      <c r="BS1474" s="3">
        <v>42962</v>
      </c>
      <c r="BT1474" s="4">
        <v>0.35347222222222219</v>
      </c>
      <c r="BU1474" s="2" t="s">
        <v>2182</v>
      </c>
      <c r="BV1474" s="2" t="s">
        <v>95</v>
      </c>
      <c r="BW1474" s="2"/>
      <c r="BX1474" s="2"/>
      <c r="BY1474" s="2">
        <v>1200</v>
      </c>
      <c r="BZ1474" s="2"/>
      <c r="CA1474" s="2" t="s">
        <v>1179</v>
      </c>
      <c r="CB1474" s="2"/>
      <c r="CC1474" s="2" t="s">
        <v>75</v>
      </c>
      <c r="CD1474" s="2">
        <v>1600</v>
      </c>
      <c r="CE1474" s="2" t="s">
        <v>104</v>
      </c>
      <c r="CF1474" s="5">
        <v>42963</v>
      </c>
      <c r="CG1474" s="2"/>
      <c r="CH1474" s="2"/>
      <c r="CI1474" s="2">
        <v>1</v>
      </c>
      <c r="CJ1474" s="2">
        <v>1</v>
      </c>
      <c r="CK1474" s="2">
        <v>22</v>
      </c>
      <c r="CL1474" s="2" t="s">
        <v>86</v>
      </c>
      <c r="CM1474" s="2"/>
    </row>
    <row r="1475" spans="1:91">
      <c r="A1475" s="2" t="s">
        <v>71</v>
      </c>
      <c r="B1475" s="2" t="s">
        <v>72</v>
      </c>
      <c r="C1475" s="2" t="s">
        <v>73</v>
      </c>
      <c r="D1475" s="2"/>
      <c r="E1475" s="2" t="str">
        <f>"FES1162568727"</f>
        <v>FES1162568727</v>
      </c>
      <c r="F1475" s="3">
        <v>42961</v>
      </c>
      <c r="G1475" s="2">
        <v>201802</v>
      </c>
      <c r="H1475" s="2" t="s">
        <v>74</v>
      </c>
      <c r="I1475" s="2" t="s">
        <v>75</v>
      </c>
      <c r="J1475" s="2" t="s">
        <v>76</v>
      </c>
      <c r="K1475" s="2" t="s">
        <v>77</v>
      </c>
      <c r="L1475" s="2" t="s">
        <v>144</v>
      </c>
      <c r="M1475" s="2" t="s">
        <v>145</v>
      </c>
      <c r="N1475" s="2" t="s">
        <v>260</v>
      </c>
      <c r="O1475" s="2" t="s">
        <v>100</v>
      </c>
      <c r="P1475" s="2" t="str">
        <f>"2170584753                    "</f>
        <v xml:space="preserve">2170584753 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3.13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1.4</v>
      </c>
      <c r="BJ1475" s="2">
        <v>1.6</v>
      </c>
      <c r="BK1475" s="2">
        <v>2</v>
      </c>
      <c r="BL1475" s="2">
        <v>32.380000000000003</v>
      </c>
      <c r="BM1475" s="2">
        <v>4.53</v>
      </c>
      <c r="BN1475" s="2">
        <v>36.909999999999997</v>
      </c>
      <c r="BO1475" s="2">
        <v>36.909999999999997</v>
      </c>
      <c r="BP1475" s="2"/>
      <c r="BQ1475" s="2" t="s">
        <v>108</v>
      </c>
      <c r="BR1475" s="2" t="s">
        <v>84</v>
      </c>
      <c r="BS1475" s="3">
        <v>42962</v>
      </c>
      <c r="BT1475" s="4">
        <v>0.4375</v>
      </c>
      <c r="BU1475" s="2" t="s">
        <v>261</v>
      </c>
      <c r="BV1475" s="2" t="s">
        <v>95</v>
      </c>
      <c r="BW1475" s="2"/>
      <c r="BX1475" s="2"/>
      <c r="BY1475" s="2">
        <v>8120.46</v>
      </c>
      <c r="BZ1475" s="2"/>
      <c r="CA1475" s="2" t="s">
        <v>148</v>
      </c>
      <c r="CB1475" s="2"/>
      <c r="CC1475" s="2" t="s">
        <v>145</v>
      </c>
      <c r="CD1475" s="2">
        <v>2091</v>
      </c>
      <c r="CE1475" s="2" t="s">
        <v>89</v>
      </c>
      <c r="CF1475" s="5">
        <v>42963</v>
      </c>
      <c r="CG1475" s="2"/>
      <c r="CH1475" s="2"/>
      <c r="CI1475" s="2">
        <v>1</v>
      </c>
      <c r="CJ1475" s="2">
        <v>1</v>
      </c>
      <c r="CK1475" s="2">
        <v>22</v>
      </c>
      <c r="CL1475" s="2" t="s">
        <v>86</v>
      </c>
      <c r="CM1475" s="2"/>
    </row>
    <row r="1476" spans="1:91">
      <c r="A1476" s="2" t="s">
        <v>71</v>
      </c>
      <c r="B1476" s="2" t="s">
        <v>72</v>
      </c>
      <c r="C1476" s="2" t="s">
        <v>73</v>
      </c>
      <c r="D1476" s="2"/>
      <c r="E1476" s="2" t="str">
        <f>"FES1162568693"</f>
        <v>FES1162568693</v>
      </c>
      <c r="F1476" s="3">
        <v>42961</v>
      </c>
      <c r="G1476" s="2">
        <v>201802</v>
      </c>
      <c r="H1476" s="2" t="s">
        <v>74</v>
      </c>
      <c r="I1476" s="2" t="s">
        <v>75</v>
      </c>
      <c r="J1476" s="2" t="s">
        <v>76</v>
      </c>
      <c r="K1476" s="2" t="s">
        <v>77</v>
      </c>
      <c r="L1476" s="2" t="s">
        <v>362</v>
      </c>
      <c r="M1476" s="2" t="s">
        <v>363</v>
      </c>
      <c r="N1476" s="2" t="s">
        <v>683</v>
      </c>
      <c r="O1476" s="2" t="s">
        <v>100</v>
      </c>
      <c r="P1476" s="2" t="str">
        <f>"2170584536                    "</f>
        <v xml:space="preserve">2170584536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6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1</v>
      </c>
      <c r="BI1476" s="2">
        <v>2.8</v>
      </c>
      <c r="BJ1476" s="2">
        <v>1.4</v>
      </c>
      <c r="BK1476" s="2">
        <v>3</v>
      </c>
      <c r="BL1476" s="2">
        <v>62.16</v>
      </c>
      <c r="BM1476" s="2">
        <v>8.6999999999999993</v>
      </c>
      <c r="BN1476" s="2">
        <v>70.86</v>
      </c>
      <c r="BO1476" s="2">
        <v>70.86</v>
      </c>
      <c r="BP1476" s="2"/>
      <c r="BQ1476" s="2" t="s">
        <v>108</v>
      </c>
      <c r="BR1476" s="2" t="s">
        <v>84</v>
      </c>
      <c r="BS1476" s="3">
        <v>42962</v>
      </c>
      <c r="BT1476" s="4">
        <v>0.4375</v>
      </c>
      <c r="BU1476" s="2" t="s">
        <v>684</v>
      </c>
      <c r="BV1476" s="2" t="s">
        <v>95</v>
      </c>
      <c r="BW1476" s="2"/>
      <c r="BX1476" s="2"/>
      <c r="BY1476" s="2">
        <v>6797.7</v>
      </c>
      <c r="BZ1476" s="2"/>
      <c r="CA1476" s="2" t="s">
        <v>685</v>
      </c>
      <c r="CB1476" s="2"/>
      <c r="CC1476" s="2" t="s">
        <v>363</v>
      </c>
      <c r="CD1476" s="2">
        <v>3201</v>
      </c>
      <c r="CE1476" s="2" t="s">
        <v>89</v>
      </c>
      <c r="CF1476" s="5">
        <v>42963</v>
      </c>
      <c r="CG1476" s="2"/>
      <c r="CH1476" s="2"/>
      <c r="CI1476" s="2">
        <v>1</v>
      </c>
      <c r="CJ1476" s="2">
        <v>1</v>
      </c>
      <c r="CK1476" s="2">
        <v>21</v>
      </c>
      <c r="CL1476" s="2" t="s">
        <v>86</v>
      </c>
      <c r="CM1476" s="2"/>
    </row>
    <row r="1477" spans="1:91">
      <c r="A1477" s="2" t="s">
        <v>71</v>
      </c>
      <c r="B1477" s="2" t="s">
        <v>72</v>
      </c>
      <c r="C1477" s="2" t="s">
        <v>73</v>
      </c>
      <c r="D1477" s="2"/>
      <c r="E1477" s="2" t="str">
        <f>"FES1162568607"</f>
        <v>FES1162568607</v>
      </c>
      <c r="F1477" s="3">
        <v>42961</v>
      </c>
      <c r="G1477" s="2">
        <v>201802</v>
      </c>
      <c r="H1477" s="2" t="s">
        <v>74</v>
      </c>
      <c r="I1477" s="2" t="s">
        <v>75</v>
      </c>
      <c r="J1477" s="2" t="s">
        <v>76</v>
      </c>
      <c r="K1477" s="2" t="s">
        <v>77</v>
      </c>
      <c r="L1477" s="2" t="s">
        <v>105</v>
      </c>
      <c r="M1477" s="2" t="s">
        <v>106</v>
      </c>
      <c r="N1477" s="2" t="s">
        <v>2183</v>
      </c>
      <c r="O1477" s="2" t="s">
        <v>100</v>
      </c>
      <c r="P1477" s="2" t="str">
        <f>"2170584241                    "</f>
        <v xml:space="preserve">2170584241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18.010000000000002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2</v>
      </c>
      <c r="BI1477" s="2">
        <v>9</v>
      </c>
      <c r="BJ1477" s="2">
        <v>5</v>
      </c>
      <c r="BK1477" s="2">
        <v>9</v>
      </c>
      <c r="BL1477" s="2">
        <v>186.49</v>
      </c>
      <c r="BM1477" s="2">
        <v>26.11</v>
      </c>
      <c r="BN1477" s="2">
        <v>212.6</v>
      </c>
      <c r="BO1477" s="2">
        <v>212.6</v>
      </c>
      <c r="BP1477" s="2"/>
      <c r="BQ1477" s="2" t="s">
        <v>2184</v>
      </c>
      <c r="BR1477" s="2" t="s">
        <v>84</v>
      </c>
      <c r="BS1477" s="3">
        <v>42962</v>
      </c>
      <c r="BT1477" s="4">
        <v>0.44930555555555557</v>
      </c>
      <c r="BU1477" s="2" t="s">
        <v>2185</v>
      </c>
      <c r="BV1477" s="2" t="s">
        <v>95</v>
      </c>
      <c r="BW1477" s="2"/>
      <c r="BX1477" s="2"/>
      <c r="BY1477" s="2">
        <v>24790.68</v>
      </c>
      <c r="BZ1477" s="2"/>
      <c r="CA1477" s="2" t="s">
        <v>302</v>
      </c>
      <c r="CB1477" s="2"/>
      <c r="CC1477" s="2" t="s">
        <v>106</v>
      </c>
      <c r="CD1477" s="2">
        <v>7580</v>
      </c>
      <c r="CE1477" s="2" t="s">
        <v>89</v>
      </c>
      <c r="CF1477" s="5">
        <v>42963</v>
      </c>
      <c r="CG1477" s="2"/>
      <c r="CH1477" s="2"/>
      <c r="CI1477" s="2">
        <v>1</v>
      </c>
      <c r="CJ1477" s="2">
        <v>1</v>
      </c>
      <c r="CK1477" s="2">
        <v>21</v>
      </c>
      <c r="CL1477" s="2" t="s">
        <v>86</v>
      </c>
      <c r="CM1477" s="2"/>
    </row>
    <row r="1478" spans="1:91">
      <c r="A1478" s="2" t="s">
        <v>71</v>
      </c>
      <c r="B1478" s="2" t="s">
        <v>72</v>
      </c>
      <c r="C1478" s="2" t="s">
        <v>73</v>
      </c>
      <c r="D1478" s="2"/>
      <c r="E1478" s="2" t="str">
        <f>"FES1162568695"</f>
        <v>FES1162568695</v>
      </c>
      <c r="F1478" s="3">
        <v>42961</v>
      </c>
      <c r="G1478" s="2">
        <v>201802</v>
      </c>
      <c r="H1478" s="2" t="s">
        <v>74</v>
      </c>
      <c r="I1478" s="2" t="s">
        <v>75</v>
      </c>
      <c r="J1478" s="2" t="s">
        <v>76</v>
      </c>
      <c r="K1478" s="2" t="s">
        <v>77</v>
      </c>
      <c r="L1478" s="2" t="s">
        <v>362</v>
      </c>
      <c r="M1478" s="2" t="s">
        <v>363</v>
      </c>
      <c r="N1478" s="2" t="s">
        <v>683</v>
      </c>
      <c r="O1478" s="2" t="s">
        <v>100</v>
      </c>
      <c r="P1478" s="2" t="str">
        <f>"2170584434                    "</f>
        <v xml:space="preserve">2170584434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8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1</v>
      </c>
      <c r="BI1478" s="2">
        <v>3.8</v>
      </c>
      <c r="BJ1478" s="2">
        <v>1.8</v>
      </c>
      <c r="BK1478" s="2">
        <v>4</v>
      </c>
      <c r="BL1478" s="2">
        <v>82.88</v>
      </c>
      <c r="BM1478" s="2">
        <v>11.6</v>
      </c>
      <c r="BN1478" s="2">
        <v>94.48</v>
      </c>
      <c r="BO1478" s="2">
        <v>94.48</v>
      </c>
      <c r="BP1478" s="2"/>
      <c r="BQ1478" s="2" t="s">
        <v>108</v>
      </c>
      <c r="BR1478" s="2" t="s">
        <v>84</v>
      </c>
      <c r="BS1478" s="3">
        <v>42962</v>
      </c>
      <c r="BT1478" s="4">
        <v>0.4375</v>
      </c>
      <c r="BU1478" s="2" t="s">
        <v>684</v>
      </c>
      <c r="BV1478" s="2" t="s">
        <v>95</v>
      </c>
      <c r="BW1478" s="2"/>
      <c r="BX1478" s="2"/>
      <c r="BY1478" s="2">
        <v>9138.5499999999993</v>
      </c>
      <c r="BZ1478" s="2"/>
      <c r="CA1478" s="2" t="s">
        <v>685</v>
      </c>
      <c r="CB1478" s="2"/>
      <c r="CC1478" s="2" t="s">
        <v>363</v>
      </c>
      <c r="CD1478" s="2">
        <v>3201</v>
      </c>
      <c r="CE1478" s="2" t="s">
        <v>89</v>
      </c>
      <c r="CF1478" s="5">
        <v>42963</v>
      </c>
      <c r="CG1478" s="2"/>
      <c r="CH1478" s="2"/>
      <c r="CI1478" s="2">
        <v>1</v>
      </c>
      <c r="CJ1478" s="2">
        <v>1</v>
      </c>
      <c r="CK1478" s="2">
        <v>21</v>
      </c>
      <c r="CL1478" s="2" t="s">
        <v>86</v>
      </c>
      <c r="CM1478" s="2"/>
    </row>
    <row r="1479" spans="1:91">
      <c r="A1479" s="2" t="s">
        <v>71</v>
      </c>
      <c r="B1479" s="2" t="s">
        <v>72</v>
      </c>
      <c r="C1479" s="2" t="s">
        <v>73</v>
      </c>
      <c r="D1479" s="2"/>
      <c r="E1479" s="2" t="str">
        <f>"FES1162568682"</f>
        <v>FES1162568682</v>
      </c>
      <c r="F1479" s="3">
        <v>42961</v>
      </c>
      <c r="G1479" s="2">
        <v>201802</v>
      </c>
      <c r="H1479" s="2" t="s">
        <v>74</v>
      </c>
      <c r="I1479" s="2" t="s">
        <v>75</v>
      </c>
      <c r="J1479" s="2" t="s">
        <v>76</v>
      </c>
      <c r="K1479" s="2" t="s">
        <v>77</v>
      </c>
      <c r="L1479" s="2" t="s">
        <v>237</v>
      </c>
      <c r="M1479" s="2" t="s">
        <v>238</v>
      </c>
      <c r="N1479" s="2" t="s">
        <v>765</v>
      </c>
      <c r="O1479" s="2" t="s">
        <v>100</v>
      </c>
      <c r="P1479" s="2" t="str">
        <f>"2170584711                    "</f>
        <v xml:space="preserve">2170584711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4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1</v>
      </c>
      <c r="BJ1479" s="2">
        <v>0.2</v>
      </c>
      <c r="BK1479" s="2">
        <v>1</v>
      </c>
      <c r="BL1479" s="2">
        <v>41.44</v>
      </c>
      <c r="BM1479" s="2">
        <v>5.8</v>
      </c>
      <c r="BN1479" s="2">
        <v>47.24</v>
      </c>
      <c r="BO1479" s="2">
        <v>47.24</v>
      </c>
      <c r="BP1479" s="2"/>
      <c r="BQ1479" s="2" t="s">
        <v>108</v>
      </c>
      <c r="BR1479" s="2" t="s">
        <v>84</v>
      </c>
      <c r="BS1479" s="3">
        <v>42962</v>
      </c>
      <c r="BT1479" s="4">
        <v>0.34027777777777773</v>
      </c>
      <c r="BU1479" s="2" t="s">
        <v>766</v>
      </c>
      <c r="BV1479" s="2" t="s">
        <v>95</v>
      </c>
      <c r="BW1479" s="2"/>
      <c r="BX1479" s="2"/>
      <c r="BY1479" s="2">
        <v>1200</v>
      </c>
      <c r="BZ1479" s="2"/>
      <c r="CA1479" s="2" t="s">
        <v>401</v>
      </c>
      <c r="CB1479" s="2"/>
      <c r="CC1479" s="2" t="s">
        <v>238</v>
      </c>
      <c r="CD1479" s="2">
        <v>3610</v>
      </c>
      <c r="CE1479" s="2" t="s">
        <v>104</v>
      </c>
      <c r="CF1479" s="5">
        <v>42963</v>
      </c>
      <c r="CG1479" s="2"/>
      <c r="CH1479" s="2"/>
      <c r="CI1479" s="2">
        <v>1</v>
      </c>
      <c r="CJ1479" s="2">
        <v>1</v>
      </c>
      <c r="CK1479" s="2">
        <v>21</v>
      </c>
      <c r="CL1479" s="2" t="s">
        <v>86</v>
      </c>
      <c r="CM1479" s="2"/>
    </row>
    <row r="1480" spans="1:91">
      <c r="A1480" s="2" t="s">
        <v>71</v>
      </c>
      <c r="B1480" s="2" t="s">
        <v>72</v>
      </c>
      <c r="C1480" s="2" t="s">
        <v>73</v>
      </c>
      <c r="D1480" s="2"/>
      <c r="E1480" s="2" t="str">
        <f>"FES1162568732"</f>
        <v>FES1162568732</v>
      </c>
      <c r="F1480" s="3">
        <v>42961</v>
      </c>
      <c r="G1480" s="2">
        <v>201802</v>
      </c>
      <c r="H1480" s="2" t="s">
        <v>74</v>
      </c>
      <c r="I1480" s="2" t="s">
        <v>75</v>
      </c>
      <c r="J1480" s="2" t="s">
        <v>76</v>
      </c>
      <c r="K1480" s="2" t="s">
        <v>77</v>
      </c>
      <c r="L1480" s="2" t="s">
        <v>74</v>
      </c>
      <c r="M1480" s="2" t="s">
        <v>75</v>
      </c>
      <c r="N1480" s="2" t="s">
        <v>1815</v>
      </c>
      <c r="O1480" s="2" t="s">
        <v>100</v>
      </c>
      <c r="P1480" s="2" t="str">
        <f>"2170584759                    "</f>
        <v xml:space="preserve">2170584759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3.13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1</v>
      </c>
      <c r="BJ1480" s="2">
        <v>0.2</v>
      </c>
      <c r="BK1480" s="2">
        <v>1</v>
      </c>
      <c r="BL1480" s="2">
        <v>32.380000000000003</v>
      </c>
      <c r="BM1480" s="2">
        <v>4.53</v>
      </c>
      <c r="BN1480" s="2">
        <v>36.909999999999997</v>
      </c>
      <c r="BO1480" s="2">
        <v>36.909999999999997</v>
      </c>
      <c r="BP1480" s="2"/>
      <c r="BQ1480" s="2" t="s">
        <v>288</v>
      </c>
      <c r="BR1480" s="2" t="s">
        <v>84</v>
      </c>
      <c r="BS1480" s="3">
        <v>42962</v>
      </c>
      <c r="BT1480" s="4">
        <v>0.34166666666666662</v>
      </c>
      <c r="BU1480" s="2" t="s">
        <v>2186</v>
      </c>
      <c r="BV1480" s="2" t="s">
        <v>95</v>
      </c>
      <c r="BW1480" s="2"/>
      <c r="BX1480" s="2"/>
      <c r="BY1480" s="2">
        <v>1200</v>
      </c>
      <c r="BZ1480" s="2"/>
      <c r="CA1480" s="2" t="s">
        <v>953</v>
      </c>
      <c r="CB1480" s="2"/>
      <c r="CC1480" s="2" t="s">
        <v>75</v>
      </c>
      <c r="CD1480" s="2">
        <v>1601</v>
      </c>
      <c r="CE1480" s="2" t="s">
        <v>104</v>
      </c>
      <c r="CF1480" s="5">
        <v>42963</v>
      </c>
      <c r="CG1480" s="2"/>
      <c r="CH1480" s="2"/>
      <c r="CI1480" s="2">
        <v>1</v>
      </c>
      <c r="CJ1480" s="2">
        <v>1</v>
      </c>
      <c r="CK1480" s="2">
        <v>22</v>
      </c>
      <c r="CL1480" s="2" t="s">
        <v>86</v>
      </c>
      <c r="CM1480" s="2"/>
    </row>
    <row r="1481" spans="1:91">
      <c r="A1481" s="2" t="s">
        <v>71</v>
      </c>
      <c r="B1481" s="2" t="s">
        <v>72</v>
      </c>
      <c r="C1481" s="2" t="s">
        <v>73</v>
      </c>
      <c r="D1481" s="2"/>
      <c r="E1481" s="2" t="str">
        <f>"FES1162568625"</f>
        <v>FES1162568625</v>
      </c>
      <c r="F1481" s="3">
        <v>42961</v>
      </c>
      <c r="G1481" s="2">
        <v>201802</v>
      </c>
      <c r="H1481" s="2" t="s">
        <v>74</v>
      </c>
      <c r="I1481" s="2" t="s">
        <v>75</v>
      </c>
      <c r="J1481" s="2" t="s">
        <v>76</v>
      </c>
      <c r="K1481" s="2" t="s">
        <v>77</v>
      </c>
      <c r="L1481" s="2" t="s">
        <v>128</v>
      </c>
      <c r="M1481" s="2" t="s">
        <v>129</v>
      </c>
      <c r="N1481" s="2" t="s">
        <v>1359</v>
      </c>
      <c r="O1481" s="2" t="s">
        <v>100</v>
      </c>
      <c r="P1481" s="2" t="str">
        <f>"2170584696                    "</f>
        <v xml:space="preserve">2170584696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3.13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1</v>
      </c>
      <c r="BJ1481" s="2">
        <v>0.2</v>
      </c>
      <c r="BK1481" s="2">
        <v>1</v>
      </c>
      <c r="BL1481" s="2">
        <v>32.380000000000003</v>
      </c>
      <c r="BM1481" s="2">
        <v>4.53</v>
      </c>
      <c r="BN1481" s="2">
        <v>36.909999999999997</v>
      </c>
      <c r="BO1481" s="2">
        <v>36.909999999999997</v>
      </c>
      <c r="BP1481" s="2"/>
      <c r="BQ1481" s="2" t="s">
        <v>108</v>
      </c>
      <c r="BR1481" s="2" t="s">
        <v>84</v>
      </c>
      <c r="BS1481" s="3">
        <v>42962</v>
      </c>
      <c r="BT1481" s="4">
        <v>0.34513888888888888</v>
      </c>
      <c r="BU1481" s="2" t="s">
        <v>2187</v>
      </c>
      <c r="BV1481" s="2" t="s">
        <v>95</v>
      </c>
      <c r="BW1481" s="2"/>
      <c r="BX1481" s="2"/>
      <c r="BY1481" s="2">
        <v>1200</v>
      </c>
      <c r="BZ1481" s="2"/>
      <c r="CA1481" s="2" t="s">
        <v>2188</v>
      </c>
      <c r="CB1481" s="2"/>
      <c r="CC1481" s="2" t="s">
        <v>129</v>
      </c>
      <c r="CD1481" s="2">
        <v>1724</v>
      </c>
      <c r="CE1481" s="2" t="s">
        <v>104</v>
      </c>
      <c r="CF1481" s="5">
        <v>42963</v>
      </c>
      <c r="CG1481" s="2"/>
      <c r="CH1481" s="2"/>
      <c r="CI1481" s="2">
        <v>1</v>
      </c>
      <c r="CJ1481" s="2">
        <v>1</v>
      </c>
      <c r="CK1481" s="2">
        <v>22</v>
      </c>
      <c r="CL1481" s="2" t="s">
        <v>86</v>
      </c>
      <c r="CM1481" s="2"/>
    </row>
    <row r="1482" spans="1:91">
      <c r="A1482" s="2" t="s">
        <v>71</v>
      </c>
      <c r="B1482" s="2" t="s">
        <v>72</v>
      </c>
      <c r="C1482" s="2" t="s">
        <v>73</v>
      </c>
      <c r="D1482" s="2"/>
      <c r="E1482" s="2" t="str">
        <f>"FES1162568700"</f>
        <v>FES1162568700</v>
      </c>
      <c r="F1482" s="3">
        <v>42961</v>
      </c>
      <c r="G1482" s="2">
        <v>201802</v>
      </c>
      <c r="H1482" s="2" t="s">
        <v>74</v>
      </c>
      <c r="I1482" s="2" t="s">
        <v>75</v>
      </c>
      <c r="J1482" s="2" t="s">
        <v>76</v>
      </c>
      <c r="K1482" s="2" t="s">
        <v>77</v>
      </c>
      <c r="L1482" s="2" t="s">
        <v>268</v>
      </c>
      <c r="M1482" s="2" t="s">
        <v>269</v>
      </c>
      <c r="N1482" s="2" t="s">
        <v>2189</v>
      </c>
      <c r="O1482" s="2" t="s">
        <v>100</v>
      </c>
      <c r="P1482" s="2" t="str">
        <f>"2170584718                    "</f>
        <v xml:space="preserve">2170584718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4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1</v>
      </c>
      <c r="BJ1482" s="2">
        <v>0.2</v>
      </c>
      <c r="BK1482" s="2">
        <v>1</v>
      </c>
      <c r="BL1482" s="2">
        <v>41.44</v>
      </c>
      <c r="BM1482" s="2">
        <v>5.8</v>
      </c>
      <c r="BN1482" s="2">
        <v>47.24</v>
      </c>
      <c r="BO1482" s="2">
        <v>47.24</v>
      </c>
      <c r="BP1482" s="2"/>
      <c r="BQ1482" s="2" t="s">
        <v>288</v>
      </c>
      <c r="BR1482" s="2" t="s">
        <v>84</v>
      </c>
      <c r="BS1482" s="3">
        <v>42962</v>
      </c>
      <c r="BT1482" s="4">
        <v>0.35416666666666669</v>
      </c>
      <c r="BU1482" s="2" t="s">
        <v>2190</v>
      </c>
      <c r="BV1482" s="2" t="s">
        <v>95</v>
      </c>
      <c r="BW1482" s="2"/>
      <c r="BX1482" s="2"/>
      <c r="BY1482" s="2">
        <v>1200</v>
      </c>
      <c r="BZ1482" s="2"/>
      <c r="CA1482" s="2" t="s">
        <v>638</v>
      </c>
      <c r="CB1482" s="2"/>
      <c r="CC1482" s="2" t="s">
        <v>269</v>
      </c>
      <c r="CD1482" s="2">
        <v>1</v>
      </c>
      <c r="CE1482" s="2" t="s">
        <v>104</v>
      </c>
      <c r="CF1482" s="5">
        <v>42963</v>
      </c>
      <c r="CG1482" s="2"/>
      <c r="CH1482" s="2"/>
      <c r="CI1482" s="2">
        <v>1</v>
      </c>
      <c r="CJ1482" s="2">
        <v>1</v>
      </c>
      <c r="CK1482" s="2">
        <v>21</v>
      </c>
      <c r="CL1482" s="2" t="s">
        <v>86</v>
      </c>
      <c r="CM1482" s="2"/>
    </row>
    <row r="1483" spans="1:91">
      <c r="A1483" s="2" t="s">
        <v>71</v>
      </c>
      <c r="B1483" s="2" t="s">
        <v>72</v>
      </c>
      <c r="C1483" s="2" t="s">
        <v>73</v>
      </c>
      <c r="D1483" s="2"/>
      <c r="E1483" s="2" t="str">
        <f>"FES11625684662"</f>
        <v>FES11625684662</v>
      </c>
      <c r="F1483" s="3">
        <v>42961</v>
      </c>
      <c r="G1483" s="2">
        <v>201802</v>
      </c>
      <c r="H1483" s="2" t="s">
        <v>74</v>
      </c>
      <c r="I1483" s="2" t="s">
        <v>75</v>
      </c>
      <c r="J1483" s="2" t="s">
        <v>76</v>
      </c>
      <c r="K1483" s="2" t="s">
        <v>77</v>
      </c>
      <c r="L1483" s="2" t="s">
        <v>105</v>
      </c>
      <c r="M1483" s="2" t="s">
        <v>106</v>
      </c>
      <c r="N1483" s="2" t="s">
        <v>2191</v>
      </c>
      <c r="O1483" s="2" t="s">
        <v>100</v>
      </c>
      <c r="P1483" s="2" t="str">
        <f>"2170584662                    "</f>
        <v xml:space="preserve">2170584662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7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3.4</v>
      </c>
      <c r="BJ1483" s="2">
        <v>1.5</v>
      </c>
      <c r="BK1483" s="2">
        <v>3.5</v>
      </c>
      <c r="BL1483" s="2">
        <v>72.52</v>
      </c>
      <c r="BM1483" s="2">
        <v>10.15</v>
      </c>
      <c r="BN1483" s="2">
        <v>82.67</v>
      </c>
      <c r="BO1483" s="2">
        <v>82.67</v>
      </c>
      <c r="BP1483" s="2"/>
      <c r="BQ1483" s="2" t="s">
        <v>83</v>
      </c>
      <c r="BR1483" s="2" t="s">
        <v>84</v>
      </c>
      <c r="BS1483" s="3">
        <v>42962</v>
      </c>
      <c r="BT1483" s="4">
        <v>0.38125000000000003</v>
      </c>
      <c r="BU1483" s="2" t="s">
        <v>2192</v>
      </c>
      <c r="BV1483" s="2" t="s">
        <v>95</v>
      </c>
      <c r="BW1483" s="2"/>
      <c r="BX1483" s="2"/>
      <c r="BY1483" s="2">
        <v>7331.15</v>
      </c>
      <c r="BZ1483" s="2"/>
      <c r="CA1483" s="2" t="s">
        <v>654</v>
      </c>
      <c r="CB1483" s="2"/>
      <c r="CC1483" s="2" t="s">
        <v>106</v>
      </c>
      <c r="CD1483" s="2">
        <v>7500</v>
      </c>
      <c r="CE1483" s="2" t="s">
        <v>89</v>
      </c>
      <c r="CF1483" s="5">
        <v>42963</v>
      </c>
      <c r="CG1483" s="2"/>
      <c r="CH1483" s="2"/>
      <c r="CI1483" s="2">
        <v>1</v>
      </c>
      <c r="CJ1483" s="2">
        <v>1</v>
      </c>
      <c r="CK1483" s="2">
        <v>21</v>
      </c>
      <c r="CL1483" s="2" t="s">
        <v>86</v>
      </c>
      <c r="CM1483" s="2"/>
    </row>
    <row r="1484" spans="1:91">
      <c r="A1484" s="2" t="s">
        <v>71</v>
      </c>
      <c r="B1484" s="2" t="s">
        <v>72</v>
      </c>
      <c r="C1484" s="2" t="s">
        <v>73</v>
      </c>
      <c r="D1484" s="2"/>
      <c r="E1484" s="2" t="str">
        <f>"FES1162568689"</f>
        <v>FES1162568689</v>
      </c>
      <c r="F1484" s="3">
        <v>42961</v>
      </c>
      <c r="G1484" s="2">
        <v>201802</v>
      </c>
      <c r="H1484" s="2" t="s">
        <v>74</v>
      </c>
      <c r="I1484" s="2" t="s">
        <v>75</v>
      </c>
      <c r="J1484" s="2" t="s">
        <v>76</v>
      </c>
      <c r="K1484" s="2" t="s">
        <v>77</v>
      </c>
      <c r="L1484" s="2" t="s">
        <v>105</v>
      </c>
      <c r="M1484" s="2" t="s">
        <v>106</v>
      </c>
      <c r="N1484" s="2" t="s">
        <v>486</v>
      </c>
      <c r="O1484" s="2" t="s">
        <v>100</v>
      </c>
      <c r="P1484" s="2" t="str">
        <f>"2170584704                    "</f>
        <v xml:space="preserve">2170584704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4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1</v>
      </c>
      <c r="BJ1484" s="2">
        <v>0.2</v>
      </c>
      <c r="BK1484" s="2">
        <v>1</v>
      </c>
      <c r="BL1484" s="2">
        <v>41.44</v>
      </c>
      <c r="BM1484" s="2">
        <v>5.8</v>
      </c>
      <c r="BN1484" s="2">
        <v>47.24</v>
      </c>
      <c r="BO1484" s="2">
        <v>47.24</v>
      </c>
      <c r="BP1484" s="2"/>
      <c r="BQ1484" s="2" t="s">
        <v>365</v>
      </c>
      <c r="BR1484" s="2" t="s">
        <v>84</v>
      </c>
      <c r="BS1484" s="3">
        <v>42962</v>
      </c>
      <c r="BT1484" s="4">
        <v>0.45833333333333331</v>
      </c>
      <c r="BU1484" s="2" t="s">
        <v>487</v>
      </c>
      <c r="BV1484" s="2" t="s">
        <v>86</v>
      </c>
      <c r="BW1484" s="2" t="s">
        <v>110</v>
      </c>
      <c r="BX1484" s="2" t="s">
        <v>111</v>
      </c>
      <c r="BY1484" s="2">
        <v>1200</v>
      </c>
      <c r="BZ1484" s="2"/>
      <c r="CA1484" s="2" t="s">
        <v>291</v>
      </c>
      <c r="CB1484" s="2"/>
      <c r="CC1484" s="2" t="s">
        <v>106</v>
      </c>
      <c r="CD1484" s="2">
        <v>7441</v>
      </c>
      <c r="CE1484" s="2" t="s">
        <v>104</v>
      </c>
      <c r="CF1484" s="5">
        <v>42963</v>
      </c>
      <c r="CG1484" s="2"/>
      <c r="CH1484" s="2"/>
      <c r="CI1484" s="2">
        <v>1</v>
      </c>
      <c r="CJ1484" s="2">
        <v>1</v>
      </c>
      <c r="CK1484" s="2">
        <v>21</v>
      </c>
      <c r="CL1484" s="2" t="s">
        <v>86</v>
      </c>
      <c r="CM1484" s="2"/>
    </row>
    <row r="1485" spans="1:91">
      <c r="A1485" s="2" t="s">
        <v>71</v>
      </c>
      <c r="B1485" s="2" t="s">
        <v>72</v>
      </c>
      <c r="C1485" s="2" t="s">
        <v>73</v>
      </c>
      <c r="D1485" s="2"/>
      <c r="E1485" s="2" t="str">
        <f>"FES1162568717"</f>
        <v>FES1162568717</v>
      </c>
      <c r="F1485" s="3">
        <v>42961</v>
      </c>
      <c r="G1485" s="2">
        <v>201802</v>
      </c>
      <c r="H1485" s="2" t="s">
        <v>74</v>
      </c>
      <c r="I1485" s="2" t="s">
        <v>75</v>
      </c>
      <c r="J1485" s="2" t="s">
        <v>76</v>
      </c>
      <c r="K1485" s="2" t="s">
        <v>77</v>
      </c>
      <c r="L1485" s="2" t="s">
        <v>841</v>
      </c>
      <c r="M1485" s="2" t="s">
        <v>842</v>
      </c>
      <c r="N1485" s="2" t="s">
        <v>843</v>
      </c>
      <c r="O1485" s="2" t="s">
        <v>100</v>
      </c>
      <c r="P1485" s="2" t="str">
        <f>"2170584744                    "</f>
        <v xml:space="preserve">2170584744           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7.75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1</v>
      </c>
      <c r="BI1485" s="2">
        <v>1</v>
      </c>
      <c r="BJ1485" s="2">
        <v>0.2</v>
      </c>
      <c r="BK1485" s="2">
        <v>1</v>
      </c>
      <c r="BL1485" s="2">
        <v>80.290000000000006</v>
      </c>
      <c r="BM1485" s="2">
        <v>11.24</v>
      </c>
      <c r="BN1485" s="2">
        <v>91.53</v>
      </c>
      <c r="BO1485" s="2">
        <v>91.53</v>
      </c>
      <c r="BP1485" s="2"/>
      <c r="BQ1485" s="2" t="s">
        <v>83</v>
      </c>
      <c r="BR1485" s="2" t="s">
        <v>84</v>
      </c>
      <c r="BS1485" s="3">
        <v>42962</v>
      </c>
      <c r="BT1485" s="4">
        <v>0.59861111111111109</v>
      </c>
      <c r="BU1485" s="2" t="s">
        <v>844</v>
      </c>
      <c r="BV1485" s="2" t="s">
        <v>95</v>
      </c>
      <c r="BW1485" s="2"/>
      <c r="BX1485" s="2"/>
      <c r="BY1485" s="2">
        <v>1200</v>
      </c>
      <c r="BZ1485" s="2"/>
      <c r="CA1485" s="2"/>
      <c r="CB1485" s="2"/>
      <c r="CC1485" s="2" t="s">
        <v>842</v>
      </c>
      <c r="CD1485" s="2">
        <v>3370</v>
      </c>
      <c r="CE1485" s="2" t="s">
        <v>104</v>
      </c>
      <c r="CF1485" s="5">
        <v>42964</v>
      </c>
      <c r="CG1485" s="2"/>
      <c r="CH1485" s="2"/>
      <c r="CI1485" s="2">
        <v>3</v>
      </c>
      <c r="CJ1485" s="2">
        <v>1</v>
      </c>
      <c r="CK1485" s="2">
        <v>23</v>
      </c>
      <c r="CL1485" s="2" t="s">
        <v>86</v>
      </c>
      <c r="CM1485" s="2"/>
    </row>
    <row r="1486" spans="1:91">
      <c r="A1486" s="2" t="s">
        <v>71</v>
      </c>
      <c r="B1486" s="2" t="s">
        <v>72</v>
      </c>
      <c r="C1486" s="2" t="s">
        <v>73</v>
      </c>
      <c r="D1486" s="2"/>
      <c r="E1486" s="2" t="str">
        <f>"FES1162568759"</f>
        <v>FES1162568759</v>
      </c>
      <c r="F1486" s="3">
        <v>42961</v>
      </c>
      <c r="G1486" s="2">
        <v>201802</v>
      </c>
      <c r="H1486" s="2" t="s">
        <v>74</v>
      </c>
      <c r="I1486" s="2" t="s">
        <v>75</v>
      </c>
      <c r="J1486" s="2" t="s">
        <v>76</v>
      </c>
      <c r="K1486" s="2" t="s">
        <v>77</v>
      </c>
      <c r="L1486" s="2" t="s">
        <v>149</v>
      </c>
      <c r="M1486" s="2" t="s">
        <v>150</v>
      </c>
      <c r="N1486" s="2" t="s">
        <v>2193</v>
      </c>
      <c r="O1486" s="2" t="s">
        <v>100</v>
      </c>
      <c r="P1486" s="2" t="str">
        <f>"2170584791                    "</f>
        <v xml:space="preserve">2170584791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4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1</v>
      </c>
      <c r="BI1486" s="2">
        <v>1</v>
      </c>
      <c r="BJ1486" s="2">
        <v>0.2</v>
      </c>
      <c r="BK1486" s="2">
        <v>1</v>
      </c>
      <c r="BL1486" s="2">
        <v>41.44</v>
      </c>
      <c r="BM1486" s="2">
        <v>5.8</v>
      </c>
      <c r="BN1486" s="2">
        <v>47.24</v>
      </c>
      <c r="BO1486" s="2">
        <v>47.24</v>
      </c>
      <c r="BP1486" s="2"/>
      <c r="BQ1486" s="2" t="s">
        <v>108</v>
      </c>
      <c r="BR1486" s="2" t="s">
        <v>84</v>
      </c>
      <c r="BS1486" s="3">
        <v>42962</v>
      </c>
      <c r="BT1486" s="4">
        <v>0.38958333333333334</v>
      </c>
      <c r="BU1486" s="2" t="s">
        <v>2194</v>
      </c>
      <c r="BV1486" s="2" t="s">
        <v>95</v>
      </c>
      <c r="BW1486" s="2"/>
      <c r="BX1486" s="2"/>
      <c r="BY1486" s="2">
        <v>1200</v>
      </c>
      <c r="BZ1486" s="2"/>
      <c r="CA1486" s="2" t="s">
        <v>2195</v>
      </c>
      <c r="CB1486" s="2"/>
      <c r="CC1486" s="2" t="s">
        <v>150</v>
      </c>
      <c r="CD1486" s="2">
        <v>3629</v>
      </c>
      <c r="CE1486" s="2" t="s">
        <v>104</v>
      </c>
      <c r="CF1486" s="5">
        <v>42963</v>
      </c>
      <c r="CG1486" s="2"/>
      <c r="CH1486" s="2"/>
      <c r="CI1486" s="2">
        <v>1</v>
      </c>
      <c r="CJ1486" s="2">
        <v>1</v>
      </c>
      <c r="CK1486" s="2">
        <v>21</v>
      </c>
      <c r="CL1486" s="2" t="s">
        <v>86</v>
      </c>
      <c r="CM1486" s="2"/>
    </row>
    <row r="1487" spans="1:91">
      <c r="A1487" s="2" t="s">
        <v>71</v>
      </c>
      <c r="B1487" s="2" t="s">
        <v>72</v>
      </c>
      <c r="C1487" s="2" t="s">
        <v>73</v>
      </c>
      <c r="D1487" s="2"/>
      <c r="E1487" s="2" t="str">
        <f>"FES1162568760"</f>
        <v>FES1162568760</v>
      </c>
      <c r="F1487" s="3">
        <v>42961</v>
      </c>
      <c r="G1487" s="2">
        <v>201802</v>
      </c>
      <c r="H1487" s="2" t="s">
        <v>74</v>
      </c>
      <c r="I1487" s="2" t="s">
        <v>75</v>
      </c>
      <c r="J1487" s="2" t="s">
        <v>76</v>
      </c>
      <c r="K1487" s="2" t="s">
        <v>77</v>
      </c>
      <c r="L1487" s="2" t="s">
        <v>539</v>
      </c>
      <c r="M1487" s="2" t="s">
        <v>540</v>
      </c>
      <c r="N1487" s="2" t="s">
        <v>541</v>
      </c>
      <c r="O1487" s="2" t="s">
        <v>100</v>
      </c>
      <c r="P1487" s="2" t="str">
        <f>"2170584792                    "</f>
        <v xml:space="preserve">2170584792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3.13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4.3</v>
      </c>
      <c r="BJ1487" s="2">
        <v>1.8</v>
      </c>
      <c r="BK1487" s="2">
        <v>5</v>
      </c>
      <c r="BL1487" s="2">
        <v>32.380000000000003</v>
      </c>
      <c r="BM1487" s="2">
        <v>4.53</v>
      </c>
      <c r="BN1487" s="2">
        <v>36.909999999999997</v>
      </c>
      <c r="BO1487" s="2">
        <v>36.909999999999997</v>
      </c>
      <c r="BP1487" s="2"/>
      <c r="BQ1487" s="2" t="s">
        <v>288</v>
      </c>
      <c r="BR1487" s="2" t="s">
        <v>84</v>
      </c>
      <c r="BS1487" s="3">
        <v>42962</v>
      </c>
      <c r="BT1487" s="4">
        <v>0.38541666666666669</v>
      </c>
      <c r="BU1487" s="2" t="s">
        <v>155</v>
      </c>
      <c r="BV1487" s="2" t="s">
        <v>95</v>
      </c>
      <c r="BW1487" s="2"/>
      <c r="BX1487" s="2"/>
      <c r="BY1487" s="2">
        <v>8912.61</v>
      </c>
      <c r="BZ1487" s="2"/>
      <c r="CA1487" s="2" t="s">
        <v>722</v>
      </c>
      <c r="CB1487" s="2"/>
      <c r="CC1487" s="2" t="s">
        <v>540</v>
      </c>
      <c r="CD1487" s="2">
        <v>2162</v>
      </c>
      <c r="CE1487" s="2" t="s">
        <v>89</v>
      </c>
      <c r="CF1487" s="5">
        <v>42963</v>
      </c>
      <c r="CG1487" s="2"/>
      <c r="CH1487" s="2"/>
      <c r="CI1487" s="2">
        <v>1</v>
      </c>
      <c r="CJ1487" s="2">
        <v>1</v>
      </c>
      <c r="CK1487" s="2">
        <v>22</v>
      </c>
      <c r="CL1487" s="2" t="s">
        <v>86</v>
      </c>
      <c r="CM1487" s="2"/>
    </row>
    <row r="1488" spans="1:91">
      <c r="A1488" s="2" t="s">
        <v>71</v>
      </c>
      <c r="B1488" s="2" t="s">
        <v>72</v>
      </c>
      <c r="C1488" s="2" t="s">
        <v>73</v>
      </c>
      <c r="D1488" s="2"/>
      <c r="E1488" s="2" t="str">
        <f>"FES1162568716"</f>
        <v>FES1162568716</v>
      </c>
      <c r="F1488" s="3">
        <v>42961</v>
      </c>
      <c r="G1488" s="2">
        <v>201802</v>
      </c>
      <c r="H1488" s="2" t="s">
        <v>74</v>
      </c>
      <c r="I1488" s="2" t="s">
        <v>75</v>
      </c>
      <c r="J1488" s="2" t="s">
        <v>76</v>
      </c>
      <c r="K1488" s="2" t="s">
        <v>77</v>
      </c>
      <c r="L1488" s="2" t="s">
        <v>362</v>
      </c>
      <c r="M1488" s="2" t="s">
        <v>363</v>
      </c>
      <c r="N1488" s="2" t="s">
        <v>377</v>
      </c>
      <c r="O1488" s="2" t="s">
        <v>100</v>
      </c>
      <c r="P1488" s="2" t="str">
        <f>"2170584740                    "</f>
        <v xml:space="preserve">2170584740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4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1</v>
      </c>
      <c r="BI1488" s="2">
        <v>1.9</v>
      </c>
      <c r="BJ1488" s="2">
        <v>0.9</v>
      </c>
      <c r="BK1488" s="2">
        <v>2</v>
      </c>
      <c r="BL1488" s="2">
        <v>41.44</v>
      </c>
      <c r="BM1488" s="2">
        <v>5.8</v>
      </c>
      <c r="BN1488" s="2">
        <v>47.24</v>
      </c>
      <c r="BO1488" s="2">
        <v>47.24</v>
      </c>
      <c r="BP1488" s="2"/>
      <c r="BQ1488" s="2" t="s">
        <v>209</v>
      </c>
      <c r="BR1488" s="2" t="s">
        <v>84</v>
      </c>
      <c r="BS1488" s="3">
        <v>42962</v>
      </c>
      <c r="BT1488" s="4">
        <v>0.40277777777777773</v>
      </c>
      <c r="BU1488" s="2" t="s">
        <v>378</v>
      </c>
      <c r="BV1488" s="2" t="s">
        <v>95</v>
      </c>
      <c r="BW1488" s="2"/>
      <c r="BX1488" s="2"/>
      <c r="BY1488" s="2">
        <v>4505.8999999999996</v>
      </c>
      <c r="BZ1488" s="2"/>
      <c r="CA1488" s="2" t="s">
        <v>379</v>
      </c>
      <c r="CB1488" s="2"/>
      <c r="CC1488" s="2" t="s">
        <v>363</v>
      </c>
      <c r="CD1488" s="2">
        <v>3201</v>
      </c>
      <c r="CE1488" s="2" t="s">
        <v>89</v>
      </c>
      <c r="CF1488" s="5">
        <v>42963</v>
      </c>
      <c r="CG1488" s="2"/>
      <c r="CH1488" s="2"/>
      <c r="CI1488" s="2">
        <v>1</v>
      </c>
      <c r="CJ1488" s="2">
        <v>1</v>
      </c>
      <c r="CK1488" s="2">
        <v>21</v>
      </c>
      <c r="CL1488" s="2" t="s">
        <v>86</v>
      </c>
      <c r="CM1488" s="2"/>
    </row>
    <row r="1489" spans="1:91">
      <c r="A1489" s="2" t="s">
        <v>71</v>
      </c>
      <c r="B1489" s="2" t="s">
        <v>72</v>
      </c>
      <c r="C1489" s="2" t="s">
        <v>73</v>
      </c>
      <c r="D1489" s="2"/>
      <c r="E1489" s="2" t="str">
        <f>"FES1162568728"</f>
        <v>FES1162568728</v>
      </c>
      <c r="F1489" s="3">
        <v>42961</v>
      </c>
      <c r="G1489" s="2">
        <v>201802</v>
      </c>
      <c r="H1489" s="2" t="s">
        <v>74</v>
      </c>
      <c r="I1489" s="2" t="s">
        <v>75</v>
      </c>
      <c r="J1489" s="2" t="s">
        <v>76</v>
      </c>
      <c r="K1489" s="2" t="s">
        <v>77</v>
      </c>
      <c r="L1489" s="2" t="s">
        <v>221</v>
      </c>
      <c r="M1489" s="2" t="s">
        <v>222</v>
      </c>
      <c r="N1489" s="2" t="s">
        <v>1275</v>
      </c>
      <c r="O1489" s="2" t="s">
        <v>100</v>
      </c>
      <c r="P1489" s="2" t="str">
        <f>"2170584758                    "</f>
        <v xml:space="preserve">2170584758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4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0.5</v>
      </c>
      <c r="BJ1489" s="2">
        <v>0.9</v>
      </c>
      <c r="BK1489" s="2">
        <v>1</v>
      </c>
      <c r="BL1489" s="2">
        <v>41.44</v>
      </c>
      <c r="BM1489" s="2">
        <v>5.8</v>
      </c>
      <c r="BN1489" s="2">
        <v>47.24</v>
      </c>
      <c r="BO1489" s="2">
        <v>47.24</v>
      </c>
      <c r="BP1489" s="2"/>
      <c r="BQ1489" s="2" t="s">
        <v>288</v>
      </c>
      <c r="BR1489" s="2" t="s">
        <v>84</v>
      </c>
      <c r="BS1489" s="3">
        <v>42962</v>
      </c>
      <c r="BT1489" s="4">
        <v>0.38541666666666669</v>
      </c>
      <c r="BU1489" s="2" t="s">
        <v>2196</v>
      </c>
      <c r="BV1489" s="2" t="s">
        <v>95</v>
      </c>
      <c r="BW1489" s="2"/>
      <c r="BX1489" s="2"/>
      <c r="BY1489" s="2">
        <v>4471.01</v>
      </c>
      <c r="BZ1489" s="2"/>
      <c r="CA1489" s="2" t="s">
        <v>1536</v>
      </c>
      <c r="CB1489" s="2"/>
      <c r="CC1489" s="2" t="s">
        <v>222</v>
      </c>
      <c r="CD1489" s="2">
        <v>4300</v>
      </c>
      <c r="CE1489" s="2" t="s">
        <v>89</v>
      </c>
      <c r="CF1489" s="5">
        <v>42963</v>
      </c>
      <c r="CG1489" s="2"/>
      <c r="CH1489" s="2"/>
      <c r="CI1489" s="2">
        <v>1</v>
      </c>
      <c r="CJ1489" s="2">
        <v>1</v>
      </c>
      <c r="CK1489" s="2">
        <v>21</v>
      </c>
      <c r="CL1489" s="2" t="s">
        <v>86</v>
      </c>
      <c r="CM1489" s="2"/>
    </row>
    <row r="1490" spans="1:91">
      <c r="A1490" s="2" t="s">
        <v>71</v>
      </c>
      <c r="B1490" s="2" t="s">
        <v>72</v>
      </c>
      <c r="C1490" s="2" t="s">
        <v>73</v>
      </c>
      <c r="D1490" s="2"/>
      <c r="E1490" s="2" t="str">
        <f>"FES1162568618"</f>
        <v>FES1162568618</v>
      </c>
      <c r="F1490" s="3">
        <v>42961</v>
      </c>
      <c r="G1490" s="2">
        <v>201802</v>
      </c>
      <c r="H1490" s="2" t="s">
        <v>74</v>
      </c>
      <c r="I1490" s="2" t="s">
        <v>75</v>
      </c>
      <c r="J1490" s="2" t="s">
        <v>76</v>
      </c>
      <c r="K1490" s="2" t="s">
        <v>77</v>
      </c>
      <c r="L1490" s="2" t="s">
        <v>105</v>
      </c>
      <c r="M1490" s="2" t="s">
        <v>106</v>
      </c>
      <c r="N1490" s="2" t="s">
        <v>2197</v>
      </c>
      <c r="O1490" s="2" t="s">
        <v>100</v>
      </c>
      <c r="P1490" s="2" t="str">
        <f>"2170584396                    "</f>
        <v xml:space="preserve">2170584396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38.020000000000003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6.7</v>
      </c>
      <c r="BJ1490" s="2">
        <v>18.600000000000001</v>
      </c>
      <c r="BK1490" s="2">
        <v>19</v>
      </c>
      <c r="BL1490" s="2">
        <v>393.7</v>
      </c>
      <c r="BM1490" s="2">
        <v>55.12</v>
      </c>
      <c r="BN1490" s="2">
        <v>448.82</v>
      </c>
      <c r="BO1490" s="2">
        <v>448.82</v>
      </c>
      <c r="BP1490" s="2"/>
      <c r="BQ1490" s="2" t="s">
        <v>288</v>
      </c>
      <c r="BR1490" s="2" t="s">
        <v>84</v>
      </c>
      <c r="BS1490" s="3">
        <v>42962</v>
      </c>
      <c r="BT1490" s="4">
        <v>0.375</v>
      </c>
      <c r="BU1490" s="2" t="s">
        <v>476</v>
      </c>
      <c r="BV1490" s="2" t="s">
        <v>95</v>
      </c>
      <c r="BW1490" s="2"/>
      <c r="BX1490" s="2"/>
      <c r="BY1490" s="2">
        <v>92821.56</v>
      </c>
      <c r="BZ1490" s="2"/>
      <c r="CA1490" s="2" t="s">
        <v>654</v>
      </c>
      <c r="CB1490" s="2"/>
      <c r="CC1490" s="2" t="s">
        <v>106</v>
      </c>
      <c r="CD1490" s="2">
        <v>7493</v>
      </c>
      <c r="CE1490" s="2" t="s">
        <v>89</v>
      </c>
      <c r="CF1490" s="5">
        <v>42963</v>
      </c>
      <c r="CG1490" s="2"/>
      <c r="CH1490" s="2"/>
      <c r="CI1490" s="2">
        <v>1</v>
      </c>
      <c r="CJ1490" s="2">
        <v>1</v>
      </c>
      <c r="CK1490" s="2">
        <v>21</v>
      </c>
      <c r="CL1490" s="2" t="s">
        <v>86</v>
      </c>
      <c r="CM1490" s="2"/>
    </row>
    <row r="1491" spans="1:91">
      <c r="A1491" s="2" t="s">
        <v>71</v>
      </c>
      <c r="B1491" s="2" t="s">
        <v>72</v>
      </c>
      <c r="C1491" s="2" t="s">
        <v>73</v>
      </c>
      <c r="D1491" s="2"/>
      <c r="E1491" s="2" t="str">
        <f>"FES1162568622"</f>
        <v>FES1162568622</v>
      </c>
      <c r="F1491" s="3">
        <v>42961</v>
      </c>
      <c r="G1491" s="2">
        <v>201802</v>
      </c>
      <c r="H1491" s="2" t="s">
        <v>74</v>
      </c>
      <c r="I1491" s="2" t="s">
        <v>75</v>
      </c>
      <c r="J1491" s="2" t="s">
        <v>76</v>
      </c>
      <c r="K1491" s="2" t="s">
        <v>77</v>
      </c>
      <c r="L1491" s="2" t="s">
        <v>105</v>
      </c>
      <c r="M1491" s="2" t="s">
        <v>106</v>
      </c>
      <c r="N1491" s="2" t="s">
        <v>2078</v>
      </c>
      <c r="O1491" s="2" t="s">
        <v>100</v>
      </c>
      <c r="P1491" s="2" t="str">
        <f>"2170584693                    "</f>
        <v xml:space="preserve">2170584693           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5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2.2000000000000002</v>
      </c>
      <c r="BJ1491" s="2">
        <v>1.8</v>
      </c>
      <c r="BK1491" s="2">
        <v>2.5</v>
      </c>
      <c r="BL1491" s="2">
        <v>51.8</v>
      </c>
      <c r="BM1491" s="2">
        <v>7.25</v>
      </c>
      <c r="BN1491" s="2">
        <v>59.05</v>
      </c>
      <c r="BO1491" s="2">
        <v>59.05</v>
      </c>
      <c r="BP1491" s="2"/>
      <c r="BQ1491" s="2" t="s">
        <v>2198</v>
      </c>
      <c r="BR1491" s="2" t="s">
        <v>84</v>
      </c>
      <c r="BS1491" s="3">
        <v>42962</v>
      </c>
      <c r="BT1491" s="4">
        <v>0.34722222222222227</v>
      </c>
      <c r="BU1491" s="2" t="s">
        <v>2199</v>
      </c>
      <c r="BV1491" s="2" t="s">
        <v>95</v>
      </c>
      <c r="BW1491" s="2"/>
      <c r="BX1491" s="2"/>
      <c r="BY1491" s="2">
        <v>8787.1200000000008</v>
      </c>
      <c r="BZ1491" s="2"/>
      <c r="CA1491" s="2"/>
      <c r="CB1491" s="2"/>
      <c r="CC1491" s="2" t="s">
        <v>106</v>
      </c>
      <c r="CD1491" s="2">
        <v>7530</v>
      </c>
      <c r="CE1491" s="2" t="s">
        <v>89</v>
      </c>
      <c r="CF1491" s="5">
        <v>42963</v>
      </c>
      <c r="CG1491" s="2"/>
      <c r="CH1491" s="2"/>
      <c r="CI1491" s="2">
        <v>1</v>
      </c>
      <c r="CJ1491" s="2">
        <v>1</v>
      </c>
      <c r="CK1491" s="2">
        <v>21</v>
      </c>
      <c r="CL1491" s="2" t="s">
        <v>86</v>
      </c>
      <c r="CM1491" s="2"/>
    </row>
    <row r="1492" spans="1:91">
      <c r="A1492" s="2" t="s">
        <v>71</v>
      </c>
      <c r="B1492" s="2" t="s">
        <v>72</v>
      </c>
      <c r="C1492" s="2" t="s">
        <v>73</v>
      </c>
      <c r="D1492" s="2"/>
      <c r="E1492" s="2" t="str">
        <f>"FES1162568620"</f>
        <v>FES1162568620</v>
      </c>
      <c r="F1492" s="3">
        <v>42961</v>
      </c>
      <c r="G1492" s="2">
        <v>201802</v>
      </c>
      <c r="H1492" s="2" t="s">
        <v>74</v>
      </c>
      <c r="I1492" s="2" t="s">
        <v>75</v>
      </c>
      <c r="J1492" s="2" t="s">
        <v>76</v>
      </c>
      <c r="K1492" s="2" t="s">
        <v>77</v>
      </c>
      <c r="L1492" s="2" t="s">
        <v>105</v>
      </c>
      <c r="M1492" s="2" t="s">
        <v>106</v>
      </c>
      <c r="N1492" s="2" t="s">
        <v>782</v>
      </c>
      <c r="O1492" s="2" t="s">
        <v>100</v>
      </c>
      <c r="P1492" s="2" t="str">
        <f>"2170584670                    "</f>
        <v xml:space="preserve">2170584670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4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1</v>
      </c>
      <c r="BI1492" s="2">
        <v>1.9</v>
      </c>
      <c r="BJ1492" s="2">
        <v>1</v>
      </c>
      <c r="BK1492" s="2">
        <v>2</v>
      </c>
      <c r="BL1492" s="2">
        <v>41.44</v>
      </c>
      <c r="BM1492" s="2">
        <v>5.8</v>
      </c>
      <c r="BN1492" s="2">
        <v>47.24</v>
      </c>
      <c r="BO1492" s="2">
        <v>47.24</v>
      </c>
      <c r="BP1492" s="2"/>
      <c r="BQ1492" s="2" t="s">
        <v>2200</v>
      </c>
      <c r="BR1492" s="2" t="s">
        <v>84</v>
      </c>
      <c r="BS1492" s="3">
        <v>42962</v>
      </c>
      <c r="BT1492" s="4">
        <v>0.44305555555555554</v>
      </c>
      <c r="BU1492" s="2" t="s">
        <v>2201</v>
      </c>
      <c r="BV1492" s="2" t="s">
        <v>95</v>
      </c>
      <c r="BW1492" s="2"/>
      <c r="BX1492" s="2"/>
      <c r="BY1492" s="2">
        <v>5022.42</v>
      </c>
      <c r="BZ1492" s="2"/>
      <c r="CA1492" s="2" t="s">
        <v>784</v>
      </c>
      <c r="CB1492" s="2"/>
      <c r="CC1492" s="2" t="s">
        <v>106</v>
      </c>
      <c r="CD1492" s="2">
        <v>7802</v>
      </c>
      <c r="CE1492" s="2" t="s">
        <v>89</v>
      </c>
      <c r="CF1492" s="5">
        <v>42962</v>
      </c>
      <c r="CG1492" s="2"/>
      <c r="CH1492" s="2"/>
      <c r="CI1492" s="2">
        <v>1</v>
      </c>
      <c r="CJ1492" s="2">
        <v>1</v>
      </c>
      <c r="CK1492" s="2">
        <v>21</v>
      </c>
      <c r="CL1492" s="2" t="s">
        <v>86</v>
      </c>
      <c r="CM1492" s="2"/>
    </row>
    <row r="1493" spans="1:91">
      <c r="A1493" s="2" t="s">
        <v>71</v>
      </c>
      <c r="B1493" s="2" t="s">
        <v>72</v>
      </c>
      <c r="C1493" s="2" t="s">
        <v>73</v>
      </c>
      <c r="D1493" s="2"/>
      <c r="E1493" s="2" t="str">
        <f>"FES1162568564"</f>
        <v>FES1162568564</v>
      </c>
      <c r="F1493" s="3">
        <v>42961</v>
      </c>
      <c r="G1493" s="2">
        <v>201802</v>
      </c>
      <c r="H1493" s="2" t="s">
        <v>74</v>
      </c>
      <c r="I1493" s="2" t="s">
        <v>75</v>
      </c>
      <c r="J1493" s="2" t="s">
        <v>76</v>
      </c>
      <c r="K1493" s="2" t="s">
        <v>77</v>
      </c>
      <c r="L1493" s="2" t="s">
        <v>97</v>
      </c>
      <c r="M1493" s="2" t="s">
        <v>98</v>
      </c>
      <c r="N1493" s="2" t="s">
        <v>292</v>
      </c>
      <c r="O1493" s="2" t="s">
        <v>100</v>
      </c>
      <c r="P1493" s="2" t="str">
        <f>"2170584629                    "</f>
        <v xml:space="preserve">2170584629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5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1</v>
      </c>
      <c r="BI1493" s="2">
        <v>1.3</v>
      </c>
      <c r="BJ1493" s="2">
        <v>2.5</v>
      </c>
      <c r="BK1493" s="2">
        <v>2.5</v>
      </c>
      <c r="BL1493" s="2">
        <v>51.8</v>
      </c>
      <c r="BM1493" s="2">
        <v>7.25</v>
      </c>
      <c r="BN1493" s="2">
        <v>59.05</v>
      </c>
      <c r="BO1493" s="2">
        <v>59.05</v>
      </c>
      <c r="BP1493" s="2"/>
      <c r="BQ1493" s="2" t="s">
        <v>83</v>
      </c>
      <c r="BR1493" s="2" t="s">
        <v>84</v>
      </c>
      <c r="BS1493" s="3">
        <v>42962</v>
      </c>
      <c r="BT1493" s="4">
        <v>0.31944444444444448</v>
      </c>
      <c r="BU1493" s="2" t="s">
        <v>1288</v>
      </c>
      <c r="BV1493" s="2" t="s">
        <v>95</v>
      </c>
      <c r="BW1493" s="2"/>
      <c r="BX1493" s="2"/>
      <c r="BY1493" s="2">
        <v>12631.44</v>
      </c>
      <c r="BZ1493" s="2"/>
      <c r="CA1493" s="2" t="s">
        <v>294</v>
      </c>
      <c r="CB1493" s="2"/>
      <c r="CC1493" s="2" t="s">
        <v>98</v>
      </c>
      <c r="CD1493" s="2">
        <v>6001</v>
      </c>
      <c r="CE1493" s="2" t="s">
        <v>135</v>
      </c>
      <c r="CF1493" s="5">
        <v>42963</v>
      </c>
      <c r="CG1493" s="2"/>
      <c r="CH1493" s="2"/>
      <c r="CI1493" s="2">
        <v>1</v>
      </c>
      <c r="CJ1493" s="2">
        <v>1</v>
      </c>
      <c r="CK1493" s="2">
        <v>21</v>
      </c>
      <c r="CL1493" s="2" t="s">
        <v>86</v>
      </c>
      <c r="CM1493" s="2"/>
    </row>
    <row r="1494" spans="1:91">
      <c r="A1494" s="2" t="s">
        <v>71</v>
      </c>
      <c r="B1494" s="2" t="s">
        <v>72</v>
      </c>
      <c r="C1494" s="2" t="s">
        <v>73</v>
      </c>
      <c r="D1494" s="2"/>
      <c r="E1494" s="2" t="str">
        <f>"FES1162568574"</f>
        <v>FES1162568574</v>
      </c>
      <c r="F1494" s="3">
        <v>42961</v>
      </c>
      <c r="G1494" s="2">
        <v>201802</v>
      </c>
      <c r="H1494" s="2" t="s">
        <v>74</v>
      </c>
      <c r="I1494" s="2" t="s">
        <v>75</v>
      </c>
      <c r="J1494" s="2" t="s">
        <v>76</v>
      </c>
      <c r="K1494" s="2" t="s">
        <v>77</v>
      </c>
      <c r="L1494" s="2" t="s">
        <v>97</v>
      </c>
      <c r="M1494" s="2" t="s">
        <v>98</v>
      </c>
      <c r="N1494" s="2" t="s">
        <v>119</v>
      </c>
      <c r="O1494" s="2" t="s">
        <v>100</v>
      </c>
      <c r="P1494" s="2" t="str">
        <f>"2170584643                    "</f>
        <v xml:space="preserve">2170584643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8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4</v>
      </c>
      <c r="BJ1494" s="2">
        <v>1.8</v>
      </c>
      <c r="BK1494" s="2">
        <v>4</v>
      </c>
      <c r="BL1494" s="2">
        <v>82.88</v>
      </c>
      <c r="BM1494" s="2">
        <v>11.6</v>
      </c>
      <c r="BN1494" s="2">
        <v>94.48</v>
      </c>
      <c r="BO1494" s="2">
        <v>94.48</v>
      </c>
      <c r="BP1494" s="2"/>
      <c r="BQ1494" s="2" t="s">
        <v>108</v>
      </c>
      <c r="BR1494" s="2" t="s">
        <v>84</v>
      </c>
      <c r="BS1494" s="3">
        <v>42962</v>
      </c>
      <c r="BT1494" s="4">
        <v>0.33333333333333331</v>
      </c>
      <c r="BU1494" s="2" t="s">
        <v>212</v>
      </c>
      <c r="BV1494" s="2" t="s">
        <v>95</v>
      </c>
      <c r="BW1494" s="2"/>
      <c r="BX1494" s="2"/>
      <c r="BY1494" s="2">
        <v>8779.14</v>
      </c>
      <c r="BZ1494" s="2"/>
      <c r="CA1494" s="2" t="s">
        <v>213</v>
      </c>
      <c r="CB1494" s="2"/>
      <c r="CC1494" s="2" t="s">
        <v>98</v>
      </c>
      <c r="CD1494" s="2">
        <v>6001</v>
      </c>
      <c r="CE1494" s="2" t="s">
        <v>135</v>
      </c>
      <c r="CF1494" s="5">
        <v>42963</v>
      </c>
      <c r="CG1494" s="2"/>
      <c r="CH1494" s="2"/>
      <c r="CI1494" s="2">
        <v>1</v>
      </c>
      <c r="CJ1494" s="2">
        <v>1</v>
      </c>
      <c r="CK1494" s="2">
        <v>21</v>
      </c>
      <c r="CL1494" s="2" t="s">
        <v>86</v>
      </c>
      <c r="CM1494" s="2"/>
    </row>
    <row r="1495" spans="1:91">
      <c r="A1495" s="2" t="s">
        <v>71</v>
      </c>
      <c r="B1495" s="2" t="s">
        <v>72</v>
      </c>
      <c r="C1495" s="2" t="s">
        <v>73</v>
      </c>
      <c r="D1495" s="2"/>
      <c r="E1495" s="2" t="str">
        <f>"FES1162568562"</f>
        <v>FES1162568562</v>
      </c>
      <c r="F1495" s="3">
        <v>42961</v>
      </c>
      <c r="G1495" s="2">
        <v>201802</v>
      </c>
      <c r="H1495" s="2" t="s">
        <v>74</v>
      </c>
      <c r="I1495" s="2" t="s">
        <v>75</v>
      </c>
      <c r="J1495" s="2" t="s">
        <v>76</v>
      </c>
      <c r="K1495" s="2" t="s">
        <v>77</v>
      </c>
      <c r="L1495" s="2" t="s">
        <v>97</v>
      </c>
      <c r="M1495" s="2" t="s">
        <v>98</v>
      </c>
      <c r="N1495" s="2" t="s">
        <v>214</v>
      </c>
      <c r="O1495" s="2" t="s">
        <v>100</v>
      </c>
      <c r="P1495" s="2" t="str">
        <f>"2170584623                    "</f>
        <v xml:space="preserve">2170584623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8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1</v>
      </c>
      <c r="BI1495" s="2">
        <v>2</v>
      </c>
      <c r="BJ1495" s="2">
        <v>3.6</v>
      </c>
      <c r="BK1495" s="2">
        <v>4</v>
      </c>
      <c r="BL1495" s="2">
        <v>82.88</v>
      </c>
      <c r="BM1495" s="2">
        <v>11.6</v>
      </c>
      <c r="BN1495" s="2">
        <v>94.48</v>
      </c>
      <c r="BO1495" s="2">
        <v>94.48</v>
      </c>
      <c r="BP1495" s="2"/>
      <c r="BQ1495" s="2" t="s">
        <v>108</v>
      </c>
      <c r="BR1495" s="2" t="s">
        <v>84</v>
      </c>
      <c r="BS1495" s="3">
        <v>42962</v>
      </c>
      <c r="BT1495" s="4">
        <v>0.31805555555555554</v>
      </c>
      <c r="BU1495" s="2" t="s">
        <v>215</v>
      </c>
      <c r="BV1495" s="2" t="s">
        <v>95</v>
      </c>
      <c r="BW1495" s="2"/>
      <c r="BX1495" s="2"/>
      <c r="BY1495" s="2">
        <v>17880.91</v>
      </c>
      <c r="BZ1495" s="2"/>
      <c r="CA1495" s="2" t="s">
        <v>213</v>
      </c>
      <c r="CB1495" s="2"/>
      <c r="CC1495" s="2" t="s">
        <v>98</v>
      </c>
      <c r="CD1495" s="2">
        <v>6001</v>
      </c>
      <c r="CE1495" s="2" t="s">
        <v>89</v>
      </c>
      <c r="CF1495" s="5">
        <v>42963</v>
      </c>
      <c r="CG1495" s="2"/>
      <c r="CH1495" s="2"/>
      <c r="CI1495" s="2">
        <v>1</v>
      </c>
      <c r="CJ1495" s="2">
        <v>1</v>
      </c>
      <c r="CK1495" s="2">
        <v>21</v>
      </c>
      <c r="CL1495" s="2" t="s">
        <v>86</v>
      </c>
      <c r="CM1495" s="2"/>
    </row>
    <row r="1496" spans="1:91">
      <c r="A1496" s="2" t="s">
        <v>71</v>
      </c>
      <c r="B1496" s="2" t="s">
        <v>72</v>
      </c>
      <c r="C1496" s="2" t="s">
        <v>73</v>
      </c>
      <c r="D1496" s="2"/>
      <c r="E1496" s="2" t="str">
        <f>"FES1162568557"</f>
        <v>FES1162568557</v>
      </c>
      <c r="F1496" s="3">
        <v>42961</v>
      </c>
      <c r="G1496" s="2">
        <v>201802</v>
      </c>
      <c r="H1496" s="2" t="s">
        <v>74</v>
      </c>
      <c r="I1496" s="2" t="s">
        <v>75</v>
      </c>
      <c r="J1496" s="2" t="s">
        <v>76</v>
      </c>
      <c r="K1496" s="2" t="s">
        <v>77</v>
      </c>
      <c r="L1496" s="2" t="s">
        <v>97</v>
      </c>
      <c r="M1496" s="2" t="s">
        <v>98</v>
      </c>
      <c r="N1496" s="2" t="s">
        <v>292</v>
      </c>
      <c r="O1496" s="2" t="s">
        <v>100</v>
      </c>
      <c r="P1496" s="2" t="str">
        <f>"2170584621                    "</f>
        <v xml:space="preserve">2170584621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9.01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3.6</v>
      </c>
      <c r="BJ1496" s="2">
        <v>4.4000000000000004</v>
      </c>
      <c r="BK1496" s="2">
        <v>4.5</v>
      </c>
      <c r="BL1496" s="2">
        <v>93.25</v>
      </c>
      <c r="BM1496" s="2">
        <v>13.06</v>
      </c>
      <c r="BN1496" s="2">
        <v>106.31</v>
      </c>
      <c r="BO1496" s="2">
        <v>106.31</v>
      </c>
      <c r="BP1496" s="2"/>
      <c r="BQ1496" s="2" t="s">
        <v>83</v>
      </c>
      <c r="BR1496" s="2" t="s">
        <v>84</v>
      </c>
      <c r="BS1496" s="3">
        <v>42962</v>
      </c>
      <c r="BT1496" s="4">
        <v>0.31944444444444448</v>
      </c>
      <c r="BU1496" s="2" t="s">
        <v>1288</v>
      </c>
      <c r="BV1496" s="2" t="s">
        <v>95</v>
      </c>
      <c r="BW1496" s="2"/>
      <c r="BX1496" s="2"/>
      <c r="BY1496" s="2">
        <v>21802.18</v>
      </c>
      <c r="BZ1496" s="2"/>
      <c r="CA1496" s="2" t="s">
        <v>294</v>
      </c>
      <c r="CB1496" s="2"/>
      <c r="CC1496" s="2" t="s">
        <v>98</v>
      </c>
      <c r="CD1496" s="2">
        <v>6001</v>
      </c>
      <c r="CE1496" s="2" t="s">
        <v>89</v>
      </c>
      <c r="CF1496" s="5">
        <v>42963</v>
      </c>
      <c r="CG1496" s="2"/>
      <c r="CH1496" s="2"/>
      <c r="CI1496" s="2">
        <v>1</v>
      </c>
      <c r="CJ1496" s="2">
        <v>1</v>
      </c>
      <c r="CK1496" s="2">
        <v>21</v>
      </c>
      <c r="CL1496" s="2" t="s">
        <v>86</v>
      </c>
      <c r="CM1496" s="2"/>
    </row>
    <row r="1497" spans="1:91">
      <c r="A1497" s="2" t="s">
        <v>71</v>
      </c>
      <c r="B1497" s="2" t="s">
        <v>72</v>
      </c>
      <c r="C1497" s="2" t="s">
        <v>73</v>
      </c>
      <c r="D1497" s="2"/>
      <c r="E1497" s="2" t="str">
        <f>"FES1162568498"</f>
        <v>FES1162568498</v>
      </c>
      <c r="F1497" s="3">
        <v>42961</v>
      </c>
      <c r="G1497" s="2">
        <v>201802</v>
      </c>
      <c r="H1497" s="2" t="s">
        <v>74</v>
      </c>
      <c r="I1497" s="2" t="s">
        <v>75</v>
      </c>
      <c r="J1497" s="2" t="s">
        <v>76</v>
      </c>
      <c r="K1497" s="2" t="s">
        <v>77</v>
      </c>
      <c r="L1497" s="2" t="s">
        <v>470</v>
      </c>
      <c r="M1497" s="2" t="s">
        <v>471</v>
      </c>
      <c r="N1497" s="2" t="s">
        <v>574</v>
      </c>
      <c r="O1497" s="2" t="s">
        <v>100</v>
      </c>
      <c r="P1497" s="2" t="str">
        <f>"2170584587                    "</f>
        <v xml:space="preserve">2170584587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4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1</v>
      </c>
      <c r="BJ1497" s="2">
        <v>0.2</v>
      </c>
      <c r="BK1497" s="2">
        <v>1</v>
      </c>
      <c r="BL1497" s="2">
        <v>41.44</v>
      </c>
      <c r="BM1497" s="2">
        <v>5.8</v>
      </c>
      <c r="BN1497" s="2">
        <v>47.24</v>
      </c>
      <c r="BO1497" s="2">
        <v>47.24</v>
      </c>
      <c r="BP1497" s="2"/>
      <c r="BQ1497" s="2" t="s">
        <v>83</v>
      </c>
      <c r="BR1497" s="2" t="s">
        <v>84</v>
      </c>
      <c r="BS1497" s="3">
        <v>42962</v>
      </c>
      <c r="BT1497" s="4">
        <v>0.43333333333333335</v>
      </c>
      <c r="BU1497" s="2" t="s">
        <v>966</v>
      </c>
      <c r="BV1497" s="2" t="s">
        <v>95</v>
      </c>
      <c r="BW1497" s="2"/>
      <c r="BX1497" s="2"/>
      <c r="BY1497" s="2">
        <v>1200</v>
      </c>
      <c r="BZ1497" s="2"/>
      <c r="CA1497" s="2" t="s">
        <v>703</v>
      </c>
      <c r="CB1497" s="2"/>
      <c r="CC1497" s="2" t="s">
        <v>471</v>
      </c>
      <c r="CD1497" s="2">
        <v>1900</v>
      </c>
      <c r="CE1497" s="2" t="s">
        <v>104</v>
      </c>
      <c r="CF1497" s="5">
        <v>42963</v>
      </c>
      <c r="CG1497" s="2"/>
      <c r="CH1497" s="2"/>
      <c r="CI1497" s="2">
        <v>1</v>
      </c>
      <c r="CJ1497" s="2">
        <v>1</v>
      </c>
      <c r="CK1497" s="2">
        <v>21</v>
      </c>
      <c r="CL1497" s="2" t="s">
        <v>86</v>
      </c>
      <c r="CM1497" s="2"/>
    </row>
    <row r="1498" spans="1:91">
      <c r="A1498" s="2" t="s">
        <v>71</v>
      </c>
      <c r="B1498" s="2" t="s">
        <v>72</v>
      </c>
      <c r="C1498" s="2" t="s">
        <v>73</v>
      </c>
      <c r="D1498" s="2"/>
      <c r="E1498" s="2" t="str">
        <f>"FES1162468556"</f>
        <v>FES1162468556</v>
      </c>
      <c r="F1498" s="3">
        <v>42961</v>
      </c>
      <c r="G1498" s="2">
        <v>201802</v>
      </c>
      <c r="H1498" s="2" t="s">
        <v>74</v>
      </c>
      <c r="I1498" s="2" t="s">
        <v>75</v>
      </c>
      <c r="J1498" s="2" t="s">
        <v>76</v>
      </c>
      <c r="K1498" s="2" t="s">
        <v>77</v>
      </c>
      <c r="L1498" s="2" t="s">
        <v>321</v>
      </c>
      <c r="M1498" s="2" t="s">
        <v>322</v>
      </c>
      <c r="N1498" s="2" t="s">
        <v>1947</v>
      </c>
      <c r="O1498" s="2" t="s">
        <v>100</v>
      </c>
      <c r="P1498" s="2" t="str">
        <f>"2170584620                    "</f>
        <v xml:space="preserve">2170584620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4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1</v>
      </c>
      <c r="BJ1498" s="2">
        <v>0.2</v>
      </c>
      <c r="BK1498" s="2">
        <v>1</v>
      </c>
      <c r="BL1498" s="2">
        <v>41.44</v>
      </c>
      <c r="BM1498" s="2">
        <v>5.8</v>
      </c>
      <c r="BN1498" s="2">
        <v>47.24</v>
      </c>
      <c r="BO1498" s="2">
        <v>47.24</v>
      </c>
      <c r="BP1498" s="2"/>
      <c r="BQ1498" s="2" t="s">
        <v>83</v>
      </c>
      <c r="BR1498" s="2" t="s">
        <v>84</v>
      </c>
      <c r="BS1498" s="3">
        <v>42962</v>
      </c>
      <c r="BT1498" s="4">
        <v>0.51666666666666672</v>
      </c>
      <c r="BU1498" s="2" t="s">
        <v>2202</v>
      </c>
      <c r="BV1498" s="2" t="s">
        <v>86</v>
      </c>
      <c r="BW1498" s="2"/>
      <c r="BX1498" s="2"/>
      <c r="BY1498" s="2">
        <v>1200</v>
      </c>
      <c r="BZ1498" s="2"/>
      <c r="CA1498" s="2" t="s">
        <v>103</v>
      </c>
      <c r="CB1498" s="2"/>
      <c r="CC1498" s="2" t="s">
        <v>322</v>
      </c>
      <c r="CD1498" s="2">
        <v>6220</v>
      </c>
      <c r="CE1498" s="2" t="s">
        <v>104</v>
      </c>
      <c r="CF1498" s="5">
        <v>42962</v>
      </c>
      <c r="CG1498" s="2"/>
      <c r="CH1498" s="2"/>
      <c r="CI1498" s="2">
        <v>1</v>
      </c>
      <c r="CJ1498" s="2">
        <v>1</v>
      </c>
      <c r="CK1498" s="2">
        <v>21</v>
      </c>
      <c r="CL1498" s="2" t="s">
        <v>86</v>
      </c>
      <c r="CM1498" s="2"/>
    </row>
    <row r="1499" spans="1:91">
      <c r="A1499" s="2" t="s">
        <v>71</v>
      </c>
      <c r="B1499" s="2" t="s">
        <v>72</v>
      </c>
      <c r="C1499" s="2" t="s">
        <v>73</v>
      </c>
      <c r="D1499" s="2"/>
      <c r="E1499" s="2" t="str">
        <f>"FES1162568536"</f>
        <v>FES1162568536</v>
      </c>
      <c r="F1499" s="3">
        <v>42961</v>
      </c>
      <c r="G1499" s="2">
        <v>201802</v>
      </c>
      <c r="H1499" s="2" t="s">
        <v>74</v>
      </c>
      <c r="I1499" s="2" t="s">
        <v>75</v>
      </c>
      <c r="J1499" s="2" t="s">
        <v>76</v>
      </c>
      <c r="K1499" s="2" t="s">
        <v>77</v>
      </c>
      <c r="L1499" s="2" t="s">
        <v>97</v>
      </c>
      <c r="M1499" s="2" t="s">
        <v>98</v>
      </c>
      <c r="N1499" s="2" t="s">
        <v>2203</v>
      </c>
      <c r="O1499" s="2" t="s">
        <v>100</v>
      </c>
      <c r="P1499" s="2" t="str">
        <f>"2170582361                    "</f>
        <v xml:space="preserve">2170582361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4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1</v>
      </c>
      <c r="BJ1499" s="2">
        <v>0.2</v>
      </c>
      <c r="BK1499" s="2">
        <v>1</v>
      </c>
      <c r="BL1499" s="2">
        <v>41.44</v>
      </c>
      <c r="BM1499" s="2">
        <v>5.8</v>
      </c>
      <c r="BN1499" s="2">
        <v>47.24</v>
      </c>
      <c r="BO1499" s="2">
        <v>47.24</v>
      </c>
      <c r="BP1499" s="2"/>
      <c r="BQ1499" s="2" t="s">
        <v>83</v>
      </c>
      <c r="BR1499" s="2" t="s">
        <v>84</v>
      </c>
      <c r="BS1499" s="3">
        <v>42962</v>
      </c>
      <c r="BT1499" s="4">
        <v>0.34027777777777773</v>
      </c>
      <c r="BU1499" s="2" t="s">
        <v>2204</v>
      </c>
      <c r="BV1499" s="2" t="s">
        <v>95</v>
      </c>
      <c r="BW1499" s="2"/>
      <c r="BX1499" s="2"/>
      <c r="BY1499" s="2">
        <v>1200</v>
      </c>
      <c r="BZ1499" s="2"/>
      <c r="CA1499" s="2" t="s">
        <v>294</v>
      </c>
      <c r="CB1499" s="2"/>
      <c r="CC1499" s="2" t="s">
        <v>98</v>
      </c>
      <c r="CD1499" s="2">
        <v>6001</v>
      </c>
      <c r="CE1499" s="2" t="s">
        <v>104</v>
      </c>
      <c r="CF1499" s="5">
        <v>42963</v>
      </c>
      <c r="CG1499" s="2"/>
      <c r="CH1499" s="2"/>
      <c r="CI1499" s="2">
        <v>1</v>
      </c>
      <c r="CJ1499" s="2">
        <v>1</v>
      </c>
      <c r="CK1499" s="2">
        <v>21</v>
      </c>
      <c r="CL1499" s="2" t="s">
        <v>86</v>
      </c>
      <c r="CM1499" s="2"/>
    </row>
    <row r="1500" spans="1:91">
      <c r="A1500" s="2" t="s">
        <v>71</v>
      </c>
      <c r="B1500" s="2" t="s">
        <v>72</v>
      </c>
      <c r="C1500" s="2" t="s">
        <v>73</v>
      </c>
      <c r="D1500" s="2"/>
      <c r="E1500" s="2" t="str">
        <f>"FES1162568545"</f>
        <v>FES1162568545</v>
      </c>
      <c r="F1500" s="3">
        <v>42961</v>
      </c>
      <c r="G1500" s="2">
        <v>201802</v>
      </c>
      <c r="H1500" s="2" t="s">
        <v>74</v>
      </c>
      <c r="I1500" s="2" t="s">
        <v>75</v>
      </c>
      <c r="J1500" s="2" t="s">
        <v>76</v>
      </c>
      <c r="K1500" s="2" t="s">
        <v>77</v>
      </c>
      <c r="L1500" s="2" t="s">
        <v>97</v>
      </c>
      <c r="M1500" s="2" t="s">
        <v>98</v>
      </c>
      <c r="N1500" s="2" t="s">
        <v>2205</v>
      </c>
      <c r="O1500" s="2" t="s">
        <v>100</v>
      </c>
      <c r="P1500" s="2" t="str">
        <f>"2170584152                    "</f>
        <v xml:space="preserve">2170584152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4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1</v>
      </c>
      <c r="BJ1500" s="2">
        <v>0.2</v>
      </c>
      <c r="BK1500" s="2">
        <v>1</v>
      </c>
      <c r="BL1500" s="2">
        <v>41.44</v>
      </c>
      <c r="BM1500" s="2">
        <v>5.8</v>
      </c>
      <c r="BN1500" s="2">
        <v>47.24</v>
      </c>
      <c r="BO1500" s="2">
        <v>47.24</v>
      </c>
      <c r="BP1500" s="2"/>
      <c r="BQ1500" s="2" t="s">
        <v>83</v>
      </c>
      <c r="BR1500" s="2" t="s">
        <v>84</v>
      </c>
      <c r="BS1500" s="3">
        <v>42962</v>
      </c>
      <c r="BT1500" s="4">
        <v>0.35069444444444442</v>
      </c>
      <c r="BU1500" s="2" t="s">
        <v>2206</v>
      </c>
      <c r="BV1500" s="2" t="s">
        <v>95</v>
      </c>
      <c r="BW1500" s="2"/>
      <c r="BX1500" s="2"/>
      <c r="BY1500" s="2">
        <v>1200</v>
      </c>
      <c r="BZ1500" s="2"/>
      <c r="CA1500" s="2" t="s">
        <v>213</v>
      </c>
      <c r="CB1500" s="2"/>
      <c r="CC1500" s="2" t="s">
        <v>98</v>
      </c>
      <c r="CD1500" s="2">
        <v>6001</v>
      </c>
      <c r="CE1500" s="2" t="s">
        <v>104</v>
      </c>
      <c r="CF1500" s="5">
        <v>42963</v>
      </c>
      <c r="CG1500" s="2"/>
      <c r="CH1500" s="2"/>
      <c r="CI1500" s="2">
        <v>1</v>
      </c>
      <c r="CJ1500" s="2">
        <v>1</v>
      </c>
      <c r="CK1500" s="2">
        <v>21</v>
      </c>
      <c r="CL1500" s="2" t="s">
        <v>86</v>
      </c>
      <c r="CM1500" s="2"/>
    </row>
    <row r="1501" spans="1:91">
      <c r="A1501" s="2" t="s">
        <v>71</v>
      </c>
      <c r="B1501" s="2" t="s">
        <v>72</v>
      </c>
      <c r="C1501" s="2" t="s">
        <v>73</v>
      </c>
      <c r="D1501" s="2"/>
      <c r="E1501" s="2" t="str">
        <f>"FES1162568516"</f>
        <v>FES1162568516</v>
      </c>
      <c r="F1501" s="3">
        <v>42961</v>
      </c>
      <c r="G1501" s="2">
        <v>201802</v>
      </c>
      <c r="H1501" s="2" t="s">
        <v>74</v>
      </c>
      <c r="I1501" s="2" t="s">
        <v>75</v>
      </c>
      <c r="J1501" s="2" t="s">
        <v>76</v>
      </c>
      <c r="K1501" s="2" t="s">
        <v>77</v>
      </c>
      <c r="L1501" s="2" t="s">
        <v>268</v>
      </c>
      <c r="M1501" s="2" t="s">
        <v>269</v>
      </c>
      <c r="N1501" s="2" t="s">
        <v>2207</v>
      </c>
      <c r="O1501" s="2" t="s">
        <v>100</v>
      </c>
      <c r="P1501" s="2" t="str">
        <f>"2170584606                    "</f>
        <v xml:space="preserve">2170584606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4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1</v>
      </c>
      <c r="BJ1501" s="2">
        <v>0.2</v>
      </c>
      <c r="BK1501" s="2">
        <v>1</v>
      </c>
      <c r="BL1501" s="2">
        <v>41.44</v>
      </c>
      <c r="BM1501" s="2">
        <v>5.8</v>
      </c>
      <c r="BN1501" s="2">
        <v>47.24</v>
      </c>
      <c r="BO1501" s="2">
        <v>47.24</v>
      </c>
      <c r="BP1501" s="2"/>
      <c r="BQ1501" s="2" t="s">
        <v>83</v>
      </c>
      <c r="BR1501" s="2" t="s">
        <v>84</v>
      </c>
      <c r="BS1501" s="3">
        <v>42962</v>
      </c>
      <c r="BT1501" s="4">
        <v>0.47569444444444442</v>
      </c>
      <c r="BU1501" s="2" t="s">
        <v>2208</v>
      </c>
      <c r="BV1501" s="2" t="s">
        <v>86</v>
      </c>
      <c r="BW1501" s="2" t="s">
        <v>110</v>
      </c>
      <c r="BX1501" s="2" t="s">
        <v>623</v>
      </c>
      <c r="BY1501" s="2">
        <v>1200</v>
      </c>
      <c r="BZ1501" s="2"/>
      <c r="CA1501" s="2" t="s">
        <v>272</v>
      </c>
      <c r="CB1501" s="2"/>
      <c r="CC1501" s="2" t="s">
        <v>269</v>
      </c>
      <c r="CD1501" s="2">
        <v>200</v>
      </c>
      <c r="CE1501" s="2" t="s">
        <v>104</v>
      </c>
      <c r="CF1501" s="5">
        <v>42963</v>
      </c>
      <c r="CG1501" s="2"/>
      <c r="CH1501" s="2"/>
      <c r="CI1501" s="2">
        <v>1</v>
      </c>
      <c r="CJ1501" s="2">
        <v>1</v>
      </c>
      <c r="CK1501" s="2">
        <v>21</v>
      </c>
      <c r="CL1501" s="2" t="s">
        <v>86</v>
      </c>
      <c r="CM1501" s="2"/>
    </row>
    <row r="1502" spans="1:91">
      <c r="A1502" s="2" t="s">
        <v>71</v>
      </c>
      <c r="B1502" s="2" t="s">
        <v>72</v>
      </c>
      <c r="C1502" s="2" t="s">
        <v>73</v>
      </c>
      <c r="D1502" s="2"/>
      <c r="E1502" s="2" t="str">
        <f>"FES1162568544"</f>
        <v>FES1162568544</v>
      </c>
      <c r="F1502" s="3">
        <v>42961</v>
      </c>
      <c r="G1502" s="2">
        <v>201802</v>
      </c>
      <c r="H1502" s="2" t="s">
        <v>74</v>
      </c>
      <c r="I1502" s="2" t="s">
        <v>75</v>
      </c>
      <c r="J1502" s="2" t="s">
        <v>76</v>
      </c>
      <c r="K1502" s="2" t="s">
        <v>77</v>
      </c>
      <c r="L1502" s="2" t="s">
        <v>268</v>
      </c>
      <c r="M1502" s="2" t="s">
        <v>269</v>
      </c>
      <c r="N1502" s="2" t="s">
        <v>351</v>
      </c>
      <c r="O1502" s="2" t="s">
        <v>100</v>
      </c>
      <c r="P1502" s="2" t="str">
        <f>"2170584126                    "</f>
        <v xml:space="preserve">2170584126 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4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1</v>
      </c>
      <c r="BJ1502" s="2">
        <v>0.2</v>
      </c>
      <c r="BK1502" s="2">
        <v>1</v>
      </c>
      <c r="BL1502" s="2">
        <v>41.44</v>
      </c>
      <c r="BM1502" s="2">
        <v>5.8</v>
      </c>
      <c r="BN1502" s="2">
        <v>47.24</v>
      </c>
      <c r="BO1502" s="2">
        <v>47.24</v>
      </c>
      <c r="BP1502" s="2"/>
      <c r="BQ1502" s="2" t="s">
        <v>108</v>
      </c>
      <c r="BR1502" s="2" t="s">
        <v>84</v>
      </c>
      <c r="BS1502" s="3">
        <v>42962</v>
      </c>
      <c r="BT1502" s="4">
        <v>0.47222222222222227</v>
      </c>
      <c r="BU1502" s="2" t="s">
        <v>1136</v>
      </c>
      <c r="BV1502" s="2" t="s">
        <v>86</v>
      </c>
      <c r="BW1502" s="2" t="s">
        <v>110</v>
      </c>
      <c r="BX1502" s="2" t="s">
        <v>623</v>
      </c>
      <c r="BY1502" s="2">
        <v>1200</v>
      </c>
      <c r="BZ1502" s="2"/>
      <c r="CA1502" s="2" t="s">
        <v>272</v>
      </c>
      <c r="CB1502" s="2"/>
      <c r="CC1502" s="2" t="s">
        <v>269</v>
      </c>
      <c r="CD1502" s="2">
        <v>200</v>
      </c>
      <c r="CE1502" s="2" t="s">
        <v>104</v>
      </c>
      <c r="CF1502" s="5">
        <v>42963</v>
      </c>
      <c r="CG1502" s="2"/>
      <c r="CH1502" s="2"/>
      <c r="CI1502" s="2">
        <v>1</v>
      </c>
      <c r="CJ1502" s="2">
        <v>1</v>
      </c>
      <c r="CK1502" s="2">
        <v>21</v>
      </c>
      <c r="CL1502" s="2" t="s">
        <v>86</v>
      </c>
      <c r="CM1502" s="2"/>
    </row>
    <row r="1503" spans="1:91">
      <c r="A1503" s="2" t="s">
        <v>71</v>
      </c>
      <c r="B1503" s="2" t="s">
        <v>72</v>
      </c>
      <c r="C1503" s="2" t="s">
        <v>73</v>
      </c>
      <c r="D1503" s="2"/>
      <c r="E1503" s="2" t="str">
        <f>"FES1162568554"</f>
        <v>FES1162568554</v>
      </c>
      <c r="F1503" s="3">
        <v>42961</v>
      </c>
      <c r="G1503" s="2">
        <v>201802</v>
      </c>
      <c r="H1503" s="2" t="s">
        <v>74</v>
      </c>
      <c r="I1503" s="2" t="s">
        <v>75</v>
      </c>
      <c r="J1503" s="2" t="s">
        <v>76</v>
      </c>
      <c r="K1503" s="2" t="s">
        <v>77</v>
      </c>
      <c r="L1503" s="2" t="s">
        <v>470</v>
      </c>
      <c r="M1503" s="2" t="s">
        <v>471</v>
      </c>
      <c r="N1503" s="2" t="s">
        <v>2209</v>
      </c>
      <c r="O1503" s="2" t="s">
        <v>100</v>
      </c>
      <c r="P1503" s="2" t="str">
        <f>"2170584540                    "</f>
        <v xml:space="preserve">2170584540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4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1</v>
      </c>
      <c r="BJ1503" s="2">
        <v>0.2</v>
      </c>
      <c r="BK1503" s="2">
        <v>1</v>
      </c>
      <c r="BL1503" s="2">
        <v>41.44</v>
      </c>
      <c r="BM1503" s="2">
        <v>5.8</v>
      </c>
      <c r="BN1503" s="2">
        <v>47.24</v>
      </c>
      <c r="BO1503" s="2">
        <v>47.24</v>
      </c>
      <c r="BP1503" s="2"/>
      <c r="BQ1503" s="2" t="s">
        <v>83</v>
      </c>
      <c r="BR1503" s="2" t="s">
        <v>84</v>
      </c>
      <c r="BS1503" s="3">
        <v>42962</v>
      </c>
      <c r="BT1503" s="4">
        <v>0.36249999999999999</v>
      </c>
      <c r="BU1503" s="2" t="s">
        <v>990</v>
      </c>
      <c r="BV1503" s="2" t="s">
        <v>95</v>
      </c>
      <c r="BW1503" s="2"/>
      <c r="BX1503" s="2"/>
      <c r="BY1503" s="2">
        <v>1200</v>
      </c>
      <c r="BZ1503" s="2"/>
      <c r="CA1503" s="2" t="s">
        <v>703</v>
      </c>
      <c r="CB1503" s="2"/>
      <c r="CC1503" s="2" t="s">
        <v>471</v>
      </c>
      <c r="CD1503" s="2">
        <v>1900</v>
      </c>
      <c r="CE1503" s="2" t="s">
        <v>104</v>
      </c>
      <c r="CF1503" s="5">
        <v>42963</v>
      </c>
      <c r="CG1503" s="2"/>
      <c r="CH1503" s="2"/>
      <c r="CI1503" s="2">
        <v>1</v>
      </c>
      <c r="CJ1503" s="2">
        <v>1</v>
      </c>
      <c r="CK1503" s="2">
        <v>21</v>
      </c>
      <c r="CL1503" s="2" t="s">
        <v>86</v>
      </c>
      <c r="CM1503" s="2"/>
    </row>
    <row r="1504" spans="1:91">
      <c r="A1504" s="2" t="s">
        <v>71</v>
      </c>
      <c r="B1504" s="2" t="s">
        <v>72</v>
      </c>
      <c r="C1504" s="2" t="s">
        <v>73</v>
      </c>
      <c r="D1504" s="2"/>
      <c r="E1504" s="2" t="str">
        <f>"FES1162568537"</f>
        <v>FES1162568537</v>
      </c>
      <c r="F1504" s="3">
        <v>42961</v>
      </c>
      <c r="G1504" s="2">
        <v>201802</v>
      </c>
      <c r="H1504" s="2" t="s">
        <v>74</v>
      </c>
      <c r="I1504" s="2" t="s">
        <v>75</v>
      </c>
      <c r="J1504" s="2" t="s">
        <v>76</v>
      </c>
      <c r="K1504" s="2" t="s">
        <v>77</v>
      </c>
      <c r="L1504" s="2" t="s">
        <v>105</v>
      </c>
      <c r="M1504" s="2" t="s">
        <v>106</v>
      </c>
      <c r="N1504" s="2" t="s">
        <v>260</v>
      </c>
      <c r="O1504" s="2" t="s">
        <v>100</v>
      </c>
      <c r="P1504" s="2" t="str">
        <f>"2170582592                    "</f>
        <v xml:space="preserve">2170582592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4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1</v>
      </c>
      <c r="BI1504" s="2">
        <v>1</v>
      </c>
      <c r="BJ1504" s="2">
        <v>0.2</v>
      </c>
      <c r="BK1504" s="2">
        <v>1</v>
      </c>
      <c r="BL1504" s="2">
        <v>41.44</v>
      </c>
      <c r="BM1504" s="2">
        <v>5.8</v>
      </c>
      <c r="BN1504" s="2">
        <v>47.24</v>
      </c>
      <c r="BO1504" s="2">
        <v>47.24</v>
      </c>
      <c r="BP1504" s="2"/>
      <c r="BQ1504" s="2" t="s">
        <v>83</v>
      </c>
      <c r="BR1504" s="2" t="s">
        <v>84</v>
      </c>
      <c r="BS1504" s="3">
        <v>42962</v>
      </c>
      <c r="BT1504" s="4">
        <v>0.47361111111111115</v>
      </c>
      <c r="BU1504" s="2" t="s">
        <v>2210</v>
      </c>
      <c r="BV1504" s="2" t="s">
        <v>86</v>
      </c>
      <c r="BW1504" s="2" t="s">
        <v>124</v>
      </c>
      <c r="BX1504" s="2" t="s">
        <v>853</v>
      </c>
      <c r="BY1504" s="2">
        <v>1200</v>
      </c>
      <c r="BZ1504" s="2"/>
      <c r="CA1504" s="2" t="s">
        <v>654</v>
      </c>
      <c r="CB1504" s="2"/>
      <c r="CC1504" s="2" t="s">
        <v>106</v>
      </c>
      <c r="CD1504" s="2">
        <v>7490</v>
      </c>
      <c r="CE1504" s="2" t="s">
        <v>104</v>
      </c>
      <c r="CF1504" s="5">
        <v>42963</v>
      </c>
      <c r="CG1504" s="2"/>
      <c r="CH1504" s="2"/>
      <c r="CI1504" s="2">
        <v>1</v>
      </c>
      <c r="CJ1504" s="2">
        <v>1</v>
      </c>
      <c r="CK1504" s="2">
        <v>21</v>
      </c>
      <c r="CL1504" s="2" t="s">
        <v>86</v>
      </c>
      <c r="CM1504" s="2"/>
    </row>
    <row r="1505" spans="1:91">
      <c r="A1505" s="2" t="s">
        <v>71</v>
      </c>
      <c r="B1505" s="2" t="s">
        <v>72</v>
      </c>
      <c r="C1505" s="2" t="s">
        <v>73</v>
      </c>
      <c r="D1505" s="2"/>
      <c r="E1505" s="2" t="str">
        <f>"FES1162568522"</f>
        <v>FES1162568522</v>
      </c>
      <c r="F1505" s="3">
        <v>42961</v>
      </c>
      <c r="G1505" s="2">
        <v>201802</v>
      </c>
      <c r="H1505" s="2" t="s">
        <v>74</v>
      </c>
      <c r="I1505" s="2" t="s">
        <v>75</v>
      </c>
      <c r="J1505" s="2" t="s">
        <v>76</v>
      </c>
      <c r="K1505" s="2" t="s">
        <v>77</v>
      </c>
      <c r="L1505" s="2" t="s">
        <v>105</v>
      </c>
      <c r="M1505" s="2" t="s">
        <v>106</v>
      </c>
      <c r="N1505" s="2" t="s">
        <v>660</v>
      </c>
      <c r="O1505" s="2" t="s">
        <v>100</v>
      </c>
      <c r="P1505" s="2" t="str">
        <f>"2170584610                    "</f>
        <v xml:space="preserve">2170584610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4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1</v>
      </c>
      <c r="BJ1505" s="2">
        <v>0.2</v>
      </c>
      <c r="BK1505" s="2">
        <v>1</v>
      </c>
      <c r="BL1505" s="2">
        <v>41.44</v>
      </c>
      <c r="BM1505" s="2">
        <v>5.8</v>
      </c>
      <c r="BN1505" s="2">
        <v>47.24</v>
      </c>
      <c r="BO1505" s="2">
        <v>47.24</v>
      </c>
      <c r="BP1505" s="2"/>
      <c r="BQ1505" s="2" t="s">
        <v>83</v>
      </c>
      <c r="BR1505" s="2" t="s">
        <v>84</v>
      </c>
      <c r="BS1505" s="3">
        <v>42962</v>
      </c>
      <c r="BT1505" s="4">
        <v>0.35416666666666669</v>
      </c>
      <c r="BU1505" s="2" t="s">
        <v>662</v>
      </c>
      <c r="BV1505" s="2" t="s">
        <v>95</v>
      </c>
      <c r="BW1505" s="2"/>
      <c r="BX1505" s="2"/>
      <c r="BY1505" s="2">
        <v>1200</v>
      </c>
      <c r="BZ1505" s="2"/>
      <c r="CA1505" s="2" t="s">
        <v>663</v>
      </c>
      <c r="CB1505" s="2"/>
      <c r="CC1505" s="2" t="s">
        <v>106</v>
      </c>
      <c r="CD1505" s="2">
        <v>7500</v>
      </c>
      <c r="CE1505" s="2" t="s">
        <v>104</v>
      </c>
      <c r="CF1505" s="5">
        <v>42963</v>
      </c>
      <c r="CG1505" s="2"/>
      <c r="CH1505" s="2"/>
      <c r="CI1505" s="2">
        <v>1</v>
      </c>
      <c r="CJ1505" s="2">
        <v>1</v>
      </c>
      <c r="CK1505" s="2">
        <v>21</v>
      </c>
      <c r="CL1505" s="2" t="s">
        <v>86</v>
      </c>
      <c r="CM1505" s="2"/>
    </row>
    <row r="1506" spans="1:91">
      <c r="A1506" s="2" t="s">
        <v>71</v>
      </c>
      <c r="B1506" s="2" t="s">
        <v>72</v>
      </c>
      <c r="C1506" s="2" t="s">
        <v>73</v>
      </c>
      <c r="D1506" s="2"/>
      <c r="E1506" s="2" t="str">
        <f>"FES1162568553"</f>
        <v>FES1162568553</v>
      </c>
      <c r="F1506" s="3">
        <v>42961</v>
      </c>
      <c r="G1506" s="2">
        <v>201802</v>
      </c>
      <c r="H1506" s="2" t="s">
        <v>74</v>
      </c>
      <c r="I1506" s="2" t="s">
        <v>75</v>
      </c>
      <c r="J1506" s="2" t="s">
        <v>76</v>
      </c>
      <c r="K1506" s="2" t="s">
        <v>77</v>
      </c>
      <c r="L1506" s="2" t="s">
        <v>846</v>
      </c>
      <c r="M1506" s="2" t="s">
        <v>847</v>
      </c>
      <c r="N1506" s="2" t="s">
        <v>848</v>
      </c>
      <c r="O1506" s="2" t="s">
        <v>100</v>
      </c>
      <c r="P1506" s="2" t="str">
        <f>"2170584477                    "</f>
        <v xml:space="preserve">2170584477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7.75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1</v>
      </c>
      <c r="BJ1506" s="2">
        <v>0.2</v>
      </c>
      <c r="BK1506" s="2">
        <v>1</v>
      </c>
      <c r="BL1506" s="2">
        <v>80.290000000000006</v>
      </c>
      <c r="BM1506" s="2">
        <v>11.24</v>
      </c>
      <c r="BN1506" s="2">
        <v>91.53</v>
      </c>
      <c r="BO1506" s="2">
        <v>91.53</v>
      </c>
      <c r="BP1506" s="2"/>
      <c r="BQ1506" s="2" t="s">
        <v>83</v>
      </c>
      <c r="BR1506" s="2" t="s">
        <v>84</v>
      </c>
      <c r="BS1506" s="3">
        <v>42962</v>
      </c>
      <c r="BT1506" s="4">
        <v>0.54722222222222217</v>
      </c>
      <c r="BU1506" s="2" t="s">
        <v>2211</v>
      </c>
      <c r="BV1506" s="2" t="s">
        <v>95</v>
      </c>
      <c r="BW1506" s="2"/>
      <c r="BX1506" s="2"/>
      <c r="BY1506" s="2">
        <v>1200</v>
      </c>
      <c r="BZ1506" s="2"/>
      <c r="CA1506" s="2" t="s">
        <v>850</v>
      </c>
      <c r="CB1506" s="2"/>
      <c r="CC1506" s="2" t="s">
        <v>847</v>
      </c>
      <c r="CD1506" s="2">
        <v>7349</v>
      </c>
      <c r="CE1506" s="2" t="s">
        <v>104</v>
      </c>
      <c r="CF1506" s="5">
        <v>42963</v>
      </c>
      <c r="CG1506" s="2"/>
      <c r="CH1506" s="2"/>
      <c r="CI1506" s="2">
        <v>1</v>
      </c>
      <c r="CJ1506" s="2">
        <v>1</v>
      </c>
      <c r="CK1506" s="2">
        <v>23</v>
      </c>
      <c r="CL1506" s="2" t="s">
        <v>86</v>
      </c>
      <c r="CM1506" s="2"/>
    </row>
    <row r="1507" spans="1:91">
      <c r="A1507" s="2" t="s">
        <v>71</v>
      </c>
      <c r="B1507" s="2" t="s">
        <v>72</v>
      </c>
      <c r="C1507" s="2" t="s">
        <v>73</v>
      </c>
      <c r="D1507" s="2"/>
      <c r="E1507" s="2" t="str">
        <f>"FES1162568568"</f>
        <v>FES1162568568</v>
      </c>
      <c r="F1507" s="3">
        <v>42961</v>
      </c>
      <c r="G1507" s="2">
        <v>201802</v>
      </c>
      <c r="H1507" s="2" t="s">
        <v>74</v>
      </c>
      <c r="I1507" s="2" t="s">
        <v>75</v>
      </c>
      <c r="J1507" s="2" t="s">
        <v>76</v>
      </c>
      <c r="K1507" s="2" t="s">
        <v>77</v>
      </c>
      <c r="L1507" s="2" t="s">
        <v>339</v>
      </c>
      <c r="M1507" s="2" t="s">
        <v>340</v>
      </c>
      <c r="N1507" s="2" t="s">
        <v>613</v>
      </c>
      <c r="O1507" s="2" t="s">
        <v>100</v>
      </c>
      <c r="P1507" s="2" t="str">
        <f>"2170584632                    "</f>
        <v xml:space="preserve">2170584632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4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1</v>
      </c>
      <c r="BJ1507" s="2">
        <v>0.2</v>
      </c>
      <c r="BK1507" s="2">
        <v>1</v>
      </c>
      <c r="BL1507" s="2">
        <v>41.44</v>
      </c>
      <c r="BM1507" s="2">
        <v>5.8</v>
      </c>
      <c r="BN1507" s="2">
        <v>47.24</v>
      </c>
      <c r="BO1507" s="2">
        <v>47.24</v>
      </c>
      <c r="BP1507" s="2"/>
      <c r="BQ1507" s="2" t="s">
        <v>83</v>
      </c>
      <c r="BR1507" s="2" t="s">
        <v>84</v>
      </c>
      <c r="BS1507" s="3">
        <v>42962</v>
      </c>
      <c r="BT1507" s="4">
        <v>0.52430555555555558</v>
      </c>
      <c r="BU1507" s="2" t="s">
        <v>2212</v>
      </c>
      <c r="BV1507" s="2" t="s">
        <v>86</v>
      </c>
      <c r="BW1507" s="2"/>
      <c r="BX1507" s="2"/>
      <c r="BY1507" s="2">
        <v>1200</v>
      </c>
      <c r="BZ1507" s="2"/>
      <c r="CA1507" s="2"/>
      <c r="CB1507" s="2"/>
      <c r="CC1507" s="2" t="s">
        <v>340</v>
      </c>
      <c r="CD1507" s="2">
        <v>1947</v>
      </c>
      <c r="CE1507" s="2" t="s">
        <v>104</v>
      </c>
      <c r="CF1507" s="5">
        <v>42963</v>
      </c>
      <c r="CG1507" s="2"/>
      <c r="CH1507" s="2"/>
      <c r="CI1507" s="2">
        <v>1</v>
      </c>
      <c r="CJ1507" s="2">
        <v>1</v>
      </c>
      <c r="CK1507" s="2">
        <v>21</v>
      </c>
      <c r="CL1507" s="2" t="s">
        <v>86</v>
      </c>
      <c r="CM1507" s="2"/>
    </row>
    <row r="1508" spans="1:91">
      <c r="A1508" s="2" t="s">
        <v>71</v>
      </c>
      <c r="B1508" s="2" t="s">
        <v>72</v>
      </c>
      <c r="C1508" s="2" t="s">
        <v>73</v>
      </c>
      <c r="D1508" s="2"/>
      <c r="E1508" s="2" t="str">
        <f>"FES1162568512"</f>
        <v>FES1162568512</v>
      </c>
      <c r="F1508" s="3">
        <v>42961</v>
      </c>
      <c r="G1508" s="2">
        <v>201802</v>
      </c>
      <c r="H1508" s="2" t="s">
        <v>74</v>
      </c>
      <c r="I1508" s="2" t="s">
        <v>75</v>
      </c>
      <c r="J1508" s="2" t="s">
        <v>76</v>
      </c>
      <c r="K1508" s="2" t="s">
        <v>77</v>
      </c>
      <c r="L1508" s="2" t="s">
        <v>539</v>
      </c>
      <c r="M1508" s="2" t="s">
        <v>540</v>
      </c>
      <c r="N1508" s="2" t="s">
        <v>1633</v>
      </c>
      <c r="O1508" s="2" t="s">
        <v>100</v>
      </c>
      <c r="P1508" s="2" t="str">
        <f>"2170584565                    "</f>
        <v xml:space="preserve">2170584565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3.13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1</v>
      </c>
      <c r="BI1508" s="2">
        <v>1</v>
      </c>
      <c r="BJ1508" s="2">
        <v>0.2</v>
      </c>
      <c r="BK1508" s="2">
        <v>1</v>
      </c>
      <c r="BL1508" s="2">
        <v>32.380000000000003</v>
      </c>
      <c r="BM1508" s="2">
        <v>4.53</v>
      </c>
      <c r="BN1508" s="2">
        <v>36.909999999999997</v>
      </c>
      <c r="BO1508" s="2">
        <v>36.909999999999997</v>
      </c>
      <c r="BP1508" s="2"/>
      <c r="BQ1508" s="2" t="s">
        <v>83</v>
      </c>
      <c r="BR1508" s="2" t="s">
        <v>84</v>
      </c>
      <c r="BS1508" s="3">
        <v>42962</v>
      </c>
      <c r="BT1508" s="4">
        <v>0.46527777777777773</v>
      </c>
      <c r="BU1508" s="2" t="s">
        <v>1634</v>
      </c>
      <c r="BV1508" s="2" t="s">
        <v>86</v>
      </c>
      <c r="BW1508" s="2" t="s">
        <v>110</v>
      </c>
      <c r="BX1508" s="2" t="s">
        <v>498</v>
      </c>
      <c r="BY1508" s="2">
        <v>1200</v>
      </c>
      <c r="BZ1508" s="2"/>
      <c r="CA1508" s="2" t="s">
        <v>722</v>
      </c>
      <c r="CB1508" s="2"/>
      <c r="CC1508" s="2" t="s">
        <v>540</v>
      </c>
      <c r="CD1508" s="2">
        <v>2170</v>
      </c>
      <c r="CE1508" s="2" t="s">
        <v>104</v>
      </c>
      <c r="CF1508" s="5">
        <v>42963</v>
      </c>
      <c r="CG1508" s="2"/>
      <c r="CH1508" s="2"/>
      <c r="CI1508" s="2">
        <v>1</v>
      </c>
      <c r="CJ1508" s="2">
        <v>1</v>
      </c>
      <c r="CK1508" s="2">
        <v>22</v>
      </c>
      <c r="CL1508" s="2" t="s">
        <v>86</v>
      </c>
      <c r="CM1508" s="2"/>
    </row>
    <row r="1509" spans="1:91">
      <c r="A1509" s="2" t="s">
        <v>71</v>
      </c>
      <c r="B1509" s="2" t="s">
        <v>72</v>
      </c>
      <c r="C1509" s="2" t="s">
        <v>73</v>
      </c>
      <c r="D1509" s="2"/>
      <c r="E1509" s="2" t="str">
        <f>"FES1162568548"</f>
        <v>FES1162568548</v>
      </c>
      <c r="F1509" s="3">
        <v>42961</v>
      </c>
      <c r="G1509" s="2">
        <v>201802</v>
      </c>
      <c r="H1509" s="2" t="s">
        <v>74</v>
      </c>
      <c r="I1509" s="2" t="s">
        <v>75</v>
      </c>
      <c r="J1509" s="2" t="s">
        <v>76</v>
      </c>
      <c r="K1509" s="2" t="s">
        <v>77</v>
      </c>
      <c r="L1509" s="2" t="s">
        <v>216</v>
      </c>
      <c r="M1509" s="2" t="s">
        <v>217</v>
      </c>
      <c r="N1509" s="2" t="s">
        <v>1111</v>
      </c>
      <c r="O1509" s="2" t="s">
        <v>100</v>
      </c>
      <c r="P1509" s="2" t="str">
        <f>"2170584301                    "</f>
        <v xml:space="preserve">2170584301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3.13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1</v>
      </c>
      <c r="BJ1509" s="2">
        <v>0.2</v>
      </c>
      <c r="BK1509" s="2">
        <v>1</v>
      </c>
      <c r="BL1509" s="2">
        <v>32.380000000000003</v>
      </c>
      <c r="BM1509" s="2">
        <v>4.53</v>
      </c>
      <c r="BN1509" s="2">
        <v>36.909999999999997</v>
      </c>
      <c r="BO1509" s="2">
        <v>36.909999999999997</v>
      </c>
      <c r="BP1509" s="2"/>
      <c r="BQ1509" s="2" t="s">
        <v>83</v>
      </c>
      <c r="BR1509" s="2" t="s">
        <v>84</v>
      </c>
      <c r="BS1509" s="3">
        <v>42962</v>
      </c>
      <c r="BT1509" s="4">
        <v>0.43402777777777773</v>
      </c>
      <c r="BU1509" s="2" t="s">
        <v>2213</v>
      </c>
      <c r="BV1509" s="2" t="s">
        <v>95</v>
      </c>
      <c r="BW1509" s="2"/>
      <c r="BX1509" s="2"/>
      <c r="BY1509" s="2">
        <v>1200</v>
      </c>
      <c r="BZ1509" s="2"/>
      <c r="CA1509" s="2" t="s">
        <v>1217</v>
      </c>
      <c r="CB1509" s="2"/>
      <c r="CC1509" s="2" t="s">
        <v>217</v>
      </c>
      <c r="CD1509" s="2">
        <v>1541</v>
      </c>
      <c r="CE1509" s="2" t="s">
        <v>104</v>
      </c>
      <c r="CF1509" s="5">
        <v>42963</v>
      </c>
      <c r="CG1509" s="2"/>
      <c r="CH1509" s="2"/>
      <c r="CI1509" s="2">
        <v>1</v>
      </c>
      <c r="CJ1509" s="2">
        <v>1</v>
      </c>
      <c r="CK1509" s="2">
        <v>22</v>
      </c>
      <c r="CL1509" s="2" t="s">
        <v>86</v>
      </c>
      <c r="CM1509" s="2"/>
    </row>
    <row r="1510" spans="1:91">
      <c r="A1510" s="2" t="s">
        <v>71</v>
      </c>
      <c r="B1510" s="2" t="s">
        <v>72</v>
      </c>
      <c r="C1510" s="2" t="s">
        <v>73</v>
      </c>
      <c r="D1510" s="2"/>
      <c r="E1510" s="2" t="str">
        <f>"FES1162568540"</f>
        <v>FES1162568540</v>
      </c>
      <c r="F1510" s="3">
        <v>42961</v>
      </c>
      <c r="G1510" s="2">
        <v>201802</v>
      </c>
      <c r="H1510" s="2" t="s">
        <v>74</v>
      </c>
      <c r="I1510" s="2" t="s">
        <v>75</v>
      </c>
      <c r="J1510" s="2" t="s">
        <v>76</v>
      </c>
      <c r="K1510" s="2" t="s">
        <v>77</v>
      </c>
      <c r="L1510" s="2" t="s">
        <v>144</v>
      </c>
      <c r="M1510" s="2" t="s">
        <v>145</v>
      </c>
      <c r="N1510" s="2" t="s">
        <v>2214</v>
      </c>
      <c r="O1510" s="2" t="s">
        <v>100</v>
      </c>
      <c r="P1510" s="2" t="str">
        <f>"2170583633                    "</f>
        <v xml:space="preserve">2170583633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3.13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1</v>
      </c>
      <c r="BJ1510" s="2">
        <v>0.2</v>
      </c>
      <c r="BK1510" s="2">
        <v>1</v>
      </c>
      <c r="BL1510" s="2">
        <v>32.380000000000003</v>
      </c>
      <c r="BM1510" s="2">
        <v>4.53</v>
      </c>
      <c r="BN1510" s="2">
        <v>36.909999999999997</v>
      </c>
      <c r="BO1510" s="2">
        <v>36.909999999999997</v>
      </c>
      <c r="BP1510" s="2"/>
      <c r="BQ1510" s="2" t="s">
        <v>83</v>
      </c>
      <c r="BR1510" s="2" t="s">
        <v>84</v>
      </c>
      <c r="BS1510" s="3">
        <v>42962</v>
      </c>
      <c r="BT1510" s="4">
        <v>0.41875000000000001</v>
      </c>
      <c r="BU1510" s="2" t="s">
        <v>2215</v>
      </c>
      <c r="BV1510" s="2" t="s">
        <v>95</v>
      </c>
      <c r="BW1510" s="2"/>
      <c r="BX1510" s="2"/>
      <c r="BY1510" s="2">
        <v>1200</v>
      </c>
      <c r="BZ1510" s="2"/>
      <c r="CA1510" s="2" t="s">
        <v>414</v>
      </c>
      <c r="CB1510" s="2"/>
      <c r="CC1510" s="2" t="s">
        <v>145</v>
      </c>
      <c r="CD1510" s="2">
        <v>1725</v>
      </c>
      <c r="CE1510" s="2" t="s">
        <v>104</v>
      </c>
      <c r="CF1510" s="5">
        <v>42963</v>
      </c>
      <c r="CG1510" s="2"/>
      <c r="CH1510" s="2"/>
      <c r="CI1510" s="2">
        <v>1</v>
      </c>
      <c r="CJ1510" s="2">
        <v>1</v>
      </c>
      <c r="CK1510" s="2">
        <v>22</v>
      </c>
      <c r="CL1510" s="2" t="s">
        <v>86</v>
      </c>
      <c r="CM1510" s="2"/>
    </row>
    <row r="1511" spans="1:91">
      <c r="A1511" s="2" t="s">
        <v>71</v>
      </c>
      <c r="B1511" s="2" t="s">
        <v>72</v>
      </c>
      <c r="C1511" s="2" t="s">
        <v>73</v>
      </c>
      <c r="D1511" s="2"/>
      <c r="E1511" s="2" t="str">
        <f>"FES1162568569"</f>
        <v>FES1162568569</v>
      </c>
      <c r="F1511" s="3">
        <v>42961</v>
      </c>
      <c r="G1511" s="2">
        <v>201802</v>
      </c>
      <c r="H1511" s="2" t="s">
        <v>74</v>
      </c>
      <c r="I1511" s="2" t="s">
        <v>75</v>
      </c>
      <c r="J1511" s="2" t="s">
        <v>76</v>
      </c>
      <c r="K1511" s="2" t="s">
        <v>77</v>
      </c>
      <c r="L1511" s="2" t="s">
        <v>105</v>
      </c>
      <c r="M1511" s="2" t="s">
        <v>106</v>
      </c>
      <c r="N1511" s="2" t="s">
        <v>2216</v>
      </c>
      <c r="O1511" s="2" t="s">
        <v>100</v>
      </c>
      <c r="P1511" s="2" t="str">
        <f>"2170584633                    "</f>
        <v xml:space="preserve">2170584633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4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1</v>
      </c>
      <c r="BJ1511" s="2">
        <v>0.2</v>
      </c>
      <c r="BK1511" s="2">
        <v>1</v>
      </c>
      <c r="BL1511" s="2">
        <v>41.44</v>
      </c>
      <c r="BM1511" s="2">
        <v>5.8</v>
      </c>
      <c r="BN1511" s="2">
        <v>47.24</v>
      </c>
      <c r="BO1511" s="2">
        <v>47.24</v>
      </c>
      <c r="BP1511" s="2"/>
      <c r="BQ1511" s="2" t="s">
        <v>227</v>
      </c>
      <c r="BR1511" s="2" t="s">
        <v>84</v>
      </c>
      <c r="BS1511" s="3">
        <v>42962</v>
      </c>
      <c r="BT1511" s="4">
        <v>0.41250000000000003</v>
      </c>
      <c r="BU1511" s="2" t="s">
        <v>1207</v>
      </c>
      <c r="BV1511" s="2" t="s">
        <v>95</v>
      </c>
      <c r="BW1511" s="2"/>
      <c r="BX1511" s="2"/>
      <c r="BY1511" s="2">
        <v>1200</v>
      </c>
      <c r="BZ1511" s="2"/>
      <c r="CA1511" s="2" t="s">
        <v>350</v>
      </c>
      <c r="CB1511" s="2"/>
      <c r="CC1511" s="2" t="s">
        <v>106</v>
      </c>
      <c r="CD1511" s="2">
        <v>7945</v>
      </c>
      <c r="CE1511" s="2" t="s">
        <v>104</v>
      </c>
      <c r="CF1511" s="5">
        <v>42963</v>
      </c>
      <c r="CG1511" s="2"/>
      <c r="CH1511" s="2"/>
      <c r="CI1511" s="2">
        <v>1</v>
      </c>
      <c r="CJ1511" s="2">
        <v>1</v>
      </c>
      <c r="CK1511" s="2">
        <v>21</v>
      </c>
      <c r="CL1511" s="2" t="s">
        <v>86</v>
      </c>
      <c r="CM1511" s="2"/>
    </row>
    <row r="1512" spans="1:91">
      <c r="A1512" s="2" t="s">
        <v>71</v>
      </c>
      <c r="B1512" s="2" t="s">
        <v>72</v>
      </c>
      <c r="C1512" s="2" t="s">
        <v>73</v>
      </c>
      <c r="D1512" s="2"/>
      <c r="E1512" s="2" t="str">
        <f>"FES1162568539"</f>
        <v>FES1162568539</v>
      </c>
      <c r="F1512" s="3">
        <v>42961</v>
      </c>
      <c r="G1512" s="2">
        <v>201802</v>
      </c>
      <c r="H1512" s="2" t="s">
        <v>74</v>
      </c>
      <c r="I1512" s="2" t="s">
        <v>75</v>
      </c>
      <c r="J1512" s="2" t="s">
        <v>76</v>
      </c>
      <c r="K1512" s="2" t="s">
        <v>77</v>
      </c>
      <c r="L1512" s="2" t="s">
        <v>74</v>
      </c>
      <c r="M1512" s="2" t="s">
        <v>75</v>
      </c>
      <c r="N1512" s="2" t="s">
        <v>402</v>
      </c>
      <c r="O1512" s="2" t="s">
        <v>100</v>
      </c>
      <c r="P1512" s="2" t="str">
        <f>"2170583286                    "</f>
        <v xml:space="preserve">2170583286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3.13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1</v>
      </c>
      <c r="BJ1512" s="2">
        <v>0.2</v>
      </c>
      <c r="BK1512" s="2">
        <v>1</v>
      </c>
      <c r="BL1512" s="2">
        <v>32.380000000000003</v>
      </c>
      <c r="BM1512" s="2">
        <v>4.53</v>
      </c>
      <c r="BN1512" s="2">
        <v>36.909999999999997</v>
      </c>
      <c r="BO1512" s="2">
        <v>36.909999999999997</v>
      </c>
      <c r="BP1512" s="2"/>
      <c r="BQ1512" s="2" t="s">
        <v>83</v>
      </c>
      <c r="BR1512" s="2" t="s">
        <v>84</v>
      </c>
      <c r="BS1512" s="3">
        <v>42962</v>
      </c>
      <c r="BT1512" s="4">
        <v>0.35972222222222222</v>
      </c>
      <c r="BU1512" s="2" t="s">
        <v>2217</v>
      </c>
      <c r="BV1512" s="2" t="s">
        <v>95</v>
      </c>
      <c r="BW1512" s="2"/>
      <c r="BX1512" s="2"/>
      <c r="BY1512" s="2">
        <v>1200</v>
      </c>
      <c r="BZ1512" s="2"/>
      <c r="CA1512" s="2" t="s">
        <v>405</v>
      </c>
      <c r="CB1512" s="2"/>
      <c r="CC1512" s="2" t="s">
        <v>75</v>
      </c>
      <c r="CD1512" s="2">
        <v>1665</v>
      </c>
      <c r="CE1512" s="2" t="s">
        <v>104</v>
      </c>
      <c r="CF1512" s="5">
        <v>42963</v>
      </c>
      <c r="CG1512" s="2"/>
      <c r="CH1512" s="2"/>
      <c r="CI1512" s="2">
        <v>1</v>
      </c>
      <c r="CJ1512" s="2">
        <v>1</v>
      </c>
      <c r="CK1512" s="2">
        <v>22</v>
      </c>
      <c r="CL1512" s="2" t="s">
        <v>86</v>
      </c>
      <c r="CM1512" s="2"/>
    </row>
    <row r="1513" spans="1:91">
      <c r="A1513" s="2" t="s">
        <v>71</v>
      </c>
      <c r="B1513" s="2" t="s">
        <v>72</v>
      </c>
      <c r="C1513" s="2" t="s">
        <v>73</v>
      </c>
      <c r="D1513" s="2"/>
      <c r="E1513" s="2" t="str">
        <f>"FES1162568590"</f>
        <v>FES1162568590</v>
      </c>
      <c r="F1513" s="3">
        <v>42961</v>
      </c>
      <c r="G1513" s="2">
        <v>201802</v>
      </c>
      <c r="H1513" s="2" t="s">
        <v>74</v>
      </c>
      <c r="I1513" s="2" t="s">
        <v>75</v>
      </c>
      <c r="J1513" s="2" t="s">
        <v>76</v>
      </c>
      <c r="K1513" s="2" t="s">
        <v>77</v>
      </c>
      <c r="L1513" s="2" t="s">
        <v>417</v>
      </c>
      <c r="M1513" s="2" t="s">
        <v>417</v>
      </c>
      <c r="N1513" s="2" t="s">
        <v>2218</v>
      </c>
      <c r="O1513" s="2" t="s">
        <v>100</v>
      </c>
      <c r="P1513" s="2" t="str">
        <f>"2170584660                    "</f>
        <v xml:space="preserve">2170584660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4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1</v>
      </c>
      <c r="BJ1513" s="2">
        <v>0.2</v>
      </c>
      <c r="BK1513" s="2">
        <v>1</v>
      </c>
      <c r="BL1513" s="2">
        <v>41.44</v>
      </c>
      <c r="BM1513" s="2">
        <v>5.8</v>
      </c>
      <c r="BN1513" s="2">
        <v>47.24</v>
      </c>
      <c r="BO1513" s="2">
        <v>47.24</v>
      </c>
      <c r="BP1513" s="2"/>
      <c r="BQ1513" s="2" t="s">
        <v>365</v>
      </c>
      <c r="BR1513" s="2" t="s">
        <v>84</v>
      </c>
      <c r="BS1513" s="3">
        <v>42962</v>
      </c>
      <c r="BT1513" s="4">
        <v>0.51180555555555551</v>
      </c>
      <c r="BU1513" s="2" t="s">
        <v>2219</v>
      </c>
      <c r="BV1513" s="2" t="s">
        <v>95</v>
      </c>
      <c r="BW1513" s="2"/>
      <c r="BX1513" s="2"/>
      <c r="BY1513" s="2">
        <v>1200</v>
      </c>
      <c r="BZ1513" s="2"/>
      <c r="CA1513" s="2"/>
      <c r="CB1513" s="2"/>
      <c r="CC1513" s="2" t="s">
        <v>417</v>
      </c>
      <c r="CD1513" s="2">
        <v>7646</v>
      </c>
      <c r="CE1513" s="2" t="s">
        <v>104</v>
      </c>
      <c r="CF1513" s="5">
        <v>42962</v>
      </c>
      <c r="CG1513" s="2"/>
      <c r="CH1513" s="2"/>
      <c r="CI1513" s="2">
        <v>1</v>
      </c>
      <c r="CJ1513" s="2">
        <v>1</v>
      </c>
      <c r="CK1513" s="2">
        <v>21</v>
      </c>
      <c r="CL1513" s="2" t="s">
        <v>86</v>
      </c>
      <c r="CM1513" s="2"/>
    </row>
    <row r="1514" spans="1:91">
      <c r="A1514" s="2" t="s">
        <v>71</v>
      </c>
      <c r="B1514" s="2" t="s">
        <v>72</v>
      </c>
      <c r="C1514" s="2" t="s">
        <v>73</v>
      </c>
      <c r="D1514" s="2"/>
      <c r="E1514" s="2" t="str">
        <f>"FES1162568521"</f>
        <v>FES1162568521</v>
      </c>
      <c r="F1514" s="3">
        <v>42961</v>
      </c>
      <c r="G1514" s="2">
        <v>201802</v>
      </c>
      <c r="H1514" s="2" t="s">
        <v>74</v>
      </c>
      <c r="I1514" s="2" t="s">
        <v>75</v>
      </c>
      <c r="J1514" s="2" t="s">
        <v>76</v>
      </c>
      <c r="K1514" s="2" t="s">
        <v>77</v>
      </c>
      <c r="L1514" s="2" t="s">
        <v>137</v>
      </c>
      <c r="M1514" s="2" t="s">
        <v>138</v>
      </c>
      <c r="N1514" s="2" t="s">
        <v>368</v>
      </c>
      <c r="O1514" s="2" t="s">
        <v>100</v>
      </c>
      <c r="P1514" s="2" t="str">
        <f>"2170584609                    "</f>
        <v xml:space="preserve">2170584609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4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1</v>
      </c>
      <c r="BJ1514" s="2">
        <v>0.2</v>
      </c>
      <c r="BK1514" s="2">
        <v>1</v>
      </c>
      <c r="BL1514" s="2">
        <v>41.44</v>
      </c>
      <c r="BM1514" s="2">
        <v>5.8</v>
      </c>
      <c r="BN1514" s="2">
        <v>47.24</v>
      </c>
      <c r="BO1514" s="2">
        <v>47.24</v>
      </c>
      <c r="BP1514" s="2"/>
      <c r="BQ1514" s="2" t="s">
        <v>108</v>
      </c>
      <c r="BR1514" s="2" t="s">
        <v>84</v>
      </c>
      <c r="BS1514" s="3">
        <v>42962</v>
      </c>
      <c r="BT1514" s="4">
        <v>0.34375</v>
      </c>
      <c r="BU1514" s="2" t="s">
        <v>1109</v>
      </c>
      <c r="BV1514" s="2" t="s">
        <v>95</v>
      </c>
      <c r="BW1514" s="2"/>
      <c r="BX1514" s="2"/>
      <c r="BY1514" s="2">
        <v>1200</v>
      </c>
      <c r="BZ1514" s="2"/>
      <c r="CA1514" s="2"/>
      <c r="CB1514" s="2"/>
      <c r="CC1514" s="2" t="s">
        <v>138</v>
      </c>
      <c r="CD1514" s="2">
        <v>157</v>
      </c>
      <c r="CE1514" s="2" t="s">
        <v>104</v>
      </c>
      <c r="CF1514" s="5">
        <v>42963</v>
      </c>
      <c r="CG1514" s="2"/>
      <c r="CH1514" s="2"/>
      <c r="CI1514" s="2">
        <v>1</v>
      </c>
      <c r="CJ1514" s="2">
        <v>1</v>
      </c>
      <c r="CK1514" s="2">
        <v>21</v>
      </c>
      <c r="CL1514" s="2" t="s">
        <v>86</v>
      </c>
      <c r="CM1514" s="2"/>
    </row>
    <row r="1515" spans="1:91">
      <c r="A1515" s="2" t="s">
        <v>71</v>
      </c>
      <c r="B1515" s="2" t="s">
        <v>72</v>
      </c>
      <c r="C1515" s="2" t="s">
        <v>73</v>
      </c>
      <c r="D1515" s="2"/>
      <c r="E1515" s="2" t="str">
        <f>"FES1162568519"</f>
        <v>FES1162568519</v>
      </c>
      <c r="F1515" s="3">
        <v>42961</v>
      </c>
      <c r="G1515" s="2">
        <v>201802</v>
      </c>
      <c r="H1515" s="2" t="s">
        <v>74</v>
      </c>
      <c r="I1515" s="2" t="s">
        <v>75</v>
      </c>
      <c r="J1515" s="2" t="s">
        <v>76</v>
      </c>
      <c r="K1515" s="2" t="s">
        <v>77</v>
      </c>
      <c r="L1515" s="2" t="s">
        <v>74</v>
      </c>
      <c r="M1515" s="2" t="s">
        <v>75</v>
      </c>
      <c r="N1515" s="2" t="s">
        <v>2220</v>
      </c>
      <c r="O1515" s="2" t="s">
        <v>100</v>
      </c>
      <c r="P1515" s="2" t="str">
        <f>"2170583522                    "</f>
        <v xml:space="preserve">2170583522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3.13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1</v>
      </c>
      <c r="BJ1515" s="2">
        <v>0.2</v>
      </c>
      <c r="BK1515" s="2">
        <v>1</v>
      </c>
      <c r="BL1515" s="2">
        <v>32.380000000000003</v>
      </c>
      <c r="BM1515" s="2">
        <v>4.53</v>
      </c>
      <c r="BN1515" s="2">
        <v>36.909999999999997</v>
      </c>
      <c r="BO1515" s="2">
        <v>36.909999999999997</v>
      </c>
      <c r="BP1515" s="2"/>
      <c r="BQ1515" s="2" t="s">
        <v>108</v>
      </c>
      <c r="BR1515" s="2" t="s">
        <v>84</v>
      </c>
      <c r="BS1515" s="3">
        <v>42962</v>
      </c>
      <c r="BT1515" s="4">
        <v>0.41666666666666669</v>
      </c>
      <c r="BU1515" s="2" t="s">
        <v>1133</v>
      </c>
      <c r="BV1515" s="2" t="s">
        <v>95</v>
      </c>
      <c r="BW1515" s="2"/>
      <c r="BX1515" s="2"/>
      <c r="BY1515" s="2">
        <v>1200</v>
      </c>
      <c r="BZ1515" s="2"/>
      <c r="CA1515" s="2" t="s">
        <v>2221</v>
      </c>
      <c r="CB1515" s="2"/>
      <c r="CC1515" s="2" t="s">
        <v>75</v>
      </c>
      <c r="CD1515" s="2">
        <v>1682</v>
      </c>
      <c r="CE1515" s="2" t="s">
        <v>104</v>
      </c>
      <c r="CF1515" s="5">
        <v>42963</v>
      </c>
      <c r="CG1515" s="2"/>
      <c r="CH1515" s="2"/>
      <c r="CI1515" s="2">
        <v>1</v>
      </c>
      <c r="CJ1515" s="2">
        <v>1</v>
      </c>
      <c r="CK1515" s="2">
        <v>22</v>
      </c>
      <c r="CL1515" s="2" t="s">
        <v>86</v>
      </c>
      <c r="CM1515" s="2"/>
    </row>
    <row r="1516" spans="1:91">
      <c r="A1516" s="2" t="s">
        <v>71</v>
      </c>
      <c r="B1516" s="2" t="s">
        <v>72</v>
      </c>
      <c r="C1516" s="2" t="s">
        <v>73</v>
      </c>
      <c r="D1516" s="2"/>
      <c r="E1516" s="2" t="str">
        <f>"FES1162568524"</f>
        <v>FES1162568524</v>
      </c>
      <c r="F1516" s="3">
        <v>42961</v>
      </c>
      <c r="G1516" s="2">
        <v>201802</v>
      </c>
      <c r="H1516" s="2" t="s">
        <v>74</v>
      </c>
      <c r="I1516" s="2" t="s">
        <v>75</v>
      </c>
      <c r="J1516" s="2" t="s">
        <v>76</v>
      </c>
      <c r="K1516" s="2" t="s">
        <v>77</v>
      </c>
      <c r="L1516" s="2" t="s">
        <v>237</v>
      </c>
      <c r="M1516" s="2" t="s">
        <v>238</v>
      </c>
      <c r="N1516" s="2" t="s">
        <v>399</v>
      </c>
      <c r="O1516" s="2" t="s">
        <v>100</v>
      </c>
      <c r="P1516" s="2" t="str">
        <f>"2170584613                    "</f>
        <v xml:space="preserve">2170584613 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4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1</v>
      </c>
      <c r="BJ1516" s="2">
        <v>0.2</v>
      </c>
      <c r="BK1516" s="2">
        <v>1</v>
      </c>
      <c r="BL1516" s="2">
        <v>41.44</v>
      </c>
      <c r="BM1516" s="2">
        <v>5.8</v>
      </c>
      <c r="BN1516" s="2">
        <v>47.24</v>
      </c>
      <c r="BO1516" s="2">
        <v>47.24</v>
      </c>
      <c r="BP1516" s="2"/>
      <c r="BQ1516" s="2" t="s">
        <v>365</v>
      </c>
      <c r="BR1516" s="2" t="s">
        <v>84</v>
      </c>
      <c r="BS1516" s="3">
        <v>42964</v>
      </c>
      <c r="BT1516" s="4">
        <v>0.41111111111111115</v>
      </c>
      <c r="BU1516" s="2" t="s">
        <v>400</v>
      </c>
      <c r="BV1516" s="2" t="s">
        <v>86</v>
      </c>
      <c r="BW1516" s="2" t="s">
        <v>124</v>
      </c>
      <c r="BX1516" s="2" t="s">
        <v>337</v>
      </c>
      <c r="BY1516" s="2">
        <v>1200</v>
      </c>
      <c r="BZ1516" s="2"/>
      <c r="CA1516" s="2" t="s">
        <v>401</v>
      </c>
      <c r="CB1516" s="2"/>
      <c r="CC1516" s="2" t="s">
        <v>238</v>
      </c>
      <c r="CD1516" s="2">
        <v>3610</v>
      </c>
      <c r="CE1516" s="2" t="s">
        <v>104</v>
      </c>
      <c r="CF1516" s="5">
        <v>42964</v>
      </c>
      <c r="CG1516" s="2"/>
      <c r="CH1516" s="2"/>
      <c r="CI1516" s="2">
        <v>1</v>
      </c>
      <c r="CJ1516" s="2">
        <v>3</v>
      </c>
      <c r="CK1516" s="2">
        <v>21</v>
      </c>
      <c r="CL1516" s="2" t="s">
        <v>86</v>
      </c>
      <c r="CM1516" s="2"/>
    </row>
    <row r="1517" spans="1:91">
      <c r="A1517" s="2" t="s">
        <v>71</v>
      </c>
      <c r="B1517" s="2" t="s">
        <v>72</v>
      </c>
      <c r="C1517" s="2" t="s">
        <v>73</v>
      </c>
      <c r="D1517" s="2"/>
      <c r="E1517" s="2" t="str">
        <f>"FES1162568523"</f>
        <v>FES1162568523</v>
      </c>
      <c r="F1517" s="3">
        <v>42961</v>
      </c>
      <c r="G1517" s="2">
        <v>201802</v>
      </c>
      <c r="H1517" s="2" t="s">
        <v>74</v>
      </c>
      <c r="I1517" s="2" t="s">
        <v>75</v>
      </c>
      <c r="J1517" s="2" t="s">
        <v>76</v>
      </c>
      <c r="K1517" s="2" t="s">
        <v>77</v>
      </c>
      <c r="L1517" s="2" t="s">
        <v>170</v>
      </c>
      <c r="M1517" s="2" t="s">
        <v>171</v>
      </c>
      <c r="N1517" s="2" t="s">
        <v>2222</v>
      </c>
      <c r="O1517" s="2" t="s">
        <v>100</v>
      </c>
      <c r="P1517" s="2" t="str">
        <f>"2170584612                    "</f>
        <v xml:space="preserve">2170584612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3.13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1</v>
      </c>
      <c r="BJ1517" s="2">
        <v>0.2</v>
      </c>
      <c r="BK1517" s="2">
        <v>1</v>
      </c>
      <c r="BL1517" s="2">
        <v>32.380000000000003</v>
      </c>
      <c r="BM1517" s="2">
        <v>4.53</v>
      </c>
      <c r="BN1517" s="2">
        <v>36.909999999999997</v>
      </c>
      <c r="BO1517" s="2">
        <v>36.909999999999997</v>
      </c>
      <c r="BP1517" s="2"/>
      <c r="BQ1517" s="2" t="s">
        <v>83</v>
      </c>
      <c r="BR1517" s="2" t="s">
        <v>84</v>
      </c>
      <c r="BS1517" s="3">
        <v>42962</v>
      </c>
      <c r="BT1517" s="4">
        <v>0.32500000000000001</v>
      </c>
      <c r="BU1517" s="2" t="s">
        <v>2223</v>
      </c>
      <c r="BV1517" s="2" t="s">
        <v>95</v>
      </c>
      <c r="BW1517" s="2"/>
      <c r="BX1517" s="2"/>
      <c r="BY1517" s="2">
        <v>1200</v>
      </c>
      <c r="BZ1517" s="2"/>
      <c r="CA1517" s="2" t="s">
        <v>1098</v>
      </c>
      <c r="CB1517" s="2"/>
      <c r="CC1517" s="2" t="s">
        <v>171</v>
      </c>
      <c r="CD1517" s="2">
        <v>1401</v>
      </c>
      <c r="CE1517" s="2" t="s">
        <v>104</v>
      </c>
      <c r="CF1517" s="5">
        <v>42963</v>
      </c>
      <c r="CG1517" s="2"/>
      <c r="CH1517" s="2"/>
      <c r="CI1517" s="2">
        <v>1</v>
      </c>
      <c r="CJ1517" s="2">
        <v>1</v>
      </c>
      <c r="CK1517" s="2">
        <v>22</v>
      </c>
      <c r="CL1517" s="2" t="s">
        <v>86</v>
      </c>
      <c r="CM1517" s="2"/>
    </row>
    <row r="1518" spans="1:91">
      <c r="A1518" s="2" t="s">
        <v>71</v>
      </c>
      <c r="B1518" s="2" t="s">
        <v>72</v>
      </c>
      <c r="C1518" s="2" t="s">
        <v>73</v>
      </c>
      <c r="D1518" s="2"/>
      <c r="E1518" s="2" t="str">
        <f>"FES1162568583"</f>
        <v>FES1162568583</v>
      </c>
      <c r="F1518" s="3">
        <v>42961</v>
      </c>
      <c r="G1518" s="2">
        <v>201802</v>
      </c>
      <c r="H1518" s="2" t="s">
        <v>74</v>
      </c>
      <c r="I1518" s="2" t="s">
        <v>75</v>
      </c>
      <c r="J1518" s="2" t="s">
        <v>76</v>
      </c>
      <c r="K1518" s="2" t="s">
        <v>77</v>
      </c>
      <c r="L1518" s="2" t="s">
        <v>149</v>
      </c>
      <c r="M1518" s="2" t="s">
        <v>150</v>
      </c>
      <c r="N1518" s="2" t="s">
        <v>1652</v>
      </c>
      <c r="O1518" s="2" t="s">
        <v>100</v>
      </c>
      <c r="P1518" s="2" t="str">
        <f>"2170584650                    "</f>
        <v xml:space="preserve">2170584650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4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1</v>
      </c>
      <c r="BJ1518" s="2">
        <v>0.2</v>
      </c>
      <c r="BK1518" s="2">
        <v>1</v>
      </c>
      <c r="BL1518" s="2">
        <v>41.44</v>
      </c>
      <c r="BM1518" s="2">
        <v>5.8</v>
      </c>
      <c r="BN1518" s="2">
        <v>47.24</v>
      </c>
      <c r="BO1518" s="2">
        <v>47.24</v>
      </c>
      <c r="BP1518" s="2"/>
      <c r="BQ1518" s="2" t="s">
        <v>1653</v>
      </c>
      <c r="BR1518" s="2" t="s">
        <v>84</v>
      </c>
      <c r="BS1518" s="3">
        <v>42962</v>
      </c>
      <c r="BT1518" s="4">
        <v>0.33124999999999999</v>
      </c>
      <c r="BU1518" s="2" t="s">
        <v>2224</v>
      </c>
      <c r="BV1518" s="2" t="s">
        <v>95</v>
      </c>
      <c r="BW1518" s="2"/>
      <c r="BX1518" s="2"/>
      <c r="BY1518" s="2">
        <v>1200</v>
      </c>
      <c r="BZ1518" s="2"/>
      <c r="CA1518" s="2" t="s">
        <v>774</v>
      </c>
      <c r="CB1518" s="2"/>
      <c r="CC1518" s="2" t="s">
        <v>150</v>
      </c>
      <c r="CD1518" s="2">
        <v>4001</v>
      </c>
      <c r="CE1518" s="2" t="s">
        <v>104</v>
      </c>
      <c r="CF1518" s="5">
        <v>42963</v>
      </c>
      <c r="CG1518" s="2"/>
      <c r="CH1518" s="2"/>
      <c r="CI1518" s="2">
        <v>1</v>
      </c>
      <c r="CJ1518" s="2">
        <v>1</v>
      </c>
      <c r="CK1518" s="2">
        <v>21</v>
      </c>
      <c r="CL1518" s="2" t="s">
        <v>86</v>
      </c>
      <c r="CM1518" s="2"/>
    </row>
    <row r="1519" spans="1:91">
      <c r="A1519" s="2" t="s">
        <v>71</v>
      </c>
      <c r="B1519" s="2" t="s">
        <v>72</v>
      </c>
      <c r="C1519" s="2" t="s">
        <v>73</v>
      </c>
      <c r="D1519" s="2"/>
      <c r="E1519" s="2" t="str">
        <f>"FES1162568587"</f>
        <v>FES1162568587</v>
      </c>
      <c r="F1519" s="3">
        <v>42961</v>
      </c>
      <c r="G1519" s="2">
        <v>201802</v>
      </c>
      <c r="H1519" s="2" t="s">
        <v>74</v>
      </c>
      <c r="I1519" s="2" t="s">
        <v>75</v>
      </c>
      <c r="J1519" s="2" t="s">
        <v>76</v>
      </c>
      <c r="K1519" s="2" t="s">
        <v>77</v>
      </c>
      <c r="L1519" s="2" t="s">
        <v>149</v>
      </c>
      <c r="M1519" s="2" t="s">
        <v>150</v>
      </c>
      <c r="N1519" s="2" t="s">
        <v>463</v>
      </c>
      <c r="O1519" s="2" t="s">
        <v>100</v>
      </c>
      <c r="P1519" s="2" t="str">
        <f>"2170584657                    "</f>
        <v xml:space="preserve">2170584657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4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1</v>
      </c>
      <c r="BJ1519" s="2">
        <v>0.2</v>
      </c>
      <c r="BK1519" s="2">
        <v>1</v>
      </c>
      <c r="BL1519" s="2">
        <v>41.44</v>
      </c>
      <c r="BM1519" s="2">
        <v>5.8</v>
      </c>
      <c r="BN1519" s="2">
        <v>47.24</v>
      </c>
      <c r="BO1519" s="2">
        <v>47.24</v>
      </c>
      <c r="BP1519" s="2"/>
      <c r="BQ1519" s="2" t="s">
        <v>227</v>
      </c>
      <c r="BR1519" s="2" t="s">
        <v>84</v>
      </c>
      <c r="BS1519" s="3">
        <v>42962</v>
      </c>
      <c r="BT1519" s="4">
        <v>0.4375</v>
      </c>
      <c r="BU1519" s="2" t="s">
        <v>2225</v>
      </c>
      <c r="BV1519" s="2" t="s">
        <v>95</v>
      </c>
      <c r="BW1519" s="2"/>
      <c r="BX1519" s="2"/>
      <c r="BY1519" s="2">
        <v>1200</v>
      </c>
      <c r="BZ1519" s="2"/>
      <c r="CA1519" s="2" t="s">
        <v>347</v>
      </c>
      <c r="CB1519" s="2"/>
      <c r="CC1519" s="2" t="s">
        <v>150</v>
      </c>
      <c r="CD1519" s="2">
        <v>4001</v>
      </c>
      <c r="CE1519" s="2" t="s">
        <v>104</v>
      </c>
      <c r="CF1519" s="5">
        <v>42963</v>
      </c>
      <c r="CG1519" s="2"/>
      <c r="CH1519" s="2"/>
      <c r="CI1519" s="2">
        <v>1</v>
      </c>
      <c r="CJ1519" s="2">
        <v>1</v>
      </c>
      <c r="CK1519" s="2">
        <v>21</v>
      </c>
      <c r="CL1519" s="2" t="s">
        <v>86</v>
      </c>
      <c r="CM1519" s="2"/>
    </row>
    <row r="1520" spans="1:91">
      <c r="A1520" s="2" t="s">
        <v>71</v>
      </c>
      <c r="B1520" s="2" t="s">
        <v>72</v>
      </c>
      <c r="C1520" s="2" t="s">
        <v>73</v>
      </c>
      <c r="D1520" s="2"/>
      <c r="E1520" s="2" t="str">
        <f>"FES1162568547"</f>
        <v>FES1162568547</v>
      </c>
      <c r="F1520" s="3">
        <v>42961</v>
      </c>
      <c r="G1520" s="2">
        <v>201802</v>
      </c>
      <c r="H1520" s="2" t="s">
        <v>74</v>
      </c>
      <c r="I1520" s="2" t="s">
        <v>75</v>
      </c>
      <c r="J1520" s="2" t="s">
        <v>76</v>
      </c>
      <c r="K1520" s="2" t="s">
        <v>77</v>
      </c>
      <c r="L1520" s="2" t="s">
        <v>237</v>
      </c>
      <c r="M1520" s="2" t="s">
        <v>238</v>
      </c>
      <c r="N1520" s="2" t="s">
        <v>678</v>
      </c>
      <c r="O1520" s="2" t="s">
        <v>100</v>
      </c>
      <c r="P1520" s="2" t="str">
        <f>"2170584169                    "</f>
        <v xml:space="preserve">2170584169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4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1</v>
      </c>
      <c r="BJ1520" s="2">
        <v>0.2</v>
      </c>
      <c r="BK1520" s="2">
        <v>1</v>
      </c>
      <c r="BL1520" s="2">
        <v>41.44</v>
      </c>
      <c r="BM1520" s="2">
        <v>5.8</v>
      </c>
      <c r="BN1520" s="2">
        <v>47.24</v>
      </c>
      <c r="BO1520" s="2">
        <v>47.24</v>
      </c>
      <c r="BP1520" s="2"/>
      <c r="BQ1520" s="2" t="s">
        <v>227</v>
      </c>
      <c r="BR1520" s="2" t="s">
        <v>84</v>
      </c>
      <c r="BS1520" s="3">
        <v>42962</v>
      </c>
      <c r="BT1520" s="4">
        <v>0.33680555555555558</v>
      </c>
      <c r="BU1520" s="2" t="s">
        <v>2226</v>
      </c>
      <c r="BV1520" s="2" t="s">
        <v>95</v>
      </c>
      <c r="BW1520" s="2"/>
      <c r="BX1520" s="2"/>
      <c r="BY1520" s="2">
        <v>1200</v>
      </c>
      <c r="BZ1520" s="2"/>
      <c r="CA1520" s="2" t="s">
        <v>2155</v>
      </c>
      <c r="CB1520" s="2"/>
      <c r="CC1520" s="2" t="s">
        <v>238</v>
      </c>
      <c r="CD1520" s="2">
        <v>3610</v>
      </c>
      <c r="CE1520" s="2" t="s">
        <v>104</v>
      </c>
      <c r="CF1520" s="5">
        <v>42963</v>
      </c>
      <c r="CG1520" s="2"/>
      <c r="CH1520" s="2"/>
      <c r="CI1520" s="2">
        <v>1</v>
      </c>
      <c r="CJ1520" s="2">
        <v>1</v>
      </c>
      <c r="CK1520" s="2">
        <v>21</v>
      </c>
      <c r="CL1520" s="2" t="s">
        <v>86</v>
      </c>
      <c r="CM1520" s="2"/>
    </row>
    <row r="1521" spans="1:91">
      <c r="A1521" s="2" t="s">
        <v>71</v>
      </c>
      <c r="B1521" s="2" t="s">
        <v>72</v>
      </c>
      <c r="C1521" s="2" t="s">
        <v>73</v>
      </c>
      <c r="D1521" s="2"/>
      <c r="E1521" s="2" t="str">
        <f>"FES1162568538"</f>
        <v>FES1162568538</v>
      </c>
      <c r="F1521" s="3">
        <v>42961</v>
      </c>
      <c r="G1521" s="2">
        <v>201802</v>
      </c>
      <c r="H1521" s="2" t="s">
        <v>74</v>
      </c>
      <c r="I1521" s="2" t="s">
        <v>75</v>
      </c>
      <c r="J1521" s="2" t="s">
        <v>76</v>
      </c>
      <c r="K1521" s="2" t="s">
        <v>77</v>
      </c>
      <c r="L1521" s="2" t="s">
        <v>2227</v>
      </c>
      <c r="M1521" s="2" t="s">
        <v>2228</v>
      </c>
      <c r="N1521" s="2" t="s">
        <v>770</v>
      </c>
      <c r="O1521" s="2" t="s">
        <v>100</v>
      </c>
      <c r="P1521" s="2" t="str">
        <f>"2170583007                    "</f>
        <v xml:space="preserve">2170583007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7.75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1</v>
      </c>
      <c r="BJ1521" s="2">
        <v>0.2</v>
      </c>
      <c r="BK1521" s="2">
        <v>1</v>
      </c>
      <c r="BL1521" s="2">
        <v>80.290000000000006</v>
      </c>
      <c r="BM1521" s="2">
        <v>11.24</v>
      </c>
      <c r="BN1521" s="2">
        <v>91.53</v>
      </c>
      <c r="BO1521" s="2">
        <v>91.53</v>
      </c>
      <c r="BP1521" s="2"/>
      <c r="BQ1521" s="2" t="s">
        <v>2229</v>
      </c>
      <c r="BR1521" s="2" t="s">
        <v>84</v>
      </c>
      <c r="BS1521" s="3">
        <v>42962</v>
      </c>
      <c r="BT1521" s="4">
        <v>0.48749999999999999</v>
      </c>
      <c r="BU1521" s="2" t="s">
        <v>2230</v>
      </c>
      <c r="BV1521" s="2" t="s">
        <v>95</v>
      </c>
      <c r="BW1521" s="2"/>
      <c r="BX1521" s="2"/>
      <c r="BY1521" s="2">
        <v>1200</v>
      </c>
      <c r="BZ1521" s="2"/>
      <c r="CA1521" s="2" t="s">
        <v>2231</v>
      </c>
      <c r="CB1521" s="2"/>
      <c r="CC1521" s="2" t="s">
        <v>2228</v>
      </c>
      <c r="CD1521" s="2">
        <v>4170</v>
      </c>
      <c r="CE1521" s="2" t="s">
        <v>104</v>
      </c>
      <c r="CF1521" s="5">
        <v>42963</v>
      </c>
      <c r="CG1521" s="2"/>
      <c r="CH1521" s="2"/>
      <c r="CI1521" s="2">
        <v>1</v>
      </c>
      <c r="CJ1521" s="2">
        <v>1</v>
      </c>
      <c r="CK1521" s="2">
        <v>23</v>
      </c>
      <c r="CL1521" s="2" t="s">
        <v>86</v>
      </c>
      <c r="CM1521" s="2"/>
    </row>
    <row r="1522" spans="1:91">
      <c r="A1522" s="2" t="s">
        <v>71</v>
      </c>
      <c r="B1522" s="2" t="s">
        <v>72</v>
      </c>
      <c r="C1522" s="2" t="s">
        <v>73</v>
      </c>
      <c r="D1522" s="2"/>
      <c r="E1522" s="2" t="str">
        <f>"FES1162568563"</f>
        <v>FES1162568563</v>
      </c>
      <c r="F1522" s="3">
        <v>42961</v>
      </c>
      <c r="G1522" s="2">
        <v>201802</v>
      </c>
      <c r="H1522" s="2" t="s">
        <v>74</v>
      </c>
      <c r="I1522" s="2" t="s">
        <v>75</v>
      </c>
      <c r="J1522" s="2" t="s">
        <v>76</v>
      </c>
      <c r="K1522" s="2" t="s">
        <v>77</v>
      </c>
      <c r="L1522" s="2" t="s">
        <v>74</v>
      </c>
      <c r="M1522" s="2" t="s">
        <v>75</v>
      </c>
      <c r="N1522" s="2" t="s">
        <v>407</v>
      </c>
      <c r="O1522" s="2" t="s">
        <v>100</v>
      </c>
      <c r="P1522" s="2" t="str">
        <f>"2170584626                    "</f>
        <v xml:space="preserve">2170584626 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3.13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1</v>
      </c>
      <c r="BJ1522" s="2">
        <v>0.2</v>
      </c>
      <c r="BK1522" s="2">
        <v>1</v>
      </c>
      <c r="BL1522" s="2">
        <v>32.380000000000003</v>
      </c>
      <c r="BM1522" s="2">
        <v>4.53</v>
      </c>
      <c r="BN1522" s="2">
        <v>36.909999999999997</v>
      </c>
      <c r="BO1522" s="2">
        <v>36.909999999999997</v>
      </c>
      <c r="BP1522" s="2"/>
      <c r="BQ1522" s="2" t="s">
        <v>108</v>
      </c>
      <c r="BR1522" s="2" t="s">
        <v>84</v>
      </c>
      <c r="BS1522" s="3">
        <v>42962</v>
      </c>
      <c r="BT1522" s="4">
        <v>0.33958333333333335</v>
      </c>
      <c r="BU1522" s="2" t="s">
        <v>1793</v>
      </c>
      <c r="BV1522" s="2" t="s">
        <v>95</v>
      </c>
      <c r="BW1522" s="2"/>
      <c r="BX1522" s="2"/>
      <c r="BY1522" s="2">
        <v>1200</v>
      </c>
      <c r="BZ1522" s="2"/>
      <c r="CA1522" s="2" t="s">
        <v>709</v>
      </c>
      <c r="CB1522" s="2"/>
      <c r="CC1522" s="2" t="s">
        <v>75</v>
      </c>
      <c r="CD1522" s="2">
        <v>1645</v>
      </c>
      <c r="CE1522" s="2" t="s">
        <v>104</v>
      </c>
      <c r="CF1522" s="5">
        <v>42963</v>
      </c>
      <c r="CG1522" s="2"/>
      <c r="CH1522" s="2"/>
      <c r="CI1522" s="2">
        <v>1</v>
      </c>
      <c r="CJ1522" s="2">
        <v>1</v>
      </c>
      <c r="CK1522" s="2">
        <v>22</v>
      </c>
      <c r="CL1522" s="2" t="s">
        <v>86</v>
      </c>
      <c r="CM1522" s="2"/>
    </row>
    <row r="1523" spans="1:91">
      <c r="A1523" s="2" t="s">
        <v>71</v>
      </c>
      <c r="B1523" s="2" t="s">
        <v>72</v>
      </c>
      <c r="C1523" s="2" t="s">
        <v>73</v>
      </c>
      <c r="D1523" s="2"/>
      <c r="E1523" s="2" t="str">
        <f>"FES1162568546"</f>
        <v>FES1162568546</v>
      </c>
      <c r="F1523" s="3">
        <v>42961</v>
      </c>
      <c r="G1523" s="2">
        <v>201802</v>
      </c>
      <c r="H1523" s="2" t="s">
        <v>74</v>
      </c>
      <c r="I1523" s="2" t="s">
        <v>75</v>
      </c>
      <c r="J1523" s="2" t="s">
        <v>76</v>
      </c>
      <c r="K1523" s="2" t="s">
        <v>77</v>
      </c>
      <c r="L1523" s="2" t="s">
        <v>144</v>
      </c>
      <c r="M1523" s="2" t="s">
        <v>145</v>
      </c>
      <c r="N1523" s="2" t="s">
        <v>295</v>
      </c>
      <c r="O1523" s="2" t="s">
        <v>100</v>
      </c>
      <c r="P1523" s="2" t="str">
        <f>"2170584166                    "</f>
        <v xml:space="preserve">2170584166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3.13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1</v>
      </c>
      <c r="BJ1523" s="2">
        <v>0.2</v>
      </c>
      <c r="BK1523" s="2">
        <v>1</v>
      </c>
      <c r="BL1523" s="2">
        <v>32.380000000000003</v>
      </c>
      <c r="BM1523" s="2">
        <v>4.53</v>
      </c>
      <c r="BN1523" s="2">
        <v>36.909999999999997</v>
      </c>
      <c r="BO1523" s="2">
        <v>36.909999999999997</v>
      </c>
      <c r="BP1523" s="2"/>
      <c r="BQ1523" s="2" t="s">
        <v>83</v>
      </c>
      <c r="BR1523" s="2" t="s">
        <v>84</v>
      </c>
      <c r="BS1523" s="3">
        <v>42962</v>
      </c>
      <c r="BT1523" s="4">
        <v>0.4375</v>
      </c>
      <c r="BU1523" s="2" t="s">
        <v>297</v>
      </c>
      <c r="BV1523" s="2" t="s">
        <v>95</v>
      </c>
      <c r="BW1523" s="2"/>
      <c r="BX1523" s="2"/>
      <c r="BY1523" s="2">
        <v>1200</v>
      </c>
      <c r="BZ1523" s="2"/>
      <c r="CA1523" s="2" t="s">
        <v>148</v>
      </c>
      <c r="CB1523" s="2"/>
      <c r="CC1523" s="2" t="s">
        <v>145</v>
      </c>
      <c r="CD1523" s="2">
        <v>2013</v>
      </c>
      <c r="CE1523" s="2" t="s">
        <v>104</v>
      </c>
      <c r="CF1523" s="5">
        <v>42963</v>
      </c>
      <c r="CG1523" s="2"/>
      <c r="CH1523" s="2"/>
      <c r="CI1523" s="2">
        <v>1</v>
      </c>
      <c r="CJ1523" s="2">
        <v>1</v>
      </c>
      <c r="CK1523" s="2">
        <v>22</v>
      </c>
      <c r="CL1523" s="2" t="s">
        <v>86</v>
      </c>
      <c r="CM1523" s="2"/>
    </row>
    <row r="1524" spans="1:91">
      <c r="A1524" s="2" t="s">
        <v>71</v>
      </c>
      <c r="B1524" s="2" t="s">
        <v>72</v>
      </c>
      <c r="C1524" s="2" t="s">
        <v>73</v>
      </c>
      <c r="D1524" s="2"/>
      <c r="E1524" s="2" t="str">
        <f>"FES1162568551"</f>
        <v>FES1162568551</v>
      </c>
      <c r="F1524" s="3">
        <v>42961</v>
      </c>
      <c r="G1524" s="2">
        <v>201802</v>
      </c>
      <c r="H1524" s="2" t="s">
        <v>74</v>
      </c>
      <c r="I1524" s="2" t="s">
        <v>75</v>
      </c>
      <c r="J1524" s="2" t="s">
        <v>76</v>
      </c>
      <c r="K1524" s="2" t="s">
        <v>77</v>
      </c>
      <c r="L1524" s="2" t="s">
        <v>244</v>
      </c>
      <c r="M1524" s="2" t="s">
        <v>245</v>
      </c>
      <c r="N1524" s="2" t="s">
        <v>421</v>
      </c>
      <c r="O1524" s="2" t="s">
        <v>100</v>
      </c>
      <c r="P1524" s="2" t="str">
        <f>"2170584430                    "</f>
        <v xml:space="preserve">2170584430 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3.13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1</v>
      </c>
      <c r="BI1524" s="2">
        <v>1</v>
      </c>
      <c r="BJ1524" s="2">
        <v>0.2</v>
      </c>
      <c r="BK1524" s="2">
        <v>1</v>
      </c>
      <c r="BL1524" s="2">
        <v>32.380000000000003</v>
      </c>
      <c r="BM1524" s="2">
        <v>4.53</v>
      </c>
      <c r="BN1524" s="2">
        <v>36.909999999999997</v>
      </c>
      <c r="BO1524" s="2">
        <v>36.909999999999997</v>
      </c>
      <c r="BP1524" s="2"/>
      <c r="BQ1524" s="2" t="s">
        <v>83</v>
      </c>
      <c r="BR1524" s="2" t="s">
        <v>84</v>
      </c>
      <c r="BS1524" s="3">
        <v>42962</v>
      </c>
      <c r="BT1524" s="4">
        <v>0.40208333333333335</v>
      </c>
      <c r="BU1524" s="2" t="s">
        <v>740</v>
      </c>
      <c r="BV1524" s="2" t="s">
        <v>95</v>
      </c>
      <c r="BW1524" s="2"/>
      <c r="BX1524" s="2"/>
      <c r="BY1524" s="2">
        <v>1200</v>
      </c>
      <c r="BZ1524" s="2"/>
      <c r="CA1524" s="2" t="s">
        <v>499</v>
      </c>
      <c r="CB1524" s="2"/>
      <c r="CC1524" s="2" t="s">
        <v>245</v>
      </c>
      <c r="CD1524" s="2">
        <v>1459</v>
      </c>
      <c r="CE1524" s="2" t="s">
        <v>104</v>
      </c>
      <c r="CF1524" s="5">
        <v>42963</v>
      </c>
      <c r="CG1524" s="2"/>
      <c r="CH1524" s="2"/>
      <c r="CI1524" s="2">
        <v>1</v>
      </c>
      <c r="CJ1524" s="2">
        <v>1</v>
      </c>
      <c r="CK1524" s="2">
        <v>22</v>
      </c>
      <c r="CL1524" s="2" t="s">
        <v>86</v>
      </c>
      <c r="CM1524" s="2"/>
    </row>
    <row r="1525" spans="1:91">
      <c r="A1525" s="2" t="s">
        <v>71</v>
      </c>
      <c r="B1525" s="2" t="s">
        <v>72</v>
      </c>
      <c r="C1525" s="2" t="s">
        <v>73</v>
      </c>
      <c r="D1525" s="2"/>
      <c r="E1525" s="2" t="str">
        <f>"FES11625684600"</f>
        <v>FES11625684600</v>
      </c>
      <c r="F1525" s="3">
        <v>42961</v>
      </c>
      <c r="G1525" s="2">
        <v>201802</v>
      </c>
      <c r="H1525" s="2" t="s">
        <v>74</v>
      </c>
      <c r="I1525" s="2" t="s">
        <v>75</v>
      </c>
      <c r="J1525" s="2" t="s">
        <v>76</v>
      </c>
      <c r="K1525" s="2" t="s">
        <v>77</v>
      </c>
      <c r="L1525" s="2" t="s">
        <v>105</v>
      </c>
      <c r="M1525" s="2" t="s">
        <v>106</v>
      </c>
      <c r="N1525" s="2" t="s">
        <v>873</v>
      </c>
      <c r="O1525" s="2" t="s">
        <v>100</v>
      </c>
      <c r="P1525" s="2" t="str">
        <f>"2170584600                    "</f>
        <v xml:space="preserve">2170584600 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9.01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1</v>
      </c>
      <c r="BI1525" s="2">
        <v>2.6</v>
      </c>
      <c r="BJ1525" s="2">
        <v>4.4000000000000004</v>
      </c>
      <c r="BK1525" s="2">
        <v>4.5</v>
      </c>
      <c r="BL1525" s="2">
        <v>93.25</v>
      </c>
      <c r="BM1525" s="2">
        <v>13.06</v>
      </c>
      <c r="BN1525" s="2">
        <v>106.31</v>
      </c>
      <c r="BO1525" s="2">
        <v>106.31</v>
      </c>
      <c r="BP1525" s="2"/>
      <c r="BQ1525" s="2" t="s">
        <v>83</v>
      </c>
      <c r="BR1525" s="2" t="s">
        <v>84</v>
      </c>
      <c r="BS1525" s="3">
        <v>42962</v>
      </c>
      <c r="BT1525" s="4">
        <v>0.3972222222222222</v>
      </c>
      <c r="BU1525" s="2" t="s">
        <v>2232</v>
      </c>
      <c r="BV1525" s="2" t="s">
        <v>95</v>
      </c>
      <c r="BW1525" s="2"/>
      <c r="BX1525" s="2"/>
      <c r="BY1525" s="2">
        <v>22030.87</v>
      </c>
      <c r="BZ1525" s="2"/>
      <c r="CA1525" s="2" t="s">
        <v>869</v>
      </c>
      <c r="CB1525" s="2"/>
      <c r="CC1525" s="2" t="s">
        <v>106</v>
      </c>
      <c r="CD1525" s="2">
        <v>7460</v>
      </c>
      <c r="CE1525" s="2" t="s">
        <v>89</v>
      </c>
      <c r="CF1525" s="5">
        <v>42962</v>
      </c>
      <c r="CG1525" s="2"/>
      <c r="CH1525" s="2"/>
      <c r="CI1525" s="2">
        <v>1</v>
      </c>
      <c r="CJ1525" s="2">
        <v>1</v>
      </c>
      <c r="CK1525" s="2">
        <v>21</v>
      </c>
      <c r="CL1525" s="2" t="s">
        <v>86</v>
      </c>
      <c r="CM1525" s="2"/>
    </row>
    <row r="1526" spans="1:91">
      <c r="A1526" s="2" t="s">
        <v>71</v>
      </c>
      <c r="B1526" s="2" t="s">
        <v>72</v>
      </c>
      <c r="C1526" s="2" t="s">
        <v>73</v>
      </c>
      <c r="D1526" s="2"/>
      <c r="E1526" s="2" t="str">
        <f>"FES1162568549"</f>
        <v>FES1162568549</v>
      </c>
      <c r="F1526" s="3">
        <v>42961</v>
      </c>
      <c r="G1526" s="2">
        <v>201802</v>
      </c>
      <c r="H1526" s="2" t="s">
        <v>74</v>
      </c>
      <c r="I1526" s="2" t="s">
        <v>75</v>
      </c>
      <c r="J1526" s="2" t="s">
        <v>76</v>
      </c>
      <c r="K1526" s="2" t="s">
        <v>77</v>
      </c>
      <c r="L1526" s="2" t="s">
        <v>105</v>
      </c>
      <c r="M1526" s="2" t="s">
        <v>106</v>
      </c>
      <c r="N1526" s="2" t="s">
        <v>2078</v>
      </c>
      <c r="O1526" s="2" t="s">
        <v>100</v>
      </c>
      <c r="P1526" s="2" t="str">
        <f>"2170584388                    "</f>
        <v xml:space="preserve">2170584388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5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2.1</v>
      </c>
      <c r="BJ1526" s="2">
        <v>0.9</v>
      </c>
      <c r="BK1526" s="2">
        <v>2.5</v>
      </c>
      <c r="BL1526" s="2">
        <v>51.8</v>
      </c>
      <c r="BM1526" s="2">
        <v>7.25</v>
      </c>
      <c r="BN1526" s="2">
        <v>59.05</v>
      </c>
      <c r="BO1526" s="2">
        <v>59.05</v>
      </c>
      <c r="BP1526" s="2"/>
      <c r="BQ1526" s="2" t="s">
        <v>83</v>
      </c>
      <c r="BR1526" s="2" t="s">
        <v>84</v>
      </c>
      <c r="BS1526" s="3">
        <v>42962</v>
      </c>
      <c r="BT1526" s="4">
        <v>0.34722222222222227</v>
      </c>
      <c r="BU1526" s="2" t="s">
        <v>2199</v>
      </c>
      <c r="BV1526" s="2" t="s">
        <v>95</v>
      </c>
      <c r="BW1526" s="2"/>
      <c r="BX1526" s="2"/>
      <c r="BY1526" s="2">
        <v>4662.88</v>
      </c>
      <c r="BZ1526" s="2"/>
      <c r="CA1526" s="2"/>
      <c r="CB1526" s="2"/>
      <c r="CC1526" s="2" t="s">
        <v>106</v>
      </c>
      <c r="CD1526" s="2">
        <v>7530</v>
      </c>
      <c r="CE1526" s="2" t="s">
        <v>89</v>
      </c>
      <c r="CF1526" s="5">
        <v>42963</v>
      </c>
      <c r="CG1526" s="2"/>
      <c r="CH1526" s="2"/>
      <c r="CI1526" s="2">
        <v>1</v>
      </c>
      <c r="CJ1526" s="2">
        <v>1</v>
      </c>
      <c r="CK1526" s="2">
        <v>21</v>
      </c>
      <c r="CL1526" s="2" t="s">
        <v>86</v>
      </c>
      <c r="CM1526" s="2"/>
    </row>
    <row r="1527" spans="1:91">
      <c r="A1527" s="2" t="s">
        <v>71</v>
      </c>
      <c r="B1527" s="2" t="s">
        <v>72</v>
      </c>
      <c r="C1527" s="2" t="s">
        <v>73</v>
      </c>
      <c r="D1527" s="2"/>
      <c r="E1527" s="2" t="str">
        <f>"FES1162568552"</f>
        <v>FES1162568552</v>
      </c>
      <c r="F1527" s="3">
        <v>42961</v>
      </c>
      <c r="G1527" s="2">
        <v>201802</v>
      </c>
      <c r="H1527" s="2" t="s">
        <v>74</v>
      </c>
      <c r="I1527" s="2" t="s">
        <v>75</v>
      </c>
      <c r="J1527" s="2" t="s">
        <v>76</v>
      </c>
      <c r="K1527" s="2" t="s">
        <v>77</v>
      </c>
      <c r="L1527" s="2" t="s">
        <v>164</v>
      </c>
      <c r="M1527" s="2" t="s">
        <v>165</v>
      </c>
      <c r="N1527" s="2" t="s">
        <v>166</v>
      </c>
      <c r="O1527" s="2" t="s">
        <v>100</v>
      </c>
      <c r="P1527" s="2" t="str">
        <f>"2170584442                    "</f>
        <v xml:space="preserve">2170584442 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6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1</v>
      </c>
      <c r="BI1527" s="2">
        <v>2.8</v>
      </c>
      <c r="BJ1527" s="2">
        <v>1.5</v>
      </c>
      <c r="BK1527" s="2">
        <v>3</v>
      </c>
      <c r="BL1527" s="2">
        <v>62.16</v>
      </c>
      <c r="BM1527" s="2">
        <v>8.6999999999999993</v>
      </c>
      <c r="BN1527" s="2">
        <v>70.86</v>
      </c>
      <c r="BO1527" s="2">
        <v>70.86</v>
      </c>
      <c r="BP1527" s="2"/>
      <c r="BQ1527" s="2" t="s">
        <v>83</v>
      </c>
      <c r="BR1527" s="2" t="s">
        <v>84</v>
      </c>
      <c r="BS1527" s="3">
        <v>42962</v>
      </c>
      <c r="BT1527" s="4">
        <v>0.44375000000000003</v>
      </c>
      <c r="BU1527" s="2" t="s">
        <v>2233</v>
      </c>
      <c r="BV1527" s="2" t="s">
        <v>95</v>
      </c>
      <c r="BW1527" s="2"/>
      <c r="BX1527" s="2"/>
      <c r="BY1527" s="2">
        <v>7732.56</v>
      </c>
      <c r="BZ1527" s="2"/>
      <c r="CA1527" s="2" t="s">
        <v>1193</v>
      </c>
      <c r="CB1527" s="2"/>
      <c r="CC1527" s="2" t="s">
        <v>165</v>
      </c>
      <c r="CD1527" s="2">
        <v>6849</v>
      </c>
      <c r="CE1527" s="2" t="s">
        <v>89</v>
      </c>
      <c r="CF1527" s="5">
        <v>42963</v>
      </c>
      <c r="CG1527" s="2"/>
      <c r="CH1527" s="2"/>
      <c r="CI1527" s="2">
        <v>3</v>
      </c>
      <c r="CJ1527" s="2">
        <v>1</v>
      </c>
      <c r="CK1527" s="2">
        <v>21</v>
      </c>
      <c r="CL1527" s="2" t="s">
        <v>86</v>
      </c>
      <c r="CM1527" s="2"/>
    </row>
    <row r="1528" spans="1:91">
      <c r="A1528" s="2" t="s">
        <v>71</v>
      </c>
      <c r="B1528" s="2" t="s">
        <v>72</v>
      </c>
      <c r="C1528" s="2" t="s">
        <v>73</v>
      </c>
      <c r="D1528" s="2"/>
      <c r="E1528" s="2" t="str">
        <f>"FES1162568531"</f>
        <v>FES1162568531</v>
      </c>
      <c r="F1528" s="3">
        <v>42961</v>
      </c>
      <c r="G1528" s="2">
        <v>201802</v>
      </c>
      <c r="H1528" s="2" t="s">
        <v>74</v>
      </c>
      <c r="I1528" s="2" t="s">
        <v>75</v>
      </c>
      <c r="J1528" s="2" t="s">
        <v>76</v>
      </c>
      <c r="K1528" s="2" t="s">
        <v>77</v>
      </c>
      <c r="L1528" s="2" t="s">
        <v>362</v>
      </c>
      <c r="M1528" s="2" t="s">
        <v>363</v>
      </c>
      <c r="N1528" s="2" t="s">
        <v>364</v>
      </c>
      <c r="O1528" s="2" t="s">
        <v>100</v>
      </c>
      <c r="P1528" s="2" t="str">
        <f>"2170581396                    "</f>
        <v xml:space="preserve">2170581396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12.01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1</v>
      </c>
      <c r="BI1528" s="2">
        <v>4.2</v>
      </c>
      <c r="BJ1528" s="2">
        <v>5.7</v>
      </c>
      <c r="BK1528" s="2">
        <v>6</v>
      </c>
      <c r="BL1528" s="2">
        <v>124.33</v>
      </c>
      <c r="BM1528" s="2">
        <v>17.41</v>
      </c>
      <c r="BN1528" s="2">
        <v>141.74</v>
      </c>
      <c r="BO1528" s="2">
        <v>141.74</v>
      </c>
      <c r="BP1528" s="2"/>
      <c r="BQ1528" s="2" t="s">
        <v>83</v>
      </c>
      <c r="BR1528" s="2" t="s">
        <v>84</v>
      </c>
      <c r="BS1528" s="3">
        <v>42962</v>
      </c>
      <c r="BT1528" s="4">
        <v>0.38541666666666669</v>
      </c>
      <c r="BU1528" s="2" t="s">
        <v>707</v>
      </c>
      <c r="BV1528" s="2" t="s">
        <v>95</v>
      </c>
      <c r="BW1528" s="2"/>
      <c r="BX1528" s="2"/>
      <c r="BY1528" s="2">
        <v>28422.84</v>
      </c>
      <c r="BZ1528" s="2"/>
      <c r="CA1528" s="2" t="s">
        <v>685</v>
      </c>
      <c r="CB1528" s="2"/>
      <c r="CC1528" s="2" t="s">
        <v>363</v>
      </c>
      <c r="CD1528" s="2">
        <v>3201</v>
      </c>
      <c r="CE1528" s="2" t="s">
        <v>89</v>
      </c>
      <c r="CF1528" s="5">
        <v>42963</v>
      </c>
      <c r="CG1528" s="2"/>
      <c r="CH1528" s="2"/>
      <c r="CI1528" s="2">
        <v>1</v>
      </c>
      <c r="CJ1528" s="2">
        <v>1</v>
      </c>
      <c r="CK1528" s="2">
        <v>21</v>
      </c>
      <c r="CL1528" s="2" t="s">
        <v>86</v>
      </c>
      <c r="CM1528" s="2"/>
    </row>
    <row r="1529" spans="1:91">
      <c r="A1529" s="2" t="s">
        <v>71</v>
      </c>
      <c r="B1529" s="2" t="s">
        <v>72</v>
      </c>
      <c r="C1529" s="2" t="s">
        <v>73</v>
      </c>
      <c r="D1529" s="2"/>
      <c r="E1529" s="2" t="str">
        <f>"FES1162568586"</f>
        <v>FES1162568586</v>
      </c>
      <c r="F1529" s="3">
        <v>42961</v>
      </c>
      <c r="G1529" s="2">
        <v>201802</v>
      </c>
      <c r="H1529" s="2" t="s">
        <v>74</v>
      </c>
      <c r="I1529" s="2" t="s">
        <v>75</v>
      </c>
      <c r="J1529" s="2" t="s">
        <v>76</v>
      </c>
      <c r="K1529" s="2" t="s">
        <v>77</v>
      </c>
      <c r="L1529" s="2" t="s">
        <v>144</v>
      </c>
      <c r="M1529" s="2" t="s">
        <v>145</v>
      </c>
      <c r="N1529" s="2" t="s">
        <v>146</v>
      </c>
      <c r="O1529" s="2" t="s">
        <v>100</v>
      </c>
      <c r="P1529" s="2" t="str">
        <f>"2170584656                    "</f>
        <v xml:space="preserve">2170584656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3.13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1</v>
      </c>
      <c r="BJ1529" s="2">
        <v>0.2</v>
      </c>
      <c r="BK1529" s="2">
        <v>1</v>
      </c>
      <c r="BL1529" s="2">
        <v>32.380000000000003</v>
      </c>
      <c r="BM1529" s="2">
        <v>4.53</v>
      </c>
      <c r="BN1529" s="2">
        <v>36.909999999999997</v>
      </c>
      <c r="BO1529" s="2">
        <v>36.909999999999997</v>
      </c>
      <c r="BP1529" s="2"/>
      <c r="BQ1529" s="2" t="s">
        <v>83</v>
      </c>
      <c r="BR1529" s="2" t="s">
        <v>84</v>
      </c>
      <c r="BS1529" s="3">
        <v>42962</v>
      </c>
      <c r="BT1529" s="4">
        <v>0.41319444444444442</v>
      </c>
      <c r="BU1529" s="2" t="s">
        <v>1176</v>
      </c>
      <c r="BV1529" s="2" t="s">
        <v>95</v>
      </c>
      <c r="BW1529" s="2"/>
      <c r="BX1529" s="2"/>
      <c r="BY1529" s="2">
        <v>1200</v>
      </c>
      <c r="BZ1529" s="2"/>
      <c r="CA1529" s="2" t="s">
        <v>729</v>
      </c>
      <c r="CB1529" s="2"/>
      <c r="CC1529" s="2" t="s">
        <v>145</v>
      </c>
      <c r="CD1529" s="2">
        <v>2094</v>
      </c>
      <c r="CE1529" s="2" t="s">
        <v>104</v>
      </c>
      <c r="CF1529" s="5">
        <v>42963</v>
      </c>
      <c r="CG1529" s="2"/>
      <c r="CH1529" s="2"/>
      <c r="CI1529" s="2">
        <v>1</v>
      </c>
      <c r="CJ1529" s="2">
        <v>1</v>
      </c>
      <c r="CK1529" s="2">
        <v>22</v>
      </c>
      <c r="CL1529" s="2" t="s">
        <v>86</v>
      </c>
      <c r="CM1529" s="2"/>
    </row>
    <row r="1530" spans="1:91">
      <c r="A1530" s="2" t="s">
        <v>71</v>
      </c>
      <c r="B1530" s="2" t="s">
        <v>72</v>
      </c>
      <c r="C1530" s="2" t="s">
        <v>73</v>
      </c>
      <c r="D1530" s="2"/>
      <c r="E1530" s="2" t="str">
        <f>"FES1162568598"</f>
        <v>FES1162568598</v>
      </c>
      <c r="F1530" s="3">
        <v>42961</v>
      </c>
      <c r="G1530" s="2">
        <v>201802</v>
      </c>
      <c r="H1530" s="2" t="s">
        <v>74</v>
      </c>
      <c r="I1530" s="2" t="s">
        <v>75</v>
      </c>
      <c r="J1530" s="2" t="s">
        <v>76</v>
      </c>
      <c r="K1530" s="2" t="s">
        <v>77</v>
      </c>
      <c r="L1530" s="2" t="s">
        <v>510</v>
      </c>
      <c r="M1530" s="2" t="s">
        <v>511</v>
      </c>
      <c r="N1530" s="2" t="s">
        <v>2234</v>
      </c>
      <c r="O1530" s="2" t="s">
        <v>100</v>
      </c>
      <c r="P1530" s="2" t="str">
        <f>"2170584673                    "</f>
        <v xml:space="preserve">2170584673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13.01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1</v>
      </c>
      <c r="BI1530" s="2">
        <v>6.3</v>
      </c>
      <c r="BJ1530" s="2">
        <v>3.8</v>
      </c>
      <c r="BK1530" s="2">
        <v>6.5</v>
      </c>
      <c r="BL1530" s="2">
        <v>134.69</v>
      </c>
      <c r="BM1530" s="2">
        <v>18.86</v>
      </c>
      <c r="BN1530" s="2">
        <v>153.55000000000001</v>
      </c>
      <c r="BO1530" s="2">
        <v>153.55000000000001</v>
      </c>
      <c r="BP1530" s="2"/>
      <c r="BQ1530" s="2" t="s">
        <v>288</v>
      </c>
      <c r="BR1530" s="2" t="s">
        <v>84</v>
      </c>
      <c r="BS1530" s="3">
        <v>42962</v>
      </c>
      <c r="BT1530" s="4">
        <v>0.35069444444444442</v>
      </c>
      <c r="BU1530" s="2" t="s">
        <v>2235</v>
      </c>
      <c r="BV1530" s="2" t="s">
        <v>95</v>
      </c>
      <c r="BW1530" s="2"/>
      <c r="BX1530" s="2"/>
      <c r="BY1530" s="2">
        <v>19000.36</v>
      </c>
      <c r="BZ1530" s="2"/>
      <c r="CA1530" s="2" t="s">
        <v>514</v>
      </c>
      <c r="CB1530" s="2"/>
      <c r="CC1530" s="2" t="s">
        <v>511</v>
      </c>
      <c r="CD1530" s="2">
        <v>6229</v>
      </c>
      <c r="CE1530" s="2" t="s">
        <v>89</v>
      </c>
      <c r="CF1530" s="5">
        <v>42963</v>
      </c>
      <c r="CG1530" s="2"/>
      <c r="CH1530" s="2"/>
      <c r="CI1530" s="2">
        <v>1</v>
      </c>
      <c r="CJ1530" s="2">
        <v>1</v>
      </c>
      <c r="CK1530" s="2">
        <v>21</v>
      </c>
      <c r="CL1530" s="2" t="s">
        <v>86</v>
      </c>
      <c r="CM1530" s="2"/>
    </row>
    <row r="1531" spans="1:91">
      <c r="A1531" s="2" t="s">
        <v>71</v>
      </c>
      <c r="B1531" s="2" t="s">
        <v>72</v>
      </c>
      <c r="C1531" s="2" t="s">
        <v>73</v>
      </c>
      <c r="D1531" s="2"/>
      <c r="E1531" s="2" t="str">
        <f>"FES1162568525"</f>
        <v>FES1162568525</v>
      </c>
      <c r="F1531" s="3">
        <v>42961</v>
      </c>
      <c r="G1531" s="2">
        <v>201802</v>
      </c>
      <c r="H1531" s="2" t="s">
        <v>74</v>
      </c>
      <c r="I1531" s="2" t="s">
        <v>75</v>
      </c>
      <c r="J1531" s="2" t="s">
        <v>76</v>
      </c>
      <c r="K1531" s="2" t="s">
        <v>77</v>
      </c>
      <c r="L1531" s="2" t="s">
        <v>339</v>
      </c>
      <c r="M1531" s="2" t="s">
        <v>340</v>
      </c>
      <c r="N1531" s="2" t="s">
        <v>613</v>
      </c>
      <c r="O1531" s="2" t="s">
        <v>100</v>
      </c>
      <c r="P1531" s="2" t="str">
        <f>"2170584614                    "</f>
        <v xml:space="preserve">2170584614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4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1</v>
      </c>
      <c r="BI1531" s="2">
        <v>1.7</v>
      </c>
      <c r="BJ1531" s="2">
        <v>1.2</v>
      </c>
      <c r="BK1531" s="2">
        <v>2</v>
      </c>
      <c r="BL1531" s="2">
        <v>41.44</v>
      </c>
      <c r="BM1531" s="2">
        <v>5.8</v>
      </c>
      <c r="BN1531" s="2">
        <v>47.24</v>
      </c>
      <c r="BO1531" s="2">
        <v>47.24</v>
      </c>
      <c r="BP1531" s="2"/>
      <c r="BQ1531" s="2" t="s">
        <v>365</v>
      </c>
      <c r="BR1531" s="2" t="s">
        <v>84</v>
      </c>
      <c r="BS1531" s="3">
        <v>42962</v>
      </c>
      <c r="BT1531" s="4">
        <v>0.53819444444444442</v>
      </c>
      <c r="BU1531" s="2" t="s">
        <v>2212</v>
      </c>
      <c r="BV1531" s="2" t="s">
        <v>86</v>
      </c>
      <c r="BW1531" s="2"/>
      <c r="BX1531" s="2"/>
      <c r="BY1531" s="2">
        <v>5972.46</v>
      </c>
      <c r="BZ1531" s="2"/>
      <c r="CA1531" s="2" t="s">
        <v>2236</v>
      </c>
      <c r="CB1531" s="2"/>
      <c r="CC1531" s="2" t="s">
        <v>340</v>
      </c>
      <c r="CD1531" s="2">
        <v>1947</v>
      </c>
      <c r="CE1531" s="2" t="s">
        <v>89</v>
      </c>
      <c r="CF1531" s="5">
        <v>42963</v>
      </c>
      <c r="CG1531" s="2"/>
      <c r="CH1531" s="2"/>
      <c r="CI1531" s="2">
        <v>1</v>
      </c>
      <c r="CJ1531" s="2">
        <v>1</v>
      </c>
      <c r="CK1531" s="2">
        <v>21</v>
      </c>
      <c r="CL1531" s="2" t="s">
        <v>86</v>
      </c>
      <c r="CM1531" s="2"/>
    </row>
    <row r="1532" spans="1:91">
      <c r="A1532" s="2" t="s">
        <v>71</v>
      </c>
      <c r="B1532" s="2" t="s">
        <v>72</v>
      </c>
      <c r="C1532" s="2" t="s">
        <v>73</v>
      </c>
      <c r="D1532" s="2"/>
      <c r="E1532" s="2" t="str">
        <f>"FES1162568514"</f>
        <v>FES1162568514</v>
      </c>
      <c r="F1532" s="3">
        <v>42961</v>
      </c>
      <c r="G1532" s="2">
        <v>201802</v>
      </c>
      <c r="H1532" s="2" t="s">
        <v>74</v>
      </c>
      <c r="I1532" s="2" t="s">
        <v>75</v>
      </c>
      <c r="J1532" s="2" t="s">
        <v>76</v>
      </c>
      <c r="K1532" s="2" t="s">
        <v>77</v>
      </c>
      <c r="L1532" s="2" t="s">
        <v>149</v>
      </c>
      <c r="M1532" s="2" t="s">
        <v>150</v>
      </c>
      <c r="N1532" s="2" t="s">
        <v>2237</v>
      </c>
      <c r="O1532" s="2" t="s">
        <v>100</v>
      </c>
      <c r="P1532" s="2" t="str">
        <f>"2170584602                    "</f>
        <v xml:space="preserve">2170584602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7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2.8</v>
      </c>
      <c r="BJ1532" s="2">
        <v>3.4</v>
      </c>
      <c r="BK1532" s="2">
        <v>3.5</v>
      </c>
      <c r="BL1532" s="2">
        <v>72.52</v>
      </c>
      <c r="BM1532" s="2">
        <v>10.15</v>
      </c>
      <c r="BN1532" s="2">
        <v>82.67</v>
      </c>
      <c r="BO1532" s="2">
        <v>82.67</v>
      </c>
      <c r="BP1532" s="2"/>
      <c r="BQ1532" s="2" t="s">
        <v>288</v>
      </c>
      <c r="BR1532" s="2" t="s">
        <v>84</v>
      </c>
      <c r="BS1532" s="3">
        <v>42962</v>
      </c>
      <c r="BT1532" s="4">
        <v>0.4375</v>
      </c>
      <c r="BU1532" s="2" t="s">
        <v>2238</v>
      </c>
      <c r="BV1532" s="2" t="s">
        <v>95</v>
      </c>
      <c r="BW1532" s="2"/>
      <c r="BX1532" s="2"/>
      <c r="BY1532" s="2">
        <v>17059.59</v>
      </c>
      <c r="BZ1532" s="2"/>
      <c r="CA1532" s="2" t="s">
        <v>235</v>
      </c>
      <c r="CB1532" s="2"/>
      <c r="CC1532" s="2" t="s">
        <v>150</v>
      </c>
      <c r="CD1532" s="2">
        <v>4052</v>
      </c>
      <c r="CE1532" s="2" t="s">
        <v>89</v>
      </c>
      <c r="CF1532" s="5">
        <v>42963</v>
      </c>
      <c r="CG1532" s="2"/>
      <c r="CH1532" s="2"/>
      <c r="CI1532" s="2">
        <v>1</v>
      </c>
      <c r="CJ1532" s="2">
        <v>1</v>
      </c>
      <c r="CK1532" s="2">
        <v>21</v>
      </c>
      <c r="CL1532" s="2" t="s">
        <v>86</v>
      </c>
      <c r="CM1532" s="2"/>
    </row>
    <row r="1533" spans="1:91">
      <c r="A1533" s="2" t="s">
        <v>71</v>
      </c>
      <c r="B1533" s="2" t="s">
        <v>72</v>
      </c>
      <c r="C1533" s="2" t="s">
        <v>73</v>
      </c>
      <c r="D1533" s="2"/>
      <c r="E1533" s="2" t="str">
        <f>"FES1162568543"</f>
        <v>FES1162568543</v>
      </c>
      <c r="F1533" s="3">
        <v>42961</v>
      </c>
      <c r="G1533" s="2">
        <v>201802</v>
      </c>
      <c r="H1533" s="2" t="s">
        <v>74</v>
      </c>
      <c r="I1533" s="2" t="s">
        <v>75</v>
      </c>
      <c r="J1533" s="2" t="s">
        <v>76</v>
      </c>
      <c r="K1533" s="2" t="s">
        <v>77</v>
      </c>
      <c r="L1533" s="2" t="s">
        <v>417</v>
      </c>
      <c r="M1533" s="2" t="s">
        <v>417</v>
      </c>
      <c r="N1533" s="2" t="s">
        <v>475</v>
      </c>
      <c r="O1533" s="2" t="s">
        <v>100</v>
      </c>
      <c r="P1533" s="2" t="str">
        <f>"2170584012                    "</f>
        <v xml:space="preserve">2170584012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19.010000000000002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6.8</v>
      </c>
      <c r="BJ1533" s="2">
        <v>9.1999999999999993</v>
      </c>
      <c r="BK1533" s="2">
        <v>9.5</v>
      </c>
      <c r="BL1533" s="2">
        <v>196.85</v>
      </c>
      <c r="BM1533" s="2">
        <v>27.56</v>
      </c>
      <c r="BN1533" s="2">
        <v>224.41</v>
      </c>
      <c r="BO1533" s="2">
        <v>224.41</v>
      </c>
      <c r="BP1533" s="2"/>
      <c r="BQ1533" s="2" t="s">
        <v>108</v>
      </c>
      <c r="BR1533" s="2" t="s">
        <v>84</v>
      </c>
      <c r="BS1533" s="3">
        <v>42962</v>
      </c>
      <c r="BT1533" s="4">
        <v>0.5</v>
      </c>
      <c r="BU1533" s="2" t="s">
        <v>2239</v>
      </c>
      <c r="BV1533" s="2" t="s">
        <v>95</v>
      </c>
      <c r="BW1533" s="2"/>
      <c r="BX1533" s="2"/>
      <c r="BY1533" s="2">
        <v>46174.5</v>
      </c>
      <c r="BZ1533" s="2"/>
      <c r="CA1533" s="2" t="s">
        <v>148</v>
      </c>
      <c r="CB1533" s="2"/>
      <c r="CC1533" s="2" t="s">
        <v>417</v>
      </c>
      <c r="CD1533" s="2">
        <v>7646</v>
      </c>
      <c r="CE1533" s="2" t="s">
        <v>89</v>
      </c>
      <c r="CF1533" s="5">
        <v>42962</v>
      </c>
      <c r="CG1533" s="2"/>
      <c r="CH1533" s="2"/>
      <c r="CI1533" s="2">
        <v>1</v>
      </c>
      <c r="CJ1533" s="2">
        <v>1</v>
      </c>
      <c r="CK1533" s="2">
        <v>21</v>
      </c>
      <c r="CL1533" s="2" t="s">
        <v>86</v>
      </c>
      <c r="CM1533" s="2"/>
    </row>
    <row r="1534" spans="1:91">
      <c r="A1534" s="2" t="s">
        <v>71</v>
      </c>
      <c r="B1534" s="2" t="s">
        <v>72</v>
      </c>
      <c r="C1534" s="2" t="s">
        <v>73</v>
      </c>
      <c r="D1534" s="2"/>
      <c r="E1534" s="2" t="str">
        <f>"FES1162568550"</f>
        <v>FES1162568550</v>
      </c>
      <c r="F1534" s="3">
        <v>42961</v>
      </c>
      <c r="G1534" s="2">
        <v>201802</v>
      </c>
      <c r="H1534" s="2" t="s">
        <v>74</v>
      </c>
      <c r="I1534" s="2" t="s">
        <v>75</v>
      </c>
      <c r="J1534" s="2" t="s">
        <v>76</v>
      </c>
      <c r="K1534" s="2" t="s">
        <v>77</v>
      </c>
      <c r="L1534" s="2" t="s">
        <v>343</v>
      </c>
      <c r="M1534" s="2" t="s">
        <v>344</v>
      </c>
      <c r="N1534" s="2" t="s">
        <v>351</v>
      </c>
      <c r="O1534" s="2" t="s">
        <v>100</v>
      </c>
      <c r="P1534" s="2" t="str">
        <f>"2170584400                    "</f>
        <v xml:space="preserve">2170584400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4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1</v>
      </c>
      <c r="BI1534" s="2">
        <v>1</v>
      </c>
      <c r="BJ1534" s="2">
        <v>0.2</v>
      </c>
      <c r="BK1534" s="2">
        <v>1</v>
      </c>
      <c r="BL1534" s="2">
        <v>41.44</v>
      </c>
      <c r="BM1534" s="2">
        <v>5.8</v>
      </c>
      <c r="BN1534" s="2">
        <v>47.24</v>
      </c>
      <c r="BO1534" s="2">
        <v>47.24</v>
      </c>
      <c r="BP1534" s="2"/>
      <c r="BQ1534" s="2" t="s">
        <v>1582</v>
      </c>
      <c r="BR1534" s="2" t="s">
        <v>84</v>
      </c>
      <c r="BS1534" s="3">
        <v>42962</v>
      </c>
      <c r="BT1534" s="4">
        <v>0.37708333333333338</v>
      </c>
      <c r="BU1534" s="2" t="s">
        <v>2240</v>
      </c>
      <c r="BV1534" s="2" t="s">
        <v>95</v>
      </c>
      <c r="BW1534" s="2"/>
      <c r="BX1534" s="2"/>
      <c r="BY1534" s="2">
        <v>1200</v>
      </c>
      <c r="BZ1534" s="2"/>
      <c r="CA1534" s="2" t="s">
        <v>347</v>
      </c>
      <c r="CB1534" s="2"/>
      <c r="CC1534" s="2" t="s">
        <v>344</v>
      </c>
      <c r="CD1534" s="2">
        <v>4133</v>
      </c>
      <c r="CE1534" s="2" t="s">
        <v>104</v>
      </c>
      <c r="CF1534" s="5">
        <v>42963</v>
      </c>
      <c r="CG1534" s="2"/>
      <c r="CH1534" s="2"/>
      <c r="CI1534" s="2">
        <v>1</v>
      </c>
      <c r="CJ1534" s="2">
        <v>1</v>
      </c>
      <c r="CK1534" s="2">
        <v>21</v>
      </c>
      <c r="CL1534" s="2" t="s">
        <v>86</v>
      </c>
      <c r="CM1534" s="2"/>
    </row>
    <row r="1535" spans="1:91">
      <c r="A1535" s="2" t="s">
        <v>71</v>
      </c>
      <c r="B1535" s="2" t="s">
        <v>72</v>
      </c>
      <c r="C1535" s="2" t="s">
        <v>73</v>
      </c>
      <c r="D1535" s="2"/>
      <c r="E1535" s="2" t="str">
        <f>"FES1162568621"</f>
        <v>FES1162568621</v>
      </c>
      <c r="F1535" s="3">
        <v>42961</v>
      </c>
      <c r="G1535" s="2">
        <v>201802</v>
      </c>
      <c r="H1535" s="2" t="s">
        <v>74</v>
      </c>
      <c r="I1535" s="2" t="s">
        <v>75</v>
      </c>
      <c r="J1535" s="2" t="s">
        <v>76</v>
      </c>
      <c r="K1535" s="2" t="s">
        <v>77</v>
      </c>
      <c r="L1535" s="2" t="s">
        <v>268</v>
      </c>
      <c r="M1535" s="2" t="s">
        <v>269</v>
      </c>
      <c r="N1535" s="2" t="s">
        <v>402</v>
      </c>
      <c r="O1535" s="2" t="s">
        <v>100</v>
      </c>
      <c r="P1535" s="2" t="str">
        <f>"2170584685                    "</f>
        <v xml:space="preserve">2170584685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6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1.7</v>
      </c>
      <c r="BJ1535" s="2">
        <v>2.8</v>
      </c>
      <c r="BK1535" s="2">
        <v>3</v>
      </c>
      <c r="BL1535" s="2">
        <v>62.16</v>
      </c>
      <c r="BM1535" s="2">
        <v>8.6999999999999993</v>
      </c>
      <c r="BN1535" s="2">
        <v>70.86</v>
      </c>
      <c r="BO1535" s="2">
        <v>70.86</v>
      </c>
      <c r="BP1535" s="2"/>
      <c r="BQ1535" s="2" t="s">
        <v>1812</v>
      </c>
      <c r="BR1535" s="2" t="s">
        <v>84</v>
      </c>
      <c r="BS1535" s="3">
        <v>42962</v>
      </c>
      <c r="BT1535" s="4">
        <v>0.46180555555555558</v>
      </c>
      <c r="BU1535" s="2" t="s">
        <v>369</v>
      </c>
      <c r="BV1535" s="2" t="s">
        <v>95</v>
      </c>
      <c r="BW1535" s="2"/>
      <c r="BX1535" s="2"/>
      <c r="BY1535" s="2">
        <v>14094.08</v>
      </c>
      <c r="BZ1535" s="2"/>
      <c r="CA1535" s="2"/>
      <c r="CB1535" s="2"/>
      <c r="CC1535" s="2" t="s">
        <v>269</v>
      </c>
      <c r="CD1535" s="2">
        <v>82</v>
      </c>
      <c r="CE1535" s="2" t="s">
        <v>89</v>
      </c>
      <c r="CF1535" s="5">
        <v>42963</v>
      </c>
      <c r="CG1535" s="2"/>
      <c r="CH1535" s="2"/>
      <c r="CI1535" s="2">
        <v>1</v>
      </c>
      <c r="CJ1535" s="2">
        <v>1</v>
      </c>
      <c r="CK1535" s="2">
        <v>21</v>
      </c>
      <c r="CL1535" s="2" t="s">
        <v>86</v>
      </c>
      <c r="CM1535" s="2"/>
    </row>
    <row r="1536" spans="1:91">
      <c r="A1536" s="2" t="s">
        <v>71</v>
      </c>
      <c r="B1536" s="2" t="s">
        <v>72</v>
      </c>
      <c r="C1536" s="2" t="s">
        <v>73</v>
      </c>
      <c r="D1536" s="2"/>
      <c r="E1536" s="2" t="str">
        <f>"FES1162568585"</f>
        <v>FES1162568585</v>
      </c>
      <c r="F1536" s="3">
        <v>42961</v>
      </c>
      <c r="G1536" s="2">
        <v>201802</v>
      </c>
      <c r="H1536" s="2" t="s">
        <v>74</v>
      </c>
      <c r="I1536" s="2" t="s">
        <v>75</v>
      </c>
      <c r="J1536" s="2" t="s">
        <v>76</v>
      </c>
      <c r="K1536" s="2" t="s">
        <v>77</v>
      </c>
      <c r="L1536" s="2" t="s">
        <v>74</v>
      </c>
      <c r="M1536" s="2" t="s">
        <v>75</v>
      </c>
      <c r="N1536" s="2" t="s">
        <v>567</v>
      </c>
      <c r="O1536" s="2" t="s">
        <v>100</v>
      </c>
      <c r="P1536" s="2" t="str">
        <f>"2170584655                    "</f>
        <v xml:space="preserve">2170584655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3.13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2</v>
      </c>
      <c r="BJ1536" s="2">
        <v>1.3</v>
      </c>
      <c r="BK1536" s="2">
        <v>2</v>
      </c>
      <c r="BL1536" s="2">
        <v>32.380000000000003</v>
      </c>
      <c r="BM1536" s="2">
        <v>4.53</v>
      </c>
      <c r="BN1536" s="2">
        <v>36.909999999999997</v>
      </c>
      <c r="BO1536" s="2">
        <v>36.909999999999997</v>
      </c>
      <c r="BP1536" s="2"/>
      <c r="BQ1536" s="2" t="s">
        <v>568</v>
      </c>
      <c r="BR1536" s="2" t="s">
        <v>84</v>
      </c>
      <c r="BS1536" s="3">
        <v>42962</v>
      </c>
      <c r="BT1536" s="4">
        <v>0.39583333333333331</v>
      </c>
      <c r="BU1536" s="2" t="s">
        <v>2241</v>
      </c>
      <c r="BV1536" s="2" t="s">
        <v>95</v>
      </c>
      <c r="BW1536" s="2"/>
      <c r="BX1536" s="2"/>
      <c r="BY1536" s="2">
        <v>6725.76</v>
      </c>
      <c r="BZ1536" s="2"/>
      <c r="CA1536" s="2" t="s">
        <v>2242</v>
      </c>
      <c r="CB1536" s="2"/>
      <c r="CC1536" s="2" t="s">
        <v>75</v>
      </c>
      <c r="CD1536" s="2">
        <v>1682</v>
      </c>
      <c r="CE1536" s="2" t="s">
        <v>89</v>
      </c>
      <c r="CF1536" s="5">
        <v>42963</v>
      </c>
      <c r="CG1536" s="2"/>
      <c r="CH1536" s="2"/>
      <c r="CI1536" s="2">
        <v>1</v>
      </c>
      <c r="CJ1536" s="2">
        <v>1</v>
      </c>
      <c r="CK1536" s="2">
        <v>22</v>
      </c>
      <c r="CL1536" s="2" t="s">
        <v>86</v>
      </c>
      <c r="CM1536" s="2"/>
    </row>
    <row r="1537" spans="1:91">
      <c r="A1537" s="2" t="s">
        <v>71</v>
      </c>
      <c r="B1537" s="2" t="s">
        <v>72</v>
      </c>
      <c r="C1537" s="2" t="s">
        <v>73</v>
      </c>
      <c r="D1537" s="2"/>
      <c r="E1537" s="2" t="str">
        <f>"FES1162568555"</f>
        <v>FES1162568555</v>
      </c>
      <c r="F1537" s="3">
        <v>42961</v>
      </c>
      <c r="G1537" s="2">
        <v>201802</v>
      </c>
      <c r="H1537" s="2" t="s">
        <v>74</v>
      </c>
      <c r="I1537" s="2" t="s">
        <v>75</v>
      </c>
      <c r="J1537" s="2" t="s">
        <v>76</v>
      </c>
      <c r="K1537" s="2" t="s">
        <v>77</v>
      </c>
      <c r="L1537" s="2" t="s">
        <v>144</v>
      </c>
      <c r="M1537" s="2" t="s">
        <v>145</v>
      </c>
      <c r="N1537" s="2" t="s">
        <v>2243</v>
      </c>
      <c r="O1537" s="2" t="s">
        <v>100</v>
      </c>
      <c r="P1537" s="2" t="str">
        <f>"2170584581                    "</f>
        <v xml:space="preserve">2170584581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3.13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2.2000000000000002</v>
      </c>
      <c r="BJ1537" s="2">
        <v>0.9</v>
      </c>
      <c r="BK1537" s="2">
        <v>3</v>
      </c>
      <c r="BL1537" s="2">
        <v>32.380000000000003</v>
      </c>
      <c r="BM1537" s="2">
        <v>4.53</v>
      </c>
      <c r="BN1537" s="2">
        <v>36.909999999999997</v>
      </c>
      <c r="BO1537" s="2">
        <v>36.909999999999997</v>
      </c>
      <c r="BP1537" s="2"/>
      <c r="BQ1537" s="2" t="s">
        <v>288</v>
      </c>
      <c r="BR1537" s="2" t="s">
        <v>84</v>
      </c>
      <c r="BS1537" s="3">
        <v>42962</v>
      </c>
      <c r="BT1537" s="4">
        <v>0.37152777777777773</v>
      </c>
      <c r="BU1537" s="2" t="s">
        <v>1458</v>
      </c>
      <c r="BV1537" s="2" t="s">
        <v>95</v>
      </c>
      <c r="BW1537" s="2"/>
      <c r="BX1537" s="2"/>
      <c r="BY1537" s="2">
        <v>4457.8599999999997</v>
      </c>
      <c r="BZ1537" s="2"/>
      <c r="CA1537" s="2" t="s">
        <v>414</v>
      </c>
      <c r="CB1537" s="2"/>
      <c r="CC1537" s="2" t="s">
        <v>145</v>
      </c>
      <c r="CD1537" s="2">
        <v>2093</v>
      </c>
      <c r="CE1537" s="2" t="s">
        <v>89</v>
      </c>
      <c r="CF1537" s="5">
        <v>42963</v>
      </c>
      <c r="CG1537" s="2"/>
      <c r="CH1537" s="2"/>
      <c r="CI1537" s="2">
        <v>1</v>
      </c>
      <c r="CJ1537" s="2">
        <v>1</v>
      </c>
      <c r="CK1537" s="2">
        <v>22</v>
      </c>
      <c r="CL1537" s="2" t="s">
        <v>86</v>
      </c>
      <c r="CM1537" s="2"/>
    </row>
    <row r="1538" spans="1:91">
      <c r="A1538" s="2" t="s">
        <v>71</v>
      </c>
      <c r="B1538" s="2" t="s">
        <v>72</v>
      </c>
      <c r="C1538" s="2" t="s">
        <v>73</v>
      </c>
      <c r="D1538" s="2"/>
      <c r="E1538" s="2" t="str">
        <f>"FES1162568558"</f>
        <v>FES1162568558</v>
      </c>
      <c r="F1538" s="3">
        <v>42961</v>
      </c>
      <c r="G1538" s="2">
        <v>201802</v>
      </c>
      <c r="H1538" s="2" t="s">
        <v>74</v>
      </c>
      <c r="I1538" s="2" t="s">
        <v>75</v>
      </c>
      <c r="J1538" s="2" t="s">
        <v>76</v>
      </c>
      <c r="K1538" s="2" t="s">
        <v>77</v>
      </c>
      <c r="L1538" s="2" t="s">
        <v>144</v>
      </c>
      <c r="M1538" s="2" t="s">
        <v>145</v>
      </c>
      <c r="N1538" s="2" t="s">
        <v>282</v>
      </c>
      <c r="O1538" s="2" t="s">
        <v>100</v>
      </c>
      <c r="P1538" s="2" t="str">
        <f>"2170584622                    "</f>
        <v xml:space="preserve">2170584622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3.13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2.1</v>
      </c>
      <c r="BJ1538" s="2">
        <v>1.1000000000000001</v>
      </c>
      <c r="BK1538" s="2">
        <v>3</v>
      </c>
      <c r="BL1538" s="2">
        <v>32.380000000000003</v>
      </c>
      <c r="BM1538" s="2">
        <v>4.53</v>
      </c>
      <c r="BN1538" s="2">
        <v>36.909999999999997</v>
      </c>
      <c r="BO1538" s="2">
        <v>36.909999999999997</v>
      </c>
      <c r="BP1538" s="2"/>
      <c r="BQ1538" s="2" t="s">
        <v>288</v>
      </c>
      <c r="BR1538" s="2" t="s">
        <v>84</v>
      </c>
      <c r="BS1538" s="3">
        <v>42962</v>
      </c>
      <c r="BT1538" s="4">
        <v>0.31597222222222221</v>
      </c>
      <c r="BU1538" s="2" t="s">
        <v>2244</v>
      </c>
      <c r="BV1538" s="2" t="s">
        <v>95</v>
      </c>
      <c r="BW1538" s="2"/>
      <c r="BX1538" s="2"/>
      <c r="BY1538" s="2">
        <v>5508.44</v>
      </c>
      <c r="BZ1538" s="2"/>
      <c r="CA1538" s="2" t="s">
        <v>1238</v>
      </c>
      <c r="CB1538" s="2"/>
      <c r="CC1538" s="2" t="s">
        <v>145</v>
      </c>
      <c r="CD1538" s="2">
        <v>2094</v>
      </c>
      <c r="CE1538" s="2" t="s">
        <v>89</v>
      </c>
      <c r="CF1538" s="5">
        <v>42963</v>
      </c>
      <c r="CG1538" s="2"/>
      <c r="CH1538" s="2"/>
      <c r="CI1538" s="2">
        <v>1</v>
      </c>
      <c r="CJ1538" s="2">
        <v>1</v>
      </c>
      <c r="CK1538" s="2">
        <v>22</v>
      </c>
      <c r="CL1538" s="2" t="s">
        <v>86</v>
      </c>
      <c r="CM1538" s="2"/>
    </row>
    <row r="1539" spans="1:91">
      <c r="A1539" s="2" t="s">
        <v>71</v>
      </c>
      <c r="B1539" s="2" t="s">
        <v>72</v>
      </c>
      <c r="C1539" s="2" t="s">
        <v>73</v>
      </c>
      <c r="D1539" s="2"/>
      <c r="E1539" s="2" t="str">
        <f>"FES1162568615"</f>
        <v>FES1162568615</v>
      </c>
      <c r="F1539" s="3">
        <v>42961</v>
      </c>
      <c r="G1539" s="2">
        <v>201802</v>
      </c>
      <c r="H1539" s="2" t="s">
        <v>74</v>
      </c>
      <c r="I1539" s="2" t="s">
        <v>75</v>
      </c>
      <c r="J1539" s="2" t="s">
        <v>76</v>
      </c>
      <c r="K1539" s="2" t="s">
        <v>77</v>
      </c>
      <c r="L1539" s="2" t="s">
        <v>362</v>
      </c>
      <c r="M1539" s="2" t="s">
        <v>363</v>
      </c>
      <c r="N1539" s="2" t="s">
        <v>683</v>
      </c>
      <c r="O1539" s="2" t="s">
        <v>100</v>
      </c>
      <c r="P1539" s="2" t="str">
        <f>"2170584689                    "</f>
        <v xml:space="preserve">2170584689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4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1</v>
      </c>
      <c r="BJ1539" s="2">
        <v>0.2</v>
      </c>
      <c r="BK1539" s="2">
        <v>1</v>
      </c>
      <c r="BL1539" s="2">
        <v>41.44</v>
      </c>
      <c r="BM1539" s="2">
        <v>5.8</v>
      </c>
      <c r="BN1539" s="2">
        <v>47.24</v>
      </c>
      <c r="BO1539" s="2">
        <v>47.24</v>
      </c>
      <c r="BP1539" s="2"/>
      <c r="BQ1539" s="2" t="s">
        <v>108</v>
      </c>
      <c r="BR1539" s="2" t="s">
        <v>84</v>
      </c>
      <c r="BS1539" s="3">
        <v>42962</v>
      </c>
      <c r="BT1539" s="4">
        <v>0.4375</v>
      </c>
      <c r="BU1539" s="2" t="s">
        <v>684</v>
      </c>
      <c r="BV1539" s="2" t="s">
        <v>95</v>
      </c>
      <c r="BW1539" s="2"/>
      <c r="BX1539" s="2"/>
      <c r="BY1539" s="2">
        <v>1200</v>
      </c>
      <c r="BZ1539" s="2"/>
      <c r="CA1539" s="2" t="s">
        <v>685</v>
      </c>
      <c r="CB1539" s="2"/>
      <c r="CC1539" s="2" t="s">
        <v>363</v>
      </c>
      <c r="CD1539" s="2">
        <v>3201</v>
      </c>
      <c r="CE1539" s="2" t="s">
        <v>104</v>
      </c>
      <c r="CF1539" s="5">
        <v>42963</v>
      </c>
      <c r="CG1539" s="2"/>
      <c r="CH1539" s="2"/>
      <c r="CI1539" s="2">
        <v>1</v>
      </c>
      <c r="CJ1539" s="2">
        <v>1</v>
      </c>
      <c r="CK1539" s="2">
        <v>21</v>
      </c>
      <c r="CL1539" s="2" t="s">
        <v>86</v>
      </c>
      <c r="CM1539" s="2"/>
    </row>
    <row r="1540" spans="1:91">
      <c r="A1540" s="2" t="s">
        <v>71</v>
      </c>
      <c r="B1540" s="2" t="s">
        <v>72</v>
      </c>
      <c r="C1540" s="2" t="s">
        <v>73</v>
      </c>
      <c r="D1540" s="2"/>
      <c r="E1540" s="2" t="str">
        <f>"FES1162568595"</f>
        <v>FES1162568595</v>
      </c>
      <c r="F1540" s="3">
        <v>42961</v>
      </c>
      <c r="G1540" s="2">
        <v>201802</v>
      </c>
      <c r="H1540" s="2" t="s">
        <v>74</v>
      </c>
      <c r="I1540" s="2" t="s">
        <v>75</v>
      </c>
      <c r="J1540" s="2" t="s">
        <v>76</v>
      </c>
      <c r="K1540" s="2" t="s">
        <v>77</v>
      </c>
      <c r="L1540" s="2" t="s">
        <v>149</v>
      </c>
      <c r="M1540" s="2" t="s">
        <v>150</v>
      </c>
      <c r="N1540" s="2" t="s">
        <v>503</v>
      </c>
      <c r="O1540" s="2" t="s">
        <v>100</v>
      </c>
      <c r="P1540" s="2" t="str">
        <f>"2170584665                    "</f>
        <v xml:space="preserve">2170584665 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4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1</v>
      </c>
      <c r="BJ1540" s="2">
        <v>0.2</v>
      </c>
      <c r="BK1540" s="2">
        <v>1</v>
      </c>
      <c r="BL1540" s="2">
        <v>41.44</v>
      </c>
      <c r="BM1540" s="2">
        <v>5.8</v>
      </c>
      <c r="BN1540" s="2">
        <v>47.24</v>
      </c>
      <c r="BO1540" s="2">
        <v>47.24</v>
      </c>
      <c r="BP1540" s="2"/>
      <c r="BQ1540" s="2" t="s">
        <v>504</v>
      </c>
      <c r="BR1540" s="2" t="s">
        <v>84</v>
      </c>
      <c r="BS1540" s="3">
        <v>42962</v>
      </c>
      <c r="BT1540" s="4">
        <v>0.43194444444444446</v>
      </c>
      <c r="BU1540" s="2" t="s">
        <v>2245</v>
      </c>
      <c r="BV1540" s="2" t="s">
        <v>95</v>
      </c>
      <c r="BW1540" s="2"/>
      <c r="BX1540" s="2"/>
      <c r="BY1540" s="2">
        <v>1200</v>
      </c>
      <c r="BZ1540" s="2"/>
      <c r="CA1540" s="2" t="s">
        <v>682</v>
      </c>
      <c r="CB1540" s="2"/>
      <c r="CC1540" s="2" t="s">
        <v>150</v>
      </c>
      <c r="CD1540" s="2">
        <v>4001</v>
      </c>
      <c r="CE1540" s="2" t="s">
        <v>104</v>
      </c>
      <c r="CF1540" s="5">
        <v>42963</v>
      </c>
      <c r="CG1540" s="2"/>
      <c r="CH1540" s="2"/>
      <c r="CI1540" s="2">
        <v>1</v>
      </c>
      <c r="CJ1540" s="2">
        <v>1</v>
      </c>
      <c r="CK1540" s="2">
        <v>21</v>
      </c>
      <c r="CL1540" s="2" t="s">
        <v>86</v>
      </c>
      <c r="CM1540" s="2"/>
    </row>
    <row r="1541" spans="1:91">
      <c r="A1541" s="2" t="s">
        <v>71</v>
      </c>
      <c r="B1541" s="2" t="s">
        <v>72</v>
      </c>
      <c r="C1541" s="2" t="s">
        <v>73</v>
      </c>
      <c r="D1541" s="2"/>
      <c r="E1541" s="2" t="str">
        <f>"FES1162568674"</f>
        <v>FES1162568674</v>
      </c>
      <c r="F1541" s="3">
        <v>42961</v>
      </c>
      <c r="G1541" s="2">
        <v>201802</v>
      </c>
      <c r="H1541" s="2" t="s">
        <v>74</v>
      </c>
      <c r="I1541" s="2" t="s">
        <v>75</v>
      </c>
      <c r="J1541" s="2" t="s">
        <v>76</v>
      </c>
      <c r="K1541" s="2" t="s">
        <v>77</v>
      </c>
      <c r="L1541" s="2" t="s">
        <v>362</v>
      </c>
      <c r="M1541" s="2" t="s">
        <v>363</v>
      </c>
      <c r="N1541" s="2" t="s">
        <v>683</v>
      </c>
      <c r="O1541" s="2" t="s">
        <v>100</v>
      </c>
      <c r="P1541" s="2" t="str">
        <f>"2170584702                    "</f>
        <v xml:space="preserve">2170584702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4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1</v>
      </c>
      <c r="BJ1541" s="2">
        <v>0.2</v>
      </c>
      <c r="BK1541" s="2">
        <v>1</v>
      </c>
      <c r="BL1541" s="2">
        <v>41.44</v>
      </c>
      <c r="BM1541" s="2">
        <v>5.8</v>
      </c>
      <c r="BN1541" s="2">
        <v>47.24</v>
      </c>
      <c r="BO1541" s="2">
        <v>47.24</v>
      </c>
      <c r="BP1541" s="2"/>
      <c r="BQ1541" s="2" t="s">
        <v>108</v>
      </c>
      <c r="BR1541" s="2" t="s">
        <v>84</v>
      </c>
      <c r="BS1541" s="3">
        <v>42962</v>
      </c>
      <c r="BT1541" s="4">
        <v>0.4375</v>
      </c>
      <c r="BU1541" s="2" t="s">
        <v>684</v>
      </c>
      <c r="BV1541" s="2" t="s">
        <v>95</v>
      </c>
      <c r="BW1541" s="2"/>
      <c r="BX1541" s="2"/>
      <c r="BY1541" s="2">
        <v>1200</v>
      </c>
      <c r="BZ1541" s="2"/>
      <c r="CA1541" s="2" t="s">
        <v>685</v>
      </c>
      <c r="CB1541" s="2"/>
      <c r="CC1541" s="2" t="s">
        <v>363</v>
      </c>
      <c r="CD1541" s="2">
        <v>3201</v>
      </c>
      <c r="CE1541" s="2" t="s">
        <v>104</v>
      </c>
      <c r="CF1541" s="5">
        <v>42963</v>
      </c>
      <c r="CG1541" s="2"/>
      <c r="CH1541" s="2"/>
      <c r="CI1541" s="2">
        <v>1</v>
      </c>
      <c r="CJ1541" s="2">
        <v>1</v>
      </c>
      <c r="CK1541" s="2">
        <v>21</v>
      </c>
      <c r="CL1541" s="2" t="s">
        <v>86</v>
      </c>
      <c r="CM1541" s="2"/>
    </row>
    <row r="1542" spans="1:91">
      <c r="A1542" s="2" t="s">
        <v>71</v>
      </c>
      <c r="B1542" s="2" t="s">
        <v>72</v>
      </c>
      <c r="C1542" s="2" t="s">
        <v>73</v>
      </c>
      <c r="D1542" s="2"/>
      <c r="E1542" s="2" t="str">
        <f>"FES1162568602"</f>
        <v>FES1162568602</v>
      </c>
      <c r="F1542" s="3">
        <v>42961</v>
      </c>
      <c r="G1542" s="2">
        <v>201802</v>
      </c>
      <c r="H1542" s="2" t="s">
        <v>74</v>
      </c>
      <c r="I1542" s="2" t="s">
        <v>75</v>
      </c>
      <c r="J1542" s="2" t="s">
        <v>76</v>
      </c>
      <c r="K1542" s="2" t="s">
        <v>77</v>
      </c>
      <c r="L1542" s="2" t="s">
        <v>237</v>
      </c>
      <c r="M1542" s="2" t="s">
        <v>238</v>
      </c>
      <c r="N1542" s="2" t="s">
        <v>1986</v>
      </c>
      <c r="O1542" s="2" t="s">
        <v>100</v>
      </c>
      <c r="P1542" s="2" t="str">
        <f>"2170584676                    "</f>
        <v xml:space="preserve">2170584676   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7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1.9</v>
      </c>
      <c r="BJ1542" s="2">
        <v>3.1</v>
      </c>
      <c r="BK1542" s="2">
        <v>3.5</v>
      </c>
      <c r="BL1542" s="2">
        <v>72.52</v>
      </c>
      <c r="BM1542" s="2">
        <v>10.15</v>
      </c>
      <c r="BN1542" s="2">
        <v>82.67</v>
      </c>
      <c r="BO1542" s="2">
        <v>82.67</v>
      </c>
      <c r="BP1542" s="2"/>
      <c r="BQ1542" s="2" t="s">
        <v>227</v>
      </c>
      <c r="BR1542" s="2" t="s">
        <v>84</v>
      </c>
      <c r="BS1542" s="3">
        <v>42962</v>
      </c>
      <c r="BT1542" s="4">
        <v>0.36805555555555558</v>
      </c>
      <c r="BU1542" s="2" t="s">
        <v>1651</v>
      </c>
      <c r="BV1542" s="2" t="s">
        <v>95</v>
      </c>
      <c r="BW1542" s="2"/>
      <c r="BX1542" s="2"/>
      <c r="BY1542" s="2">
        <v>15421.32</v>
      </c>
      <c r="BZ1542" s="2"/>
      <c r="CA1542" s="2" t="s">
        <v>401</v>
      </c>
      <c r="CB1542" s="2"/>
      <c r="CC1542" s="2" t="s">
        <v>238</v>
      </c>
      <c r="CD1542" s="2">
        <v>3610</v>
      </c>
      <c r="CE1542" s="2" t="s">
        <v>2246</v>
      </c>
      <c r="CF1542" s="5">
        <v>42963</v>
      </c>
      <c r="CG1542" s="2"/>
      <c r="CH1542" s="2"/>
      <c r="CI1542" s="2">
        <v>1</v>
      </c>
      <c r="CJ1542" s="2">
        <v>1</v>
      </c>
      <c r="CK1542" s="2">
        <v>21</v>
      </c>
      <c r="CL1542" s="2" t="s">
        <v>86</v>
      </c>
      <c r="CM1542" s="2"/>
    </row>
    <row r="1543" spans="1:91">
      <c r="A1543" s="2" t="s">
        <v>71</v>
      </c>
      <c r="B1543" s="2" t="s">
        <v>72</v>
      </c>
      <c r="C1543" s="2" t="s">
        <v>73</v>
      </c>
      <c r="D1543" s="2"/>
      <c r="E1543" s="2" t="str">
        <f>"FES1162568694"</f>
        <v>FES1162568694</v>
      </c>
      <c r="F1543" s="3">
        <v>42961</v>
      </c>
      <c r="G1543" s="2">
        <v>201802</v>
      </c>
      <c r="H1543" s="2" t="s">
        <v>74</v>
      </c>
      <c r="I1543" s="2" t="s">
        <v>75</v>
      </c>
      <c r="J1543" s="2" t="s">
        <v>76</v>
      </c>
      <c r="K1543" s="2" t="s">
        <v>77</v>
      </c>
      <c r="L1543" s="2" t="s">
        <v>362</v>
      </c>
      <c r="M1543" s="2" t="s">
        <v>363</v>
      </c>
      <c r="N1543" s="2" t="s">
        <v>683</v>
      </c>
      <c r="O1543" s="2" t="s">
        <v>100</v>
      </c>
      <c r="P1543" s="2" t="str">
        <f>"2170584431                    "</f>
        <v xml:space="preserve">2170584431 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4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1</v>
      </c>
      <c r="BJ1543" s="2">
        <v>0.2</v>
      </c>
      <c r="BK1543" s="2">
        <v>1</v>
      </c>
      <c r="BL1543" s="2">
        <v>41.44</v>
      </c>
      <c r="BM1543" s="2">
        <v>5.8</v>
      </c>
      <c r="BN1543" s="2">
        <v>47.24</v>
      </c>
      <c r="BO1543" s="2">
        <v>47.24</v>
      </c>
      <c r="BP1543" s="2"/>
      <c r="BQ1543" s="2" t="s">
        <v>108</v>
      </c>
      <c r="BR1543" s="2" t="s">
        <v>84</v>
      </c>
      <c r="BS1543" s="3">
        <v>42962</v>
      </c>
      <c r="BT1543" s="4">
        <v>0.4375</v>
      </c>
      <c r="BU1543" s="2" t="s">
        <v>684</v>
      </c>
      <c r="BV1543" s="2" t="s">
        <v>95</v>
      </c>
      <c r="BW1543" s="2"/>
      <c r="BX1543" s="2"/>
      <c r="BY1543" s="2">
        <v>1200</v>
      </c>
      <c r="BZ1543" s="2"/>
      <c r="CA1543" s="2" t="s">
        <v>685</v>
      </c>
      <c r="CB1543" s="2"/>
      <c r="CC1543" s="2" t="s">
        <v>363</v>
      </c>
      <c r="CD1543" s="2">
        <v>3201</v>
      </c>
      <c r="CE1543" s="2" t="s">
        <v>104</v>
      </c>
      <c r="CF1543" s="5">
        <v>42963</v>
      </c>
      <c r="CG1543" s="2"/>
      <c r="CH1543" s="2"/>
      <c r="CI1543" s="2">
        <v>1</v>
      </c>
      <c r="CJ1543" s="2">
        <v>1</v>
      </c>
      <c r="CK1543" s="2">
        <v>21</v>
      </c>
      <c r="CL1543" s="2" t="s">
        <v>86</v>
      </c>
      <c r="CM1543" s="2"/>
    </row>
    <row r="1544" spans="1:91">
      <c r="A1544" s="2" t="s">
        <v>71</v>
      </c>
      <c r="B1544" s="2" t="s">
        <v>72</v>
      </c>
      <c r="C1544" s="2" t="s">
        <v>73</v>
      </c>
      <c r="D1544" s="2"/>
      <c r="E1544" s="2" t="str">
        <f>"FES1162568532"</f>
        <v>FES1162568532</v>
      </c>
      <c r="F1544" s="3">
        <v>42961</v>
      </c>
      <c r="G1544" s="2">
        <v>201802</v>
      </c>
      <c r="H1544" s="2" t="s">
        <v>74</v>
      </c>
      <c r="I1544" s="2" t="s">
        <v>75</v>
      </c>
      <c r="J1544" s="2" t="s">
        <v>76</v>
      </c>
      <c r="K1544" s="2" t="s">
        <v>77</v>
      </c>
      <c r="L1544" s="2" t="s">
        <v>362</v>
      </c>
      <c r="M1544" s="2" t="s">
        <v>363</v>
      </c>
      <c r="N1544" s="2" t="s">
        <v>364</v>
      </c>
      <c r="O1544" s="2" t="s">
        <v>100</v>
      </c>
      <c r="P1544" s="2" t="str">
        <f>"2170581403                    "</f>
        <v xml:space="preserve">2170581403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4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1</v>
      </c>
      <c r="BI1544" s="2">
        <v>1.8</v>
      </c>
      <c r="BJ1544" s="2">
        <v>1.9</v>
      </c>
      <c r="BK1544" s="2">
        <v>2</v>
      </c>
      <c r="BL1544" s="2">
        <v>41.44</v>
      </c>
      <c r="BM1544" s="2">
        <v>5.8</v>
      </c>
      <c r="BN1544" s="2">
        <v>47.24</v>
      </c>
      <c r="BO1544" s="2">
        <v>47.24</v>
      </c>
      <c r="BP1544" s="2"/>
      <c r="BQ1544" s="2" t="s">
        <v>365</v>
      </c>
      <c r="BR1544" s="2" t="s">
        <v>84</v>
      </c>
      <c r="BS1544" s="3">
        <v>42962</v>
      </c>
      <c r="BT1544" s="4">
        <v>0.38541666666666669</v>
      </c>
      <c r="BU1544" s="2" t="s">
        <v>707</v>
      </c>
      <c r="BV1544" s="2" t="s">
        <v>95</v>
      </c>
      <c r="BW1544" s="2"/>
      <c r="BX1544" s="2"/>
      <c r="BY1544" s="2">
        <v>9562.43</v>
      </c>
      <c r="BZ1544" s="2"/>
      <c r="CA1544" s="2" t="s">
        <v>148</v>
      </c>
      <c r="CB1544" s="2"/>
      <c r="CC1544" s="2" t="s">
        <v>363</v>
      </c>
      <c r="CD1544" s="2">
        <v>3201</v>
      </c>
      <c r="CE1544" s="2" t="s">
        <v>89</v>
      </c>
      <c r="CF1544" s="5">
        <v>42963</v>
      </c>
      <c r="CG1544" s="2"/>
      <c r="CH1544" s="2"/>
      <c r="CI1544" s="2">
        <v>1</v>
      </c>
      <c r="CJ1544" s="2">
        <v>1</v>
      </c>
      <c r="CK1544" s="2">
        <v>21</v>
      </c>
      <c r="CL1544" s="2" t="s">
        <v>86</v>
      </c>
      <c r="CM1544" s="2"/>
    </row>
    <row r="1545" spans="1:91">
      <c r="A1545" s="2" t="s">
        <v>71</v>
      </c>
      <c r="B1545" s="2" t="s">
        <v>72</v>
      </c>
      <c r="C1545" s="2" t="s">
        <v>73</v>
      </c>
      <c r="D1545" s="2"/>
      <c r="E1545" s="2" t="str">
        <f>"FES1162568640"</f>
        <v>FES1162568640</v>
      </c>
      <c r="F1545" s="3">
        <v>42961</v>
      </c>
      <c r="G1545" s="2">
        <v>201802</v>
      </c>
      <c r="H1545" s="2" t="s">
        <v>74</v>
      </c>
      <c r="I1545" s="2" t="s">
        <v>75</v>
      </c>
      <c r="J1545" s="2" t="s">
        <v>76</v>
      </c>
      <c r="K1545" s="2" t="s">
        <v>77</v>
      </c>
      <c r="L1545" s="2" t="s">
        <v>149</v>
      </c>
      <c r="M1545" s="2" t="s">
        <v>150</v>
      </c>
      <c r="N1545" s="2" t="s">
        <v>758</v>
      </c>
      <c r="O1545" s="2" t="s">
        <v>100</v>
      </c>
      <c r="P1545" s="2" t="str">
        <f>"2170577198                    "</f>
        <v xml:space="preserve">2170577198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34.020000000000003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1</v>
      </c>
      <c r="BI1545" s="2">
        <v>17</v>
      </c>
      <c r="BJ1545" s="2">
        <v>13</v>
      </c>
      <c r="BK1545" s="2">
        <v>17</v>
      </c>
      <c r="BL1545" s="2">
        <v>352.26</v>
      </c>
      <c r="BM1545" s="2">
        <v>49.32</v>
      </c>
      <c r="BN1545" s="2">
        <v>401.58</v>
      </c>
      <c r="BO1545" s="2">
        <v>401.58</v>
      </c>
      <c r="BP1545" s="2"/>
      <c r="BQ1545" s="2" t="s">
        <v>209</v>
      </c>
      <c r="BR1545" s="2" t="s">
        <v>84</v>
      </c>
      <c r="BS1545" s="3">
        <v>42962</v>
      </c>
      <c r="BT1545" s="4">
        <v>0.64583333333333337</v>
      </c>
      <c r="BU1545" s="2" t="s">
        <v>2247</v>
      </c>
      <c r="BV1545" s="2" t="s">
        <v>86</v>
      </c>
      <c r="BW1545" s="2" t="s">
        <v>124</v>
      </c>
      <c r="BX1545" s="2" t="s">
        <v>337</v>
      </c>
      <c r="BY1545" s="2">
        <v>65246</v>
      </c>
      <c r="BZ1545" s="2"/>
      <c r="CA1545" s="2" t="s">
        <v>1479</v>
      </c>
      <c r="CB1545" s="2"/>
      <c r="CC1545" s="2" t="s">
        <v>150</v>
      </c>
      <c r="CD1545" s="2">
        <v>4052</v>
      </c>
      <c r="CE1545" s="2" t="s">
        <v>89</v>
      </c>
      <c r="CF1545" s="5">
        <v>42963</v>
      </c>
      <c r="CG1545" s="2"/>
      <c r="CH1545" s="2"/>
      <c r="CI1545" s="2">
        <v>1</v>
      </c>
      <c r="CJ1545" s="2">
        <v>1</v>
      </c>
      <c r="CK1545" s="2">
        <v>21</v>
      </c>
      <c r="CL1545" s="2" t="s">
        <v>86</v>
      </c>
      <c r="CM1545" s="2"/>
    </row>
    <row r="1546" spans="1:91">
      <c r="A1546" s="2" t="s">
        <v>71</v>
      </c>
      <c r="B1546" s="2" t="s">
        <v>72</v>
      </c>
      <c r="C1546" s="2" t="s">
        <v>73</v>
      </c>
      <c r="D1546" s="2"/>
      <c r="E1546" s="2" t="str">
        <f>"FES1162568688"</f>
        <v>FES1162568688</v>
      </c>
      <c r="F1546" s="3">
        <v>42961</v>
      </c>
      <c r="G1546" s="2">
        <v>201802</v>
      </c>
      <c r="H1546" s="2" t="s">
        <v>74</v>
      </c>
      <c r="I1546" s="2" t="s">
        <v>75</v>
      </c>
      <c r="J1546" s="2" t="s">
        <v>76</v>
      </c>
      <c r="K1546" s="2" t="s">
        <v>77</v>
      </c>
      <c r="L1546" s="2" t="s">
        <v>201</v>
      </c>
      <c r="M1546" s="2" t="s">
        <v>202</v>
      </c>
      <c r="N1546" s="2" t="s">
        <v>409</v>
      </c>
      <c r="O1546" s="2" t="s">
        <v>100</v>
      </c>
      <c r="P1546" s="2" t="str">
        <f>"2170582904                    "</f>
        <v xml:space="preserve">2170582904 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19.010000000000002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2</v>
      </c>
      <c r="BI1546" s="2">
        <v>9.1</v>
      </c>
      <c r="BJ1546" s="2">
        <v>5.6</v>
      </c>
      <c r="BK1546" s="2">
        <v>9.5</v>
      </c>
      <c r="BL1546" s="2">
        <v>196.85</v>
      </c>
      <c r="BM1546" s="2">
        <v>27.56</v>
      </c>
      <c r="BN1546" s="2">
        <v>224.41</v>
      </c>
      <c r="BO1546" s="2">
        <v>224.41</v>
      </c>
      <c r="BP1546" s="2"/>
      <c r="BQ1546" s="2" t="s">
        <v>288</v>
      </c>
      <c r="BR1546" s="2" t="s">
        <v>84</v>
      </c>
      <c r="BS1546" s="3">
        <v>42962</v>
      </c>
      <c r="BT1546" s="4">
        <v>0.34791666666666665</v>
      </c>
      <c r="BU1546" s="2" t="s">
        <v>2177</v>
      </c>
      <c r="BV1546" s="2" t="s">
        <v>95</v>
      </c>
      <c r="BW1546" s="2"/>
      <c r="BX1546" s="2"/>
      <c r="BY1546" s="2">
        <v>28247.89</v>
      </c>
      <c r="BZ1546" s="2"/>
      <c r="CA1546" s="2" t="s">
        <v>2178</v>
      </c>
      <c r="CB1546" s="2"/>
      <c r="CC1546" s="2" t="s">
        <v>202</v>
      </c>
      <c r="CD1546" s="2">
        <v>7130</v>
      </c>
      <c r="CE1546" s="2" t="s">
        <v>89</v>
      </c>
      <c r="CF1546" s="5">
        <v>42963</v>
      </c>
      <c r="CG1546" s="2"/>
      <c r="CH1546" s="2"/>
      <c r="CI1546" s="2">
        <v>1</v>
      </c>
      <c r="CJ1546" s="2">
        <v>1</v>
      </c>
      <c r="CK1546" s="2">
        <v>21</v>
      </c>
      <c r="CL1546" s="2" t="s">
        <v>86</v>
      </c>
      <c r="CM1546" s="2"/>
    </row>
    <row r="1547" spans="1:91">
      <c r="A1547" s="2" t="s">
        <v>71</v>
      </c>
      <c r="B1547" s="2" t="s">
        <v>72</v>
      </c>
      <c r="C1547" s="2" t="s">
        <v>73</v>
      </c>
      <c r="D1547" s="2"/>
      <c r="E1547" s="2" t="str">
        <f>"FES1162568753"</f>
        <v>FES1162568753</v>
      </c>
      <c r="F1547" s="3">
        <v>42961</v>
      </c>
      <c r="G1547" s="2">
        <v>201802</v>
      </c>
      <c r="H1547" s="2" t="s">
        <v>74</v>
      </c>
      <c r="I1547" s="2" t="s">
        <v>75</v>
      </c>
      <c r="J1547" s="2" t="s">
        <v>76</v>
      </c>
      <c r="K1547" s="2" t="s">
        <v>77</v>
      </c>
      <c r="L1547" s="2" t="s">
        <v>174</v>
      </c>
      <c r="M1547" s="2" t="s">
        <v>175</v>
      </c>
      <c r="N1547" s="2" t="s">
        <v>1418</v>
      </c>
      <c r="O1547" s="2" t="s">
        <v>100</v>
      </c>
      <c r="P1547" s="2" t="str">
        <f>"2170584783                    "</f>
        <v xml:space="preserve">2170584783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4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0.5</v>
      </c>
      <c r="BJ1547" s="2">
        <v>0.2</v>
      </c>
      <c r="BK1547" s="2">
        <v>0.5</v>
      </c>
      <c r="BL1547" s="2">
        <v>41.44</v>
      </c>
      <c r="BM1547" s="2">
        <v>5.8</v>
      </c>
      <c r="BN1547" s="2">
        <v>47.24</v>
      </c>
      <c r="BO1547" s="2">
        <v>47.24</v>
      </c>
      <c r="BP1547" s="2"/>
      <c r="BQ1547" s="2" t="s">
        <v>108</v>
      </c>
      <c r="BR1547" s="2" t="s">
        <v>84</v>
      </c>
      <c r="BS1547" s="3">
        <v>42963</v>
      </c>
      <c r="BT1547" s="4">
        <v>0.47152777777777777</v>
      </c>
      <c r="BU1547" s="2" t="s">
        <v>2248</v>
      </c>
      <c r="BV1547" s="2" t="s">
        <v>86</v>
      </c>
      <c r="BW1547" s="2" t="s">
        <v>110</v>
      </c>
      <c r="BX1547" s="2" t="s">
        <v>592</v>
      </c>
      <c r="BY1547" s="2">
        <v>1200</v>
      </c>
      <c r="BZ1547" s="2"/>
      <c r="CA1547" s="2" t="s">
        <v>360</v>
      </c>
      <c r="CB1547" s="2"/>
      <c r="CC1547" s="2" t="s">
        <v>175</v>
      </c>
      <c r="CD1547" s="2">
        <v>5201</v>
      </c>
      <c r="CE1547" s="2" t="s">
        <v>104</v>
      </c>
      <c r="CF1547" s="5">
        <v>42964</v>
      </c>
      <c r="CG1547" s="2"/>
      <c r="CH1547" s="2"/>
      <c r="CI1547" s="2">
        <v>1</v>
      </c>
      <c r="CJ1547" s="2">
        <v>2</v>
      </c>
      <c r="CK1547" s="2">
        <v>21</v>
      </c>
      <c r="CL1547" s="2" t="s">
        <v>86</v>
      </c>
      <c r="CM1547" s="2"/>
    </row>
    <row r="1548" spans="1:91">
      <c r="A1548" s="2" t="s">
        <v>71</v>
      </c>
      <c r="B1548" s="2" t="s">
        <v>72</v>
      </c>
      <c r="C1548" s="2" t="s">
        <v>73</v>
      </c>
      <c r="D1548" s="2"/>
      <c r="E1548" s="2" t="str">
        <f>"FES1162568731"</f>
        <v>FES1162568731</v>
      </c>
      <c r="F1548" s="3">
        <v>42961</v>
      </c>
      <c r="G1548" s="2">
        <v>201802</v>
      </c>
      <c r="H1548" s="2" t="s">
        <v>74</v>
      </c>
      <c r="I1548" s="2" t="s">
        <v>75</v>
      </c>
      <c r="J1548" s="2" t="s">
        <v>76</v>
      </c>
      <c r="K1548" s="2" t="s">
        <v>77</v>
      </c>
      <c r="L1548" s="2" t="s">
        <v>321</v>
      </c>
      <c r="M1548" s="2" t="s">
        <v>322</v>
      </c>
      <c r="N1548" s="2" t="s">
        <v>323</v>
      </c>
      <c r="O1548" s="2" t="s">
        <v>100</v>
      </c>
      <c r="P1548" s="2" t="str">
        <f>"2170584766                    "</f>
        <v xml:space="preserve">2170584766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8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1</v>
      </c>
      <c r="BI1548" s="2">
        <v>3.9</v>
      </c>
      <c r="BJ1548" s="2">
        <v>1.4</v>
      </c>
      <c r="BK1548" s="2">
        <v>4</v>
      </c>
      <c r="BL1548" s="2">
        <v>82.88</v>
      </c>
      <c r="BM1548" s="2">
        <v>11.6</v>
      </c>
      <c r="BN1548" s="2">
        <v>94.48</v>
      </c>
      <c r="BO1548" s="2">
        <v>94.48</v>
      </c>
      <c r="BP1548" s="2"/>
      <c r="BQ1548" s="2" t="s">
        <v>83</v>
      </c>
      <c r="BR1548" s="2" t="s">
        <v>84</v>
      </c>
      <c r="BS1548" s="3">
        <v>42962</v>
      </c>
      <c r="BT1548" s="4">
        <v>0.39374999999999999</v>
      </c>
      <c r="BU1548" s="2" t="s">
        <v>324</v>
      </c>
      <c r="BV1548" s="2" t="s">
        <v>95</v>
      </c>
      <c r="BW1548" s="2"/>
      <c r="BX1548" s="2"/>
      <c r="BY1548" s="2">
        <v>7134.96</v>
      </c>
      <c r="BZ1548" s="2"/>
      <c r="CA1548" s="2" t="s">
        <v>103</v>
      </c>
      <c r="CB1548" s="2"/>
      <c r="CC1548" s="2" t="s">
        <v>322</v>
      </c>
      <c r="CD1548" s="2">
        <v>6220</v>
      </c>
      <c r="CE1548" s="2" t="s">
        <v>89</v>
      </c>
      <c r="CF1548" s="5">
        <v>42963</v>
      </c>
      <c r="CG1548" s="2"/>
      <c r="CH1548" s="2"/>
      <c r="CI1548" s="2">
        <v>1</v>
      </c>
      <c r="CJ1548" s="2">
        <v>1</v>
      </c>
      <c r="CK1548" s="2">
        <v>21</v>
      </c>
      <c r="CL1548" s="2" t="s">
        <v>86</v>
      </c>
      <c r="CM1548" s="2"/>
    </row>
    <row r="1549" spans="1:91">
      <c r="A1549" s="2" t="s">
        <v>71</v>
      </c>
      <c r="B1549" s="2" t="s">
        <v>72</v>
      </c>
      <c r="C1549" s="2" t="s">
        <v>73</v>
      </c>
      <c r="D1549" s="2"/>
      <c r="E1549" s="2" t="str">
        <f>"FES1162568781"</f>
        <v>FES1162568781</v>
      </c>
      <c r="F1549" s="3">
        <v>42961</v>
      </c>
      <c r="G1549" s="2">
        <v>201802</v>
      </c>
      <c r="H1549" s="2" t="s">
        <v>74</v>
      </c>
      <c r="I1549" s="2" t="s">
        <v>75</v>
      </c>
      <c r="J1549" s="2" t="s">
        <v>76</v>
      </c>
      <c r="K1549" s="2" t="s">
        <v>77</v>
      </c>
      <c r="L1549" s="2" t="s">
        <v>97</v>
      </c>
      <c r="M1549" s="2" t="s">
        <v>98</v>
      </c>
      <c r="N1549" s="2" t="s">
        <v>1044</v>
      </c>
      <c r="O1549" s="2" t="s">
        <v>100</v>
      </c>
      <c r="P1549" s="2" t="str">
        <f>"2170581244                    "</f>
        <v xml:space="preserve">2170581244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4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1</v>
      </c>
      <c r="BI1549" s="2">
        <v>0.5</v>
      </c>
      <c r="BJ1549" s="2">
        <v>0.2</v>
      </c>
      <c r="BK1549" s="2">
        <v>0.5</v>
      </c>
      <c r="BL1549" s="2">
        <v>41.44</v>
      </c>
      <c r="BM1549" s="2">
        <v>5.8</v>
      </c>
      <c r="BN1549" s="2">
        <v>47.24</v>
      </c>
      <c r="BO1549" s="2">
        <v>47.24</v>
      </c>
      <c r="BP1549" s="2"/>
      <c r="BQ1549" s="2" t="s">
        <v>2249</v>
      </c>
      <c r="BR1549" s="2" t="s">
        <v>84</v>
      </c>
      <c r="BS1549" s="3">
        <v>42962</v>
      </c>
      <c r="BT1549" s="4">
        <v>0.47152777777777777</v>
      </c>
      <c r="BU1549" s="2" t="s">
        <v>2250</v>
      </c>
      <c r="BV1549" s="2" t="s">
        <v>86</v>
      </c>
      <c r="BW1549" s="2"/>
      <c r="BX1549" s="2"/>
      <c r="BY1549" s="2">
        <v>1200</v>
      </c>
      <c r="BZ1549" s="2"/>
      <c r="CA1549" s="2" t="s">
        <v>1047</v>
      </c>
      <c r="CB1549" s="2"/>
      <c r="CC1549" s="2" t="s">
        <v>98</v>
      </c>
      <c r="CD1549" s="2">
        <v>6045</v>
      </c>
      <c r="CE1549" s="2" t="s">
        <v>104</v>
      </c>
      <c r="CF1549" s="5">
        <v>42963</v>
      </c>
      <c r="CG1549" s="2"/>
      <c r="CH1549" s="2"/>
      <c r="CI1549" s="2">
        <v>1</v>
      </c>
      <c r="CJ1549" s="2">
        <v>1</v>
      </c>
      <c r="CK1549" s="2">
        <v>21</v>
      </c>
      <c r="CL1549" s="2" t="s">
        <v>86</v>
      </c>
      <c r="CM1549" s="2"/>
    </row>
    <row r="1550" spans="1:91">
      <c r="A1550" s="2" t="s">
        <v>71</v>
      </c>
      <c r="B1550" s="2" t="s">
        <v>72</v>
      </c>
      <c r="C1550" s="2" t="s">
        <v>73</v>
      </c>
      <c r="D1550" s="2"/>
      <c r="E1550" s="2" t="str">
        <f>"FES1162568733"</f>
        <v>FES1162568733</v>
      </c>
      <c r="F1550" s="3">
        <v>42961</v>
      </c>
      <c r="G1550" s="2">
        <v>201802</v>
      </c>
      <c r="H1550" s="2" t="s">
        <v>74</v>
      </c>
      <c r="I1550" s="2" t="s">
        <v>75</v>
      </c>
      <c r="J1550" s="2" t="s">
        <v>76</v>
      </c>
      <c r="K1550" s="2" t="s">
        <v>77</v>
      </c>
      <c r="L1550" s="2" t="s">
        <v>105</v>
      </c>
      <c r="M1550" s="2" t="s">
        <v>106</v>
      </c>
      <c r="N1550" s="2" t="s">
        <v>107</v>
      </c>
      <c r="O1550" s="2" t="s">
        <v>100</v>
      </c>
      <c r="P1550" s="2" t="str">
        <f>"2170584763                    "</f>
        <v xml:space="preserve">2170584763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9.01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4.3</v>
      </c>
      <c r="BJ1550" s="2">
        <v>1</v>
      </c>
      <c r="BK1550" s="2">
        <v>4.5</v>
      </c>
      <c r="BL1550" s="2">
        <v>93.25</v>
      </c>
      <c r="BM1550" s="2">
        <v>13.06</v>
      </c>
      <c r="BN1550" s="2">
        <v>106.31</v>
      </c>
      <c r="BO1550" s="2">
        <v>106.31</v>
      </c>
      <c r="BP1550" s="2"/>
      <c r="BQ1550" s="2" t="s">
        <v>108</v>
      </c>
      <c r="BR1550" s="2" t="s">
        <v>84</v>
      </c>
      <c r="BS1550" s="3">
        <v>42962</v>
      </c>
      <c r="BT1550" s="4">
        <v>0.40625</v>
      </c>
      <c r="BU1550" s="2" t="s">
        <v>236</v>
      </c>
      <c r="BV1550" s="2" t="s">
        <v>95</v>
      </c>
      <c r="BW1550" s="2"/>
      <c r="BX1550" s="2"/>
      <c r="BY1550" s="2">
        <v>5105.1099999999997</v>
      </c>
      <c r="BZ1550" s="2"/>
      <c r="CA1550" s="2" t="s">
        <v>112</v>
      </c>
      <c r="CB1550" s="2"/>
      <c r="CC1550" s="2" t="s">
        <v>106</v>
      </c>
      <c r="CD1550" s="2">
        <v>7405</v>
      </c>
      <c r="CE1550" s="2" t="s">
        <v>89</v>
      </c>
      <c r="CF1550" s="5">
        <v>42963</v>
      </c>
      <c r="CG1550" s="2"/>
      <c r="CH1550" s="2"/>
      <c r="CI1550" s="2">
        <v>1</v>
      </c>
      <c r="CJ1550" s="2">
        <v>1</v>
      </c>
      <c r="CK1550" s="2">
        <v>21</v>
      </c>
      <c r="CL1550" s="2" t="s">
        <v>86</v>
      </c>
      <c r="CM1550" s="2"/>
    </row>
    <row r="1551" spans="1:91">
      <c r="A1551" s="2" t="s">
        <v>71</v>
      </c>
      <c r="B1551" s="2" t="s">
        <v>72</v>
      </c>
      <c r="C1551" s="2" t="s">
        <v>73</v>
      </c>
      <c r="D1551" s="2"/>
      <c r="E1551" s="2" t="str">
        <f>"FES1162568785"</f>
        <v>FES1162568785</v>
      </c>
      <c r="F1551" s="3">
        <v>42961</v>
      </c>
      <c r="G1551" s="2">
        <v>201802</v>
      </c>
      <c r="H1551" s="2" t="s">
        <v>74</v>
      </c>
      <c r="I1551" s="2" t="s">
        <v>75</v>
      </c>
      <c r="J1551" s="2" t="s">
        <v>76</v>
      </c>
      <c r="K1551" s="2" t="s">
        <v>77</v>
      </c>
      <c r="L1551" s="2" t="s">
        <v>97</v>
      </c>
      <c r="M1551" s="2" t="s">
        <v>98</v>
      </c>
      <c r="N1551" s="2" t="s">
        <v>1772</v>
      </c>
      <c r="O1551" s="2" t="s">
        <v>100</v>
      </c>
      <c r="P1551" s="2" t="str">
        <f>"2170584827                    "</f>
        <v xml:space="preserve">2170584827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4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0.6</v>
      </c>
      <c r="BJ1551" s="2">
        <v>1.2</v>
      </c>
      <c r="BK1551" s="2">
        <v>1.5</v>
      </c>
      <c r="BL1551" s="2">
        <v>41.44</v>
      </c>
      <c r="BM1551" s="2">
        <v>5.8</v>
      </c>
      <c r="BN1551" s="2">
        <v>47.24</v>
      </c>
      <c r="BO1551" s="2">
        <v>47.24</v>
      </c>
      <c r="BP1551" s="2"/>
      <c r="BQ1551" s="2" t="s">
        <v>288</v>
      </c>
      <c r="BR1551" s="2" t="s">
        <v>84</v>
      </c>
      <c r="BS1551" s="3">
        <v>42962</v>
      </c>
      <c r="BT1551" s="4">
        <v>0.40972222222222227</v>
      </c>
      <c r="BU1551" s="2" t="s">
        <v>1774</v>
      </c>
      <c r="BV1551" s="2" t="s">
        <v>95</v>
      </c>
      <c r="BW1551" s="2"/>
      <c r="BX1551" s="2"/>
      <c r="BY1551" s="2">
        <v>5821.04</v>
      </c>
      <c r="BZ1551" s="2"/>
      <c r="CA1551" s="2" t="s">
        <v>1775</v>
      </c>
      <c r="CB1551" s="2"/>
      <c r="CC1551" s="2" t="s">
        <v>98</v>
      </c>
      <c r="CD1551" s="2">
        <v>6065</v>
      </c>
      <c r="CE1551" s="2" t="s">
        <v>104</v>
      </c>
      <c r="CF1551" s="5">
        <v>42963</v>
      </c>
      <c r="CG1551" s="2"/>
      <c r="CH1551" s="2"/>
      <c r="CI1551" s="2">
        <v>1</v>
      </c>
      <c r="CJ1551" s="2">
        <v>1</v>
      </c>
      <c r="CK1551" s="2">
        <v>21</v>
      </c>
      <c r="CL1551" s="2" t="s">
        <v>86</v>
      </c>
      <c r="CM1551" s="2"/>
    </row>
    <row r="1552" spans="1:91">
      <c r="A1552" s="2" t="s">
        <v>71</v>
      </c>
      <c r="B1552" s="2" t="s">
        <v>72</v>
      </c>
      <c r="C1552" s="2" t="s">
        <v>73</v>
      </c>
      <c r="D1552" s="2"/>
      <c r="E1552" s="2" t="str">
        <f>"FES1162568780"</f>
        <v>FES1162568780</v>
      </c>
      <c r="F1552" s="3">
        <v>42961</v>
      </c>
      <c r="G1552" s="2">
        <v>201802</v>
      </c>
      <c r="H1552" s="2" t="s">
        <v>74</v>
      </c>
      <c r="I1552" s="2" t="s">
        <v>75</v>
      </c>
      <c r="J1552" s="2" t="s">
        <v>76</v>
      </c>
      <c r="K1552" s="2" t="s">
        <v>77</v>
      </c>
      <c r="L1552" s="2" t="s">
        <v>362</v>
      </c>
      <c r="M1552" s="2" t="s">
        <v>363</v>
      </c>
      <c r="N1552" s="2" t="s">
        <v>364</v>
      </c>
      <c r="O1552" s="2" t="s">
        <v>100</v>
      </c>
      <c r="P1552" s="2" t="str">
        <f>"2170582316                    "</f>
        <v xml:space="preserve">2170582316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5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2.1</v>
      </c>
      <c r="BJ1552" s="2">
        <v>1.5</v>
      </c>
      <c r="BK1552" s="2">
        <v>2.5</v>
      </c>
      <c r="BL1552" s="2">
        <v>51.8</v>
      </c>
      <c r="BM1552" s="2">
        <v>7.25</v>
      </c>
      <c r="BN1552" s="2">
        <v>59.05</v>
      </c>
      <c r="BO1552" s="2">
        <v>59.05</v>
      </c>
      <c r="BP1552" s="2"/>
      <c r="BQ1552" s="2" t="s">
        <v>365</v>
      </c>
      <c r="BR1552" s="2" t="s">
        <v>84</v>
      </c>
      <c r="BS1552" s="3">
        <v>42962</v>
      </c>
      <c r="BT1552" s="4">
        <v>0.38541666666666669</v>
      </c>
      <c r="BU1552" s="2" t="s">
        <v>707</v>
      </c>
      <c r="BV1552" s="2" t="s">
        <v>95</v>
      </c>
      <c r="BW1552" s="2"/>
      <c r="BX1552" s="2"/>
      <c r="BY1552" s="2">
        <v>7264.87</v>
      </c>
      <c r="BZ1552" s="2"/>
      <c r="CA1552" s="2" t="s">
        <v>685</v>
      </c>
      <c r="CB1552" s="2"/>
      <c r="CC1552" s="2" t="s">
        <v>363</v>
      </c>
      <c r="CD1552" s="2">
        <v>3201</v>
      </c>
      <c r="CE1552" s="2" t="s">
        <v>89</v>
      </c>
      <c r="CF1552" s="5">
        <v>42963</v>
      </c>
      <c r="CG1552" s="2"/>
      <c r="CH1552" s="2"/>
      <c r="CI1552" s="2">
        <v>1</v>
      </c>
      <c r="CJ1552" s="2">
        <v>1</v>
      </c>
      <c r="CK1552" s="2">
        <v>21</v>
      </c>
      <c r="CL1552" s="2" t="s">
        <v>86</v>
      </c>
      <c r="CM1552" s="2"/>
    </row>
    <row r="1553" spans="1:91">
      <c r="A1553" s="2" t="s">
        <v>71</v>
      </c>
      <c r="B1553" s="2" t="s">
        <v>72</v>
      </c>
      <c r="C1553" s="2" t="s">
        <v>73</v>
      </c>
      <c r="D1553" s="2"/>
      <c r="E1553" s="2" t="str">
        <f>"FES1162568709"</f>
        <v>FES1162568709</v>
      </c>
      <c r="F1553" s="3">
        <v>42961</v>
      </c>
      <c r="G1553" s="2">
        <v>201802</v>
      </c>
      <c r="H1553" s="2" t="s">
        <v>74</v>
      </c>
      <c r="I1553" s="2" t="s">
        <v>75</v>
      </c>
      <c r="J1553" s="2" t="s">
        <v>76</v>
      </c>
      <c r="K1553" s="2" t="s">
        <v>77</v>
      </c>
      <c r="L1553" s="2" t="s">
        <v>105</v>
      </c>
      <c r="M1553" s="2" t="s">
        <v>106</v>
      </c>
      <c r="N1553" s="2" t="s">
        <v>644</v>
      </c>
      <c r="O1553" s="2" t="s">
        <v>100</v>
      </c>
      <c r="P1553" s="2" t="str">
        <f>"2170584733                    "</f>
        <v xml:space="preserve">2170584733 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6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3</v>
      </c>
      <c r="BJ1553" s="2">
        <v>1.4</v>
      </c>
      <c r="BK1553" s="2">
        <v>3</v>
      </c>
      <c r="BL1553" s="2">
        <v>62.16</v>
      </c>
      <c r="BM1553" s="2">
        <v>8.6999999999999993</v>
      </c>
      <c r="BN1553" s="2">
        <v>70.86</v>
      </c>
      <c r="BO1553" s="2">
        <v>70.86</v>
      </c>
      <c r="BP1553" s="2"/>
      <c r="BQ1553" s="2" t="s">
        <v>108</v>
      </c>
      <c r="BR1553" s="2" t="s">
        <v>84</v>
      </c>
      <c r="BS1553" s="3">
        <v>42962</v>
      </c>
      <c r="BT1553" s="4">
        <v>0.41666666666666669</v>
      </c>
      <c r="BU1553" s="2" t="s">
        <v>728</v>
      </c>
      <c r="BV1553" s="2" t="s">
        <v>95</v>
      </c>
      <c r="BW1553" s="2"/>
      <c r="BX1553" s="2"/>
      <c r="BY1553" s="2">
        <v>6847.5</v>
      </c>
      <c r="BZ1553" s="2"/>
      <c r="CA1553" s="2"/>
      <c r="CB1553" s="2"/>
      <c r="CC1553" s="2" t="s">
        <v>106</v>
      </c>
      <c r="CD1553" s="2">
        <v>7441</v>
      </c>
      <c r="CE1553" s="2" t="s">
        <v>89</v>
      </c>
      <c r="CF1553" s="5">
        <v>42962</v>
      </c>
      <c r="CG1553" s="2"/>
      <c r="CH1553" s="2"/>
      <c r="CI1553" s="2">
        <v>1</v>
      </c>
      <c r="CJ1553" s="2">
        <v>1</v>
      </c>
      <c r="CK1553" s="2">
        <v>21</v>
      </c>
      <c r="CL1553" s="2" t="s">
        <v>86</v>
      </c>
      <c r="CM1553" s="2"/>
    </row>
    <row r="1554" spans="1:91">
      <c r="A1554" s="2" t="s">
        <v>71</v>
      </c>
      <c r="B1554" s="2" t="s">
        <v>72</v>
      </c>
      <c r="C1554" s="2" t="s">
        <v>73</v>
      </c>
      <c r="D1554" s="2"/>
      <c r="E1554" s="2" t="str">
        <f>"FES1162568774"</f>
        <v>FES1162568774</v>
      </c>
      <c r="F1554" s="3">
        <v>42961</v>
      </c>
      <c r="G1554" s="2">
        <v>201802</v>
      </c>
      <c r="H1554" s="2" t="s">
        <v>74</v>
      </c>
      <c r="I1554" s="2" t="s">
        <v>75</v>
      </c>
      <c r="J1554" s="2" t="s">
        <v>76</v>
      </c>
      <c r="K1554" s="2" t="s">
        <v>77</v>
      </c>
      <c r="L1554" s="2" t="s">
        <v>306</v>
      </c>
      <c r="M1554" s="2" t="s">
        <v>307</v>
      </c>
      <c r="N1554" s="2" t="s">
        <v>308</v>
      </c>
      <c r="O1554" s="2" t="s">
        <v>100</v>
      </c>
      <c r="P1554" s="2" t="str">
        <f>"2170584804                    "</f>
        <v xml:space="preserve">2170584804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4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0.5</v>
      </c>
      <c r="BJ1554" s="2">
        <v>0.2</v>
      </c>
      <c r="BK1554" s="2">
        <v>0.5</v>
      </c>
      <c r="BL1554" s="2">
        <v>41.44</v>
      </c>
      <c r="BM1554" s="2">
        <v>5.8</v>
      </c>
      <c r="BN1554" s="2">
        <v>47.24</v>
      </c>
      <c r="BO1554" s="2">
        <v>47.24</v>
      </c>
      <c r="BP1554" s="2"/>
      <c r="BQ1554" s="2" t="s">
        <v>83</v>
      </c>
      <c r="BR1554" s="2" t="s">
        <v>84</v>
      </c>
      <c r="BS1554" s="3">
        <v>42962</v>
      </c>
      <c r="BT1554" s="4">
        <v>0.52430555555555558</v>
      </c>
      <c r="BU1554" s="2" t="s">
        <v>2251</v>
      </c>
      <c r="BV1554" s="2" t="s">
        <v>86</v>
      </c>
      <c r="BW1554" s="2"/>
      <c r="BX1554" s="2"/>
      <c r="BY1554" s="2">
        <v>1200</v>
      </c>
      <c r="BZ1554" s="2"/>
      <c r="CA1554" s="2"/>
      <c r="CB1554" s="2"/>
      <c r="CC1554" s="2" t="s">
        <v>307</v>
      </c>
      <c r="CD1554" s="2">
        <v>1930</v>
      </c>
      <c r="CE1554" s="2" t="s">
        <v>104</v>
      </c>
      <c r="CF1554" s="5">
        <v>42963</v>
      </c>
      <c r="CG1554" s="2"/>
      <c r="CH1554" s="2"/>
      <c r="CI1554" s="2">
        <v>1</v>
      </c>
      <c r="CJ1554" s="2">
        <v>1</v>
      </c>
      <c r="CK1554" s="2">
        <v>21</v>
      </c>
      <c r="CL1554" s="2" t="s">
        <v>86</v>
      </c>
      <c r="CM1554" s="2"/>
    </row>
    <row r="1555" spans="1:91">
      <c r="A1555" s="2" t="s">
        <v>71</v>
      </c>
      <c r="B1555" s="2" t="s">
        <v>72</v>
      </c>
      <c r="C1555" s="2" t="s">
        <v>73</v>
      </c>
      <c r="D1555" s="2"/>
      <c r="E1555" s="2" t="str">
        <f>"FES1162568643"</f>
        <v>FES1162568643</v>
      </c>
      <c r="F1555" s="3">
        <v>42961</v>
      </c>
      <c r="G1555" s="2">
        <v>201802</v>
      </c>
      <c r="H1555" s="2" t="s">
        <v>74</v>
      </c>
      <c r="I1555" s="2" t="s">
        <v>75</v>
      </c>
      <c r="J1555" s="2" t="s">
        <v>76</v>
      </c>
      <c r="K1555" s="2" t="s">
        <v>77</v>
      </c>
      <c r="L1555" s="2" t="s">
        <v>201</v>
      </c>
      <c r="M1555" s="2" t="s">
        <v>202</v>
      </c>
      <c r="N1555" s="2" t="s">
        <v>409</v>
      </c>
      <c r="O1555" s="2" t="s">
        <v>100</v>
      </c>
      <c r="P1555" s="2" t="str">
        <f>"2170578005                    "</f>
        <v xml:space="preserve">2170578005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28.02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2</v>
      </c>
      <c r="BI1555" s="2">
        <v>13.6</v>
      </c>
      <c r="BJ1555" s="2">
        <v>5</v>
      </c>
      <c r="BK1555" s="2">
        <v>14</v>
      </c>
      <c r="BL1555" s="2">
        <v>290.10000000000002</v>
      </c>
      <c r="BM1555" s="2">
        <v>40.61</v>
      </c>
      <c r="BN1555" s="2">
        <v>330.71</v>
      </c>
      <c r="BO1555" s="2">
        <v>330.71</v>
      </c>
      <c r="BP1555" s="2"/>
      <c r="BQ1555" s="2" t="s">
        <v>485</v>
      </c>
      <c r="BR1555" s="2" t="s">
        <v>84</v>
      </c>
      <c r="BS1555" s="3">
        <v>42962</v>
      </c>
      <c r="BT1555" s="4">
        <v>0.34861111111111115</v>
      </c>
      <c r="BU1555" s="2" t="s">
        <v>2177</v>
      </c>
      <c r="BV1555" s="2" t="s">
        <v>95</v>
      </c>
      <c r="BW1555" s="2"/>
      <c r="BX1555" s="2"/>
      <c r="BY1555" s="2">
        <v>24952.31</v>
      </c>
      <c r="BZ1555" s="2"/>
      <c r="CA1555" s="2" t="s">
        <v>2178</v>
      </c>
      <c r="CB1555" s="2"/>
      <c r="CC1555" s="2" t="s">
        <v>202</v>
      </c>
      <c r="CD1555" s="2">
        <v>7130</v>
      </c>
      <c r="CE1555" s="2" t="s">
        <v>89</v>
      </c>
      <c r="CF1555" s="5">
        <v>42963</v>
      </c>
      <c r="CG1555" s="2"/>
      <c r="CH1555" s="2"/>
      <c r="CI1555" s="2">
        <v>1</v>
      </c>
      <c r="CJ1555" s="2">
        <v>1</v>
      </c>
      <c r="CK1555" s="2">
        <v>21</v>
      </c>
      <c r="CL1555" s="2" t="s">
        <v>86</v>
      </c>
      <c r="CM1555" s="2"/>
    </row>
    <row r="1556" spans="1:91">
      <c r="A1556" s="2" t="s">
        <v>71</v>
      </c>
      <c r="B1556" s="2" t="s">
        <v>72</v>
      </c>
      <c r="C1556" s="2" t="s">
        <v>73</v>
      </c>
      <c r="D1556" s="2"/>
      <c r="E1556" s="2" t="str">
        <f>"FES1162568802"</f>
        <v>FES1162568802</v>
      </c>
      <c r="F1556" s="3">
        <v>42961</v>
      </c>
      <c r="G1556" s="2">
        <v>201802</v>
      </c>
      <c r="H1556" s="2" t="s">
        <v>74</v>
      </c>
      <c r="I1556" s="2" t="s">
        <v>75</v>
      </c>
      <c r="J1556" s="2" t="s">
        <v>76</v>
      </c>
      <c r="K1556" s="2" t="s">
        <v>77</v>
      </c>
      <c r="L1556" s="2" t="s">
        <v>170</v>
      </c>
      <c r="M1556" s="2" t="s">
        <v>171</v>
      </c>
      <c r="N1556" s="2" t="s">
        <v>2252</v>
      </c>
      <c r="O1556" s="2" t="s">
        <v>100</v>
      </c>
      <c r="P1556" s="2" t="str">
        <f>"2170584857                    "</f>
        <v xml:space="preserve">2170584857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3.13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1</v>
      </c>
      <c r="BJ1556" s="2">
        <v>0.2</v>
      </c>
      <c r="BK1556" s="2">
        <v>1</v>
      </c>
      <c r="BL1556" s="2">
        <v>32.380000000000003</v>
      </c>
      <c r="BM1556" s="2">
        <v>4.53</v>
      </c>
      <c r="BN1556" s="2">
        <v>36.909999999999997</v>
      </c>
      <c r="BO1556" s="2">
        <v>36.909999999999997</v>
      </c>
      <c r="BP1556" s="2"/>
      <c r="BQ1556" s="2" t="s">
        <v>108</v>
      </c>
      <c r="BR1556" s="2" t="s">
        <v>84</v>
      </c>
      <c r="BS1556" s="3">
        <v>42962</v>
      </c>
      <c r="BT1556" s="4">
        <v>0.38958333333333334</v>
      </c>
      <c r="BU1556" s="2" t="s">
        <v>2253</v>
      </c>
      <c r="BV1556" s="2" t="s">
        <v>95</v>
      </c>
      <c r="BW1556" s="2"/>
      <c r="BX1556" s="2"/>
      <c r="BY1556" s="2">
        <v>1200</v>
      </c>
      <c r="BZ1556" s="2"/>
      <c r="CA1556" s="2" t="s">
        <v>492</v>
      </c>
      <c r="CB1556" s="2"/>
      <c r="CC1556" s="2" t="s">
        <v>171</v>
      </c>
      <c r="CD1556" s="2">
        <v>1428</v>
      </c>
      <c r="CE1556" s="2" t="s">
        <v>104</v>
      </c>
      <c r="CF1556" s="5">
        <v>42963</v>
      </c>
      <c r="CG1556" s="2"/>
      <c r="CH1556" s="2"/>
      <c r="CI1556" s="2">
        <v>1</v>
      </c>
      <c r="CJ1556" s="2">
        <v>1</v>
      </c>
      <c r="CK1556" s="2">
        <v>22</v>
      </c>
      <c r="CL1556" s="2" t="s">
        <v>86</v>
      </c>
      <c r="CM1556" s="2"/>
    </row>
    <row r="1557" spans="1:91">
      <c r="A1557" s="2" t="s">
        <v>71</v>
      </c>
      <c r="B1557" s="2" t="s">
        <v>72</v>
      </c>
      <c r="C1557" s="2" t="s">
        <v>73</v>
      </c>
      <c r="D1557" s="2"/>
      <c r="E1557" s="2" t="str">
        <f>"FES1162568775"</f>
        <v>FES1162568775</v>
      </c>
      <c r="F1557" s="3">
        <v>42961</v>
      </c>
      <c r="G1557" s="2">
        <v>201802</v>
      </c>
      <c r="H1557" s="2" t="s">
        <v>74</v>
      </c>
      <c r="I1557" s="2" t="s">
        <v>75</v>
      </c>
      <c r="J1557" s="2" t="s">
        <v>76</v>
      </c>
      <c r="K1557" s="2" t="s">
        <v>77</v>
      </c>
      <c r="L1557" s="2" t="s">
        <v>321</v>
      </c>
      <c r="M1557" s="2" t="s">
        <v>322</v>
      </c>
      <c r="N1557" s="2" t="s">
        <v>323</v>
      </c>
      <c r="O1557" s="2" t="s">
        <v>100</v>
      </c>
      <c r="P1557" s="2" t="str">
        <f>"2170588775                    "</f>
        <v xml:space="preserve">2170588775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4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1.4</v>
      </c>
      <c r="BJ1557" s="2">
        <v>1</v>
      </c>
      <c r="BK1557" s="2">
        <v>1.5</v>
      </c>
      <c r="BL1557" s="2">
        <v>41.44</v>
      </c>
      <c r="BM1557" s="2">
        <v>5.8</v>
      </c>
      <c r="BN1557" s="2">
        <v>47.24</v>
      </c>
      <c r="BO1557" s="2">
        <v>47.24</v>
      </c>
      <c r="BP1557" s="2"/>
      <c r="BQ1557" s="2" t="s">
        <v>83</v>
      </c>
      <c r="BR1557" s="2" t="s">
        <v>84</v>
      </c>
      <c r="BS1557" s="3">
        <v>42962</v>
      </c>
      <c r="BT1557" s="4">
        <v>0.3923611111111111</v>
      </c>
      <c r="BU1557" s="2" t="s">
        <v>324</v>
      </c>
      <c r="BV1557" s="2" t="s">
        <v>95</v>
      </c>
      <c r="BW1557" s="2"/>
      <c r="BX1557" s="2"/>
      <c r="BY1557" s="2">
        <v>5221.7</v>
      </c>
      <c r="BZ1557" s="2"/>
      <c r="CA1557" s="2" t="s">
        <v>103</v>
      </c>
      <c r="CB1557" s="2"/>
      <c r="CC1557" s="2" t="s">
        <v>322</v>
      </c>
      <c r="CD1557" s="2">
        <v>6220</v>
      </c>
      <c r="CE1557" s="2" t="s">
        <v>89</v>
      </c>
      <c r="CF1557" s="5">
        <v>42963</v>
      </c>
      <c r="CG1557" s="2"/>
      <c r="CH1557" s="2"/>
      <c r="CI1557" s="2">
        <v>1</v>
      </c>
      <c r="CJ1557" s="2">
        <v>1</v>
      </c>
      <c r="CK1557" s="2">
        <v>21</v>
      </c>
      <c r="CL1557" s="2" t="s">
        <v>86</v>
      </c>
      <c r="CM1557" s="2"/>
    </row>
    <row r="1558" spans="1:91">
      <c r="A1558" s="2" t="s">
        <v>71</v>
      </c>
      <c r="B1558" s="2" t="s">
        <v>72</v>
      </c>
      <c r="C1558" s="2" t="s">
        <v>73</v>
      </c>
      <c r="D1558" s="2"/>
      <c r="E1558" s="2" t="str">
        <f>"FES1162568739"</f>
        <v>FES1162568739</v>
      </c>
      <c r="F1558" s="3">
        <v>42961</v>
      </c>
      <c r="G1558" s="2">
        <v>201802</v>
      </c>
      <c r="H1558" s="2" t="s">
        <v>74</v>
      </c>
      <c r="I1558" s="2" t="s">
        <v>75</v>
      </c>
      <c r="J1558" s="2" t="s">
        <v>76</v>
      </c>
      <c r="K1558" s="2" t="s">
        <v>77</v>
      </c>
      <c r="L1558" s="2" t="s">
        <v>105</v>
      </c>
      <c r="M1558" s="2" t="s">
        <v>106</v>
      </c>
      <c r="N1558" s="2" t="s">
        <v>253</v>
      </c>
      <c r="O1558" s="2" t="s">
        <v>100</v>
      </c>
      <c r="P1558" s="2" t="str">
        <f>"2170582455                    "</f>
        <v xml:space="preserve">2170582455  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7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0.9</v>
      </c>
      <c r="BJ1558" s="2">
        <v>3.4</v>
      </c>
      <c r="BK1558" s="2">
        <v>3.5</v>
      </c>
      <c r="BL1558" s="2">
        <v>72.52</v>
      </c>
      <c r="BM1558" s="2">
        <v>10.15</v>
      </c>
      <c r="BN1558" s="2">
        <v>82.67</v>
      </c>
      <c r="BO1558" s="2">
        <v>82.67</v>
      </c>
      <c r="BP1558" s="2"/>
      <c r="BQ1558" s="2" t="s">
        <v>108</v>
      </c>
      <c r="BR1558" s="2" t="s">
        <v>84</v>
      </c>
      <c r="BS1558" s="3">
        <v>42962</v>
      </c>
      <c r="BT1558" s="4">
        <v>0.46875</v>
      </c>
      <c r="BU1558" s="2" t="s">
        <v>1074</v>
      </c>
      <c r="BV1558" s="2" t="s">
        <v>86</v>
      </c>
      <c r="BW1558" s="2" t="s">
        <v>124</v>
      </c>
      <c r="BX1558" s="2" t="s">
        <v>853</v>
      </c>
      <c r="BY1558" s="2">
        <v>16896.3</v>
      </c>
      <c r="BZ1558" s="2"/>
      <c r="CA1558" s="2" t="s">
        <v>654</v>
      </c>
      <c r="CB1558" s="2"/>
      <c r="CC1558" s="2" t="s">
        <v>106</v>
      </c>
      <c r="CD1558" s="2">
        <v>7490</v>
      </c>
      <c r="CE1558" s="2" t="s">
        <v>89</v>
      </c>
      <c r="CF1558" s="5">
        <v>42963</v>
      </c>
      <c r="CG1558" s="2"/>
      <c r="CH1558" s="2"/>
      <c r="CI1558" s="2">
        <v>1</v>
      </c>
      <c r="CJ1558" s="2">
        <v>1</v>
      </c>
      <c r="CK1558" s="2">
        <v>21</v>
      </c>
      <c r="CL1558" s="2" t="s">
        <v>86</v>
      </c>
      <c r="CM1558" s="2"/>
    </row>
    <row r="1559" spans="1:91">
      <c r="A1559" s="2" t="s">
        <v>71</v>
      </c>
      <c r="B1559" s="2" t="s">
        <v>72</v>
      </c>
      <c r="C1559" s="2" t="s">
        <v>73</v>
      </c>
      <c r="D1559" s="2"/>
      <c r="E1559" s="2" t="str">
        <f>"FES1162568740"</f>
        <v>FES1162568740</v>
      </c>
      <c r="F1559" s="3">
        <v>42961</v>
      </c>
      <c r="G1559" s="2">
        <v>201802</v>
      </c>
      <c r="H1559" s="2" t="s">
        <v>74</v>
      </c>
      <c r="I1559" s="2" t="s">
        <v>75</v>
      </c>
      <c r="J1559" s="2" t="s">
        <v>76</v>
      </c>
      <c r="K1559" s="2" t="s">
        <v>77</v>
      </c>
      <c r="L1559" s="2" t="s">
        <v>417</v>
      </c>
      <c r="M1559" s="2" t="s">
        <v>417</v>
      </c>
      <c r="N1559" s="2" t="s">
        <v>458</v>
      </c>
      <c r="O1559" s="2" t="s">
        <v>100</v>
      </c>
      <c r="P1559" s="2" t="str">
        <f>"2170582573                    "</f>
        <v xml:space="preserve">2170582573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4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0.5</v>
      </c>
      <c r="BJ1559" s="2">
        <v>0.2</v>
      </c>
      <c r="BK1559" s="2">
        <v>0.5</v>
      </c>
      <c r="BL1559" s="2">
        <v>41.44</v>
      </c>
      <c r="BM1559" s="2">
        <v>5.8</v>
      </c>
      <c r="BN1559" s="2">
        <v>47.24</v>
      </c>
      <c r="BO1559" s="2">
        <v>47.24</v>
      </c>
      <c r="BP1559" s="2"/>
      <c r="BQ1559" s="2" t="s">
        <v>83</v>
      </c>
      <c r="BR1559" s="2" t="s">
        <v>84</v>
      </c>
      <c r="BS1559" s="3">
        <v>42962</v>
      </c>
      <c r="BT1559" s="4">
        <v>0.5083333333333333</v>
      </c>
      <c r="BU1559" s="2" t="s">
        <v>2254</v>
      </c>
      <c r="BV1559" s="2" t="s">
        <v>95</v>
      </c>
      <c r="BW1559" s="2"/>
      <c r="BX1559" s="2"/>
      <c r="BY1559" s="2">
        <v>1200</v>
      </c>
      <c r="BZ1559" s="2"/>
      <c r="CA1559" s="2" t="s">
        <v>460</v>
      </c>
      <c r="CB1559" s="2"/>
      <c r="CC1559" s="2" t="s">
        <v>417</v>
      </c>
      <c r="CD1559" s="2">
        <v>7646</v>
      </c>
      <c r="CE1559" s="2" t="s">
        <v>104</v>
      </c>
      <c r="CF1559" s="5">
        <v>42963</v>
      </c>
      <c r="CG1559" s="2"/>
      <c r="CH1559" s="2"/>
      <c r="CI1559" s="2">
        <v>1</v>
      </c>
      <c r="CJ1559" s="2">
        <v>1</v>
      </c>
      <c r="CK1559" s="2">
        <v>21</v>
      </c>
      <c r="CL1559" s="2" t="s">
        <v>86</v>
      </c>
      <c r="CM1559" s="2"/>
    </row>
    <row r="1560" spans="1:91">
      <c r="A1560" s="2" t="s">
        <v>71</v>
      </c>
      <c r="B1560" s="2" t="s">
        <v>72</v>
      </c>
      <c r="C1560" s="2" t="s">
        <v>73</v>
      </c>
      <c r="D1560" s="2"/>
      <c r="E1560" s="2" t="str">
        <f>"FES1162568744"</f>
        <v>FES1162568744</v>
      </c>
      <c r="F1560" s="3">
        <v>42961</v>
      </c>
      <c r="G1560" s="2">
        <v>201802</v>
      </c>
      <c r="H1560" s="2" t="s">
        <v>74</v>
      </c>
      <c r="I1560" s="2" t="s">
        <v>75</v>
      </c>
      <c r="J1560" s="2" t="s">
        <v>76</v>
      </c>
      <c r="K1560" s="2" t="s">
        <v>77</v>
      </c>
      <c r="L1560" s="2" t="s">
        <v>105</v>
      </c>
      <c r="M1560" s="2" t="s">
        <v>106</v>
      </c>
      <c r="N1560" s="2" t="s">
        <v>2255</v>
      </c>
      <c r="O1560" s="2" t="s">
        <v>100</v>
      </c>
      <c r="P1560" s="2" t="str">
        <f>"2170584769                    "</f>
        <v xml:space="preserve">2170584769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4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1</v>
      </c>
      <c r="BJ1560" s="2">
        <v>0.2</v>
      </c>
      <c r="BK1560" s="2">
        <v>1</v>
      </c>
      <c r="BL1560" s="2">
        <v>41.44</v>
      </c>
      <c r="BM1560" s="2">
        <v>5.8</v>
      </c>
      <c r="BN1560" s="2">
        <v>47.24</v>
      </c>
      <c r="BO1560" s="2">
        <v>47.24</v>
      </c>
      <c r="BP1560" s="2"/>
      <c r="BQ1560" s="2" t="s">
        <v>83</v>
      </c>
      <c r="BR1560" s="2" t="s">
        <v>84</v>
      </c>
      <c r="BS1560" s="3">
        <v>42962</v>
      </c>
      <c r="BT1560" s="4">
        <v>0.38263888888888892</v>
      </c>
      <c r="BU1560" s="2" t="s">
        <v>750</v>
      </c>
      <c r="BV1560" s="2" t="s">
        <v>95</v>
      </c>
      <c r="BW1560" s="2"/>
      <c r="BX1560" s="2"/>
      <c r="BY1560" s="2">
        <v>1200</v>
      </c>
      <c r="BZ1560" s="2"/>
      <c r="CA1560" s="2" t="s">
        <v>869</v>
      </c>
      <c r="CB1560" s="2"/>
      <c r="CC1560" s="2" t="s">
        <v>106</v>
      </c>
      <c r="CD1560" s="2">
        <v>7460</v>
      </c>
      <c r="CE1560" s="2" t="s">
        <v>104</v>
      </c>
      <c r="CF1560" s="5">
        <v>42963</v>
      </c>
      <c r="CG1560" s="2"/>
      <c r="CH1560" s="2"/>
      <c r="CI1560" s="2">
        <v>1</v>
      </c>
      <c r="CJ1560" s="2">
        <v>1</v>
      </c>
      <c r="CK1560" s="2">
        <v>21</v>
      </c>
      <c r="CL1560" s="2" t="s">
        <v>86</v>
      </c>
      <c r="CM1560" s="2"/>
    </row>
    <row r="1561" spans="1:91">
      <c r="A1561" s="2" t="s">
        <v>71</v>
      </c>
      <c r="B1561" s="2" t="s">
        <v>72</v>
      </c>
      <c r="C1561" s="2" t="s">
        <v>73</v>
      </c>
      <c r="D1561" s="2"/>
      <c r="E1561" s="2" t="str">
        <f>"FES1162568801"</f>
        <v>FES1162568801</v>
      </c>
      <c r="F1561" s="3">
        <v>42961</v>
      </c>
      <c r="G1561" s="2">
        <v>201802</v>
      </c>
      <c r="H1561" s="2" t="s">
        <v>74</v>
      </c>
      <c r="I1561" s="2" t="s">
        <v>75</v>
      </c>
      <c r="J1561" s="2" t="s">
        <v>76</v>
      </c>
      <c r="K1561" s="2" t="s">
        <v>77</v>
      </c>
      <c r="L1561" s="2" t="s">
        <v>144</v>
      </c>
      <c r="M1561" s="2" t="s">
        <v>145</v>
      </c>
      <c r="N1561" s="2" t="s">
        <v>146</v>
      </c>
      <c r="O1561" s="2" t="s">
        <v>100</v>
      </c>
      <c r="P1561" s="2" t="str">
        <f>"2170584416                    "</f>
        <v xml:space="preserve">2170584416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3.13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0.8</v>
      </c>
      <c r="BJ1561" s="2">
        <v>0.4</v>
      </c>
      <c r="BK1561" s="2">
        <v>1</v>
      </c>
      <c r="BL1561" s="2">
        <v>32.380000000000003</v>
      </c>
      <c r="BM1561" s="2">
        <v>4.53</v>
      </c>
      <c r="BN1561" s="2">
        <v>36.909999999999997</v>
      </c>
      <c r="BO1561" s="2">
        <v>36.909999999999997</v>
      </c>
      <c r="BP1561" s="2"/>
      <c r="BQ1561" s="2" t="s">
        <v>83</v>
      </c>
      <c r="BR1561" s="2" t="s">
        <v>84</v>
      </c>
      <c r="BS1561" s="3">
        <v>42962</v>
      </c>
      <c r="BT1561" s="4">
        <v>0.41319444444444442</v>
      </c>
      <c r="BU1561" s="2" t="s">
        <v>1176</v>
      </c>
      <c r="BV1561" s="2" t="s">
        <v>95</v>
      </c>
      <c r="BW1561" s="2"/>
      <c r="BX1561" s="2"/>
      <c r="BY1561" s="2">
        <v>2136.06</v>
      </c>
      <c r="BZ1561" s="2"/>
      <c r="CA1561" s="2" t="s">
        <v>729</v>
      </c>
      <c r="CB1561" s="2"/>
      <c r="CC1561" s="2" t="s">
        <v>145</v>
      </c>
      <c r="CD1561" s="2">
        <v>2094</v>
      </c>
      <c r="CE1561" s="2" t="s">
        <v>135</v>
      </c>
      <c r="CF1561" s="5">
        <v>42963</v>
      </c>
      <c r="CG1561" s="2"/>
      <c r="CH1561" s="2"/>
      <c r="CI1561" s="2">
        <v>1</v>
      </c>
      <c r="CJ1561" s="2">
        <v>1</v>
      </c>
      <c r="CK1561" s="2">
        <v>22</v>
      </c>
      <c r="CL1561" s="2" t="s">
        <v>86</v>
      </c>
      <c r="CM1561" s="2"/>
    </row>
    <row r="1562" spans="1:91">
      <c r="A1562" s="2" t="s">
        <v>71</v>
      </c>
      <c r="B1562" s="2" t="s">
        <v>72</v>
      </c>
      <c r="C1562" s="2" t="s">
        <v>73</v>
      </c>
      <c r="D1562" s="2"/>
      <c r="E1562" s="2" t="str">
        <f>"FES1162568756"</f>
        <v>FES1162568756</v>
      </c>
      <c r="F1562" s="3">
        <v>42961</v>
      </c>
      <c r="G1562" s="2">
        <v>201802</v>
      </c>
      <c r="H1562" s="2" t="s">
        <v>74</v>
      </c>
      <c r="I1562" s="2" t="s">
        <v>75</v>
      </c>
      <c r="J1562" s="2" t="s">
        <v>76</v>
      </c>
      <c r="K1562" s="2" t="s">
        <v>77</v>
      </c>
      <c r="L1562" s="2" t="s">
        <v>105</v>
      </c>
      <c r="M1562" s="2" t="s">
        <v>106</v>
      </c>
      <c r="N1562" s="2" t="s">
        <v>107</v>
      </c>
      <c r="O1562" s="2" t="s">
        <v>100</v>
      </c>
      <c r="P1562" s="2" t="str">
        <f>"2170584786                    "</f>
        <v xml:space="preserve">2170584786 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4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1</v>
      </c>
      <c r="BJ1562" s="2">
        <v>0.2</v>
      </c>
      <c r="BK1562" s="2">
        <v>1</v>
      </c>
      <c r="BL1562" s="2">
        <v>41.44</v>
      </c>
      <c r="BM1562" s="2">
        <v>5.8</v>
      </c>
      <c r="BN1562" s="2">
        <v>47.24</v>
      </c>
      <c r="BO1562" s="2">
        <v>47.24</v>
      </c>
      <c r="BP1562" s="2"/>
      <c r="BQ1562" s="2" t="s">
        <v>108</v>
      </c>
      <c r="BR1562" s="2" t="s">
        <v>84</v>
      </c>
      <c r="BS1562" s="3">
        <v>42962</v>
      </c>
      <c r="BT1562" s="4">
        <v>0.4604166666666667</v>
      </c>
      <c r="BU1562" s="2" t="s">
        <v>109</v>
      </c>
      <c r="BV1562" s="2" t="s">
        <v>86</v>
      </c>
      <c r="BW1562" s="2" t="s">
        <v>110</v>
      </c>
      <c r="BX1562" s="2" t="s">
        <v>1314</v>
      </c>
      <c r="BY1562" s="2">
        <v>1200</v>
      </c>
      <c r="BZ1562" s="2"/>
      <c r="CA1562" s="2" t="s">
        <v>112</v>
      </c>
      <c r="CB1562" s="2"/>
      <c r="CC1562" s="2" t="s">
        <v>106</v>
      </c>
      <c r="CD1562" s="2">
        <v>7405</v>
      </c>
      <c r="CE1562" s="2" t="s">
        <v>104</v>
      </c>
      <c r="CF1562" s="5">
        <v>42962</v>
      </c>
      <c r="CG1562" s="2"/>
      <c r="CH1562" s="2"/>
      <c r="CI1562" s="2">
        <v>1</v>
      </c>
      <c r="CJ1562" s="2">
        <v>1</v>
      </c>
      <c r="CK1562" s="2">
        <v>21</v>
      </c>
      <c r="CL1562" s="2" t="s">
        <v>86</v>
      </c>
      <c r="CM1562" s="2"/>
    </row>
    <row r="1563" spans="1:91">
      <c r="A1563" s="2" t="s">
        <v>71</v>
      </c>
      <c r="B1563" s="2" t="s">
        <v>72</v>
      </c>
      <c r="C1563" s="2" t="s">
        <v>73</v>
      </c>
      <c r="D1563" s="2"/>
      <c r="E1563" s="2" t="str">
        <f>"FES1162568755"</f>
        <v>FES1162568755</v>
      </c>
      <c r="F1563" s="3">
        <v>42961</v>
      </c>
      <c r="G1563" s="2">
        <v>201802</v>
      </c>
      <c r="H1563" s="2" t="s">
        <v>74</v>
      </c>
      <c r="I1563" s="2" t="s">
        <v>75</v>
      </c>
      <c r="J1563" s="2" t="s">
        <v>76</v>
      </c>
      <c r="K1563" s="2" t="s">
        <v>77</v>
      </c>
      <c r="L1563" s="2" t="s">
        <v>343</v>
      </c>
      <c r="M1563" s="2" t="s">
        <v>344</v>
      </c>
      <c r="N1563" s="2" t="s">
        <v>2256</v>
      </c>
      <c r="O1563" s="2" t="s">
        <v>100</v>
      </c>
      <c r="P1563" s="2" t="str">
        <f>"2170584781                    "</f>
        <v xml:space="preserve">2170584781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4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1.4</v>
      </c>
      <c r="BJ1563" s="2">
        <v>1.4</v>
      </c>
      <c r="BK1563" s="2">
        <v>1.5</v>
      </c>
      <c r="BL1563" s="2">
        <v>41.44</v>
      </c>
      <c r="BM1563" s="2">
        <v>5.8</v>
      </c>
      <c r="BN1563" s="2">
        <v>47.24</v>
      </c>
      <c r="BO1563" s="2">
        <v>47.24</v>
      </c>
      <c r="BP1563" s="2"/>
      <c r="BQ1563" s="2" t="s">
        <v>288</v>
      </c>
      <c r="BR1563" s="2" t="s">
        <v>84</v>
      </c>
      <c r="BS1563" s="3">
        <v>42962</v>
      </c>
      <c r="BT1563" s="4">
        <v>0.37013888888888885</v>
      </c>
      <c r="BU1563" s="2" t="s">
        <v>1539</v>
      </c>
      <c r="BV1563" s="2" t="s">
        <v>95</v>
      </c>
      <c r="BW1563" s="2"/>
      <c r="BX1563" s="2"/>
      <c r="BY1563" s="2">
        <v>7157.28</v>
      </c>
      <c r="BZ1563" s="2"/>
      <c r="CA1563" s="2" t="s">
        <v>347</v>
      </c>
      <c r="CB1563" s="2"/>
      <c r="CC1563" s="2" t="s">
        <v>344</v>
      </c>
      <c r="CD1563" s="2">
        <v>4110</v>
      </c>
      <c r="CE1563" s="2" t="s">
        <v>104</v>
      </c>
      <c r="CF1563" s="5">
        <v>42963</v>
      </c>
      <c r="CG1563" s="2"/>
      <c r="CH1563" s="2"/>
      <c r="CI1563" s="2">
        <v>1</v>
      </c>
      <c r="CJ1563" s="2">
        <v>1</v>
      </c>
      <c r="CK1563" s="2">
        <v>21</v>
      </c>
      <c r="CL1563" s="2" t="s">
        <v>86</v>
      </c>
      <c r="CM1563" s="2"/>
    </row>
    <row r="1564" spans="1:91">
      <c r="A1564" s="2" t="s">
        <v>71</v>
      </c>
      <c r="B1564" s="2" t="s">
        <v>72</v>
      </c>
      <c r="C1564" s="2" t="s">
        <v>73</v>
      </c>
      <c r="D1564" s="2"/>
      <c r="E1564" s="2" t="str">
        <f>"FES1162568735"</f>
        <v>FES1162568735</v>
      </c>
      <c r="F1564" s="3">
        <v>42961</v>
      </c>
      <c r="G1564" s="2">
        <v>201802</v>
      </c>
      <c r="H1564" s="2" t="s">
        <v>74</v>
      </c>
      <c r="I1564" s="2" t="s">
        <v>75</v>
      </c>
      <c r="J1564" s="2" t="s">
        <v>76</v>
      </c>
      <c r="K1564" s="2" t="s">
        <v>77</v>
      </c>
      <c r="L1564" s="2" t="s">
        <v>128</v>
      </c>
      <c r="M1564" s="2" t="s">
        <v>129</v>
      </c>
      <c r="N1564" s="2" t="s">
        <v>857</v>
      </c>
      <c r="O1564" s="2" t="s">
        <v>100</v>
      </c>
      <c r="P1564" s="2" t="str">
        <f>"2170578334                    "</f>
        <v xml:space="preserve">2170578334  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3.13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1.3</v>
      </c>
      <c r="BJ1564" s="2">
        <v>1</v>
      </c>
      <c r="BK1564" s="2">
        <v>2</v>
      </c>
      <c r="BL1564" s="2">
        <v>32.380000000000003</v>
      </c>
      <c r="BM1564" s="2">
        <v>4.53</v>
      </c>
      <c r="BN1564" s="2">
        <v>36.909999999999997</v>
      </c>
      <c r="BO1564" s="2">
        <v>36.909999999999997</v>
      </c>
      <c r="BP1564" s="2"/>
      <c r="BQ1564" s="2" t="s">
        <v>83</v>
      </c>
      <c r="BR1564" s="2" t="s">
        <v>84</v>
      </c>
      <c r="BS1564" s="3">
        <v>42963</v>
      </c>
      <c r="BT1564" s="4">
        <v>0.3659722222222222</v>
      </c>
      <c r="BU1564" s="2" t="s">
        <v>858</v>
      </c>
      <c r="BV1564" s="2" t="s">
        <v>86</v>
      </c>
      <c r="BW1564" s="2" t="s">
        <v>124</v>
      </c>
      <c r="BX1564" s="2" t="s">
        <v>1150</v>
      </c>
      <c r="BY1564" s="2">
        <v>4901.4399999999996</v>
      </c>
      <c r="BZ1564" s="2"/>
      <c r="CA1564" s="2"/>
      <c r="CB1564" s="2"/>
      <c r="CC1564" s="2" t="s">
        <v>129</v>
      </c>
      <c r="CD1564" s="2">
        <v>1709</v>
      </c>
      <c r="CE1564" s="2" t="s">
        <v>89</v>
      </c>
      <c r="CF1564" s="5">
        <v>42963</v>
      </c>
      <c r="CG1564" s="2"/>
      <c r="CH1564" s="2"/>
      <c r="CI1564" s="2">
        <v>1</v>
      </c>
      <c r="CJ1564" s="2">
        <v>2</v>
      </c>
      <c r="CK1564" s="2">
        <v>22</v>
      </c>
      <c r="CL1564" s="2" t="s">
        <v>86</v>
      </c>
      <c r="CM1564" s="2"/>
    </row>
    <row r="1565" spans="1:91">
      <c r="A1565" s="2" t="s">
        <v>71</v>
      </c>
      <c r="B1565" s="2" t="s">
        <v>72</v>
      </c>
      <c r="C1565" s="2" t="s">
        <v>73</v>
      </c>
      <c r="D1565" s="2"/>
      <c r="E1565" s="2" t="str">
        <f>"FES1162568770"</f>
        <v>FES1162568770</v>
      </c>
      <c r="F1565" s="3">
        <v>42961</v>
      </c>
      <c r="G1565" s="2">
        <v>201802</v>
      </c>
      <c r="H1565" s="2" t="s">
        <v>74</v>
      </c>
      <c r="I1565" s="2" t="s">
        <v>75</v>
      </c>
      <c r="J1565" s="2" t="s">
        <v>76</v>
      </c>
      <c r="K1565" s="2" t="s">
        <v>77</v>
      </c>
      <c r="L1565" s="2" t="s">
        <v>97</v>
      </c>
      <c r="M1565" s="2" t="s">
        <v>98</v>
      </c>
      <c r="N1565" s="2" t="s">
        <v>500</v>
      </c>
      <c r="O1565" s="2" t="s">
        <v>100</v>
      </c>
      <c r="P1565" s="2" t="str">
        <f>"2170584272                    "</f>
        <v xml:space="preserve">2170584272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6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2.9</v>
      </c>
      <c r="BJ1565" s="2">
        <v>1.7</v>
      </c>
      <c r="BK1565" s="2">
        <v>3</v>
      </c>
      <c r="BL1565" s="2">
        <v>62.16</v>
      </c>
      <c r="BM1565" s="2">
        <v>8.6999999999999993</v>
      </c>
      <c r="BN1565" s="2">
        <v>70.86</v>
      </c>
      <c r="BO1565" s="2">
        <v>70.86</v>
      </c>
      <c r="BP1565" s="2"/>
      <c r="BQ1565" s="2" t="s">
        <v>108</v>
      </c>
      <c r="BR1565" s="2" t="s">
        <v>84</v>
      </c>
      <c r="BS1565" s="3">
        <v>42962</v>
      </c>
      <c r="BT1565" s="4">
        <v>0.3659722222222222</v>
      </c>
      <c r="BU1565" s="2" t="s">
        <v>501</v>
      </c>
      <c r="BV1565" s="2" t="s">
        <v>95</v>
      </c>
      <c r="BW1565" s="2"/>
      <c r="BX1565" s="2"/>
      <c r="BY1565" s="2">
        <v>8641.84</v>
      </c>
      <c r="BZ1565" s="2"/>
      <c r="CA1565" s="2" t="s">
        <v>294</v>
      </c>
      <c r="CB1565" s="2"/>
      <c r="CC1565" s="2" t="s">
        <v>98</v>
      </c>
      <c r="CD1565" s="2">
        <v>6001</v>
      </c>
      <c r="CE1565" s="2" t="s">
        <v>89</v>
      </c>
      <c r="CF1565" s="5">
        <v>42963</v>
      </c>
      <c r="CG1565" s="2"/>
      <c r="CH1565" s="2"/>
      <c r="CI1565" s="2">
        <v>1</v>
      </c>
      <c r="CJ1565" s="2">
        <v>1</v>
      </c>
      <c r="CK1565" s="2">
        <v>21</v>
      </c>
      <c r="CL1565" s="2" t="s">
        <v>86</v>
      </c>
      <c r="CM1565" s="2"/>
    </row>
    <row r="1566" spans="1:91">
      <c r="A1566" s="2" t="s">
        <v>71</v>
      </c>
      <c r="B1566" s="2" t="s">
        <v>72</v>
      </c>
      <c r="C1566" s="2" t="s">
        <v>73</v>
      </c>
      <c r="D1566" s="2"/>
      <c r="E1566" s="2" t="str">
        <f>"FES1162568799"</f>
        <v>FES1162568799</v>
      </c>
      <c r="F1566" s="3">
        <v>42961</v>
      </c>
      <c r="G1566" s="2">
        <v>201802</v>
      </c>
      <c r="H1566" s="2" t="s">
        <v>74</v>
      </c>
      <c r="I1566" s="2" t="s">
        <v>75</v>
      </c>
      <c r="J1566" s="2" t="s">
        <v>76</v>
      </c>
      <c r="K1566" s="2" t="s">
        <v>77</v>
      </c>
      <c r="L1566" s="2" t="s">
        <v>321</v>
      </c>
      <c r="M1566" s="2" t="s">
        <v>322</v>
      </c>
      <c r="N1566" s="2" t="s">
        <v>323</v>
      </c>
      <c r="O1566" s="2" t="s">
        <v>100</v>
      </c>
      <c r="P1566" s="2" t="str">
        <f>"2170583664                    "</f>
        <v xml:space="preserve">2170583664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17.010000000000002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8.1999999999999993</v>
      </c>
      <c r="BJ1566" s="2">
        <v>3.7</v>
      </c>
      <c r="BK1566" s="2">
        <v>8.5</v>
      </c>
      <c r="BL1566" s="2">
        <v>176.13</v>
      </c>
      <c r="BM1566" s="2">
        <v>24.66</v>
      </c>
      <c r="BN1566" s="2">
        <v>200.79</v>
      </c>
      <c r="BO1566" s="2">
        <v>200.79</v>
      </c>
      <c r="BP1566" s="2"/>
      <c r="BQ1566" s="2" t="s">
        <v>83</v>
      </c>
      <c r="BR1566" s="2" t="s">
        <v>84</v>
      </c>
      <c r="BS1566" s="3">
        <v>42962</v>
      </c>
      <c r="BT1566" s="4">
        <v>0.31041666666666667</v>
      </c>
      <c r="BU1566" s="2" t="s">
        <v>324</v>
      </c>
      <c r="BV1566" s="2" t="s">
        <v>95</v>
      </c>
      <c r="BW1566" s="2"/>
      <c r="BX1566" s="2"/>
      <c r="BY1566" s="2">
        <v>18582.91</v>
      </c>
      <c r="BZ1566" s="2"/>
      <c r="CA1566" s="2" t="s">
        <v>103</v>
      </c>
      <c r="CB1566" s="2"/>
      <c r="CC1566" s="2" t="s">
        <v>322</v>
      </c>
      <c r="CD1566" s="2">
        <v>6220</v>
      </c>
      <c r="CE1566" s="2" t="s">
        <v>89</v>
      </c>
      <c r="CF1566" s="5">
        <v>42963</v>
      </c>
      <c r="CG1566" s="2"/>
      <c r="CH1566" s="2"/>
      <c r="CI1566" s="2">
        <v>1</v>
      </c>
      <c r="CJ1566" s="2">
        <v>1</v>
      </c>
      <c r="CK1566" s="2">
        <v>21</v>
      </c>
      <c r="CL1566" s="2" t="s">
        <v>86</v>
      </c>
      <c r="CM1566" s="2"/>
    </row>
    <row r="1567" spans="1:91">
      <c r="A1567" s="2" t="s">
        <v>71</v>
      </c>
      <c r="B1567" s="2" t="s">
        <v>72</v>
      </c>
      <c r="C1567" s="2" t="s">
        <v>73</v>
      </c>
      <c r="D1567" s="2"/>
      <c r="E1567" s="2" t="str">
        <f>"FES1162568788"</f>
        <v>FES1162568788</v>
      </c>
      <c r="F1567" s="3">
        <v>42961</v>
      </c>
      <c r="G1567" s="2">
        <v>201802</v>
      </c>
      <c r="H1567" s="2" t="s">
        <v>74</v>
      </c>
      <c r="I1567" s="2" t="s">
        <v>75</v>
      </c>
      <c r="J1567" s="2" t="s">
        <v>76</v>
      </c>
      <c r="K1567" s="2" t="s">
        <v>77</v>
      </c>
      <c r="L1567" s="2" t="s">
        <v>128</v>
      </c>
      <c r="M1567" s="2" t="s">
        <v>129</v>
      </c>
      <c r="N1567" s="2" t="s">
        <v>2257</v>
      </c>
      <c r="O1567" s="2" t="s">
        <v>100</v>
      </c>
      <c r="P1567" s="2" t="str">
        <f>"2170584832                    "</f>
        <v xml:space="preserve">2170584832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3.13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1.4</v>
      </c>
      <c r="BJ1567" s="2">
        <v>1.1000000000000001</v>
      </c>
      <c r="BK1567" s="2">
        <v>2</v>
      </c>
      <c r="BL1567" s="2">
        <v>32.380000000000003</v>
      </c>
      <c r="BM1567" s="2">
        <v>4.53</v>
      </c>
      <c r="BN1567" s="2">
        <v>36.909999999999997</v>
      </c>
      <c r="BO1567" s="2">
        <v>36.909999999999997</v>
      </c>
      <c r="BP1567" s="2"/>
      <c r="BQ1567" s="2" t="s">
        <v>288</v>
      </c>
      <c r="BR1567" s="2" t="s">
        <v>84</v>
      </c>
      <c r="BS1567" s="3">
        <v>42962</v>
      </c>
      <c r="BT1567" s="4">
        <v>0.76874999999999993</v>
      </c>
      <c r="BU1567" s="2" t="s">
        <v>330</v>
      </c>
      <c r="BV1567" s="2" t="s">
        <v>86</v>
      </c>
      <c r="BW1567" s="2" t="s">
        <v>110</v>
      </c>
      <c r="BX1567" s="2" t="s">
        <v>327</v>
      </c>
      <c r="BY1567" s="2">
        <v>5496.66</v>
      </c>
      <c r="BZ1567" s="2"/>
      <c r="CA1567" s="2" t="s">
        <v>414</v>
      </c>
      <c r="CB1567" s="2"/>
      <c r="CC1567" s="2" t="s">
        <v>129</v>
      </c>
      <c r="CD1567" s="2">
        <v>1709</v>
      </c>
      <c r="CE1567" s="2" t="s">
        <v>104</v>
      </c>
      <c r="CF1567" s="5">
        <v>42963</v>
      </c>
      <c r="CG1567" s="2"/>
      <c r="CH1567" s="2"/>
      <c r="CI1567" s="2">
        <v>1</v>
      </c>
      <c r="CJ1567" s="2">
        <v>1</v>
      </c>
      <c r="CK1567" s="2">
        <v>22</v>
      </c>
      <c r="CL1567" s="2" t="s">
        <v>86</v>
      </c>
      <c r="CM1567" s="2"/>
    </row>
    <row r="1568" spans="1:91">
      <c r="A1568" s="2" t="s">
        <v>71</v>
      </c>
      <c r="B1568" s="2" t="s">
        <v>72</v>
      </c>
      <c r="C1568" s="2" t="s">
        <v>73</v>
      </c>
      <c r="D1568" s="2"/>
      <c r="E1568" s="2" t="str">
        <f>"FES1162568797"</f>
        <v>FES1162568797</v>
      </c>
      <c r="F1568" s="3">
        <v>42961</v>
      </c>
      <c r="G1568" s="2">
        <v>201802</v>
      </c>
      <c r="H1568" s="2" t="s">
        <v>74</v>
      </c>
      <c r="I1568" s="2" t="s">
        <v>75</v>
      </c>
      <c r="J1568" s="2" t="s">
        <v>76</v>
      </c>
      <c r="K1568" s="2" t="s">
        <v>77</v>
      </c>
      <c r="L1568" s="2" t="s">
        <v>2258</v>
      </c>
      <c r="M1568" s="2" t="s">
        <v>2259</v>
      </c>
      <c r="N1568" s="2" t="s">
        <v>2260</v>
      </c>
      <c r="O1568" s="2" t="s">
        <v>100</v>
      </c>
      <c r="P1568" s="2" t="str">
        <f>"2170584849                    "</f>
        <v xml:space="preserve">2170584849 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5.63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1</v>
      </c>
      <c r="BJ1568" s="2">
        <v>0.2</v>
      </c>
      <c r="BK1568" s="2">
        <v>1</v>
      </c>
      <c r="BL1568" s="2">
        <v>58.28</v>
      </c>
      <c r="BM1568" s="2">
        <v>8.16</v>
      </c>
      <c r="BN1568" s="2">
        <v>66.44</v>
      </c>
      <c r="BO1568" s="2">
        <v>66.44</v>
      </c>
      <c r="BP1568" s="2"/>
      <c r="BQ1568" s="2" t="s">
        <v>288</v>
      </c>
      <c r="BR1568" s="2" t="s">
        <v>84</v>
      </c>
      <c r="BS1568" s="3">
        <v>42962</v>
      </c>
      <c r="BT1568" s="4">
        <v>0.62847222222222221</v>
      </c>
      <c r="BU1568" s="2" t="s">
        <v>2261</v>
      </c>
      <c r="BV1568" s="2" t="s">
        <v>86</v>
      </c>
      <c r="BW1568" s="2"/>
      <c r="BX1568" s="2"/>
      <c r="BY1568" s="2">
        <v>1200</v>
      </c>
      <c r="BZ1568" s="2"/>
      <c r="CA1568" s="2" t="s">
        <v>2262</v>
      </c>
      <c r="CB1568" s="2"/>
      <c r="CC1568" s="2" t="s">
        <v>2259</v>
      </c>
      <c r="CD1568" s="2">
        <v>2309</v>
      </c>
      <c r="CE1568" s="2" t="s">
        <v>104</v>
      </c>
      <c r="CF1568" s="5">
        <v>42964</v>
      </c>
      <c r="CG1568" s="2"/>
      <c r="CH1568" s="2"/>
      <c r="CI1568" s="2">
        <v>1</v>
      </c>
      <c r="CJ1568" s="2">
        <v>1</v>
      </c>
      <c r="CK1568" s="2">
        <v>24</v>
      </c>
      <c r="CL1568" s="2" t="s">
        <v>86</v>
      </c>
      <c r="CM1568" s="2"/>
    </row>
    <row r="1569" spans="1:91">
      <c r="A1569" s="2" t="s">
        <v>71</v>
      </c>
      <c r="B1569" s="2" t="s">
        <v>72</v>
      </c>
      <c r="C1569" s="2" t="s">
        <v>73</v>
      </c>
      <c r="D1569" s="2"/>
      <c r="E1569" s="2" t="str">
        <f>"FES1162568748"</f>
        <v>FES1162568748</v>
      </c>
      <c r="F1569" s="3">
        <v>42961</v>
      </c>
      <c r="G1569" s="2">
        <v>201802</v>
      </c>
      <c r="H1569" s="2" t="s">
        <v>74</v>
      </c>
      <c r="I1569" s="2" t="s">
        <v>75</v>
      </c>
      <c r="J1569" s="2" t="s">
        <v>76</v>
      </c>
      <c r="K1569" s="2" t="s">
        <v>77</v>
      </c>
      <c r="L1569" s="2" t="s">
        <v>97</v>
      </c>
      <c r="M1569" s="2" t="s">
        <v>98</v>
      </c>
      <c r="N1569" s="2" t="s">
        <v>250</v>
      </c>
      <c r="O1569" s="2" t="s">
        <v>100</v>
      </c>
      <c r="P1569" s="2" t="str">
        <f>"2170580822                    "</f>
        <v xml:space="preserve">2170580822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4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1</v>
      </c>
      <c r="BI1569" s="2">
        <v>0.2</v>
      </c>
      <c r="BJ1569" s="2">
        <v>2</v>
      </c>
      <c r="BK1569" s="2">
        <v>2</v>
      </c>
      <c r="BL1569" s="2">
        <v>41.44</v>
      </c>
      <c r="BM1569" s="2">
        <v>5.8</v>
      </c>
      <c r="BN1569" s="2">
        <v>47.24</v>
      </c>
      <c r="BO1569" s="2">
        <v>47.24</v>
      </c>
      <c r="BP1569" s="2"/>
      <c r="BQ1569" s="2" t="s">
        <v>83</v>
      </c>
      <c r="BR1569" s="2" t="s">
        <v>84</v>
      </c>
      <c r="BS1569" s="3">
        <v>42962</v>
      </c>
      <c r="BT1569" s="4">
        <v>0.41666666666666669</v>
      </c>
      <c r="BU1569" s="2" t="s">
        <v>251</v>
      </c>
      <c r="BV1569" s="2" t="s">
        <v>95</v>
      </c>
      <c r="BW1569" s="2"/>
      <c r="BX1569" s="2"/>
      <c r="BY1569" s="2">
        <v>10056.41</v>
      </c>
      <c r="BZ1569" s="2"/>
      <c r="CA1569" s="2" t="s">
        <v>294</v>
      </c>
      <c r="CB1569" s="2"/>
      <c r="CC1569" s="2" t="s">
        <v>98</v>
      </c>
      <c r="CD1569" s="2">
        <v>6012</v>
      </c>
      <c r="CE1569" s="2" t="s">
        <v>104</v>
      </c>
      <c r="CF1569" s="5">
        <v>42963</v>
      </c>
      <c r="CG1569" s="2"/>
      <c r="CH1569" s="2"/>
      <c r="CI1569" s="2">
        <v>1</v>
      </c>
      <c r="CJ1569" s="2">
        <v>1</v>
      </c>
      <c r="CK1569" s="2">
        <v>21</v>
      </c>
      <c r="CL1569" s="2" t="s">
        <v>86</v>
      </c>
      <c r="CM1569" s="2"/>
    </row>
    <row r="1570" spans="1:91">
      <c r="A1570" s="2" t="s">
        <v>71</v>
      </c>
      <c r="B1570" s="2" t="s">
        <v>72</v>
      </c>
      <c r="C1570" s="2" t="s">
        <v>73</v>
      </c>
      <c r="D1570" s="2"/>
      <c r="E1570" s="2" t="str">
        <f>"FES1162568786"</f>
        <v>FES1162568786</v>
      </c>
      <c r="F1570" s="3">
        <v>42961</v>
      </c>
      <c r="G1570" s="2">
        <v>201802</v>
      </c>
      <c r="H1570" s="2" t="s">
        <v>74</v>
      </c>
      <c r="I1570" s="2" t="s">
        <v>75</v>
      </c>
      <c r="J1570" s="2" t="s">
        <v>76</v>
      </c>
      <c r="K1570" s="2" t="s">
        <v>77</v>
      </c>
      <c r="L1570" s="2" t="s">
        <v>216</v>
      </c>
      <c r="M1570" s="2" t="s">
        <v>217</v>
      </c>
      <c r="N1570" s="2" t="s">
        <v>374</v>
      </c>
      <c r="O1570" s="2" t="s">
        <v>100</v>
      </c>
      <c r="P1570" s="2" t="str">
        <f>"2170584828                    "</f>
        <v xml:space="preserve">2170584828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3.13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0.9</v>
      </c>
      <c r="BJ1570" s="2">
        <v>0.8</v>
      </c>
      <c r="BK1570" s="2">
        <v>1</v>
      </c>
      <c r="BL1570" s="2">
        <v>32.380000000000003</v>
      </c>
      <c r="BM1570" s="2">
        <v>4.53</v>
      </c>
      <c r="BN1570" s="2">
        <v>36.909999999999997</v>
      </c>
      <c r="BO1570" s="2">
        <v>36.909999999999997</v>
      </c>
      <c r="BP1570" s="2"/>
      <c r="BQ1570" s="2" t="s">
        <v>83</v>
      </c>
      <c r="BR1570" s="2" t="s">
        <v>84</v>
      </c>
      <c r="BS1570" s="3">
        <v>42962</v>
      </c>
      <c r="BT1570" s="4">
        <v>0.43888888888888888</v>
      </c>
      <c r="BU1570" s="2" t="s">
        <v>1449</v>
      </c>
      <c r="BV1570" s="2" t="s">
        <v>95</v>
      </c>
      <c r="BW1570" s="2"/>
      <c r="BX1570" s="2"/>
      <c r="BY1570" s="2">
        <v>3956.23</v>
      </c>
      <c r="BZ1570" s="2"/>
      <c r="CA1570" s="2" t="s">
        <v>220</v>
      </c>
      <c r="CB1570" s="2"/>
      <c r="CC1570" s="2" t="s">
        <v>217</v>
      </c>
      <c r="CD1570" s="2">
        <v>1451</v>
      </c>
      <c r="CE1570" s="2" t="s">
        <v>104</v>
      </c>
      <c r="CF1570" s="5">
        <v>42963</v>
      </c>
      <c r="CG1570" s="2"/>
      <c r="CH1570" s="2"/>
      <c r="CI1570" s="2">
        <v>1</v>
      </c>
      <c r="CJ1570" s="2">
        <v>1</v>
      </c>
      <c r="CK1570" s="2">
        <v>22</v>
      </c>
      <c r="CL1570" s="2" t="s">
        <v>86</v>
      </c>
      <c r="CM1570" s="2"/>
    </row>
    <row r="1571" spans="1:91">
      <c r="A1571" s="2" t="s">
        <v>71</v>
      </c>
      <c r="B1571" s="2" t="s">
        <v>72</v>
      </c>
      <c r="C1571" s="2" t="s">
        <v>73</v>
      </c>
      <c r="D1571" s="2"/>
      <c r="E1571" s="2" t="str">
        <f>"FES1162568777"</f>
        <v>FES1162568777</v>
      </c>
      <c r="F1571" s="3">
        <v>42961</v>
      </c>
      <c r="G1571" s="2">
        <v>201802</v>
      </c>
      <c r="H1571" s="2" t="s">
        <v>74</v>
      </c>
      <c r="I1571" s="2" t="s">
        <v>75</v>
      </c>
      <c r="J1571" s="2" t="s">
        <v>76</v>
      </c>
      <c r="K1571" s="2" t="s">
        <v>77</v>
      </c>
      <c r="L1571" s="2" t="s">
        <v>144</v>
      </c>
      <c r="M1571" s="2" t="s">
        <v>145</v>
      </c>
      <c r="N1571" s="2" t="s">
        <v>1784</v>
      </c>
      <c r="O1571" s="2" t="s">
        <v>100</v>
      </c>
      <c r="P1571" s="2" t="str">
        <f>"2170584814                    "</f>
        <v xml:space="preserve">2170584814 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3.13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0.3</v>
      </c>
      <c r="BJ1571" s="2">
        <v>0.7</v>
      </c>
      <c r="BK1571" s="2">
        <v>1</v>
      </c>
      <c r="BL1571" s="2">
        <v>32.380000000000003</v>
      </c>
      <c r="BM1571" s="2">
        <v>4.53</v>
      </c>
      <c r="BN1571" s="2">
        <v>36.909999999999997</v>
      </c>
      <c r="BO1571" s="2">
        <v>36.909999999999997</v>
      </c>
      <c r="BP1571" s="2"/>
      <c r="BQ1571" s="2" t="s">
        <v>83</v>
      </c>
      <c r="BR1571" s="2" t="s">
        <v>84</v>
      </c>
      <c r="BS1571" s="3">
        <v>42962</v>
      </c>
      <c r="BT1571" s="4">
        <v>0.33958333333333335</v>
      </c>
      <c r="BU1571" s="2" t="s">
        <v>2263</v>
      </c>
      <c r="BV1571" s="2" t="s">
        <v>95</v>
      </c>
      <c r="BW1571" s="2"/>
      <c r="BX1571" s="2"/>
      <c r="BY1571" s="2">
        <v>3473.33</v>
      </c>
      <c r="BZ1571" s="2"/>
      <c r="CA1571" s="2" t="s">
        <v>274</v>
      </c>
      <c r="CB1571" s="2"/>
      <c r="CC1571" s="2" t="s">
        <v>145</v>
      </c>
      <c r="CD1571" s="2">
        <v>2094</v>
      </c>
      <c r="CE1571" s="2" t="s">
        <v>104</v>
      </c>
      <c r="CF1571" s="5">
        <v>42963</v>
      </c>
      <c r="CG1571" s="2"/>
      <c r="CH1571" s="2"/>
      <c r="CI1571" s="2">
        <v>1</v>
      </c>
      <c r="CJ1571" s="2">
        <v>1</v>
      </c>
      <c r="CK1571" s="2">
        <v>22</v>
      </c>
      <c r="CL1571" s="2" t="s">
        <v>86</v>
      </c>
      <c r="CM1571" s="2"/>
    </row>
    <row r="1572" spans="1:91">
      <c r="A1572" s="2" t="s">
        <v>71</v>
      </c>
      <c r="B1572" s="2" t="s">
        <v>72</v>
      </c>
      <c r="C1572" s="2" t="s">
        <v>73</v>
      </c>
      <c r="D1572" s="2"/>
      <c r="E1572" s="2" t="str">
        <f>"FES1162568787"</f>
        <v>FES1162568787</v>
      </c>
      <c r="F1572" s="3">
        <v>42961</v>
      </c>
      <c r="G1572" s="2">
        <v>201802</v>
      </c>
      <c r="H1572" s="2" t="s">
        <v>74</v>
      </c>
      <c r="I1572" s="2" t="s">
        <v>75</v>
      </c>
      <c r="J1572" s="2" t="s">
        <v>76</v>
      </c>
      <c r="K1572" s="2" t="s">
        <v>77</v>
      </c>
      <c r="L1572" s="2" t="s">
        <v>144</v>
      </c>
      <c r="M1572" s="2" t="s">
        <v>145</v>
      </c>
      <c r="N1572" s="2" t="s">
        <v>146</v>
      </c>
      <c r="O1572" s="2" t="s">
        <v>100</v>
      </c>
      <c r="P1572" s="2" t="str">
        <f>"2170584831                    "</f>
        <v xml:space="preserve">2170584831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3.13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1</v>
      </c>
      <c r="BI1572" s="2">
        <v>1</v>
      </c>
      <c r="BJ1572" s="2">
        <v>0.2</v>
      </c>
      <c r="BK1572" s="2">
        <v>1</v>
      </c>
      <c r="BL1572" s="2">
        <v>32.380000000000003</v>
      </c>
      <c r="BM1572" s="2">
        <v>4.53</v>
      </c>
      <c r="BN1572" s="2">
        <v>36.909999999999997</v>
      </c>
      <c r="BO1572" s="2">
        <v>36.909999999999997</v>
      </c>
      <c r="BP1572" s="2"/>
      <c r="BQ1572" s="2" t="s">
        <v>83</v>
      </c>
      <c r="BR1572" s="2" t="s">
        <v>84</v>
      </c>
      <c r="BS1572" s="3">
        <v>42962</v>
      </c>
      <c r="BT1572" s="4">
        <v>0.41319444444444442</v>
      </c>
      <c r="BU1572" s="2" t="s">
        <v>1176</v>
      </c>
      <c r="BV1572" s="2" t="s">
        <v>95</v>
      </c>
      <c r="BW1572" s="2"/>
      <c r="BX1572" s="2"/>
      <c r="BY1572" s="2">
        <v>1200</v>
      </c>
      <c r="BZ1572" s="2"/>
      <c r="CA1572" s="2" t="s">
        <v>729</v>
      </c>
      <c r="CB1572" s="2"/>
      <c r="CC1572" s="2" t="s">
        <v>145</v>
      </c>
      <c r="CD1572" s="2">
        <v>2094</v>
      </c>
      <c r="CE1572" s="2" t="s">
        <v>104</v>
      </c>
      <c r="CF1572" s="5">
        <v>42963</v>
      </c>
      <c r="CG1572" s="2"/>
      <c r="CH1572" s="2"/>
      <c r="CI1572" s="2">
        <v>1</v>
      </c>
      <c r="CJ1572" s="2">
        <v>1</v>
      </c>
      <c r="CK1572" s="2">
        <v>22</v>
      </c>
      <c r="CL1572" s="2" t="s">
        <v>86</v>
      </c>
      <c r="CM1572" s="2"/>
    </row>
    <row r="1573" spans="1:91">
      <c r="A1573" s="2" t="s">
        <v>71</v>
      </c>
      <c r="B1573" s="2" t="s">
        <v>72</v>
      </c>
      <c r="C1573" s="2" t="s">
        <v>73</v>
      </c>
      <c r="D1573" s="2"/>
      <c r="E1573" s="2" t="str">
        <f>"FES1162568771"</f>
        <v>FES1162568771</v>
      </c>
      <c r="F1573" s="3">
        <v>42961</v>
      </c>
      <c r="G1573" s="2">
        <v>201802</v>
      </c>
      <c r="H1573" s="2" t="s">
        <v>74</v>
      </c>
      <c r="I1573" s="2" t="s">
        <v>75</v>
      </c>
      <c r="J1573" s="2" t="s">
        <v>76</v>
      </c>
      <c r="K1573" s="2" t="s">
        <v>77</v>
      </c>
      <c r="L1573" s="2" t="s">
        <v>144</v>
      </c>
      <c r="M1573" s="2" t="s">
        <v>145</v>
      </c>
      <c r="N1573" s="2" t="s">
        <v>146</v>
      </c>
      <c r="O1573" s="2" t="s">
        <v>100</v>
      </c>
      <c r="P1573" s="2" t="str">
        <f>"2170584416                    "</f>
        <v xml:space="preserve">2170584416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3.13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1.6</v>
      </c>
      <c r="BJ1573" s="2">
        <v>1.4</v>
      </c>
      <c r="BK1573" s="2">
        <v>2</v>
      </c>
      <c r="BL1573" s="2">
        <v>32.380000000000003</v>
      </c>
      <c r="BM1573" s="2">
        <v>4.53</v>
      </c>
      <c r="BN1573" s="2">
        <v>36.909999999999997</v>
      </c>
      <c r="BO1573" s="2">
        <v>36.909999999999997</v>
      </c>
      <c r="BP1573" s="2"/>
      <c r="BQ1573" s="2" t="s">
        <v>83</v>
      </c>
      <c r="BR1573" s="2" t="s">
        <v>84</v>
      </c>
      <c r="BS1573" s="3">
        <v>42962</v>
      </c>
      <c r="BT1573" s="4">
        <v>0.40486111111111112</v>
      </c>
      <c r="BU1573" s="2" t="s">
        <v>1176</v>
      </c>
      <c r="BV1573" s="2" t="s">
        <v>95</v>
      </c>
      <c r="BW1573" s="2"/>
      <c r="BX1573" s="2"/>
      <c r="BY1573" s="2">
        <v>6827.07</v>
      </c>
      <c r="BZ1573" s="2"/>
      <c r="CA1573" s="2" t="s">
        <v>729</v>
      </c>
      <c r="CB1573" s="2"/>
      <c r="CC1573" s="2" t="s">
        <v>145</v>
      </c>
      <c r="CD1573" s="2">
        <v>2094</v>
      </c>
      <c r="CE1573" s="2" t="s">
        <v>135</v>
      </c>
      <c r="CF1573" s="5">
        <v>42963</v>
      </c>
      <c r="CG1573" s="2"/>
      <c r="CH1573" s="2"/>
      <c r="CI1573" s="2">
        <v>1</v>
      </c>
      <c r="CJ1573" s="2">
        <v>1</v>
      </c>
      <c r="CK1573" s="2">
        <v>22</v>
      </c>
      <c r="CL1573" s="2" t="s">
        <v>86</v>
      </c>
      <c r="CM1573" s="2"/>
    </row>
    <row r="1574" spans="1:91">
      <c r="A1574" s="2" t="s">
        <v>71</v>
      </c>
      <c r="B1574" s="2" t="s">
        <v>72</v>
      </c>
      <c r="C1574" s="2" t="s">
        <v>73</v>
      </c>
      <c r="D1574" s="2"/>
      <c r="E1574" s="2" t="str">
        <f>"FES1162568703"</f>
        <v>FES1162568703</v>
      </c>
      <c r="F1574" s="3">
        <v>42961</v>
      </c>
      <c r="G1574" s="2">
        <v>201802</v>
      </c>
      <c r="H1574" s="2" t="s">
        <v>74</v>
      </c>
      <c r="I1574" s="2" t="s">
        <v>75</v>
      </c>
      <c r="J1574" s="2" t="s">
        <v>76</v>
      </c>
      <c r="K1574" s="2" t="s">
        <v>77</v>
      </c>
      <c r="L1574" s="2" t="s">
        <v>383</v>
      </c>
      <c r="M1574" s="2" t="s">
        <v>384</v>
      </c>
      <c r="N1574" s="2" t="s">
        <v>385</v>
      </c>
      <c r="O1574" s="2" t="s">
        <v>100</v>
      </c>
      <c r="P1574" s="2" t="str">
        <f>"2170584730                    "</f>
        <v xml:space="preserve">2170584730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5.63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1</v>
      </c>
      <c r="BJ1574" s="2">
        <v>1.7</v>
      </c>
      <c r="BK1574" s="2">
        <v>2</v>
      </c>
      <c r="BL1574" s="2">
        <v>58.28</v>
      </c>
      <c r="BM1574" s="2">
        <v>8.16</v>
      </c>
      <c r="BN1574" s="2">
        <v>66.44</v>
      </c>
      <c r="BO1574" s="2">
        <v>66.44</v>
      </c>
      <c r="BP1574" s="2"/>
      <c r="BQ1574" s="2" t="s">
        <v>108</v>
      </c>
      <c r="BR1574" s="2" t="s">
        <v>84</v>
      </c>
      <c r="BS1574" s="3">
        <v>42962</v>
      </c>
      <c r="BT1574" s="4">
        <v>0.41666666666666669</v>
      </c>
      <c r="BU1574" s="2" t="s">
        <v>2264</v>
      </c>
      <c r="BV1574" s="2" t="s">
        <v>95</v>
      </c>
      <c r="BW1574" s="2"/>
      <c r="BX1574" s="2"/>
      <c r="BY1574" s="2">
        <v>8666.56</v>
      </c>
      <c r="BZ1574" s="2"/>
      <c r="CA1574" s="2"/>
      <c r="CB1574" s="2"/>
      <c r="CC1574" s="2" t="s">
        <v>384</v>
      </c>
      <c r="CD1574" s="2">
        <v>2210</v>
      </c>
      <c r="CE1574" s="2" t="s">
        <v>104</v>
      </c>
      <c r="CF1574" s="5">
        <v>42963</v>
      </c>
      <c r="CG1574" s="2"/>
      <c r="CH1574" s="2"/>
      <c r="CI1574" s="2">
        <v>1</v>
      </c>
      <c r="CJ1574" s="2">
        <v>1</v>
      </c>
      <c r="CK1574" s="2">
        <v>24</v>
      </c>
      <c r="CL1574" s="2" t="s">
        <v>86</v>
      </c>
      <c r="CM1574" s="2"/>
    </row>
    <row r="1575" spans="1:91">
      <c r="A1575" s="2" t="s">
        <v>71</v>
      </c>
      <c r="B1575" s="2" t="s">
        <v>72</v>
      </c>
      <c r="C1575" s="2" t="s">
        <v>73</v>
      </c>
      <c r="D1575" s="2"/>
      <c r="E1575" s="2" t="str">
        <f>"FES1162568608"</f>
        <v>FES1162568608</v>
      </c>
      <c r="F1575" s="3">
        <v>42961</v>
      </c>
      <c r="G1575" s="2">
        <v>201802</v>
      </c>
      <c r="H1575" s="2" t="s">
        <v>74</v>
      </c>
      <c r="I1575" s="2" t="s">
        <v>75</v>
      </c>
      <c r="J1575" s="2" t="s">
        <v>76</v>
      </c>
      <c r="K1575" s="2" t="s">
        <v>77</v>
      </c>
      <c r="L1575" s="2" t="s">
        <v>1101</v>
      </c>
      <c r="M1575" s="2" t="s">
        <v>1102</v>
      </c>
      <c r="N1575" s="2" t="s">
        <v>2265</v>
      </c>
      <c r="O1575" s="2" t="s">
        <v>100</v>
      </c>
      <c r="P1575" s="2" t="str">
        <f>"2170584583                    "</f>
        <v xml:space="preserve">2170584583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7.75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2</v>
      </c>
      <c r="BJ1575" s="2">
        <v>1.6</v>
      </c>
      <c r="BK1575" s="2">
        <v>2</v>
      </c>
      <c r="BL1575" s="2">
        <v>80.290000000000006</v>
      </c>
      <c r="BM1575" s="2">
        <v>11.24</v>
      </c>
      <c r="BN1575" s="2">
        <v>91.53</v>
      </c>
      <c r="BO1575" s="2">
        <v>91.53</v>
      </c>
      <c r="BP1575" s="2"/>
      <c r="BQ1575" s="2" t="s">
        <v>108</v>
      </c>
      <c r="BR1575" s="2" t="s">
        <v>84</v>
      </c>
      <c r="BS1575" s="3">
        <v>42962</v>
      </c>
      <c r="BT1575" s="4">
        <v>0.43055555555555558</v>
      </c>
      <c r="BU1575" s="2" t="s">
        <v>2266</v>
      </c>
      <c r="BV1575" s="2" t="s">
        <v>95</v>
      </c>
      <c r="BW1575" s="2"/>
      <c r="BX1575" s="2"/>
      <c r="BY1575" s="2">
        <v>8013.82</v>
      </c>
      <c r="BZ1575" s="2"/>
      <c r="CA1575" s="2" t="s">
        <v>2267</v>
      </c>
      <c r="CB1575" s="2"/>
      <c r="CC1575" s="2" t="s">
        <v>1102</v>
      </c>
      <c r="CD1575" s="2">
        <v>2531</v>
      </c>
      <c r="CE1575" s="2" t="s">
        <v>104</v>
      </c>
      <c r="CF1575" s="5">
        <v>42964</v>
      </c>
      <c r="CG1575" s="2"/>
      <c r="CH1575" s="2"/>
      <c r="CI1575" s="2">
        <v>1</v>
      </c>
      <c r="CJ1575" s="2">
        <v>1</v>
      </c>
      <c r="CK1575" s="2">
        <v>23</v>
      </c>
      <c r="CL1575" s="2" t="s">
        <v>86</v>
      </c>
      <c r="CM1575" s="2"/>
    </row>
    <row r="1576" spans="1:91">
      <c r="A1576" s="2" t="s">
        <v>71</v>
      </c>
      <c r="B1576" s="2" t="s">
        <v>72</v>
      </c>
      <c r="C1576" s="2" t="s">
        <v>73</v>
      </c>
      <c r="D1576" s="2"/>
      <c r="E1576" s="2" t="str">
        <f>"FES1162568571"</f>
        <v>FES1162568571</v>
      </c>
      <c r="F1576" s="3">
        <v>42961</v>
      </c>
      <c r="G1576" s="2">
        <v>201802</v>
      </c>
      <c r="H1576" s="2" t="s">
        <v>74</v>
      </c>
      <c r="I1576" s="2" t="s">
        <v>75</v>
      </c>
      <c r="J1576" s="2" t="s">
        <v>76</v>
      </c>
      <c r="K1576" s="2" t="s">
        <v>77</v>
      </c>
      <c r="L1576" s="2" t="s">
        <v>74</v>
      </c>
      <c r="M1576" s="2" t="s">
        <v>75</v>
      </c>
      <c r="N1576" s="2" t="s">
        <v>2268</v>
      </c>
      <c r="O1576" s="2" t="s">
        <v>100</v>
      </c>
      <c r="P1576" s="2" t="str">
        <f>"2170584638                    "</f>
        <v xml:space="preserve">2170584638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3.13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1</v>
      </c>
      <c r="BI1576" s="2">
        <v>0.7</v>
      </c>
      <c r="BJ1576" s="2">
        <v>1.7</v>
      </c>
      <c r="BK1576" s="2">
        <v>2</v>
      </c>
      <c r="BL1576" s="2">
        <v>32.380000000000003</v>
      </c>
      <c r="BM1576" s="2">
        <v>4.53</v>
      </c>
      <c r="BN1576" s="2">
        <v>36.909999999999997</v>
      </c>
      <c r="BO1576" s="2">
        <v>36.909999999999997</v>
      </c>
      <c r="BP1576" s="2"/>
      <c r="BQ1576" s="2" t="s">
        <v>2269</v>
      </c>
      <c r="BR1576" s="2" t="s">
        <v>84</v>
      </c>
      <c r="BS1576" s="3">
        <v>42962</v>
      </c>
      <c r="BT1576" s="4">
        <v>0.29166666666666669</v>
      </c>
      <c r="BU1576" s="2" t="s">
        <v>2270</v>
      </c>
      <c r="BV1576" s="2" t="s">
        <v>95</v>
      </c>
      <c r="BW1576" s="2"/>
      <c r="BX1576" s="2"/>
      <c r="BY1576" s="2">
        <v>8370.81</v>
      </c>
      <c r="BZ1576" s="2"/>
      <c r="CA1576" s="2" t="s">
        <v>331</v>
      </c>
      <c r="CB1576" s="2"/>
      <c r="CC1576" s="2" t="s">
        <v>75</v>
      </c>
      <c r="CD1576" s="2">
        <v>1624</v>
      </c>
      <c r="CE1576" s="2" t="s">
        <v>104</v>
      </c>
      <c r="CF1576" s="5">
        <v>42963</v>
      </c>
      <c r="CG1576" s="2"/>
      <c r="CH1576" s="2"/>
      <c r="CI1576" s="2">
        <v>1</v>
      </c>
      <c r="CJ1576" s="2">
        <v>1</v>
      </c>
      <c r="CK1576" s="2">
        <v>22</v>
      </c>
      <c r="CL1576" s="2" t="s">
        <v>86</v>
      </c>
      <c r="CM1576" s="2"/>
    </row>
    <row r="1577" spans="1:91">
      <c r="A1577" s="2" t="s">
        <v>71</v>
      </c>
      <c r="B1577" s="2" t="s">
        <v>72</v>
      </c>
      <c r="C1577" s="2" t="s">
        <v>73</v>
      </c>
      <c r="D1577" s="2"/>
      <c r="E1577" s="2" t="str">
        <f>"FES1162568504"</f>
        <v>FES1162568504</v>
      </c>
      <c r="F1577" s="3">
        <v>42961</v>
      </c>
      <c r="G1577" s="2">
        <v>201802</v>
      </c>
      <c r="H1577" s="2" t="s">
        <v>74</v>
      </c>
      <c r="I1577" s="2" t="s">
        <v>75</v>
      </c>
      <c r="J1577" s="2" t="s">
        <v>76</v>
      </c>
      <c r="K1577" s="2" t="s">
        <v>77</v>
      </c>
      <c r="L1577" s="2" t="s">
        <v>206</v>
      </c>
      <c r="M1577" s="2" t="s">
        <v>207</v>
      </c>
      <c r="N1577" s="2" t="s">
        <v>262</v>
      </c>
      <c r="O1577" s="2" t="s">
        <v>100</v>
      </c>
      <c r="P1577" s="2" t="str">
        <f>"2170584595                    "</f>
        <v xml:space="preserve">2170584595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5.63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1.5</v>
      </c>
      <c r="BJ1577" s="2">
        <v>1.7</v>
      </c>
      <c r="BK1577" s="2">
        <v>2</v>
      </c>
      <c r="BL1577" s="2">
        <v>58.28</v>
      </c>
      <c r="BM1577" s="2">
        <v>8.16</v>
      </c>
      <c r="BN1577" s="2">
        <v>66.44</v>
      </c>
      <c r="BO1577" s="2">
        <v>66.44</v>
      </c>
      <c r="BP1577" s="2"/>
      <c r="BQ1577" s="2" t="s">
        <v>83</v>
      </c>
      <c r="BR1577" s="2" t="s">
        <v>84</v>
      </c>
      <c r="BS1577" s="3">
        <v>42962</v>
      </c>
      <c r="BT1577" s="4">
        <v>0.44444444444444442</v>
      </c>
      <c r="BU1577" s="2" t="s">
        <v>2024</v>
      </c>
      <c r="BV1577" s="2" t="s">
        <v>95</v>
      </c>
      <c r="BW1577" s="2"/>
      <c r="BX1577" s="2"/>
      <c r="BY1577" s="2">
        <v>8262.8700000000008</v>
      </c>
      <c r="BZ1577" s="2"/>
      <c r="CA1577" s="2" t="s">
        <v>640</v>
      </c>
      <c r="CB1577" s="2"/>
      <c r="CC1577" s="2" t="s">
        <v>207</v>
      </c>
      <c r="CD1577" s="2">
        <v>250</v>
      </c>
      <c r="CE1577" s="2" t="s">
        <v>104</v>
      </c>
      <c r="CF1577" s="5">
        <v>42964</v>
      </c>
      <c r="CG1577" s="2"/>
      <c r="CH1577" s="2"/>
      <c r="CI1577" s="2">
        <v>1</v>
      </c>
      <c r="CJ1577" s="2">
        <v>1</v>
      </c>
      <c r="CK1577" s="2">
        <v>24</v>
      </c>
      <c r="CL1577" s="2" t="s">
        <v>86</v>
      </c>
      <c r="CM1577" s="2"/>
    </row>
    <row r="1578" spans="1:91">
      <c r="A1578" s="2" t="s">
        <v>71</v>
      </c>
      <c r="B1578" s="2" t="s">
        <v>72</v>
      </c>
      <c r="C1578" s="2" t="s">
        <v>73</v>
      </c>
      <c r="D1578" s="2"/>
      <c r="E1578" s="2" t="str">
        <f>"FES1162568526"</f>
        <v>FES1162568526</v>
      </c>
      <c r="F1578" s="3">
        <v>42961</v>
      </c>
      <c r="G1578" s="2">
        <v>201802</v>
      </c>
      <c r="H1578" s="2" t="s">
        <v>74</v>
      </c>
      <c r="I1578" s="2" t="s">
        <v>75</v>
      </c>
      <c r="J1578" s="2" t="s">
        <v>76</v>
      </c>
      <c r="K1578" s="2" t="s">
        <v>77</v>
      </c>
      <c r="L1578" s="2" t="s">
        <v>97</v>
      </c>
      <c r="M1578" s="2" t="s">
        <v>98</v>
      </c>
      <c r="N1578" s="2" t="s">
        <v>822</v>
      </c>
      <c r="O1578" s="2" t="s">
        <v>100</v>
      </c>
      <c r="P1578" s="2" t="str">
        <f>"2170584615                    "</f>
        <v xml:space="preserve">2170584615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8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1.3</v>
      </c>
      <c r="BJ1578" s="2">
        <v>4</v>
      </c>
      <c r="BK1578" s="2">
        <v>4</v>
      </c>
      <c r="BL1578" s="2">
        <v>82.88</v>
      </c>
      <c r="BM1578" s="2">
        <v>11.6</v>
      </c>
      <c r="BN1578" s="2">
        <v>94.48</v>
      </c>
      <c r="BO1578" s="2">
        <v>94.48</v>
      </c>
      <c r="BP1578" s="2"/>
      <c r="BQ1578" s="2" t="s">
        <v>83</v>
      </c>
      <c r="BR1578" s="2" t="s">
        <v>84</v>
      </c>
      <c r="BS1578" s="3">
        <v>42962</v>
      </c>
      <c r="BT1578" s="4">
        <v>0.32847222222222222</v>
      </c>
      <c r="BU1578" s="2" t="s">
        <v>1081</v>
      </c>
      <c r="BV1578" s="2" t="s">
        <v>95</v>
      </c>
      <c r="BW1578" s="2"/>
      <c r="BX1578" s="2"/>
      <c r="BY1578" s="2">
        <v>20124</v>
      </c>
      <c r="BZ1578" s="2"/>
      <c r="CA1578" s="2" t="s">
        <v>294</v>
      </c>
      <c r="CB1578" s="2"/>
      <c r="CC1578" s="2" t="s">
        <v>98</v>
      </c>
      <c r="CD1578" s="2">
        <v>6014</v>
      </c>
      <c r="CE1578" s="2" t="s">
        <v>104</v>
      </c>
      <c r="CF1578" s="5">
        <v>42963</v>
      </c>
      <c r="CG1578" s="2"/>
      <c r="CH1578" s="2"/>
      <c r="CI1578" s="2">
        <v>1</v>
      </c>
      <c r="CJ1578" s="2">
        <v>1</v>
      </c>
      <c r="CK1578" s="2">
        <v>21</v>
      </c>
      <c r="CL1578" s="2" t="s">
        <v>86</v>
      </c>
      <c r="CM1578" s="2"/>
    </row>
    <row r="1579" spans="1:91">
      <c r="A1579" s="2" t="s">
        <v>71</v>
      </c>
      <c r="B1579" s="2" t="s">
        <v>72</v>
      </c>
      <c r="C1579" s="2" t="s">
        <v>73</v>
      </c>
      <c r="D1579" s="2"/>
      <c r="E1579" s="2" t="str">
        <f>"FES1162568580"</f>
        <v>FES1162568580</v>
      </c>
      <c r="F1579" s="3">
        <v>42961</v>
      </c>
      <c r="G1579" s="2">
        <v>201802</v>
      </c>
      <c r="H1579" s="2" t="s">
        <v>74</v>
      </c>
      <c r="I1579" s="2" t="s">
        <v>75</v>
      </c>
      <c r="J1579" s="2" t="s">
        <v>76</v>
      </c>
      <c r="K1579" s="2" t="s">
        <v>77</v>
      </c>
      <c r="L1579" s="2" t="s">
        <v>268</v>
      </c>
      <c r="M1579" s="2" t="s">
        <v>269</v>
      </c>
      <c r="N1579" s="2" t="s">
        <v>351</v>
      </c>
      <c r="O1579" s="2" t="s">
        <v>100</v>
      </c>
      <c r="P1579" s="2" t="str">
        <f>"2170584607                    "</f>
        <v xml:space="preserve">2170584607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6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2.8</v>
      </c>
      <c r="BJ1579" s="2">
        <v>1.8</v>
      </c>
      <c r="BK1579" s="2">
        <v>3</v>
      </c>
      <c r="BL1579" s="2">
        <v>62.16</v>
      </c>
      <c r="BM1579" s="2">
        <v>8.6999999999999993</v>
      </c>
      <c r="BN1579" s="2">
        <v>70.86</v>
      </c>
      <c r="BO1579" s="2">
        <v>70.86</v>
      </c>
      <c r="BP1579" s="2"/>
      <c r="BQ1579" s="2" t="s">
        <v>108</v>
      </c>
      <c r="BR1579" s="2" t="s">
        <v>84</v>
      </c>
      <c r="BS1579" s="3">
        <v>42962</v>
      </c>
      <c r="BT1579" s="4">
        <v>0.47222222222222227</v>
      </c>
      <c r="BU1579" s="2" t="s">
        <v>1136</v>
      </c>
      <c r="BV1579" s="2" t="s">
        <v>86</v>
      </c>
      <c r="BW1579" s="2" t="s">
        <v>110</v>
      </c>
      <c r="BX1579" s="2" t="s">
        <v>623</v>
      </c>
      <c r="BY1579" s="2">
        <v>9085.2000000000007</v>
      </c>
      <c r="BZ1579" s="2"/>
      <c r="CA1579" s="2" t="s">
        <v>272</v>
      </c>
      <c r="CB1579" s="2"/>
      <c r="CC1579" s="2" t="s">
        <v>269</v>
      </c>
      <c r="CD1579" s="2">
        <v>200</v>
      </c>
      <c r="CE1579" s="2" t="s">
        <v>104</v>
      </c>
      <c r="CF1579" s="5">
        <v>42963</v>
      </c>
      <c r="CG1579" s="2"/>
      <c r="CH1579" s="2"/>
      <c r="CI1579" s="2">
        <v>1</v>
      </c>
      <c r="CJ1579" s="2">
        <v>1</v>
      </c>
      <c r="CK1579" s="2">
        <v>21</v>
      </c>
      <c r="CL1579" s="2" t="s">
        <v>86</v>
      </c>
      <c r="CM1579" s="2"/>
    </row>
    <row r="1580" spans="1:91">
      <c r="A1580" s="2" t="s">
        <v>71</v>
      </c>
      <c r="B1580" s="2" t="s">
        <v>72</v>
      </c>
      <c r="C1580" s="2" t="s">
        <v>73</v>
      </c>
      <c r="D1580" s="2"/>
      <c r="E1580" s="2" t="str">
        <f>"FES1162568572"</f>
        <v>FES1162568572</v>
      </c>
      <c r="F1580" s="3">
        <v>42961</v>
      </c>
      <c r="G1580" s="2">
        <v>201802</v>
      </c>
      <c r="H1580" s="2" t="s">
        <v>74</v>
      </c>
      <c r="I1580" s="2" t="s">
        <v>75</v>
      </c>
      <c r="J1580" s="2" t="s">
        <v>76</v>
      </c>
      <c r="K1580" s="2" t="s">
        <v>77</v>
      </c>
      <c r="L1580" s="2" t="s">
        <v>339</v>
      </c>
      <c r="M1580" s="2" t="s">
        <v>340</v>
      </c>
      <c r="N1580" s="2" t="s">
        <v>613</v>
      </c>
      <c r="O1580" s="2" t="s">
        <v>100</v>
      </c>
      <c r="P1580" s="2" t="str">
        <f>"2170584639                    "</f>
        <v xml:space="preserve">2170584639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4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1</v>
      </c>
      <c r="BI1580" s="2">
        <v>1</v>
      </c>
      <c r="BJ1580" s="2">
        <v>1.3</v>
      </c>
      <c r="BK1580" s="2">
        <v>1.5</v>
      </c>
      <c r="BL1580" s="2">
        <v>41.44</v>
      </c>
      <c r="BM1580" s="2">
        <v>5.8</v>
      </c>
      <c r="BN1580" s="2">
        <v>47.24</v>
      </c>
      <c r="BO1580" s="2">
        <v>47.24</v>
      </c>
      <c r="BP1580" s="2"/>
      <c r="BQ1580" s="2" t="s">
        <v>83</v>
      </c>
      <c r="BR1580" s="2" t="s">
        <v>84</v>
      </c>
      <c r="BS1580" s="3">
        <v>42962</v>
      </c>
      <c r="BT1580" s="4">
        <v>0.53888888888888886</v>
      </c>
      <c r="BU1580" s="2" t="s">
        <v>2212</v>
      </c>
      <c r="BV1580" s="2" t="s">
        <v>86</v>
      </c>
      <c r="BW1580" s="2"/>
      <c r="BX1580" s="2"/>
      <c r="BY1580" s="2">
        <v>6661.82</v>
      </c>
      <c r="BZ1580" s="2"/>
      <c r="CA1580" s="2" t="s">
        <v>2236</v>
      </c>
      <c r="CB1580" s="2"/>
      <c r="CC1580" s="2" t="s">
        <v>340</v>
      </c>
      <c r="CD1580" s="2">
        <v>1947</v>
      </c>
      <c r="CE1580" s="2" t="s">
        <v>104</v>
      </c>
      <c r="CF1580" s="5">
        <v>42963</v>
      </c>
      <c r="CG1580" s="2"/>
      <c r="CH1580" s="2"/>
      <c r="CI1580" s="2">
        <v>1</v>
      </c>
      <c r="CJ1580" s="2">
        <v>1</v>
      </c>
      <c r="CK1580" s="2">
        <v>21</v>
      </c>
      <c r="CL1580" s="2" t="s">
        <v>86</v>
      </c>
      <c r="CM1580" s="2"/>
    </row>
    <row r="1581" spans="1:91">
      <c r="A1581" s="2" t="s">
        <v>71</v>
      </c>
      <c r="B1581" s="2" t="s">
        <v>72</v>
      </c>
      <c r="C1581" s="2" t="s">
        <v>73</v>
      </c>
      <c r="D1581" s="2"/>
      <c r="E1581" s="2" t="str">
        <f>"FES1162568575"</f>
        <v>FES1162568575</v>
      </c>
      <c r="F1581" s="3">
        <v>42961</v>
      </c>
      <c r="G1581" s="2">
        <v>201802</v>
      </c>
      <c r="H1581" s="2" t="s">
        <v>74</v>
      </c>
      <c r="I1581" s="2" t="s">
        <v>75</v>
      </c>
      <c r="J1581" s="2" t="s">
        <v>76</v>
      </c>
      <c r="K1581" s="2" t="s">
        <v>77</v>
      </c>
      <c r="L1581" s="2" t="s">
        <v>353</v>
      </c>
      <c r="M1581" s="2" t="s">
        <v>354</v>
      </c>
      <c r="N1581" s="2" t="s">
        <v>665</v>
      </c>
      <c r="O1581" s="2" t="s">
        <v>100</v>
      </c>
      <c r="P1581" s="2" t="str">
        <f>"2170584644                    "</f>
        <v xml:space="preserve">2170584644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4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0.6</v>
      </c>
      <c r="BJ1581" s="2">
        <v>1.3</v>
      </c>
      <c r="BK1581" s="2">
        <v>1.5</v>
      </c>
      <c r="BL1581" s="2">
        <v>41.44</v>
      </c>
      <c r="BM1581" s="2">
        <v>5.8</v>
      </c>
      <c r="BN1581" s="2">
        <v>47.24</v>
      </c>
      <c r="BO1581" s="2">
        <v>47.24</v>
      </c>
      <c r="BP1581" s="2"/>
      <c r="BQ1581" s="2" t="s">
        <v>227</v>
      </c>
      <c r="BR1581" s="2" t="s">
        <v>84</v>
      </c>
      <c r="BS1581" s="3">
        <v>42962</v>
      </c>
      <c r="BT1581" s="4">
        <v>0.45833333333333331</v>
      </c>
      <c r="BU1581" s="2" t="s">
        <v>2271</v>
      </c>
      <c r="BV1581" s="2" t="s">
        <v>95</v>
      </c>
      <c r="BW1581" s="2"/>
      <c r="BX1581" s="2"/>
      <c r="BY1581" s="2">
        <v>6315.84</v>
      </c>
      <c r="BZ1581" s="2"/>
      <c r="CA1581" s="2" t="s">
        <v>668</v>
      </c>
      <c r="CB1581" s="2"/>
      <c r="CC1581" s="2" t="s">
        <v>354</v>
      </c>
      <c r="CD1581" s="2">
        <v>3699</v>
      </c>
      <c r="CE1581" s="2" t="s">
        <v>104</v>
      </c>
      <c r="CF1581" s="5">
        <v>42963</v>
      </c>
      <c r="CG1581" s="2"/>
      <c r="CH1581" s="2"/>
      <c r="CI1581" s="2">
        <v>1</v>
      </c>
      <c r="CJ1581" s="2">
        <v>1</v>
      </c>
      <c r="CK1581" s="2">
        <v>21</v>
      </c>
      <c r="CL1581" s="2" t="s">
        <v>86</v>
      </c>
      <c r="CM1581" s="2"/>
    </row>
    <row r="1582" spans="1:91">
      <c r="A1582" s="2" t="s">
        <v>71</v>
      </c>
      <c r="B1582" s="2" t="s">
        <v>72</v>
      </c>
      <c r="C1582" s="2" t="s">
        <v>73</v>
      </c>
      <c r="D1582" s="2"/>
      <c r="E1582" s="2" t="str">
        <f>"FES1162568541"</f>
        <v>FES1162568541</v>
      </c>
      <c r="F1582" s="3">
        <v>42961</v>
      </c>
      <c r="G1582" s="2">
        <v>201802</v>
      </c>
      <c r="H1582" s="2" t="s">
        <v>74</v>
      </c>
      <c r="I1582" s="2" t="s">
        <v>75</v>
      </c>
      <c r="J1582" s="2" t="s">
        <v>76</v>
      </c>
      <c r="K1582" s="2" t="s">
        <v>77</v>
      </c>
      <c r="L1582" s="2" t="s">
        <v>144</v>
      </c>
      <c r="M1582" s="2" t="s">
        <v>145</v>
      </c>
      <c r="N1582" s="2" t="s">
        <v>295</v>
      </c>
      <c r="O1582" s="2" t="s">
        <v>100</v>
      </c>
      <c r="P1582" s="2" t="str">
        <f>"2170583690                    "</f>
        <v xml:space="preserve">2170583690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3.13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1</v>
      </c>
      <c r="BI1582" s="2">
        <v>1.6</v>
      </c>
      <c r="BJ1582" s="2">
        <v>2.9</v>
      </c>
      <c r="BK1582" s="2">
        <v>3</v>
      </c>
      <c r="BL1582" s="2">
        <v>32.380000000000003</v>
      </c>
      <c r="BM1582" s="2">
        <v>4.53</v>
      </c>
      <c r="BN1582" s="2">
        <v>36.909999999999997</v>
      </c>
      <c r="BO1582" s="2">
        <v>36.909999999999997</v>
      </c>
      <c r="BP1582" s="2"/>
      <c r="BQ1582" s="2" t="s">
        <v>83</v>
      </c>
      <c r="BR1582" s="2" t="s">
        <v>84</v>
      </c>
      <c r="BS1582" s="3">
        <v>42962</v>
      </c>
      <c r="BT1582" s="4">
        <v>0.4375</v>
      </c>
      <c r="BU1582" s="2" t="s">
        <v>297</v>
      </c>
      <c r="BV1582" s="2" t="s">
        <v>95</v>
      </c>
      <c r="BW1582" s="2"/>
      <c r="BX1582" s="2"/>
      <c r="BY1582" s="2">
        <v>14289.8</v>
      </c>
      <c r="BZ1582" s="2"/>
      <c r="CA1582" s="2" t="s">
        <v>148</v>
      </c>
      <c r="CB1582" s="2"/>
      <c r="CC1582" s="2" t="s">
        <v>145</v>
      </c>
      <c r="CD1582" s="2">
        <v>2013</v>
      </c>
      <c r="CE1582" s="2" t="s">
        <v>104</v>
      </c>
      <c r="CF1582" s="5">
        <v>42963</v>
      </c>
      <c r="CG1582" s="2"/>
      <c r="CH1582" s="2"/>
      <c r="CI1582" s="2">
        <v>1</v>
      </c>
      <c r="CJ1582" s="2">
        <v>1</v>
      </c>
      <c r="CK1582" s="2">
        <v>22</v>
      </c>
      <c r="CL1582" s="2" t="s">
        <v>86</v>
      </c>
      <c r="CM1582" s="2"/>
    </row>
    <row r="1583" spans="1:91">
      <c r="A1583" s="2" t="s">
        <v>71</v>
      </c>
      <c r="B1583" s="2" t="s">
        <v>72</v>
      </c>
      <c r="C1583" s="2" t="s">
        <v>73</v>
      </c>
      <c r="D1583" s="2"/>
      <c r="E1583" s="2" t="str">
        <f>"FES1162568533"</f>
        <v>FES1162568533</v>
      </c>
      <c r="F1583" s="3">
        <v>42961</v>
      </c>
      <c r="G1583" s="2">
        <v>201802</v>
      </c>
      <c r="H1583" s="2" t="s">
        <v>74</v>
      </c>
      <c r="I1583" s="2" t="s">
        <v>75</v>
      </c>
      <c r="J1583" s="2" t="s">
        <v>76</v>
      </c>
      <c r="K1583" s="2" t="s">
        <v>77</v>
      </c>
      <c r="L1583" s="2" t="s">
        <v>846</v>
      </c>
      <c r="M1583" s="2" t="s">
        <v>847</v>
      </c>
      <c r="N1583" s="2" t="s">
        <v>2272</v>
      </c>
      <c r="O1583" s="2" t="s">
        <v>100</v>
      </c>
      <c r="P1583" s="2" t="str">
        <f>"2170581451                    "</f>
        <v xml:space="preserve">2170581451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7.75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0.1</v>
      </c>
      <c r="BJ1583" s="2">
        <v>1.6</v>
      </c>
      <c r="BK1583" s="2">
        <v>2</v>
      </c>
      <c r="BL1583" s="2">
        <v>80.290000000000006</v>
      </c>
      <c r="BM1583" s="2">
        <v>11.24</v>
      </c>
      <c r="BN1583" s="2">
        <v>91.53</v>
      </c>
      <c r="BO1583" s="2">
        <v>91.53</v>
      </c>
      <c r="BP1583" s="2"/>
      <c r="BQ1583" s="2" t="s">
        <v>83</v>
      </c>
      <c r="BR1583" s="2" t="s">
        <v>84</v>
      </c>
      <c r="BS1583" s="3">
        <v>42962</v>
      </c>
      <c r="BT1583" s="4">
        <v>0.53541666666666665</v>
      </c>
      <c r="BU1583" s="2" t="s">
        <v>2273</v>
      </c>
      <c r="BV1583" s="2" t="s">
        <v>95</v>
      </c>
      <c r="BW1583" s="2"/>
      <c r="BX1583" s="2"/>
      <c r="BY1583" s="2">
        <v>7813.67</v>
      </c>
      <c r="BZ1583" s="2"/>
      <c r="CA1583" s="2" t="s">
        <v>850</v>
      </c>
      <c r="CB1583" s="2"/>
      <c r="CC1583" s="2" t="s">
        <v>847</v>
      </c>
      <c r="CD1583" s="2">
        <v>7349</v>
      </c>
      <c r="CE1583" s="2" t="s">
        <v>104</v>
      </c>
      <c r="CF1583" s="5">
        <v>42963</v>
      </c>
      <c r="CG1583" s="2"/>
      <c r="CH1583" s="2"/>
      <c r="CI1583" s="2">
        <v>1</v>
      </c>
      <c r="CJ1583" s="2">
        <v>1</v>
      </c>
      <c r="CK1583" s="2">
        <v>23</v>
      </c>
      <c r="CL1583" s="2" t="s">
        <v>86</v>
      </c>
      <c r="CM1583" s="2"/>
    </row>
    <row r="1584" spans="1:91">
      <c r="A1584" s="2" t="s">
        <v>71</v>
      </c>
      <c r="B1584" s="2" t="s">
        <v>72</v>
      </c>
      <c r="C1584" s="2" t="s">
        <v>73</v>
      </c>
      <c r="D1584" s="2"/>
      <c r="E1584" s="2" t="str">
        <f>"FES1162568603"</f>
        <v>FES1162568603</v>
      </c>
      <c r="F1584" s="3">
        <v>42961</v>
      </c>
      <c r="G1584" s="2">
        <v>201802</v>
      </c>
      <c r="H1584" s="2" t="s">
        <v>74</v>
      </c>
      <c r="I1584" s="2" t="s">
        <v>75</v>
      </c>
      <c r="J1584" s="2" t="s">
        <v>76</v>
      </c>
      <c r="K1584" s="2" t="s">
        <v>77</v>
      </c>
      <c r="L1584" s="2" t="s">
        <v>1781</v>
      </c>
      <c r="M1584" s="2" t="s">
        <v>1781</v>
      </c>
      <c r="N1584" s="2" t="s">
        <v>1782</v>
      </c>
      <c r="O1584" s="2" t="s">
        <v>100</v>
      </c>
      <c r="P1584" s="2" t="str">
        <f>"2170584677                    "</f>
        <v xml:space="preserve">2170584677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13.01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0.8</v>
      </c>
      <c r="BJ1584" s="2">
        <v>3.2</v>
      </c>
      <c r="BK1584" s="2">
        <v>3.5</v>
      </c>
      <c r="BL1584" s="2">
        <v>134.69</v>
      </c>
      <c r="BM1584" s="2">
        <v>18.86</v>
      </c>
      <c r="BN1584" s="2">
        <v>153.55000000000001</v>
      </c>
      <c r="BO1584" s="2">
        <v>153.55000000000001</v>
      </c>
      <c r="BP1584" s="2"/>
      <c r="BQ1584" s="2" t="s">
        <v>365</v>
      </c>
      <c r="BR1584" s="2" t="s">
        <v>84</v>
      </c>
      <c r="BS1584" s="3">
        <v>42963</v>
      </c>
      <c r="BT1584" s="4">
        <v>0.58333333333333337</v>
      </c>
      <c r="BU1584" s="2" t="s">
        <v>2274</v>
      </c>
      <c r="BV1584" s="2" t="s">
        <v>95</v>
      </c>
      <c r="BW1584" s="2"/>
      <c r="BX1584" s="2"/>
      <c r="BY1584" s="2">
        <v>15912.72</v>
      </c>
      <c r="BZ1584" s="2"/>
      <c r="CA1584" s="2"/>
      <c r="CB1584" s="2"/>
      <c r="CC1584" s="2" t="s">
        <v>1781</v>
      </c>
      <c r="CD1584" s="2">
        <v>5470</v>
      </c>
      <c r="CE1584" s="2" t="s">
        <v>104</v>
      </c>
      <c r="CF1584" s="5">
        <v>42968</v>
      </c>
      <c r="CG1584" s="2"/>
      <c r="CH1584" s="2"/>
      <c r="CI1584" s="2">
        <v>4</v>
      </c>
      <c r="CJ1584" s="2">
        <v>2</v>
      </c>
      <c r="CK1584" s="2">
        <v>23</v>
      </c>
      <c r="CL1584" s="2" t="s">
        <v>86</v>
      </c>
      <c r="CM1584" s="2"/>
    </row>
    <row r="1585" spans="1:91">
      <c r="A1585" s="2" t="s">
        <v>71</v>
      </c>
      <c r="B1585" s="2" t="s">
        <v>72</v>
      </c>
      <c r="C1585" s="2" t="s">
        <v>73</v>
      </c>
      <c r="D1585" s="2"/>
      <c r="E1585" s="2" t="str">
        <f>"FES1162568576"</f>
        <v>FES1162568576</v>
      </c>
      <c r="F1585" s="3">
        <v>42961</v>
      </c>
      <c r="G1585" s="2">
        <v>201802</v>
      </c>
      <c r="H1585" s="2" t="s">
        <v>74</v>
      </c>
      <c r="I1585" s="2" t="s">
        <v>75</v>
      </c>
      <c r="J1585" s="2" t="s">
        <v>76</v>
      </c>
      <c r="K1585" s="2" t="s">
        <v>77</v>
      </c>
      <c r="L1585" s="2" t="s">
        <v>144</v>
      </c>
      <c r="M1585" s="2" t="s">
        <v>145</v>
      </c>
      <c r="N1585" s="2" t="s">
        <v>402</v>
      </c>
      <c r="O1585" s="2" t="s">
        <v>100</v>
      </c>
      <c r="P1585" s="2" t="str">
        <f>"2170584648                    "</f>
        <v xml:space="preserve">2170584648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3.13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0.3</v>
      </c>
      <c r="BJ1585" s="2">
        <v>1.2</v>
      </c>
      <c r="BK1585" s="2">
        <v>2</v>
      </c>
      <c r="BL1585" s="2">
        <v>32.380000000000003</v>
      </c>
      <c r="BM1585" s="2">
        <v>4.53</v>
      </c>
      <c r="BN1585" s="2">
        <v>36.909999999999997</v>
      </c>
      <c r="BO1585" s="2">
        <v>36.909999999999997</v>
      </c>
      <c r="BP1585" s="2"/>
      <c r="BQ1585" s="2" t="s">
        <v>1273</v>
      </c>
      <c r="BR1585" s="2" t="s">
        <v>84</v>
      </c>
      <c r="BS1585" s="3">
        <v>42962</v>
      </c>
      <c r="BT1585" s="4">
        <v>0.43333333333333335</v>
      </c>
      <c r="BU1585" s="2" t="s">
        <v>1360</v>
      </c>
      <c r="BV1585" s="2" t="s">
        <v>95</v>
      </c>
      <c r="BW1585" s="2"/>
      <c r="BX1585" s="2"/>
      <c r="BY1585" s="2">
        <v>5785.62</v>
      </c>
      <c r="BZ1585" s="2"/>
      <c r="CA1585" s="2"/>
      <c r="CB1585" s="2"/>
      <c r="CC1585" s="2" t="s">
        <v>145</v>
      </c>
      <c r="CD1585" s="2">
        <v>1832</v>
      </c>
      <c r="CE1585" s="2" t="s">
        <v>104</v>
      </c>
      <c r="CF1585" s="5">
        <v>42963</v>
      </c>
      <c r="CG1585" s="2"/>
      <c r="CH1585" s="2"/>
      <c r="CI1585" s="2">
        <v>1</v>
      </c>
      <c r="CJ1585" s="2">
        <v>1</v>
      </c>
      <c r="CK1585" s="2">
        <v>22</v>
      </c>
      <c r="CL1585" s="2" t="s">
        <v>86</v>
      </c>
      <c r="CM1585" s="2"/>
    </row>
    <row r="1586" spans="1:91">
      <c r="A1586" s="2" t="s">
        <v>71</v>
      </c>
      <c r="B1586" s="2" t="s">
        <v>72</v>
      </c>
      <c r="C1586" s="2" t="s">
        <v>73</v>
      </c>
      <c r="D1586" s="2"/>
      <c r="E1586" s="2" t="str">
        <f>"FES1162568752"</f>
        <v>FES1162568752</v>
      </c>
      <c r="F1586" s="3">
        <v>42961</v>
      </c>
      <c r="G1586" s="2">
        <v>201802</v>
      </c>
      <c r="H1586" s="2" t="s">
        <v>74</v>
      </c>
      <c r="I1586" s="2" t="s">
        <v>75</v>
      </c>
      <c r="J1586" s="2" t="s">
        <v>76</v>
      </c>
      <c r="K1586" s="2" t="s">
        <v>77</v>
      </c>
      <c r="L1586" s="2" t="s">
        <v>105</v>
      </c>
      <c r="M1586" s="2" t="s">
        <v>106</v>
      </c>
      <c r="N1586" s="2" t="s">
        <v>705</v>
      </c>
      <c r="O1586" s="2" t="s">
        <v>100</v>
      </c>
      <c r="P1586" s="2" t="str">
        <f>"2170584779                    "</f>
        <v xml:space="preserve">2170584779 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4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1.5</v>
      </c>
      <c r="BJ1586" s="2">
        <v>1.1000000000000001</v>
      </c>
      <c r="BK1586" s="2">
        <v>1.5</v>
      </c>
      <c r="BL1586" s="2">
        <v>41.44</v>
      </c>
      <c r="BM1586" s="2">
        <v>5.8</v>
      </c>
      <c r="BN1586" s="2">
        <v>47.24</v>
      </c>
      <c r="BO1586" s="2">
        <v>47.24</v>
      </c>
      <c r="BP1586" s="2"/>
      <c r="BQ1586" s="2" t="s">
        <v>108</v>
      </c>
      <c r="BR1586" s="2" t="s">
        <v>84</v>
      </c>
      <c r="BS1586" s="3">
        <v>42962</v>
      </c>
      <c r="BT1586" s="4">
        <v>0.38194444444444442</v>
      </c>
      <c r="BU1586" s="2" t="s">
        <v>2275</v>
      </c>
      <c r="BV1586" s="2" t="s">
        <v>95</v>
      </c>
      <c r="BW1586" s="2"/>
      <c r="BX1586" s="2"/>
      <c r="BY1586" s="2">
        <v>5612.41</v>
      </c>
      <c r="BZ1586" s="2"/>
      <c r="CA1586" s="2" t="s">
        <v>291</v>
      </c>
      <c r="CB1586" s="2"/>
      <c r="CC1586" s="2" t="s">
        <v>106</v>
      </c>
      <c r="CD1586" s="2">
        <v>7441</v>
      </c>
      <c r="CE1586" s="2" t="s">
        <v>89</v>
      </c>
      <c r="CF1586" s="5">
        <v>42963</v>
      </c>
      <c r="CG1586" s="2"/>
      <c r="CH1586" s="2"/>
      <c r="CI1586" s="2">
        <v>1</v>
      </c>
      <c r="CJ1586" s="2">
        <v>1</v>
      </c>
      <c r="CK1586" s="2">
        <v>21</v>
      </c>
      <c r="CL1586" s="2" t="s">
        <v>86</v>
      </c>
      <c r="CM1586" s="2"/>
    </row>
    <row r="1587" spans="1:91">
      <c r="A1587" s="2" t="s">
        <v>71</v>
      </c>
      <c r="B1587" s="2" t="s">
        <v>72</v>
      </c>
      <c r="C1587" s="2" t="s">
        <v>73</v>
      </c>
      <c r="D1587" s="2"/>
      <c r="E1587" s="2" t="str">
        <f>"FES1162568596"</f>
        <v>FES1162568596</v>
      </c>
      <c r="F1587" s="3">
        <v>42961</v>
      </c>
      <c r="G1587" s="2">
        <v>201802</v>
      </c>
      <c r="H1587" s="2" t="s">
        <v>74</v>
      </c>
      <c r="I1587" s="2" t="s">
        <v>75</v>
      </c>
      <c r="J1587" s="2" t="s">
        <v>76</v>
      </c>
      <c r="K1587" s="2" t="s">
        <v>77</v>
      </c>
      <c r="L1587" s="2" t="s">
        <v>105</v>
      </c>
      <c r="M1587" s="2" t="s">
        <v>106</v>
      </c>
      <c r="N1587" s="2" t="s">
        <v>364</v>
      </c>
      <c r="O1587" s="2" t="s">
        <v>100</v>
      </c>
      <c r="P1587" s="2" t="str">
        <f>"2170584667                    "</f>
        <v xml:space="preserve">2170584667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4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1</v>
      </c>
      <c r="BJ1587" s="2">
        <v>0.2</v>
      </c>
      <c r="BK1587" s="2">
        <v>1</v>
      </c>
      <c r="BL1587" s="2">
        <v>41.44</v>
      </c>
      <c r="BM1587" s="2">
        <v>5.8</v>
      </c>
      <c r="BN1587" s="2">
        <v>47.24</v>
      </c>
      <c r="BO1587" s="2">
        <v>47.24</v>
      </c>
      <c r="BP1587" s="2"/>
      <c r="BQ1587" s="2" t="s">
        <v>288</v>
      </c>
      <c r="BR1587" s="2" t="s">
        <v>84</v>
      </c>
      <c r="BS1587" s="3">
        <v>42962</v>
      </c>
      <c r="BT1587" s="4">
        <v>0.4236111111111111</v>
      </c>
      <c r="BU1587" s="2" t="s">
        <v>2276</v>
      </c>
      <c r="BV1587" s="2" t="s">
        <v>95</v>
      </c>
      <c r="BW1587" s="2"/>
      <c r="BX1587" s="2"/>
      <c r="BY1587" s="2">
        <v>1200</v>
      </c>
      <c r="BZ1587" s="2"/>
      <c r="CA1587" s="2"/>
      <c r="CB1587" s="2"/>
      <c r="CC1587" s="2" t="s">
        <v>106</v>
      </c>
      <c r="CD1587" s="2">
        <v>7560</v>
      </c>
      <c r="CE1587" s="2" t="s">
        <v>104</v>
      </c>
      <c r="CF1587" s="5">
        <v>42963</v>
      </c>
      <c r="CG1587" s="2"/>
      <c r="CH1587" s="2"/>
      <c r="CI1587" s="2">
        <v>1</v>
      </c>
      <c r="CJ1587" s="2">
        <v>1</v>
      </c>
      <c r="CK1587" s="2">
        <v>21</v>
      </c>
      <c r="CL1587" s="2" t="s">
        <v>86</v>
      </c>
      <c r="CM1587" s="2"/>
    </row>
    <row r="1588" spans="1:91">
      <c r="A1588" s="2" t="s">
        <v>71</v>
      </c>
      <c r="B1588" s="2" t="s">
        <v>72</v>
      </c>
      <c r="C1588" s="2" t="s">
        <v>73</v>
      </c>
      <c r="D1588" s="2"/>
      <c r="E1588" s="2" t="str">
        <f>"FES1162568667"</f>
        <v>FES1162568667</v>
      </c>
      <c r="F1588" s="3">
        <v>42961</v>
      </c>
      <c r="G1588" s="2">
        <v>201802</v>
      </c>
      <c r="H1588" s="2" t="s">
        <v>74</v>
      </c>
      <c r="I1588" s="2" t="s">
        <v>75</v>
      </c>
      <c r="J1588" s="2" t="s">
        <v>76</v>
      </c>
      <c r="K1588" s="2" t="s">
        <v>77</v>
      </c>
      <c r="L1588" s="2" t="s">
        <v>105</v>
      </c>
      <c r="M1588" s="2" t="s">
        <v>106</v>
      </c>
      <c r="N1588" s="2" t="s">
        <v>2277</v>
      </c>
      <c r="O1588" s="2" t="s">
        <v>100</v>
      </c>
      <c r="P1588" s="2" t="str">
        <f>"2170582110                    "</f>
        <v xml:space="preserve">2170582110 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6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1.9</v>
      </c>
      <c r="BJ1588" s="2">
        <v>2.9</v>
      </c>
      <c r="BK1588" s="2">
        <v>3</v>
      </c>
      <c r="BL1588" s="2">
        <v>62.16</v>
      </c>
      <c r="BM1588" s="2">
        <v>8.6999999999999993</v>
      </c>
      <c r="BN1588" s="2">
        <v>70.86</v>
      </c>
      <c r="BO1588" s="2">
        <v>70.86</v>
      </c>
      <c r="BP1588" s="2"/>
      <c r="BQ1588" s="2" t="s">
        <v>209</v>
      </c>
      <c r="BR1588" s="2" t="s">
        <v>84</v>
      </c>
      <c r="BS1588" s="3">
        <v>42962</v>
      </c>
      <c r="BT1588" s="4">
        <v>0.4916666666666667</v>
      </c>
      <c r="BU1588" s="2" t="s">
        <v>436</v>
      </c>
      <c r="BV1588" s="2" t="s">
        <v>86</v>
      </c>
      <c r="BW1588" s="2" t="s">
        <v>124</v>
      </c>
      <c r="BX1588" s="2" t="s">
        <v>853</v>
      </c>
      <c r="BY1588" s="2">
        <v>14580.26</v>
      </c>
      <c r="BZ1588" s="2"/>
      <c r="CA1588" s="2" t="s">
        <v>2278</v>
      </c>
      <c r="CB1588" s="2"/>
      <c r="CC1588" s="2" t="s">
        <v>106</v>
      </c>
      <c r="CD1588" s="2">
        <v>7500</v>
      </c>
      <c r="CE1588" s="2" t="s">
        <v>89</v>
      </c>
      <c r="CF1588" s="5">
        <v>42963</v>
      </c>
      <c r="CG1588" s="2"/>
      <c r="CH1588" s="2"/>
      <c r="CI1588" s="2">
        <v>1</v>
      </c>
      <c r="CJ1588" s="2">
        <v>1</v>
      </c>
      <c r="CK1588" s="2">
        <v>21</v>
      </c>
      <c r="CL1588" s="2" t="s">
        <v>86</v>
      </c>
      <c r="CM1588" s="2"/>
    </row>
    <row r="1589" spans="1:91">
      <c r="A1589" s="2" t="s">
        <v>71</v>
      </c>
      <c r="B1589" s="2" t="s">
        <v>72</v>
      </c>
      <c r="C1589" s="2" t="s">
        <v>73</v>
      </c>
      <c r="D1589" s="2"/>
      <c r="E1589" s="2" t="str">
        <f>"FES1162568738"</f>
        <v>FES1162568738</v>
      </c>
      <c r="F1589" s="3">
        <v>42961</v>
      </c>
      <c r="G1589" s="2">
        <v>201802</v>
      </c>
      <c r="H1589" s="2" t="s">
        <v>74</v>
      </c>
      <c r="I1589" s="2" t="s">
        <v>75</v>
      </c>
      <c r="J1589" s="2" t="s">
        <v>76</v>
      </c>
      <c r="K1589" s="2" t="s">
        <v>77</v>
      </c>
      <c r="L1589" s="2" t="s">
        <v>105</v>
      </c>
      <c r="M1589" s="2" t="s">
        <v>106</v>
      </c>
      <c r="N1589" s="2" t="s">
        <v>1270</v>
      </c>
      <c r="O1589" s="2" t="s">
        <v>100</v>
      </c>
      <c r="P1589" s="2" t="str">
        <f>"2170572997                    "</f>
        <v xml:space="preserve">2170572997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4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0.3</v>
      </c>
      <c r="BJ1589" s="2">
        <v>1</v>
      </c>
      <c r="BK1589" s="2">
        <v>1</v>
      </c>
      <c r="BL1589" s="2">
        <v>41.44</v>
      </c>
      <c r="BM1589" s="2">
        <v>5.8</v>
      </c>
      <c r="BN1589" s="2">
        <v>47.24</v>
      </c>
      <c r="BO1589" s="2">
        <v>47.24</v>
      </c>
      <c r="BP1589" s="2"/>
      <c r="BQ1589" s="2" t="s">
        <v>108</v>
      </c>
      <c r="BR1589" s="2" t="s">
        <v>84</v>
      </c>
      <c r="BS1589" s="3">
        <v>42962</v>
      </c>
      <c r="BT1589" s="4">
        <v>0.50624999999999998</v>
      </c>
      <c r="BU1589" s="2" t="s">
        <v>1842</v>
      </c>
      <c r="BV1589" s="2" t="s">
        <v>86</v>
      </c>
      <c r="BW1589" s="2" t="s">
        <v>124</v>
      </c>
      <c r="BX1589" s="2" t="s">
        <v>853</v>
      </c>
      <c r="BY1589" s="2">
        <v>5039.62</v>
      </c>
      <c r="BZ1589" s="2"/>
      <c r="CA1589" s="2" t="s">
        <v>255</v>
      </c>
      <c r="CB1589" s="2"/>
      <c r="CC1589" s="2" t="s">
        <v>106</v>
      </c>
      <c r="CD1589" s="2">
        <v>7800</v>
      </c>
      <c r="CE1589" s="2" t="s">
        <v>89</v>
      </c>
      <c r="CF1589" s="5">
        <v>42962</v>
      </c>
      <c r="CG1589" s="2"/>
      <c r="CH1589" s="2"/>
      <c r="CI1589" s="2">
        <v>1</v>
      </c>
      <c r="CJ1589" s="2">
        <v>1</v>
      </c>
      <c r="CK1589" s="2">
        <v>21</v>
      </c>
      <c r="CL1589" s="2" t="s">
        <v>86</v>
      </c>
      <c r="CM1589" s="2"/>
    </row>
    <row r="1590" spans="1:91">
      <c r="A1590" s="2" t="s">
        <v>71</v>
      </c>
      <c r="B1590" s="2" t="s">
        <v>72</v>
      </c>
      <c r="C1590" s="2" t="s">
        <v>73</v>
      </c>
      <c r="D1590" s="2"/>
      <c r="E1590" s="2" t="str">
        <f>"FES1162568631"</f>
        <v>FES1162568631</v>
      </c>
      <c r="F1590" s="3">
        <v>42961</v>
      </c>
      <c r="G1590" s="2">
        <v>201802</v>
      </c>
      <c r="H1590" s="2" t="s">
        <v>74</v>
      </c>
      <c r="I1590" s="2" t="s">
        <v>75</v>
      </c>
      <c r="J1590" s="2" t="s">
        <v>76</v>
      </c>
      <c r="K1590" s="2" t="s">
        <v>77</v>
      </c>
      <c r="L1590" s="2" t="s">
        <v>105</v>
      </c>
      <c r="M1590" s="2" t="s">
        <v>106</v>
      </c>
      <c r="N1590" s="2" t="s">
        <v>253</v>
      </c>
      <c r="O1590" s="2" t="s">
        <v>100</v>
      </c>
      <c r="P1590" s="2" t="str">
        <f>"2170573071                    "</f>
        <v xml:space="preserve">2170573071  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4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1.3</v>
      </c>
      <c r="BJ1590" s="2">
        <v>1.2</v>
      </c>
      <c r="BK1590" s="2">
        <v>1.5</v>
      </c>
      <c r="BL1590" s="2">
        <v>41.44</v>
      </c>
      <c r="BM1590" s="2">
        <v>5.8</v>
      </c>
      <c r="BN1590" s="2">
        <v>47.24</v>
      </c>
      <c r="BO1590" s="2">
        <v>47.24</v>
      </c>
      <c r="BP1590" s="2"/>
      <c r="BQ1590" s="2" t="s">
        <v>108</v>
      </c>
      <c r="BR1590" s="2" t="s">
        <v>84</v>
      </c>
      <c r="BS1590" s="3">
        <v>42962</v>
      </c>
      <c r="BT1590" s="4">
        <v>0.46875</v>
      </c>
      <c r="BU1590" s="2" t="s">
        <v>1074</v>
      </c>
      <c r="BV1590" s="2" t="s">
        <v>86</v>
      </c>
      <c r="BW1590" s="2" t="s">
        <v>124</v>
      </c>
      <c r="BX1590" s="2" t="s">
        <v>853</v>
      </c>
      <c r="BY1590" s="2">
        <v>6248.64</v>
      </c>
      <c r="BZ1590" s="2"/>
      <c r="CA1590" s="2" t="s">
        <v>654</v>
      </c>
      <c r="CB1590" s="2"/>
      <c r="CC1590" s="2" t="s">
        <v>106</v>
      </c>
      <c r="CD1590" s="2">
        <v>7490</v>
      </c>
      <c r="CE1590" s="2" t="s">
        <v>89</v>
      </c>
      <c r="CF1590" s="5">
        <v>42963</v>
      </c>
      <c r="CG1590" s="2"/>
      <c r="CH1590" s="2"/>
      <c r="CI1590" s="2">
        <v>1</v>
      </c>
      <c r="CJ1590" s="2">
        <v>1</v>
      </c>
      <c r="CK1590" s="2">
        <v>21</v>
      </c>
      <c r="CL1590" s="2" t="s">
        <v>86</v>
      </c>
      <c r="CM1590" s="2"/>
    </row>
    <row r="1591" spans="1:91">
      <c r="A1591" s="2" t="s">
        <v>71</v>
      </c>
      <c r="B1591" s="2" t="s">
        <v>72</v>
      </c>
      <c r="C1591" s="2" t="s">
        <v>73</v>
      </c>
      <c r="D1591" s="2"/>
      <c r="E1591" s="2" t="str">
        <f>"FES1162568610"</f>
        <v>FES1162568610</v>
      </c>
      <c r="F1591" s="3">
        <v>42961</v>
      </c>
      <c r="G1591" s="2">
        <v>201802</v>
      </c>
      <c r="H1591" s="2" t="s">
        <v>74</v>
      </c>
      <c r="I1591" s="2" t="s">
        <v>75</v>
      </c>
      <c r="J1591" s="2" t="s">
        <v>76</v>
      </c>
      <c r="K1591" s="2" t="s">
        <v>77</v>
      </c>
      <c r="L1591" s="2" t="s">
        <v>201</v>
      </c>
      <c r="M1591" s="2" t="s">
        <v>202</v>
      </c>
      <c r="N1591" s="2" t="s">
        <v>2279</v>
      </c>
      <c r="O1591" s="2" t="s">
        <v>100</v>
      </c>
      <c r="P1591" s="2" t="str">
        <f>"2170584679                    "</f>
        <v xml:space="preserve">2170584679 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7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1</v>
      </c>
      <c r="BI1591" s="2">
        <v>3.2</v>
      </c>
      <c r="BJ1591" s="2">
        <v>3.4</v>
      </c>
      <c r="BK1591" s="2">
        <v>3.5</v>
      </c>
      <c r="BL1591" s="2">
        <v>72.52</v>
      </c>
      <c r="BM1591" s="2">
        <v>10.15</v>
      </c>
      <c r="BN1591" s="2">
        <v>82.67</v>
      </c>
      <c r="BO1591" s="2">
        <v>82.67</v>
      </c>
      <c r="BP1591" s="2"/>
      <c r="BQ1591" s="2" t="s">
        <v>83</v>
      </c>
      <c r="BR1591" s="2" t="s">
        <v>84</v>
      </c>
      <c r="BS1591" s="3">
        <v>42962</v>
      </c>
      <c r="BT1591" s="4">
        <v>0.47916666666666669</v>
      </c>
      <c r="BU1591" s="2" t="s">
        <v>2280</v>
      </c>
      <c r="BV1591" s="2" t="s">
        <v>95</v>
      </c>
      <c r="BW1591" s="2"/>
      <c r="BX1591" s="2"/>
      <c r="BY1591" s="2">
        <v>16952.830000000002</v>
      </c>
      <c r="BZ1591" s="2"/>
      <c r="CA1591" s="2" t="s">
        <v>205</v>
      </c>
      <c r="CB1591" s="2"/>
      <c r="CC1591" s="2" t="s">
        <v>202</v>
      </c>
      <c r="CD1591" s="2">
        <v>7130</v>
      </c>
      <c r="CE1591" s="2" t="s">
        <v>89</v>
      </c>
      <c r="CF1591" s="5">
        <v>42963</v>
      </c>
      <c r="CG1591" s="2"/>
      <c r="CH1591" s="2"/>
      <c r="CI1591" s="2">
        <v>1</v>
      </c>
      <c r="CJ1591" s="2">
        <v>1</v>
      </c>
      <c r="CK1591" s="2">
        <v>21</v>
      </c>
      <c r="CL1591" s="2" t="s">
        <v>86</v>
      </c>
      <c r="CM1591" s="2"/>
    </row>
    <row r="1592" spans="1:91">
      <c r="A1592" s="2" t="s">
        <v>71</v>
      </c>
      <c r="B1592" s="2" t="s">
        <v>72</v>
      </c>
      <c r="C1592" s="2" t="s">
        <v>73</v>
      </c>
      <c r="D1592" s="2"/>
      <c r="E1592" s="2" t="str">
        <f>"FES1162568520"</f>
        <v>FES1162568520</v>
      </c>
      <c r="F1592" s="3">
        <v>42961</v>
      </c>
      <c r="G1592" s="2">
        <v>201802</v>
      </c>
      <c r="H1592" s="2" t="s">
        <v>74</v>
      </c>
      <c r="I1592" s="2" t="s">
        <v>75</v>
      </c>
      <c r="J1592" s="2" t="s">
        <v>76</v>
      </c>
      <c r="K1592" s="2" t="s">
        <v>77</v>
      </c>
      <c r="L1592" s="2" t="s">
        <v>105</v>
      </c>
      <c r="M1592" s="2" t="s">
        <v>106</v>
      </c>
      <c r="N1592" s="2" t="s">
        <v>253</v>
      </c>
      <c r="O1592" s="2" t="s">
        <v>100</v>
      </c>
      <c r="P1592" s="2" t="str">
        <f>"2170584608                    "</f>
        <v xml:space="preserve">2170584608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4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1.1000000000000001</v>
      </c>
      <c r="BJ1592" s="2">
        <v>1.6</v>
      </c>
      <c r="BK1592" s="2">
        <v>2</v>
      </c>
      <c r="BL1592" s="2">
        <v>41.44</v>
      </c>
      <c r="BM1592" s="2">
        <v>5.8</v>
      </c>
      <c r="BN1592" s="2">
        <v>47.24</v>
      </c>
      <c r="BO1592" s="2">
        <v>47.24</v>
      </c>
      <c r="BP1592" s="2"/>
      <c r="BQ1592" s="2" t="s">
        <v>108</v>
      </c>
      <c r="BR1592" s="2" t="s">
        <v>84</v>
      </c>
      <c r="BS1592" s="3">
        <v>42962</v>
      </c>
      <c r="BT1592" s="4">
        <v>0.46875</v>
      </c>
      <c r="BU1592" s="2" t="s">
        <v>1074</v>
      </c>
      <c r="BV1592" s="2" t="s">
        <v>86</v>
      </c>
      <c r="BW1592" s="2" t="s">
        <v>124</v>
      </c>
      <c r="BX1592" s="2" t="s">
        <v>853</v>
      </c>
      <c r="BY1592" s="2">
        <v>8043.05</v>
      </c>
      <c r="BZ1592" s="2"/>
      <c r="CA1592" s="2" t="s">
        <v>654</v>
      </c>
      <c r="CB1592" s="2"/>
      <c r="CC1592" s="2" t="s">
        <v>106</v>
      </c>
      <c r="CD1592" s="2">
        <v>7490</v>
      </c>
      <c r="CE1592" s="2" t="s">
        <v>104</v>
      </c>
      <c r="CF1592" s="5">
        <v>42963</v>
      </c>
      <c r="CG1592" s="2"/>
      <c r="CH1592" s="2"/>
      <c r="CI1592" s="2">
        <v>1</v>
      </c>
      <c r="CJ1592" s="2">
        <v>1</v>
      </c>
      <c r="CK1592" s="2">
        <v>21</v>
      </c>
      <c r="CL1592" s="2" t="s">
        <v>86</v>
      </c>
      <c r="CM1592" s="2"/>
    </row>
    <row r="1593" spans="1:91">
      <c r="A1593" s="2" t="s">
        <v>71</v>
      </c>
      <c r="B1593" s="2" t="s">
        <v>72</v>
      </c>
      <c r="C1593" s="2" t="s">
        <v>73</v>
      </c>
      <c r="D1593" s="2"/>
      <c r="E1593" s="2" t="str">
        <f>"FES1162568653"</f>
        <v>FES1162568653</v>
      </c>
      <c r="F1593" s="3">
        <v>42961</v>
      </c>
      <c r="G1593" s="2">
        <v>201802</v>
      </c>
      <c r="H1593" s="2" t="s">
        <v>74</v>
      </c>
      <c r="I1593" s="2" t="s">
        <v>75</v>
      </c>
      <c r="J1593" s="2" t="s">
        <v>76</v>
      </c>
      <c r="K1593" s="2" t="s">
        <v>77</v>
      </c>
      <c r="L1593" s="2" t="s">
        <v>417</v>
      </c>
      <c r="M1593" s="2" t="s">
        <v>417</v>
      </c>
      <c r="N1593" s="2" t="s">
        <v>475</v>
      </c>
      <c r="O1593" s="2" t="s">
        <v>100</v>
      </c>
      <c r="P1593" s="2" t="str">
        <f>"2170580550                    "</f>
        <v xml:space="preserve">2170580550   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4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1</v>
      </c>
      <c r="BI1593" s="2">
        <v>0.6</v>
      </c>
      <c r="BJ1593" s="2">
        <v>1.3</v>
      </c>
      <c r="BK1593" s="2">
        <v>1.5</v>
      </c>
      <c r="BL1593" s="2">
        <v>41.44</v>
      </c>
      <c r="BM1593" s="2">
        <v>5.8</v>
      </c>
      <c r="BN1593" s="2">
        <v>47.24</v>
      </c>
      <c r="BO1593" s="2">
        <v>47.24</v>
      </c>
      <c r="BP1593" s="2"/>
      <c r="BQ1593" s="2" t="s">
        <v>108</v>
      </c>
      <c r="BR1593" s="2" t="s">
        <v>84</v>
      </c>
      <c r="BS1593" s="3">
        <v>42962</v>
      </c>
      <c r="BT1593" s="4">
        <v>0.50208333333333333</v>
      </c>
      <c r="BU1593" s="2" t="s">
        <v>476</v>
      </c>
      <c r="BV1593" s="2" t="s">
        <v>95</v>
      </c>
      <c r="BW1593" s="2"/>
      <c r="BX1593" s="2"/>
      <c r="BY1593" s="2">
        <v>6290.26</v>
      </c>
      <c r="BZ1593" s="2"/>
      <c r="CA1593" s="2" t="s">
        <v>460</v>
      </c>
      <c r="CB1593" s="2"/>
      <c r="CC1593" s="2" t="s">
        <v>417</v>
      </c>
      <c r="CD1593" s="2">
        <v>7646</v>
      </c>
      <c r="CE1593" s="2" t="s">
        <v>89</v>
      </c>
      <c r="CF1593" s="5">
        <v>42962</v>
      </c>
      <c r="CG1593" s="2"/>
      <c r="CH1593" s="2"/>
      <c r="CI1593" s="2">
        <v>1</v>
      </c>
      <c r="CJ1593" s="2">
        <v>1</v>
      </c>
      <c r="CK1593" s="2">
        <v>21</v>
      </c>
      <c r="CL1593" s="2" t="s">
        <v>86</v>
      </c>
      <c r="CM1593" s="2"/>
    </row>
    <row r="1594" spans="1:91">
      <c r="A1594" s="2" t="s">
        <v>71</v>
      </c>
      <c r="B1594" s="2" t="s">
        <v>72</v>
      </c>
      <c r="C1594" s="2" t="s">
        <v>73</v>
      </c>
      <c r="D1594" s="2"/>
      <c r="E1594" s="2" t="str">
        <f>"FES1162568652"</f>
        <v>FES1162568652</v>
      </c>
      <c r="F1594" s="3">
        <v>42961</v>
      </c>
      <c r="G1594" s="2">
        <v>201802</v>
      </c>
      <c r="H1594" s="2" t="s">
        <v>74</v>
      </c>
      <c r="I1594" s="2" t="s">
        <v>75</v>
      </c>
      <c r="J1594" s="2" t="s">
        <v>76</v>
      </c>
      <c r="K1594" s="2" t="s">
        <v>77</v>
      </c>
      <c r="L1594" s="2" t="s">
        <v>417</v>
      </c>
      <c r="M1594" s="2" t="s">
        <v>417</v>
      </c>
      <c r="N1594" s="2" t="s">
        <v>1414</v>
      </c>
      <c r="O1594" s="2" t="s">
        <v>100</v>
      </c>
      <c r="P1594" s="2" t="str">
        <f>"2170580354                    "</f>
        <v xml:space="preserve">2170580354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8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3.8</v>
      </c>
      <c r="BJ1594" s="2">
        <v>2.9</v>
      </c>
      <c r="BK1594" s="2">
        <v>4</v>
      </c>
      <c r="BL1594" s="2">
        <v>82.88</v>
      </c>
      <c r="BM1594" s="2">
        <v>11.6</v>
      </c>
      <c r="BN1594" s="2">
        <v>94.48</v>
      </c>
      <c r="BO1594" s="2">
        <v>94.48</v>
      </c>
      <c r="BP1594" s="2"/>
      <c r="BQ1594" s="2" t="s">
        <v>108</v>
      </c>
      <c r="BR1594" s="2" t="s">
        <v>84</v>
      </c>
      <c r="BS1594" s="3">
        <v>42962</v>
      </c>
      <c r="BT1594" s="4">
        <v>0.53611111111111109</v>
      </c>
      <c r="BU1594" s="2" t="s">
        <v>699</v>
      </c>
      <c r="BV1594" s="2" t="s">
        <v>95</v>
      </c>
      <c r="BW1594" s="2"/>
      <c r="BX1594" s="2"/>
      <c r="BY1594" s="2">
        <v>14457.04</v>
      </c>
      <c r="BZ1594" s="2"/>
      <c r="CA1594" s="2" t="s">
        <v>460</v>
      </c>
      <c r="CB1594" s="2"/>
      <c r="CC1594" s="2" t="s">
        <v>417</v>
      </c>
      <c r="CD1594" s="2">
        <v>7646</v>
      </c>
      <c r="CE1594" s="2" t="s">
        <v>89</v>
      </c>
      <c r="CF1594" s="5">
        <v>42963</v>
      </c>
      <c r="CG1594" s="2"/>
      <c r="CH1594" s="2"/>
      <c r="CI1594" s="2">
        <v>1</v>
      </c>
      <c r="CJ1594" s="2">
        <v>1</v>
      </c>
      <c r="CK1594" s="2">
        <v>21</v>
      </c>
      <c r="CL1594" s="2" t="s">
        <v>86</v>
      </c>
      <c r="CM1594" s="2"/>
    </row>
    <row r="1595" spans="1:91">
      <c r="A1595" s="2" t="s">
        <v>71</v>
      </c>
      <c r="B1595" s="2" t="s">
        <v>72</v>
      </c>
      <c r="C1595" s="2" t="s">
        <v>73</v>
      </c>
      <c r="D1595" s="2"/>
      <c r="E1595" s="2" t="str">
        <f>"FES1162568650"</f>
        <v>FES1162568650</v>
      </c>
      <c r="F1595" s="3">
        <v>42961</v>
      </c>
      <c r="G1595" s="2">
        <v>201802</v>
      </c>
      <c r="H1595" s="2" t="s">
        <v>74</v>
      </c>
      <c r="I1595" s="2" t="s">
        <v>75</v>
      </c>
      <c r="J1595" s="2" t="s">
        <v>76</v>
      </c>
      <c r="K1595" s="2" t="s">
        <v>77</v>
      </c>
      <c r="L1595" s="2" t="s">
        <v>924</v>
      </c>
      <c r="M1595" s="2" t="s">
        <v>925</v>
      </c>
      <c r="N1595" s="2" t="s">
        <v>2281</v>
      </c>
      <c r="O1595" s="2" t="s">
        <v>100</v>
      </c>
      <c r="P1595" s="2" t="str">
        <f>"2170580005                    "</f>
        <v xml:space="preserve">2170580005  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6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1.4</v>
      </c>
      <c r="BJ1595" s="2">
        <v>2.9</v>
      </c>
      <c r="BK1595" s="2">
        <v>3</v>
      </c>
      <c r="BL1595" s="2">
        <v>62.16</v>
      </c>
      <c r="BM1595" s="2">
        <v>8.6999999999999993</v>
      </c>
      <c r="BN1595" s="2">
        <v>70.86</v>
      </c>
      <c r="BO1595" s="2">
        <v>70.86</v>
      </c>
      <c r="BP1595" s="2"/>
      <c r="BQ1595" s="2" t="s">
        <v>288</v>
      </c>
      <c r="BR1595" s="2" t="s">
        <v>84</v>
      </c>
      <c r="BS1595" s="3">
        <v>42962</v>
      </c>
      <c r="BT1595" s="4">
        <v>0.53611111111111109</v>
      </c>
      <c r="BU1595" s="2" t="s">
        <v>927</v>
      </c>
      <c r="BV1595" s="2" t="s">
        <v>95</v>
      </c>
      <c r="BW1595" s="2"/>
      <c r="BX1595" s="2"/>
      <c r="BY1595" s="2">
        <v>14502.04</v>
      </c>
      <c r="BZ1595" s="2"/>
      <c r="CA1595" s="2" t="s">
        <v>928</v>
      </c>
      <c r="CB1595" s="2"/>
      <c r="CC1595" s="2" t="s">
        <v>925</v>
      </c>
      <c r="CD1595" s="2">
        <v>7600</v>
      </c>
      <c r="CE1595" s="2" t="s">
        <v>89</v>
      </c>
      <c r="CF1595" s="5">
        <v>42962</v>
      </c>
      <c r="CG1595" s="2"/>
      <c r="CH1595" s="2"/>
      <c r="CI1595" s="2">
        <v>1</v>
      </c>
      <c r="CJ1595" s="2">
        <v>1</v>
      </c>
      <c r="CK1595" s="2">
        <v>21</v>
      </c>
      <c r="CL1595" s="2" t="s">
        <v>86</v>
      </c>
      <c r="CM1595" s="2"/>
    </row>
    <row r="1596" spans="1:91">
      <c r="A1596" s="2" t="s">
        <v>71</v>
      </c>
      <c r="B1596" s="2" t="s">
        <v>72</v>
      </c>
      <c r="C1596" s="2" t="s">
        <v>73</v>
      </c>
      <c r="D1596" s="2"/>
      <c r="E1596" s="2" t="str">
        <f>"FES1162568866"</f>
        <v>FES1162568866</v>
      </c>
      <c r="F1596" s="3">
        <v>42962</v>
      </c>
      <c r="G1596" s="2">
        <v>201802</v>
      </c>
      <c r="H1596" s="2" t="s">
        <v>74</v>
      </c>
      <c r="I1596" s="2" t="s">
        <v>75</v>
      </c>
      <c r="J1596" s="2" t="s">
        <v>76</v>
      </c>
      <c r="K1596" s="2" t="s">
        <v>77</v>
      </c>
      <c r="L1596" s="2" t="s">
        <v>237</v>
      </c>
      <c r="M1596" s="2" t="s">
        <v>238</v>
      </c>
      <c r="N1596" s="2" t="s">
        <v>2282</v>
      </c>
      <c r="O1596" s="2" t="s">
        <v>100</v>
      </c>
      <c r="P1596" s="2" t="str">
        <f>"2170584918                    "</f>
        <v xml:space="preserve">2170584918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4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1</v>
      </c>
      <c r="BJ1596" s="2">
        <v>0.2</v>
      </c>
      <c r="BK1596" s="2">
        <v>1</v>
      </c>
      <c r="BL1596" s="2">
        <v>41.44</v>
      </c>
      <c r="BM1596" s="2">
        <v>5.8</v>
      </c>
      <c r="BN1596" s="2">
        <v>47.24</v>
      </c>
      <c r="BO1596" s="2">
        <v>47.24</v>
      </c>
      <c r="BP1596" s="2"/>
      <c r="BQ1596" s="2" t="s">
        <v>108</v>
      </c>
      <c r="BR1596" s="2" t="s">
        <v>84</v>
      </c>
      <c r="BS1596" s="3">
        <v>42963</v>
      </c>
      <c r="BT1596" s="4">
        <v>0.37916666666666665</v>
      </c>
      <c r="BU1596" s="2" t="s">
        <v>2283</v>
      </c>
      <c r="BV1596" s="2" t="s">
        <v>95</v>
      </c>
      <c r="BW1596" s="2"/>
      <c r="BX1596" s="2"/>
      <c r="BY1596" s="2">
        <v>1200</v>
      </c>
      <c r="BZ1596" s="2" t="s">
        <v>27</v>
      </c>
      <c r="CA1596" s="2" t="s">
        <v>672</v>
      </c>
      <c r="CB1596" s="2"/>
      <c r="CC1596" s="2" t="s">
        <v>238</v>
      </c>
      <c r="CD1596" s="2">
        <v>3610</v>
      </c>
      <c r="CE1596" s="2" t="s">
        <v>104</v>
      </c>
      <c r="CF1596" s="5">
        <v>42964</v>
      </c>
      <c r="CG1596" s="2"/>
      <c r="CH1596" s="2"/>
      <c r="CI1596" s="2">
        <v>1</v>
      </c>
      <c r="CJ1596" s="2">
        <v>1</v>
      </c>
      <c r="CK1596" s="2">
        <v>21</v>
      </c>
      <c r="CL1596" s="2" t="s">
        <v>86</v>
      </c>
      <c r="CM1596" s="2"/>
    </row>
    <row r="1597" spans="1:91">
      <c r="A1597" s="2" t="s">
        <v>71</v>
      </c>
      <c r="B1597" s="2" t="s">
        <v>72</v>
      </c>
      <c r="C1597" s="2" t="s">
        <v>73</v>
      </c>
      <c r="D1597" s="2"/>
      <c r="E1597" s="2" t="str">
        <f>"FES1162569094"</f>
        <v>FES1162569094</v>
      </c>
      <c r="F1597" s="3">
        <v>42962</v>
      </c>
      <c r="G1597" s="2">
        <v>201802</v>
      </c>
      <c r="H1597" s="2" t="s">
        <v>74</v>
      </c>
      <c r="I1597" s="2" t="s">
        <v>75</v>
      </c>
      <c r="J1597" s="2" t="s">
        <v>76</v>
      </c>
      <c r="K1597" s="2" t="s">
        <v>77</v>
      </c>
      <c r="L1597" s="2" t="s">
        <v>237</v>
      </c>
      <c r="M1597" s="2" t="s">
        <v>238</v>
      </c>
      <c r="N1597" s="2" t="s">
        <v>2284</v>
      </c>
      <c r="O1597" s="2" t="s">
        <v>100</v>
      </c>
      <c r="P1597" s="2" t="str">
        <f>"2170585097                    "</f>
        <v xml:space="preserve">2170585097       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12.01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5.8</v>
      </c>
      <c r="BJ1597" s="2">
        <v>3.3</v>
      </c>
      <c r="BK1597" s="2">
        <v>6</v>
      </c>
      <c r="BL1597" s="2">
        <v>124.33</v>
      </c>
      <c r="BM1597" s="2">
        <v>17.41</v>
      </c>
      <c r="BN1597" s="2">
        <v>141.74</v>
      </c>
      <c r="BO1597" s="2">
        <v>141.74</v>
      </c>
      <c r="BP1597" s="2"/>
      <c r="BQ1597" s="2" t="s">
        <v>209</v>
      </c>
      <c r="BR1597" s="2" t="s">
        <v>84</v>
      </c>
      <c r="BS1597" s="3">
        <v>42963</v>
      </c>
      <c r="BT1597" s="4">
        <v>0.4375</v>
      </c>
      <c r="BU1597" s="2" t="s">
        <v>2285</v>
      </c>
      <c r="BV1597" s="2" t="s">
        <v>95</v>
      </c>
      <c r="BW1597" s="2"/>
      <c r="BX1597" s="2"/>
      <c r="BY1597" s="2">
        <v>16655.900000000001</v>
      </c>
      <c r="BZ1597" s="2"/>
      <c r="CA1597" s="2" t="s">
        <v>672</v>
      </c>
      <c r="CB1597" s="2"/>
      <c r="CC1597" s="2" t="s">
        <v>238</v>
      </c>
      <c r="CD1597" s="2">
        <v>3610</v>
      </c>
      <c r="CE1597" s="2" t="s">
        <v>89</v>
      </c>
      <c r="CF1597" s="5">
        <v>42964</v>
      </c>
      <c r="CG1597" s="2"/>
      <c r="CH1597" s="2"/>
      <c r="CI1597" s="2">
        <v>1</v>
      </c>
      <c r="CJ1597" s="2">
        <v>1</v>
      </c>
      <c r="CK1597" s="2">
        <v>21</v>
      </c>
      <c r="CL1597" s="2" t="s">
        <v>86</v>
      </c>
      <c r="CM1597" s="2"/>
    </row>
    <row r="1598" spans="1:91">
      <c r="A1598" s="2" t="s">
        <v>71</v>
      </c>
      <c r="B1598" s="2" t="s">
        <v>72</v>
      </c>
      <c r="C1598" s="2" t="s">
        <v>73</v>
      </c>
      <c r="D1598" s="2"/>
      <c r="E1598" s="2" t="str">
        <f>"FES1162568868"</f>
        <v>FES1162568868</v>
      </c>
      <c r="F1598" s="3">
        <v>42962</v>
      </c>
      <c r="G1598" s="2">
        <v>201802</v>
      </c>
      <c r="H1598" s="2" t="s">
        <v>74</v>
      </c>
      <c r="I1598" s="2" t="s">
        <v>75</v>
      </c>
      <c r="J1598" s="2" t="s">
        <v>76</v>
      </c>
      <c r="K1598" s="2" t="s">
        <v>77</v>
      </c>
      <c r="L1598" s="2" t="s">
        <v>144</v>
      </c>
      <c r="M1598" s="2" t="s">
        <v>145</v>
      </c>
      <c r="N1598" s="2" t="s">
        <v>146</v>
      </c>
      <c r="O1598" s="2" t="s">
        <v>100</v>
      </c>
      <c r="P1598" s="2" t="str">
        <f>"2170584921                    "</f>
        <v xml:space="preserve">2170584921 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3.13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1</v>
      </c>
      <c r="BJ1598" s="2">
        <v>0.2</v>
      </c>
      <c r="BK1598" s="2">
        <v>1</v>
      </c>
      <c r="BL1598" s="2">
        <v>32.380000000000003</v>
      </c>
      <c r="BM1598" s="2">
        <v>4.53</v>
      </c>
      <c r="BN1598" s="2">
        <v>36.909999999999997</v>
      </c>
      <c r="BO1598" s="2">
        <v>36.909999999999997</v>
      </c>
      <c r="BP1598" s="2"/>
      <c r="BQ1598" s="2" t="s">
        <v>83</v>
      </c>
      <c r="BR1598" s="2" t="s">
        <v>84</v>
      </c>
      <c r="BS1598" s="3">
        <v>42963</v>
      </c>
      <c r="BT1598" s="4">
        <v>0.37152777777777773</v>
      </c>
      <c r="BU1598" s="2" t="s">
        <v>273</v>
      </c>
      <c r="BV1598" s="2" t="s">
        <v>95</v>
      </c>
      <c r="BW1598" s="2"/>
      <c r="BX1598" s="2"/>
      <c r="BY1598" s="2">
        <v>1200</v>
      </c>
      <c r="BZ1598" s="2" t="s">
        <v>27</v>
      </c>
      <c r="CA1598" s="2" t="s">
        <v>274</v>
      </c>
      <c r="CB1598" s="2"/>
      <c r="CC1598" s="2" t="s">
        <v>145</v>
      </c>
      <c r="CD1598" s="2">
        <v>2094</v>
      </c>
      <c r="CE1598" s="2" t="s">
        <v>104</v>
      </c>
      <c r="CF1598" s="5">
        <v>42964</v>
      </c>
      <c r="CG1598" s="2"/>
      <c r="CH1598" s="2"/>
      <c r="CI1598" s="2">
        <v>1</v>
      </c>
      <c r="CJ1598" s="2">
        <v>1</v>
      </c>
      <c r="CK1598" s="2">
        <v>22</v>
      </c>
      <c r="CL1598" s="2" t="s">
        <v>86</v>
      </c>
      <c r="CM1598" s="2"/>
    </row>
    <row r="1599" spans="1:91">
      <c r="A1599" s="2" t="s">
        <v>71</v>
      </c>
      <c r="B1599" s="2" t="s">
        <v>72</v>
      </c>
      <c r="C1599" s="2" t="s">
        <v>73</v>
      </c>
      <c r="D1599" s="2"/>
      <c r="E1599" s="2" t="str">
        <f>"FES1162569093"</f>
        <v>FES1162569093</v>
      </c>
      <c r="F1599" s="3">
        <v>42962</v>
      </c>
      <c r="G1599" s="2">
        <v>201802</v>
      </c>
      <c r="H1599" s="2" t="s">
        <v>74</v>
      </c>
      <c r="I1599" s="2" t="s">
        <v>75</v>
      </c>
      <c r="J1599" s="2" t="s">
        <v>76</v>
      </c>
      <c r="K1599" s="2" t="s">
        <v>77</v>
      </c>
      <c r="L1599" s="2" t="s">
        <v>105</v>
      </c>
      <c r="M1599" s="2" t="s">
        <v>106</v>
      </c>
      <c r="N1599" s="2" t="s">
        <v>2286</v>
      </c>
      <c r="O1599" s="2" t="s">
        <v>100</v>
      </c>
      <c r="P1599" s="2" t="str">
        <f>"2170585096                    "</f>
        <v xml:space="preserve">2170585096  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30.02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14.7</v>
      </c>
      <c r="BJ1599" s="2">
        <v>9.1999999999999993</v>
      </c>
      <c r="BK1599" s="2">
        <v>15</v>
      </c>
      <c r="BL1599" s="2">
        <v>310.82</v>
      </c>
      <c r="BM1599" s="2">
        <v>43.51</v>
      </c>
      <c r="BN1599" s="2">
        <v>354.33</v>
      </c>
      <c r="BO1599" s="2">
        <v>354.33</v>
      </c>
      <c r="BP1599" s="2"/>
      <c r="BQ1599" s="2" t="s">
        <v>288</v>
      </c>
      <c r="BR1599" s="2" t="s">
        <v>84</v>
      </c>
      <c r="BS1599" s="3">
        <v>42964</v>
      </c>
      <c r="BT1599" s="4">
        <v>0.40625</v>
      </c>
      <c r="BU1599" s="2" t="s">
        <v>2287</v>
      </c>
      <c r="BV1599" s="2" t="s">
        <v>95</v>
      </c>
      <c r="BW1599" s="2"/>
      <c r="BX1599" s="2"/>
      <c r="BY1599" s="2">
        <v>45927.86</v>
      </c>
      <c r="BZ1599" s="2"/>
      <c r="CA1599" s="2" t="s">
        <v>2288</v>
      </c>
      <c r="CB1599" s="2"/>
      <c r="CC1599" s="2" t="s">
        <v>106</v>
      </c>
      <c r="CD1599" s="2">
        <v>7380</v>
      </c>
      <c r="CE1599" s="2" t="s">
        <v>89</v>
      </c>
      <c r="CF1599" s="5">
        <v>42969</v>
      </c>
      <c r="CG1599" s="2"/>
      <c r="CH1599" s="2"/>
      <c r="CI1599" s="2">
        <v>3</v>
      </c>
      <c r="CJ1599" s="2">
        <v>2</v>
      </c>
      <c r="CK1599" s="2">
        <v>21</v>
      </c>
      <c r="CL1599" s="2" t="s">
        <v>86</v>
      </c>
      <c r="CM1599" s="2"/>
    </row>
    <row r="1600" spans="1:91">
      <c r="A1600" s="2" t="s">
        <v>71</v>
      </c>
      <c r="B1600" s="2" t="s">
        <v>72</v>
      </c>
      <c r="C1600" s="2" t="s">
        <v>73</v>
      </c>
      <c r="D1600" s="2"/>
      <c r="E1600" s="2" t="str">
        <f>"FES1162568843"</f>
        <v>FES1162568843</v>
      </c>
      <c r="F1600" s="3">
        <v>42962</v>
      </c>
      <c r="G1600" s="2">
        <v>201802</v>
      </c>
      <c r="H1600" s="2" t="s">
        <v>74</v>
      </c>
      <c r="I1600" s="2" t="s">
        <v>75</v>
      </c>
      <c r="J1600" s="2" t="s">
        <v>76</v>
      </c>
      <c r="K1600" s="2" t="s">
        <v>77</v>
      </c>
      <c r="L1600" s="2" t="s">
        <v>174</v>
      </c>
      <c r="M1600" s="2" t="s">
        <v>175</v>
      </c>
      <c r="N1600" s="2" t="s">
        <v>930</v>
      </c>
      <c r="O1600" s="2" t="s">
        <v>100</v>
      </c>
      <c r="P1600" s="2" t="str">
        <f>"2170584905                    "</f>
        <v xml:space="preserve">2170584905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4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1</v>
      </c>
      <c r="BJ1600" s="2">
        <v>0.2</v>
      </c>
      <c r="BK1600" s="2">
        <v>1</v>
      </c>
      <c r="BL1600" s="2">
        <v>41.44</v>
      </c>
      <c r="BM1600" s="2">
        <v>5.8</v>
      </c>
      <c r="BN1600" s="2">
        <v>47.24</v>
      </c>
      <c r="BO1600" s="2">
        <v>47.24</v>
      </c>
      <c r="BP1600" s="2"/>
      <c r="BQ1600" s="2" t="s">
        <v>83</v>
      </c>
      <c r="BR1600" s="2" t="s">
        <v>84</v>
      </c>
      <c r="BS1600" s="3">
        <v>42963</v>
      </c>
      <c r="BT1600" s="4">
        <v>0.42499999999999999</v>
      </c>
      <c r="BU1600" s="2" t="s">
        <v>1408</v>
      </c>
      <c r="BV1600" s="2" t="s">
        <v>95</v>
      </c>
      <c r="BW1600" s="2"/>
      <c r="BX1600" s="2"/>
      <c r="BY1600" s="2">
        <v>1200</v>
      </c>
      <c r="BZ1600" s="2" t="s">
        <v>27</v>
      </c>
      <c r="CA1600" s="2" t="s">
        <v>1373</v>
      </c>
      <c r="CB1600" s="2"/>
      <c r="CC1600" s="2" t="s">
        <v>175</v>
      </c>
      <c r="CD1600" s="2">
        <v>5201</v>
      </c>
      <c r="CE1600" s="2" t="s">
        <v>104</v>
      </c>
      <c r="CF1600" s="5">
        <v>42964</v>
      </c>
      <c r="CG1600" s="2"/>
      <c r="CH1600" s="2"/>
      <c r="CI1600" s="2">
        <v>1</v>
      </c>
      <c r="CJ1600" s="2">
        <v>1</v>
      </c>
      <c r="CK1600" s="2">
        <v>21</v>
      </c>
      <c r="CL1600" s="2" t="s">
        <v>86</v>
      </c>
      <c r="CM1600" s="2"/>
    </row>
    <row r="1601" spans="1:91">
      <c r="A1601" s="2" t="s">
        <v>71</v>
      </c>
      <c r="B1601" s="2" t="s">
        <v>72</v>
      </c>
      <c r="C1601" s="2" t="s">
        <v>73</v>
      </c>
      <c r="D1601" s="2"/>
      <c r="E1601" s="2" t="str">
        <f>"FES1162569082"</f>
        <v>FES1162569082</v>
      </c>
      <c r="F1601" s="3">
        <v>42962</v>
      </c>
      <c r="G1601" s="2">
        <v>201802</v>
      </c>
      <c r="H1601" s="2" t="s">
        <v>74</v>
      </c>
      <c r="I1601" s="2" t="s">
        <v>75</v>
      </c>
      <c r="J1601" s="2" t="s">
        <v>76</v>
      </c>
      <c r="K1601" s="2" t="s">
        <v>77</v>
      </c>
      <c r="L1601" s="2" t="s">
        <v>237</v>
      </c>
      <c r="M1601" s="2" t="s">
        <v>238</v>
      </c>
      <c r="N1601" s="2" t="s">
        <v>2289</v>
      </c>
      <c r="O1601" s="2" t="s">
        <v>100</v>
      </c>
      <c r="P1601" s="2" t="str">
        <f>"2170585081                    "</f>
        <v xml:space="preserve">2170585081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4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1.4</v>
      </c>
      <c r="BJ1601" s="2">
        <v>1</v>
      </c>
      <c r="BK1601" s="2">
        <v>1.5</v>
      </c>
      <c r="BL1601" s="2">
        <v>41.44</v>
      </c>
      <c r="BM1601" s="2">
        <v>5.8</v>
      </c>
      <c r="BN1601" s="2">
        <v>47.24</v>
      </c>
      <c r="BO1601" s="2">
        <v>47.24</v>
      </c>
      <c r="BP1601" s="2"/>
      <c r="BQ1601" s="2" t="s">
        <v>108</v>
      </c>
      <c r="BR1601" s="2" t="s">
        <v>84</v>
      </c>
      <c r="BS1601" s="3">
        <v>42963</v>
      </c>
      <c r="BT1601" s="4">
        <v>0.34583333333333338</v>
      </c>
      <c r="BU1601" s="2" t="s">
        <v>2290</v>
      </c>
      <c r="BV1601" s="2" t="s">
        <v>95</v>
      </c>
      <c r="BW1601" s="2"/>
      <c r="BX1601" s="2"/>
      <c r="BY1601" s="2">
        <v>4914.26</v>
      </c>
      <c r="BZ1601" s="2"/>
      <c r="CA1601" s="2" t="s">
        <v>401</v>
      </c>
      <c r="CB1601" s="2"/>
      <c r="CC1601" s="2" t="s">
        <v>238</v>
      </c>
      <c r="CD1601" s="2">
        <v>3610</v>
      </c>
      <c r="CE1601" s="2" t="s">
        <v>135</v>
      </c>
      <c r="CF1601" s="5">
        <v>42964</v>
      </c>
      <c r="CG1601" s="2"/>
      <c r="CH1601" s="2"/>
      <c r="CI1601" s="2">
        <v>1</v>
      </c>
      <c r="CJ1601" s="2">
        <v>1</v>
      </c>
      <c r="CK1601" s="2">
        <v>21</v>
      </c>
      <c r="CL1601" s="2" t="s">
        <v>86</v>
      </c>
      <c r="CM1601" s="2"/>
    </row>
    <row r="1602" spans="1:91">
      <c r="A1602" s="2" t="s">
        <v>71</v>
      </c>
      <c r="B1602" s="2" t="s">
        <v>72</v>
      </c>
      <c r="C1602" s="2" t="s">
        <v>73</v>
      </c>
      <c r="D1602" s="2"/>
      <c r="E1602" s="2" t="str">
        <f>"FES1162564891"</f>
        <v>FES1162564891</v>
      </c>
      <c r="F1602" s="3">
        <v>42962</v>
      </c>
      <c r="G1602" s="2">
        <v>201802</v>
      </c>
      <c r="H1602" s="2" t="s">
        <v>74</v>
      </c>
      <c r="I1602" s="2" t="s">
        <v>75</v>
      </c>
      <c r="J1602" s="2" t="s">
        <v>76</v>
      </c>
      <c r="K1602" s="2" t="s">
        <v>77</v>
      </c>
      <c r="L1602" s="2" t="s">
        <v>244</v>
      </c>
      <c r="M1602" s="2" t="s">
        <v>245</v>
      </c>
      <c r="N1602" s="2" t="s">
        <v>2291</v>
      </c>
      <c r="O1602" s="2" t="s">
        <v>100</v>
      </c>
      <c r="P1602" s="2" t="str">
        <f>"2170580138                    "</f>
        <v xml:space="preserve">2170580138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3.13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3.5</v>
      </c>
      <c r="BJ1602" s="2">
        <v>3.2</v>
      </c>
      <c r="BK1602" s="2">
        <v>4</v>
      </c>
      <c r="BL1602" s="2">
        <v>32.380000000000003</v>
      </c>
      <c r="BM1602" s="2">
        <v>4.53</v>
      </c>
      <c r="BN1602" s="2">
        <v>36.909999999999997</v>
      </c>
      <c r="BO1602" s="2">
        <v>36.909999999999997</v>
      </c>
      <c r="BP1602" s="2"/>
      <c r="BQ1602" s="2" t="s">
        <v>288</v>
      </c>
      <c r="BR1602" s="2" t="s">
        <v>84</v>
      </c>
      <c r="BS1602" s="3">
        <v>42963</v>
      </c>
      <c r="BT1602" s="4">
        <v>0.33680555555555558</v>
      </c>
      <c r="BU1602" s="2" t="s">
        <v>2292</v>
      </c>
      <c r="BV1602" s="2" t="s">
        <v>95</v>
      </c>
      <c r="BW1602" s="2"/>
      <c r="BX1602" s="2"/>
      <c r="BY1602" s="2">
        <v>16042.7</v>
      </c>
      <c r="BZ1602" s="2" t="s">
        <v>27</v>
      </c>
      <c r="CA1602" s="2" t="s">
        <v>426</v>
      </c>
      <c r="CB1602" s="2"/>
      <c r="CC1602" s="2" t="s">
        <v>245</v>
      </c>
      <c r="CD1602" s="2">
        <v>1459</v>
      </c>
      <c r="CE1602" s="2" t="s">
        <v>89</v>
      </c>
      <c r="CF1602" s="5">
        <v>42964</v>
      </c>
      <c r="CG1602" s="2"/>
      <c r="CH1602" s="2"/>
      <c r="CI1602" s="2">
        <v>1</v>
      </c>
      <c r="CJ1602" s="2">
        <v>1</v>
      </c>
      <c r="CK1602" s="2">
        <v>22</v>
      </c>
      <c r="CL1602" s="2" t="s">
        <v>86</v>
      </c>
      <c r="CM1602" s="2"/>
    </row>
    <row r="1603" spans="1:91">
      <c r="A1603" s="2" t="s">
        <v>71</v>
      </c>
      <c r="B1603" s="2" t="s">
        <v>72</v>
      </c>
      <c r="C1603" s="2" t="s">
        <v>73</v>
      </c>
      <c r="D1603" s="2"/>
      <c r="E1603" s="2" t="str">
        <f>"RFES1162567401"</f>
        <v>RFES1162567401</v>
      </c>
      <c r="F1603" s="3">
        <v>42962</v>
      </c>
      <c r="G1603" s="2">
        <v>201802</v>
      </c>
      <c r="H1603" s="2" t="s">
        <v>221</v>
      </c>
      <c r="I1603" s="2" t="s">
        <v>222</v>
      </c>
      <c r="J1603" s="2" t="s">
        <v>2293</v>
      </c>
      <c r="K1603" s="2" t="s">
        <v>77</v>
      </c>
      <c r="L1603" s="2" t="s">
        <v>144</v>
      </c>
      <c r="M1603" s="2" t="s">
        <v>145</v>
      </c>
      <c r="N1603" s="2" t="s">
        <v>76</v>
      </c>
      <c r="O1603" s="2" t="s">
        <v>100</v>
      </c>
      <c r="P1603" s="2" t="str">
        <f>"2170583305                    "</f>
        <v xml:space="preserve">2170583305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5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1</v>
      </c>
      <c r="BI1603" s="2">
        <v>2.4</v>
      </c>
      <c r="BJ1603" s="2">
        <v>0.9</v>
      </c>
      <c r="BK1603" s="2">
        <v>2.5</v>
      </c>
      <c r="BL1603" s="2">
        <v>51.8</v>
      </c>
      <c r="BM1603" s="2">
        <v>7.25</v>
      </c>
      <c r="BN1603" s="2">
        <v>59.05</v>
      </c>
      <c r="BO1603" s="2">
        <v>59.05</v>
      </c>
      <c r="BP1603" s="2"/>
      <c r="BQ1603" s="2" t="s">
        <v>84</v>
      </c>
      <c r="BR1603" s="2" t="s">
        <v>288</v>
      </c>
      <c r="BS1603" s="3">
        <v>42963</v>
      </c>
      <c r="BT1603" s="4">
        <v>0.41250000000000003</v>
      </c>
      <c r="BU1603" s="2" t="s">
        <v>2294</v>
      </c>
      <c r="BV1603" s="2" t="s">
        <v>95</v>
      </c>
      <c r="BW1603" s="2"/>
      <c r="BX1603" s="2"/>
      <c r="BY1603" s="2">
        <v>4746.1899999999996</v>
      </c>
      <c r="BZ1603" s="2" t="s">
        <v>27</v>
      </c>
      <c r="CA1603" s="2" t="s">
        <v>148</v>
      </c>
      <c r="CB1603" s="2"/>
      <c r="CC1603" s="2" t="s">
        <v>145</v>
      </c>
      <c r="CD1603" s="2">
        <v>2000</v>
      </c>
      <c r="CE1603" s="2" t="s">
        <v>89</v>
      </c>
      <c r="CF1603" s="2"/>
      <c r="CG1603" s="2"/>
      <c r="CH1603" s="2"/>
      <c r="CI1603" s="2">
        <v>1</v>
      </c>
      <c r="CJ1603" s="2">
        <v>1</v>
      </c>
      <c r="CK1603" s="2">
        <v>21</v>
      </c>
      <c r="CL1603" s="2" t="s">
        <v>86</v>
      </c>
      <c r="CM1603" s="2"/>
    </row>
    <row r="1604" spans="1:91">
      <c r="A1604" s="2" t="s">
        <v>71</v>
      </c>
      <c r="B1604" s="2" t="s">
        <v>72</v>
      </c>
      <c r="C1604" s="2" t="s">
        <v>73</v>
      </c>
      <c r="D1604" s="2"/>
      <c r="E1604" s="2" t="str">
        <f>"FES1162568821"</f>
        <v>FES1162568821</v>
      </c>
      <c r="F1604" s="3">
        <v>42962</v>
      </c>
      <c r="G1604" s="2">
        <v>201802</v>
      </c>
      <c r="H1604" s="2" t="s">
        <v>74</v>
      </c>
      <c r="I1604" s="2" t="s">
        <v>75</v>
      </c>
      <c r="J1604" s="2" t="s">
        <v>76</v>
      </c>
      <c r="K1604" s="2" t="s">
        <v>77</v>
      </c>
      <c r="L1604" s="2" t="s">
        <v>244</v>
      </c>
      <c r="M1604" s="2" t="s">
        <v>245</v>
      </c>
      <c r="N1604" s="2" t="s">
        <v>553</v>
      </c>
      <c r="O1604" s="2" t="s">
        <v>100</v>
      </c>
      <c r="P1604" s="2" t="str">
        <f>"2170584896                    "</f>
        <v xml:space="preserve">2170584896 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3.13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1</v>
      </c>
      <c r="BJ1604" s="2">
        <v>0.2</v>
      </c>
      <c r="BK1604" s="2">
        <v>1</v>
      </c>
      <c r="BL1604" s="2">
        <v>32.380000000000003</v>
      </c>
      <c r="BM1604" s="2">
        <v>4.53</v>
      </c>
      <c r="BN1604" s="2">
        <v>36.909999999999997</v>
      </c>
      <c r="BO1604" s="2">
        <v>36.909999999999997</v>
      </c>
      <c r="BP1604" s="2"/>
      <c r="BQ1604" s="2" t="s">
        <v>288</v>
      </c>
      <c r="BR1604" s="2" t="s">
        <v>84</v>
      </c>
      <c r="BS1604" s="3">
        <v>42963</v>
      </c>
      <c r="BT1604" s="4">
        <v>0.3125</v>
      </c>
      <c r="BU1604" s="2" t="s">
        <v>554</v>
      </c>
      <c r="BV1604" s="2" t="s">
        <v>95</v>
      </c>
      <c r="BW1604" s="2"/>
      <c r="BX1604" s="2"/>
      <c r="BY1604" s="2">
        <v>1200</v>
      </c>
      <c r="BZ1604" s="2" t="s">
        <v>27</v>
      </c>
      <c r="CA1604" s="2" t="s">
        <v>423</v>
      </c>
      <c r="CB1604" s="2"/>
      <c r="CC1604" s="2" t="s">
        <v>245</v>
      </c>
      <c r="CD1604" s="2">
        <v>1460</v>
      </c>
      <c r="CE1604" s="2" t="s">
        <v>104</v>
      </c>
      <c r="CF1604" s="5">
        <v>42964</v>
      </c>
      <c r="CG1604" s="2"/>
      <c r="CH1604" s="2"/>
      <c r="CI1604" s="2">
        <v>1</v>
      </c>
      <c r="CJ1604" s="2">
        <v>1</v>
      </c>
      <c r="CK1604" s="2">
        <v>22</v>
      </c>
      <c r="CL1604" s="2" t="s">
        <v>86</v>
      </c>
      <c r="CM1604" s="2"/>
    </row>
    <row r="1605" spans="1:91">
      <c r="A1605" s="2" t="s">
        <v>71</v>
      </c>
      <c r="B1605" s="2" t="s">
        <v>72</v>
      </c>
      <c r="C1605" s="2" t="s">
        <v>73</v>
      </c>
      <c r="D1605" s="2"/>
      <c r="E1605" s="2" t="str">
        <f>"FES1162568837"</f>
        <v>FES1162568837</v>
      </c>
      <c r="F1605" s="3">
        <v>42962</v>
      </c>
      <c r="G1605" s="2">
        <v>201802</v>
      </c>
      <c r="H1605" s="2" t="s">
        <v>74</v>
      </c>
      <c r="I1605" s="2" t="s">
        <v>75</v>
      </c>
      <c r="J1605" s="2" t="s">
        <v>76</v>
      </c>
      <c r="K1605" s="2" t="s">
        <v>77</v>
      </c>
      <c r="L1605" s="2" t="s">
        <v>170</v>
      </c>
      <c r="M1605" s="2" t="s">
        <v>171</v>
      </c>
      <c r="N1605" s="2" t="s">
        <v>1935</v>
      </c>
      <c r="O1605" s="2" t="s">
        <v>100</v>
      </c>
      <c r="P1605" s="2" t="str">
        <f>"2170584554                    "</f>
        <v xml:space="preserve">2170584554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3.13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1</v>
      </c>
      <c r="BJ1605" s="2">
        <v>0.2</v>
      </c>
      <c r="BK1605" s="2">
        <v>1</v>
      </c>
      <c r="BL1605" s="2">
        <v>32.380000000000003</v>
      </c>
      <c r="BM1605" s="2">
        <v>4.53</v>
      </c>
      <c r="BN1605" s="2">
        <v>36.909999999999997</v>
      </c>
      <c r="BO1605" s="2">
        <v>36.909999999999997</v>
      </c>
      <c r="BP1605" s="2"/>
      <c r="BQ1605" s="2" t="s">
        <v>2108</v>
      </c>
      <c r="BR1605" s="2" t="s">
        <v>84</v>
      </c>
      <c r="BS1605" s="3">
        <v>42963</v>
      </c>
      <c r="BT1605" s="4">
        <v>0.39374999999999999</v>
      </c>
      <c r="BU1605" s="2" t="s">
        <v>2295</v>
      </c>
      <c r="BV1605" s="2" t="s">
        <v>95</v>
      </c>
      <c r="BW1605" s="2"/>
      <c r="BX1605" s="2"/>
      <c r="BY1605" s="2">
        <v>1200</v>
      </c>
      <c r="BZ1605" s="2" t="s">
        <v>27</v>
      </c>
      <c r="CA1605" s="2" t="s">
        <v>588</v>
      </c>
      <c r="CB1605" s="2"/>
      <c r="CC1605" s="2" t="s">
        <v>171</v>
      </c>
      <c r="CD1605" s="2">
        <v>1406</v>
      </c>
      <c r="CE1605" s="2" t="s">
        <v>104</v>
      </c>
      <c r="CF1605" s="5">
        <v>42964</v>
      </c>
      <c r="CG1605" s="2"/>
      <c r="CH1605" s="2"/>
      <c r="CI1605" s="2">
        <v>1</v>
      </c>
      <c r="CJ1605" s="2">
        <v>1</v>
      </c>
      <c r="CK1605" s="2">
        <v>22</v>
      </c>
      <c r="CL1605" s="2" t="s">
        <v>86</v>
      </c>
      <c r="CM1605" s="2"/>
    </row>
    <row r="1606" spans="1:91">
      <c r="A1606" s="2" t="s">
        <v>71</v>
      </c>
      <c r="B1606" s="2" t="s">
        <v>72</v>
      </c>
      <c r="C1606" s="2" t="s">
        <v>73</v>
      </c>
      <c r="D1606" s="2"/>
      <c r="E1606" s="2" t="str">
        <f>"FES1162568818"</f>
        <v>FES1162568818</v>
      </c>
      <c r="F1606" s="3">
        <v>42962</v>
      </c>
      <c r="G1606" s="2">
        <v>201802</v>
      </c>
      <c r="H1606" s="2" t="s">
        <v>74</v>
      </c>
      <c r="I1606" s="2" t="s">
        <v>75</v>
      </c>
      <c r="J1606" s="2" t="s">
        <v>76</v>
      </c>
      <c r="K1606" s="2" t="s">
        <v>77</v>
      </c>
      <c r="L1606" s="2" t="s">
        <v>1202</v>
      </c>
      <c r="M1606" s="2" t="s">
        <v>1203</v>
      </c>
      <c r="N1606" s="2" t="s">
        <v>2296</v>
      </c>
      <c r="O1606" s="2" t="s">
        <v>100</v>
      </c>
      <c r="P1606" s="2" t="str">
        <f>"2170584893                    "</f>
        <v xml:space="preserve">2170584893  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3.13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1</v>
      </c>
      <c r="BI1606" s="2">
        <v>2</v>
      </c>
      <c r="BJ1606" s="2">
        <v>0.2</v>
      </c>
      <c r="BK1606" s="2">
        <v>2</v>
      </c>
      <c r="BL1606" s="2">
        <v>32.380000000000003</v>
      </c>
      <c r="BM1606" s="2">
        <v>4.53</v>
      </c>
      <c r="BN1606" s="2">
        <v>36.909999999999997</v>
      </c>
      <c r="BO1606" s="2">
        <v>36.909999999999997</v>
      </c>
      <c r="BP1606" s="2"/>
      <c r="BQ1606" s="2" t="s">
        <v>108</v>
      </c>
      <c r="BR1606" s="2" t="s">
        <v>84</v>
      </c>
      <c r="BS1606" s="3">
        <v>42963</v>
      </c>
      <c r="BT1606" s="4">
        <v>0.34166666666666662</v>
      </c>
      <c r="BU1606" s="2" t="s">
        <v>2297</v>
      </c>
      <c r="BV1606" s="2" t="s">
        <v>95</v>
      </c>
      <c r="BW1606" s="2"/>
      <c r="BX1606" s="2"/>
      <c r="BY1606" s="2">
        <v>1200</v>
      </c>
      <c r="BZ1606" s="2" t="s">
        <v>27</v>
      </c>
      <c r="CA1606" s="2" t="s">
        <v>148</v>
      </c>
      <c r="CB1606" s="2"/>
      <c r="CC1606" s="2" t="s">
        <v>1203</v>
      </c>
      <c r="CD1606" s="2">
        <v>1501</v>
      </c>
      <c r="CE1606" s="2" t="s">
        <v>104</v>
      </c>
      <c r="CF1606" s="5">
        <v>42964</v>
      </c>
      <c r="CG1606" s="2"/>
      <c r="CH1606" s="2"/>
      <c r="CI1606" s="2">
        <v>1</v>
      </c>
      <c r="CJ1606" s="2">
        <v>1</v>
      </c>
      <c r="CK1606" s="2">
        <v>22</v>
      </c>
      <c r="CL1606" s="2" t="s">
        <v>86</v>
      </c>
      <c r="CM1606" s="2"/>
    </row>
    <row r="1607" spans="1:91">
      <c r="A1607" s="2" t="s">
        <v>71</v>
      </c>
      <c r="B1607" s="2" t="s">
        <v>72</v>
      </c>
      <c r="C1607" s="2" t="s">
        <v>73</v>
      </c>
      <c r="D1607" s="2"/>
      <c r="E1607" s="2" t="str">
        <f>"FES1162568982"</f>
        <v>FES1162568982</v>
      </c>
      <c r="F1607" s="3">
        <v>42962</v>
      </c>
      <c r="G1607" s="2">
        <v>201802</v>
      </c>
      <c r="H1607" s="2" t="s">
        <v>74</v>
      </c>
      <c r="I1607" s="2" t="s">
        <v>75</v>
      </c>
      <c r="J1607" s="2" t="s">
        <v>76</v>
      </c>
      <c r="K1607" s="2" t="s">
        <v>77</v>
      </c>
      <c r="L1607" s="2" t="s">
        <v>128</v>
      </c>
      <c r="M1607" s="2" t="s">
        <v>129</v>
      </c>
      <c r="N1607" s="2" t="s">
        <v>2298</v>
      </c>
      <c r="O1607" s="2" t="s">
        <v>100</v>
      </c>
      <c r="P1607" s="2" t="str">
        <f>"2170584993                    "</f>
        <v xml:space="preserve">2170584993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3.13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1</v>
      </c>
      <c r="BJ1607" s="2">
        <v>0.2</v>
      </c>
      <c r="BK1607" s="2">
        <v>1</v>
      </c>
      <c r="BL1607" s="2">
        <v>32.380000000000003</v>
      </c>
      <c r="BM1607" s="2">
        <v>4.53</v>
      </c>
      <c r="BN1607" s="2">
        <v>36.909999999999997</v>
      </c>
      <c r="BO1607" s="2">
        <v>36.909999999999997</v>
      </c>
      <c r="BP1607" s="2"/>
      <c r="BQ1607" s="2" t="s">
        <v>2299</v>
      </c>
      <c r="BR1607" s="2" t="s">
        <v>84</v>
      </c>
      <c r="BS1607" s="3">
        <v>42963</v>
      </c>
      <c r="BT1607" s="4">
        <v>0.36458333333333331</v>
      </c>
      <c r="BU1607" s="2" t="s">
        <v>2300</v>
      </c>
      <c r="BV1607" s="2" t="s">
        <v>95</v>
      </c>
      <c r="BW1607" s="2"/>
      <c r="BX1607" s="2"/>
      <c r="BY1607" s="2">
        <v>1200</v>
      </c>
      <c r="BZ1607" s="2" t="s">
        <v>27</v>
      </c>
      <c r="CA1607" s="2"/>
      <c r="CB1607" s="2"/>
      <c r="CC1607" s="2" t="s">
        <v>129</v>
      </c>
      <c r="CD1607" s="2">
        <v>1709</v>
      </c>
      <c r="CE1607" s="2" t="s">
        <v>104</v>
      </c>
      <c r="CF1607" s="5">
        <v>42963</v>
      </c>
      <c r="CG1607" s="2"/>
      <c r="CH1607" s="2"/>
      <c r="CI1607" s="2">
        <v>1</v>
      </c>
      <c r="CJ1607" s="2">
        <v>1</v>
      </c>
      <c r="CK1607" s="2">
        <v>22</v>
      </c>
      <c r="CL1607" s="2" t="s">
        <v>86</v>
      </c>
      <c r="CM1607" s="2"/>
    </row>
    <row r="1608" spans="1:91">
      <c r="A1608" s="2" t="s">
        <v>71</v>
      </c>
      <c r="B1608" s="2" t="s">
        <v>72</v>
      </c>
      <c r="C1608" s="2" t="s">
        <v>73</v>
      </c>
      <c r="D1608" s="2"/>
      <c r="E1608" s="2" t="str">
        <f>"FES1162569017"</f>
        <v>FES1162569017</v>
      </c>
      <c r="F1608" s="3">
        <v>42962</v>
      </c>
      <c r="G1608" s="2">
        <v>201802</v>
      </c>
      <c r="H1608" s="2" t="s">
        <v>74</v>
      </c>
      <c r="I1608" s="2" t="s">
        <v>75</v>
      </c>
      <c r="J1608" s="2" t="s">
        <v>76</v>
      </c>
      <c r="K1608" s="2" t="s">
        <v>77</v>
      </c>
      <c r="L1608" s="2" t="s">
        <v>164</v>
      </c>
      <c r="M1608" s="2" t="s">
        <v>165</v>
      </c>
      <c r="N1608" s="2" t="s">
        <v>2301</v>
      </c>
      <c r="O1608" s="2" t="s">
        <v>100</v>
      </c>
      <c r="P1608" s="2" t="str">
        <f>"2170585007                    "</f>
        <v xml:space="preserve">2170585007              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4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1</v>
      </c>
      <c r="BJ1608" s="2">
        <v>0.2</v>
      </c>
      <c r="BK1608" s="2">
        <v>1</v>
      </c>
      <c r="BL1608" s="2">
        <v>41.44</v>
      </c>
      <c r="BM1608" s="2">
        <v>5.8</v>
      </c>
      <c r="BN1608" s="2">
        <v>47.24</v>
      </c>
      <c r="BO1608" s="2">
        <v>47.24</v>
      </c>
      <c r="BP1608" s="2"/>
      <c r="BQ1608" s="2" t="s">
        <v>83</v>
      </c>
      <c r="BR1608" s="2" t="s">
        <v>84</v>
      </c>
      <c r="BS1608" s="3">
        <v>42963</v>
      </c>
      <c r="BT1608" s="4">
        <v>0.41041666666666665</v>
      </c>
      <c r="BU1608" s="2" t="s">
        <v>2302</v>
      </c>
      <c r="BV1608" s="2" t="s">
        <v>95</v>
      </c>
      <c r="BW1608" s="2"/>
      <c r="BX1608" s="2"/>
      <c r="BY1608" s="2">
        <v>1200</v>
      </c>
      <c r="BZ1608" s="2" t="s">
        <v>27</v>
      </c>
      <c r="CA1608" s="2" t="s">
        <v>1193</v>
      </c>
      <c r="CB1608" s="2"/>
      <c r="CC1608" s="2" t="s">
        <v>165</v>
      </c>
      <c r="CD1608" s="2">
        <v>6850</v>
      </c>
      <c r="CE1608" s="2" t="s">
        <v>104</v>
      </c>
      <c r="CF1608" s="5">
        <v>42964</v>
      </c>
      <c r="CG1608" s="2"/>
      <c r="CH1608" s="2"/>
      <c r="CI1608" s="2">
        <v>3</v>
      </c>
      <c r="CJ1608" s="2">
        <v>1</v>
      </c>
      <c r="CK1608" s="2">
        <v>21</v>
      </c>
      <c r="CL1608" s="2" t="s">
        <v>86</v>
      </c>
      <c r="CM1608" s="2"/>
    </row>
    <row r="1609" spans="1:91">
      <c r="A1609" s="2" t="s">
        <v>71</v>
      </c>
      <c r="B1609" s="2" t="s">
        <v>72</v>
      </c>
      <c r="C1609" s="2" t="s">
        <v>73</v>
      </c>
      <c r="D1609" s="2"/>
      <c r="E1609" s="2" t="str">
        <f>"FES1162568845"</f>
        <v>FES1162568845</v>
      </c>
      <c r="F1609" s="3">
        <v>42962</v>
      </c>
      <c r="G1609" s="2">
        <v>201802</v>
      </c>
      <c r="H1609" s="2" t="s">
        <v>74</v>
      </c>
      <c r="I1609" s="2" t="s">
        <v>75</v>
      </c>
      <c r="J1609" s="2" t="s">
        <v>76</v>
      </c>
      <c r="K1609" s="2" t="s">
        <v>77</v>
      </c>
      <c r="L1609" s="2" t="s">
        <v>244</v>
      </c>
      <c r="M1609" s="2" t="s">
        <v>245</v>
      </c>
      <c r="N1609" s="2" t="s">
        <v>553</v>
      </c>
      <c r="O1609" s="2" t="s">
        <v>100</v>
      </c>
      <c r="P1609" s="2" t="str">
        <f>"2170584907                    "</f>
        <v xml:space="preserve">2170584907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3.13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4.8</v>
      </c>
      <c r="BJ1609" s="2">
        <v>1.6</v>
      </c>
      <c r="BK1609" s="2">
        <v>5</v>
      </c>
      <c r="BL1609" s="2">
        <v>32.380000000000003</v>
      </c>
      <c r="BM1609" s="2">
        <v>4.53</v>
      </c>
      <c r="BN1609" s="2">
        <v>36.909999999999997</v>
      </c>
      <c r="BO1609" s="2">
        <v>36.909999999999997</v>
      </c>
      <c r="BP1609" s="2"/>
      <c r="BQ1609" s="2" t="s">
        <v>288</v>
      </c>
      <c r="BR1609" s="2" t="s">
        <v>84</v>
      </c>
      <c r="BS1609" s="3">
        <v>42963</v>
      </c>
      <c r="BT1609" s="4">
        <v>0.3125</v>
      </c>
      <c r="BU1609" s="2" t="s">
        <v>554</v>
      </c>
      <c r="BV1609" s="2" t="s">
        <v>95</v>
      </c>
      <c r="BW1609" s="2"/>
      <c r="BX1609" s="2"/>
      <c r="BY1609" s="2">
        <v>8169.14</v>
      </c>
      <c r="BZ1609" s="2" t="s">
        <v>27</v>
      </c>
      <c r="CA1609" s="2" t="s">
        <v>423</v>
      </c>
      <c r="CB1609" s="2"/>
      <c r="CC1609" s="2" t="s">
        <v>245</v>
      </c>
      <c r="CD1609" s="2">
        <v>1460</v>
      </c>
      <c r="CE1609" s="2" t="s">
        <v>89</v>
      </c>
      <c r="CF1609" s="5">
        <v>42964</v>
      </c>
      <c r="CG1609" s="2"/>
      <c r="CH1609" s="2"/>
      <c r="CI1609" s="2">
        <v>1</v>
      </c>
      <c r="CJ1609" s="2">
        <v>1</v>
      </c>
      <c r="CK1609" s="2">
        <v>22</v>
      </c>
      <c r="CL1609" s="2" t="s">
        <v>86</v>
      </c>
      <c r="CM1609" s="2"/>
    </row>
    <row r="1610" spans="1:91">
      <c r="A1610" s="2" t="s">
        <v>71</v>
      </c>
      <c r="B1610" s="2" t="s">
        <v>72</v>
      </c>
      <c r="C1610" s="2" t="s">
        <v>73</v>
      </c>
      <c r="D1610" s="2"/>
      <c r="E1610" s="2" t="str">
        <f>"FES1162561488"</f>
        <v>FES1162561488</v>
      </c>
      <c r="F1610" s="3">
        <v>42962</v>
      </c>
      <c r="G1610" s="2">
        <v>201802</v>
      </c>
      <c r="H1610" s="2" t="s">
        <v>74</v>
      </c>
      <c r="I1610" s="2" t="s">
        <v>75</v>
      </c>
      <c r="J1610" s="2" t="s">
        <v>76</v>
      </c>
      <c r="K1610" s="2" t="s">
        <v>77</v>
      </c>
      <c r="L1610" s="2" t="s">
        <v>362</v>
      </c>
      <c r="M1610" s="2" t="s">
        <v>363</v>
      </c>
      <c r="N1610" s="2" t="s">
        <v>2303</v>
      </c>
      <c r="O1610" s="2" t="s">
        <v>100</v>
      </c>
      <c r="P1610" s="2" t="str">
        <f>"2170572840                    "</f>
        <v xml:space="preserve">2170572840             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4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</v>
      </c>
      <c r="BJ1610" s="2">
        <v>0.2</v>
      </c>
      <c r="BK1610" s="2">
        <v>1</v>
      </c>
      <c r="BL1610" s="2">
        <v>41.44</v>
      </c>
      <c r="BM1610" s="2">
        <v>5.8</v>
      </c>
      <c r="BN1610" s="2">
        <v>47.24</v>
      </c>
      <c r="BO1610" s="2">
        <v>47.24</v>
      </c>
      <c r="BP1610" s="2"/>
      <c r="BQ1610" s="2" t="s">
        <v>288</v>
      </c>
      <c r="BR1610" s="2" t="s">
        <v>84</v>
      </c>
      <c r="BS1610" s="3">
        <v>42963</v>
      </c>
      <c r="BT1610" s="4">
        <v>0.38819444444444445</v>
      </c>
      <c r="BU1610" s="2" t="s">
        <v>2304</v>
      </c>
      <c r="BV1610" s="2" t="s">
        <v>95</v>
      </c>
      <c r="BW1610" s="2"/>
      <c r="BX1610" s="2"/>
      <c r="BY1610" s="2">
        <v>1200</v>
      </c>
      <c r="BZ1610" s="2" t="s">
        <v>27</v>
      </c>
      <c r="CA1610" s="2" t="s">
        <v>2305</v>
      </c>
      <c r="CB1610" s="2"/>
      <c r="CC1610" s="2" t="s">
        <v>363</v>
      </c>
      <c r="CD1610" s="2">
        <v>3680</v>
      </c>
      <c r="CE1610" s="2" t="s">
        <v>104</v>
      </c>
      <c r="CF1610" s="5">
        <v>42964</v>
      </c>
      <c r="CG1610" s="2"/>
      <c r="CH1610" s="2"/>
      <c r="CI1610" s="2">
        <v>1</v>
      </c>
      <c r="CJ1610" s="2">
        <v>1</v>
      </c>
      <c r="CK1610" s="2">
        <v>21</v>
      </c>
      <c r="CL1610" s="2" t="s">
        <v>86</v>
      </c>
      <c r="CM1610" s="2"/>
    </row>
    <row r="1611" spans="1:91">
      <c r="A1611" s="2" t="s">
        <v>71</v>
      </c>
      <c r="B1611" s="2" t="s">
        <v>72</v>
      </c>
      <c r="C1611" s="2" t="s">
        <v>73</v>
      </c>
      <c r="D1611" s="2"/>
      <c r="E1611" s="2" t="str">
        <f>"FES1162568855"</f>
        <v>FES1162568855</v>
      </c>
      <c r="F1611" s="3">
        <v>42962</v>
      </c>
      <c r="G1611" s="2">
        <v>201802</v>
      </c>
      <c r="H1611" s="2" t="s">
        <v>74</v>
      </c>
      <c r="I1611" s="2" t="s">
        <v>75</v>
      </c>
      <c r="J1611" s="2" t="s">
        <v>76</v>
      </c>
      <c r="K1611" s="2" t="s">
        <v>77</v>
      </c>
      <c r="L1611" s="2" t="s">
        <v>105</v>
      </c>
      <c r="M1611" s="2" t="s">
        <v>106</v>
      </c>
      <c r="N1611" s="2" t="s">
        <v>107</v>
      </c>
      <c r="O1611" s="2" t="s">
        <v>100</v>
      </c>
      <c r="P1611" s="2" t="str">
        <f>"2170581995                    "</f>
        <v xml:space="preserve">2170581995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4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1</v>
      </c>
      <c r="BI1611" s="2">
        <v>1</v>
      </c>
      <c r="BJ1611" s="2">
        <v>0.2</v>
      </c>
      <c r="BK1611" s="2">
        <v>1</v>
      </c>
      <c r="BL1611" s="2">
        <v>41.44</v>
      </c>
      <c r="BM1611" s="2">
        <v>5.8</v>
      </c>
      <c r="BN1611" s="2">
        <v>47.24</v>
      </c>
      <c r="BO1611" s="2">
        <v>47.24</v>
      </c>
      <c r="BP1611" s="2"/>
      <c r="BQ1611" s="2" t="s">
        <v>108</v>
      </c>
      <c r="BR1611" s="2" t="s">
        <v>84</v>
      </c>
      <c r="BS1611" s="3">
        <v>42964</v>
      </c>
      <c r="BT1611" s="4">
        <v>0.37152777777777773</v>
      </c>
      <c r="BU1611" s="2" t="s">
        <v>236</v>
      </c>
      <c r="BV1611" s="2" t="s">
        <v>86</v>
      </c>
      <c r="BW1611" s="2" t="s">
        <v>110</v>
      </c>
      <c r="BX1611" s="2" t="s">
        <v>111</v>
      </c>
      <c r="BY1611" s="2">
        <v>1200</v>
      </c>
      <c r="BZ1611" s="2" t="s">
        <v>27</v>
      </c>
      <c r="CA1611" s="2" t="s">
        <v>112</v>
      </c>
      <c r="CB1611" s="2"/>
      <c r="CC1611" s="2" t="s">
        <v>106</v>
      </c>
      <c r="CD1611" s="2">
        <v>7405</v>
      </c>
      <c r="CE1611" s="2" t="s">
        <v>104</v>
      </c>
      <c r="CF1611" s="5">
        <v>42965</v>
      </c>
      <c r="CG1611" s="2"/>
      <c r="CH1611" s="2"/>
      <c r="CI1611" s="2">
        <v>1</v>
      </c>
      <c r="CJ1611" s="2">
        <v>2</v>
      </c>
      <c r="CK1611" s="2">
        <v>21</v>
      </c>
      <c r="CL1611" s="2" t="s">
        <v>86</v>
      </c>
      <c r="CM1611" s="2"/>
    </row>
    <row r="1612" spans="1:91">
      <c r="A1612" s="2" t="s">
        <v>71</v>
      </c>
      <c r="B1612" s="2" t="s">
        <v>72</v>
      </c>
      <c r="C1612" s="2" t="s">
        <v>73</v>
      </c>
      <c r="D1612" s="2"/>
      <c r="E1612" s="2" t="str">
        <f>"FES1162568922"</f>
        <v>FES1162568922</v>
      </c>
      <c r="F1612" s="3">
        <v>42962</v>
      </c>
      <c r="G1612" s="2">
        <v>201802</v>
      </c>
      <c r="H1612" s="2" t="s">
        <v>74</v>
      </c>
      <c r="I1612" s="2" t="s">
        <v>75</v>
      </c>
      <c r="J1612" s="2" t="s">
        <v>76</v>
      </c>
      <c r="K1612" s="2" t="s">
        <v>77</v>
      </c>
      <c r="L1612" s="2" t="s">
        <v>723</v>
      </c>
      <c r="M1612" s="2" t="s">
        <v>724</v>
      </c>
      <c r="N1612" s="2" t="s">
        <v>2306</v>
      </c>
      <c r="O1612" s="2" t="s">
        <v>100</v>
      </c>
      <c r="P1612" s="2" t="str">
        <f>"2170582909                    "</f>
        <v xml:space="preserve">2170582909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5.63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1</v>
      </c>
      <c r="BJ1612" s="2">
        <v>0.2</v>
      </c>
      <c r="BK1612" s="2">
        <v>1</v>
      </c>
      <c r="BL1612" s="2">
        <v>58.28</v>
      </c>
      <c r="BM1612" s="2">
        <v>8.16</v>
      </c>
      <c r="BN1612" s="2">
        <v>66.44</v>
      </c>
      <c r="BO1612" s="2">
        <v>66.44</v>
      </c>
      <c r="BP1612" s="2"/>
      <c r="BQ1612" s="2" t="s">
        <v>2307</v>
      </c>
      <c r="BR1612" s="2" t="s">
        <v>84</v>
      </c>
      <c r="BS1612" s="3">
        <v>42963</v>
      </c>
      <c r="BT1612" s="4">
        <v>0.31319444444444444</v>
      </c>
      <c r="BU1612" s="2" t="s">
        <v>2308</v>
      </c>
      <c r="BV1612" s="2" t="s">
        <v>95</v>
      </c>
      <c r="BW1612" s="2"/>
      <c r="BX1612" s="2"/>
      <c r="BY1612" s="2">
        <v>1200</v>
      </c>
      <c r="BZ1612" s="2" t="s">
        <v>27</v>
      </c>
      <c r="CA1612" s="2" t="s">
        <v>2309</v>
      </c>
      <c r="CB1612" s="2"/>
      <c r="CC1612" s="2" t="s">
        <v>724</v>
      </c>
      <c r="CD1612" s="2">
        <v>1754</v>
      </c>
      <c r="CE1612" s="2" t="s">
        <v>104</v>
      </c>
      <c r="CF1612" s="5">
        <v>42964</v>
      </c>
      <c r="CG1612" s="2"/>
      <c r="CH1612" s="2"/>
      <c r="CI1612" s="2">
        <v>1</v>
      </c>
      <c r="CJ1612" s="2">
        <v>1</v>
      </c>
      <c r="CK1612" s="2">
        <v>24</v>
      </c>
      <c r="CL1612" s="2" t="s">
        <v>86</v>
      </c>
      <c r="CM1612" s="2"/>
    </row>
    <row r="1613" spans="1:91">
      <c r="A1613" s="2" t="s">
        <v>71</v>
      </c>
      <c r="B1613" s="2" t="s">
        <v>72</v>
      </c>
      <c r="C1613" s="2" t="s">
        <v>73</v>
      </c>
      <c r="D1613" s="2"/>
      <c r="E1613" s="2" t="str">
        <f>"FES1162568925"</f>
        <v>FES1162568925</v>
      </c>
      <c r="F1613" s="3">
        <v>42962</v>
      </c>
      <c r="G1613" s="2">
        <v>201802</v>
      </c>
      <c r="H1613" s="2" t="s">
        <v>74</v>
      </c>
      <c r="I1613" s="2" t="s">
        <v>75</v>
      </c>
      <c r="J1613" s="2" t="s">
        <v>76</v>
      </c>
      <c r="K1613" s="2" t="s">
        <v>77</v>
      </c>
      <c r="L1613" s="2" t="s">
        <v>715</v>
      </c>
      <c r="M1613" s="2" t="s">
        <v>716</v>
      </c>
      <c r="N1613" s="2" t="s">
        <v>2310</v>
      </c>
      <c r="O1613" s="2" t="s">
        <v>100</v>
      </c>
      <c r="P1613" s="2" t="str">
        <f>"2170582939                    "</f>
        <v xml:space="preserve">2170582939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4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1</v>
      </c>
      <c r="BI1613" s="2">
        <v>2</v>
      </c>
      <c r="BJ1613" s="2">
        <v>0.2</v>
      </c>
      <c r="BK1613" s="2">
        <v>2</v>
      </c>
      <c r="BL1613" s="2">
        <v>41.44</v>
      </c>
      <c r="BM1613" s="2">
        <v>5.8</v>
      </c>
      <c r="BN1613" s="2">
        <v>47.24</v>
      </c>
      <c r="BO1613" s="2">
        <v>47.24</v>
      </c>
      <c r="BP1613" s="2"/>
      <c r="BQ1613" s="2" t="s">
        <v>83</v>
      </c>
      <c r="BR1613" s="2" t="s">
        <v>84</v>
      </c>
      <c r="BS1613" s="3">
        <v>42963</v>
      </c>
      <c r="BT1613" s="4">
        <v>0.46527777777777773</v>
      </c>
      <c r="BU1613" s="2" t="s">
        <v>2311</v>
      </c>
      <c r="BV1613" s="2" t="s">
        <v>95</v>
      </c>
      <c r="BW1613" s="2"/>
      <c r="BX1613" s="2"/>
      <c r="BY1613" s="2">
        <v>1200</v>
      </c>
      <c r="BZ1613" s="2" t="s">
        <v>27</v>
      </c>
      <c r="CA1613" s="2" t="s">
        <v>566</v>
      </c>
      <c r="CB1613" s="2"/>
      <c r="CC1613" s="2" t="s">
        <v>716</v>
      </c>
      <c r="CD1613" s="2">
        <v>3290</v>
      </c>
      <c r="CE1613" s="2" t="s">
        <v>104</v>
      </c>
      <c r="CF1613" s="5">
        <v>42965</v>
      </c>
      <c r="CG1613" s="2"/>
      <c r="CH1613" s="2"/>
      <c r="CI1613" s="2">
        <v>1</v>
      </c>
      <c r="CJ1613" s="2">
        <v>1</v>
      </c>
      <c r="CK1613" s="2">
        <v>21</v>
      </c>
      <c r="CL1613" s="2" t="s">
        <v>86</v>
      </c>
      <c r="CM1613" s="2"/>
    </row>
    <row r="1614" spans="1:91">
      <c r="A1614" s="2" t="s">
        <v>71</v>
      </c>
      <c r="B1614" s="2" t="s">
        <v>72</v>
      </c>
      <c r="C1614" s="2" t="s">
        <v>73</v>
      </c>
      <c r="D1614" s="2"/>
      <c r="E1614" s="2" t="str">
        <f>"FES1162568871"</f>
        <v>FES1162568871</v>
      </c>
      <c r="F1614" s="3">
        <v>42962</v>
      </c>
      <c r="G1614" s="2">
        <v>201802</v>
      </c>
      <c r="H1614" s="2" t="s">
        <v>74</v>
      </c>
      <c r="I1614" s="2" t="s">
        <v>75</v>
      </c>
      <c r="J1614" s="2" t="s">
        <v>76</v>
      </c>
      <c r="K1614" s="2" t="s">
        <v>77</v>
      </c>
      <c r="L1614" s="2" t="s">
        <v>149</v>
      </c>
      <c r="M1614" s="2" t="s">
        <v>150</v>
      </c>
      <c r="N1614" s="2" t="s">
        <v>696</v>
      </c>
      <c r="O1614" s="2" t="s">
        <v>100</v>
      </c>
      <c r="P1614" s="2" t="str">
        <f>"2170584927                    "</f>
        <v xml:space="preserve">2170584927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4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1</v>
      </c>
      <c r="BJ1614" s="2">
        <v>0.2</v>
      </c>
      <c r="BK1614" s="2">
        <v>1</v>
      </c>
      <c r="BL1614" s="2">
        <v>41.44</v>
      </c>
      <c r="BM1614" s="2">
        <v>5.8</v>
      </c>
      <c r="BN1614" s="2">
        <v>47.24</v>
      </c>
      <c r="BO1614" s="2">
        <v>47.24</v>
      </c>
      <c r="BP1614" s="2"/>
      <c r="BQ1614" s="2" t="s">
        <v>83</v>
      </c>
      <c r="BR1614" s="2" t="s">
        <v>84</v>
      </c>
      <c r="BS1614" s="3">
        <v>42963</v>
      </c>
      <c r="BT1614" s="4">
        <v>0.3430555555555555</v>
      </c>
      <c r="BU1614" s="2" t="s">
        <v>697</v>
      </c>
      <c r="BV1614" s="2" t="s">
        <v>95</v>
      </c>
      <c r="BW1614" s="2"/>
      <c r="BX1614" s="2"/>
      <c r="BY1614" s="2">
        <v>1200</v>
      </c>
      <c r="BZ1614" s="2" t="s">
        <v>27</v>
      </c>
      <c r="CA1614" s="2" t="s">
        <v>235</v>
      </c>
      <c r="CB1614" s="2"/>
      <c r="CC1614" s="2" t="s">
        <v>150</v>
      </c>
      <c r="CD1614" s="2">
        <v>4052</v>
      </c>
      <c r="CE1614" s="2" t="s">
        <v>104</v>
      </c>
      <c r="CF1614" s="5">
        <v>42964</v>
      </c>
      <c r="CG1614" s="2"/>
      <c r="CH1614" s="2"/>
      <c r="CI1614" s="2">
        <v>1</v>
      </c>
      <c r="CJ1614" s="2">
        <v>1</v>
      </c>
      <c r="CK1614" s="2">
        <v>21</v>
      </c>
      <c r="CL1614" s="2" t="s">
        <v>86</v>
      </c>
      <c r="CM1614" s="2"/>
    </row>
    <row r="1615" spans="1:91">
      <c r="A1615" s="2" t="s">
        <v>71</v>
      </c>
      <c r="B1615" s="2" t="s">
        <v>72</v>
      </c>
      <c r="C1615" s="2" t="s">
        <v>73</v>
      </c>
      <c r="D1615" s="2"/>
      <c r="E1615" s="2" t="str">
        <f>"FES1162568875"</f>
        <v>FES1162568875</v>
      </c>
      <c r="F1615" s="3">
        <v>42962</v>
      </c>
      <c r="G1615" s="2">
        <v>201802</v>
      </c>
      <c r="H1615" s="2" t="s">
        <v>74</v>
      </c>
      <c r="I1615" s="2" t="s">
        <v>75</v>
      </c>
      <c r="J1615" s="2" t="s">
        <v>76</v>
      </c>
      <c r="K1615" s="2" t="s">
        <v>77</v>
      </c>
      <c r="L1615" s="2" t="s">
        <v>437</v>
      </c>
      <c r="M1615" s="2" t="s">
        <v>438</v>
      </c>
      <c r="N1615" s="2" t="s">
        <v>749</v>
      </c>
      <c r="O1615" s="2" t="s">
        <v>100</v>
      </c>
      <c r="P1615" s="2" t="str">
        <f>"2170584934                    "</f>
        <v xml:space="preserve">2170584934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4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1</v>
      </c>
      <c r="BJ1615" s="2">
        <v>0.2</v>
      </c>
      <c r="BK1615" s="2">
        <v>1</v>
      </c>
      <c r="BL1615" s="2">
        <v>41.44</v>
      </c>
      <c r="BM1615" s="2">
        <v>5.8</v>
      </c>
      <c r="BN1615" s="2">
        <v>47.24</v>
      </c>
      <c r="BO1615" s="2">
        <v>47.24</v>
      </c>
      <c r="BP1615" s="2"/>
      <c r="BQ1615" s="2" t="s">
        <v>108</v>
      </c>
      <c r="BR1615" s="2" t="s">
        <v>84</v>
      </c>
      <c r="BS1615" s="3">
        <v>42963</v>
      </c>
      <c r="BT1615" s="4">
        <v>0.35416666666666669</v>
      </c>
      <c r="BU1615" s="2" t="s">
        <v>750</v>
      </c>
      <c r="BV1615" s="2" t="s">
        <v>95</v>
      </c>
      <c r="BW1615" s="2"/>
      <c r="BX1615" s="2"/>
      <c r="BY1615" s="2">
        <v>1200</v>
      </c>
      <c r="BZ1615" s="2" t="s">
        <v>27</v>
      </c>
      <c r="CA1615" s="2" t="s">
        <v>441</v>
      </c>
      <c r="CB1615" s="2"/>
      <c r="CC1615" s="2" t="s">
        <v>438</v>
      </c>
      <c r="CD1615" s="2">
        <v>6536</v>
      </c>
      <c r="CE1615" s="2" t="s">
        <v>104</v>
      </c>
      <c r="CF1615" s="5">
        <v>42964</v>
      </c>
      <c r="CG1615" s="2"/>
      <c r="CH1615" s="2"/>
      <c r="CI1615" s="2">
        <v>1</v>
      </c>
      <c r="CJ1615" s="2">
        <v>1</v>
      </c>
      <c r="CK1615" s="2">
        <v>21</v>
      </c>
      <c r="CL1615" s="2" t="s">
        <v>86</v>
      </c>
      <c r="CM1615" s="2"/>
    </row>
    <row r="1616" spans="1:91">
      <c r="A1616" s="2" t="s">
        <v>71</v>
      </c>
      <c r="B1616" s="2" t="s">
        <v>72</v>
      </c>
      <c r="C1616" s="2" t="s">
        <v>73</v>
      </c>
      <c r="D1616" s="2"/>
      <c r="E1616" s="2" t="str">
        <f>"FES1162568947"</f>
        <v>FES1162568947</v>
      </c>
      <c r="F1616" s="3">
        <v>42962</v>
      </c>
      <c r="G1616" s="2">
        <v>201802</v>
      </c>
      <c r="H1616" s="2" t="s">
        <v>74</v>
      </c>
      <c r="I1616" s="2" t="s">
        <v>75</v>
      </c>
      <c r="J1616" s="2" t="s">
        <v>76</v>
      </c>
      <c r="K1616" s="2" t="s">
        <v>77</v>
      </c>
      <c r="L1616" s="2" t="s">
        <v>105</v>
      </c>
      <c r="M1616" s="2" t="s">
        <v>106</v>
      </c>
      <c r="N1616" s="2" t="s">
        <v>2312</v>
      </c>
      <c r="O1616" s="2" t="s">
        <v>100</v>
      </c>
      <c r="P1616" s="2" t="str">
        <f>"2170584946                    "</f>
        <v xml:space="preserve">2170584946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4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1</v>
      </c>
      <c r="BJ1616" s="2">
        <v>0.2</v>
      </c>
      <c r="BK1616" s="2">
        <v>1</v>
      </c>
      <c r="BL1616" s="2">
        <v>41.44</v>
      </c>
      <c r="BM1616" s="2">
        <v>5.8</v>
      </c>
      <c r="BN1616" s="2">
        <v>47.24</v>
      </c>
      <c r="BO1616" s="2">
        <v>47.24</v>
      </c>
      <c r="BP1616" s="2"/>
      <c r="BQ1616" s="2" t="s">
        <v>83</v>
      </c>
      <c r="BR1616" s="2" t="s">
        <v>84</v>
      </c>
      <c r="BS1616" s="3">
        <v>42963</v>
      </c>
      <c r="BT1616" s="4">
        <v>0.33888888888888885</v>
      </c>
      <c r="BU1616" s="2" t="s">
        <v>1404</v>
      </c>
      <c r="BV1616" s="2" t="s">
        <v>95</v>
      </c>
      <c r="BW1616" s="2"/>
      <c r="BX1616" s="2"/>
      <c r="BY1616" s="2">
        <v>1200</v>
      </c>
      <c r="BZ1616" s="2" t="s">
        <v>27</v>
      </c>
      <c r="CA1616" s="2" t="s">
        <v>302</v>
      </c>
      <c r="CB1616" s="2"/>
      <c r="CC1616" s="2" t="s">
        <v>106</v>
      </c>
      <c r="CD1616" s="2">
        <v>7493</v>
      </c>
      <c r="CE1616" s="2" t="s">
        <v>104</v>
      </c>
      <c r="CF1616" s="5">
        <v>42964</v>
      </c>
      <c r="CG1616" s="2"/>
      <c r="CH1616" s="2"/>
      <c r="CI1616" s="2">
        <v>1</v>
      </c>
      <c r="CJ1616" s="2">
        <v>1</v>
      </c>
      <c r="CK1616" s="2">
        <v>21</v>
      </c>
      <c r="CL1616" s="2" t="s">
        <v>86</v>
      </c>
      <c r="CM1616" s="2"/>
    </row>
    <row r="1617" spans="1:91">
      <c r="A1617" s="2" t="s">
        <v>71</v>
      </c>
      <c r="B1617" s="2" t="s">
        <v>72</v>
      </c>
      <c r="C1617" s="2" t="s">
        <v>73</v>
      </c>
      <c r="D1617" s="2"/>
      <c r="E1617" s="2" t="str">
        <f>"FES1162568888"</f>
        <v>FES1162568888</v>
      </c>
      <c r="F1617" s="3">
        <v>42962</v>
      </c>
      <c r="G1617" s="2">
        <v>201802</v>
      </c>
      <c r="H1617" s="2" t="s">
        <v>74</v>
      </c>
      <c r="I1617" s="2" t="s">
        <v>75</v>
      </c>
      <c r="J1617" s="2" t="s">
        <v>76</v>
      </c>
      <c r="K1617" s="2" t="s">
        <v>77</v>
      </c>
      <c r="L1617" s="2" t="s">
        <v>97</v>
      </c>
      <c r="M1617" s="2" t="s">
        <v>98</v>
      </c>
      <c r="N1617" s="2" t="s">
        <v>248</v>
      </c>
      <c r="O1617" s="2" t="s">
        <v>100</v>
      </c>
      <c r="P1617" s="2" t="str">
        <f>"2170579562                    "</f>
        <v xml:space="preserve">2170579562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4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1</v>
      </c>
      <c r="BJ1617" s="2">
        <v>0.2</v>
      </c>
      <c r="BK1617" s="2">
        <v>1</v>
      </c>
      <c r="BL1617" s="2">
        <v>41.44</v>
      </c>
      <c r="BM1617" s="2">
        <v>5.8</v>
      </c>
      <c r="BN1617" s="2">
        <v>47.24</v>
      </c>
      <c r="BO1617" s="2">
        <v>47.24</v>
      </c>
      <c r="BP1617" s="2"/>
      <c r="BQ1617" s="2" t="s">
        <v>83</v>
      </c>
      <c r="BR1617" s="2" t="s">
        <v>84</v>
      </c>
      <c r="BS1617" s="3">
        <v>42963</v>
      </c>
      <c r="BT1617" s="4">
        <v>0.34375</v>
      </c>
      <c r="BU1617" s="2" t="s">
        <v>390</v>
      </c>
      <c r="BV1617" s="2" t="s">
        <v>95</v>
      </c>
      <c r="BW1617" s="2"/>
      <c r="BX1617" s="2"/>
      <c r="BY1617" s="2">
        <v>1200</v>
      </c>
      <c r="BZ1617" s="2" t="s">
        <v>27</v>
      </c>
      <c r="CA1617" s="2" t="s">
        <v>294</v>
      </c>
      <c r="CB1617" s="2"/>
      <c r="CC1617" s="2" t="s">
        <v>98</v>
      </c>
      <c r="CD1617" s="2">
        <v>6001</v>
      </c>
      <c r="CE1617" s="2" t="s">
        <v>104</v>
      </c>
      <c r="CF1617" s="5">
        <v>42964</v>
      </c>
      <c r="CG1617" s="2"/>
      <c r="CH1617" s="2"/>
      <c r="CI1617" s="2">
        <v>1</v>
      </c>
      <c r="CJ1617" s="2">
        <v>1</v>
      </c>
      <c r="CK1617" s="2">
        <v>21</v>
      </c>
      <c r="CL1617" s="2" t="s">
        <v>86</v>
      </c>
      <c r="CM1617" s="2"/>
    </row>
    <row r="1618" spans="1:91">
      <c r="A1618" s="2" t="s">
        <v>71</v>
      </c>
      <c r="B1618" s="2" t="s">
        <v>72</v>
      </c>
      <c r="C1618" s="2" t="s">
        <v>73</v>
      </c>
      <c r="D1618" s="2"/>
      <c r="E1618" s="2" t="str">
        <f>"FES1162569016"</f>
        <v>FES1162569016</v>
      </c>
      <c r="F1618" s="3">
        <v>42962</v>
      </c>
      <c r="G1618" s="2">
        <v>201802</v>
      </c>
      <c r="H1618" s="2" t="s">
        <v>74</v>
      </c>
      <c r="I1618" s="2" t="s">
        <v>75</v>
      </c>
      <c r="J1618" s="2" t="s">
        <v>76</v>
      </c>
      <c r="K1618" s="2" t="s">
        <v>77</v>
      </c>
      <c r="L1618" s="2" t="s">
        <v>105</v>
      </c>
      <c r="M1618" s="2" t="s">
        <v>106</v>
      </c>
      <c r="N1618" s="2" t="s">
        <v>397</v>
      </c>
      <c r="O1618" s="2" t="s">
        <v>100</v>
      </c>
      <c r="P1618" s="2" t="str">
        <f>"2170585006                    "</f>
        <v xml:space="preserve">2170585006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4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1.2</v>
      </c>
      <c r="BJ1618" s="2">
        <v>1.9</v>
      </c>
      <c r="BK1618" s="2">
        <v>2</v>
      </c>
      <c r="BL1618" s="2">
        <v>41.44</v>
      </c>
      <c r="BM1618" s="2">
        <v>5.8</v>
      </c>
      <c r="BN1618" s="2">
        <v>47.24</v>
      </c>
      <c r="BO1618" s="2">
        <v>47.24</v>
      </c>
      <c r="BP1618" s="2"/>
      <c r="BQ1618" s="2" t="s">
        <v>83</v>
      </c>
      <c r="BR1618" s="2" t="s">
        <v>84</v>
      </c>
      <c r="BS1618" s="3">
        <v>42963</v>
      </c>
      <c r="BT1618" s="4">
        <v>0.40069444444444446</v>
      </c>
      <c r="BU1618" s="2" t="s">
        <v>408</v>
      </c>
      <c r="BV1618" s="2" t="s">
        <v>95</v>
      </c>
      <c r="BW1618" s="2"/>
      <c r="BX1618" s="2"/>
      <c r="BY1618" s="2">
        <v>9506.39</v>
      </c>
      <c r="BZ1618" s="2" t="s">
        <v>27</v>
      </c>
      <c r="CA1618" s="2" t="s">
        <v>112</v>
      </c>
      <c r="CB1618" s="2"/>
      <c r="CC1618" s="2" t="s">
        <v>106</v>
      </c>
      <c r="CD1618" s="2">
        <v>7405</v>
      </c>
      <c r="CE1618" s="2" t="s">
        <v>89</v>
      </c>
      <c r="CF1618" s="5">
        <v>42964</v>
      </c>
      <c r="CG1618" s="2"/>
      <c r="CH1618" s="2"/>
      <c r="CI1618" s="2">
        <v>1</v>
      </c>
      <c r="CJ1618" s="2">
        <v>1</v>
      </c>
      <c r="CK1618" s="2">
        <v>21</v>
      </c>
      <c r="CL1618" s="2" t="s">
        <v>86</v>
      </c>
      <c r="CM1618" s="2"/>
    </row>
    <row r="1619" spans="1:91">
      <c r="A1619" s="2" t="s">
        <v>71</v>
      </c>
      <c r="B1619" s="2" t="s">
        <v>72</v>
      </c>
      <c r="C1619" s="2" t="s">
        <v>73</v>
      </c>
      <c r="D1619" s="2"/>
      <c r="E1619" s="2" t="str">
        <f>"FES1162568997"</f>
        <v>FES1162568997</v>
      </c>
      <c r="F1619" s="3">
        <v>42962</v>
      </c>
      <c r="G1619" s="2">
        <v>201802</v>
      </c>
      <c r="H1619" s="2" t="s">
        <v>74</v>
      </c>
      <c r="I1619" s="2" t="s">
        <v>75</v>
      </c>
      <c r="J1619" s="2" t="s">
        <v>76</v>
      </c>
      <c r="K1619" s="2" t="s">
        <v>77</v>
      </c>
      <c r="L1619" s="2" t="s">
        <v>137</v>
      </c>
      <c r="M1619" s="2" t="s">
        <v>138</v>
      </c>
      <c r="N1619" s="2" t="s">
        <v>139</v>
      </c>
      <c r="O1619" s="2" t="s">
        <v>100</v>
      </c>
      <c r="P1619" s="2" t="str">
        <f>"2170582125                    "</f>
        <v xml:space="preserve">2170582125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7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2.2000000000000002</v>
      </c>
      <c r="BJ1619" s="2">
        <v>3.3</v>
      </c>
      <c r="BK1619" s="2">
        <v>3.5</v>
      </c>
      <c r="BL1619" s="2">
        <v>72.52</v>
      </c>
      <c r="BM1619" s="2">
        <v>10.15</v>
      </c>
      <c r="BN1619" s="2">
        <v>82.67</v>
      </c>
      <c r="BO1619" s="2">
        <v>82.67</v>
      </c>
      <c r="BP1619" s="2"/>
      <c r="BQ1619" s="2" t="s">
        <v>83</v>
      </c>
      <c r="BR1619" s="2" t="s">
        <v>84</v>
      </c>
      <c r="BS1619" s="3">
        <v>42963</v>
      </c>
      <c r="BT1619" s="4">
        <v>0.4375</v>
      </c>
      <c r="BU1619" s="2" t="s">
        <v>85</v>
      </c>
      <c r="BV1619" s="2" t="s">
        <v>95</v>
      </c>
      <c r="BW1619" s="2"/>
      <c r="BX1619" s="2"/>
      <c r="BY1619" s="2">
        <v>16681.57</v>
      </c>
      <c r="BZ1619" s="2" t="s">
        <v>27</v>
      </c>
      <c r="CA1619" s="2"/>
      <c r="CB1619" s="2"/>
      <c r="CC1619" s="2" t="s">
        <v>138</v>
      </c>
      <c r="CD1619" s="2">
        <v>157</v>
      </c>
      <c r="CE1619" s="2" t="s">
        <v>89</v>
      </c>
      <c r="CF1619" s="5">
        <v>42964</v>
      </c>
      <c r="CG1619" s="2"/>
      <c r="CH1619" s="2"/>
      <c r="CI1619" s="2">
        <v>1</v>
      </c>
      <c r="CJ1619" s="2">
        <v>1</v>
      </c>
      <c r="CK1619" s="2">
        <v>21</v>
      </c>
      <c r="CL1619" s="2" t="s">
        <v>86</v>
      </c>
      <c r="CM1619" s="2"/>
    </row>
    <row r="1620" spans="1:91">
      <c r="A1620" s="2" t="s">
        <v>71</v>
      </c>
      <c r="B1620" s="2" t="s">
        <v>72</v>
      </c>
      <c r="C1620" s="2" t="s">
        <v>73</v>
      </c>
      <c r="D1620" s="2"/>
      <c r="E1620" s="2" t="str">
        <f>"FES1162568941"</f>
        <v>FES1162568941</v>
      </c>
      <c r="F1620" s="3">
        <v>42962</v>
      </c>
      <c r="G1620" s="2">
        <v>201802</v>
      </c>
      <c r="H1620" s="2" t="s">
        <v>74</v>
      </c>
      <c r="I1620" s="2" t="s">
        <v>75</v>
      </c>
      <c r="J1620" s="2" t="s">
        <v>76</v>
      </c>
      <c r="K1620" s="2" t="s">
        <v>77</v>
      </c>
      <c r="L1620" s="2" t="s">
        <v>268</v>
      </c>
      <c r="M1620" s="2" t="s">
        <v>269</v>
      </c>
      <c r="N1620" s="2" t="s">
        <v>351</v>
      </c>
      <c r="O1620" s="2" t="s">
        <v>100</v>
      </c>
      <c r="P1620" s="2" t="str">
        <f>"2170584953                    "</f>
        <v xml:space="preserve">2170584953 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6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3</v>
      </c>
      <c r="BJ1620" s="2">
        <v>1.7</v>
      </c>
      <c r="BK1620" s="2">
        <v>3</v>
      </c>
      <c r="BL1620" s="2">
        <v>62.16</v>
      </c>
      <c r="BM1620" s="2">
        <v>8.6999999999999993</v>
      </c>
      <c r="BN1620" s="2">
        <v>70.86</v>
      </c>
      <c r="BO1620" s="2">
        <v>70.86</v>
      </c>
      <c r="BP1620" s="2"/>
      <c r="BQ1620" s="2" t="s">
        <v>108</v>
      </c>
      <c r="BR1620" s="2" t="s">
        <v>84</v>
      </c>
      <c r="BS1620" s="3">
        <v>42963</v>
      </c>
      <c r="BT1620" s="4">
        <v>0.46875</v>
      </c>
      <c r="BU1620" s="2" t="s">
        <v>1136</v>
      </c>
      <c r="BV1620" s="2" t="s">
        <v>86</v>
      </c>
      <c r="BW1620" s="2"/>
      <c r="BX1620" s="2"/>
      <c r="BY1620" s="2">
        <v>8399.2900000000009</v>
      </c>
      <c r="BZ1620" s="2" t="s">
        <v>27</v>
      </c>
      <c r="CA1620" s="2" t="s">
        <v>272</v>
      </c>
      <c r="CB1620" s="2"/>
      <c r="CC1620" s="2" t="s">
        <v>269</v>
      </c>
      <c r="CD1620" s="2">
        <v>200</v>
      </c>
      <c r="CE1620" s="2" t="s">
        <v>89</v>
      </c>
      <c r="CF1620" s="5">
        <v>42964</v>
      </c>
      <c r="CG1620" s="2"/>
      <c r="CH1620" s="2"/>
      <c r="CI1620" s="2">
        <v>1</v>
      </c>
      <c r="CJ1620" s="2">
        <v>1</v>
      </c>
      <c r="CK1620" s="2">
        <v>21</v>
      </c>
      <c r="CL1620" s="2" t="s">
        <v>86</v>
      </c>
      <c r="CM1620" s="2"/>
    </row>
    <row r="1621" spans="1:91">
      <c r="A1621" s="2" t="s">
        <v>71</v>
      </c>
      <c r="B1621" s="2" t="s">
        <v>72</v>
      </c>
      <c r="C1621" s="2" t="s">
        <v>73</v>
      </c>
      <c r="D1621" s="2"/>
      <c r="E1621" s="2" t="str">
        <f>"FES1162568967"</f>
        <v>FES1162568967</v>
      </c>
      <c r="F1621" s="3">
        <v>42962</v>
      </c>
      <c r="G1621" s="2">
        <v>201802</v>
      </c>
      <c r="H1621" s="2" t="s">
        <v>74</v>
      </c>
      <c r="I1621" s="2" t="s">
        <v>75</v>
      </c>
      <c r="J1621" s="2" t="s">
        <v>76</v>
      </c>
      <c r="K1621" s="2" t="s">
        <v>77</v>
      </c>
      <c r="L1621" s="2" t="s">
        <v>97</v>
      </c>
      <c r="M1621" s="2" t="s">
        <v>98</v>
      </c>
      <c r="N1621" s="2" t="s">
        <v>397</v>
      </c>
      <c r="O1621" s="2" t="s">
        <v>100</v>
      </c>
      <c r="P1621" s="2" t="str">
        <f>"2170584972                    "</f>
        <v xml:space="preserve">2170584972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4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1</v>
      </c>
      <c r="BJ1621" s="2">
        <v>0.2</v>
      </c>
      <c r="BK1621" s="2">
        <v>1</v>
      </c>
      <c r="BL1621" s="2">
        <v>41.44</v>
      </c>
      <c r="BM1621" s="2">
        <v>5.8</v>
      </c>
      <c r="BN1621" s="2">
        <v>47.24</v>
      </c>
      <c r="BO1621" s="2">
        <v>47.24</v>
      </c>
      <c r="BP1621" s="2"/>
      <c r="BQ1621" s="2" t="s">
        <v>83</v>
      </c>
      <c r="BR1621" s="2" t="s">
        <v>84</v>
      </c>
      <c r="BS1621" s="3">
        <v>42963</v>
      </c>
      <c r="BT1621" s="4">
        <v>0.30555555555555552</v>
      </c>
      <c r="BU1621" s="2" t="s">
        <v>398</v>
      </c>
      <c r="BV1621" s="2" t="s">
        <v>95</v>
      </c>
      <c r="BW1621" s="2"/>
      <c r="BX1621" s="2"/>
      <c r="BY1621" s="2">
        <v>1200</v>
      </c>
      <c r="BZ1621" s="2" t="s">
        <v>27</v>
      </c>
      <c r="CA1621" s="2" t="s">
        <v>286</v>
      </c>
      <c r="CB1621" s="2"/>
      <c r="CC1621" s="2" t="s">
        <v>98</v>
      </c>
      <c r="CD1621" s="2">
        <v>6020</v>
      </c>
      <c r="CE1621" s="2" t="s">
        <v>104</v>
      </c>
      <c r="CF1621" s="5">
        <v>42964</v>
      </c>
      <c r="CG1621" s="2"/>
      <c r="CH1621" s="2"/>
      <c r="CI1621" s="2">
        <v>1</v>
      </c>
      <c r="CJ1621" s="2">
        <v>1</v>
      </c>
      <c r="CK1621" s="2">
        <v>21</v>
      </c>
      <c r="CL1621" s="2" t="s">
        <v>86</v>
      </c>
      <c r="CM1621" s="2"/>
    </row>
    <row r="1622" spans="1:91">
      <c r="A1622" s="2" t="s">
        <v>71</v>
      </c>
      <c r="B1622" s="2" t="s">
        <v>72</v>
      </c>
      <c r="C1622" s="2" t="s">
        <v>73</v>
      </c>
      <c r="D1622" s="2"/>
      <c r="E1622" s="2" t="str">
        <f>"FES1162568972"</f>
        <v>FES1162568972</v>
      </c>
      <c r="F1622" s="3">
        <v>42962</v>
      </c>
      <c r="G1622" s="2">
        <v>201802</v>
      </c>
      <c r="H1622" s="2" t="s">
        <v>74</v>
      </c>
      <c r="I1622" s="2" t="s">
        <v>75</v>
      </c>
      <c r="J1622" s="2" t="s">
        <v>76</v>
      </c>
      <c r="K1622" s="2" t="s">
        <v>77</v>
      </c>
      <c r="L1622" s="2" t="s">
        <v>362</v>
      </c>
      <c r="M1622" s="2" t="s">
        <v>363</v>
      </c>
      <c r="N1622" s="2" t="s">
        <v>936</v>
      </c>
      <c r="O1622" s="2" t="s">
        <v>100</v>
      </c>
      <c r="P1622" s="2" t="str">
        <f>"2170584980                    "</f>
        <v xml:space="preserve">2170584980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4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1</v>
      </c>
      <c r="BJ1622" s="2">
        <v>0.2</v>
      </c>
      <c r="BK1622" s="2">
        <v>1</v>
      </c>
      <c r="BL1622" s="2">
        <v>41.44</v>
      </c>
      <c r="BM1622" s="2">
        <v>5.8</v>
      </c>
      <c r="BN1622" s="2">
        <v>47.24</v>
      </c>
      <c r="BO1622" s="2">
        <v>47.24</v>
      </c>
      <c r="BP1622" s="2"/>
      <c r="BQ1622" s="2" t="s">
        <v>1499</v>
      </c>
      <c r="BR1622" s="2" t="s">
        <v>84</v>
      </c>
      <c r="BS1622" s="3">
        <v>42963</v>
      </c>
      <c r="BT1622" s="4">
        <v>0.36805555555555558</v>
      </c>
      <c r="BU1622" s="2" t="s">
        <v>1755</v>
      </c>
      <c r="BV1622" s="2" t="s">
        <v>95</v>
      </c>
      <c r="BW1622" s="2"/>
      <c r="BX1622" s="2"/>
      <c r="BY1622" s="2">
        <v>1200</v>
      </c>
      <c r="BZ1622" s="2" t="s">
        <v>27</v>
      </c>
      <c r="CA1622" s="2" t="s">
        <v>379</v>
      </c>
      <c r="CB1622" s="2"/>
      <c r="CC1622" s="2" t="s">
        <v>363</v>
      </c>
      <c r="CD1622" s="2">
        <v>3200</v>
      </c>
      <c r="CE1622" s="2" t="s">
        <v>104</v>
      </c>
      <c r="CF1622" s="5">
        <v>42964</v>
      </c>
      <c r="CG1622" s="2"/>
      <c r="CH1622" s="2"/>
      <c r="CI1622" s="2">
        <v>1</v>
      </c>
      <c r="CJ1622" s="2">
        <v>1</v>
      </c>
      <c r="CK1622" s="2">
        <v>21</v>
      </c>
      <c r="CL1622" s="2" t="s">
        <v>86</v>
      </c>
      <c r="CM1622" s="2"/>
    </row>
    <row r="1623" spans="1:91">
      <c r="A1623" s="2" t="s">
        <v>71</v>
      </c>
      <c r="B1623" s="2" t="s">
        <v>72</v>
      </c>
      <c r="C1623" s="2" t="s">
        <v>73</v>
      </c>
      <c r="D1623" s="2"/>
      <c r="E1623" s="2" t="str">
        <f>"FES1162568896"</f>
        <v>FES1162568896</v>
      </c>
      <c r="F1623" s="3">
        <v>42962</v>
      </c>
      <c r="G1623" s="2">
        <v>201802</v>
      </c>
      <c r="H1623" s="2" t="s">
        <v>74</v>
      </c>
      <c r="I1623" s="2" t="s">
        <v>75</v>
      </c>
      <c r="J1623" s="2" t="s">
        <v>76</v>
      </c>
      <c r="K1623" s="2" t="s">
        <v>77</v>
      </c>
      <c r="L1623" s="2" t="s">
        <v>362</v>
      </c>
      <c r="M1623" s="2" t="s">
        <v>363</v>
      </c>
      <c r="N1623" s="2" t="s">
        <v>364</v>
      </c>
      <c r="O1623" s="2" t="s">
        <v>100</v>
      </c>
      <c r="P1623" s="2" t="str">
        <f>"2170581396                    "</f>
        <v xml:space="preserve">2170581396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4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1</v>
      </c>
      <c r="BJ1623" s="2">
        <v>0.2</v>
      </c>
      <c r="BK1623" s="2">
        <v>1</v>
      </c>
      <c r="BL1623" s="2">
        <v>41.44</v>
      </c>
      <c r="BM1623" s="2">
        <v>5.8</v>
      </c>
      <c r="BN1623" s="2">
        <v>47.24</v>
      </c>
      <c r="BO1623" s="2">
        <v>47.24</v>
      </c>
      <c r="BP1623" s="2"/>
      <c r="BQ1623" s="2" t="s">
        <v>365</v>
      </c>
      <c r="BR1623" s="2" t="s">
        <v>84</v>
      </c>
      <c r="BS1623" s="3">
        <v>42963</v>
      </c>
      <c r="BT1623" s="4">
        <v>0.38125000000000003</v>
      </c>
      <c r="BU1623" s="2" t="s">
        <v>366</v>
      </c>
      <c r="BV1623" s="2" t="s">
        <v>95</v>
      </c>
      <c r="BW1623" s="2"/>
      <c r="BX1623" s="2"/>
      <c r="BY1623" s="2">
        <v>1200</v>
      </c>
      <c r="BZ1623" s="2" t="s">
        <v>27</v>
      </c>
      <c r="CA1623" s="2"/>
      <c r="CB1623" s="2"/>
      <c r="CC1623" s="2" t="s">
        <v>363</v>
      </c>
      <c r="CD1623" s="2">
        <v>3201</v>
      </c>
      <c r="CE1623" s="2" t="s">
        <v>104</v>
      </c>
      <c r="CF1623" s="5">
        <v>42964</v>
      </c>
      <c r="CG1623" s="2"/>
      <c r="CH1623" s="2"/>
      <c r="CI1623" s="2">
        <v>1</v>
      </c>
      <c r="CJ1623" s="2">
        <v>1</v>
      </c>
      <c r="CK1623" s="2">
        <v>21</v>
      </c>
      <c r="CL1623" s="2" t="s">
        <v>86</v>
      </c>
      <c r="CM1623" s="2"/>
    </row>
    <row r="1624" spans="1:91">
      <c r="A1624" s="2" t="s">
        <v>71</v>
      </c>
      <c r="B1624" s="2" t="s">
        <v>72</v>
      </c>
      <c r="C1624" s="2" t="s">
        <v>73</v>
      </c>
      <c r="D1624" s="2"/>
      <c r="E1624" s="2" t="str">
        <f>"FES1162568864"</f>
        <v>FES1162568864</v>
      </c>
      <c r="F1624" s="3">
        <v>42962</v>
      </c>
      <c r="G1624" s="2">
        <v>201802</v>
      </c>
      <c r="H1624" s="2" t="s">
        <v>74</v>
      </c>
      <c r="I1624" s="2" t="s">
        <v>75</v>
      </c>
      <c r="J1624" s="2" t="s">
        <v>76</v>
      </c>
      <c r="K1624" s="2" t="s">
        <v>77</v>
      </c>
      <c r="L1624" s="2" t="s">
        <v>362</v>
      </c>
      <c r="M1624" s="2" t="s">
        <v>363</v>
      </c>
      <c r="N1624" s="2" t="s">
        <v>1168</v>
      </c>
      <c r="O1624" s="2" t="s">
        <v>100</v>
      </c>
      <c r="P1624" s="2" t="str">
        <f>"2170584915                    "</f>
        <v xml:space="preserve">2170584915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4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1</v>
      </c>
      <c r="BJ1624" s="2">
        <v>0.2</v>
      </c>
      <c r="BK1624" s="2">
        <v>1</v>
      </c>
      <c r="BL1624" s="2">
        <v>41.44</v>
      </c>
      <c r="BM1624" s="2">
        <v>5.8</v>
      </c>
      <c r="BN1624" s="2">
        <v>47.24</v>
      </c>
      <c r="BO1624" s="2">
        <v>47.24</v>
      </c>
      <c r="BP1624" s="2"/>
      <c r="BQ1624" s="2" t="s">
        <v>83</v>
      </c>
      <c r="BR1624" s="2" t="s">
        <v>84</v>
      </c>
      <c r="BS1624" s="3">
        <v>42963</v>
      </c>
      <c r="BT1624" s="4">
        <v>0.35069444444444442</v>
      </c>
      <c r="BU1624" s="2" t="s">
        <v>2313</v>
      </c>
      <c r="BV1624" s="2" t="s">
        <v>95</v>
      </c>
      <c r="BW1624" s="2"/>
      <c r="BX1624" s="2"/>
      <c r="BY1624" s="2">
        <v>1200</v>
      </c>
      <c r="BZ1624" s="2" t="s">
        <v>27</v>
      </c>
      <c r="CA1624" s="2" t="s">
        <v>1170</v>
      </c>
      <c r="CB1624" s="2"/>
      <c r="CC1624" s="2" t="s">
        <v>363</v>
      </c>
      <c r="CD1624" s="2">
        <v>3201</v>
      </c>
      <c r="CE1624" s="2" t="s">
        <v>104</v>
      </c>
      <c r="CF1624" s="5">
        <v>42964</v>
      </c>
      <c r="CG1624" s="2"/>
      <c r="CH1624" s="2"/>
      <c r="CI1624" s="2">
        <v>1</v>
      </c>
      <c r="CJ1624" s="2">
        <v>1</v>
      </c>
      <c r="CK1624" s="2">
        <v>21</v>
      </c>
      <c r="CL1624" s="2" t="s">
        <v>86</v>
      </c>
      <c r="CM1624" s="2"/>
    </row>
    <row r="1625" spans="1:91">
      <c r="A1625" s="2" t="s">
        <v>71</v>
      </c>
      <c r="B1625" s="2" t="s">
        <v>72</v>
      </c>
      <c r="C1625" s="2" t="s">
        <v>73</v>
      </c>
      <c r="D1625" s="2"/>
      <c r="E1625" s="2" t="str">
        <f>"FES1162560840"</f>
        <v>FES1162560840</v>
      </c>
      <c r="F1625" s="3">
        <v>42962</v>
      </c>
      <c r="G1625" s="2">
        <v>201802</v>
      </c>
      <c r="H1625" s="2" t="s">
        <v>74</v>
      </c>
      <c r="I1625" s="2" t="s">
        <v>75</v>
      </c>
      <c r="J1625" s="2" t="s">
        <v>76</v>
      </c>
      <c r="K1625" s="2" t="s">
        <v>77</v>
      </c>
      <c r="L1625" s="2" t="s">
        <v>2227</v>
      </c>
      <c r="M1625" s="2" t="s">
        <v>2228</v>
      </c>
      <c r="N1625" s="2" t="s">
        <v>2314</v>
      </c>
      <c r="O1625" s="2" t="s">
        <v>100</v>
      </c>
      <c r="P1625" s="2" t="str">
        <f>"2170577613                    "</f>
        <v xml:space="preserve">2170577613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7.75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1</v>
      </c>
      <c r="BJ1625" s="2">
        <v>0.2</v>
      </c>
      <c r="BK1625" s="2">
        <v>1</v>
      </c>
      <c r="BL1625" s="2">
        <v>80.290000000000006</v>
      </c>
      <c r="BM1625" s="2">
        <v>11.24</v>
      </c>
      <c r="BN1625" s="2">
        <v>91.53</v>
      </c>
      <c r="BO1625" s="2">
        <v>91.53</v>
      </c>
      <c r="BP1625" s="2"/>
      <c r="BQ1625" s="2" t="s">
        <v>83</v>
      </c>
      <c r="BR1625" s="2" t="s">
        <v>84</v>
      </c>
      <c r="BS1625" s="3">
        <v>42963</v>
      </c>
      <c r="BT1625" s="4">
        <v>0.52847222222222223</v>
      </c>
      <c r="BU1625" s="2" t="s">
        <v>2315</v>
      </c>
      <c r="BV1625" s="2" t="s">
        <v>95</v>
      </c>
      <c r="BW1625" s="2"/>
      <c r="BX1625" s="2"/>
      <c r="BY1625" s="2">
        <v>1200</v>
      </c>
      <c r="BZ1625" s="2" t="s">
        <v>27</v>
      </c>
      <c r="CA1625" s="2" t="s">
        <v>2231</v>
      </c>
      <c r="CB1625" s="2"/>
      <c r="CC1625" s="2" t="s">
        <v>2228</v>
      </c>
      <c r="CD1625" s="2">
        <v>4170</v>
      </c>
      <c r="CE1625" s="2" t="s">
        <v>104</v>
      </c>
      <c r="CF1625" s="5">
        <v>42964</v>
      </c>
      <c r="CG1625" s="2"/>
      <c r="CH1625" s="2"/>
      <c r="CI1625" s="2">
        <v>1</v>
      </c>
      <c r="CJ1625" s="2">
        <v>1</v>
      </c>
      <c r="CK1625" s="2">
        <v>23</v>
      </c>
      <c r="CL1625" s="2" t="s">
        <v>86</v>
      </c>
      <c r="CM1625" s="2"/>
    </row>
    <row r="1626" spans="1:91">
      <c r="A1626" s="2" t="s">
        <v>71</v>
      </c>
      <c r="B1626" s="2" t="s">
        <v>72</v>
      </c>
      <c r="C1626" s="2" t="s">
        <v>73</v>
      </c>
      <c r="D1626" s="2"/>
      <c r="E1626" s="2" t="str">
        <f>"FES1162565605"</f>
        <v>FES1162565605</v>
      </c>
      <c r="F1626" s="3">
        <v>42962</v>
      </c>
      <c r="G1626" s="2">
        <v>201802</v>
      </c>
      <c r="H1626" s="2" t="s">
        <v>74</v>
      </c>
      <c r="I1626" s="2" t="s">
        <v>75</v>
      </c>
      <c r="J1626" s="2" t="s">
        <v>76</v>
      </c>
      <c r="K1626" s="2" t="s">
        <v>77</v>
      </c>
      <c r="L1626" s="2" t="s">
        <v>74</v>
      </c>
      <c r="M1626" s="2" t="s">
        <v>75</v>
      </c>
      <c r="N1626" s="2" t="s">
        <v>2316</v>
      </c>
      <c r="O1626" s="2" t="s">
        <v>100</v>
      </c>
      <c r="P1626" s="2" t="str">
        <f>"2170582179                    "</f>
        <v xml:space="preserve">2170582179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3.13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1</v>
      </c>
      <c r="BJ1626" s="2">
        <v>0.2</v>
      </c>
      <c r="BK1626" s="2">
        <v>1</v>
      </c>
      <c r="BL1626" s="2">
        <v>32.380000000000003</v>
      </c>
      <c r="BM1626" s="2">
        <v>4.53</v>
      </c>
      <c r="BN1626" s="2">
        <v>36.909999999999997</v>
      </c>
      <c r="BO1626" s="2">
        <v>36.909999999999997</v>
      </c>
      <c r="BP1626" s="2"/>
      <c r="BQ1626" s="2" t="s">
        <v>2317</v>
      </c>
      <c r="BR1626" s="2" t="s">
        <v>84</v>
      </c>
      <c r="BS1626" s="3">
        <v>42963</v>
      </c>
      <c r="BT1626" s="4">
        <v>0.34513888888888888</v>
      </c>
      <c r="BU1626" s="2" t="s">
        <v>2318</v>
      </c>
      <c r="BV1626" s="2" t="s">
        <v>95</v>
      </c>
      <c r="BW1626" s="2"/>
      <c r="BX1626" s="2"/>
      <c r="BY1626" s="2">
        <v>1200</v>
      </c>
      <c r="BZ1626" s="2" t="s">
        <v>27</v>
      </c>
      <c r="CA1626" s="2" t="s">
        <v>1289</v>
      </c>
      <c r="CB1626" s="2"/>
      <c r="CC1626" s="2" t="s">
        <v>75</v>
      </c>
      <c r="CD1626" s="2">
        <v>1620</v>
      </c>
      <c r="CE1626" s="2" t="s">
        <v>104</v>
      </c>
      <c r="CF1626" s="5">
        <v>42964</v>
      </c>
      <c r="CG1626" s="2"/>
      <c r="CH1626" s="2"/>
      <c r="CI1626" s="2">
        <v>1</v>
      </c>
      <c r="CJ1626" s="2">
        <v>1</v>
      </c>
      <c r="CK1626" s="2">
        <v>22</v>
      </c>
      <c r="CL1626" s="2" t="s">
        <v>86</v>
      </c>
      <c r="CM1626" s="2"/>
    </row>
    <row r="1627" spans="1:91">
      <c r="A1627" s="2" t="s">
        <v>71</v>
      </c>
      <c r="B1627" s="2" t="s">
        <v>72</v>
      </c>
      <c r="C1627" s="2" t="s">
        <v>73</v>
      </c>
      <c r="D1627" s="2"/>
      <c r="E1627" s="2" t="str">
        <f>"FES1162567824"</f>
        <v>FES1162567824</v>
      </c>
      <c r="F1627" s="3">
        <v>42962</v>
      </c>
      <c r="G1627" s="2">
        <v>201802</v>
      </c>
      <c r="H1627" s="2" t="s">
        <v>74</v>
      </c>
      <c r="I1627" s="2" t="s">
        <v>75</v>
      </c>
      <c r="J1627" s="2" t="s">
        <v>76</v>
      </c>
      <c r="K1627" s="2" t="s">
        <v>77</v>
      </c>
      <c r="L1627" s="2" t="s">
        <v>144</v>
      </c>
      <c r="M1627" s="2" t="s">
        <v>145</v>
      </c>
      <c r="N1627" s="2" t="s">
        <v>2319</v>
      </c>
      <c r="O1627" s="2" t="s">
        <v>100</v>
      </c>
      <c r="P1627" s="2" t="str">
        <f>"2170583985                    "</f>
        <v xml:space="preserve">2170583985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3.13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1</v>
      </c>
      <c r="BJ1627" s="2">
        <v>0.2</v>
      </c>
      <c r="BK1627" s="2">
        <v>1</v>
      </c>
      <c r="BL1627" s="2">
        <v>32.380000000000003</v>
      </c>
      <c r="BM1627" s="2">
        <v>4.53</v>
      </c>
      <c r="BN1627" s="2">
        <v>36.909999999999997</v>
      </c>
      <c r="BO1627" s="2">
        <v>36.909999999999997</v>
      </c>
      <c r="BP1627" s="2"/>
      <c r="BQ1627" s="2" t="s">
        <v>83</v>
      </c>
      <c r="BR1627" s="2" t="s">
        <v>84</v>
      </c>
      <c r="BS1627" s="3">
        <v>42963</v>
      </c>
      <c r="BT1627" s="4">
        <v>0.46180555555555558</v>
      </c>
      <c r="BU1627" s="2" t="s">
        <v>2320</v>
      </c>
      <c r="BV1627" s="2" t="s">
        <v>86</v>
      </c>
      <c r="BW1627" s="2" t="s">
        <v>110</v>
      </c>
      <c r="BX1627" s="2" t="s">
        <v>1150</v>
      </c>
      <c r="BY1627" s="2">
        <v>1200</v>
      </c>
      <c r="BZ1627" s="2" t="s">
        <v>27</v>
      </c>
      <c r="CA1627" s="2" t="s">
        <v>1714</v>
      </c>
      <c r="CB1627" s="2"/>
      <c r="CC1627" s="2" t="s">
        <v>145</v>
      </c>
      <c r="CD1627" s="2">
        <v>2090</v>
      </c>
      <c r="CE1627" s="2" t="s">
        <v>104</v>
      </c>
      <c r="CF1627" s="5">
        <v>42964</v>
      </c>
      <c r="CG1627" s="2"/>
      <c r="CH1627" s="2"/>
      <c r="CI1627" s="2">
        <v>1</v>
      </c>
      <c r="CJ1627" s="2">
        <v>1</v>
      </c>
      <c r="CK1627" s="2">
        <v>22</v>
      </c>
      <c r="CL1627" s="2" t="s">
        <v>86</v>
      </c>
      <c r="CM1627" s="2"/>
    </row>
    <row r="1628" spans="1:91">
      <c r="A1628" s="2" t="s">
        <v>71</v>
      </c>
      <c r="B1628" s="2" t="s">
        <v>72</v>
      </c>
      <c r="C1628" s="2" t="s">
        <v>73</v>
      </c>
      <c r="D1628" s="2"/>
      <c r="E1628" s="2" t="str">
        <f>"FES1162566980"</f>
        <v>FES1162566980</v>
      </c>
      <c r="F1628" s="3">
        <v>42962</v>
      </c>
      <c r="G1628" s="2">
        <v>201802</v>
      </c>
      <c r="H1628" s="2" t="s">
        <v>74</v>
      </c>
      <c r="I1628" s="2" t="s">
        <v>75</v>
      </c>
      <c r="J1628" s="2" t="s">
        <v>76</v>
      </c>
      <c r="K1628" s="2" t="s">
        <v>77</v>
      </c>
      <c r="L1628" s="2" t="s">
        <v>144</v>
      </c>
      <c r="M1628" s="2" t="s">
        <v>145</v>
      </c>
      <c r="N1628" s="2" t="s">
        <v>1711</v>
      </c>
      <c r="O1628" s="2" t="s">
        <v>100</v>
      </c>
      <c r="P1628" s="2" t="str">
        <f>"2170583235                    "</f>
        <v xml:space="preserve">2170583235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3.13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1</v>
      </c>
      <c r="BJ1628" s="2">
        <v>0.2</v>
      </c>
      <c r="BK1628" s="2">
        <v>1</v>
      </c>
      <c r="BL1628" s="2">
        <v>32.380000000000003</v>
      </c>
      <c r="BM1628" s="2">
        <v>4.53</v>
      </c>
      <c r="BN1628" s="2">
        <v>36.909999999999997</v>
      </c>
      <c r="BO1628" s="2">
        <v>36.909999999999997</v>
      </c>
      <c r="BP1628" s="2"/>
      <c r="BQ1628" s="2" t="s">
        <v>83</v>
      </c>
      <c r="BR1628" s="2" t="s">
        <v>84</v>
      </c>
      <c r="BS1628" s="3">
        <v>42963</v>
      </c>
      <c r="BT1628" s="4">
        <v>0.3923611111111111</v>
      </c>
      <c r="BU1628" s="2" t="s">
        <v>2321</v>
      </c>
      <c r="BV1628" s="2" t="s">
        <v>95</v>
      </c>
      <c r="BW1628" s="2"/>
      <c r="BX1628" s="2"/>
      <c r="BY1628" s="2">
        <v>1200</v>
      </c>
      <c r="BZ1628" s="2" t="s">
        <v>27</v>
      </c>
      <c r="CA1628" s="2" t="s">
        <v>396</v>
      </c>
      <c r="CB1628" s="2"/>
      <c r="CC1628" s="2" t="s">
        <v>145</v>
      </c>
      <c r="CD1628" s="2">
        <v>2091</v>
      </c>
      <c r="CE1628" s="2" t="s">
        <v>104</v>
      </c>
      <c r="CF1628" s="5">
        <v>42964</v>
      </c>
      <c r="CG1628" s="2"/>
      <c r="CH1628" s="2"/>
      <c r="CI1628" s="2">
        <v>1</v>
      </c>
      <c r="CJ1628" s="2">
        <v>1</v>
      </c>
      <c r="CK1628" s="2">
        <v>22</v>
      </c>
      <c r="CL1628" s="2" t="s">
        <v>86</v>
      </c>
      <c r="CM1628" s="2"/>
    </row>
    <row r="1629" spans="1:91">
      <c r="A1629" s="2" t="s">
        <v>71</v>
      </c>
      <c r="B1629" s="2" t="s">
        <v>72</v>
      </c>
      <c r="C1629" s="2" t="s">
        <v>73</v>
      </c>
      <c r="D1629" s="2"/>
      <c r="E1629" s="2" t="str">
        <f>"FES1162568814"</f>
        <v>FES1162568814</v>
      </c>
      <c r="F1629" s="3">
        <v>42962</v>
      </c>
      <c r="G1629" s="2">
        <v>201802</v>
      </c>
      <c r="H1629" s="2" t="s">
        <v>74</v>
      </c>
      <c r="I1629" s="2" t="s">
        <v>75</v>
      </c>
      <c r="J1629" s="2" t="s">
        <v>76</v>
      </c>
      <c r="K1629" s="2" t="s">
        <v>77</v>
      </c>
      <c r="L1629" s="2" t="s">
        <v>97</v>
      </c>
      <c r="M1629" s="2" t="s">
        <v>98</v>
      </c>
      <c r="N1629" s="2" t="s">
        <v>229</v>
      </c>
      <c r="O1629" s="2" t="s">
        <v>100</v>
      </c>
      <c r="P1629" s="2" t="str">
        <f>"2170584888                    "</f>
        <v xml:space="preserve">2170584888 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8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2.2000000000000002</v>
      </c>
      <c r="BJ1629" s="2">
        <v>3.7</v>
      </c>
      <c r="BK1629" s="2">
        <v>4</v>
      </c>
      <c r="BL1629" s="2">
        <v>82.88</v>
      </c>
      <c r="BM1629" s="2">
        <v>11.6</v>
      </c>
      <c r="BN1629" s="2">
        <v>94.48</v>
      </c>
      <c r="BO1629" s="2">
        <v>94.48</v>
      </c>
      <c r="BP1629" s="2"/>
      <c r="BQ1629" s="2" t="s">
        <v>83</v>
      </c>
      <c r="BR1629" s="2" t="s">
        <v>84</v>
      </c>
      <c r="BS1629" s="3">
        <v>42963</v>
      </c>
      <c r="BT1629" s="4">
        <v>0.41111111111111115</v>
      </c>
      <c r="BU1629" s="2" t="s">
        <v>560</v>
      </c>
      <c r="BV1629" s="2" t="s">
        <v>95</v>
      </c>
      <c r="BW1629" s="2"/>
      <c r="BX1629" s="2"/>
      <c r="BY1629" s="2">
        <v>18602.7</v>
      </c>
      <c r="BZ1629" s="2" t="s">
        <v>27</v>
      </c>
      <c r="CA1629" s="2" t="s">
        <v>103</v>
      </c>
      <c r="CB1629" s="2"/>
      <c r="CC1629" s="2" t="s">
        <v>98</v>
      </c>
      <c r="CD1629" s="2">
        <v>6001</v>
      </c>
      <c r="CE1629" s="2" t="s">
        <v>89</v>
      </c>
      <c r="CF1629" s="5">
        <v>42964</v>
      </c>
      <c r="CG1629" s="2"/>
      <c r="CH1629" s="2"/>
      <c r="CI1629" s="2">
        <v>1</v>
      </c>
      <c r="CJ1629" s="2">
        <v>1</v>
      </c>
      <c r="CK1629" s="2">
        <v>21</v>
      </c>
      <c r="CL1629" s="2" t="s">
        <v>86</v>
      </c>
      <c r="CM1629" s="2"/>
    </row>
    <row r="1630" spans="1:91">
      <c r="A1630" s="2" t="s">
        <v>71</v>
      </c>
      <c r="B1630" s="2" t="s">
        <v>72</v>
      </c>
      <c r="C1630" s="2" t="s">
        <v>73</v>
      </c>
      <c r="D1630" s="2"/>
      <c r="E1630" s="2" t="str">
        <f>"FES1162568825"</f>
        <v>FES1162568825</v>
      </c>
      <c r="F1630" s="3">
        <v>42962</v>
      </c>
      <c r="G1630" s="2">
        <v>201802</v>
      </c>
      <c r="H1630" s="2" t="s">
        <v>74</v>
      </c>
      <c r="I1630" s="2" t="s">
        <v>75</v>
      </c>
      <c r="J1630" s="2" t="s">
        <v>76</v>
      </c>
      <c r="K1630" s="2" t="s">
        <v>77</v>
      </c>
      <c r="L1630" s="2" t="s">
        <v>170</v>
      </c>
      <c r="M1630" s="2" t="s">
        <v>171</v>
      </c>
      <c r="N1630" s="2" t="s">
        <v>2322</v>
      </c>
      <c r="O1630" s="2" t="s">
        <v>100</v>
      </c>
      <c r="P1630" s="2" t="str">
        <f>"2170580014                    "</f>
        <v xml:space="preserve">2170580014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3.13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1.8</v>
      </c>
      <c r="BJ1630" s="2">
        <v>1.7</v>
      </c>
      <c r="BK1630" s="2">
        <v>2</v>
      </c>
      <c r="BL1630" s="2">
        <v>32.380000000000003</v>
      </c>
      <c r="BM1630" s="2">
        <v>4.53</v>
      </c>
      <c r="BN1630" s="2">
        <v>36.909999999999997</v>
      </c>
      <c r="BO1630" s="2">
        <v>36.909999999999997</v>
      </c>
      <c r="BP1630" s="2"/>
      <c r="BQ1630" s="2" t="s">
        <v>108</v>
      </c>
      <c r="BR1630" s="2" t="s">
        <v>84</v>
      </c>
      <c r="BS1630" s="3">
        <v>42963</v>
      </c>
      <c r="BT1630" s="4">
        <v>0.41666666666666669</v>
      </c>
      <c r="BU1630" s="2" t="s">
        <v>2323</v>
      </c>
      <c r="BV1630" s="2" t="s">
        <v>95</v>
      </c>
      <c r="BW1630" s="2"/>
      <c r="BX1630" s="2"/>
      <c r="BY1630" s="2">
        <v>8721</v>
      </c>
      <c r="BZ1630" s="2" t="s">
        <v>27</v>
      </c>
      <c r="CA1630" s="2" t="s">
        <v>492</v>
      </c>
      <c r="CB1630" s="2"/>
      <c r="CC1630" s="2" t="s">
        <v>171</v>
      </c>
      <c r="CD1630" s="2">
        <v>1428</v>
      </c>
      <c r="CE1630" s="2" t="s">
        <v>89</v>
      </c>
      <c r="CF1630" s="5">
        <v>42964</v>
      </c>
      <c r="CG1630" s="2"/>
      <c r="CH1630" s="2"/>
      <c r="CI1630" s="2">
        <v>1</v>
      </c>
      <c r="CJ1630" s="2">
        <v>1</v>
      </c>
      <c r="CK1630" s="2">
        <v>22</v>
      </c>
      <c r="CL1630" s="2" t="s">
        <v>86</v>
      </c>
      <c r="CM1630" s="2"/>
    </row>
    <row r="1631" spans="1:91">
      <c r="A1631" s="2" t="s">
        <v>71</v>
      </c>
      <c r="B1631" s="2" t="s">
        <v>72</v>
      </c>
      <c r="C1631" s="2" t="s">
        <v>73</v>
      </c>
      <c r="D1631" s="2"/>
      <c r="E1631" s="2" t="str">
        <f>"FES1162568816"</f>
        <v>FES1162568816</v>
      </c>
      <c r="F1631" s="3">
        <v>42962</v>
      </c>
      <c r="G1631" s="2">
        <v>201802</v>
      </c>
      <c r="H1631" s="2" t="s">
        <v>74</v>
      </c>
      <c r="I1631" s="2" t="s">
        <v>75</v>
      </c>
      <c r="J1631" s="2" t="s">
        <v>76</v>
      </c>
      <c r="K1631" s="2" t="s">
        <v>77</v>
      </c>
      <c r="L1631" s="2" t="s">
        <v>1781</v>
      </c>
      <c r="M1631" s="2" t="s">
        <v>1781</v>
      </c>
      <c r="N1631" s="2" t="s">
        <v>1782</v>
      </c>
      <c r="O1631" s="2" t="s">
        <v>100</v>
      </c>
      <c r="P1631" s="2" t="str">
        <f>"2170584890                    "</f>
        <v xml:space="preserve">2170584890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7.75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1</v>
      </c>
      <c r="BI1631" s="2">
        <v>1</v>
      </c>
      <c r="BJ1631" s="2">
        <v>0.2</v>
      </c>
      <c r="BK1631" s="2">
        <v>1</v>
      </c>
      <c r="BL1631" s="2">
        <v>80.290000000000006</v>
      </c>
      <c r="BM1631" s="2">
        <v>11.24</v>
      </c>
      <c r="BN1631" s="2">
        <v>91.53</v>
      </c>
      <c r="BO1631" s="2">
        <v>91.53</v>
      </c>
      <c r="BP1631" s="2"/>
      <c r="BQ1631" s="2" t="s">
        <v>108</v>
      </c>
      <c r="BR1631" s="2" t="s">
        <v>84</v>
      </c>
      <c r="BS1631" s="3">
        <v>42965</v>
      </c>
      <c r="BT1631" s="4">
        <v>0.58333333333333337</v>
      </c>
      <c r="BU1631" s="2" t="s">
        <v>1360</v>
      </c>
      <c r="BV1631" s="2" t="s">
        <v>95</v>
      </c>
      <c r="BW1631" s="2"/>
      <c r="BX1631" s="2"/>
      <c r="BY1631" s="2">
        <v>1200</v>
      </c>
      <c r="BZ1631" s="2" t="s">
        <v>27</v>
      </c>
      <c r="CA1631" s="2"/>
      <c r="CB1631" s="2"/>
      <c r="CC1631" s="2" t="s">
        <v>1781</v>
      </c>
      <c r="CD1631" s="2">
        <v>5470</v>
      </c>
      <c r="CE1631" s="2" t="s">
        <v>104</v>
      </c>
      <c r="CF1631" s="5">
        <v>42972</v>
      </c>
      <c r="CG1631" s="2"/>
      <c r="CH1631" s="2"/>
      <c r="CI1631" s="2">
        <v>4</v>
      </c>
      <c r="CJ1631" s="2">
        <v>3</v>
      </c>
      <c r="CK1631" s="2">
        <v>23</v>
      </c>
      <c r="CL1631" s="2" t="s">
        <v>86</v>
      </c>
      <c r="CM1631" s="2"/>
    </row>
    <row r="1632" spans="1:91">
      <c r="A1632" s="2" t="s">
        <v>71</v>
      </c>
      <c r="B1632" s="2" t="s">
        <v>72</v>
      </c>
      <c r="C1632" s="2" t="s">
        <v>73</v>
      </c>
      <c r="D1632" s="2"/>
      <c r="E1632" s="2" t="str">
        <f>"FES1162568810"</f>
        <v>FES1162568810</v>
      </c>
      <c r="F1632" s="3">
        <v>42962</v>
      </c>
      <c r="G1632" s="2">
        <v>201802</v>
      </c>
      <c r="H1632" s="2" t="s">
        <v>74</v>
      </c>
      <c r="I1632" s="2" t="s">
        <v>75</v>
      </c>
      <c r="J1632" s="2" t="s">
        <v>76</v>
      </c>
      <c r="K1632" s="2" t="s">
        <v>77</v>
      </c>
      <c r="L1632" s="2" t="s">
        <v>97</v>
      </c>
      <c r="M1632" s="2" t="s">
        <v>98</v>
      </c>
      <c r="N1632" s="2" t="s">
        <v>119</v>
      </c>
      <c r="O1632" s="2" t="s">
        <v>100</v>
      </c>
      <c r="P1632" s="2" t="str">
        <f>"2170584884                    "</f>
        <v xml:space="preserve">2170584884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4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1</v>
      </c>
      <c r="BJ1632" s="2">
        <v>0.2</v>
      </c>
      <c r="BK1632" s="2">
        <v>1</v>
      </c>
      <c r="BL1632" s="2">
        <v>41.44</v>
      </c>
      <c r="BM1632" s="2">
        <v>5.8</v>
      </c>
      <c r="BN1632" s="2">
        <v>47.24</v>
      </c>
      <c r="BO1632" s="2">
        <v>47.24</v>
      </c>
      <c r="BP1632" s="2"/>
      <c r="BQ1632" s="2" t="s">
        <v>108</v>
      </c>
      <c r="BR1632" s="2" t="s">
        <v>84</v>
      </c>
      <c r="BS1632" s="3">
        <v>42963</v>
      </c>
      <c r="BT1632" s="4">
        <v>0.32916666666666666</v>
      </c>
      <c r="BU1632" s="2" t="s">
        <v>612</v>
      </c>
      <c r="BV1632" s="2" t="s">
        <v>95</v>
      </c>
      <c r="BW1632" s="2"/>
      <c r="BX1632" s="2"/>
      <c r="BY1632" s="2">
        <v>1200</v>
      </c>
      <c r="BZ1632" s="2" t="s">
        <v>27</v>
      </c>
      <c r="CA1632" s="2" t="s">
        <v>286</v>
      </c>
      <c r="CB1632" s="2"/>
      <c r="CC1632" s="2" t="s">
        <v>98</v>
      </c>
      <c r="CD1632" s="2">
        <v>6001</v>
      </c>
      <c r="CE1632" s="2" t="s">
        <v>104</v>
      </c>
      <c r="CF1632" s="5">
        <v>42964</v>
      </c>
      <c r="CG1632" s="2"/>
      <c r="CH1632" s="2"/>
      <c r="CI1632" s="2">
        <v>1</v>
      </c>
      <c r="CJ1632" s="2">
        <v>1</v>
      </c>
      <c r="CK1632" s="2">
        <v>21</v>
      </c>
      <c r="CL1632" s="2" t="s">
        <v>86</v>
      </c>
      <c r="CM1632" s="2"/>
    </row>
    <row r="1633" spans="1:91">
      <c r="A1633" s="2" t="s">
        <v>71</v>
      </c>
      <c r="B1633" s="2" t="s">
        <v>72</v>
      </c>
      <c r="C1633" s="2" t="s">
        <v>73</v>
      </c>
      <c r="D1633" s="2"/>
      <c r="E1633" s="2" t="str">
        <f>"FES1162566029"</f>
        <v>FES1162566029</v>
      </c>
      <c r="F1633" s="3">
        <v>42962</v>
      </c>
      <c r="G1633" s="2">
        <v>201802</v>
      </c>
      <c r="H1633" s="2" t="s">
        <v>74</v>
      </c>
      <c r="I1633" s="2" t="s">
        <v>75</v>
      </c>
      <c r="J1633" s="2" t="s">
        <v>76</v>
      </c>
      <c r="K1633" s="2" t="s">
        <v>77</v>
      </c>
      <c r="L1633" s="2" t="s">
        <v>144</v>
      </c>
      <c r="M1633" s="2" t="s">
        <v>145</v>
      </c>
      <c r="N1633" s="2" t="s">
        <v>146</v>
      </c>
      <c r="O1633" s="2" t="s">
        <v>100</v>
      </c>
      <c r="P1633" s="2" t="str">
        <f>"2170582549                    "</f>
        <v xml:space="preserve">2170582549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3.13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2</v>
      </c>
      <c r="BJ1633" s="2">
        <v>0.2</v>
      </c>
      <c r="BK1633" s="2">
        <v>2</v>
      </c>
      <c r="BL1633" s="2">
        <v>32.380000000000003</v>
      </c>
      <c r="BM1633" s="2">
        <v>4.53</v>
      </c>
      <c r="BN1633" s="2">
        <v>36.909999999999997</v>
      </c>
      <c r="BO1633" s="2">
        <v>36.909999999999997</v>
      </c>
      <c r="BP1633" s="2"/>
      <c r="BQ1633" s="2" t="s">
        <v>83</v>
      </c>
      <c r="BR1633" s="2" t="s">
        <v>84</v>
      </c>
      <c r="BS1633" s="3">
        <v>42963</v>
      </c>
      <c r="BT1633" s="4">
        <v>0.37152777777777773</v>
      </c>
      <c r="BU1633" s="2" t="s">
        <v>273</v>
      </c>
      <c r="BV1633" s="2" t="s">
        <v>95</v>
      </c>
      <c r="BW1633" s="2"/>
      <c r="BX1633" s="2"/>
      <c r="BY1633" s="2">
        <v>1200</v>
      </c>
      <c r="BZ1633" s="2" t="s">
        <v>27</v>
      </c>
      <c r="CA1633" s="2" t="s">
        <v>274</v>
      </c>
      <c r="CB1633" s="2"/>
      <c r="CC1633" s="2" t="s">
        <v>145</v>
      </c>
      <c r="CD1633" s="2">
        <v>2094</v>
      </c>
      <c r="CE1633" s="2" t="s">
        <v>104</v>
      </c>
      <c r="CF1633" s="5">
        <v>42964</v>
      </c>
      <c r="CG1633" s="2"/>
      <c r="CH1633" s="2"/>
      <c r="CI1633" s="2">
        <v>1</v>
      </c>
      <c r="CJ1633" s="2">
        <v>1</v>
      </c>
      <c r="CK1633" s="2">
        <v>22</v>
      </c>
      <c r="CL1633" s="2" t="s">
        <v>86</v>
      </c>
      <c r="CM1633" s="2"/>
    </row>
    <row r="1634" spans="1:91">
      <c r="A1634" s="2" t="s">
        <v>71</v>
      </c>
      <c r="B1634" s="2" t="s">
        <v>72</v>
      </c>
      <c r="C1634" s="2" t="s">
        <v>73</v>
      </c>
      <c r="D1634" s="2"/>
      <c r="E1634" s="2" t="str">
        <f>"FES1162568824"</f>
        <v>FES1162568824</v>
      </c>
      <c r="F1634" s="3">
        <v>42962</v>
      </c>
      <c r="G1634" s="2">
        <v>201802</v>
      </c>
      <c r="H1634" s="2" t="s">
        <v>74</v>
      </c>
      <c r="I1634" s="2" t="s">
        <v>75</v>
      </c>
      <c r="J1634" s="2" t="s">
        <v>76</v>
      </c>
      <c r="K1634" s="2" t="s">
        <v>77</v>
      </c>
      <c r="L1634" s="2" t="s">
        <v>137</v>
      </c>
      <c r="M1634" s="2" t="s">
        <v>138</v>
      </c>
      <c r="N1634" s="2" t="s">
        <v>368</v>
      </c>
      <c r="O1634" s="2" t="s">
        <v>100</v>
      </c>
      <c r="P1634" s="2" t="str">
        <f>"2170578043                    "</f>
        <v xml:space="preserve">2170578043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4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1</v>
      </c>
      <c r="BJ1634" s="2">
        <v>0.2</v>
      </c>
      <c r="BK1634" s="2">
        <v>1</v>
      </c>
      <c r="BL1634" s="2">
        <v>41.44</v>
      </c>
      <c r="BM1634" s="2">
        <v>5.8</v>
      </c>
      <c r="BN1634" s="2">
        <v>47.24</v>
      </c>
      <c r="BO1634" s="2">
        <v>47.24</v>
      </c>
      <c r="BP1634" s="2"/>
      <c r="BQ1634" s="2" t="s">
        <v>108</v>
      </c>
      <c r="BR1634" s="2" t="s">
        <v>84</v>
      </c>
      <c r="BS1634" s="3">
        <v>42963</v>
      </c>
      <c r="BT1634" s="4">
        <v>0.33888888888888885</v>
      </c>
      <c r="BU1634" s="2" t="s">
        <v>85</v>
      </c>
      <c r="BV1634" s="2" t="s">
        <v>95</v>
      </c>
      <c r="BW1634" s="2"/>
      <c r="BX1634" s="2"/>
      <c r="BY1634" s="2">
        <v>1200</v>
      </c>
      <c r="BZ1634" s="2" t="s">
        <v>27</v>
      </c>
      <c r="CA1634" s="2"/>
      <c r="CB1634" s="2"/>
      <c r="CC1634" s="2" t="s">
        <v>138</v>
      </c>
      <c r="CD1634" s="2">
        <v>157</v>
      </c>
      <c r="CE1634" s="2" t="s">
        <v>104</v>
      </c>
      <c r="CF1634" s="5">
        <v>42964</v>
      </c>
      <c r="CG1634" s="2"/>
      <c r="CH1634" s="2"/>
      <c r="CI1634" s="2">
        <v>1</v>
      </c>
      <c r="CJ1634" s="2">
        <v>1</v>
      </c>
      <c r="CK1634" s="2">
        <v>21</v>
      </c>
      <c r="CL1634" s="2" t="s">
        <v>86</v>
      </c>
      <c r="CM1634" s="2"/>
    </row>
    <row r="1635" spans="1:91">
      <c r="A1635" s="2" t="s">
        <v>71</v>
      </c>
      <c r="B1635" s="2" t="s">
        <v>72</v>
      </c>
      <c r="C1635" s="2" t="s">
        <v>73</v>
      </c>
      <c r="D1635" s="2"/>
      <c r="E1635" s="2" t="str">
        <f>"FES1162568834"</f>
        <v>FES1162568834</v>
      </c>
      <c r="F1635" s="3">
        <v>42962</v>
      </c>
      <c r="G1635" s="2">
        <v>201802</v>
      </c>
      <c r="H1635" s="2" t="s">
        <v>74</v>
      </c>
      <c r="I1635" s="2" t="s">
        <v>75</v>
      </c>
      <c r="J1635" s="2" t="s">
        <v>76</v>
      </c>
      <c r="K1635" s="2" t="s">
        <v>77</v>
      </c>
      <c r="L1635" s="2" t="s">
        <v>144</v>
      </c>
      <c r="M1635" s="2" t="s">
        <v>145</v>
      </c>
      <c r="N1635" s="2" t="s">
        <v>146</v>
      </c>
      <c r="O1635" s="2" t="s">
        <v>100</v>
      </c>
      <c r="P1635" s="2" t="str">
        <f>"2170583725                    "</f>
        <v xml:space="preserve">2170583725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3.13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1</v>
      </c>
      <c r="BI1635" s="2">
        <v>1</v>
      </c>
      <c r="BJ1635" s="2">
        <v>0.2</v>
      </c>
      <c r="BK1635" s="2">
        <v>1</v>
      </c>
      <c r="BL1635" s="2">
        <v>32.380000000000003</v>
      </c>
      <c r="BM1635" s="2">
        <v>4.53</v>
      </c>
      <c r="BN1635" s="2">
        <v>36.909999999999997</v>
      </c>
      <c r="BO1635" s="2">
        <v>36.909999999999997</v>
      </c>
      <c r="BP1635" s="2"/>
      <c r="BQ1635" s="2" t="s">
        <v>83</v>
      </c>
      <c r="BR1635" s="2" t="s">
        <v>84</v>
      </c>
      <c r="BS1635" s="3">
        <v>42963</v>
      </c>
      <c r="BT1635" s="4">
        <v>0.37152777777777773</v>
      </c>
      <c r="BU1635" s="2" t="s">
        <v>273</v>
      </c>
      <c r="BV1635" s="2" t="s">
        <v>95</v>
      </c>
      <c r="BW1635" s="2"/>
      <c r="BX1635" s="2"/>
      <c r="BY1635" s="2">
        <v>1200</v>
      </c>
      <c r="BZ1635" s="2" t="s">
        <v>27</v>
      </c>
      <c r="CA1635" s="2" t="s">
        <v>274</v>
      </c>
      <c r="CB1635" s="2"/>
      <c r="CC1635" s="2" t="s">
        <v>145</v>
      </c>
      <c r="CD1635" s="2">
        <v>2094</v>
      </c>
      <c r="CE1635" s="2" t="s">
        <v>104</v>
      </c>
      <c r="CF1635" s="5">
        <v>42964</v>
      </c>
      <c r="CG1635" s="2"/>
      <c r="CH1635" s="2"/>
      <c r="CI1635" s="2">
        <v>1</v>
      </c>
      <c r="CJ1635" s="2">
        <v>1</v>
      </c>
      <c r="CK1635" s="2">
        <v>22</v>
      </c>
      <c r="CL1635" s="2" t="s">
        <v>86</v>
      </c>
      <c r="CM1635" s="2"/>
    </row>
    <row r="1636" spans="1:91">
      <c r="A1636" s="2" t="s">
        <v>71</v>
      </c>
      <c r="B1636" s="2" t="s">
        <v>72</v>
      </c>
      <c r="C1636" s="2" t="s">
        <v>73</v>
      </c>
      <c r="D1636" s="2"/>
      <c r="E1636" s="2" t="str">
        <f>"FES1162568844"</f>
        <v>FES1162568844</v>
      </c>
      <c r="F1636" s="3">
        <v>42962</v>
      </c>
      <c r="G1636" s="2">
        <v>201802</v>
      </c>
      <c r="H1636" s="2" t="s">
        <v>74</v>
      </c>
      <c r="I1636" s="2" t="s">
        <v>75</v>
      </c>
      <c r="J1636" s="2" t="s">
        <v>76</v>
      </c>
      <c r="K1636" s="2" t="s">
        <v>77</v>
      </c>
      <c r="L1636" s="2" t="s">
        <v>74</v>
      </c>
      <c r="M1636" s="2" t="s">
        <v>75</v>
      </c>
      <c r="N1636" s="2" t="s">
        <v>2324</v>
      </c>
      <c r="O1636" s="2" t="s">
        <v>100</v>
      </c>
      <c r="P1636" s="2" t="str">
        <f>"2170584906                    "</f>
        <v xml:space="preserve">2170584906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3.13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1</v>
      </c>
      <c r="BJ1636" s="2">
        <v>0.2</v>
      </c>
      <c r="BK1636" s="2">
        <v>1</v>
      </c>
      <c r="BL1636" s="2">
        <v>32.380000000000003</v>
      </c>
      <c r="BM1636" s="2">
        <v>4.53</v>
      </c>
      <c r="BN1636" s="2">
        <v>36.909999999999997</v>
      </c>
      <c r="BO1636" s="2">
        <v>36.909999999999997</v>
      </c>
      <c r="BP1636" s="2"/>
      <c r="BQ1636" s="2" t="s">
        <v>108</v>
      </c>
      <c r="BR1636" s="2" t="s">
        <v>84</v>
      </c>
      <c r="BS1636" s="3">
        <v>42963</v>
      </c>
      <c r="BT1636" s="4">
        <v>0.28194444444444444</v>
      </c>
      <c r="BU1636" s="2" t="s">
        <v>2325</v>
      </c>
      <c r="BV1636" s="2" t="s">
        <v>95</v>
      </c>
      <c r="BW1636" s="2"/>
      <c r="BX1636" s="2"/>
      <c r="BY1636" s="2">
        <v>1200</v>
      </c>
      <c r="BZ1636" s="2" t="s">
        <v>27</v>
      </c>
      <c r="CA1636" s="2" t="s">
        <v>1289</v>
      </c>
      <c r="CB1636" s="2"/>
      <c r="CC1636" s="2" t="s">
        <v>75</v>
      </c>
      <c r="CD1636" s="2">
        <v>1600</v>
      </c>
      <c r="CE1636" s="2" t="s">
        <v>104</v>
      </c>
      <c r="CF1636" s="5">
        <v>42964</v>
      </c>
      <c r="CG1636" s="2"/>
      <c r="CH1636" s="2"/>
      <c r="CI1636" s="2">
        <v>1</v>
      </c>
      <c r="CJ1636" s="2">
        <v>1</v>
      </c>
      <c r="CK1636" s="2">
        <v>22</v>
      </c>
      <c r="CL1636" s="2" t="s">
        <v>86</v>
      </c>
      <c r="CM1636" s="2"/>
    </row>
    <row r="1637" spans="1:91">
      <c r="A1637" s="2" t="s">
        <v>71</v>
      </c>
      <c r="B1637" s="2" t="s">
        <v>72</v>
      </c>
      <c r="C1637" s="2" t="s">
        <v>73</v>
      </c>
      <c r="D1637" s="2"/>
      <c r="E1637" s="2" t="str">
        <f>"FES11625688832"</f>
        <v>FES11625688832</v>
      </c>
      <c r="F1637" s="3">
        <v>42962</v>
      </c>
      <c r="G1637" s="2">
        <v>201802</v>
      </c>
      <c r="H1637" s="2" t="s">
        <v>74</v>
      </c>
      <c r="I1637" s="2" t="s">
        <v>75</v>
      </c>
      <c r="J1637" s="2" t="s">
        <v>76</v>
      </c>
      <c r="K1637" s="2" t="s">
        <v>77</v>
      </c>
      <c r="L1637" s="2" t="s">
        <v>144</v>
      </c>
      <c r="M1637" s="2" t="s">
        <v>145</v>
      </c>
      <c r="N1637" s="2" t="s">
        <v>146</v>
      </c>
      <c r="O1637" s="2" t="s">
        <v>100</v>
      </c>
      <c r="P1637" s="2" t="str">
        <f>"2170582922                    "</f>
        <v xml:space="preserve">2170582922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3.13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1</v>
      </c>
      <c r="BJ1637" s="2">
        <v>0.2</v>
      </c>
      <c r="BK1637" s="2">
        <v>1</v>
      </c>
      <c r="BL1637" s="2">
        <v>32.380000000000003</v>
      </c>
      <c r="BM1637" s="2">
        <v>4.53</v>
      </c>
      <c r="BN1637" s="2">
        <v>36.909999999999997</v>
      </c>
      <c r="BO1637" s="2">
        <v>36.909999999999997</v>
      </c>
      <c r="BP1637" s="2"/>
      <c r="BQ1637" s="2" t="s">
        <v>83</v>
      </c>
      <c r="BR1637" s="2" t="s">
        <v>84</v>
      </c>
      <c r="BS1637" s="3">
        <v>42963</v>
      </c>
      <c r="BT1637" s="4">
        <v>0.37152777777777773</v>
      </c>
      <c r="BU1637" s="2" t="s">
        <v>430</v>
      </c>
      <c r="BV1637" s="2" t="s">
        <v>95</v>
      </c>
      <c r="BW1637" s="2"/>
      <c r="BX1637" s="2"/>
      <c r="BY1637" s="2">
        <v>1200</v>
      </c>
      <c r="BZ1637" s="2" t="s">
        <v>27</v>
      </c>
      <c r="CA1637" s="2" t="s">
        <v>148</v>
      </c>
      <c r="CB1637" s="2"/>
      <c r="CC1637" s="2" t="s">
        <v>145</v>
      </c>
      <c r="CD1637" s="2">
        <v>2094</v>
      </c>
      <c r="CE1637" s="2" t="s">
        <v>104</v>
      </c>
      <c r="CF1637" s="2"/>
      <c r="CG1637" s="2"/>
      <c r="CH1637" s="2"/>
      <c r="CI1637" s="2">
        <v>1</v>
      </c>
      <c r="CJ1637" s="2">
        <v>1</v>
      </c>
      <c r="CK1637" s="2">
        <v>22</v>
      </c>
      <c r="CL1637" s="2" t="s">
        <v>86</v>
      </c>
      <c r="CM1637" s="2"/>
    </row>
    <row r="1638" spans="1:91">
      <c r="A1638" s="2" t="s">
        <v>71</v>
      </c>
      <c r="B1638" s="2" t="s">
        <v>72</v>
      </c>
      <c r="C1638" s="2" t="s">
        <v>73</v>
      </c>
      <c r="D1638" s="2"/>
      <c r="E1638" s="2" t="str">
        <f>"FES11625684904"</f>
        <v>FES11625684904</v>
      </c>
      <c r="F1638" s="3">
        <v>42962</v>
      </c>
      <c r="G1638" s="2">
        <v>201802</v>
      </c>
      <c r="H1638" s="2" t="s">
        <v>74</v>
      </c>
      <c r="I1638" s="2" t="s">
        <v>75</v>
      </c>
      <c r="J1638" s="2" t="s">
        <v>76</v>
      </c>
      <c r="K1638" s="2" t="s">
        <v>77</v>
      </c>
      <c r="L1638" s="2" t="s">
        <v>144</v>
      </c>
      <c r="M1638" s="2" t="s">
        <v>145</v>
      </c>
      <c r="N1638" s="2" t="s">
        <v>146</v>
      </c>
      <c r="O1638" s="2" t="s">
        <v>100</v>
      </c>
      <c r="P1638" s="2" t="str">
        <f>"2170584904                    "</f>
        <v xml:space="preserve">2170584904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3.13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1</v>
      </c>
      <c r="BJ1638" s="2">
        <v>0.2</v>
      </c>
      <c r="BK1638" s="2">
        <v>1</v>
      </c>
      <c r="BL1638" s="2">
        <v>32.380000000000003</v>
      </c>
      <c r="BM1638" s="2">
        <v>4.53</v>
      </c>
      <c r="BN1638" s="2">
        <v>36.909999999999997</v>
      </c>
      <c r="BO1638" s="2">
        <v>36.909999999999997</v>
      </c>
      <c r="BP1638" s="2"/>
      <c r="BQ1638" s="2" t="s">
        <v>83</v>
      </c>
      <c r="BR1638" s="2" t="s">
        <v>84</v>
      </c>
      <c r="BS1638" s="3">
        <v>42963</v>
      </c>
      <c r="BT1638" s="4">
        <v>0.37152777777777773</v>
      </c>
      <c r="BU1638" s="2" t="s">
        <v>430</v>
      </c>
      <c r="BV1638" s="2" t="s">
        <v>95</v>
      </c>
      <c r="BW1638" s="2"/>
      <c r="BX1638" s="2"/>
      <c r="BY1638" s="2">
        <v>1200</v>
      </c>
      <c r="BZ1638" s="2" t="s">
        <v>27</v>
      </c>
      <c r="CA1638" s="2" t="s">
        <v>148</v>
      </c>
      <c r="CB1638" s="2"/>
      <c r="CC1638" s="2" t="s">
        <v>145</v>
      </c>
      <c r="CD1638" s="2">
        <v>2094</v>
      </c>
      <c r="CE1638" s="2" t="s">
        <v>104</v>
      </c>
      <c r="CF1638" s="2"/>
      <c r="CG1638" s="2"/>
      <c r="CH1638" s="2"/>
      <c r="CI1638" s="2">
        <v>1</v>
      </c>
      <c r="CJ1638" s="2">
        <v>1</v>
      </c>
      <c r="CK1638" s="2">
        <v>22</v>
      </c>
      <c r="CL1638" s="2" t="s">
        <v>86</v>
      </c>
      <c r="CM1638" s="2"/>
    </row>
    <row r="1639" spans="1:91">
      <c r="A1639" s="2" t="s">
        <v>71</v>
      </c>
      <c r="B1639" s="2" t="s">
        <v>72</v>
      </c>
      <c r="C1639" s="2" t="s">
        <v>73</v>
      </c>
      <c r="D1639" s="2"/>
      <c r="E1639" s="2" t="str">
        <f>"FES1162568841"</f>
        <v>FES1162568841</v>
      </c>
      <c r="F1639" s="3">
        <v>42962</v>
      </c>
      <c r="G1639" s="2">
        <v>201802</v>
      </c>
      <c r="H1639" s="2" t="s">
        <v>74</v>
      </c>
      <c r="I1639" s="2" t="s">
        <v>75</v>
      </c>
      <c r="J1639" s="2" t="s">
        <v>76</v>
      </c>
      <c r="K1639" s="2" t="s">
        <v>77</v>
      </c>
      <c r="L1639" s="2" t="s">
        <v>144</v>
      </c>
      <c r="M1639" s="2" t="s">
        <v>145</v>
      </c>
      <c r="N1639" s="2" t="s">
        <v>146</v>
      </c>
      <c r="O1639" s="2" t="s">
        <v>100</v>
      </c>
      <c r="P1639" s="2" t="str">
        <f>"2170584901                    "</f>
        <v xml:space="preserve">2170584901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3.13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1</v>
      </c>
      <c r="BJ1639" s="2">
        <v>0.2</v>
      </c>
      <c r="BK1639" s="2">
        <v>1</v>
      </c>
      <c r="BL1639" s="2">
        <v>32.380000000000003</v>
      </c>
      <c r="BM1639" s="2">
        <v>4.53</v>
      </c>
      <c r="BN1639" s="2">
        <v>36.909999999999997</v>
      </c>
      <c r="BO1639" s="2">
        <v>36.909999999999997</v>
      </c>
      <c r="BP1639" s="2"/>
      <c r="BQ1639" s="2" t="s">
        <v>83</v>
      </c>
      <c r="BR1639" s="2" t="s">
        <v>84</v>
      </c>
      <c r="BS1639" s="3">
        <v>42963</v>
      </c>
      <c r="BT1639" s="4">
        <v>0.37152777777777773</v>
      </c>
      <c r="BU1639" s="2" t="s">
        <v>273</v>
      </c>
      <c r="BV1639" s="2" t="s">
        <v>95</v>
      </c>
      <c r="BW1639" s="2"/>
      <c r="BX1639" s="2"/>
      <c r="BY1639" s="2">
        <v>1200</v>
      </c>
      <c r="BZ1639" s="2" t="s">
        <v>27</v>
      </c>
      <c r="CA1639" s="2" t="s">
        <v>274</v>
      </c>
      <c r="CB1639" s="2"/>
      <c r="CC1639" s="2" t="s">
        <v>145</v>
      </c>
      <c r="CD1639" s="2">
        <v>2094</v>
      </c>
      <c r="CE1639" s="2" t="s">
        <v>104</v>
      </c>
      <c r="CF1639" s="5">
        <v>42964</v>
      </c>
      <c r="CG1639" s="2"/>
      <c r="CH1639" s="2"/>
      <c r="CI1639" s="2">
        <v>1</v>
      </c>
      <c r="CJ1639" s="2">
        <v>1</v>
      </c>
      <c r="CK1639" s="2">
        <v>22</v>
      </c>
      <c r="CL1639" s="2" t="s">
        <v>86</v>
      </c>
      <c r="CM1639" s="2"/>
    </row>
    <row r="1640" spans="1:91">
      <c r="A1640" s="2" t="s">
        <v>71</v>
      </c>
      <c r="B1640" s="2" t="s">
        <v>72</v>
      </c>
      <c r="C1640" s="2" t="s">
        <v>73</v>
      </c>
      <c r="D1640" s="2"/>
      <c r="E1640" s="2" t="str">
        <f>"FES1162568815"</f>
        <v>FES1162568815</v>
      </c>
      <c r="F1640" s="3">
        <v>42962</v>
      </c>
      <c r="G1640" s="2">
        <v>201802</v>
      </c>
      <c r="H1640" s="2" t="s">
        <v>74</v>
      </c>
      <c r="I1640" s="2" t="s">
        <v>75</v>
      </c>
      <c r="J1640" s="2" t="s">
        <v>76</v>
      </c>
      <c r="K1640" s="2" t="s">
        <v>77</v>
      </c>
      <c r="L1640" s="2" t="s">
        <v>216</v>
      </c>
      <c r="M1640" s="2" t="s">
        <v>217</v>
      </c>
      <c r="N1640" s="2" t="s">
        <v>351</v>
      </c>
      <c r="O1640" s="2" t="s">
        <v>100</v>
      </c>
      <c r="P1640" s="2" t="str">
        <f>"2170584889                    "</f>
        <v xml:space="preserve">2170584889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3.13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1</v>
      </c>
      <c r="BI1640" s="2">
        <v>1</v>
      </c>
      <c r="BJ1640" s="2">
        <v>0.2</v>
      </c>
      <c r="BK1640" s="2">
        <v>1</v>
      </c>
      <c r="BL1640" s="2">
        <v>32.380000000000003</v>
      </c>
      <c r="BM1640" s="2">
        <v>4.53</v>
      </c>
      <c r="BN1640" s="2">
        <v>36.909999999999997</v>
      </c>
      <c r="BO1640" s="2">
        <v>36.909999999999997</v>
      </c>
      <c r="BP1640" s="2"/>
      <c r="BQ1640" s="2" t="s">
        <v>108</v>
      </c>
      <c r="BR1640" s="2" t="s">
        <v>84</v>
      </c>
      <c r="BS1640" s="3">
        <v>42963</v>
      </c>
      <c r="BT1640" s="4">
        <v>0.36874999999999997</v>
      </c>
      <c r="BU1640" s="2" t="s">
        <v>519</v>
      </c>
      <c r="BV1640" s="2" t="s">
        <v>95</v>
      </c>
      <c r="BW1640" s="2"/>
      <c r="BX1640" s="2"/>
      <c r="BY1640" s="2">
        <v>1200</v>
      </c>
      <c r="BZ1640" s="2" t="s">
        <v>27</v>
      </c>
      <c r="CA1640" s="2" t="s">
        <v>220</v>
      </c>
      <c r="CB1640" s="2"/>
      <c r="CC1640" s="2" t="s">
        <v>217</v>
      </c>
      <c r="CD1640" s="2">
        <v>1451</v>
      </c>
      <c r="CE1640" s="2" t="s">
        <v>104</v>
      </c>
      <c r="CF1640" s="5">
        <v>42964</v>
      </c>
      <c r="CG1640" s="2"/>
      <c r="CH1640" s="2"/>
      <c r="CI1640" s="2">
        <v>1</v>
      </c>
      <c r="CJ1640" s="2">
        <v>1</v>
      </c>
      <c r="CK1640" s="2">
        <v>22</v>
      </c>
      <c r="CL1640" s="2" t="s">
        <v>86</v>
      </c>
      <c r="CM1640" s="2"/>
    </row>
    <row r="1641" spans="1:91">
      <c r="A1641" s="2" t="s">
        <v>71</v>
      </c>
      <c r="B1641" s="2" t="s">
        <v>72</v>
      </c>
      <c r="C1641" s="2" t="s">
        <v>73</v>
      </c>
      <c r="D1641" s="2"/>
      <c r="E1641" s="2" t="str">
        <f>"FES1162569002"</f>
        <v>FES1162569002</v>
      </c>
      <c r="F1641" s="3">
        <v>42962</v>
      </c>
      <c r="G1641" s="2">
        <v>201802</v>
      </c>
      <c r="H1641" s="2" t="s">
        <v>74</v>
      </c>
      <c r="I1641" s="2" t="s">
        <v>75</v>
      </c>
      <c r="J1641" s="2" t="s">
        <v>76</v>
      </c>
      <c r="K1641" s="2" t="s">
        <v>77</v>
      </c>
      <c r="L1641" s="2" t="s">
        <v>74</v>
      </c>
      <c r="M1641" s="2" t="s">
        <v>75</v>
      </c>
      <c r="N1641" s="2" t="s">
        <v>1148</v>
      </c>
      <c r="O1641" s="2" t="s">
        <v>100</v>
      </c>
      <c r="P1641" s="2" t="str">
        <f>"2170583378                    "</f>
        <v xml:space="preserve">2170583378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3.13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1</v>
      </c>
      <c r="BJ1641" s="2">
        <v>0.2</v>
      </c>
      <c r="BK1641" s="2">
        <v>1</v>
      </c>
      <c r="BL1641" s="2">
        <v>32.380000000000003</v>
      </c>
      <c r="BM1641" s="2">
        <v>4.53</v>
      </c>
      <c r="BN1641" s="2">
        <v>36.909999999999997</v>
      </c>
      <c r="BO1641" s="2">
        <v>36.909999999999997</v>
      </c>
      <c r="BP1641" s="2"/>
      <c r="BQ1641" s="2" t="s">
        <v>108</v>
      </c>
      <c r="BR1641" s="2" t="s">
        <v>84</v>
      </c>
      <c r="BS1641" s="3">
        <v>42963</v>
      </c>
      <c r="BT1641" s="4">
        <v>0.28472222222222221</v>
      </c>
      <c r="BU1641" s="2" t="s">
        <v>2326</v>
      </c>
      <c r="BV1641" s="2" t="s">
        <v>95</v>
      </c>
      <c r="BW1641" s="2"/>
      <c r="BX1641" s="2"/>
      <c r="BY1641" s="2">
        <v>1200</v>
      </c>
      <c r="BZ1641" s="2" t="s">
        <v>27</v>
      </c>
      <c r="CA1641" s="2"/>
      <c r="CB1641" s="2"/>
      <c r="CC1641" s="2" t="s">
        <v>75</v>
      </c>
      <c r="CD1641" s="2">
        <v>1682</v>
      </c>
      <c r="CE1641" s="2" t="s">
        <v>104</v>
      </c>
      <c r="CF1641" s="5">
        <v>42964</v>
      </c>
      <c r="CG1641" s="2"/>
      <c r="CH1641" s="2"/>
      <c r="CI1641" s="2">
        <v>1</v>
      </c>
      <c r="CJ1641" s="2">
        <v>1</v>
      </c>
      <c r="CK1641" s="2">
        <v>22</v>
      </c>
      <c r="CL1641" s="2" t="s">
        <v>86</v>
      </c>
      <c r="CM1641" s="2"/>
    </row>
    <row r="1642" spans="1:91">
      <c r="A1642" s="2" t="s">
        <v>71</v>
      </c>
      <c r="B1642" s="2" t="s">
        <v>72</v>
      </c>
      <c r="C1642" s="2" t="s">
        <v>73</v>
      </c>
      <c r="D1642" s="2"/>
      <c r="E1642" s="2" t="str">
        <f>"FES1162568956"</f>
        <v>FES1162568956</v>
      </c>
      <c r="F1642" s="3">
        <v>42962</v>
      </c>
      <c r="G1642" s="2">
        <v>201802</v>
      </c>
      <c r="H1642" s="2" t="s">
        <v>74</v>
      </c>
      <c r="I1642" s="2" t="s">
        <v>75</v>
      </c>
      <c r="J1642" s="2" t="s">
        <v>76</v>
      </c>
      <c r="K1642" s="2" t="s">
        <v>77</v>
      </c>
      <c r="L1642" s="2" t="s">
        <v>723</v>
      </c>
      <c r="M1642" s="2" t="s">
        <v>724</v>
      </c>
      <c r="N1642" s="2" t="s">
        <v>2327</v>
      </c>
      <c r="O1642" s="2" t="s">
        <v>100</v>
      </c>
      <c r="P1642" s="2" t="str">
        <f>"2170584962                    "</f>
        <v xml:space="preserve">2170584962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5.63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1</v>
      </c>
      <c r="BJ1642" s="2">
        <v>0.2</v>
      </c>
      <c r="BK1642" s="2">
        <v>1</v>
      </c>
      <c r="BL1642" s="2">
        <v>58.28</v>
      </c>
      <c r="BM1642" s="2">
        <v>8.16</v>
      </c>
      <c r="BN1642" s="2">
        <v>66.44</v>
      </c>
      <c r="BO1642" s="2">
        <v>66.44</v>
      </c>
      <c r="BP1642" s="2"/>
      <c r="BQ1642" s="2" t="s">
        <v>108</v>
      </c>
      <c r="BR1642" s="2" t="s">
        <v>84</v>
      </c>
      <c r="BS1642" s="3">
        <v>42963</v>
      </c>
      <c r="BT1642" s="4">
        <v>0.46666666666666662</v>
      </c>
      <c r="BU1642" s="2" t="s">
        <v>2328</v>
      </c>
      <c r="BV1642" s="2" t="s">
        <v>95</v>
      </c>
      <c r="BW1642" s="2"/>
      <c r="BX1642" s="2"/>
      <c r="BY1642" s="2">
        <v>1200</v>
      </c>
      <c r="BZ1642" s="2" t="s">
        <v>27</v>
      </c>
      <c r="CA1642" s="2" t="s">
        <v>2188</v>
      </c>
      <c r="CB1642" s="2"/>
      <c r="CC1642" s="2" t="s">
        <v>724</v>
      </c>
      <c r="CD1642" s="2">
        <v>1739</v>
      </c>
      <c r="CE1642" s="2" t="s">
        <v>104</v>
      </c>
      <c r="CF1642" s="5">
        <v>42964</v>
      </c>
      <c r="CG1642" s="2"/>
      <c r="CH1642" s="2"/>
      <c r="CI1642" s="2">
        <v>1</v>
      </c>
      <c r="CJ1642" s="2">
        <v>1</v>
      </c>
      <c r="CK1642" s="2">
        <v>24</v>
      </c>
      <c r="CL1642" s="2" t="s">
        <v>86</v>
      </c>
      <c r="CM1642" s="2"/>
    </row>
    <row r="1643" spans="1:91">
      <c r="A1643" s="2" t="s">
        <v>71</v>
      </c>
      <c r="B1643" s="2" t="s">
        <v>72</v>
      </c>
      <c r="C1643" s="2" t="s">
        <v>73</v>
      </c>
      <c r="D1643" s="2"/>
      <c r="E1643" s="2" t="str">
        <f>"FES1162568854"</f>
        <v>FES1162568854</v>
      </c>
      <c r="F1643" s="3">
        <v>42962</v>
      </c>
      <c r="G1643" s="2">
        <v>201802</v>
      </c>
      <c r="H1643" s="2" t="s">
        <v>74</v>
      </c>
      <c r="I1643" s="2" t="s">
        <v>75</v>
      </c>
      <c r="J1643" s="2" t="s">
        <v>76</v>
      </c>
      <c r="K1643" s="2" t="s">
        <v>77</v>
      </c>
      <c r="L1643" s="2" t="s">
        <v>144</v>
      </c>
      <c r="M1643" s="2" t="s">
        <v>145</v>
      </c>
      <c r="N1643" s="2" t="s">
        <v>146</v>
      </c>
      <c r="O1643" s="2" t="s">
        <v>100</v>
      </c>
      <c r="P1643" s="2" t="str">
        <f>"2170581991                    "</f>
        <v xml:space="preserve">2170581991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3.13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1</v>
      </c>
      <c r="BJ1643" s="2">
        <v>0.2</v>
      </c>
      <c r="BK1643" s="2">
        <v>1</v>
      </c>
      <c r="BL1643" s="2">
        <v>32.380000000000003</v>
      </c>
      <c r="BM1643" s="2">
        <v>4.53</v>
      </c>
      <c r="BN1643" s="2">
        <v>36.909999999999997</v>
      </c>
      <c r="BO1643" s="2">
        <v>36.909999999999997</v>
      </c>
      <c r="BP1643" s="2"/>
      <c r="BQ1643" s="2" t="s">
        <v>83</v>
      </c>
      <c r="BR1643" s="2" t="s">
        <v>84</v>
      </c>
      <c r="BS1643" s="3">
        <v>42963</v>
      </c>
      <c r="BT1643" s="4">
        <v>0.37152777777777773</v>
      </c>
      <c r="BU1643" s="2" t="s">
        <v>430</v>
      </c>
      <c r="BV1643" s="2" t="s">
        <v>95</v>
      </c>
      <c r="BW1643" s="2"/>
      <c r="BX1643" s="2"/>
      <c r="BY1643" s="2">
        <v>1200</v>
      </c>
      <c r="BZ1643" s="2" t="s">
        <v>27</v>
      </c>
      <c r="CA1643" s="2" t="s">
        <v>274</v>
      </c>
      <c r="CB1643" s="2"/>
      <c r="CC1643" s="2" t="s">
        <v>145</v>
      </c>
      <c r="CD1643" s="2">
        <v>2094</v>
      </c>
      <c r="CE1643" s="2" t="s">
        <v>104</v>
      </c>
      <c r="CF1643" s="5">
        <v>42964</v>
      </c>
      <c r="CG1643" s="2"/>
      <c r="CH1643" s="2"/>
      <c r="CI1643" s="2">
        <v>1</v>
      </c>
      <c r="CJ1643" s="2">
        <v>1</v>
      </c>
      <c r="CK1643" s="2">
        <v>22</v>
      </c>
      <c r="CL1643" s="2" t="s">
        <v>86</v>
      </c>
      <c r="CM1643" s="2"/>
    </row>
    <row r="1644" spans="1:91">
      <c r="A1644" s="2" t="s">
        <v>71</v>
      </c>
      <c r="B1644" s="2" t="s">
        <v>72</v>
      </c>
      <c r="C1644" s="2" t="s">
        <v>73</v>
      </c>
      <c r="D1644" s="2"/>
      <c r="E1644" s="2" t="str">
        <f>"FES1162568959"</f>
        <v>FES1162568959</v>
      </c>
      <c r="F1644" s="3">
        <v>42962</v>
      </c>
      <c r="G1644" s="2">
        <v>201802</v>
      </c>
      <c r="H1644" s="2" t="s">
        <v>74</v>
      </c>
      <c r="I1644" s="2" t="s">
        <v>75</v>
      </c>
      <c r="J1644" s="2" t="s">
        <v>76</v>
      </c>
      <c r="K1644" s="2" t="s">
        <v>77</v>
      </c>
      <c r="L1644" s="2" t="s">
        <v>244</v>
      </c>
      <c r="M1644" s="2" t="s">
        <v>245</v>
      </c>
      <c r="N1644" s="2" t="s">
        <v>882</v>
      </c>
      <c r="O1644" s="2" t="s">
        <v>100</v>
      </c>
      <c r="P1644" s="2" t="str">
        <f>"2170584965                    "</f>
        <v xml:space="preserve">2170584965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3.13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1</v>
      </c>
      <c r="BJ1644" s="2">
        <v>0.2</v>
      </c>
      <c r="BK1644" s="2">
        <v>1</v>
      </c>
      <c r="BL1644" s="2">
        <v>32.380000000000003</v>
      </c>
      <c r="BM1644" s="2">
        <v>4.53</v>
      </c>
      <c r="BN1644" s="2">
        <v>36.909999999999997</v>
      </c>
      <c r="BO1644" s="2">
        <v>36.909999999999997</v>
      </c>
      <c r="BP1644" s="2"/>
      <c r="BQ1644" s="2" t="s">
        <v>108</v>
      </c>
      <c r="BR1644" s="2" t="s">
        <v>84</v>
      </c>
      <c r="BS1644" s="3">
        <v>42963</v>
      </c>
      <c r="BT1644" s="4">
        <v>0.3034722222222222</v>
      </c>
      <c r="BU1644" s="2" t="s">
        <v>2329</v>
      </c>
      <c r="BV1644" s="2" t="s">
        <v>95</v>
      </c>
      <c r="BW1644" s="2"/>
      <c r="BX1644" s="2"/>
      <c r="BY1644" s="2">
        <v>1200</v>
      </c>
      <c r="BZ1644" s="2" t="s">
        <v>27</v>
      </c>
      <c r="CA1644" s="2" t="s">
        <v>426</v>
      </c>
      <c r="CB1644" s="2"/>
      <c r="CC1644" s="2" t="s">
        <v>245</v>
      </c>
      <c r="CD1644" s="2">
        <v>1459</v>
      </c>
      <c r="CE1644" s="2" t="s">
        <v>104</v>
      </c>
      <c r="CF1644" s="5">
        <v>42964</v>
      </c>
      <c r="CG1644" s="2"/>
      <c r="CH1644" s="2"/>
      <c r="CI1644" s="2">
        <v>1</v>
      </c>
      <c r="CJ1644" s="2">
        <v>1</v>
      </c>
      <c r="CK1644" s="2">
        <v>22</v>
      </c>
      <c r="CL1644" s="2" t="s">
        <v>86</v>
      </c>
      <c r="CM1644" s="2"/>
    </row>
    <row r="1645" spans="1:91">
      <c r="A1645" s="2" t="s">
        <v>71</v>
      </c>
      <c r="B1645" s="2" t="s">
        <v>72</v>
      </c>
      <c r="C1645" s="2" t="s">
        <v>73</v>
      </c>
      <c r="D1645" s="2"/>
      <c r="E1645" s="2" t="str">
        <f>"FES1162568914"</f>
        <v>FES1162568914</v>
      </c>
      <c r="F1645" s="3">
        <v>42962</v>
      </c>
      <c r="G1645" s="2">
        <v>201802</v>
      </c>
      <c r="H1645" s="2" t="s">
        <v>74</v>
      </c>
      <c r="I1645" s="2" t="s">
        <v>75</v>
      </c>
      <c r="J1645" s="2" t="s">
        <v>76</v>
      </c>
      <c r="K1645" s="2" t="s">
        <v>77</v>
      </c>
      <c r="L1645" s="2" t="s">
        <v>306</v>
      </c>
      <c r="M1645" s="2" t="s">
        <v>307</v>
      </c>
      <c r="N1645" s="2" t="s">
        <v>2330</v>
      </c>
      <c r="O1645" s="2" t="s">
        <v>100</v>
      </c>
      <c r="P1645" s="2" t="str">
        <f>"2170582667                    "</f>
        <v xml:space="preserve">2170582667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4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1</v>
      </c>
      <c r="BJ1645" s="2">
        <v>0.2</v>
      </c>
      <c r="BK1645" s="2">
        <v>1</v>
      </c>
      <c r="BL1645" s="2">
        <v>41.44</v>
      </c>
      <c r="BM1645" s="2">
        <v>5.8</v>
      </c>
      <c r="BN1645" s="2">
        <v>47.24</v>
      </c>
      <c r="BO1645" s="2">
        <v>47.24</v>
      </c>
      <c r="BP1645" s="2"/>
      <c r="BQ1645" s="2" t="s">
        <v>288</v>
      </c>
      <c r="BR1645" s="2" t="s">
        <v>84</v>
      </c>
      <c r="BS1645" s="3">
        <v>42963</v>
      </c>
      <c r="BT1645" s="4">
        <v>0.42569444444444443</v>
      </c>
      <c r="BU1645" s="2" t="s">
        <v>2331</v>
      </c>
      <c r="BV1645" s="2" t="s">
        <v>95</v>
      </c>
      <c r="BW1645" s="2"/>
      <c r="BX1645" s="2"/>
      <c r="BY1645" s="2">
        <v>1200</v>
      </c>
      <c r="BZ1645" s="2" t="s">
        <v>27</v>
      </c>
      <c r="CA1645" s="2" t="s">
        <v>1575</v>
      </c>
      <c r="CB1645" s="2"/>
      <c r="CC1645" s="2" t="s">
        <v>307</v>
      </c>
      <c r="CD1645" s="2">
        <v>1929</v>
      </c>
      <c r="CE1645" s="2" t="s">
        <v>104</v>
      </c>
      <c r="CF1645" s="5">
        <v>42964</v>
      </c>
      <c r="CG1645" s="2"/>
      <c r="CH1645" s="2"/>
      <c r="CI1645" s="2">
        <v>1</v>
      </c>
      <c r="CJ1645" s="2">
        <v>1</v>
      </c>
      <c r="CK1645" s="2">
        <v>21</v>
      </c>
      <c r="CL1645" s="2" t="s">
        <v>86</v>
      </c>
      <c r="CM1645" s="2"/>
    </row>
    <row r="1646" spans="1:91">
      <c r="A1646" s="2" t="s">
        <v>71</v>
      </c>
      <c r="B1646" s="2" t="s">
        <v>72</v>
      </c>
      <c r="C1646" s="2" t="s">
        <v>73</v>
      </c>
      <c r="D1646" s="2"/>
      <c r="E1646" s="2" t="str">
        <f>"FES1162568820"</f>
        <v>FES1162568820</v>
      </c>
      <c r="F1646" s="3">
        <v>42962</v>
      </c>
      <c r="G1646" s="2">
        <v>201802</v>
      </c>
      <c r="H1646" s="2" t="s">
        <v>74</v>
      </c>
      <c r="I1646" s="2" t="s">
        <v>75</v>
      </c>
      <c r="J1646" s="2" t="s">
        <v>76</v>
      </c>
      <c r="K1646" s="2" t="s">
        <v>77</v>
      </c>
      <c r="L1646" s="2" t="s">
        <v>268</v>
      </c>
      <c r="M1646" s="2" t="s">
        <v>269</v>
      </c>
      <c r="N1646" s="2" t="s">
        <v>2332</v>
      </c>
      <c r="O1646" s="2" t="s">
        <v>100</v>
      </c>
      <c r="P1646" s="2" t="str">
        <f>"2170584895                    "</f>
        <v xml:space="preserve">2170584895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4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1</v>
      </c>
      <c r="BJ1646" s="2">
        <v>0.2</v>
      </c>
      <c r="BK1646" s="2">
        <v>1</v>
      </c>
      <c r="BL1646" s="2">
        <v>41.44</v>
      </c>
      <c r="BM1646" s="2">
        <v>5.8</v>
      </c>
      <c r="BN1646" s="2">
        <v>47.24</v>
      </c>
      <c r="BO1646" s="2">
        <v>47.24</v>
      </c>
      <c r="BP1646" s="2"/>
      <c r="BQ1646" s="2" t="s">
        <v>288</v>
      </c>
      <c r="BR1646" s="2" t="s">
        <v>84</v>
      </c>
      <c r="BS1646" s="3">
        <v>42963</v>
      </c>
      <c r="BT1646" s="4">
        <v>0.4375</v>
      </c>
      <c r="BU1646" s="2" t="s">
        <v>2333</v>
      </c>
      <c r="BV1646" s="2" t="s">
        <v>95</v>
      </c>
      <c r="BW1646" s="2"/>
      <c r="BX1646" s="2"/>
      <c r="BY1646" s="2">
        <v>1200</v>
      </c>
      <c r="BZ1646" s="2" t="s">
        <v>27</v>
      </c>
      <c r="CA1646" s="2" t="s">
        <v>1880</v>
      </c>
      <c r="CB1646" s="2"/>
      <c r="CC1646" s="2" t="s">
        <v>269</v>
      </c>
      <c r="CD1646" s="2">
        <v>184</v>
      </c>
      <c r="CE1646" s="2" t="s">
        <v>104</v>
      </c>
      <c r="CF1646" s="5">
        <v>42964</v>
      </c>
      <c r="CG1646" s="2"/>
      <c r="CH1646" s="2"/>
      <c r="CI1646" s="2">
        <v>1</v>
      </c>
      <c r="CJ1646" s="2">
        <v>1</v>
      </c>
      <c r="CK1646" s="2">
        <v>21</v>
      </c>
      <c r="CL1646" s="2" t="s">
        <v>86</v>
      </c>
      <c r="CM1646" s="2"/>
    </row>
    <row r="1647" spans="1:91">
      <c r="A1647" s="2" t="s">
        <v>71</v>
      </c>
      <c r="B1647" s="2" t="s">
        <v>72</v>
      </c>
      <c r="C1647" s="2" t="s">
        <v>73</v>
      </c>
      <c r="D1647" s="2"/>
      <c r="E1647" s="2" t="str">
        <f>"FES1162569064"</f>
        <v>FES1162569064</v>
      </c>
      <c r="F1647" s="3">
        <v>42962</v>
      </c>
      <c r="G1647" s="2">
        <v>201802</v>
      </c>
      <c r="H1647" s="2" t="s">
        <v>74</v>
      </c>
      <c r="I1647" s="2" t="s">
        <v>75</v>
      </c>
      <c r="J1647" s="2" t="s">
        <v>76</v>
      </c>
      <c r="K1647" s="2" t="s">
        <v>77</v>
      </c>
      <c r="L1647" s="2" t="s">
        <v>97</v>
      </c>
      <c r="M1647" s="2" t="s">
        <v>98</v>
      </c>
      <c r="N1647" s="2" t="s">
        <v>500</v>
      </c>
      <c r="O1647" s="2" t="s">
        <v>100</v>
      </c>
      <c r="P1647" s="2" t="str">
        <f>"2170585052                    "</f>
        <v xml:space="preserve">2170585052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4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1</v>
      </c>
      <c r="BJ1647" s="2">
        <v>0.2</v>
      </c>
      <c r="BK1647" s="2">
        <v>1</v>
      </c>
      <c r="BL1647" s="2">
        <v>41.44</v>
      </c>
      <c r="BM1647" s="2">
        <v>5.8</v>
      </c>
      <c r="BN1647" s="2">
        <v>47.24</v>
      </c>
      <c r="BO1647" s="2">
        <v>47.24</v>
      </c>
      <c r="BP1647" s="2"/>
      <c r="BQ1647" s="2" t="s">
        <v>108</v>
      </c>
      <c r="BR1647" s="2" t="s">
        <v>84</v>
      </c>
      <c r="BS1647" s="3">
        <v>42963</v>
      </c>
      <c r="BT1647" s="4">
        <v>0.3743055555555555</v>
      </c>
      <c r="BU1647" s="2" t="s">
        <v>501</v>
      </c>
      <c r="BV1647" s="2" t="s">
        <v>95</v>
      </c>
      <c r="BW1647" s="2"/>
      <c r="BX1647" s="2"/>
      <c r="BY1647" s="2">
        <v>1200</v>
      </c>
      <c r="BZ1647" s="2" t="s">
        <v>27</v>
      </c>
      <c r="CA1647" s="2" t="s">
        <v>294</v>
      </c>
      <c r="CB1647" s="2"/>
      <c r="CC1647" s="2" t="s">
        <v>98</v>
      </c>
      <c r="CD1647" s="2">
        <v>6001</v>
      </c>
      <c r="CE1647" s="2" t="s">
        <v>104</v>
      </c>
      <c r="CF1647" s="5">
        <v>42964</v>
      </c>
      <c r="CG1647" s="2"/>
      <c r="CH1647" s="2"/>
      <c r="CI1647" s="2">
        <v>1</v>
      </c>
      <c r="CJ1647" s="2">
        <v>1</v>
      </c>
      <c r="CK1647" s="2">
        <v>21</v>
      </c>
      <c r="CL1647" s="2" t="s">
        <v>86</v>
      </c>
      <c r="CM1647" s="2"/>
    </row>
    <row r="1648" spans="1:91">
      <c r="A1648" s="2" t="s">
        <v>71</v>
      </c>
      <c r="B1648" s="2" t="s">
        <v>72</v>
      </c>
      <c r="C1648" s="2" t="s">
        <v>73</v>
      </c>
      <c r="D1648" s="2"/>
      <c r="E1648" s="2" t="str">
        <f>"FES1162568876"</f>
        <v>FES1162568876</v>
      </c>
      <c r="F1648" s="3">
        <v>42962</v>
      </c>
      <c r="G1648" s="2">
        <v>201802</v>
      </c>
      <c r="H1648" s="2" t="s">
        <v>74</v>
      </c>
      <c r="I1648" s="2" t="s">
        <v>75</v>
      </c>
      <c r="J1648" s="2" t="s">
        <v>76</v>
      </c>
      <c r="K1648" s="2" t="s">
        <v>77</v>
      </c>
      <c r="L1648" s="2" t="s">
        <v>144</v>
      </c>
      <c r="M1648" s="2" t="s">
        <v>145</v>
      </c>
      <c r="N1648" s="2" t="s">
        <v>146</v>
      </c>
      <c r="O1648" s="2" t="s">
        <v>100</v>
      </c>
      <c r="P1648" s="2" t="str">
        <f>"2170584935                    "</f>
        <v xml:space="preserve">2170584935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3.13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1.5</v>
      </c>
      <c r="BJ1648" s="2">
        <v>0.7</v>
      </c>
      <c r="BK1648" s="2">
        <v>2</v>
      </c>
      <c r="BL1648" s="2">
        <v>32.380000000000003</v>
      </c>
      <c r="BM1648" s="2">
        <v>4.53</v>
      </c>
      <c r="BN1648" s="2">
        <v>36.909999999999997</v>
      </c>
      <c r="BO1648" s="2">
        <v>36.909999999999997</v>
      </c>
      <c r="BP1648" s="2"/>
      <c r="BQ1648" s="2" t="s">
        <v>83</v>
      </c>
      <c r="BR1648" s="2" t="s">
        <v>84</v>
      </c>
      <c r="BS1648" s="3">
        <v>42963</v>
      </c>
      <c r="BT1648" s="4">
        <v>0.37152777777777773</v>
      </c>
      <c r="BU1648" s="2" t="s">
        <v>273</v>
      </c>
      <c r="BV1648" s="2" t="s">
        <v>95</v>
      </c>
      <c r="BW1648" s="2"/>
      <c r="BX1648" s="2"/>
      <c r="BY1648" s="2">
        <v>3592.59</v>
      </c>
      <c r="BZ1648" s="2" t="s">
        <v>27</v>
      </c>
      <c r="CA1648" s="2" t="s">
        <v>274</v>
      </c>
      <c r="CB1648" s="2"/>
      <c r="CC1648" s="2" t="s">
        <v>145</v>
      </c>
      <c r="CD1648" s="2">
        <v>2094</v>
      </c>
      <c r="CE1648" s="2" t="s">
        <v>89</v>
      </c>
      <c r="CF1648" s="5">
        <v>42964</v>
      </c>
      <c r="CG1648" s="2"/>
      <c r="CH1648" s="2"/>
      <c r="CI1648" s="2">
        <v>1</v>
      </c>
      <c r="CJ1648" s="2">
        <v>1</v>
      </c>
      <c r="CK1648" s="2">
        <v>22</v>
      </c>
      <c r="CL1648" s="2" t="s">
        <v>86</v>
      </c>
      <c r="CM1648" s="2"/>
    </row>
    <row r="1649" spans="1:91">
      <c r="A1649" s="2" t="s">
        <v>71</v>
      </c>
      <c r="B1649" s="2" t="s">
        <v>72</v>
      </c>
      <c r="C1649" s="2" t="s">
        <v>73</v>
      </c>
      <c r="D1649" s="2"/>
      <c r="E1649" s="2" t="str">
        <f>"FES1162568885"</f>
        <v>FES1162568885</v>
      </c>
      <c r="F1649" s="3">
        <v>42962</v>
      </c>
      <c r="G1649" s="2">
        <v>201802</v>
      </c>
      <c r="H1649" s="2" t="s">
        <v>74</v>
      </c>
      <c r="I1649" s="2" t="s">
        <v>75</v>
      </c>
      <c r="J1649" s="2" t="s">
        <v>76</v>
      </c>
      <c r="K1649" s="2" t="s">
        <v>77</v>
      </c>
      <c r="L1649" s="2" t="s">
        <v>1202</v>
      </c>
      <c r="M1649" s="2" t="s">
        <v>1203</v>
      </c>
      <c r="N1649" s="2" t="s">
        <v>2296</v>
      </c>
      <c r="O1649" s="2" t="s">
        <v>100</v>
      </c>
      <c r="P1649" s="2" t="str">
        <f>"2170579031                    "</f>
        <v xml:space="preserve">2170579031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3.13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2.2000000000000002</v>
      </c>
      <c r="BJ1649" s="2">
        <v>1.7</v>
      </c>
      <c r="BK1649" s="2">
        <v>3</v>
      </c>
      <c r="BL1649" s="2">
        <v>32.380000000000003</v>
      </c>
      <c r="BM1649" s="2">
        <v>4.53</v>
      </c>
      <c r="BN1649" s="2">
        <v>36.909999999999997</v>
      </c>
      <c r="BO1649" s="2">
        <v>36.909999999999997</v>
      </c>
      <c r="BP1649" s="2"/>
      <c r="BQ1649" s="2" t="s">
        <v>108</v>
      </c>
      <c r="BR1649" s="2" t="s">
        <v>84</v>
      </c>
      <c r="BS1649" s="3">
        <v>42963</v>
      </c>
      <c r="BT1649" s="4">
        <v>0.34097222222222223</v>
      </c>
      <c r="BU1649" s="2" t="s">
        <v>2334</v>
      </c>
      <c r="BV1649" s="2" t="s">
        <v>95</v>
      </c>
      <c r="BW1649" s="2"/>
      <c r="BX1649" s="2"/>
      <c r="BY1649" s="2">
        <v>8392.32</v>
      </c>
      <c r="BZ1649" s="2" t="s">
        <v>27</v>
      </c>
      <c r="CA1649" s="2" t="s">
        <v>423</v>
      </c>
      <c r="CB1649" s="2"/>
      <c r="CC1649" s="2" t="s">
        <v>1203</v>
      </c>
      <c r="CD1649" s="2">
        <v>1501</v>
      </c>
      <c r="CE1649" s="2" t="s">
        <v>89</v>
      </c>
      <c r="CF1649" s="5">
        <v>42964</v>
      </c>
      <c r="CG1649" s="2"/>
      <c r="CH1649" s="2"/>
      <c r="CI1649" s="2">
        <v>1</v>
      </c>
      <c r="CJ1649" s="2">
        <v>1</v>
      </c>
      <c r="CK1649" s="2">
        <v>22</v>
      </c>
      <c r="CL1649" s="2" t="s">
        <v>86</v>
      </c>
      <c r="CM1649" s="2"/>
    </row>
    <row r="1650" spans="1:91">
      <c r="A1650" s="2" t="s">
        <v>71</v>
      </c>
      <c r="B1650" s="2" t="s">
        <v>72</v>
      </c>
      <c r="C1650" s="2" t="s">
        <v>73</v>
      </c>
      <c r="D1650" s="2"/>
      <c r="E1650" s="2" t="str">
        <f>"FES1162568994"</f>
        <v>FES1162568994</v>
      </c>
      <c r="F1650" s="3">
        <v>42962</v>
      </c>
      <c r="G1650" s="2">
        <v>201802</v>
      </c>
      <c r="H1650" s="2" t="s">
        <v>74</v>
      </c>
      <c r="I1650" s="2" t="s">
        <v>75</v>
      </c>
      <c r="J1650" s="2" t="s">
        <v>76</v>
      </c>
      <c r="K1650" s="2" t="s">
        <v>77</v>
      </c>
      <c r="L1650" s="2" t="s">
        <v>343</v>
      </c>
      <c r="M1650" s="2" t="s">
        <v>344</v>
      </c>
      <c r="N1650" s="2" t="s">
        <v>351</v>
      </c>
      <c r="O1650" s="2" t="s">
        <v>100</v>
      </c>
      <c r="P1650" s="2" t="str">
        <f>"2170581982                    "</f>
        <v xml:space="preserve">2170581982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10.01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5</v>
      </c>
      <c r="BJ1650" s="2">
        <v>1.8</v>
      </c>
      <c r="BK1650" s="2">
        <v>5</v>
      </c>
      <c r="BL1650" s="2">
        <v>103.61</v>
      </c>
      <c r="BM1650" s="2">
        <v>14.51</v>
      </c>
      <c r="BN1650" s="2">
        <v>118.12</v>
      </c>
      <c r="BO1650" s="2">
        <v>118.12</v>
      </c>
      <c r="BP1650" s="2"/>
      <c r="BQ1650" s="2" t="s">
        <v>108</v>
      </c>
      <c r="BR1650" s="2" t="s">
        <v>84</v>
      </c>
      <c r="BS1650" s="3">
        <v>42963</v>
      </c>
      <c r="BT1650" s="4">
        <v>0.39583333333333331</v>
      </c>
      <c r="BU1650" s="2" t="s">
        <v>352</v>
      </c>
      <c r="BV1650" s="2" t="s">
        <v>95</v>
      </c>
      <c r="BW1650" s="2"/>
      <c r="BX1650" s="2"/>
      <c r="BY1650" s="2">
        <v>8799.64</v>
      </c>
      <c r="BZ1650" s="2" t="s">
        <v>27</v>
      </c>
      <c r="CA1650" s="2" t="s">
        <v>347</v>
      </c>
      <c r="CB1650" s="2"/>
      <c r="CC1650" s="2" t="s">
        <v>344</v>
      </c>
      <c r="CD1650" s="2">
        <v>4133</v>
      </c>
      <c r="CE1650" s="2" t="s">
        <v>135</v>
      </c>
      <c r="CF1650" s="5">
        <v>42964</v>
      </c>
      <c r="CG1650" s="2"/>
      <c r="CH1650" s="2"/>
      <c r="CI1650" s="2">
        <v>1</v>
      </c>
      <c r="CJ1650" s="2">
        <v>1</v>
      </c>
      <c r="CK1650" s="2">
        <v>21</v>
      </c>
      <c r="CL1650" s="2" t="s">
        <v>86</v>
      </c>
      <c r="CM1650" s="2"/>
    </row>
    <row r="1651" spans="1:91">
      <c r="A1651" s="2" t="s">
        <v>71</v>
      </c>
      <c r="B1651" s="2" t="s">
        <v>72</v>
      </c>
      <c r="C1651" s="2" t="s">
        <v>73</v>
      </c>
      <c r="D1651" s="2"/>
      <c r="E1651" s="2" t="str">
        <f>"FES1162568902"</f>
        <v>FES1162568902</v>
      </c>
      <c r="F1651" s="3">
        <v>42962</v>
      </c>
      <c r="G1651" s="2">
        <v>201802</v>
      </c>
      <c r="H1651" s="2" t="s">
        <v>74</v>
      </c>
      <c r="I1651" s="2" t="s">
        <v>75</v>
      </c>
      <c r="J1651" s="2" t="s">
        <v>76</v>
      </c>
      <c r="K1651" s="2" t="s">
        <v>77</v>
      </c>
      <c r="L1651" s="2" t="s">
        <v>170</v>
      </c>
      <c r="M1651" s="2" t="s">
        <v>171</v>
      </c>
      <c r="N1651" s="2" t="s">
        <v>2335</v>
      </c>
      <c r="O1651" s="2" t="s">
        <v>100</v>
      </c>
      <c r="P1651" s="2" t="str">
        <f>"2170582255                    "</f>
        <v xml:space="preserve">2170582255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3.13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1</v>
      </c>
      <c r="BJ1651" s="2">
        <v>0.2</v>
      </c>
      <c r="BK1651" s="2">
        <v>1</v>
      </c>
      <c r="BL1651" s="2">
        <v>32.380000000000003</v>
      </c>
      <c r="BM1651" s="2">
        <v>4.53</v>
      </c>
      <c r="BN1651" s="2">
        <v>36.909999999999997</v>
      </c>
      <c r="BO1651" s="2">
        <v>36.909999999999997</v>
      </c>
      <c r="BP1651" s="2"/>
      <c r="BQ1651" s="2" t="s">
        <v>108</v>
      </c>
      <c r="BR1651" s="2" t="s">
        <v>84</v>
      </c>
      <c r="BS1651" s="3">
        <v>42963</v>
      </c>
      <c r="BT1651" s="4">
        <v>0.49722222222222223</v>
      </c>
      <c r="BU1651" s="2" t="s">
        <v>2336</v>
      </c>
      <c r="BV1651" s="2" t="s">
        <v>86</v>
      </c>
      <c r="BW1651" s="2" t="s">
        <v>110</v>
      </c>
      <c r="BX1651" s="2" t="s">
        <v>327</v>
      </c>
      <c r="BY1651" s="2">
        <v>1200</v>
      </c>
      <c r="BZ1651" s="2" t="s">
        <v>27</v>
      </c>
      <c r="CA1651" s="2" t="s">
        <v>492</v>
      </c>
      <c r="CB1651" s="2"/>
      <c r="CC1651" s="2" t="s">
        <v>171</v>
      </c>
      <c r="CD1651" s="2">
        <v>1422</v>
      </c>
      <c r="CE1651" s="2" t="s">
        <v>104</v>
      </c>
      <c r="CF1651" s="5">
        <v>42964</v>
      </c>
      <c r="CG1651" s="2"/>
      <c r="CH1651" s="2"/>
      <c r="CI1651" s="2">
        <v>1</v>
      </c>
      <c r="CJ1651" s="2">
        <v>1</v>
      </c>
      <c r="CK1651" s="2">
        <v>22</v>
      </c>
      <c r="CL1651" s="2" t="s">
        <v>86</v>
      </c>
      <c r="CM1651" s="2"/>
    </row>
    <row r="1652" spans="1:91">
      <c r="A1652" s="2" t="s">
        <v>71</v>
      </c>
      <c r="B1652" s="2" t="s">
        <v>72</v>
      </c>
      <c r="C1652" s="2" t="s">
        <v>73</v>
      </c>
      <c r="D1652" s="2"/>
      <c r="E1652" s="2" t="str">
        <f>"FES1162569050"</f>
        <v>FES1162569050</v>
      </c>
      <c r="F1652" s="3">
        <v>42962</v>
      </c>
      <c r="G1652" s="2">
        <v>201802</v>
      </c>
      <c r="H1652" s="2" t="s">
        <v>74</v>
      </c>
      <c r="I1652" s="2" t="s">
        <v>75</v>
      </c>
      <c r="J1652" s="2" t="s">
        <v>76</v>
      </c>
      <c r="K1652" s="2" t="s">
        <v>77</v>
      </c>
      <c r="L1652" s="2" t="s">
        <v>105</v>
      </c>
      <c r="M1652" s="2" t="s">
        <v>106</v>
      </c>
      <c r="N1652" s="2" t="s">
        <v>705</v>
      </c>
      <c r="O1652" s="2" t="s">
        <v>100</v>
      </c>
      <c r="P1652" s="2" t="str">
        <f>"2170585034                    "</f>
        <v xml:space="preserve">2170585034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8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3.7</v>
      </c>
      <c r="BJ1652" s="2">
        <v>3.6</v>
      </c>
      <c r="BK1652" s="2">
        <v>4</v>
      </c>
      <c r="BL1652" s="2">
        <v>82.88</v>
      </c>
      <c r="BM1652" s="2">
        <v>11.6</v>
      </c>
      <c r="BN1652" s="2">
        <v>94.48</v>
      </c>
      <c r="BO1652" s="2">
        <v>94.48</v>
      </c>
      <c r="BP1652" s="2"/>
      <c r="BQ1652" s="2" t="s">
        <v>108</v>
      </c>
      <c r="BR1652" s="2" t="s">
        <v>84</v>
      </c>
      <c r="BS1652" s="3">
        <v>42963</v>
      </c>
      <c r="BT1652" s="4">
        <v>0.45694444444444443</v>
      </c>
      <c r="BU1652" s="2" t="s">
        <v>2275</v>
      </c>
      <c r="BV1652" s="2" t="s">
        <v>95</v>
      </c>
      <c r="BW1652" s="2"/>
      <c r="BX1652" s="2"/>
      <c r="BY1652" s="2">
        <v>17757.8</v>
      </c>
      <c r="BZ1652" s="2" t="s">
        <v>27</v>
      </c>
      <c r="CA1652" s="2" t="s">
        <v>488</v>
      </c>
      <c r="CB1652" s="2"/>
      <c r="CC1652" s="2" t="s">
        <v>106</v>
      </c>
      <c r="CD1652" s="2">
        <v>7441</v>
      </c>
      <c r="CE1652" s="2" t="s">
        <v>89</v>
      </c>
      <c r="CF1652" s="5">
        <v>42964</v>
      </c>
      <c r="CG1652" s="2"/>
      <c r="CH1652" s="2"/>
      <c r="CI1652" s="2">
        <v>1</v>
      </c>
      <c r="CJ1652" s="2">
        <v>1</v>
      </c>
      <c r="CK1652" s="2">
        <v>21</v>
      </c>
      <c r="CL1652" s="2" t="s">
        <v>86</v>
      </c>
      <c r="CM1652" s="2"/>
    </row>
    <row r="1653" spans="1:91">
      <c r="A1653" s="2" t="s">
        <v>71</v>
      </c>
      <c r="B1653" s="2" t="s">
        <v>72</v>
      </c>
      <c r="C1653" s="2" t="s">
        <v>73</v>
      </c>
      <c r="D1653" s="2"/>
      <c r="E1653" s="2" t="str">
        <f>"FES1162568954"</f>
        <v>FES1162568954</v>
      </c>
      <c r="F1653" s="3">
        <v>42962</v>
      </c>
      <c r="G1653" s="2">
        <v>201802</v>
      </c>
      <c r="H1653" s="2" t="s">
        <v>74</v>
      </c>
      <c r="I1653" s="2" t="s">
        <v>75</v>
      </c>
      <c r="J1653" s="2" t="s">
        <v>76</v>
      </c>
      <c r="K1653" s="2" t="s">
        <v>77</v>
      </c>
      <c r="L1653" s="2" t="s">
        <v>244</v>
      </c>
      <c r="M1653" s="2" t="s">
        <v>245</v>
      </c>
      <c r="N1653" s="2" t="s">
        <v>882</v>
      </c>
      <c r="O1653" s="2" t="s">
        <v>100</v>
      </c>
      <c r="P1653" s="2" t="str">
        <f>"2170584961                    "</f>
        <v xml:space="preserve">2170584961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3.13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1</v>
      </c>
      <c r="BJ1653" s="2">
        <v>0.2</v>
      </c>
      <c r="BK1653" s="2">
        <v>1</v>
      </c>
      <c r="BL1653" s="2">
        <v>32.380000000000003</v>
      </c>
      <c r="BM1653" s="2">
        <v>4.53</v>
      </c>
      <c r="BN1653" s="2">
        <v>36.909999999999997</v>
      </c>
      <c r="BO1653" s="2">
        <v>36.909999999999997</v>
      </c>
      <c r="BP1653" s="2"/>
      <c r="BQ1653" s="2" t="s">
        <v>108</v>
      </c>
      <c r="BR1653" s="2" t="s">
        <v>84</v>
      </c>
      <c r="BS1653" s="3">
        <v>42963</v>
      </c>
      <c r="BT1653" s="4">
        <v>0.3034722222222222</v>
      </c>
      <c r="BU1653" s="2" t="s">
        <v>2329</v>
      </c>
      <c r="BV1653" s="2" t="s">
        <v>95</v>
      </c>
      <c r="BW1653" s="2"/>
      <c r="BX1653" s="2"/>
      <c r="BY1653" s="2">
        <v>1200</v>
      </c>
      <c r="BZ1653" s="2" t="s">
        <v>27</v>
      </c>
      <c r="CA1653" s="2" t="s">
        <v>426</v>
      </c>
      <c r="CB1653" s="2"/>
      <c r="CC1653" s="2" t="s">
        <v>245</v>
      </c>
      <c r="CD1653" s="2">
        <v>1459</v>
      </c>
      <c r="CE1653" s="2" t="s">
        <v>104</v>
      </c>
      <c r="CF1653" s="5">
        <v>42964</v>
      </c>
      <c r="CG1653" s="2"/>
      <c r="CH1653" s="2"/>
      <c r="CI1653" s="2">
        <v>1</v>
      </c>
      <c r="CJ1653" s="2">
        <v>1</v>
      </c>
      <c r="CK1653" s="2">
        <v>22</v>
      </c>
      <c r="CL1653" s="2" t="s">
        <v>86</v>
      </c>
      <c r="CM1653" s="2"/>
    </row>
    <row r="1654" spans="1:91">
      <c r="A1654" s="2" t="s">
        <v>71</v>
      </c>
      <c r="B1654" s="2" t="s">
        <v>72</v>
      </c>
      <c r="C1654" s="2" t="s">
        <v>73</v>
      </c>
      <c r="D1654" s="2"/>
      <c r="E1654" s="2" t="str">
        <f>"FES1162568912"</f>
        <v>FES1162568912</v>
      </c>
      <c r="F1654" s="3">
        <v>42962</v>
      </c>
      <c r="G1654" s="2">
        <v>201802</v>
      </c>
      <c r="H1654" s="2" t="s">
        <v>74</v>
      </c>
      <c r="I1654" s="2" t="s">
        <v>75</v>
      </c>
      <c r="J1654" s="2" t="s">
        <v>76</v>
      </c>
      <c r="K1654" s="2" t="s">
        <v>77</v>
      </c>
      <c r="L1654" s="2" t="s">
        <v>216</v>
      </c>
      <c r="M1654" s="2" t="s">
        <v>217</v>
      </c>
      <c r="N1654" s="2" t="s">
        <v>2337</v>
      </c>
      <c r="O1654" s="2" t="s">
        <v>100</v>
      </c>
      <c r="P1654" s="2" t="str">
        <f>"2170582616                    "</f>
        <v xml:space="preserve">2170582616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3.13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1</v>
      </c>
      <c r="BJ1654" s="2">
        <v>0.2</v>
      </c>
      <c r="BK1654" s="2">
        <v>1</v>
      </c>
      <c r="BL1654" s="2">
        <v>32.380000000000003</v>
      </c>
      <c r="BM1654" s="2">
        <v>4.53</v>
      </c>
      <c r="BN1654" s="2">
        <v>36.909999999999997</v>
      </c>
      <c r="BO1654" s="2">
        <v>36.909999999999997</v>
      </c>
      <c r="BP1654" s="2"/>
      <c r="BQ1654" s="2" t="s">
        <v>108</v>
      </c>
      <c r="BR1654" s="2" t="s">
        <v>84</v>
      </c>
      <c r="BS1654" s="3">
        <v>42963</v>
      </c>
      <c r="BT1654" s="4">
        <v>0.4375</v>
      </c>
      <c r="BU1654" s="2" t="s">
        <v>2338</v>
      </c>
      <c r="BV1654" s="2" t="s">
        <v>95</v>
      </c>
      <c r="BW1654" s="2"/>
      <c r="BX1654" s="2"/>
      <c r="BY1654" s="2">
        <v>1200</v>
      </c>
      <c r="BZ1654" s="2" t="s">
        <v>27</v>
      </c>
      <c r="CA1654" s="2" t="s">
        <v>220</v>
      </c>
      <c r="CB1654" s="2"/>
      <c r="CC1654" s="2" t="s">
        <v>217</v>
      </c>
      <c r="CD1654" s="2">
        <v>1451</v>
      </c>
      <c r="CE1654" s="2" t="s">
        <v>104</v>
      </c>
      <c r="CF1654" s="5">
        <v>42964</v>
      </c>
      <c r="CG1654" s="2"/>
      <c r="CH1654" s="2"/>
      <c r="CI1654" s="2">
        <v>1</v>
      </c>
      <c r="CJ1654" s="2">
        <v>1</v>
      </c>
      <c r="CK1654" s="2">
        <v>22</v>
      </c>
      <c r="CL1654" s="2" t="s">
        <v>86</v>
      </c>
      <c r="CM1654" s="2"/>
    </row>
    <row r="1655" spans="1:91">
      <c r="A1655" s="2" t="s">
        <v>71</v>
      </c>
      <c r="B1655" s="2" t="s">
        <v>72</v>
      </c>
      <c r="C1655" s="2" t="s">
        <v>73</v>
      </c>
      <c r="D1655" s="2"/>
      <c r="E1655" s="2" t="str">
        <f>"FES1162568953"</f>
        <v>FES1162568953</v>
      </c>
      <c r="F1655" s="3">
        <v>42962</v>
      </c>
      <c r="G1655" s="2">
        <v>201802</v>
      </c>
      <c r="H1655" s="2" t="s">
        <v>74</v>
      </c>
      <c r="I1655" s="2" t="s">
        <v>75</v>
      </c>
      <c r="J1655" s="2" t="s">
        <v>76</v>
      </c>
      <c r="K1655" s="2" t="s">
        <v>77</v>
      </c>
      <c r="L1655" s="2" t="s">
        <v>144</v>
      </c>
      <c r="M1655" s="2" t="s">
        <v>145</v>
      </c>
      <c r="N1655" s="2" t="s">
        <v>1578</v>
      </c>
      <c r="O1655" s="2" t="s">
        <v>100</v>
      </c>
      <c r="P1655" s="2" t="str">
        <f>"2170584958                    "</f>
        <v xml:space="preserve">2170584958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3.13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2</v>
      </c>
      <c r="BI1655" s="2">
        <v>2.7</v>
      </c>
      <c r="BJ1655" s="2">
        <v>3.1</v>
      </c>
      <c r="BK1655" s="2">
        <v>4</v>
      </c>
      <c r="BL1655" s="2">
        <v>32.380000000000003</v>
      </c>
      <c r="BM1655" s="2">
        <v>4.53</v>
      </c>
      <c r="BN1655" s="2">
        <v>36.909999999999997</v>
      </c>
      <c r="BO1655" s="2">
        <v>36.909999999999997</v>
      </c>
      <c r="BP1655" s="2"/>
      <c r="BQ1655" s="2" t="s">
        <v>108</v>
      </c>
      <c r="BR1655" s="2" t="s">
        <v>84</v>
      </c>
      <c r="BS1655" s="3">
        <v>42963</v>
      </c>
      <c r="BT1655" s="4">
        <v>0.43541666666666662</v>
      </c>
      <c r="BU1655" s="2" t="s">
        <v>2339</v>
      </c>
      <c r="BV1655" s="2" t="s">
        <v>95</v>
      </c>
      <c r="BW1655" s="2"/>
      <c r="BX1655" s="2"/>
      <c r="BY1655" s="2">
        <v>15396.74</v>
      </c>
      <c r="BZ1655" s="2" t="s">
        <v>27</v>
      </c>
      <c r="CA1655" s="2" t="s">
        <v>274</v>
      </c>
      <c r="CB1655" s="2"/>
      <c r="CC1655" s="2" t="s">
        <v>145</v>
      </c>
      <c r="CD1655" s="2">
        <v>2197</v>
      </c>
      <c r="CE1655" s="2" t="s">
        <v>89</v>
      </c>
      <c r="CF1655" s="5">
        <v>42964</v>
      </c>
      <c r="CG1655" s="2"/>
      <c r="CH1655" s="2"/>
      <c r="CI1655" s="2">
        <v>1</v>
      </c>
      <c r="CJ1655" s="2">
        <v>1</v>
      </c>
      <c r="CK1655" s="2">
        <v>22</v>
      </c>
      <c r="CL1655" s="2" t="s">
        <v>86</v>
      </c>
      <c r="CM1655" s="2"/>
    </row>
    <row r="1656" spans="1:91">
      <c r="A1656" s="2" t="s">
        <v>71</v>
      </c>
      <c r="B1656" s="2" t="s">
        <v>72</v>
      </c>
      <c r="C1656" s="2" t="s">
        <v>73</v>
      </c>
      <c r="D1656" s="2"/>
      <c r="E1656" s="2" t="str">
        <f>"FES1162568993"</f>
        <v>FES1162568993</v>
      </c>
      <c r="F1656" s="3">
        <v>42962</v>
      </c>
      <c r="G1656" s="2">
        <v>201802</v>
      </c>
      <c r="H1656" s="2" t="s">
        <v>74</v>
      </c>
      <c r="I1656" s="2" t="s">
        <v>75</v>
      </c>
      <c r="J1656" s="2" t="s">
        <v>76</v>
      </c>
      <c r="K1656" s="2" t="s">
        <v>77</v>
      </c>
      <c r="L1656" s="2" t="s">
        <v>137</v>
      </c>
      <c r="M1656" s="2" t="s">
        <v>138</v>
      </c>
      <c r="N1656" s="2" t="s">
        <v>368</v>
      </c>
      <c r="O1656" s="2" t="s">
        <v>100</v>
      </c>
      <c r="P1656" s="2" t="str">
        <f>"2170581898                    "</f>
        <v xml:space="preserve">2170581898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4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1</v>
      </c>
      <c r="BJ1656" s="2">
        <v>0.2</v>
      </c>
      <c r="BK1656" s="2">
        <v>1</v>
      </c>
      <c r="BL1656" s="2">
        <v>41.44</v>
      </c>
      <c r="BM1656" s="2">
        <v>5.8</v>
      </c>
      <c r="BN1656" s="2">
        <v>47.24</v>
      </c>
      <c r="BO1656" s="2">
        <v>47.24</v>
      </c>
      <c r="BP1656" s="2"/>
      <c r="BQ1656" s="2" t="s">
        <v>108</v>
      </c>
      <c r="BR1656" s="2" t="s">
        <v>84</v>
      </c>
      <c r="BS1656" s="3">
        <v>42963</v>
      </c>
      <c r="BT1656" s="4">
        <v>0.33888888888888885</v>
      </c>
      <c r="BU1656" s="2" t="s">
        <v>369</v>
      </c>
      <c r="BV1656" s="2" t="s">
        <v>95</v>
      </c>
      <c r="BW1656" s="2"/>
      <c r="BX1656" s="2"/>
      <c r="BY1656" s="2">
        <v>1200</v>
      </c>
      <c r="BZ1656" s="2" t="s">
        <v>27</v>
      </c>
      <c r="CA1656" s="2"/>
      <c r="CB1656" s="2"/>
      <c r="CC1656" s="2" t="s">
        <v>138</v>
      </c>
      <c r="CD1656" s="2">
        <v>157</v>
      </c>
      <c r="CE1656" s="2" t="s">
        <v>104</v>
      </c>
      <c r="CF1656" s="5">
        <v>42964</v>
      </c>
      <c r="CG1656" s="2"/>
      <c r="CH1656" s="2"/>
      <c r="CI1656" s="2">
        <v>1</v>
      </c>
      <c r="CJ1656" s="2">
        <v>1</v>
      </c>
      <c r="CK1656" s="2">
        <v>21</v>
      </c>
      <c r="CL1656" s="2" t="s">
        <v>86</v>
      </c>
      <c r="CM1656" s="2"/>
    </row>
    <row r="1657" spans="1:91">
      <c r="A1657" s="2" t="s">
        <v>71</v>
      </c>
      <c r="B1657" s="2" t="s">
        <v>72</v>
      </c>
      <c r="C1657" s="2" t="s">
        <v>73</v>
      </c>
      <c r="D1657" s="2"/>
      <c r="E1657" s="2" t="str">
        <f>"FES1162568898"</f>
        <v>FES1162568898</v>
      </c>
      <c r="F1657" s="3">
        <v>42962</v>
      </c>
      <c r="G1657" s="2">
        <v>201802</v>
      </c>
      <c r="H1657" s="2" t="s">
        <v>74</v>
      </c>
      <c r="I1657" s="2" t="s">
        <v>75</v>
      </c>
      <c r="J1657" s="2" t="s">
        <v>76</v>
      </c>
      <c r="K1657" s="2" t="s">
        <v>77</v>
      </c>
      <c r="L1657" s="2" t="s">
        <v>170</v>
      </c>
      <c r="M1657" s="2" t="s">
        <v>171</v>
      </c>
      <c r="N1657" s="2" t="s">
        <v>2340</v>
      </c>
      <c r="O1657" s="2" t="s">
        <v>100</v>
      </c>
      <c r="P1657" s="2" t="str">
        <f>"2170582199                    "</f>
        <v xml:space="preserve">2170582199 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3.13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1</v>
      </c>
      <c r="BJ1657" s="2">
        <v>0.2</v>
      </c>
      <c r="BK1657" s="2">
        <v>1</v>
      </c>
      <c r="BL1657" s="2">
        <v>32.380000000000003</v>
      </c>
      <c r="BM1657" s="2">
        <v>4.53</v>
      </c>
      <c r="BN1657" s="2">
        <v>36.909999999999997</v>
      </c>
      <c r="BO1657" s="2">
        <v>36.909999999999997</v>
      </c>
      <c r="BP1657" s="2"/>
      <c r="BQ1657" s="2" t="s">
        <v>108</v>
      </c>
      <c r="BR1657" s="2" t="s">
        <v>84</v>
      </c>
      <c r="BS1657" s="3">
        <v>42963</v>
      </c>
      <c r="BT1657" s="4">
        <v>0.38750000000000001</v>
      </c>
      <c r="BU1657" s="2" t="s">
        <v>2341</v>
      </c>
      <c r="BV1657" s="2" t="s">
        <v>95</v>
      </c>
      <c r="BW1657" s="2"/>
      <c r="BX1657" s="2"/>
      <c r="BY1657" s="2">
        <v>1200</v>
      </c>
      <c r="BZ1657" s="2" t="s">
        <v>27</v>
      </c>
      <c r="CA1657" s="2" t="s">
        <v>492</v>
      </c>
      <c r="CB1657" s="2"/>
      <c r="CC1657" s="2" t="s">
        <v>171</v>
      </c>
      <c r="CD1657" s="2">
        <v>1428</v>
      </c>
      <c r="CE1657" s="2" t="s">
        <v>104</v>
      </c>
      <c r="CF1657" s="5">
        <v>42964</v>
      </c>
      <c r="CG1657" s="2"/>
      <c r="CH1657" s="2"/>
      <c r="CI1657" s="2">
        <v>1</v>
      </c>
      <c r="CJ1657" s="2">
        <v>1</v>
      </c>
      <c r="CK1657" s="2">
        <v>22</v>
      </c>
      <c r="CL1657" s="2" t="s">
        <v>86</v>
      </c>
      <c r="CM1657" s="2"/>
    </row>
    <row r="1658" spans="1:91">
      <c r="A1658" s="2" t="s">
        <v>71</v>
      </c>
      <c r="B1658" s="2" t="s">
        <v>72</v>
      </c>
      <c r="C1658" s="2" t="s">
        <v>73</v>
      </c>
      <c r="D1658" s="2"/>
      <c r="E1658" s="2" t="str">
        <f>"FES1162568918"</f>
        <v>FES1162568918</v>
      </c>
      <c r="F1658" s="3">
        <v>42962</v>
      </c>
      <c r="G1658" s="2">
        <v>201802</v>
      </c>
      <c r="H1658" s="2" t="s">
        <v>74</v>
      </c>
      <c r="I1658" s="2" t="s">
        <v>75</v>
      </c>
      <c r="J1658" s="2" t="s">
        <v>76</v>
      </c>
      <c r="K1658" s="2" t="s">
        <v>77</v>
      </c>
      <c r="L1658" s="2" t="s">
        <v>170</v>
      </c>
      <c r="M1658" s="2" t="s">
        <v>171</v>
      </c>
      <c r="N1658" s="2" t="s">
        <v>1935</v>
      </c>
      <c r="O1658" s="2" t="s">
        <v>100</v>
      </c>
      <c r="P1658" s="2" t="str">
        <f>"2170582746                    "</f>
        <v xml:space="preserve">2170582746 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3.13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1</v>
      </c>
      <c r="BJ1658" s="2">
        <v>0.2</v>
      </c>
      <c r="BK1658" s="2">
        <v>1</v>
      </c>
      <c r="BL1658" s="2">
        <v>32.380000000000003</v>
      </c>
      <c r="BM1658" s="2">
        <v>4.53</v>
      </c>
      <c r="BN1658" s="2">
        <v>36.909999999999997</v>
      </c>
      <c r="BO1658" s="2">
        <v>36.909999999999997</v>
      </c>
      <c r="BP1658" s="2"/>
      <c r="BQ1658" s="2" t="s">
        <v>108</v>
      </c>
      <c r="BR1658" s="2" t="s">
        <v>84</v>
      </c>
      <c r="BS1658" s="3">
        <v>42963</v>
      </c>
      <c r="BT1658" s="4">
        <v>0.39374999999999999</v>
      </c>
      <c r="BU1658" s="2" t="s">
        <v>2295</v>
      </c>
      <c r="BV1658" s="2" t="s">
        <v>95</v>
      </c>
      <c r="BW1658" s="2"/>
      <c r="BX1658" s="2"/>
      <c r="BY1658" s="2">
        <v>1200</v>
      </c>
      <c r="BZ1658" s="2" t="s">
        <v>27</v>
      </c>
      <c r="CA1658" s="2" t="s">
        <v>588</v>
      </c>
      <c r="CB1658" s="2"/>
      <c r="CC1658" s="2" t="s">
        <v>171</v>
      </c>
      <c r="CD1658" s="2">
        <v>1406</v>
      </c>
      <c r="CE1658" s="2" t="s">
        <v>104</v>
      </c>
      <c r="CF1658" s="5">
        <v>42964</v>
      </c>
      <c r="CG1658" s="2"/>
      <c r="CH1658" s="2"/>
      <c r="CI1658" s="2">
        <v>1</v>
      </c>
      <c r="CJ1658" s="2">
        <v>1</v>
      </c>
      <c r="CK1658" s="2">
        <v>22</v>
      </c>
      <c r="CL1658" s="2" t="s">
        <v>86</v>
      </c>
      <c r="CM1658" s="2"/>
    </row>
    <row r="1659" spans="1:91">
      <c r="A1659" s="2" t="s">
        <v>71</v>
      </c>
      <c r="B1659" s="2" t="s">
        <v>72</v>
      </c>
      <c r="C1659" s="2" t="s">
        <v>73</v>
      </c>
      <c r="D1659" s="2"/>
      <c r="E1659" s="2" t="str">
        <f>"FES1162568944"</f>
        <v>FES1162568944</v>
      </c>
      <c r="F1659" s="3">
        <v>42962</v>
      </c>
      <c r="G1659" s="2">
        <v>201802</v>
      </c>
      <c r="H1659" s="2" t="s">
        <v>74</v>
      </c>
      <c r="I1659" s="2" t="s">
        <v>75</v>
      </c>
      <c r="J1659" s="2" t="s">
        <v>76</v>
      </c>
      <c r="K1659" s="2" t="s">
        <v>77</v>
      </c>
      <c r="L1659" s="2" t="s">
        <v>97</v>
      </c>
      <c r="M1659" s="2" t="s">
        <v>98</v>
      </c>
      <c r="N1659" s="2" t="s">
        <v>119</v>
      </c>
      <c r="O1659" s="2" t="s">
        <v>100</v>
      </c>
      <c r="P1659" s="2" t="str">
        <f>"2170584269                    "</f>
        <v xml:space="preserve">2170584269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20.010000000000002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10</v>
      </c>
      <c r="BJ1659" s="2">
        <v>5.4</v>
      </c>
      <c r="BK1659" s="2">
        <v>10</v>
      </c>
      <c r="BL1659" s="2">
        <v>207.21</v>
      </c>
      <c r="BM1659" s="2">
        <v>29.01</v>
      </c>
      <c r="BN1659" s="2">
        <v>236.22</v>
      </c>
      <c r="BO1659" s="2">
        <v>236.22</v>
      </c>
      <c r="BP1659" s="2"/>
      <c r="BQ1659" s="2" t="s">
        <v>108</v>
      </c>
      <c r="BR1659" s="2" t="s">
        <v>84</v>
      </c>
      <c r="BS1659" s="3">
        <v>42963</v>
      </c>
      <c r="BT1659" s="4">
        <v>0.32916666666666666</v>
      </c>
      <c r="BU1659" s="2" t="s">
        <v>1554</v>
      </c>
      <c r="BV1659" s="2" t="s">
        <v>95</v>
      </c>
      <c r="BW1659" s="2"/>
      <c r="BX1659" s="2"/>
      <c r="BY1659" s="2">
        <v>27065.7</v>
      </c>
      <c r="BZ1659" s="2" t="s">
        <v>27</v>
      </c>
      <c r="CA1659" s="2" t="s">
        <v>213</v>
      </c>
      <c r="CB1659" s="2"/>
      <c r="CC1659" s="2" t="s">
        <v>98</v>
      </c>
      <c r="CD1659" s="2">
        <v>6001</v>
      </c>
      <c r="CE1659" s="2" t="s">
        <v>135</v>
      </c>
      <c r="CF1659" s="5">
        <v>42964</v>
      </c>
      <c r="CG1659" s="2"/>
      <c r="CH1659" s="2"/>
      <c r="CI1659" s="2">
        <v>1</v>
      </c>
      <c r="CJ1659" s="2">
        <v>1</v>
      </c>
      <c r="CK1659" s="2">
        <v>21</v>
      </c>
      <c r="CL1659" s="2" t="s">
        <v>86</v>
      </c>
      <c r="CM1659" s="2"/>
    </row>
    <row r="1660" spans="1:91">
      <c r="A1660" s="2" t="s">
        <v>71</v>
      </c>
      <c r="B1660" s="2" t="s">
        <v>72</v>
      </c>
      <c r="C1660" s="2" t="s">
        <v>73</v>
      </c>
      <c r="D1660" s="2"/>
      <c r="E1660" s="2" t="str">
        <f>"FES1162568936"</f>
        <v>FES1162568936</v>
      </c>
      <c r="F1660" s="3">
        <v>42962</v>
      </c>
      <c r="G1660" s="2">
        <v>201802</v>
      </c>
      <c r="H1660" s="2" t="s">
        <v>74</v>
      </c>
      <c r="I1660" s="2" t="s">
        <v>75</v>
      </c>
      <c r="J1660" s="2" t="s">
        <v>76</v>
      </c>
      <c r="K1660" s="2" t="s">
        <v>77</v>
      </c>
      <c r="L1660" s="2" t="s">
        <v>510</v>
      </c>
      <c r="M1660" s="2" t="s">
        <v>511</v>
      </c>
      <c r="N1660" s="2" t="s">
        <v>2342</v>
      </c>
      <c r="O1660" s="2" t="s">
        <v>100</v>
      </c>
      <c r="P1660" s="2" t="str">
        <f>"2170584240                    "</f>
        <v xml:space="preserve">2170584240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11.01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5.5</v>
      </c>
      <c r="BJ1660" s="2">
        <v>2.2999999999999998</v>
      </c>
      <c r="BK1660" s="2">
        <v>5.5</v>
      </c>
      <c r="BL1660" s="2">
        <v>113.97</v>
      </c>
      <c r="BM1660" s="2">
        <v>15.96</v>
      </c>
      <c r="BN1660" s="2">
        <v>129.93</v>
      </c>
      <c r="BO1660" s="2">
        <v>129.93</v>
      </c>
      <c r="BP1660" s="2"/>
      <c r="BQ1660" s="2" t="s">
        <v>288</v>
      </c>
      <c r="BR1660" s="2" t="s">
        <v>84</v>
      </c>
      <c r="BS1660" s="3">
        <v>42963</v>
      </c>
      <c r="BT1660" s="4">
        <v>0.32430555555555557</v>
      </c>
      <c r="BU1660" s="2" t="s">
        <v>2343</v>
      </c>
      <c r="BV1660" s="2" t="s">
        <v>95</v>
      </c>
      <c r="BW1660" s="2"/>
      <c r="BX1660" s="2"/>
      <c r="BY1660" s="2">
        <v>11433.31</v>
      </c>
      <c r="BZ1660" s="2" t="s">
        <v>27</v>
      </c>
      <c r="CA1660" s="2" t="s">
        <v>514</v>
      </c>
      <c r="CB1660" s="2"/>
      <c r="CC1660" s="2" t="s">
        <v>511</v>
      </c>
      <c r="CD1660" s="2">
        <v>6229</v>
      </c>
      <c r="CE1660" s="2" t="s">
        <v>89</v>
      </c>
      <c r="CF1660" s="2"/>
      <c r="CG1660" s="2"/>
      <c r="CH1660" s="2"/>
      <c r="CI1660" s="2">
        <v>1</v>
      </c>
      <c r="CJ1660" s="2">
        <v>1</v>
      </c>
      <c r="CK1660" s="2">
        <v>21</v>
      </c>
      <c r="CL1660" s="2" t="s">
        <v>86</v>
      </c>
      <c r="CM1660" s="2"/>
    </row>
    <row r="1661" spans="1:91">
      <c r="A1661" s="2" t="s">
        <v>71</v>
      </c>
      <c r="B1661" s="2" t="s">
        <v>72</v>
      </c>
      <c r="C1661" s="2" t="s">
        <v>73</v>
      </c>
      <c r="D1661" s="2"/>
      <c r="E1661" s="2" t="str">
        <f>"FES1162568857"</f>
        <v>FES1162568857</v>
      </c>
      <c r="F1661" s="3">
        <v>42962</v>
      </c>
      <c r="G1661" s="2">
        <v>201802</v>
      </c>
      <c r="H1661" s="2" t="s">
        <v>74</v>
      </c>
      <c r="I1661" s="2" t="s">
        <v>75</v>
      </c>
      <c r="J1661" s="2" t="s">
        <v>76</v>
      </c>
      <c r="K1661" s="2" t="s">
        <v>77</v>
      </c>
      <c r="L1661" s="2" t="s">
        <v>144</v>
      </c>
      <c r="M1661" s="2" t="s">
        <v>145</v>
      </c>
      <c r="N1661" s="2" t="s">
        <v>1711</v>
      </c>
      <c r="O1661" s="2" t="s">
        <v>100</v>
      </c>
      <c r="P1661" s="2" t="str">
        <f>"2170582460                    "</f>
        <v xml:space="preserve">2170582460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3.13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1</v>
      </c>
      <c r="BI1661" s="2">
        <v>0.3</v>
      </c>
      <c r="BJ1661" s="2">
        <v>1.3</v>
      </c>
      <c r="BK1661" s="2">
        <v>2</v>
      </c>
      <c r="BL1661" s="2">
        <v>32.380000000000003</v>
      </c>
      <c r="BM1661" s="2">
        <v>4.53</v>
      </c>
      <c r="BN1661" s="2">
        <v>36.909999999999997</v>
      </c>
      <c r="BO1661" s="2">
        <v>36.909999999999997</v>
      </c>
      <c r="BP1661" s="2"/>
      <c r="BQ1661" s="2" t="s">
        <v>288</v>
      </c>
      <c r="BR1661" s="2" t="s">
        <v>84</v>
      </c>
      <c r="BS1661" s="3">
        <v>42963</v>
      </c>
      <c r="BT1661" s="4">
        <v>0.3923611111111111</v>
      </c>
      <c r="BU1661" s="2" t="s">
        <v>2321</v>
      </c>
      <c r="BV1661" s="2" t="s">
        <v>95</v>
      </c>
      <c r="BW1661" s="2"/>
      <c r="BX1661" s="2"/>
      <c r="BY1661" s="2">
        <v>6307.17</v>
      </c>
      <c r="BZ1661" s="2" t="s">
        <v>27</v>
      </c>
      <c r="CA1661" s="2" t="s">
        <v>396</v>
      </c>
      <c r="CB1661" s="2"/>
      <c r="CC1661" s="2" t="s">
        <v>145</v>
      </c>
      <c r="CD1661" s="2">
        <v>2091</v>
      </c>
      <c r="CE1661" s="2" t="s">
        <v>89</v>
      </c>
      <c r="CF1661" s="5">
        <v>42964</v>
      </c>
      <c r="CG1661" s="2"/>
      <c r="CH1661" s="2"/>
      <c r="CI1661" s="2">
        <v>1</v>
      </c>
      <c r="CJ1661" s="2">
        <v>1</v>
      </c>
      <c r="CK1661" s="2">
        <v>22</v>
      </c>
      <c r="CL1661" s="2" t="s">
        <v>86</v>
      </c>
      <c r="CM1661" s="2"/>
    </row>
    <row r="1662" spans="1:91">
      <c r="A1662" s="2" t="s">
        <v>71</v>
      </c>
      <c r="B1662" s="2" t="s">
        <v>72</v>
      </c>
      <c r="C1662" s="2" t="s">
        <v>73</v>
      </c>
      <c r="D1662" s="2"/>
      <c r="E1662" s="2" t="str">
        <f>"FES1162568965"</f>
        <v>FES1162568965</v>
      </c>
      <c r="F1662" s="3">
        <v>42962</v>
      </c>
      <c r="G1662" s="2">
        <v>201802</v>
      </c>
      <c r="H1662" s="2" t="s">
        <v>74</v>
      </c>
      <c r="I1662" s="2" t="s">
        <v>75</v>
      </c>
      <c r="J1662" s="2" t="s">
        <v>76</v>
      </c>
      <c r="K1662" s="2" t="s">
        <v>77</v>
      </c>
      <c r="L1662" s="2" t="s">
        <v>470</v>
      </c>
      <c r="M1662" s="2" t="s">
        <v>471</v>
      </c>
      <c r="N1662" s="2" t="s">
        <v>472</v>
      </c>
      <c r="O1662" s="2" t="s">
        <v>100</v>
      </c>
      <c r="P1662" s="2" t="str">
        <f>"2170584949                    "</f>
        <v xml:space="preserve">2170584949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4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1</v>
      </c>
      <c r="BI1662" s="2">
        <v>1</v>
      </c>
      <c r="BJ1662" s="2">
        <v>0.2</v>
      </c>
      <c r="BK1662" s="2">
        <v>1</v>
      </c>
      <c r="BL1662" s="2">
        <v>41.44</v>
      </c>
      <c r="BM1662" s="2">
        <v>5.8</v>
      </c>
      <c r="BN1662" s="2">
        <v>47.24</v>
      </c>
      <c r="BO1662" s="2">
        <v>47.24</v>
      </c>
      <c r="BP1662" s="2"/>
      <c r="BQ1662" s="2" t="s">
        <v>83</v>
      </c>
      <c r="BR1662" s="2" t="s">
        <v>84</v>
      </c>
      <c r="BS1662" s="3">
        <v>42963</v>
      </c>
      <c r="BT1662" s="4">
        <v>0.35138888888888892</v>
      </c>
      <c r="BU1662" s="2" t="s">
        <v>2344</v>
      </c>
      <c r="BV1662" s="2" t="s">
        <v>95</v>
      </c>
      <c r="BW1662" s="2"/>
      <c r="BX1662" s="2"/>
      <c r="BY1662" s="2">
        <v>1200</v>
      </c>
      <c r="BZ1662" s="2" t="s">
        <v>27</v>
      </c>
      <c r="CA1662" s="2" t="s">
        <v>474</v>
      </c>
      <c r="CB1662" s="2"/>
      <c r="CC1662" s="2" t="s">
        <v>471</v>
      </c>
      <c r="CD1662" s="2">
        <v>1911</v>
      </c>
      <c r="CE1662" s="2" t="s">
        <v>104</v>
      </c>
      <c r="CF1662" s="5">
        <v>42964</v>
      </c>
      <c r="CG1662" s="2"/>
      <c r="CH1662" s="2"/>
      <c r="CI1662" s="2">
        <v>1</v>
      </c>
      <c r="CJ1662" s="2">
        <v>1</v>
      </c>
      <c r="CK1662" s="2">
        <v>21</v>
      </c>
      <c r="CL1662" s="2" t="s">
        <v>86</v>
      </c>
      <c r="CM1662" s="2"/>
    </row>
    <row r="1663" spans="1:91">
      <c r="A1663" s="2" t="s">
        <v>71</v>
      </c>
      <c r="B1663" s="2" t="s">
        <v>72</v>
      </c>
      <c r="C1663" s="2" t="s">
        <v>73</v>
      </c>
      <c r="D1663" s="2"/>
      <c r="E1663" s="2" t="str">
        <f>"FES1162568883"</f>
        <v>FES1162568883</v>
      </c>
      <c r="F1663" s="3">
        <v>42962</v>
      </c>
      <c r="G1663" s="2">
        <v>201802</v>
      </c>
      <c r="H1663" s="2" t="s">
        <v>74</v>
      </c>
      <c r="I1663" s="2" t="s">
        <v>75</v>
      </c>
      <c r="J1663" s="2" t="s">
        <v>76</v>
      </c>
      <c r="K1663" s="2" t="s">
        <v>77</v>
      </c>
      <c r="L1663" s="2" t="s">
        <v>144</v>
      </c>
      <c r="M1663" s="2" t="s">
        <v>145</v>
      </c>
      <c r="N1663" s="2" t="s">
        <v>146</v>
      </c>
      <c r="O1663" s="2" t="s">
        <v>100</v>
      </c>
      <c r="P1663" s="2" t="str">
        <f>"2170577345                    "</f>
        <v xml:space="preserve">2170577345 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3.13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1</v>
      </c>
      <c r="BJ1663" s="2">
        <v>0.2</v>
      </c>
      <c r="BK1663" s="2">
        <v>1</v>
      </c>
      <c r="BL1663" s="2">
        <v>32.380000000000003</v>
      </c>
      <c r="BM1663" s="2">
        <v>4.53</v>
      </c>
      <c r="BN1663" s="2">
        <v>36.909999999999997</v>
      </c>
      <c r="BO1663" s="2">
        <v>36.909999999999997</v>
      </c>
      <c r="BP1663" s="2"/>
      <c r="BQ1663" s="2" t="s">
        <v>83</v>
      </c>
      <c r="BR1663" s="2" t="s">
        <v>84</v>
      </c>
      <c r="BS1663" s="3">
        <v>42963</v>
      </c>
      <c r="BT1663" s="4">
        <v>0.37152777777777773</v>
      </c>
      <c r="BU1663" s="2" t="s">
        <v>273</v>
      </c>
      <c r="BV1663" s="2" t="s">
        <v>95</v>
      </c>
      <c r="BW1663" s="2"/>
      <c r="BX1663" s="2"/>
      <c r="BY1663" s="2">
        <v>1200</v>
      </c>
      <c r="BZ1663" s="2" t="s">
        <v>27</v>
      </c>
      <c r="CA1663" s="2" t="s">
        <v>274</v>
      </c>
      <c r="CB1663" s="2"/>
      <c r="CC1663" s="2" t="s">
        <v>145</v>
      </c>
      <c r="CD1663" s="2">
        <v>2094</v>
      </c>
      <c r="CE1663" s="2" t="s">
        <v>104</v>
      </c>
      <c r="CF1663" s="5">
        <v>42964</v>
      </c>
      <c r="CG1663" s="2"/>
      <c r="CH1663" s="2"/>
      <c r="CI1663" s="2">
        <v>1</v>
      </c>
      <c r="CJ1663" s="2">
        <v>1</v>
      </c>
      <c r="CK1663" s="2">
        <v>22</v>
      </c>
      <c r="CL1663" s="2" t="s">
        <v>86</v>
      </c>
      <c r="CM1663" s="2"/>
    </row>
    <row r="1664" spans="1:91">
      <c r="A1664" s="2" t="s">
        <v>71</v>
      </c>
      <c r="B1664" s="2" t="s">
        <v>72</v>
      </c>
      <c r="C1664" s="2" t="s">
        <v>73</v>
      </c>
      <c r="D1664" s="2"/>
      <c r="E1664" s="2" t="str">
        <f>"FES1162569060"</f>
        <v>FES1162569060</v>
      </c>
      <c r="F1664" s="3">
        <v>42962</v>
      </c>
      <c r="G1664" s="2">
        <v>201802</v>
      </c>
      <c r="H1664" s="2" t="s">
        <v>74</v>
      </c>
      <c r="I1664" s="2" t="s">
        <v>75</v>
      </c>
      <c r="J1664" s="2" t="s">
        <v>76</v>
      </c>
      <c r="K1664" s="2" t="s">
        <v>77</v>
      </c>
      <c r="L1664" s="2" t="s">
        <v>105</v>
      </c>
      <c r="M1664" s="2" t="s">
        <v>106</v>
      </c>
      <c r="N1664" s="2" t="s">
        <v>107</v>
      </c>
      <c r="O1664" s="2" t="s">
        <v>100</v>
      </c>
      <c r="P1664" s="2" t="str">
        <f>"2170585050                    "</f>
        <v xml:space="preserve">2170585050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4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1</v>
      </c>
      <c r="BJ1664" s="2">
        <v>0.2</v>
      </c>
      <c r="BK1664" s="2">
        <v>1</v>
      </c>
      <c r="BL1664" s="2">
        <v>41.44</v>
      </c>
      <c r="BM1664" s="2">
        <v>5.8</v>
      </c>
      <c r="BN1664" s="2">
        <v>47.24</v>
      </c>
      <c r="BO1664" s="2">
        <v>47.24</v>
      </c>
      <c r="BP1664" s="2"/>
      <c r="BQ1664" s="2" t="s">
        <v>108</v>
      </c>
      <c r="BR1664" s="2" t="s">
        <v>84</v>
      </c>
      <c r="BS1664" s="3">
        <v>42963</v>
      </c>
      <c r="BT1664" s="4">
        <v>0.36805555555555558</v>
      </c>
      <c r="BU1664" s="2" t="s">
        <v>236</v>
      </c>
      <c r="BV1664" s="2" t="s">
        <v>95</v>
      </c>
      <c r="BW1664" s="2"/>
      <c r="BX1664" s="2"/>
      <c r="BY1664" s="2">
        <v>1200</v>
      </c>
      <c r="BZ1664" s="2" t="s">
        <v>27</v>
      </c>
      <c r="CA1664" s="2" t="s">
        <v>112</v>
      </c>
      <c r="CB1664" s="2"/>
      <c r="CC1664" s="2" t="s">
        <v>106</v>
      </c>
      <c r="CD1664" s="2">
        <v>7405</v>
      </c>
      <c r="CE1664" s="2" t="s">
        <v>104</v>
      </c>
      <c r="CF1664" s="5">
        <v>42964</v>
      </c>
      <c r="CG1664" s="2"/>
      <c r="CH1664" s="2"/>
      <c r="CI1664" s="2">
        <v>1</v>
      </c>
      <c r="CJ1664" s="2">
        <v>1</v>
      </c>
      <c r="CK1664" s="2">
        <v>21</v>
      </c>
      <c r="CL1664" s="2" t="s">
        <v>86</v>
      </c>
      <c r="CM1664" s="2"/>
    </row>
    <row r="1665" spans="1:91">
      <c r="A1665" s="2" t="s">
        <v>71</v>
      </c>
      <c r="B1665" s="2" t="s">
        <v>72</v>
      </c>
      <c r="C1665" s="2" t="s">
        <v>73</v>
      </c>
      <c r="D1665" s="2"/>
      <c r="E1665" s="2" t="str">
        <f>"FES1162568848"</f>
        <v>FES1162568848</v>
      </c>
      <c r="F1665" s="3">
        <v>42962</v>
      </c>
      <c r="G1665" s="2">
        <v>201802</v>
      </c>
      <c r="H1665" s="2" t="s">
        <v>74</v>
      </c>
      <c r="I1665" s="2" t="s">
        <v>75</v>
      </c>
      <c r="J1665" s="2" t="s">
        <v>76</v>
      </c>
      <c r="K1665" s="2" t="s">
        <v>77</v>
      </c>
      <c r="L1665" s="2" t="s">
        <v>74</v>
      </c>
      <c r="M1665" s="2" t="s">
        <v>75</v>
      </c>
      <c r="N1665" s="2" t="s">
        <v>2345</v>
      </c>
      <c r="O1665" s="2" t="s">
        <v>100</v>
      </c>
      <c r="P1665" s="2" t="str">
        <f>"2170577625                    "</f>
        <v xml:space="preserve">2170577625  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3.13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1</v>
      </c>
      <c r="BI1665" s="2">
        <v>1</v>
      </c>
      <c r="BJ1665" s="2">
        <v>0.2</v>
      </c>
      <c r="BK1665" s="2">
        <v>1</v>
      </c>
      <c r="BL1665" s="2">
        <v>32.380000000000003</v>
      </c>
      <c r="BM1665" s="2">
        <v>4.53</v>
      </c>
      <c r="BN1665" s="2">
        <v>36.909999999999997</v>
      </c>
      <c r="BO1665" s="2">
        <v>36.909999999999997</v>
      </c>
      <c r="BP1665" s="2"/>
      <c r="BQ1665" s="2" t="s">
        <v>108</v>
      </c>
      <c r="BR1665" s="2" t="s">
        <v>84</v>
      </c>
      <c r="BS1665" s="3">
        <v>42963</v>
      </c>
      <c r="BT1665" s="4">
        <v>0.40972222222222227</v>
      </c>
      <c r="BU1665" s="2" t="s">
        <v>2346</v>
      </c>
      <c r="BV1665" s="2" t="s">
        <v>95</v>
      </c>
      <c r="BW1665" s="2"/>
      <c r="BX1665" s="2"/>
      <c r="BY1665" s="2">
        <v>1200</v>
      </c>
      <c r="BZ1665" s="2" t="s">
        <v>27</v>
      </c>
      <c r="CA1665" s="2"/>
      <c r="CB1665" s="2"/>
      <c r="CC1665" s="2" t="s">
        <v>75</v>
      </c>
      <c r="CD1665" s="2">
        <v>1600</v>
      </c>
      <c r="CE1665" s="2" t="s">
        <v>104</v>
      </c>
      <c r="CF1665" s="5">
        <v>42964</v>
      </c>
      <c r="CG1665" s="2"/>
      <c r="CH1665" s="2"/>
      <c r="CI1665" s="2">
        <v>1</v>
      </c>
      <c r="CJ1665" s="2">
        <v>1</v>
      </c>
      <c r="CK1665" s="2">
        <v>22</v>
      </c>
      <c r="CL1665" s="2" t="s">
        <v>86</v>
      </c>
      <c r="CM1665" s="2"/>
    </row>
    <row r="1666" spans="1:91">
      <c r="A1666" s="2" t="s">
        <v>71</v>
      </c>
      <c r="B1666" s="2" t="s">
        <v>72</v>
      </c>
      <c r="C1666" s="2" t="s">
        <v>73</v>
      </c>
      <c r="D1666" s="2"/>
      <c r="E1666" s="2" t="str">
        <f>"FES1162568973"</f>
        <v>FES1162568973</v>
      </c>
      <c r="F1666" s="3">
        <v>42962</v>
      </c>
      <c r="G1666" s="2">
        <v>201802</v>
      </c>
      <c r="H1666" s="2" t="s">
        <v>74</v>
      </c>
      <c r="I1666" s="2" t="s">
        <v>75</v>
      </c>
      <c r="J1666" s="2" t="s">
        <v>76</v>
      </c>
      <c r="K1666" s="2" t="s">
        <v>77</v>
      </c>
      <c r="L1666" s="2" t="s">
        <v>539</v>
      </c>
      <c r="M1666" s="2" t="s">
        <v>540</v>
      </c>
      <c r="N1666" s="2" t="s">
        <v>2347</v>
      </c>
      <c r="O1666" s="2" t="s">
        <v>100</v>
      </c>
      <c r="P1666" s="2" t="str">
        <f>"2170584984                    "</f>
        <v xml:space="preserve">2170584984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3.13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3.3</v>
      </c>
      <c r="BJ1666" s="2">
        <v>1.4</v>
      </c>
      <c r="BK1666" s="2">
        <v>4</v>
      </c>
      <c r="BL1666" s="2">
        <v>32.380000000000003</v>
      </c>
      <c r="BM1666" s="2">
        <v>4.53</v>
      </c>
      <c r="BN1666" s="2">
        <v>36.909999999999997</v>
      </c>
      <c r="BO1666" s="2">
        <v>36.909999999999997</v>
      </c>
      <c r="BP1666" s="2"/>
      <c r="BQ1666" s="2" t="s">
        <v>108</v>
      </c>
      <c r="BR1666" s="2" t="s">
        <v>84</v>
      </c>
      <c r="BS1666" s="3">
        <v>42963</v>
      </c>
      <c r="BT1666" s="4">
        <v>0.46875</v>
      </c>
      <c r="BU1666" s="2" t="s">
        <v>2348</v>
      </c>
      <c r="BV1666" s="2" t="s">
        <v>86</v>
      </c>
      <c r="BW1666" s="2" t="s">
        <v>1007</v>
      </c>
      <c r="BX1666" s="2" t="s">
        <v>1452</v>
      </c>
      <c r="BY1666" s="2">
        <v>6786.5</v>
      </c>
      <c r="BZ1666" s="2" t="s">
        <v>27</v>
      </c>
      <c r="CA1666" s="2" t="s">
        <v>200</v>
      </c>
      <c r="CB1666" s="2"/>
      <c r="CC1666" s="2" t="s">
        <v>540</v>
      </c>
      <c r="CD1666" s="2">
        <v>2170</v>
      </c>
      <c r="CE1666" s="2" t="s">
        <v>89</v>
      </c>
      <c r="CF1666" s="5">
        <v>42964</v>
      </c>
      <c r="CG1666" s="2"/>
      <c r="CH1666" s="2"/>
      <c r="CI1666" s="2">
        <v>1</v>
      </c>
      <c r="CJ1666" s="2">
        <v>1</v>
      </c>
      <c r="CK1666" s="2">
        <v>22</v>
      </c>
      <c r="CL1666" s="2" t="s">
        <v>86</v>
      </c>
      <c r="CM1666" s="2"/>
    </row>
    <row r="1667" spans="1:91">
      <c r="A1667" s="2" t="s">
        <v>71</v>
      </c>
      <c r="B1667" s="2" t="s">
        <v>72</v>
      </c>
      <c r="C1667" s="2" t="s">
        <v>73</v>
      </c>
      <c r="D1667" s="2"/>
      <c r="E1667" s="2" t="str">
        <f>"FES1162568890"</f>
        <v>FES1162568890</v>
      </c>
      <c r="F1667" s="3">
        <v>42962</v>
      </c>
      <c r="G1667" s="2">
        <v>201802</v>
      </c>
      <c r="H1667" s="2" t="s">
        <v>74</v>
      </c>
      <c r="I1667" s="2" t="s">
        <v>75</v>
      </c>
      <c r="J1667" s="2" t="s">
        <v>76</v>
      </c>
      <c r="K1667" s="2" t="s">
        <v>77</v>
      </c>
      <c r="L1667" s="2" t="s">
        <v>170</v>
      </c>
      <c r="M1667" s="2" t="s">
        <v>171</v>
      </c>
      <c r="N1667" s="2" t="s">
        <v>2322</v>
      </c>
      <c r="O1667" s="2" t="s">
        <v>100</v>
      </c>
      <c r="P1667" s="2" t="str">
        <f>"2170580016                    "</f>
        <v xml:space="preserve">2170580016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3.13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1</v>
      </c>
      <c r="BJ1667" s="2">
        <v>0.2</v>
      </c>
      <c r="BK1667" s="2">
        <v>1</v>
      </c>
      <c r="BL1667" s="2">
        <v>32.380000000000003</v>
      </c>
      <c r="BM1667" s="2">
        <v>4.53</v>
      </c>
      <c r="BN1667" s="2">
        <v>36.909999999999997</v>
      </c>
      <c r="BO1667" s="2">
        <v>36.909999999999997</v>
      </c>
      <c r="BP1667" s="2"/>
      <c r="BQ1667" s="2" t="s">
        <v>108</v>
      </c>
      <c r="BR1667" s="2" t="s">
        <v>84</v>
      </c>
      <c r="BS1667" s="3">
        <v>42963</v>
      </c>
      <c r="BT1667" s="4">
        <v>0.41666666666666669</v>
      </c>
      <c r="BU1667" s="2" t="s">
        <v>2323</v>
      </c>
      <c r="BV1667" s="2" t="s">
        <v>95</v>
      </c>
      <c r="BW1667" s="2"/>
      <c r="BX1667" s="2"/>
      <c r="BY1667" s="2">
        <v>1200</v>
      </c>
      <c r="BZ1667" s="2" t="s">
        <v>27</v>
      </c>
      <c r="CA1667" s="2" t="s">
        <v>492</v>
      </c>
      <c r="CB1667" s="2"/>
      <c r="CC1667" s="2" t="s">
        <v>171</v>
      </c>
      <c r="CD1667" s="2">
        <v>1428</v>
      </c>
      <c r="CE1667" s="2" t="s">
        <v>104</v>
      </c>
      <c r="CF1667" s="5">
        <v>42964</v>
      </c>
      <c r="CG1667" s="2"/>
      <c r="CH1667" s="2"/>
      <c r="CI1667" s="2">
        <v>1</v>
      </c>
      <c r="CJ1667" s="2">
        <v>1</v>
      </c>
      <c r="CK1667" s="2">
        <v>22</v>
      </c>
      <c r="CL1667" s="2" t="s">
        <v>86</v>
      </c>
      <c r="CM1667" s="2"/>
    </row>
    <row r="1668" spans="1:91">
      <c r="A1668" s="2" t="s">
        <v>71</v>
      </c>
      <c r="B1668" s="2" t="s">
        <v>72</v>
      </c>
      <c r="C1668" s="2" t="s">
        <v>73</v>
      </c>
      <c r="D1668" s="2"/>
      <c r="E1668" s="2" t="str">
        <f>"FES1162569074"</f>
        <v>FES1162569074</v>
      </c>
      <c r="F1668" s="3">
        <v>42962</v>
      </c>
      <c r="G1668" s="2">
        <v>201802</v>
      </c>
      <c r="H1668" s="2" t="s">
        <v>74</v>
      </c>
      <c r="I1668" s="2" t="s">
        <v>75</v>
      </c>
      <c r="J1668" s="2" t="s">
        <v>76</v>
      </c>
      <c r="K1668" s="2" t="s">
        <v>77</v>
      </c>
      <c r="L1668" s="2" t="s">
        <v>321</v>
      </c>
      <c r="M1668" s="2" t="s">
        <v>322</v>
      </c>
      <c r="N1668" s="2" t="s">
        <v>323</v>
      </c>
      <c r="O1668" s="2" t="s">
        <v>100</v>
      </c>
      <c r="P1668" s="2" t="str">
        <f>"2170582591                    "</f>
        <v xml:space="preserve">2170582591       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4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1</v>
      </c>
      <c r="BJ1668" s="2">
        <v>0.2</v>
      </c>
      <c r="BK1668" s="2">
        <v>1</v>
      </c>
      <c r="BL1668" s="2">
        <v>41.44</v>
      </c>
      <c r="BM1668" s="2">
        <v>5.8</v>
      </c>
      <c r="BN1668" s="2">
        <v>47.24</v>
      </c>
      <c r="BO1668" s="2">
        <v>47.24</v>
      </c>
      <c r="BP1668" s="2"/>
      <c r="BQ1668" s="2" t="s">
        <v>83</v>
      </c>
      <c r="BR1668" s="2" t="s">
        <v>84</v>
      </c>
      <c r="BS1668" s="3">
        <v>42963</v>
      </c>
      <c r="BT1668" s="4">
        <v>0.3576388888888889</v>
      </c>
      <c r="BU1668" s="2" t="s">
        <v>324</v>
      </c>
      <c r="BV1668" s="2" t="s">
        <v>95</v>
      </c>
      <c r="BW1668" s="2"/>
      <c r="BX1668" s="2"/>
      <c r="BY1668" s="2">
        <v>1200</v>
      </c>
      <c r="BZ1668" s="2" t="s">
        <v>27</v>
      </c>
      <c r="CA1668" s="2" t="s">
        <v>103</v>
      </c>
      <c r="CB1668" s="2"/>
      <c r="CC1668" s="2" t="s">
        <v>322</v>
      </c>
      <c r="CD1668" s="2">
        <v>6220</v>
      </c>
      <c r="CE1668" s="2" t="s">
        <v>104</v>
      </c>
      <c r="CF1668" s="5">
        <v>42964</v>
      </c>
      <c r="CG1668" s="2"/>
      <c r="CH1668" s="2"/>
      <c r="CI1668" s="2">
        <v>1</v>
      </c>
      <c r="CJ1668" s="2">
        <v>1</v>
      </c>
      <c r="CK1668" s="2">
        <v>21</v>
      </c>
      <c r="CL1668" s="2" t="s">
        <v>86</v>
      </c>
      <c r="CM1668" s="2"/>
    </row>
    <row r="1669" spans="1:91">
      <c r="A1669" s="2" t="s">
        <v>71</v>
      </c>
      <c r="B1669" s="2" t="s">
        <v>72</v>
      </c>
      <c r="C1669" s="2" t="s">
        <v>73</v>
      </c>
      <c r="D1669" s="2"/>
      <c r="E1669" s="2" t="str">
        <f>"FES1162568911"</f>
        <v>FES1162568911</v>
      </c>
      <c r="F1669" s="3">
        <v>42962</v>
      </c>
      <c r="G1669" s="2">
        <v>201802</v>
      </c>
      <c r="H1669" s="2" t="s">
        <v>74</v>
      </c>
      <c r="I1669" s="2" t="s">
        <v>75</v>
      </c>
      <c r="J1669" s="2" t="s">
        <v>76</v>
      </c>
      <c r="K1669" s="2" t="s">
        <v>77</v>
      </c>
      <c r="L1669" s="2" t="s">
        <v>144</v>
      </c>
      <c r="M1669" s="2" t="s">
        <v>145</v>
      </c>
      <c r="N1669" s="2" t="s">
        <v>282</v>
      </c>
      <c r="O1669" s="2" t="s">
        <v>100</v>
      </c>
      <c r="P1669" s="2" t="str">
        <f>"2170582606                    "</f>
        <v xml:space="preserve">2170582606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3.13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2</v>
      </c>
      <c r="BJ1669" s="2">
        <v>0.2</v>
      </c>
      <c r="BK1669" s="2">
        <v>2</v>
      </c>
      <c r="BL1669" s="2">
        <v>32.380000000000003</v>
      </c>
      <c r="BM1669" s="2">
        <v>4.53</v>
      </c>
      <c r="BN1669" s="2">
        <v>36.909999999999997</v>
      </c>
      <c r="BO1669" s="2">
        <v>36.909999999999997</v>
      </c>
      <c r="BP1669" s="2"/>
      <c r="BQ1669" s="2" t="s">
        <v>108</v>
      </c>
      <c r="BR1669" s="2" t="s">
        <v>84</v>
      </c>
      <c r="BS1669" s="3">
        <v>42964</v>
      </c>
      <c r="BT1669" s="4">
        <v>0.35555555555555557</v>
      </c>
      <c r="BU1669" s="2" t="s">
        <v>1237</v>
      </c>
      <c r="BV1669" s="2" t="s">
        <v>86</v>
      </c>
      <c r="BW1669" s="2" t="s">
        <v>124</v>
      </c>
      <c r="BX1669" s="2" t="s">
        <v>498</v>
      </c>
      <c r="BY1669" s="2">
        <v>1200</v>
      </c>
      <c r="BZ1669" s="2" t="s">
        <v>27</v>
      </c>
      <c r="CA1669" s="2" t="s">
        <v>1238</v>
      </c>
      <c r="CB1669" s="2"/>
      <c r="CC1669" s="2" t="s">
        <v>145</v>
      </c>
      <c r="CD1669" s="2">
        <v>2094</v>
      </c>
      <c r="CE1669" s="2" t="s">
        <v>104</v>
      </c>
      <c r="CF1669" s="5">
        <v>42965</v>
      </c>
      <c r="CG1669" s="2"/>
      <c r="CH1669" s="2"/>
      <c r="CI1669" s="2">
        <v>1</v>
      </c>
      <c r="CJ1669" s="2">
        <v>2</v>
      </c>
      <c r="CK1669" s="2">
        <v>22</v>
      </c>
      <c r="CL1669" s="2" t="s">
        <v>86</v>
      </c>
      <c r="CM1669" s="2"/>
    </row>
    <row r="1670" spans="1:91">
      <c r="A1670" s="2" t="s">
        <v>71</v>
      </c>
      <c r="B1670" s="2" t="s">
        <v>72</v>
      </c>
      <c r="C1670" s="2" t="s">
        <v>73</v>
      </c>
      <c r="D1670" s="2"/>
      <c r="E1670" s="2" t="str">
        <f>"FES1162569035"</f>
        <v>FES1162569035</v>
      </c>
      <c r="F1670" s="3">
        <v>42962</v>
      </c>
      <c r="G1670" s="2">
        <v>201802</v>
      </c>
      <c r="H1670" s="2" t="s">
        <v>74</v>
      </c>
      <c r="I1670" s="2" t="s">
        <v>75</v>
      </c>
      <c r="J1670" s="2" t="s">
        <v>76</v>
      </c>
      <c r="K1670" s="2" t="s">
        <v>77</v>
      </c>
      <c r="L1670" s="2" t="s">
        <v>417</v>
      </c>
      <c r="M1670" s="2" t="s">
        <v>417</v>
      </c>
      <c r="N1670" s="2" t="s">
        <v>1849</v>
      </c>
      <c r="O1670" s="2" t="s">
        <v>100</v>
      </c>
      <c r="P1670" s="2" t="str">
        <f>"2170585025                    "</f>
        <v xml:space="preserve">2170585025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4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</v>
      </c>
      <c r="BJ1670" s="2">
        <v>0.2</v>
      </c>
      <c r="BK1670" s="2">
        <v>1</v>
      </c>
      <c r="BL1670" s="2">
        <v>41.44</v>
      </c>
      <c r="BM1670" s="2">
        <v>5.8</v>
      </c>
      <c r="BN1670" s="2">
        <v>47.24</v>
      </c>
      <c r="BO1670" s="2">
        <v>47.24</v>
      </c>
      <c r="BP1670" s="2"/>
      <c r="BQ1670" s="2" t="s">
        <v>288</v>
      </c>
      <c r="BR1670" s="2" t="s">
        <v>84</v>
      </c>
      <c r="BS1670" s="3">
        <v>42963</v>
      </c>
      <c r="BT1670" s="4">
        <v>0.49305555555555558</v>
      </c>
      <c r="BU1670" s="2" t="s">
        <v>2349</v>
      </c>
      <c r="BV1670" s="2" t="s">
        <v>95</v>
      </c>
      <c r="BW1670" s="2"/>
      <c r="BX1670" s="2"/>
      <c r="BY1670" s="2">
        <v>1200</v>
      </c>
      <c r="BZ1670" s="2" t="s">
        <v>27</v>
      </c>
      <c r="CA1670" s="2" t="s">
        <v>460</v>
      </c>
      <c r="CB1670" s="2"/>
      <c r="CC1670" s="2" t="s">
        <v>417</v>
      </c>
      <c r="CD1670" s="2">
        <v>7620</v>
      </c>
      <c r="CE1670" s="2" t="s">
        <v>104</v>
      </c>
      <c r="CF1670" s="5">
        <v>42963</v>
      </c>
      <c r="CG1670" s="2"/>
      <c r="CH1670" s="2"/>
      <c r="CI1670" s="2">
        <v>1</v>
      </c>
      <c r="CJ1670" s="2">
        <v>1</v>
      </c>
      <c r="CK1670" s="2">
        <v>21</v>
      </c>
      <c r="CL1670" s="2" t="s">
        <v>86</v>
      </c>
      <c r="CM1670" s="2"/>
    </row>
    <row r="1671" spans="1:91">
      <c r="A1671" s="2" t="s">
        <v>71</v>
      </c>
      <c r="B1671" s="2" t="s">
        <v>72</v>
      </c>
      <c r="C1671" s="2" t="s">
        <v>73</v>
      </c>
      <c r="D1671" s="2"/>
      <c r="E1671" s="2" t="str">
        <f>"FES1162569011"</f>
        <v>FES1162569011</v>
      </c>
      <c r="F1671" s="3">
        <v>42962</v>
      </c>
      <c r="G1671" s="2">
        <v>201802</v>
      </c>
      <c r="H1671" s="2" t="s">
        <v>74</v>
      </c>
      <c r="I1671" s="2" t="s">
        <v>75</v>
      </c>
      <c r="J1671" s="2" t="s">
        <v>76</v>
      </c>
      <c r="K1671" s="2" t="s">
        <v>77</v>
      </c>
      <c r="L1671" s="2" t="s">
        <v>97</v>
      </c>
      <c r="M1671" s="2" t="s">
        <v>98</v>
      </c>
      <c r="N1671" s="2" t="s">
        <v>119</v>
      </c>
      <c r="O1671" s="2" t="s">
        <v>100</v>
      </c>
      <c r="P1671" s="2" t="str">
        <f>"2170584269                    "</f>
        <v xml:space="preserve">2170584269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22.01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10.6</v>
      </c>
      <c r="BJ1671" s="2">
        <v>10.6</v>
      </c>
      <c r="BK1671" s="2">
        <v>11</v>
      </c>
      <c r="BL1671" s="2">
        <v>227.93</v>
      </c>
      <c r="BM1671" s="2">
        <v>31.91</v>
      </c>
      <c r="BN1671" s="2">
        <v>259.83999999999997</v>
      </c>
      <c r="BO1671" s="2">
        <v>259.83999999999997</v>
      </c>
      <c r="BP1671" s="2"/>
      <c r="BQ1671" s="2" t="s">
        <v>108</v>
      </c>
      <c r="BR1671" s="2" t="s">
        <v>84</v>
      </c>
      <c r="BS1671" s="3">
        <v>42963</v>
      </c>
      <c r="BT1671" s="4">
        <v>0.32916666666666666</v>
      </c>
      <c r="BU1671" s="2" t="s">
        <v>2350</v>
      </c>
      <c r="BV1671" s="2" t="s">
        <v>95</v>
      </c>
      <c r="BW1671" s="2"/>
      <c r="BX1671" s="2"/>
      <c r="BY1671" s="2">
        <v>52851.31</v>
      </c>
      <c r="BZ1671" s="2"/>
      <c r="CA1671" s="2" t="s">
        <v>213</v>
      </c>
      <c r="CB1671" s="2"/>
      <c r="CC1671" s="2" t="s">
        <v>98</v>
      </c>
      <c r="CD1671" s="2">
        <v>6001</v>
      </c>
      <c r="CE1671" s="2" t="s">
        <v>135</v>
      </c>
      <c r="CF1671" s="5">
        <v>42964</v>
      </c>
      <c r="CG1671" s="2"/>
      <c r="CH1671" s="2"/>
      <c r="CI1671" s="2">
        <v>1</v>
      </c>
      <c r="CJ1671" s="2">
        <v>1</v>
      </c>
      <c r="CK1671" s="2">
        <v>21</v>
      </c>
      <c r="CL1671" s="2" t="s">
        <v>86</v>
      </c>
      <c r="CM1671" s="2"/>
    </row>
    <row r="1672" spans="1:91">
      <c r="A1672" s="2" t="s">
        <v>71</v>
      </c>
      <c r="B1672" s="2" t="s">
        <v>72</v>
      </c>
      <c r="C1672" s="2" t="s">
        <v>73</v>
      </c>
      <c r="D1672" s="2"/>
      <c r="E1672" s="2" t="str">
        <f>"FES1162569015"</f>
        <v>FES1162569015</v>
      </c>
      <c r="F1672" s="3">
        <v>42962</v>
      </c>
      <c r="G1672" s="2">
        <v>201802</v>
      </c>
      <c r="H1672" s="2" t="s">
        <v>74</v>
      </c>
      <c r="I1672" s="2" t="s">
        <v>75</v>
      </c>
      <c r="J1672" s="2" t="s">
        <v>76</v>
      </c>
      <c r="K1672" s="2" t="s">
        <v>77</v>
      </c>
      <c r="L1672" s="2" t="s">
        <v>332</v>
      </c>
      <c r="M1672" s="2" t="s">
        <v>333</v>
      </c>
      <c r="N1672" s="2" t="s">
        <v>334</v>
      </c>
      <c r="O1672" s="2" t="s">
        <v>100</v>
      </c>
      <c r="P1672" s="2" t="str">
        <f>"2170585000                    "</f>
        <v xml:space="preserve">2170585000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9.51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1</v>
      </c>
      <c r="BI1672" s="2">
        <v>1.4</v>
      </c>
      <c r="BJ1672" s="2">
        <v>2.2999999999999998</v>
      </c>
      <c r="BK1672" s="2">
        <v>2.5</v>
      </c>
      <c r="BL1672" s="2">
        <v>98.43</v>
      </c>
      <c r="BM1672" s="2">
        <v>13.78</v>
      </c>
      <c r="BN1672" s="2">
        <v>112.21</v>
      </c>
      <c r="BO1672" s="2">
        <v>112.21</v>
      </c>
      <c r="BP1672" s="2"/>
      <c r="BQ1672" s="2" t="s">
        <v>209</v>
      </c>
      <c r="BR1672" s="2" t="s">
        <v>84</v>
      </c>
      <c r="BS1672" s="3">
        <v>42963</v>
      </c>
      <c r="BT1672" s="4">
        <v>0.49444444444444446</v>
      </c>
      <c r="BU1672" s="2" t="s">
        <v>736</v>
      </c>
      <c r="BV1672" s="2" t="s">
        <v>95</v>
      </c>
      <c r="BW1672" s="2"/>
      <c r="BX1672" s="2"/>
      <c r="BY1672" s="2">
        <v>11399.52</v>
      </c>
      <c r="BZ1672" s="2"/>
      <c r="CA1672" s="2" t="s">
        <v>338</v>
      </c>
      <c r="CB1672" s="2"/>
      <c r="CC1672" s="2" t="s">
        <v>333</v>
      </c>
      <c r="CD1672" s="2">
        <v>4450</v>
      </c>
      <c r="CE1672" s="2" t="s">
        <v>104</v>
      </c>
      <c r="CF1672" s="5">
        <v>42963</v>
      </c>
      <c r="CG1672" s="2"/>
      <c r="CH1672" s="2"/>
      <c r="CI1672" s="2">
        <v>1</v>
      </c>
      <c r="CJ1672" s="2">
        <v>1</v>
      </c>
      <c r="CK1672" s="2">
        <v>23</v>
      </c>
      <c r="CL1672" s="2" t="s">
        <v>86</v>
      </c>
      <c r="CM1672" s="2"/>
    </row>
    <row r="1673" spans="1:91">
      <c r="A1673" s="2" t="s">
        <v>71</v>
      </c>
      <c r="B1673" s="2" t="s">
        <v>72</v>
      </c>
      <c r="C1673" s="2" t="s">
        <v>73</v>
      </c>
      <c r="D1673" s="2"/>
      <c r="E1673" s="2" t="str">
        <f>"FES1162568865"</f>
        <v>FES1162568865</v>
      </c>
      <c r="F1673" s="3">
        <v>42962</v>
      </c>
      <c r="G1673" s="2">
        <v>201802</v>
      </c>
      <c r="H1673" s="2" t="s">
        <v>74</v>
      </c>
      <c r="I1673" s="2" t="s">
        <v>75</v>
      </c>
      <c r="J1673" s="2" t="s">
        <v>76</v>
      </c>
      <c r="K1673" s="2" t="s">
        <v>77</v>
      </c>
      <c r="L1673" s="2" t="s">
        <v>128</v>
      </c>
      <c r="M1673" s="2" t="s">
        <v>129</v>
      </c>
      <c r="N1673" s="2" t="s">
        <v>857</v>
      </c>
      <c r="O1673" s="2" t="s">
        <v>100</v>
      </c>
      <c r="P1673" s="2" t="str">
        <f>"2170584916                    "</f>
        <v xml:space="preserve">2170584916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3.13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1.4</v>
      </c>
      <c r="BJ1673" s="2">
        <v>1.2</v>
      </c>
      <c r="BK1673" s="2">
        <v>2</v>
      </c>
      <c r="BL1673" s="2">
        <v>32.380000000000003</v>
      </c>
      <c r="BM1673" s="2">
        <v>4.53</v>
      </c>
      <c r="BN1673" s="2">
        <v>36.909999999999997</v>
      </c>
      <c r="BO1673" s="2">
        <v>36.909999999999997</v>
      </c>
      <c r="BP1673" s="2"/>
      <c r="BQ1673" s="2" t="s">
        <v>1624</v>
      </c>
      <c r="BR1673" s="2" t="s">
        <v>84</v>
      </c>
      <c r="BS1673" s="3">
        <v>42963</v>
      </c>
      <c r="BT1673" s="4">
        <v>0.3659722222222222</v>
      </c>
      <c r="BU1673" s="2" t="s">
        <v>858</v>
      </c>
      <c r="BV1673" s="2" t="s">
        <v>95</v>
      </c>
      <c r="BW1673" s="2"/>
      <c r="BX1673" s="2"/>
      <c r="BY1673" s="2">
        <v>6134.72</v>
      </c>
      <c r="BZ1673" s="2"/>
      <c r="CA1673" s="2"/>
      <c r="CB1673" s="2"/>
      <c r="CC1673" s="2" t="s">
        <v>129</v>
      </c>
      <c r="CD1673" s="2">
        <v>1709</v>
      </c>
      <c r="CE1673" s="2" t="s">
        <v>104</v>
      </c>
      <c r="CF1673" s="5">
        <v>42963</v>
      </c>
      <c r="CG1673" s="2"/>
      <c r="CH1673" s="2"/>
      <c r="CI1673" s="2">
        <v>1</v>
      </c>
      <c r="CJ1673" s="2">
        <v>1</v>
      </c>
      <c r="CK1673" s="2">
        <v>22</v>
      </c>
      <c r="CL1673" s="2" t="s">
        <v>86</v>
      </c>
      <c r="CM1673" s="2"/>
    </row>
    <row r="1674" spans="1:91">
      <c r="A1674" s="2" t="s">
        <v>71</v>
      </c>
      <c r="B1674" s="2" t="s">
        <v>72</v>
      </c>
      <c r="C1674" s="2" t="s">
        <v>73</v>
      </c>
      <c r="D1674" s="2"/>
      <c r="E1674" s="2" t="str">
        <f>"FES1162568943"</f>
        <v>FES1162568943</v>
      </c>
      <c r="F1674" s="3">
        <v>42962</v>
      </c>
      <c r="G1674" s="2">
        <v>201802</v>
      </c>
      <c r="H1674" s="2" t="s">
        <v>74</v>
      </c>
      <c r="I1674" s="2" t="s">
        <v>75</v>
      </c>
      <c r="J1674" s="2" t="s">
        <v>76</v>
      </c>
      <c r="K1674" s="2" t="s">
        <v>77</v>
      </c>
      <c r="L1674" s="2" t="s">
        <v>268</v>
      </c>
      <c r="M1674" s="2" t="s">
        <v>269</v>
      </c>
      <c r="N1674" s="2" t="s">
        <v>351</v>
      </c>
      <c r="O1674" s="2" t="s">
        <v>100</v>
      </c>
      <c r="P1674" s="2" t="str">
        <f>"2170584126                    "</f>
        <v xml:space="preserve">2170584126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4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1.1000000000000001</v>
      </c>
      <c r="BJ1674" s="2">
        <v>1.6</v>
      </c>
      <c r="BK1674" s="2">
        <v>2</v>
      </c>
      <c r="BL1674" s="2">
        <v>41.44</v>
      </c>
      <c r="BM1674" s="2">
        <v>5.8</v>
      </c>
      <c r="BN1674" s="2">
        <v>47.24</v>
      </c>
      <c r="BO1674" s="2">
        <v>47.24</v>
      </c>
      <c r="BP1674" s="2"/>
      <c r="BQ1674" s="2" t="s">
        <v>108</v>
      </c>
      <c r="BR1674" s="2" t="s">
        <v>84</v>
      </c>
      <c r="BS1674" s="3">
        <v>42963</v>
      </c>
      <c r="BT1674" s="4">
        <v>0.46875</v>
      </c>
      <c r="BU1674" s="2" t="s">
        <v>1136</v>
      </c>
      <c r="BV1674" s="2" t="s">
        <v>86</v>
      </c>
      <c r="BW1674" s="2"/>
      <c r="BX1674" s="2"/>
      <c r="BY1674" s="2">
        <v>8106.87</v>
      </c>
      <c r="BZ1674" s="2"/>
      <c r="CA1674" s="2" t="s">
        <v>272</v>
      </c>
      <c r="CB1674" s="2"/>
      <c r="CC1674" s="2" t="s">
        <v>269</v>
      </c>
      <c r="CD1674" s="2">
        <v>200</v>
      </c>
      <c r="CE1674" s="2" t="s">
        <v>104</v>
      </c>
      <c r="CF1674" s="5">
        <v>42964</v>
      </c>
      <c r="CG1674" s="2"/>
      <c r="CH1674" s="2"/>
      <c r="CI1674" s="2">
        <v>1</v>
      </c>
      <c r="CJ1674" s="2">
        <v>1</v>
      </c>
      <c r="CK1674" s="2">
        <v>21</v>
      </c>
      <c r="CL1674" s="2" t="s">
        <v>86</v>
      </c>
      <c r="CM1674" s="2"/>
    </row>
    <row r="1675" spans="1:91">
      <c r="A1675" s="2" t="s">
        <v>71</v>
      </c>
      <c r="B1675" s="2" t="s">
        <v>72</v>
      </c>
      <c r="C1675" s="2" t="s">
        <v>73</v>
      </c>
      <c r="D1675" s="2"/>
      <c r="E1675" s="2" t="str">
        <f>"FES1162568917"</f>
        <v>FES1162568917</v>
      </c>
      <c r="F1675" s="3">
        <v>42962</v>
      </c>
      <c r="G1675" s="2">
        <v>201802</v>
      </c>
      <c r="H1675" s="2" t="s">
        <v>74</v>
      </c>
      <c r="I1675" s="2" t="s">
        <v>75</v>
      </c>
      <c r="J1675" s="2" t="s">
        <v>76</v>
      </c>
      <c r="K1675" s="2" t="s">
        <v>77</v>
      </c>
      <c r="L1675" s="2" t="s">
        <v>417</v>
      </c>
      <c r="M1675" s="2" t="s">
        <v>417</v>
      </c>
      <c r="N1675" s="2" t="s">
        <v>475</v>
      </c>
      <c r="O1675" s="2" t="s">
        <v>100</v>
      </c>
      <c r="P1675" s="2" t="str">
        <f>"2170582734                    "</f>
        <v xml:space="preserve">2170582734                    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4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0.8</v>
      </c>
      <c r="BJ1675" s="2">
        <v>1.7</v>
      </c>
      <c r="BK1675" s="2">
        <v>2</v>
      </c>
      <c r="BL1675" s="2">
        <v>41.44</v>
      </c>
      <c r="BM1675" s="2">
        <v>5.8</v>
      </c>
      <c r="BN1675" s="2">
        <v>47.24</v>
      </c>
      <c r="BO1675" s="2">
        <v>47.24</v>
      </c>
      <c r="BP1675" s="2"/>
      <c r="BQ1675" s="2" t="s">
        <v>108</v>
      </c>
      <c r="BR1675" s="2" t="s">
        <v>84</v>
      </c>
      <c r="BS1675" s="3">
        <v>42963</v>
      </c>
      <c r="BT1675" s="4">
        <v>0.47430555555555554</v>
      </c>
      <c r="BU1675" s="2" t="s">
        <v>476</v>
      </c>
      <c r="BV1675" s="2"/>
      <c r="BW1675" s="2"/>
      <c r="BX1675" s="2"/>
      <c r="BY1675" s="2">
        <v>8254.5499999999993</v>
      </c>
      <c r="BZ1675" s="2"/>
      <c r="CA1675" s="2" t="s">
        <v>460</v>
      </c>
      <c r="CB1675" s="2"/>
      <c r="CC1675" s="2" t="s">
        <v>417</v>
      </c>
      <c r="CD1675" s="2">
        <v>7646</v>
      </c>
      <c r="CE1675" s="2" t="s">
        <v>104</v>
      </c>
      <c r="CF1675" s="5">
        <v>42964</v>
      </c>
      <c r="CG1675" s="2"/>
      <c r="CH1675" s="2"/>
      <c r="CI1675" s="2">
        <v>0</v>
      </c>
      <c r="CJ1675" s="2">
        <v>0</v>
      </c>
      <c r="CK1675" s="2">
        <v>21</v>
      </c>
      <c r="CL1675" s="2" t="s">
        <v>86</v>
      </c>
      <c r="CM1675" s="2"/>
    </row>
    <row r="1676" spans="1:91">
      <c r="A1676" s="2" t="s">
        <v>71</v>
      </c>
      <c r="B1676" s="2" t="s">
        <v>72</v>
      </c>
      <c r="C1676" s="2" t="s">
        <v>73</v>
      </c>
      <c r="D1676" s="2"/>
      <c r="E1676" s="2" t="str">
        <f>"FES1162568909"</f>
        <v>FES1162568909</v>
      </c>
      <c r="F1676" s="3">
        <v>42962</v>
      </c>
      <c r="G1676" s="2">
        <v>201802</v>
      </c>
      <c r="H1676" s="2" t="s">
        <v>74</v>
      </c>
      <c r="I1676" s="2" t="s">
        <v>75</v>
      </c>
      <c r="J1676" s="2" t="s">
        <v>76</v>
      </c>
      <c r="K1676" s="2" t="s">
        <v>77</v>
      </c>
      <c r="L1676" s="2" t="s">
        <v>97</v>
      </c>
      <c r="M1676" s="2" t="s">
        <v>98</v>
      </c>
      <c r="N1676" s="2" t="s">
        <v>292</v>
      </c>
      <c r="O1676" s="2" t="s">
        <v>100</v>
      </c>
      <c r="P1676" s="2" t="str">
        <f>"2170582468                    "</f>
        <v xml:space="preserve">2170582468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5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1</v>
      </c>
      <c r="BI1676" s="2">
        <v>1.1000000000000001</v>
      </c>
      <c r="BJ1676" s="2">
        <v>2.2999999999999998</v>
      </c>
      <c r="BK1676" s="2">
        <v>2.5</v>
      </c>
      <c r="BL1676" s="2">
        <v>51.8</v>
      </c>
      <c r="BM1676" s="2">
        <v>7.25</v>
      </c>
      <c r="BN1676" s="2">
        <v>59.05</v>
      </c>
      <c r="BO1676" s="2">
        <v>59.05</v>
      </c>
      <c r="BP1676" s="2"/>
      <c r="BQ1676" s="2" t="s">
        <v>83</v>
      </c>
      <c r="BR1676" s="2" t="s">
        <v>84</v>
      </c>
      <c r="BS1676" s="3">
        <v>42963</v>
      </c>
      <c r="BT1676" s="4">
        <v>0.3263888888888889</v>
      </c>
      <c r="BU1676" s="2" t="s">
        <v>293</v>
      </c>
      <c r="BV1676" s="2" t="s">
        <v>95</v>
      </c>
      <c r="BW1676" s="2"/>
      <c r="BX1676" s="2"/>
      <c r="BY1676" s="2">
        <v>11415.18</v>
      </c>
      <c r="BZ1676" s="2"/>
      <c r="CA1676" s="2" t="s">
        <v>294</v>
      </c>
      <c r="CB1676" s="2"/>
      <c r="CC1676" s="2" t="s">
        <v>98</v>
      </c>
      <c r="CD1676" s="2">
        <v>6001</v>
      </c>
      <c r="CE1676" s="2" t="s">
        <v>104</v>
      </c>
      <c r="CF1676" s="5">
        <v>42964</v>
      </c>
      <c r="CG1676" s="2"/>
      <c r="CH1676" s="2"/>
      <c r="CI1676" s="2">
        <v>1</v>
      </c>
      <c r="CJ1676" s="2">
        <v>1</v>
      </c>
      <c r="CK1676" s="2">
        <v>21</v>
      </c>
      <c r="CL1676" s="2" t="s">
        <v>86</v>
      </c>
      <c r="CM1676" s="2"/>
    </row>
    <row r="1677" spans="1:91">
      <c r="A1677" s="2" t="s">
        <v>71</v>
      </c>
      <c r="B1677" s="2" t="s">
        <v>72</v>
      </c>
      <c r="C1677" s="2" t="s">
        <v>73</v>
      </c>
      <c r="D1677" s="2"/>
      <c r="E1677" s="2" t="str">
        <f>"FES1162568962"</f>
        <v>FES1162568962</v>
      </c>
      <c r="F1677" s="3">
        <v>42962</v>
      </c>
      <c r="G1677" s="2">
        <v>201802</v>
      </c>
      <c r="H1677" s="2" t="s">
        <v>74</v>
      </c>
      <c r="I1677" s="2" t="s">
        <v>75</v>
      </c>
      <c r="J1677" s="2" t="s">
        <v>76</v>
      </c>
      <c r="K1677" s="2" t="s">
        <v>77</v>
      </c>
      <c r="L1677" s="2" t="s">
        <v>201</v>
      </c>
      <c r="M1677" s="2" t="s">
        <v>202</v>
      </c>
      <c r="N1677" s="2" t="s">
        <v>409</v>
      </c>
      <c r="O1677" s="2" t="s">
        <v>100</v>
      </c>
      <c r="P1677" s="2" t="str">
        <f>"2170581245                    "</f>
        <v xml:space="preserve">2170581245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4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1</v>
      </c>
      <c r="BI1677" s="2">
        <v>1.6</v>
      </c>
      <c r="BJ1677" s="2">
        <v>1.6</v>
      </c>
      <c r="BK1677" s="2">
        <v>2</v>
      </c>
      <c r="BL1677" s="2">
        <v>41.44</v>
      </c>
      <c r="BM1677" s="2">
        <v>5.8</v>
      </c>
      <c r="BN1677" s="2">
        <v>47.24</v>
      </c>
      <c r="BO1677" s="2">
        <v>47.24</v>
      </c>
      <c r="BP1677" s="2"/>
      <c r="BQ1677" s="2" t="s">
        <v>485</v>
      </c>
      <c r="BR1677" s="2" t="s">
        <v>84</v>
      </c>
      <c r="BS1677" s="3">
        <v>42963</v>
      </c>
      <c r="BT1677" s="4">
        <v>0.42708333333333331</v>
      </c>
      <c r="BU1677" s="2" t="s">
        <v>410</v>
      </c>
      <c r="BV1677" s="2" t="s">
        <v>95</v>
      </c>
      <c r="BW1677" s="2"/>
      <c r="BX1677" s="2"/>
      <c r="BY1677" s="2">
        <v>8247.6</v>
      </c>
      <c r="BZ1677" s="2"/>
      <c r="CA1677" s="2" t="s">
        <v>411</v>
      </c>
      <c r="CB1677" s="2"/>
      <c r="CC1677" s="2" t="s">
        <v>202</v>
      </c>
      <c r="CD1677" s="2">
        <v>7130</v>
      </c>
      <c r="CE1677" s="2" t="s">
        <v>89</v>
      </c>
      <c r="CF1677" s="5">
        <v>42964</v>
      </c>
      <c r="CG1677" s="2"/>
      <c r="CH1677" s="2"/>
      <c r="CI1677" s="2">
        <v>1</v>
      </c>
      <c r="CJ1677" s="2">
        <v>1</v>
      </c>
      <c r="CK1677" s="2">
        <v>21</v>
      </c>
      <c r="CL1677" s="2" t="s">
        <v>86</v>
      </c>
      <c r="CM1677" s="2"/>
    </row>
    <row r="1678" spans="1:91">
      <c r="A1678" s="2" t="s">
        <v>71</v>
      </c>
      <c r="B1678" s="2" t="s">
        <v>72</v>
      </c>
      <c r="C1678" s="2" t="s">
        <v>73</v>
      </c>
      <c r="D1678" s="2"/>
      <c r="E1678" s="2" t="str">
        <f>"FES1162568882"</f>
        <v>FES1162568882</v>
      </c>
      <c r="F1678" s="3">
        <v>42962</v>
      </c>
      <c r="G1678" s="2">
        <v>201802</v>
      </c>
      <c r="H1678" s="2" t="s">
        <v>74</v>
      </c>
      <c r="I1678" s="2" t="s">
        <v>75</v>
      </c>
      <c r="J1678" s="2" t="s">
        <v>76</v>
      </c>
      <c r="K1678" s="2" t="s">
        <v>77</v>
      </c>
      <c r="L1678" s="2" t="s">
        <v>417</v>
      </c>
      <c r="M1678" s="2" t="s">
        <v>417</v>
      </c>
      <c r="N1678" s="2" t="s">
        <v>475</v>
      </c>
      <c r="O1678" s="2" t="s">
        <v>100</v>
      </c>
      <c r="P1678" s="2" t="str">
        <f>"2170575868                    "</f>
        <v xml:space="preserve">2170575868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6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2.6</v>
      </c>
      <c r="BJ1678" s="2">
        <v>0.9</v>
      </c>
      <c r="BK1678" s="2">
        <v>3</v>
      </c>
      <c r="BL1678" s="2">
        <v>62.16</v>
      </c>
      <c r="BM1678" s="2">
        <v>8.6999999999999993</v>
      </c>
      <c r="BN1678" s="2">
        <v>70.86</v>
      </c>
      <c r="BO1678" s="2">
        <v>70.86</v>
      </c>
      <c r="BP1678" s="2"/>
      <c r="BQ1678" s="2" t="s">
        <v>108</v>
      </c>
      <c r="BR1678" s="2" t="s">
        <v>84</v>
      </c>
      <c r="BS1678" s="3">
        <v>42963</v>
      </c>
      <c r="BT1678" s="4">
        <v>0.47430555555555554</v>
      </c>
      <c r="BU1678" s="2" t="s">
        <v>476</v>
      </c>
      <c r="BV1678" s="2" t="s">
        <v>95</v>
      </c>
      <c r="BW1678" s="2"/>
      <c r="BX1678" s="2"/>
      <c r="BY1678" s="2">
        <v>4333.57</v>
      </c>
      <c r="BZ1678" s="2"/>
      <c r="CA1678" s="2" t="s">
        <v>2351</v>
      </c>
      <c r="CB1678" s="2"/>
      <c r="CC1678" s="2" t="s">
        <v>417</v>
      </c>
      <c r="CD1678" s="2">
        <v>7646</v>
      </c>
      <c r="CE1678" s="2" t="s">
        <v>89</v>
      </c>
      <c r="CF1678" s="5">
        <v>42964</v>
      </c>
      <c r="CG1678" s="2"/>
      <c r="CH1678" s="2"/>
      <c r="CI1678" s="2">
        <v>1</v>
      </c>
      <c r="CJ1678" s="2">
        <v>1</v>
      </c>
      <c r="CK1678" s="2">
        <v>21</v>
      </c>
      <c r="CL1678" s="2" t="s">
        <v>86</v>
      </c>
      <c r="CM1678" s="2"/>
    </row>
    <row r="1679" spans="1:91">
      <c r="A1679" s="2" t="s">
        <v>71</v>
      </c>
      <c r="B1679" s="2" t="s">
        <v>72</v>
      </c>
      <c r="C1679" s="2" t="s">
        <v>73</v>
      </c>
      <c r="D1679" s="2"/>
      <c r="E1679" s="2" t="str">
        <f>"FES1162568807"</f>
        <v>FES1162568807</v>
      </c>
      <c r="F1679" s="3">
        <v>42962</v>
      </c>
      <c r="G1679" s="2">
        <v>201802</v>
      </c>
      <c r="H1679" s="2" t="s">
        <v>74</v>
      </c>
      <c r="I1679" s="2" t="s">
        <v>75</v>
      </c>
      <c r="J1679" s="2" t="s">
        <v>76</v>
      </c>
      <c r="K1679" s="2" t="s">
        <v>77</v>
      </c>
      <c r="L1679" s="2" t="s">
        <v>105</v>
      </c>
      <c r="M1679" s="2" t="s">
        <v>106</v>
      </c>
      <c r="N1679" s="2" t="s">
        <v>107</v>
      </c>
      <c r="O1679" s="2" t="s">
        <v>100</v>
      </c>
      <c r="P1679" s="2" t="str">
        <f>"2170584547                    "</f>
        <v xml:space="preserve">2170584547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7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1</v>
      </c>
      <c r="BI1679" s="2">
        <v>3.2</v>
      </c>
      <c r="BJ1679" s="2">
        <v>1.9</v>
      </c>
      <c r="BK1679" s="2">
        <v>3.5</v>
      </c>
      <c r="BL1679" s="2">
        <v>72.52</v>
      </c>
      <c r="BM1679" s="2">
        <v>10.15</v>
      </c>
      <c r="BN1679" s="2">
        <v>82.67</v>
      </c>
      <c r="BO1679" s="2">
        <v>82.67</v>
      </c>
      <c r="BP1679" s="2"/>
      <c r="BQ1679" s="2" t="s">
        <v>108</v>
      </c>
      <c r="BR1679" s="2" t="s">
        <v>84</v>
      </c>
      <c r="BS1679" s="3">
        <v>42963</v>
      </c>
      <c r="BT1679" s="4">
        <v>0.36805555555555558</v>
      </c>
      <c r="BU1679" s="2" t="s">
        <v>236</v>
      </c>
      <c r="BV1679" s="2" t="s">
        <v>95</v>
      </c>
      <c r="BW1679" s="2"/>
      <c r="BX1679" s="2"/>
      <c r="BY1679" s="2">
        <v>9304.4599999999991</v>
      </c>
      <c r="BZ1679" s="2"/>
      <c r="CA1679" s="2"/>
      <c r="CB1679" s="2"/>
      <c r="CC1679" s="2" t="s">
        <v>106</v>
      </c>
      <c r="CD1679" s="2">
        <v>7405</v>
      </c>
      <c r="CE1679" s="2" t="s">
        <v>89</v>
      </c>
      <c r="CF1679" s="5">
        <v>42964</v>
      </c>
      <c r="CG1679" s="2"/>
      <c r="CH1679" s="2"/>
      <c r="CI1679" s="2">
        <v>1</v>
      </c>
      <c r="CJ1679" s="2">
        <v>1</v>
      </c>
      <c r="CK1679" s="2">
        <v>21</v>
      </c>
      <c r="CL1679" s="2" t="s">
        <v>86</v>
      </c>
      <c r="CM1679" s="2"/>
    </row>
    <row r="1680" spans="1:91">
      <c r="A1680" s="2" t="s">
        <v>71</v>
      </c>
      <c r="B1680" s="2" t="s">
        <v>72</v>
      </c>
      <c r="C1680" s="2" t="s">
        <v>73</v>
      </c>
      <c r="D1680" s="2"/>
      <c r="E1680" s="2" t="str">
        <f>"FES1162568872"</f>
        <v>FES1162568872</v>
      </c>
      <c r="F1680" s="3">
        <v>42962</v>
      </c>
      <c r="G1680" s="2">
        <v>201802</v>
      </c>
      <c r="H1680" s="2" t="s">
        <v>74</v>
      </c>
      <c r="I1680" s="2" t="s">
        <v>75</v>
      </c>
      <c r="J1680" s="2" t="s">
        <v>76</v>
      </c>
      <c r="K1680" s="2" t="s">
        <v>77</v>
      </c>
      <c r="L1680" s="2" t="s">
        <v>2352</v>
      </c>
      <c r="M1680" s="2" t="s">
        <v>2352</v>
      </c>
      <c r="N1680" s="2" t="s">
        <v>2353</v>
      </c>
      <c r="O1680" s="2" t="s">
        <v>100</v>
      </c>
      <c r="P1680" s="2" t="str">
        <f>"2170584928                    "</f>
        <v xml:space="preserve">2170584928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4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1</v>
      </c>
      <c r="BJ1680" s="2">
        <v>0.2</v>
      </c>
      <c r="BK1680" s="2">
        <v>1</v>
      </c>
      <c r="BL1680" s="2">
        <v>41.44</v>
      </c>
      <c r="BM1680" s="2">
        <v>5.8</v>
      </c>
      <c r="BN1680" s="2">
        <v>47.24</v>
      </c>
      <c r="BO1680" s="2">
        <v>47.24</v>
      </c>
      <c r="BP1680" s="2"/>
      <c r="BQ1680" s="2" t="s">
        <v>2354</v>
      </c>
      <c r="BR1680" s="2" t="s">
        <v>84</v>
      </c>
      <c r="BS1680" s="3">
        <v>42964</v>
      </c>
      <c r="BT1680" s="4">
        <v>0.5131944444444444</v>
      </c>
      <c r="BU1680" s="2" t="s">
        <v>2355</v>
      </c>
      <c r="BV1680" s="2" t="s">
        <v>95</v>
      </c>
      <c r="BW1680" s="2"/>
      <c r="BX1680" s="2"/>
      <c r="BY1680" s="2">
        <v>1200</v>
      </c>
      <c r="BZ1680" s="2"/>
      <c r="CA1680" s="2" t="s">
        <v>2356</v>
      </c>
      <c r="CB1680" s="2"/>
      <c r="CC1680" s="2" t="s">
        <v>2352</v>
      </c>
      <c r="CD1680" s="2">
        <v>6835</v>
      </c>
      <c r="CE1680" s="2" t="s">
        <v>104</v>
      </c>
      <c r="CF1680" s="5">
        <v>42969</v>
      </c>
      <c r="CG1680" s="2"/>
      <c r="CH1680" s="2"/>
      <c r="CI1680" s="2">
        <v>3</v>
      </c>
      <c r="CJ1680" s="2">
        <v>2</v>
      </c>
      <c r="CK1680" s="2">
        <v>21</v>
      </c>
      <c r="CL1680" s="2" t="s">
        <v>86</v>
      </c>
      <c r="CM1680" s="2"/>
    </row>
    <row r="1681" spans="1:91">
      <c r="A1681" s="2" t="s">
        <v>71</v>
      </c>
      <c r="B1681" s="2" t="s">
        <v>72</v>
      </c>
      <c r="C1681" s="2" t="s">
        <v>73</v>
      </c>
      <c r="D1681" s="2"/>
      <c r="E1681" s="2" t="str">
        <f>"FES1162568772"</f>
        <v>FES1162568772</v>
      </c>
      <c r="F1681" s="3">
        <v>42961</v>
      </c>
      <c r="G1681" s="2">
        <v>201802</v>
      </c>
      <c r="H1681" s="2" t="s">
        <v>74</v>
      </c>
      <c r="I1681" s="2" t="s">
        <v>75</v>
      </c>
      <c r="J1681" s="2" t="s">
        <v>76</v>
      </c>
      <c r="K1681" s="2" t="s">
        <v>77</v>
      </c>
      <c r="L1681" s="2" t="s">
        <v>74</v>
      </c>
      <c r="M1681" s="2" t="s">
        <v>75</v>
      </c>
      <c r="N1681" s="2" t="s">
        <v>1048</v>
      </c>
      <c r="O1681" s="2" t="s">
        <v>100</v>
      </c>
      <c r="P1681" s="2" t="str">
        <f>"2170584515                    "</f>
        <v xml:space="preserve">2170584515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3.13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1.7</v>
      </c>
      <c r="BJ1681" s="2">
        <v>0.9</v>
      </c>
      <c r="BK1681" s="2">
        <v>2</v>
      </c>
      <c r="BL1681" s="2">
        <v>32.380000000000003</v>
      </c>
      <c r="BM1681" s="2">
        <v>4.53</v>
      </c>
      <c r="BN1681" s="2">
        <v>36.909999999999997</v>
      </c>
      <c r="BO1681" s="2">
        <v>36.909999999999997</v>
      </c>
      <c r="BP1681" s="2"/>
      <c r="BQ1681" s="2" t="s">
        <v>83</v>
      </c>
      <c r="BR1681" s="2" t="s">
        <v>84</v>
      </c>
      <c r="BS1681" s="3">
        <v>42963</v>
      </c>
      <c r="BT1681" s="4">
        <v>0.375</v>
      </c>
      <c r="BU1681" s="2" t="s">
        <v>2357</v>
      </c>
      <c r="BV1681" s="2" t="s">
        <v>86</v>
      </c>
      <c r="BW1681" s="2" t="s">
        <v>548</v>
      </c>
      <c r="BX1681" s="2" t="s">
        <v>1452</v>
      </c>
      <c r="BY1681" s="2">
        <v>4459.5200000000004</v>
      </c>
      <c r="BZ1681" s="2" t="s">
        <v>27</v>
      </c>
      <c r="CA1681" s="2" t="s">
        <v>550</v>
      </c>
      <c r="CB1681" s="2"/>
      <c r="CC1681" s="2" t="s">
        <v>75</v>
      </c>
      <c r="CD1681" s="2">
        <v>1609</v>
      </c>
      <c r="CE1681" s="2" t="s">
        <v>104</v>
      </c>
      <c r="CF1681" s="5">
        <v>42971</v>
      </c>
      <c r="CG1681" s="2"/>
      <c r="CH1681" s="2"/>
      <c r="CI1681" s="2">
        <v>1</v>
      </c>
      <c r="CJ1681" s="2">
        <v>2</v>
      </c>
      <c r="CK1681" s="2">
        <v>22</v>
      </c>
      <c r="CL1681" s="2" t="s">
        <v>86</v>
      </c>
      <c r="CM1681" s="2"/>
    </row>
    <row r="1682" spans="1:91">
      <c r="A1682" s="2" t="s">
        <v>71</v>
      </c>
      <c r="B1682" s="2" t="s">
        <v>72</v>
      </c>
      <c r="C1682" s="2" t="s">
        <v>73</v>
      </c>
      <c r="D1682" s="2"/>
      <c r="E1682" s="2" t="str">
        <f>"FES1162568838"</f>
        <v>FES1162568838</v>
      </c>
      <c r="F1682" s="3">
        <v>42962</v>
      </c>
      <c r="G1682" s="2">
        <v>201802</v>
      </c>
      <c r="H1682" s="2" t="s">
        <v>74</v>
      </c>
      <c r="I1682" s="2" t="s">
        <v>75</v>
      </c>
      <c r="J1682" s="2" t="s">
        <v>76</v>
      </c>
      <c r="K1682" s="2" t="s">
        <v>77</v>
      </c>
      <c r="L1682" s="2" t="s">
        <v>105</v>
      </c>
      <c r="M1682" s="2" t="s">
        <v>106</v>
      </c>
      <c r="N1682" s="2" t="s">
        <v>873</v>
      </c>
      <c r="O1682" s="2" t="s">
        <v>100</v>
      </c>
      <c r="P1682" s="2" t="str">
        <f>"2170584600                    "</f>
        <v xml:space="preserve">2170584600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4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1</v>
      </c>
      <c r="BJ1682" s="2">
        <v>0.2</v>
      </c>
      <c r="BK1682" s="2">
        <v>1</v>
      </c>
      <c r="BL1682" s="2">
        <v>41.44</v>
      </c>
      <c r="BM1682" s="2">
        <v>5.8</v>
      </c>
      <c r="BN1682" s="2">
        <v>47.24</v>
      </c>
      <c r="BO1682" s="2">
        <v>47.24</v>
      </c>
      <c r="BP1682" s="2"/>
      <c r="BQ1682" s="2" t="s">
        <v>83</v>
      </c>
      <c r="BR1682" s="2" t="s">
        <v>84</v>
      </c>
      <c r="BS1682" s="3">
        <v>42964</v>
      </c>
      <c r="BT1682" s="4">
        <v>0.35833333333333334</v>
      </c>
      <c r="BU1682" s="2" t="s">
        <v>1490</v>
      </c>
      <c r="BV1682" s="2" t="s">
        <v>86</v>
      </c>
      <c r="BW1682" s="2" t="s">
        <v>110</v>
      </c>
      <c r="BX1682" s="2" t="s">
        <v>111</v>
      </c>
      <c r="BY1682" s="2">
        <v>1200</v>
      </c>
      <c r="BZ1682" s="2"/>
      <c r="CA1682" s="2" t="s">
        <v>869</v>
      </c>
      <c r="CB1682" s="2"/>
      <c r="CC1682" s="2" t="s">
        <v>106</v>
      </c>
      <c r="CD1682" s="2">
        <v>7460</v>
      </c>
      <c r="CE1682" s="2" t="s">
        <v>104</v>
      </c>
      <c r="CF1682" s="5">
        <v>42965</v>
      </c>
      <c r="CG1682" s="2"/>
      <c r="CH1682" s="2"/>
      <c r="CI1682" s="2">
        <v>1</v>
      </c>
      <c r="CJ1682" s="2">
        <v>2</v>
      </c>
      <c r="CK1682" s="2">
        <v>21</v>
      </c>
      <c r="CL1682" s="2" t="s">
        <v>86</v>
      </c>
      <c r="CM1682" s="2"/>
    </row>
    <row r="1683" spans="1:91">
      <c r="A1683" s="2" t="s">
        <v>71</v>
      </c>
      <c r="B1683" s="2" t="s">
        <v>72</v>
      </c>
      <c r="C1683" s="2" t="s">
        <v>73</v>
      </c>
      <c r="D1683" s="2"/>
      <c r="E1683" s="2" t="str">
        <f>"Rfes1162568772"</f>
        <v>Rfes1162568772</v>
      </c>
      <c r="F1683" s="3">
        <v>42963</v>
      </c>
      <c r="G1683" s="2">
        <v>201802</v>
      </c>
      <c r="H1683" s="2" t="s">
        <v>74</v>
      </c>
      <c r="I1683" s="2" t="s">
        <v>75</v>
      </c>
      <c r="J1683" s="2" t="s">
        <v>1048</v>
      </c>
      <c r="K1683" s="2" t="s">
        <v>77</v>
      </c>
      <c r="L1683" s="2" t="s">
        <v>74</v>
      </c>
      <c r="M1683" s="2" t="s">
        <v>75</v>
      </c>
      <c r="N1683" s="2" t="s">
        <v>76</v>
      </c>
      <c r="O1683" s="2" t="s">
        <v>100</v>
      </c>
      <c r="P1683" s="2" t="str">
        <f>"2170584515                    "</f>
        <v xml:space="preserve">2170584515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3.13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1.7</v>
      </c>
      <c r="BJ1683" s="2">
        <v>0.9</v>
      </c>
      <c r="BK1683" s="2">
        <v>2</v>
      </c>
      <c r="BL1683" s="2">
        <v>32.380000000000003</v>
      </c>
      <c r="BM1683" s="2">
        <v>4.53</v>
      </c>
      <c r="BN1683" s="2">
        <v>36.909999999999997</v>
      </c>
      <c r="BO1683" s="2">
        <v>36.909999999999997</v>
      </c>
      <c r="BP1683" s="2"/>
      <c r="BQ1683" s="2" t="s">
        <v>84</v>
      </c>
      <c r="BR1683" s="2" t="s">
        <v>83</v>
      </c>
      <c r="BS1683" s="3">
        <v>42964</v>
      </c>
      <c r="BT1683" s="4">
        <v>0.39444444444444443</v>
      </c>
      <c r="BU1683" s="2" t="s">
        <v>631</v>
      </c>
      <c r="BV1683" s="2" t="s">
        <v>95</v>
      </c>
      <c r="BW1683" s="2"/>
      <c r="BX1683" s="2"/>
      <c r="BY1683" s="2">
        <v>4459.5200000000004</v>
      </c>
      <c r="BZ1683" s="2"/>
      <c r="CA1683" s="2"/>
      <c r="CB1683" s="2"/>
      <c r="CC1683" s="2" t="s">
        <v>75</v>
      </c>
      <c r="CD1683" s="2">
        <v>1601</v>
      </c>
      <c r="CE1683" s="2" t="s">
        <v>104</v>
      </c>
      <c r="CF1683" s="5">
        <v>42965</v>
      </c>
      <c r="CG1683" s="2"/>
      <c r="CH1683" s="2"/>
      <c r="CI1683" s="2">
        <v>1</v>
      </c>
      <c r="CJ1683" s="2">
        <v>1</v>
      </c>
      <c r="CK1683" s="2">
        <v>22</v>
      </c>
      <c r="CL1683" s="2" t="s">
        <v>86</v>
      </c>
      <c r="CM1683" s="2"/>
    </row>
    <row r="1684" spans="1:91">
      <c r="A1684" s="2" t="s">
        <v>71</v>
      </c>
      <c r="B1684" s="2" t="s">
        <v>72</v>
      </c>
      <c r="C1684" s="2" t="s">
        <v>73</v>
      </c>
      <c r="D1684" s="2"/>
      <c r="E1684" s="2" t="str">
        <f>"FES1162569319"</f>
        <v>FES1162569319</v>
      </c>
      <c r="F1684" s="3">
        <v>42963</v>
      </c>
      <c r="G1684" s="2">
        <v>201802</v>
      </c>
      <c r="H1684" s="2" t="s">
        <v>74</v>
      </c>
      <c r="I1684" s="2" t="s">
        <v>75</v>
      </c>
      <c r="J1684" s="2" t="s">
        <v>76</v>
      </c>
      <c r="K1684" s="2" t="s">
        <v>77</v>
      </c>
      <c r="L1684" s="2" t="s">
        <v>244</v>
      </c>
      <c r="M1684" s="2" t="s">
        <v>245</v>
      </c>
      <c r="N1684" s="2" t="s">
        <v>246</v>
      </c>
      <c r="O1684" s="2" t="s">
        <v>100</v>
      </c>
      <c r="P1684" s="2" t="str">
        <f>"2170585187                    "</f>
        <v xml:space="preserve">2170585187  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3.13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3.7</v>
      </c>
      <c r="BJ1684" s="2">
        <v>3.5</v>
      </c>
      <c r="BK1684" s="2">
        <v>4</v>
      </c>
      <c r="BL1684" s="2">
        <v>32.380000000000003</v>
      </c>
      <c r="BM1684" s="2">
        <v>4.53</v>
      </c>
      <c r="BN1684" s="2">
        <v>36.909999999999997</v>
      </c>
      <c r="BO1684" s="2">
        <v>36.909999999999997</v>
      </c>
      <c r="BP1684" s="2"/>
      <c r="BQ1684" s="2" t="s">
        <v>209</v>
      </c>
      <c r="BR1684" s="2" t="s">
        <v>84</v>
      </c>
      <c r="BS1684" s="3">
        <v>42964</v>
      </c>
      <c r="BT1684" s="4">
        <v>0.50694444444444442</v>
      </c>
      <c r="BU1684" s="2" t="s">
        <v>740</v>
      </c>
      <c r="BV1684" s="2" t="s">
        <v>86</v>
      </c>
      <c r="BW1684" s="2" t="s">
        <v>110</v>
      </c>
      <c r="BX1684" s="2" t="s">
        <v>498</v>
      </c>
      <c r="BY1684" s="2">
        <v>17316.830000000002</v>
      </c>
      <c r="BZ1684" s="2" t="s">
        <v>27</v>
      </c>
      <c r="CA1684" s="2" t="s">
        <v>499</v>
      </c>
      <c r="CB1684" s="2"/>
      <c r="CC1684" s="2" t="s">
        <v>245</v>
      </c>
      <c r="CD1684" s="2">
        <v>1459</v>
      </c>
      <c r="CE1684" s="2" t="s">
        <v>89</v>
      </c>
      <c r="CF1684" s="5">
        <v>42965</v>
      </c>
      <c r="CG1684" s="2"/>
      <c r="CH1684" s="2"/>
      <c r="CI1684" s="2">
        <v>1</v>
      </c>
      <c r="CJ1684" s="2">
        <v>1</v>
      </c>
      <c r="CK1684" s="2">
        <v>22</v>
      </c>
      <c r="CL1684" s="2" t="s">
        <v>86</v>
      </c>
      <c r="CM1684" s="2"/>
    </row>
    <row r="1685" spans="1:91">
      <c r="A1685" s="2" t="s">
        <v>71</v>
      </c>
      <c r="B1685" s="2" t="s">
        <v>72</v>
      </c>
      <c r="C1685" s="2" t="s">
        <v>73</v>
      </c>
      <c r="D1685" s="2"/>
      <c r="E1685" s="2" t="str">
        <f>"FES1162569212"</f>
        <v>FES1162569212</v>
      </c>
      <c r="F1685" s="3">
        <v>42963</v>
      </c>
      <c r="G1685" s="2">
        <v>201802</v>
      </c>
      <c r="H1685" s="2" t="s">
        <v>74</v>
      </c>
      <c r="I1685" s="2" t="s">
        <v>75</v>
      </c>
      <c r="J1685" s="2" t="s">
        <v>76</v>
      </c>
      <c r="K1685" s="2" t="s">
        <v>77</v>
      </c>
      <c r="L1685" s="2" t="s">
        <v>539</v>
      </c>
      <c r="M1685" s="2" t="s">
        <v>540</v>
      </c>
      <c r="N1685" s="2" t="s">
        <v>541</v>
      </c>
      <c r="O1685" s="2" t="s">
        <v>100</v>
      </c>
      <c r="P1685" s="2" t="str">
        <f>"2170582011                    "</f>
        <v xml:space="preserve">2170582011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3.13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2</v>
      </c>
      <c r="BJ1685" s="2">
        <v>0.9</v>
      </c>
      <c r="BK1685" s="2">
        <v>2</v>
      </c>
      <c r="BL1685" s="2">
        <v>32.380000000000003</v>
      </c>
      <c r="BM1685" s="2">
        <v>4.53</v>
      </c>
      <c r="BN1685" s="2">
        <v>36.909999999999997</v>
      </c>
      <c r="BO1685" s="2">
        <v>36.909999999999997</v>
      </c>
      <c r="BP1685" s="2"/>
      <c r="BQ1685" s="2" t="s">
        <v>542</v>
      </c>
      <c r="BR1685" s="2" t="s">
        <v>84</v>
      </c>
      <c r="BS1685" s="3">
        <v>42964</v>
      </c>
      <c r="BT1685" s="4">
        <v>0.38541666666666669</v>
      </c>
      <c r="BU1685" s="2" t="s">
        <v>330</v>
      </c>
      <c r="BV1685" s="2" t="s">
        <v>95</v>
      </c>
      <c r="BW1685" s="2"/>
      <c r="BX1685" s="2"/>
      <c r="BY1685" s="2">
        <v>4500</v>
      </c>
      <c r="BZ1685" s="2" t="s">
        <v>27</v>
      </c>
      <c r="CA1685" s="2" t="s">
        <v>722</v>
      </c>
      <c r="CB1685" s="2"/>
      <c r="CC1685" s="2" t="s">
        <v>540</v>
      </c>
      <c r="CD1685" s="2">
        <v>2162</v>
      </c>
      <c r="CE1685" s="2" t="s">
        <v>89</v>
      </c>
      <c r="CF1685" s="5">
        <v>42965</v>
      </c>
      <c r="CG1685" s="2"/>
      <c r="CH1685" s="2"/>
      <c r="CI1685" s="2">
        <v>1</v>
      </c>
      <c r="CJ1685" s="2">
        <v>1</v>
      </c>
      <c r="CK1685" s="2">
        <v>22</v>
      </c>
      <c r="CL1685" s="2" t="s">
        <v>86</v>
      </c>
      <c r="CM1685" s="2"/>
    </row>
    <row r="1686" spans="1:91">
      <c r="A1686" s="2" t="s">
        <v>71</v>
      </c>
      <c r="B1686" s="2" t="s">
        <v>72</v>
      </c>
      <c r="C1686" s="2" t="s">
        <v>73</v>
      </c>
      <c r="D1686" s="2"/>
      <c r="E1686" s="2" t="str">
        <f>"FES1162569228"</f>
        <v>FES1162569228</v>
      </c>
      <c r="F1686" s="3">
        <v>42963</v>
      </c>
      <c r="G1686" s="2">
        <v>201802</v>
      </c>
      <c r="H1686" s="2" t="s">
        <v>74</v>
      </c>
      <c r="I1686" s="2" t="s">
        <v>75</v>
      </c>
      <c r="J1686" s="2" t="s">
        <v>76</v>
      </c>
      <c r="K1686" s="2" t="s">
        <v>77</v>
      </c>
      <c r="L1686" s="2" t="s">
        <v>311</v>
      </c>
      <c r="M1686" s="2" t="s">
        <v>312</v>
      </c>
      <c r="N1686" s="2" t="s">
        <v>730</v>
      </c>
      <c r="O1686" s="2" t="s">
        <v>100</v>
      </c>
      <c r="P1686" s="2" t="str">
        <f>"2170582585                    "</f>
        <v xml:space="preserve">2170582585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3.13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1</v>
      </c>
      <c r="BJ1686" s="2">
        <v>0.2</v>
      </c>
      <c r="BK1686" s="2">
        <v>1</v>
      </c>
      <c r="BL1686" s="2">
        <v>32.380000000000003</v>
      </c>
      <c r="BM1686" s="2">
        <v>4.53</v>
      </c>
      <c r="BN1686" s="2">
        <v>36.909999999999997</v>
      </c>
      <c r="BO1686" s="2">
        <v>36.909999999999997</v>
      </c>
      <c r="BP1686" s="2"/>
      <c r="BQ1686" s="2" t="s">
        <v>108</v>
      </c>
      <c r="BR1686" s="2" t="s">
        <v>84</v>
      </c>
      <c r="BS1686" s="3">
        <v>42964</v>
      </c>
      <c r="BT1686" s="4">
        <v>0.41666666666666669</v>
      </c>
      <c r="BU1686" s="2" t="s">
        <v>731</v>
      </c>
      <c r="BV1686" s="2" t="s">
        <v>95</v>
      </c>
      <c r="BW1686" s="2"/>
      <c r="BX1686" s="2"/>
      <c r="BY1686" s="2">
        <v>1200</v>
      </c>
      <c r="BZ1686" s="2" t="s">
        <v>27</v>
      </c>
      <c r="CA1686" s="2"/>
      <c r="CB1686" s="2"/>
      <c r="CC1686" s="2" t="s">
        <v>312</v>
      </c>
      <c r="CD1686" s="2">
        <v>1559</v>
      </c>
      <c r="CE1686" s="2" t="s">
        <v>104</v>
      </c>
      <c r="CF1686" s="5">
        <v>42965</v>
      </c>
      <c r="CG1686" s="2"/>
      <c r="CH1686" s="2"/>
      <c r="CI1686" s="2">
        <v>1</v>
      </c>
      <c r="CJ1686" s="2">
        <v>1</v>
      </c>
      <c r="CK1686" s="2">
        <v>22</v>
      </c>
      <c r="CL1686" s="2" t="s">
        <v>86</v>
      </c>
      <c r="CM1686" s="2"/>
    </row>
    <row r="1687" spans="1:91">
      <c r="A1687" s="2" t="s">
        <v>71</v>
      </c>
      <c r="B1687" s="2" t="s">
        <v>72</v>
      </c>
      <c r="C1687" s="2" t="s">
        <v>73</v>
      </c>
      <c r="D1687" s="2"/>
      <c r="E1687" s="2" t="str">
        <f>"FES1162569235"</f>
        <v>FES1162569235</v>
      </c>
      <c r="F1687" s="3">
        <v>42963</v>
      </c>
      <c r="G1687" s="2">
        <v>201802</v>
      </c>
      <c r="H1687" s="2" t="s">
        <v>74</v>
      </c>
      <c r="I1687" s="2" t="s">
        <v>75</v>
      </c>
      <c r="J1687" s="2" t="s">
        <v>76</v>
      </c>
      <c r="K1687" s="2" t="s">
        <v>77</v>
      </c>
      <c r="L1687" s="2" t="s">
        <v>1781</v>
      </c>
      <c r="M1687" s="2" t="s">
        <v>1781</v>
      </c>
      <c r="N1687" s="2" t="s">
        <v>1782</v>
      </c>
      <c r="O1687" s="2" t="s">
        <v>100</v>
      </c>
      <c r="P1687" s="2" t="str">
        <f>"2170582707                    "</f>
        <v xml:space="preserve">2170582707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7.75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1</v>
      </c>
      <c r="BI1687" s="2">
        <v>1</v>
      </c>
      <c r="BJ1687" s="2">
        <v>0.2</v>
      </c>
      <c r="BK1687" s="2">
        <v>1</v>
      </c>
      <c r="BL1687" s="2">
        <v>80.290000000000006</v>
      </c>
      <c r="BM1687" s="2">
        <v>11.24</v>
      </c>
      <c r="BN1687" s="2">
        <v>91.53</v>
      </c>
      <c r="BO1687" s="2">
        <v>91.53</v>
      </c>
      <c r="BP1687" s="2"/>
      <c r="BQ1687" s="2" t="s">
        <v>365</v>
      </c>
      <c r="BR1687" s="2" t="s">
        <v>84</v>
      </c>
      <c r="BS1687" s="3">
        <v>42965</v>
      </c>
      <c r="BT1687" s="4">
        <v>0.58333333333333337</v>
      </c>
      <c r="BU1687" s="2" t="s">
        <v>2358</v>
      </c>
      <c r="BV1687" s="2" t="s">
        <v>95</v>
      </c>
      <c r="BW1687" s="2"/>
      <c r="BX1687" s="2"/>
      <c r="BY1687" s="2">
        <v>1200</v>
      </c>
      <c r="BZ1687" s="2" t="s">
        <v>27</v>
      </c>
      <c r="CA1687" s="2"/>
      <c r="CB1687" s="2"/>
      <c r="CC1687" s="2" t="s">
        <v>1781</v>
      </c>
      <c r="CD1687" s="2">
        <v>5470</v>
      </c>
      <c r="CE1687" s="2" t="s">
        <v>104</v>
      </c>
      <c r="CF1687" s="5">
        <v>42972</v>
      </c>
      <c r="CG1687" s="2"/>
      <c r="CH1687" s="2"/>
      <c r="CI1687" s="2">
        <v>4</v>
      </c>
      <c r="CJ1687" s="2">
        <v>2</v>
      </c>
      <c r="CK1687" s="2">
        <v>23</v>
      </c>
      <c r="CL1687" s="2" t="s">
        <v>86</v>
      </c>
      <c r="CM1687" s="2"/>
    </row>
    <row r="1688" spans="1:91">
      <c r="A1688" s="2" t="s">
        <v>71</v>
      </c>
      <c r="B1688" s="2" t="s">
        <v>72</v>
      </c>
      <c r="C1688" s="2" t="s">
        <v>73</v>
      </c>
      <c r="D1688" s="2"/>
      <c r="E1688" s="2" t="str">
        <f>"FES1162569200"</f>
        <v>FES1162569200</v>
      </c>
      <c r="F1688" s="3">
        <v>42963</v>
      </c>
      <c r="G1688" s="2">
        <v>201802</v>
      </c>
      <c r="H1688" s="2" t="s">
        <v>74</v>
      </c>
      <c r="I1688" s="2" t="s">
        <v>75</v>
      </c>
      <c r="J1688" s="2" t="s">
        <v>76</v>
      </c>
      <c r="K1688" s="2" t="s">
        <v>77</v>
      </c>
      <c r="L1688" s="2" t="s">
        <v>128</v>
      </c>
      <c r="M1688" s="2" t="s">
        <v>129</v>
      </c>
      <c r="N1688" s="2" t="s">
        <v>412</v>
      </c>
      <c r="O1688" s="2" t="s">
        <v>100</v>
      </c>
      <c r="P1688" s="2" t="str">
        <f>"2170585150                    "</f>
        <v xml:space="preserve">2170585150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3.13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1</v>
      </c>
      <c r="BJ1688" s="2">
        <v>0.2</v>
      </c>
      <c r="BK1688" s="2">
        <v>1</v>
      </c>
      <c r="BL1688" s="2">
        <v>32.380000000000003</v>
      </c>
      <c r="BM1688" s="2">
        <v>4.53</v>
      </c>
      <c r="BN1688" s="2">
        <v>36.909999999999997</v>
      </c>
      <c r="BO1688" s="2">
        <v>36.909999999999997</v>
      </c>
      <c r="BP1688" s="2"/>
      <c r="BQ1688" s="2" t="s">
        <v>209</v>
      </c>
      <c r="BR1688" s="2" t="s">
        <v>84</v>
      </c>
      <c r="BS1688" s="3">
        <v>42964</v>
      </c>
      <c r="BT1688" s="4">
        <v>0.37361111111111112</v>
      </c>
      <c r="BU1688" s="2" t="s">
        <v>521</v>
      </c>
      <c r="BV1688" s="2" t="s">
        <v>95</v>
      </c>
      <c r="BW1688" s="2"/>
      <c r="BX1688" s="2"/>
      <c r="BY1688" s="2">
        <v>1200</v>
      </c>
      <c r="BZ1688" s="2" t="s">
        <v>27</v>
      </c>
      <c r="CA1688" s="2" t="s">
        <v>923</v>
      </c>
      <c r="CB1688" s="2"/>
      <c r="CC1688" s="2" t="s">
        <v>129</v>
      </c>
      <c r="CD1688" s="2">
        <v>1709</v>
      </c>
      <c r="CE1688" s="2" t="s">
        <v>104</v>
      </c>
      <c r="CF1688" s="5">
        <v>42965</v>
      </c>
      <c r="CG1688" s="2"/>
      <c r="CH1688" s="2"/>
      <c r="CI1688" s="2">
        <v>1</v>
      </c>
      <c r="CJ1688" s="2">
        <v>1</v>
      </c>
      <c r="CK1688" s="2">
        <v>22</v>
      </c>
      <c r="CL1688" s="2" t="s">
        <v>86</v>
      </c>
      <c r="CM1688" s="2"/>
    </row>
    <row r="1689" spans="1:91">
      <c r="A1689" s="2" t="s">
        <v>71</v>
      </c>
      <c r="B1689" s="2" t="s">
        <v>72</v>
      </c>
      <c r="C1689" s="2" t="s">
        <v>73</v>
      </c>
      <c r="D1689" s="2"/>
      <c r="E1689" s="2" t="str">
        <f>"FES1162569253"</f>
        <v>FES1162569253</v>
      </c>
      <c r="F1689" s="3">
        <v>42963</v>
      </c>
      <c r="G1689" s="2">
        <v>201802</v>
      </c>
      <c r="H1689" s="2" t="s">
        <v>74</v>
      </c>
      <c r="I1689" s="2" t="s">
        <v>75</v>
      </c>
      <c r="J1689" s="2" t="s">
        <v>76</v>
      </c>
      <c r="K1689" s="2" t="s">
        <v>77</v>
      </c>
      <c r="L1689" s="2" t="s">
        <v>524</v>
      </c>
      <c r="M1689" s="2" t="s">
        <v>525</v>
      </c>
      <c r="N1689" s="2" t="s">
        <v>1799</v>
      </c>
      <c r="O1689" s="2" t="s">
        <v>100</v>
      </c>
      <c r="P1689" s="2" t="str">
        <f>"2170584324                    "</f>
        <v xml:space="preserve">2170584324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7.75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1</v>
      </c>
      <c r="BJ1689" s="2">
        <v>0.2</v>
      </c>
      <c r="BK1689" s="2">
        <v>1</v>
      </c>
      <c r="BL1689" s="2">
        <v>80.290000000000006</v>
      </c>
      <c r="BM1689" s="2">
        <v>11.24</v>
      </c>
      <c r="BN1689" s="2">
        <v>91.53</v>
      </c>
      <c r="BO1689" s="2">
        <v>91.53</v>
      </c>
      <c r="BP1689" s="2"/>
      <c r="BQ1689" s="2" t="s">
        <v>209</v>
      </c>
      <c r="BR1689" s="2" t="s">
        <v>84</v>
      </c>
      <c r="BS1689" s="3">
        <v>42964</v>
      </c>
      <c r="BT1689" s="4">
        <v>0.61388888888888882</v>
      </c>
      <c r="BU1689" s="2" t="s">
        <v>2359</v>
      </c>
      <c r="BV1689" s="2" t="s">
        <v>95</v>
      </c>
      <c r="BW1689" s="2"/>
      <c r="BX1689" s="2"/>
      <c r="BY1689" s="2">
        <v>1200</v>
      </c>
      <c r="BZ1689" s="2" t="s">
        <v>27</v>
      </c>
      <c r="CA1689" s="2" t="s">
        <v>527</v>
      </c>
      <c r="CB1689" s="2"/>
      <c r="CC1689" s="2" t="s">
        <v>525</v>
      </c>
      <c r="CD1689" s="2">
        <v>5605</v>
      </c>
      <c r="CE1689" s="2" t="s">
        <v>104</v>
      </c>
      <c r="CF1689" s="5">
        <v>42968</v>
      </c>
      <c r="CG1689" s="2"/>
      <c r="CH1689" s="2"/>
      <c r="CI1689" s="2">
        <v>4</v>
      </c>
      <c r="CJ1689" s="2">
        <v>1</v>
      </c>
      <c r="CK1689" s="2">
        <v>23</v>
      </c>
      <c r="CL1689" s="2" t="s">
        <v>86</v>
      </c>
      <c r="CM1689" s="2"/>
    </row>
    <row r="1690" spans="1:91">
      <c r="A1690" s="2" t="s">
        <v>71</v>
      </c>
      <c r="B1690" s="2" t="s">
        <v>72</v>
      </c>
      <c r="C1690" s="2" t="s">
        <v>73</v>
      </c>
      <c r="D1690" s="2"/>
      <c r="E1690" s="2" t="str">
        <f>"FES1162569346"</f>
        <v>FES1162569346</v>
      </c>
      <c r="F1690" s="3">
        <v>42963</v>
      </c>
      <c r="G1690" s="2">
        <v>201802</v>
      </c>
      <c r="H1690" s="2" t="s">
        <v>74</v>
      </c>
      <c r="I1690" s="2" t="s">
        <v>75</v>
      </c>
      <c r="J1690" s="2" t="s">
        <v>76</v>
      </c>
      <c r="K1690" s="2" t="s">
        <v>77</v>
      </c>
      <c r="L1690" s="2" t="s">
        <v>97</v>
      </c>
      <c r="M1690" s="2" t="s">
        <v>98</v>
      </c>
      <c r="N1690" s="2" t="s">
        <v>2360</v>
      </c>
      <c r="O1690" s="2" t="s">
        <v>100</v>
      </c>
      <c r="P1690" s="2" t="str">
        <f>"2170577815                    "</f>
        <v xml:space="preserve">2170577815 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4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1</v>
      </c>
      <c r="BJ1690" s="2">
        <v>0.2</v>
      </c>
      <c r="BK1690" s="2">
        <v>1</v>
      </c>
      <c r="BL1690" s="2">
        <v>41.44</v>
      </c>
      <c r="BM1690" s="2">
        <v>5.8</v>
      </c>
      <c r="BN1690" s="2">
        <v>47.24</v>
      </c>
      <c r="BO1690" s="2">
        <v>47.24</v>
      </c>
      <c r="BP1690" s="2"/>
      <c r="BQ1690" s="2" t="s">
        <v>2361</v>
      </c>
      <c r="BR1690" s="2" t="s">
        <v>84</v>
      </c>
      <c r="BS1690" s="3">
        <v>42964</v>
      </c>
      <c r="BT1690" s="4">
        <v>0.41666666666666669</v>
      </c>
      <c r="BU1690" s="2" t="s">
        <v>2362</v>
      </c>
      <c r="BV1690" s="2" t="s">
        <v>95</v>
      </c>
      <c r="BW1690" s="2"/>
      <c r="BX1690" s="2"/>
      <c r="BY1690" s="2">
        <v>1200</v>
      </c>
      <c r="BZ1690" s="2" t="s">
        <v>27</v>
      </c>
      <c r="CA1690" s="2" t="s">
        <v>804</v>
      </c>
      <c r="CB1690" s="2"/>
      <c r="CC1690" s="2" t="s">
        <v>98</v>
      </c>
      <c r="CD1690" s="2">
        <v>6012</v>
      </c>
      <c r="CE1690" s="2" t="s">
        <v>104</v>
      </c>
      <c r="CF1690" s="5">
        <v>42965</v>
      </c>
      <c r="CG1690" s="2"/>
      <c r="CH1690" s="2"/>
      <c r="CI1690" s="2">
        <v>1</v>
      </c>
      <c r="CJ1690" s="2">
        <v>1</v>
      </c>
      <c r="CK1690" s="2">
        <v>21</v>
      </c>
      <c r="CL1690" s="2" t="s">
        <v>86</v>
      </c>
      <c r="CM1690" s="2"/>
    </row>
    <row r="1691" spans="1:91">
      <c r="A1691" s="2" t="s">
        <v>71</v>
      </c>
      <c r="B1691" s="2" t="s">
        <v>72</v>
      </c>
      <c r="C1691" s="2" t="s">
        <v>73</v>
      </c>
      <c r="D1691" s="2"/>
      <c r="E1691" s="2" t="str">
        <f>"FES1162569248"</f>
        <v>FES1162569248</v>
      </c>
      <c r="F1691" s="3">
        <v>42963</v>
      </c>
      <c r="G1691" s="2">
        <v>201802</v>
      </c>
      <c r="H1691" s="2" t="s">
        <v>74</v>
      </c>
      <c r="I1691" s="2" t="s">
        <v>75</v>
      </c>
      <c r="J1691" s="2" t="s">
        <v>76</v>
      </c>
      <c r="K1691" s="2" t="s">
        <v>77</v>
      </c>
      <c r="L1691" s="2" t="s">
        <v>97</v>
      </c>
      <c r="M1691" s="2" t="s">
        <v>98</v>
      </c>
      <c r="N1691" s="2" t="s">
        <v>248</v>
      </c>
      <c r="O1691" s="2" t="s">
        <v>100</v>
      </c>
      <c r="P1691" s="2" t="str">
        <f>"2170583511                    "</f>
        <v xml:space="preserve">2170583511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4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1</v>
      </c>
      <c r="BJ1691" s="2">
        <v>0.2</v>
      </c>
      <c r="BK1691" s="2">
        <v>1</v>
      </c>
      <c r="BL1691" s="2">
        <v>41.44</v>
      </c>
      <c r="BM1691" s="2">
        <v>5.8</v>
      </c>
      <c r="BN1691" s="2">
        <v>47.24</v>
      </c>
      <c r="BO1691" s="2">
        <v>47.24</v>
      </c>
      <c r="BP1691" s="2"/>
      <c r="BQ1691" s="2" t="s">
        <v>83</v>
      </c>
      <c r="BR1691" s="2" t="s">
        <v>84</v>
      </c>
      <c r="BS1691" s="3">
        <v>42964</v>
      </c>
      <c r="BT1691" s="4">
        <v>0.34722222222222227</v>
      </c>
      <c r="BU1691" s="2" t="s">
        <v>1130</v>
      </c>
      <c r="BV1691" s="2" t="s">
        <v>95</v>
      </c>
      <c r="BW1691" s="2"/>
      <c r="BX1691" s="2"/>
      <c r="BY1691" s="2">
        <v>1200</v>
      </c>
      <c r="BZ1691" s="2" t="s">
        <v>27</v>
      </c>
      <c r="CA1691" s="2" t="s">
        <v>804</v>
      </c>
      <c r="CB1691" s="2"/>
      <c r="CC1691" s="2" t="s">
        <v>98</v>
      </c>
      <c r="CD1691" s="2">
        <v>6001</v>
      </c>
      <c r="CE1691" s="2" t="s">
        <v>104</v>
      </c>
      <c r="CF1691" s="5">
        <v>42965</v>
      </c>
      <c r="CG1691" s="2"/>
      <c r="CH1691" s="2"/>
      <c r="CI1691" s="2">
        <v>1</v>
      </c>
      <c r="CJ1691" s="2">
        <v>1</v>
      </c>
      <c r="CK1691" s="2">
        <v>21</v>
      </c>
      <c r="CL1691" s="2" t="s">
        <v>86</v>
      </c>
      <c r="CM1691" s="2"/>
    </row>
    <row r="1692" spans="1:91">
      <c r="A1692" s="2" t="s">
        <v>71</v>
      </c>
      <c r="B1692" s="2" t="s">
        <v>72</v>
      </c>
      <c r="C1692" s="2" t="s">
        <v>73</v>
      </c>
      <c r="D1692" s="2"/>
      <c r="E1692" s="2" t="str">
        <f>"FES1162569176"</f>
        <v>FES1162569176</v>
      </c>
      <c r="F1692" s="3">
        <v>42963</v>
      </c>
      <c r="G1692" s="2">
        <v>201802</v>
      </c>
      <c r="H1692" s="2" t="s">
        <v>74</v>
      </c>
      <c r="I1692" s="2" t="s">
        <v>75</v>
      </c>
      <c r="J1692" s="2" t="s">
        <v>76</v>
      </c>
      <c r="K1692" s="2" t="s">
        <v>77</v>
      </c>
      <c r="L1692" s="2" t="s">
        <v>137</v>
      </c>
      <c r="M1692" s="2" t="s">
        <v>138</v>
      </c>
      <c r="N1692" s="2" t="s">
        <v>368</v>
      </c>
      <c r="O1692" s="2" t="s">
        <v>100</v>
      </c>
      <c r="P1692" s="2" t="str">
        <f>"2170584519                    "</f>
        <v xml:space="preserve">2170584519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4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1</v>
      </c>
      <c r="BJ1692" s="2">
        <v>0.2</v>
      </c>
      <c r="BK1692" s="2">
        <v>1</v>
      </c>
      <c r="BL1692" s="2">
        <v>41.44</v>
      </c>
      <c r="BM1692" s="2">
        <v>5.8</v>
      </c>
      <c r="BN1692" s="2">
        <v>47.24</v>
      </c>
      <c r="BO1692" s="2">
        <v>47.24</v>
      </c>
      <c r="BP1692" s="2"/>
      <c r="BQ1692" s="2" t="s">
        <v>108</v>
      </c>
      <c r="BR1692" s="2" t="s">
        <v>84</v>
      </c>
      <c r="BS1692" s="3">
        <v>42964</v>
      </c>
      <c r="BT1692" s="4">
        <v>0.3527777777777778</v>
      </c>
      <c r="BU1692" s="2" t="s">
        <v>369</v>
      </c>
      <c r="BV1692" s="2" t="s">
        <v>95</v>
      </c>
      <c r="BW1692" s="2"/>
      <c r="BX1692" s="2"/>
      <c r="BY1692" s="2">
        <v>1200</v>
      </c>
      <c r="BZ1692" s="2" t="s">
        <v>27</v>
      </c>
      <c r="CA1692" s="2"/>
      <c r="CB1692" s="2"/>
      <c r="CC1692" s="2" t="s">
        <v>138</v>
      </c>
      <c r="CD1692" s="2">
        <v>157</v>
      </c>
      <c r="CE1692" s="2" t="s">
        <v>104</v>
      </c>
      <c r="CF1692" s="5">
        <v>42965</v>
      </c>
      <c r="CG1692" s="2"/>
      <c r="CH1692" s="2"/>
      <c r="CI1692" s="2">
        <v>1</v>
      </c>
      <c r="CJ1692" s="2">
        <v>1</v>
      </c>
      <c r="CK1692" s="2">
        <v>21</v>
      </c>
      <c r="CL1692" s="2" t="s">
        <v>86</v>
      </c>
      <c r="CM1692" s="2"/>
    </row>
    <row r="1693" spans="1:91">
      <c r="A1693" s="2" t="s">
        <v>71</v>
      </c>
      <c r="B1693" s="2" t="s">
        <v>72</v>
      </c>
      <c r="C1693" s="2" t="s">
        <v>73</v>
      </c>
      <c r="D1693" s="2"/>
      <c r="E1693" s="2" t="str">
        <f>"FES1162569239"</f>
        <v>FES1162569239</v>
      </c>
      <c r="F1693" s="3">
        <v>42963</v>
      </c>
      <c r="G1693" s="2">
        <v>201802</v>
      </c>
      <c r="H1693" s="2" t="s">
        <v>74</v>
      </c>
      <c r="I1693" s="2" t="s">
        <v>75</v>
      </c>
      <c r="J1693" s="2" t="s">
        <v>76</v>
      </c>
      <c r="K1693" s="2" t="s">
        <v>77</v>
      </c>
      <c r="L1693" s="2" t="s">
        <v>174</v>
      </c>
      <c r="M1693" s="2" t="s">
        <v>175</v>
      </c>
      <c r="N1693" s="2" t="s">
        <v>930</v>
      </c>
      <c r="O1693" s="2" t="s">
        <v>100</v>
      </c>
      <c r="P1693" s="2" t="str">
        <f>"2170582868                    "</f>
        <v xml:space="preserve">2170582868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4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1</v>
      </c>
      <c r="BJ1693" s="2">
        <v>0.2</v>
      </c>
      <c r="BK1693" s="2">
        <v>1</v>
      </c>
      <c r="BL1693" s="2">
        <v>41.44</v>
      </c>
      <c r="BM1693" s="2">
        <v>5.8</v>
      </c>
      <c r="BN1693" s="2">
        <v>47.24</v>
      </c>
      <c r="BO1693" s="2">
        <v>47.24</v>
      </c>
      <c r="BP1693" s="2"/>
      <c r="BQ1693" s="2" t="s">
        <v>83</v>
      </c>
      <c r="BR1693" s="2" t="s">
        <v>84</v>
      </c>
      <c r="BS1693" s="3">
        <v>42964</v>
      </c>
      <c r="BT1693" s="4">
        <v>0.47986111111111113</v>
      </c>
      <c r="BU1693" s="2" t="s">
        <v>1372</v>
      </c>
      <c r="BV1693" s="2" t="s">
        <v>86</v>
      </c>
      <c r="BW1693" s="2" t="s">
        <v>110</v>
      </c>
      <c r="BX1693" s="2" t="s">
        <v>592</v>
      </c>
      <c r="BY1693" s="2">
        <v>1200</v>
      </c>
      <c r="BZ1693" s="2" t="s">
        <v>27</v>
      </c>
      <c r="CA1693" s="2" t="s">
        <v>1373</v>
      </c>
      <c r="CB1693" s="2"/>
      <c r="CC1693" s="2" t="s">
        <v>175</v>
      </c>
      <c r="CD1693" s="2">
        <v>5201</v>
      </c>
      <c r="CE1693" s="2" t="s">
        <v>104</v>
      </c>
      <c r="CF1693" s="5">
        <v>42965</v>
      </c>
      <c r="CG1693" s="2"/>
      <c r="CH1693" s="2"/>
      <c r="CI1693" s="2">
        <v>1</v>
      </c>
      <c r="CJ1693" s="2">
        <v>1</v>
      </c>
      <c r="CK1693" s="2">
        <v>21</v>
      </c>
      <c r="CL1693" s="2" t="s">
        <v>86</v>
      </c>
      <c r="CM1693" s="2"/>
    </row>
    <row r="1694" spans="1:91">
      <c r="A1694" s="2" t="s">
        <v>71</v>
      </c>
      <c r="B1694" s="2" t="s">
        <v>72</v>
      </c>
      <c r="C1694" s="2" t="s">
        <v>73</v>
      </c>
      <c r="D1694" s="2"/>
      <c r="E1694" s="2" t="str">
        <f>"FES1162569180"</f>
        <v>FES1162569180</v>
      </c>
      <c r="F1694" s="3">
        <v>42963</v>
      </c>
      <c r="G1694" s="2">
        <v>201802</v>
      </c>
      <c r="H1694" s="2" t="s">
        <v>74</v>
      </c>
      <c r="I1694" s="2" t="s">
        <v>75</v>
      </c>
      <c r="J1694" s="2" t="s">
        <v>76</v>
      </c>
      <c r="K1694" s="2" t="s">
        <v>77</v>
      </c>
      <c r="L1694" s="2" t="s">
        <v>74</v>
      </c>
      <c r="M1694" s="2" t="s">
        <v>75</v>
      </c>
      <c r="N1694" s="2" t="s">
        <v>2363</v>
      </c>
      <c r="O1694" s="2" t="s">
        <v>100</v>
      </c>
      <c r="P1694" s="2" t="str">
        <f>"2170584830                    "</f>
        <v xml:space="preserve">2170584830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3.13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1</v>
      </c>
      <c r="BJ1694" s="2">
        <v>0.2</v>
      </c>
      <c r="BK1694" s="2">
        <v>1</v>
      </c>
      <c r="BL1694" s="2">
        <v>32.380000000000003</v>
      </c>
      <c r="BM1694" s="2">
        <v>4.53</v>
      </c>
      <c r="BN1694" s="2">
        <v>36.909999999999997</v>
      </c>
      <c r="BO1694" s="2">
        <v>36.909999999999997</v>
      </c>
      <c r="BP1694" s="2"/>
      <c r="BQ1694" s="2" t="s">
        <v>2364</v>
      </c>
      <c r="BR1694" s="2" t="s">
        <v>84</v>
      </c>
      <c r="BS1694" s="3">
        <v>42964</v>
      </c>
      <c r="BT1694" s="4">
        <v>0.33749999999999997</v>
      </c>
      <c r="BU1694" s="2" t="s">
        <v>1360</v>
      </c>
      <c r="BV1694" s="2" t="s">
        <v>95</v>
      </c>
      <c r="BW1694" s="2"/>
      <c r="BX1694" s="2"/>
      <c r="BY1694" s="2">
        <v>1200</v>
      </c>
      <c r="BZ1694" s="2" t="s">
        <v>27</v>
      </c>
      <c r="CA1694" s="2" t="s">
        <v>1448</v>
      </c>
      <c r="CB1694" s="2"/>
      <c r="CC1694" s="2" t="s">
        <v>75</v>
      </c>
      <c r="CD1694" s="2">
        <v>1609</v>
      </c>
      <c r="CE1694" s="2" t="s">
        <v>104</v>
      </c>
      <c r="CF1694" s="5">
        <v>42965</v>
      </c>
      <c r="CG1694" s="2"/>
      <c r="CH1694" s="2"/>
      <c r="CI1694" s="2">
        <v>1</v>
      </c>
      <c r="CJ1694" s="2">
        <v>1</v>
      </c>
      <c r="CK1694" s="2">
        <v>22</v>
      </c>
      <c r="CL1694" s="2" t="s">
        <v>86</v>
      </c>
      <c r="CM1694" s="2"/>
    </row>
    <row r="1695" spans="1:91">
      <c r="A1695" s="2" t="s">
        <v>71</v>
      </c>
      <c r="B1695" s="2" t="s">
        <v>72</v>
      </c>
      <c r="C1695" s="2" t="s">
        <v>73</v>
      </c>
      <c r="D1695" s="2"/>
      <c r="E1695" s="2" t="str">
        <f>"FES1162569217"</f>
        <v>FES1162569217</v>
      </c>
      <c r="F1695" s="3">
        <v>42963</v>
      </c>
      <c r="G1695" s="2">
        <v>201802</v>
      </c>
      <c r="H1695" s="2" t="s">
        <v>74</v>
      </c>
      <c r="I1695" s="2" t="s">
        <v>75</v>
      </c>
      <c r="J1695" s="2" t="s">
        <v>76</v>
      </c>
      <c r="K1695" s="2" t="s">
        <v>77</v>
      </c>
      <c r="L1695" s="2" t="s">
        <v>97</v>
      </c>
      <c r="M1695" s="2" t="s">
        <v>98</v>
      </c>
      <c r="N1695" s="2" t="s">
        <v>1772</v>
      </c>
      <c r="O1695" s="2" t="s">
        <v>100</v>
      </c>
      <c r="P1695" s="2" t="str">
        <f>"2170582150                    "</f>
        <v xml:space="preserve">2170582150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4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1</v>
      </c>
      <c r="BJ1695" s="2">
        <v>0.2</v>
      </c>
      <c r="BK1695" s="2">
        <v>1</v>
      </c>
      <c r="BL1695" s="2">
        <v>41.44</v>
      </c>
      <c r="BM1695" s="2">
        <v>5.8</v>
      </c>
      <c r="BN1695" s="2">
        <v>47.24</v>
      </c>
      <c r="BO1695" s="2">
        <v>47.24</v>
      </c>
      <c r="BP1695" s="2"/>
      <c r="BQ1695" s="2" t="s">
        <v>1773</v>
      </c>
      <c r="BR1695" s="2" t="s">
        <v>84</v>
      </c>
      <c r="BS1695" s="3">
        <v>42964</v>
      </c>
      <c r="BT1695" s="4">
        <v>0.40625</v>
      </c>
      <c r="BU1695" s="2" t="s">
        <v>2365</v>
      </c>
      <c r="BV1695" s="2" t="s">
        <v>95</v>
      </c>
      <c r="BW1695" s="2"/>
      <c r="BX1695" s="2"/>
      <c r="BY1695" s="2">
        <v>1200</v>
      </c>
      <c r="BZ1695" s="2" t="s">
        <v>27</v>
      </c>
      <c r="CA1695" s="2" t="s">
        <v>1775</v>
      </c>
      <c r="CB1695" s="2"/>
      <c r="CC1695" s="2" t="s">
        <v>98</v>
      </c>
      <c r="CD1695" s="2">
        <v>6065</v>
      </c>
      <c r="CE1695" s="2" t="s">
        <v>104</v>
      </c>
      <c r="CF1695" s="5">
        <v>42965</v>
      </c>
      <c r="CG1695" s="2"/>
      <c r="CH1695" s="2"/>
      <c r="CI1695" s="2">
        <v>1</v>
      </c>
      <c r="CJ1695" s="2">
        <v>1</v>
      </c>
      <c r="CK1695" s="2">
        <v>21</v>
      </c>
      <c r="CL1695" s="2" t="s">
        <v>86</v>
      </c>
      <c r="CM1695" s="2"/>
    </row>
    <row r="1696" spans="1:91">
      <c r="A1696" s="2" t="s">
        <v>71</v>
      </c>
      <c r="B1696" s="2" t="s">
        <v>72</v>
      </c>
      <c r="C1696" s="2" t="s">
        <v>73</v>
      </c>
      <c r="D1696" s="2"/>
      <c r="E1696" s="2" t="str">
        <f>"FES1162569238"</f>
        <v>FES1162569238</v>
      </c>
      <c r="F1696" s="3">
        <v>42963</v>
      </c>
      <c r="G1696" s="2">
        <v>201802</v>
      </c>
      <c r="H1696" s="2" t="s">
        <v>74</v>
      </c>
      <c r="I1696" s="2" t="s">
        <v>75</v>
      </c>
      <c r="J1696" s="2" t="s">
        <v>76</v>
      </c>
      <c r="K1696" s="2" t="s">
        <v>77</v>
      </c>
      <c r="L1696" s="2" t="s">
        <v>144</v>
      </c>
      <c r="M1696" s="2" t="s">
        <v>145</v>
      </c>
      <c r="N1696" s="2" t="s">
        <v>146</v>
      </c>
      <c r="O1696" s="2" t="s">
        <v>100</v>
      </c>
      <c r="P1696" s="2" t="str">
        <f>"2170582827                    "</f>
        <v xml:space="preserve">2170582827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3.13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1</v>
      </c>
      <c r="BJ1696" s="2">
        <v>0.2</v>
      </c>
      <c r="BK1696" s="2">
        <v>1</v>
      </c>
      <c r="BL1696" s="2">
        <v>32.380000000000003</v>
      </c>
      <c r="BM1696" s="2">
        <v>4.53</v>
      </c>
      <c r="BN1696" s="2">
        <v>36.909999999999997</v>
      </c>
      <c r="BO1696" s="2">
        <v>36.909999999999997</v>
      </c>
      <c r="BP1696" s="2"/>
      <c r="BQ1696" s="2" t="s">
        <v>83</v>
      </c>
      <c r="BR1696" s="2" t="s">
        <v>84</v>
      </c>
      <c r="BS1696" s="3">
        <v>42964</v>
      </c>
      <c r="BT1696" s="4">
        <v>0.3840277777777778</v>
      </c>
      <c r="BU1696" s="2" t="s">
        <v>728</v>
      </c>
      <c r="BV1696" s="2" t="s">
        <v>95</v>
      </c>
      <c r="BW1696" s="2"/>
      <c r="BX1696" s="2"/>
      <c r="BY1696" s="2">
        <v>1200</v>
      </c>
      <c r="BZ1696" s="2" t="s">
        <v>27</v>
      </c>
      <c r="CA1696" s="2" t="s">
        <v>729</v>
      </c>
      <c r="CB1696" s="2"/>
      <c r="CC1696" s="2" t="s">
        <v>145</v>
      </c>
      <c r="CD1696" s="2">
        <v>2094</v>
      </c>
      <c r="CE1696" s="2" t="s">
        <v>104</v>
      </c>
      <c r="CF1696" s="5">
        <v>42965</v>
      </c>
      <c r="CG1696" s="2"/>
      <c r="CH1696" s="2"/>
      <c r="CI1696" s="2">
        <v>1</v>
      </c>
      <c r="CJ1696" s="2">
        <v>1</v>
      </c>
      <c r="CK1696" s="2">
        <v>22</v>
      </c>
      <c r="CL1696" s="2" t="s">
        <v>86</v>
      </c>
      <c r="CM1696" s="2"/>
    </row>
    <row r="1697" spans="1:91">
      <c r="A1697" s="2" t="s">
        <v>71</v>
      </c>
      <c r="B1697" s="2" t="s">
        <v>72</v>
      </c>
      <c r="C1697" s="2" t="s">
        <v>73</v>
      </c>
      <c r="D1697" s="2"/>
      <c r="E1697" s="2" t="str">
        <f>"FES1162569205"</f>
        <v>FES1162569205</v>
      </c>
      <c r="F1697" s="3">
        <v>42963</v>
      </c>
      <c r="G1697" s="2">
        <v>201802</v>
      </c>
      <c r="H1697" s="2" t="s">
        <v>74</v>
      </c>
      <c r="I1697" s="2" t="s">
        <v>75</v>
      </c>
      <c r="J1697" s="2" t="s">
        <v>76</v>
      </c>
      <c r="K1697" s="2" t="s">
        <v>77</v>
      </c>
      <c r="L1697" s="2" t="s">
        <v>97</v>
      </c>
      <c r="M1697" s="2" t="s">
        <v>98</v>
      </c>
      <c r="N1697" s="2" t="s">
        <v>248</v>
      </c>
      <c r="O1697" s="2" t="s">
        <v>100</v>
      </c>
      <c r="P1697" s="2" t="str">
        <f>"2170579562                    "</f>
        <v xml:space="preserve">2170579562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4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1</v>
      </c>
      <c r="BJ1697" s="2">
        <v>0.2</v>
      </c>
      <c r="BK1697" s="2">
        <v>1</v>
      </c>
      <c r="BL1697" s="2">
        <v>41.44</v>
      </c>
      <c r="BM1697" s="2">
        <v>5.8</v>
      </c>
      <c r="BN1697" s="2">
        <v>47.24</v>
      </c>
      <c r="BO1697" s="2">
        <v>47.24</v>
      </c>
      <c r="BP1697" s="2"/>
      <c r="BQ1697" s="2" t="s">
        <v>83</v>
      </c>
      <c r="BR1697" s="2" t="s">
        <v>84</v>
      </c>
      <c r="BS1697" s="3">
        <v>42964</v>
      </c>
      <c r="BT1697" s="4">
        <v>0.34722222222222227</v>
      </c>
      <c r="BU1697" s="2" t="s">
        <v>1130</v>
      </c>
      <c r="BV1697" s="2" t="s">
        <v>95</v>
      </c>
      <c r="BW1697" s="2"/>
      <c r="BX1697" s="2"/>
      <c r="BY1697" s="2">
        <v>1200</v>
      </c>
      <c r="BZ1697" s="2" t="s">
        <v>27</v>
      </c>
      <c r="CA1697" s="2" t="s">
        <v>804</v>
      </c>
      <c r="CB1697" s="2"/>
      <c r="CC1697" s="2" t="s">
        <v>98</v>
      </c>
      <c r="CD1697" s="2">
        <v>6001</v>
      </c>
      <c r="CE1697" s="2" t="s">
        <v>104</v>
      </c>
      <c r="CF1697" s="5">
        <v>42965</v>
      </c>
      <c r="CG1697" s="2"/>
      <c r="CH1697" s="2"/>
      <c r="CI1697" s="2">
        <v>1</v>
      </c>
      <c r="CJ1697" s="2">
        <v>1</v>
      </c>
      <c r="CK1697" s="2">
        <v>21</v>
      </c>
      <c r="CL1697" s="2" t="s">
        <v>86</v>
      </c>
      <c r="CM1697" s="2"/>
    </row>
    <row r="1698" spans="1:91">
      <c r="A1698" s="2" t="s">
        <v>71</v>
      </c>
      <c r="B1698" s="2" t="s">
        <v>72</v>
      </c>
      <c r="C1698" s="2" t="s">
        <v>73</v>
      </c>
      <c r="D1698" s="2"/>
      <c r="E1698" s="2" t="str">
        <f>"FES1162569182"</f>
        <v>FES1162569182</v>
      </c>
      <c r="F1698" s="3">
        <v>42963</v>
      </c>
      <c r="G1698" s="2">
        <v>201802</v>
      </c>
      <c r="H1698" s="2" t="s">
        <v>74</v>
      </c>
      <c r="I1698" s="2" t="s">
        <v>75</v>
      </c>
      <c r="J1698" s="2" t="s">
        <v>76</v>
      </c>
      <c r="K1698" s="2" t="s">
        <v>77</v>
      </c>
      <c r="L1698" s="2" t="s">
        <v>244</v>
      </c>
      <c r="M1698" s="2" t="s">
        <v>245</v>
      </c>
      <c r="N1698" s="2" t="s">
        <v>553</v>
      </c>
      <c r="O1698" s="2" t="s">
        <v>100</v>
      </c>
      <c r="P1698" s="2" t="str">
        <f>"2170584908                    "</f>
        <v xml:space="preserve">2170584908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3.13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1</v>
      </c>
      <c r="BI1698" s="2">
        <v>1</v>
      </c>
      <c r="BJ1698" s="2">
        <v>0.2</v>
      </c>
      <c r="BK1698" s="2">
        <v>1</v>
      </c>
      <c r="BL1698" s="2">
        <v>32.380000000000003</v>
      </c>
      <c r="BM1698" s="2">
        <v>4.53</v>
      </c>
      <c r="BN1698" s="2">
        <v>36.909999999999997</v>
      </c>
      <c r="BO1698" s="2">
        <v>36.909999999999997</v>
      </c>
      <c r="BP1698" s="2"/>
      <c r="BQ1698" s="2" t="s">
        <v>288</v>
      </c>
      <c r="BR1698" s="2" t="s">
        <v>84</v>
      </c>
      <c r="BS1698" s="3">
        <v>42964</v>
      </c>
      <c r="BT1698" s="4">
        <v>0.33263888888888887</v>
      </c>
      <c r="BU1698" s="2" t="s">
        <v>2366</v>
      </c>
      <c r="BV1698" s="2" t="s">
        <v>95</v>
      </c>
      <c r="BW1698" s="2"/>
      <c r="BX1698" s="2"/>
      <c r="BY1698" s="2">
        <v>1200</v>
      </c>
      <c r="BZ1698" s="2" t="s">
        <v>27</v>
      </c>
      <c r="CA1698" s="2" t="s">
        <v>499</v>
      </c>
      <c r="CB1698" s="2"/>
      <c r="CC1698" s="2" t="s">
        <v>245</v>
      </c>
      <c r="CD1698" s="2">
        <v>1460</v>
      </c>
      <c r="CE1698" s="2" t="s">
        <v>104</v>
      </c>
      <c r="CF1698" s="5">
        <v>42965</v>
      </c>
      <c r="CG1698" s="2"/>
      <c r="CH1698" s="2"/>
      <c r="CI1698" s="2">
        <v>1</v>
      </c>
      <c r="CJ1698" s="2">
        <v>1</v>
      </c>
      <c r="CK1698" s="2">
        <v>22</v>
      </c>
      <c r="CL1698" s="2" t="s">
        <v>86</v>
      </c>
      <c r="CM1698" s="2"/>
    </row>
    <row r="1699" spans="1:91">
      <c r="A1699" s="2" t="s">
        <v>71</v>
      </c>
      <c r="B1699" s="2" t="s">
        <v>72</v>
      </c>
      <c r="C1699" s="2" t="s">
        <v>73</v>
      </c>
      <c r="D1699" s="2"/>
      <c r="E1699" s="2" t="str">
        <f>"FES1162569216"</f>
        <v>FES1162569216</v>
      </c>
      <c r="F1699" s="3">
        <v>42963</v>
      </c>
      <c r="G1699" s="2">
        <v>201802</v>
      </c>
      <c r="H1699" s="2" t="s">
        <v>74</v>
      </c>
      <c r="I1699" s="2" t="s">
        <v>75</v>
      </c>
      <c r="J1699" s="2" t="s">
        <v>76</v>
      </c>
      <c r="K1699" s="2" t="s">
        <v>77</v>
      </c>
      <c r="L1699" s="2" t="s">
        <v>539</v>
      </c>
      <c r="M1699" s="2" t="s">
        <v>540</v>
      </c>
      <c r="N1699" s="2" t="s">
        <v>602</v>
      </c>
      <c r="O1699" s="2" t="s">
        <v>100</v>
      </c>
      <c r="P1699" s="2" t="str">
        <f>"2170582132                    "</f>
        <v xml:space="preserve">2170582132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3.13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1.9</v>
      </c>
      <c r="BJ1699" s="2">
        <v>1.8</v>
      </c>
      <c r="BK1699" s="2">
        <v>2</v>
      </c>
      <c r="BL1699" s="2">
        <v>32.380000000000003</v>
      </c>
      <c r="BM1699" s="2">
        <v>4.53</v>
      </c>
      <c r="BN1699" s="2">
        <v>36.909999999999997</v>
      </c>
      <c r="BO1699" s="2">
        <v>36.909999999999997</v>
      </c>
      <c r="BP1699" s="2"/>
      <c r="BQ1699" s="2" t="s">
        <v>83</v>
      </c>
      <c r="BR1699" s="2" t="s">
        <v>84</v>
      </c>
      <c r="BS1699" s="3">
        <v>42964</v>
      </c>
      <c r="BT1699" s="4">
        <v>0.38819444444444445</v>
      </c>
      <c r="BU1699" s="2" t="s">
        <v>2367</v>
      </c>
      <c r="BV1699" s="2" t="s">
        <v>95</v>
      </c>
      <c r="BW1699" s="2"/>
      <c r="BX1699" s="2"/>
      <c r="BY1699" s="2">
        <v>9249.5499999999993</v>
      </c>
      <c r="BZ1699" s="2" t="s">
        <v>27</v>
      </c>
      <c r="CA1699" s="2" t="s">
        <v>722</v>
      </c>
      <c r="CB1699" s="2"/>
      <c r="CC1699" s="2" t="s">
        <v>540</v>
      </c>
      <c r="CD1699" s="2">
        <v>2162</v>
      </c>
      <c r="CE1699" s="2" t="s">
        <v>104</v>
      </c>
      <c r="CF1699" s="5">
        <v>42965</v>
      </c>
      <c r="CG1699" s="2"/>
      <c r="CH1699" s="2"/>
      <c r="CI1699" s="2">
        <v>1</v>
      </c>
      <c r="CJ1699" s="2">
        <v>1</v>
      </c>
      <c r="CK1699" s="2">
        <v>22</v>
      </c>
      <c r="CL1699" s="2" t="s">
        <v>86</v>
      </c>
      <c r="CM1699" s="2"/>
    </row>
    <row r="1700" spans="1:91">
      <c r="A1700" s="2" t="s">
        <v>71</v>
      </c>
      <c r="B1700" s="2" t="s">
        <v>72</v>
      </c>
      <c r="C1700" s="2" t="s">
        <v>73</v>
      </c>
      <c r="D1700" s="2"/>
      <c r="E1700" s="2" t="str">
        <f>"FES1162569256"</f>
        <v>FES1162569256</v>
      </c>
      <c r="F1700" s="3">
        <v>42963</v>
      </c>
      <c r="G1700" s="2">
        <v>201802</v>
      </c>
      <c r="H1700" s="2" t="s">
        <v>74</v>
      </c>
      <c r="I1700" s="2" t="s">
        <v>75</v>
      </c>
      <c r="J1700" s="2" t="s">
        <v>76</v>
      </c>
      <c r="K1700" s="2" t="s">
        <v>77</v>
      </c>
      <c r="L1700" s="2" t="s">
        <v>74</v>
      </c>
      <c r="M1700" s="2" t="s">
        <v>75</v>
      </c>
      <c r="N1700" s="2" t="s">
        <v>192</v>
      </c>
      <c r="O1700" s="2" t="s">
        <v>100</v>
      </c>
      <c r="P1700" s="2" t="str">
        <f>"2170585157                    "</f>
        <v xml:space="preserve">2170585157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3.13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2.8</v>
      </c>
      <c r="BJ1700" s="2">
        <v>1.1000000000000001</v>
      </c>
      <c r="BK1700" s="2">
        <v>3</v>
      </c>
      <c r="BL1700" s="2">
        <v>32.380000000000003</v>
      </c>
      <c r="BM1700" s="2">
        <v>4.53</v>
      </c>
      <c r="BN1700" s="2">
        <v>36.909999999999997</v>
      </c>
      <c r="BO1700" s="2">
        <v>36.909999999999997</v>
      </c>
      <c r="BP1700" s="2"/>
      <c r="BQ1700" s="2" t="s">
        <v>1934</v>
      </c>
      <c r="BR1700" s="2" t="s">
        <v>84</v>
      </c>
      <c r="BS1700" s="3">
        <v>42964</v>
      </c>
      <c r="BT1700" s="4">
        <v>0.34930555555555554</v>
      </c>
      <c r="BU1700" s="2" t="s">
        <v>193</v>
      </c>
      <c r="BV1700" s="2" t="s">
        <v>95</v>
      </c>
      <c r="BW1700" s="2"/>
      <c r="BX1700" s="2"/>
      <c r="BY1700" s="2">
        <v>5454.36</v>
      </c>
      <c r="BZ1700" s="2" t="s">
        <v>27</v>
      </c>
      <c r="CA1700" s="2" t="s">
        <v>194</v>
      </c>
      <c r="CB1700" s="2"/>
      <c r="CC1700" s="2" t="s">
        <v>75</v>
      </c>
      <c r="CD1700" s="2">
        <v>1665</v>
      </c>
      <c r="CE1700" s="2" t="s">
        <v>89</v>
      </c>
      <c r="CF1700" s="5">
        <v>42965</v>
      </c>
      <c r="CG1700" s="2"/>
      <c r="CH1700" s="2"/>
      <c r="CI1700" s="2">
        <v>1</v>
      </c>
      <c r="CJ1700" s="2">
        <v>1</v>
      </c>
      <c r="CK1700" s="2">
        <v>22</v>
      </c>
      <c r="CL1700" s="2" t="s">
        <v>86</v>
      </c>
      <c r="CM1700" s="2"/>
    </row>
    <row r="1701" spans="1:91">
      <c r="A1701" s="2" t="s">
        <v>71</v>
      </c>
      <c r="B1701" s="2" t="s">
        <v>72</v>
      </c>
      <c r="C1701" s="2" t="s">
        <v>73</v>
      </c>
      <c r="D1701" s="2"/>
      <c r="E1701" s="2" t="str">
        <f>"FES1162569390"</f>
        <v>FES1162569390</v>
      </c>
      <c r="F1701" s="3">
        <v>42963</v>
      </c>
      <c r="G1701" s="2">
        <v>201802</v>
      </c>
      <c r="H1701" s="2" t="s">
        <v>74</v>
      </c>
      <c r="I1701" s="2" t="s">
        <v>75</v>
      </c>
      <c r="J1701" s="2" t="s">
        <v>76</v>
      </c>
      <c r="K1701" s="2" t="s">
        <v>77</v>
      </c>
      <c r="L1701" s="2" t="s">
        <v>510</v>
      </c>
      <c r="M1701" s="2" t="s">
        <v>511</v>
      </c>
      <c r="N1701" s="2" t="s">
        <v>1504</v>
      </c>
      <c r="O1701" s="2" t="s">
        <v>100</v>
      </c>
      <c r="P1701" s="2" t="str">
        <f>"2170585228                    "</f>
        <v xml:space="preserve">2170585228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4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1</v>
      </c>
      <c r="BJ1701" s="2">
        <v>0.2</v>
      </c>
      <c r="BK1701" s="2">
        <v>1</v>
      </c>
      <c r="BL1701" s="2">
        <v>41.44</v>
      </c>
      <c r="BM1701" s="2">
        <v>5.8</v>
      </c>
      <c r="BN1701" s="2">
        <v>47.24</v>
      </c>
      <c r="BO1701" s="2">
        <v>47.24</v>
      </c>
      <c r="BP1701" s="2"/>
      <c r="BQ1701" s="2" t="s">
        <v>108</v>
      </c>
      <c r="BR1701" s="2" t="s">
        <v>84</v>
      </c>
      <c r="BS1701" s="3">
        <v>42964</v>
      </c>
      <c r="BT1701" s="4">
        <v>0.31458333333333333</v>
      </c>
      <c r="BU1701" s="2" t="s">
        <v>2368</v>
      </c>
      <c r="BV1701" s="2" t="s">
        <v>95</v>
      </c>
      <c r="BW1701" s="2"/>
      <c r="BX1701" s="2"/>
      <c r="BY1701" s="2">
        <v>1200</v>
      </c>
      <c r="BZ1701" s="2" t="s">
        <v>27</v>
      </c>
      <c r="CA1701" s="2" t="s">
        <v>514</v>
      </c>
      <c r="CB1701" s="2"/>
      <c r="CC1701" s="2" t="s">
        <v>511</v>
      </c>
      <c r="CD1701" s="2">
        <v>6230</v>
      </c>
      <c r="CE1701" s="2" t="s">
        <v>104</v>
      </c>
      <c r="CF1701" s="5">
        <v>42965</v>
      </c>
      <c r="CG1701" s="2"/>
      <c r="CH1701" s="2"/>
      <c r="CI1701" s="2">
        <v>1</v>
      </c>
      <c r="CJ1701" s="2">
        <v>1</v>
      </c>
      <c r="CK1701" s="2">
        <v>21</v>
      </c>
      <c r="CL1701" s="2" t="s">
        <v>86</v>
      </c>
      <c r="CM1701" s="2"/>
    </row>
    <row r="1702" spans="1:91">
      <c r="A1702" s="2" t="s">
        <v>71</v>
      </c>
      <c r="B1702" s="2" t="s">
        <v>72</v>
      </c>
      <c r="C1702" s="2" t="s">
        <v>73</v>
      </c>
      <c r="D1702" s="2"/>
      <c r="E1702" s="2" t="str">
        <f>"FES1162569221"</f>
        <v>FES1162569221</v>
      </c>
      <c r="F1702" s="3">
        <v>42963</v>
      </c>
      <c r="G1702" s="2">
        <v>201802</v>
      </c>
      <c r="H1702" s="2" t="s">
        <v>74</v>
      </c>
      <c r="I1702" s="2" t="s">
        <v>75</v>
      </c>
      <c r="J1702" s="2" t="s">
        <v>76</v>
      </c>
      <c r="K1702" s="2" t="s">
        <v>77</v>
      </c>
      <c r="L1702" s="2" t="s">
        <v>97</v>
      </c>
      <c r="M1702" s="2" t="s">
        <v>98</v>
      </c>
      <c r="N1702" s="2" t="s">
        <v>1956</v>
      </c>
      <c r="O1702" s="2" t="s">
        <v>100</v>
      </c>
      <c r="P1702" s="2" t="str">
        <f>"2170582486                    "</f>
        <v xml:space="preserve">2170582486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7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1.4</v>
      </c>
      <c r="BJ1702" s="2">
        <v>3.3</v>
      </c>
      <c r="BK1702" s="2">
        <v>3.5</v>
      </c>
      <c r="BL1702" s="2">
        <v>72.52</v>
      </c>
      <c r="BM1702" s="2">
        <v>10.15</v>
      </c>
      <c r="BN1702" s="2">
        <v>82.67</v>
      </c>
      <c r="BO1702" s="2">
        <v>82.67</v>
      </c>
      <c r="BP1702" s="2"/>
      <c r="BQ1702" s="2" t="s">
        <v>108</v>
      </c>
      <c r="BR1702" s="2" t="s">
        <v>84</v>
      </c>
      <c r="BS1702" s="3">
        <v>42964</v>
      </c>
      <c r="BT1702" s="4">
        <v>0.3347222222222222</v>
      </c>
      <c r="BU1702" s="2" t="s">
        <v>2369</v>
      </c>
      <c r="BV1702" s="2" t="s">
        <v>95</v>
      </c>
      <c r="BW1702" s="2"/>
      <c r="BX1702" s="2"/>
      <c r="BY1702" s="2">
        <v>16430.7</v>
      </c>
      <c r="BZ1702" s="2" t="s">
        <v>27</v>
      </c>
      <c r="CA1702" s="2" t="s">
        <v>600</v>
      </c>
      <c r="CB1702" s="2"/>
      <c r="CC1702" s="2" t="s">
        <v>98</v>
      </c>
      <c r="CD1702" s="2">
        <v>6045</v>
      </c>
      <c r="CE1702" s="2" t="s">
        <v>89</v>
      </c>
      <c r="CF1702" s="5">
        <v>42965</v>
      </c>
      <c r="CG1702" s="2"/>
      <c r="CH1702" s="2"/>
      <c r="CI1702" s="2">
        <v>1</v>
      </c>
      <c r="CJ1702" s="2">
        <v>1</v>
      </c>
      <c r="CK1702" s="2">
        <v>21</v>
      </c>
      <c r="CL1702" s="2" t="s">
        <v>86</v>
      </c>
      <c r="CM1702" s="2"/>
    </row>
    <row r="1703" spans="1:91">
      <c r="A1703" s="2" t="s">
        <v>71</v>
      </c>
      <c r="B1703" s="2" t="s">
        <v>72</v>
      </c>
      <c r="C1703" s="2" t="s">
        <v>73</v>
      </c>
      <c r="D1703" s="2"/>
      <c r="E1703" s="2" t="str">
        <f>"FES1162569310"</f>
        <v>FES1162569310</v>
      </c>
      <c r="F1703" s="3">
        <v>42963</v>
      </c>
      <c r="G1703" s="2">
        <v>201802</v>
      </c>
      <c r="H1703" s="2" t="s">
        <v>74</v>
      </c>
      <c r="I1703" s="2" t="s">
        <v>75</v>
      </c>
      <c r="J1703" s="2" t="s">
        <v>76</v>
      </c>
      <c r="K1703" s="2" t="s">
        <v>77</v>
      </c>
      <c r="L1703" s="2" t="s">
        <v>321</v>
      </c>
      <c r="M1703" s="2" t="s">
        <v>322</v>
      </c>
      <c r="N1703" s="2" t="s">
        <v>323</v>
      </c>
      <c r="O1703" s="2" t="s">
        <v>100</v>
      </c>
      <c r="P1703" s="2" t="str">
        <f>"2170584766                    "</f>
        <v xml:space="preserve">2170584766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6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3</v>
      </c>
      <c r="BJ1703" s="2">
        <v>0.2</v>
      </c>
      <c r="BK1703" s="2">
        <v>3</v>
      </c>
      <c r="BL1703" s="2">
        <v>62.16</v>
      </c>
      <c r="BM1703" s="2">
        <v>8.6999999999999993</v>
      </c>
      <c r="BN1703" s="2">
        <v>70.86</v>
      </c>
      <c r="BO1703" s="2">
        <v>70.86</v>
      </c>
      <c r="BP1703" s="2"/>
      <c r="BQ1703" s="2" t="s">
        <v>83</v>
      </c>
      <c r="BR1703" s="2" t="s">
        <v>84</v>
      </c>
      <c r="BS1703" s="3">
        <v>42964</v>
      </c>
      <c r="BT1703" s="4">
        <v>0.39097222222222222</v>
      </c>
      <c r="BU1703" s="2" t="s">
        <v>324</v>
      </c>
      <c r="BV1703" s="2" t="s">
        <v>95</v>
      </c>
      <c r="BW1703" s="2"/>
      <c r="BX1703" s="2"/>
      <c r="BY1703" s="2">
        <v>1200</v>
      </c>
      <c r="BZ1703" s="2" t="s">
        <v>27</v>
      </c>
      <c r="CA1703" s="2" t="s">
        <v>103</v>
      </c>
      <c r="CB1703" s="2"/>
      <c r="CC1703" s="2" t="s">
        <v>322</v>
      </c>
      <c r="CD1703" s="2">
        <v>6220</v>
      </c>
      <c r="CE1703" s="2" t="s">
        <v>104</v>
      </c>
      <c r="CF1703" s="5">
        <v>42965</v>
      </c>
      <c r="CG1703" s="2"/>
      <c r="CH1703" s="2"/>
      <c r="CI1703" s="2">
        <v>1</v>
      </c>
      <c r="CJ1703" s="2">
        <v>1</v>
      </c>
      <c r="CK1703" s="2">
        <v>21</v>
      </c>
      <c r="CL1703" s="2" t="s">
        <v>86</v>
      </c>
      <c r="CM1703" s="2"/>
    </row>
    <row r="1704" spans="1:91">
      <c r="A1704" s="2" t="s">
        <v>71</v>
      </c>
      <c r="B1704" s="2" t="s">
        <v>72</v>
      </c>
      <c r="C1704" s="2" t="s">
        <v>73</v>
      </c>
      <c r="D1704" s="2"/>
      <c r="E1704" s="2" t="str">
        <f>"FES1162568043"</f>
        <v>FES1162568043</v>
      </c>
      <c r="F1704" s="3">
        <v>42963</v>
      </c>
      <c r="G1704" s="2">
        <v>201802</v>
      </c>
      <c r="H1704" s="2" t="s">
        <v>74</v>
      </c>
      <c r="I1704" s="2" t="s">
        <v>75</v>
      </c>
      <c r="J1704" s="2" t="s">
        <v>76</v>
      </c>
      <c r="K1704" s="2" t="s">
        <v>77</v>
      </c>
      <c r="L1704" s="2" t="s">
        <v>144</v>
      </c>
      <c r="M1704" s="2" t="s">
        <v>145</v>
      </c>
      <c r="N1704" s="2" t="s">
        <v>2370</v>
      </c>
      <c r="O1704" s="2" t="s">
        <v>100</v>
      </c>
      <c r="P1704" s="2" t="str">
        <f>"2170584155                    "</f>
        <v xml:space="preserve">2170584155 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3.13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1</v>
      </c>
      <c r="BJ1704" s="2">
        <v>0.2</v>
      </c>
      <c r="BK1704" s="2">
        <v>1</v>
      </c>
      <c r="BL1704" s="2">
        <v>32.380000000000003</v>
      </c>
      <c r="BM1704" s="2">
        <v>4.53</v>
      </c>
      <c r="BN1704" s="2">
        <v>36.909999999999997</v>
      </c>
      <c r="BO1704" s="2">
        <v>36.909999999999997</v>
      </c>
      <c r="BP1704" s="2"/>
      <c r="BQ1704" s="2" t="s">
        <v>288</v>
      </c>
      <c r="BR1704" s="2" t="s">
        <v>84</v>
      </c>
      <c r="BS1704" s="3">
        <v>42965</v>
      </c>
      <c r="BT1704" s="4">
        <v>0.6694444444444444</v>
      </c>
      <c r="BU1704" s="2" t="s">
        <v>2371</v>
      </c>
      <c r="BV1704" s="2" t="s">
        <v>86</v>
      </c>
      <c r="BW1704" s="2" t="s">
        <v>124</v>
      </c>
      <c r="BX1704" s="2" t="s">
        <v>199</v>
      </c>
      <c r="BY1704" s="2">
        <v>1200</v>
      </c>
      <c r="BZ1704" s="2" t="s">
        <v>27</v>
      </c>
      <c r="CA1704" s="2" t="s">
        <v>387</v>
      </c>
      <c r="CB1704" s="2"/>
      <c r="CC1704" s="2" t="s">
        <v>145</v>
      </c>
      <c r="CD1704" s="2">
        <v>2068</v>
      </c>
      <c r="CE1704" s="2" t="s">
        <v>104</v>
      </c>
      <c r="CF1704" s="5">
        <v>42968</v>
      </c>
      <c r="CG1704" s="2"/>
      <c r="CH1704" s="2"/>
      <c r="CI1704" s="2">
        <v>1</v>
      </c>
      <c r="CJ1704" s="2">
        <v>2</v>
      </c>
      <c r="CK1704" s="2">
        <v>22</v>
      </c>
      <c r="CL1704" s="2" t="s">
        <v>86</v>
      </c>
      <c r="CM1704" s="2"/>
    </row>
    <row r="1705" spans="1:91">
      <c r="A1705" s="2" t="s">
        <v>71</v>
      </c>
      <c r="B1705" s="2" t="s">
        <v>72</v>
      </c>
      <c r="C1705" s="2" t="s">
        <v>73</v>
      </c>
      <c r="D1705" s="2"/>
      <c r="E1705" s="2" t="str">
        <f>"FES1162569234"</f>
        <v>FES1162569234</v>
      </c>
      <c r="F1705" s="3">
        <v>42963</v>
      </c>
      <c r="G1705" s="2">
        <v>201802</v>
      </c>
      <c r="H1705" s="2" t="s">
        <v>74</v>
      </c>
      <c r="I1705" s="2" t="s">
        <v>75</v>
      </c>
      <c r="J1705" s="2" t="s">
        <v>76</v>
      </c>
      <c r="K1705" s="2" t="s">
        <v>77</v>
      </c>
      <c r="L1705" s="2" t="s">
        <v>268</v>
      </c>
      <c r="M1705" s="2" t="s">
        <v>269</v>
      </c>
      <c r="N1705" s="2" t="s">
        <v>493</v>
      </c>
      <c r="O1705" s="2" t="s">
        <v>100</v>
      </c>
      <c r="P1705" s="2" t="str">
        <f>"2170582690                    "</f>
        <v xml:space="preserve">2170582690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4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1</v>
      </c>
      <c r="BJ1705" s="2">
        <v>0.2</v>
      </c>
      <c r="BK1705" s="2">
        <v>1</v>
      </c>
      <c r="BL1705" s="2">
        <v>41.44</v>
      </c>
      <c r="BM1705" s="2">
        <v>5.8</v>
      </c>
      <c r="BN1705" s="2">
        <v>47.24</v>
      </c>
      <c r="BO1705" s="2">
        <v>47.24</v>
      </c>
      <c r="BP1705" s="2"/>
      <c r="BQ1705" s="2" t="s">
        <v>494</v>
      </c>
      <c r="BR1705" s="2" t="s">
        <v>84</v>
      </c>
      <c r="BS1705" s="3">
        <v>42964</v>
      </c>
      <c r="BT1705" s="4">
        <v>0.41666666666666669</v>
      </c>
      <c r="BU1705" s="2" t="s">
        <v>1156</v>
      </c>
      <c r="BV1705" s="2" t="s">
        <v>95</v>
      </c>
      <c r="BW1705" s="2"/>
      <c r="BX1705" s="2"/>
      <c r="BY1705" s="2">
        <v>1200</v>
      </c>
      <c r="BZ1705" s="2" t="s">
        <v>27</v>
      </c>
      <c r="CA1705" s="2"/>
      <c r="CB1705" s="2"/>
      <c r="CC1705" s="2" t="s">
        <v>269</v>
      </c>
      <c r="CD1705" s="2">
        <v>200</v>
      </c>
      <c r="CE1705" s="2" t="s">
        <v>104</v>
      </c>
      <c r="CF1705" s="5">
        <v>42965</v>
      </c>
      <c r="CG1705" s="2"/>
      <c r="CH1705" s="2"/>
      <c r="CI1705" s="2">
        <v>1</v>
      </c>
      <c r="CJ1705" s="2">
        <v>1</v>
      </c>
      <c r="CK1705" s="2">
        <v>21</v>
      </c>
      <c r="CL1705" s="2" t="s">
        <v>86</v>
      </c>
      <c r="CM1705" s="2"/>
    </row>
    <row r="1706" spans="1:91">
      <c r="A1706" s="2" t="s">
        <v>71</v>
      </c>
      <c r="B1706" s="2" t="s">
        <v>72</v>
      </c>
      <c r="C1706" s="2" t="s">
        <v>73</v>
      </c>
      <c r="D1706" s="2"/>
      <c r="E1706" s="2" t="str">
        <f>"FES1162569337"</f>
        <v>FES1162569337</v>
      </c>
      <c r="F1706" s="3">
        <v>42963</v>
      </c>
      <c r="G1706" s="2">
        <v>201802</v>
      </c>
      <c r="H1706" s="2" t="s">
        <v>74</v>
      </c>
      <c r="I1706" s="2" t="s">
        <v>75</v>
      </c>
      <c r="J1706" s="2" t="s">
        <v>76</v>
      </c>
      <c r="K1706" s="2" t="s">
        <v>77</v>
      </c>
      <c r="L1706" s="2" t="s">
        <v>97</v>
      </c>
      <c r="M1706" s="2" t="s">
        <v>98</v>
      </c>
      <c r="N1706" s="2" t="s">
        <v>625</v>
      </c>
      <c r="O1706" s="2" t="s">
        <v>100</v>
      </c>
      <c r="P1706" s="2" t="str">
        <f>"2170582142                    "</f>
        <v xml:space="preserve">2170582142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4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2</v>
      </c>
      <c r="BJ1706" s="2">
        <v>1.8</v>
      </c>
      <c r="BK1706" s="2">
        <v>2</v>
      </c>
      <c r="BL1706" s="2">
        <v>41.44</v>
      </c>
      <c r="BM1706" s="2">
        <v>5.8</v>
      </c>
      <c r="BN1706" s="2">
        <v>47.24</v>
      </c>
      <c r="BO1706" s="2">
        <v>47.24</v>
      </c>
      <c r="BP1706" s="2"/>
      <c r="BQ1706" s="2" t="s">
        <v>108</v>
      </c>
      <c r="BR1706" s="2" t="s">
        <v>84</v>
      </c>
      <c r="BS1706" s="3">
        <v>42964</v>
      </c>
      <c r="BT1706" s="4">
        <v>0.4236111111111111</v>
      </c>
      <c r="BU1706" s="2" t="s">
        <v>761</v>
      </c>
      <c r="BV1706" s="2" t="s">
        <v>95</v>
      </c>
      <c r="BW1706" s="2"/>
      <c r="BX1706" s="2"/>
      <c r="BY1706" s="2">
        <v>8893.4599999999991</v>
      </c>
      <c r="BZ1706" s="2" t="s">
        <v>27</v>
      </c>
      <c r="CA1706" s="2" t="s">
        <v>103</v>
      </c>
      <c r="CB1706" s="2"/>
      <c r="CC1706" s="2" t="s">
        <v>98</v>
      </c>
      <c r="CD1706" s="2">
        <v>6001</v>
      </c>
      <c r="CE1706" s="2" t="s">
        <v>89</v>
      </c>
      <c r="CF1706" s="5">
        <v>42965</v>
      </c>
      <c r="CG1706" s="2"/>
      <c r="CH1706" s="2"/>
      <c r="CI1706" s="2">
        <v>1</v>
      </c>
      <c r="CJ1706" s="2">
        <v>1</v>
      </c>
      <c r="CK1706" s="2">
        <v>21</v>
      </c>
      <c r="CL1706" s="2" t="s">
        <v>86</v>
      </c>
      <c r="CM1706" s="2"/>
    </row>
    <row r="1707" spans="1:91">
      <c r="A1707" s="2" t="s">
        <v>71</v>
      </c>
      <c r="B1707" s="2" t="s">
        <v>72</v>
      </c>
      <c r="C1707" s="2" t="s">
        <v>73</v>
      </c>
      <c r="D1707" s="2"/>
      <c r="E1707" s="2" t="str">
        <f>"FES1162569075"</f>
        <v>FES1162569075</v>
      </c>
      <c r="F1707" s="3">
        <v>42963</v>
      </c>
      <c r="G1707" s="2">
        <v>201802</v>
      </c>
      <c r="H1707" s="2" t="s">
        <v>74</v>
      </c>
      <c r="I1707" s="2" t="s">
        <v>75</v>
      </c>
      <c r="J1707" s="2" t="s">
        <v>76</v>
      </c>
      <c r="K1707" s="2" t="s">
        <v>77</v>
      </c>
      <c r="L1707" s="2" t="s">
        <v>105</v>
      </c>
      <c r="M1707" s="2" t="s">
        <v>106</v>
      </c>
      <c r="N1707" s="2" t="s">
        <v>705</v>
      </c>
      <c r="O1707" s="2" t="s">
        <v>100</v>
      </c>
      <c r="P1707" s="2" t="str">
        <f>"2170585034                    "</f>
        <v xml:space="preserve">2170585034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4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1</v>
      </c>
      <c r="BI1707" s="2">
        <v>1</v>
      </c>
      <c r="BJ1707" s="2">
        <v>0.2</v>
      </c>
      <c r="BK1707" s="2">
        <v>1</v>
      </c>
      <c r="BL1707" s="2">
        <v>41.44</v>
      </c>
      <c r="BM1707" s="2">
        <v>5.8</v>
      </c>
      <c r="BN1707" s="2">
        <v>47.24</v>
      </c>
      <c r="BO1707" s="2">
        <v>47.24</v>
      </c>
      <c r="BP1707" s="2"/>
      <c r="BQ1707" s="2" t="s">
        <v>108</v>
      </c>
      <c r="BR1707" s="2" t="s">
        <v>84</v>
      </c>
      <c r="BS1707" s="3">
        <v>42964</v>
      </c>
      <c r="BT1707" s="4">
        <v>0.75763888888888886</v>
      </c>
      <c r="BU1707" s="2" t="s">
        <v>706</v>
      </c>
      <c r="BV1707" s="2" t="s">
        <v>86</v>
      </c>
      <c r="BW1707" s="2" t="s">
        <v>110</v>
      </c>
      <c r="BX1707" s="2" t="s">
        <v>111</v>
      </c>
      <c r="BY1707" s="2">
        <v>1200</v>
      </c>
      <c r="BZ1707" s="2" t="s">
        <v>27</v>
      </c>
      <c r="CA1707" s="2" t="s">
        <v>488</v>
      </c>
      <c r="CB1707" s="2"/>
      <c r="CC1707" s="2" t="s">
        <v>106</v>
      </c>
      <c r="CD1707" s="2">
        <v>7441</v>
      </c>
      <c r="CE1707" s="2" t="s">
        <v>104</v>
      </c>
      <c r="CF1707" s="5">
        <v>42965</v>
      </c>
      <c r="CG1707" s="2"/>
      <c r="CH1707" s="2"/>
      <c r="CI1707" s="2">
        <v>1</v>
      </c>
      <c r="CJ1707" s="2">
        <v>1</v>
      </c>
      <c r="CK1707" s="2">
        <v>21</v>
      </c>
      <c r="CL1707" s="2" t="s">
        <v>86</v>
      </c>
      <c r="CM1707" s="2"/>
    </row>
    <row r="1708" spans="1:91">
      <c r="A1708" s="2" t="s">
        <v>71</v>
      </c>
      <c r="B1708" s="2" t="s">
        <v>72</v>
      </c>
      <c r="C1708" s="2" t="s">
        <v>73</v>
      </c>
      <c r="D1708" s="2"/>
      <c r="E1708" s="2" t="str">
        <f>"FES1162569284"</f>
        <v>FES1162569284</v>
      </c>
      <c r="F1708" s="3">
        <v>42963</v>
      </c>
      <c r="G1708" s="2">
        <v>201802</v>
      </c>
      <c r="H1708" s="2" t="s">
        <v>74</v>
      </c>
      <c r="I1708" s="2" t="s">
        <v>75</v>
      </c>
      <c r="J1708" s="2" t="s">
        <v>76</v>
      </c>
      <c r="K1708" s="2" t="s">
        <v>77</v>
      </c>
      <c r="L1708" s="2" t="s">
        <v>97</v>
      </c>
      <c r="M1708" s="2" t="s">
        <v>98</v>
      </c>
      <c r="N1708" s="2" t="s">
        <v>500</v>
      </c>
      <c r="O1708" s="2" t="s">
        <v>100</v>
      </c>
      <c r="P1708" s="2" t="str">
        <f>"2170582376                    "</f>
        <v xml:space="preserve">2170582376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6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3</v>
      </c>
      <c r="BJ1708" s="2">
        <v>2</v>
      </c>
      <c r="BK1708" s="2">
        <v>3</v>
      </c>
      <c r="BL1708" s="2">
        <v>62.16</v>
      </c>
      <c r="BM1708" s="2">
        <v>8.6999999999999993</v>
      </c>
      <c r="BN1708" s="2">
        <v>70.86</v>
      </c>
      <c r="BO1708" s="2">
        <v>70.86</v>
      </c>
      <c r="BP1708" s="2"/>
      <c r="BQ1708" s="2" t="s">
        <v>108</v>
      </c>
      <c r="BR1708" s="2" t="s">
        <v>84</v>
      </c>
      <c r="BS1708" s="3">
        <v>42964</v>
      </c>
      <c r="BT1708" s="4">
        <v>0.3611111111111111</v>
      </c>
      <c r="BU1708" s="2" t="s">
        <v>803</v>
      </c>
      <c r="BV1708" s="2" t="s">
        <v>95</v>
      </c>
      <c r="BW1708" s="2"/>
      <c r="BX1708" s="2"/>
      <c r="BY1708" s="2">
        <v>9918</v>
      </c>
      <c r="BZ1708" s="2" t="s">
        <v>27</v>
      </c>
      <c r="CA1708" s="2" t="s">
        <v>804</v>
      </c>
      <c r="CB1708" s="2"/>
      <c r="CC1708" s="2" t="s">
        <v>98</v>
      </c>
      <c r="CD1708" s="2">
        <v>6001</v>
      </c>
      <c r="CE1708" s="2" t="s">
        <v>89</v>
      </c>
      <c r="CF1708" s="5">
        <v>42965</v>
      </c>
      <c r="CG1708" s="2"/>
      <c r="CH1708" s="2"/>
      <c r="CI1708" s="2">
        <v>1</v>
      </c>
      <c r="CJ1708" s="2">
        <v>1</v>
      </c>
      <c r="CK1708" s="2">
        <v>21</v>
      </c>
      <c r="CL1708" s="2" t="s">
        <v>86</v>
      </c>
      <c r="CM1708" s="2"/>
    </row>
    <row r="1709" spans="1:91">
      <c r="A1709" s="2" t="s">
        <v>71</v>
      </c>
      <c r="B1709" s="2" t="s">
        <v>72</v>
      </c>
      <c r="C1709" s="2" t="s">
        <v>73</v>
      </c>
      <c r="D1709" s="2"/>
      <c r="E1709" s="2" t="str">
        <f>"FES1162569382"</f>
        <v>FES1162569382</v>
      </c>
      <c r="F1709" s="3">
        <v>42963</v>
      </c>
      <c r="G1709" s="2">
        <v>201802</v>
      </c>
      <c r="H1709" s="2" t="s">
        <v>74</v>
      </c>
      <c r="I1709" s="2" t="s">
        <v>75</v>
      </c>
      <c r="J1709" s="2" t="s">
        <v>76</v>
      </c>
      <c r="K1709" s="2" t="s">
        <v>77</v>
      </c>
      <c r="L1709" s="2" t="s">
        <v>105</v>
      </c>
      <c r="M1709" s="2" t="s">
        <v>106</v>
      </c>
      <c r="N1709" s="2" t="s">
        <v>2372</v>
      </c>
      <c r="O1709" s="2" t="s">
        <v>100</v>
      </c>
      <c r="P1709" s="2" t="str">
        <f>"2170583307                    "</f>
        <v xml:space="preserve">2170583307    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4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1</v>
      </c>
      <c r="BI1709" s="2">
        <v>1</v>
      </c>
      <c r="BJ1709" s="2">
        <v>0.2</v>
      </c>
      <c r="BK1709" s="2">
        <v>1</v>
      </c>
      <c r="BL1709" s="2">
        <v>41.44</v>
      </c>
      <c r="BM1709" s="2">
        <v>5.8</v>
      </c>
      <c r="BN1709" s="2">
        <v>47.24</v>
      </c>
      <c r="BO1709" s="2">
        <v>47.24</v>
      </c>
      <c r="BP1709" s="2"/>
      <c r="BQ1709" s="2" t="s">
        <v>209</v>
      </c>
      <c r="BR1709" s="2" t="s">
        <v>84</v>
      </c>
      <c r="BS1709" s="3">
        <v>42964</v>
      </c>
      <c r="BT1709" s="4">
        <v>0.75138888888888899</v>
      </c>
      <c r="BU1709" s="2" t="s">
        <v>2373</v>
      </c>
      <c r="BV1709" s="2" t="s">
        <v>86</v>
      </c>
      <c r="BW1709" s="2" t="s">
        <v>110</v>
      </c>
      <c r="BX1709" s="2" t="s">
        <v>111</v>
      </c>
      <c r="BY1709" s="2">
        <v>1200</v>
      </c>
      <c r="BZ1709" s="2" t="s">
        <v>27</v>
      </c>
      <c r="CA1709" s="2" t="s">
        <v>488</v>
      </c>
      <c r="CB1709" s="2"/>
      <c r="CC1709" s="2" t="s">
        <v>106</v>
      </c>
      <c r="CD1709" s="2">
        <v>7441</v>
      </c>
      <c r="CE1709" s="2" t="s">
        <v>104</v>
      </c>
      <c r="CF1709" s="5">
        <v>42965</v>
      </c>
      <c r="CG1709" s="2"/>
      <c r="CH1709" s="2"/>
      <c r="CI1709" s="2">
        <v>1</v>
      </c>
      <c r="CJ1709" s="2">
        <v>1</v>
      </c>
      <c r="CK1709" s="2">
        <v>21</v>
      </c>
      <c r="CL1709" s="2" t="s">
        <v>86</v>
      </c>
      <c r="CM1709" s="2"/>
    </row>
    <row r="1710" spans="1:91">
      <c r="A1710" s="2" t="s">
        <v>71</v>
      </c>
      <c r="B1710" s="2" t="s">
        <v>72</v>
      </c>
      <c r="C1710" s="2" t="s">
        <v>73</v>
      </c>
      <c r="D1710" s="2"/>
      <c r="E1710" s="2" t="str">
        <f>"FES1162569139"</f>
        <v>FES1162569139</v>
      </c>
      <c r="F1710" s="3">
        <v>42963</v>
      </c>
      <c r="G1710" s="2">
        <v>201802</v>
      </c>
      <c r="H1710" s="2" t="s">
        <v>74</v>
      </c>
      <c r="I1710" s="2" t="s">
        <v>75</v>
      </c>
      <c r="J1710" s="2" t="s">
        <v>76</v>
      </c>
      <c r="K1710" s="2" t="s">
        <v>77</v>
      </c>
      <c r="L1710" s="2" t="s">
        <v>97</v>
      </c>
      <c r="M1710" s="2" t="s">
        <v>98</v>
      </c>
      <c r="N1710" s="2" t="s">
        <v>229</v>
      </c>
      <c r="O1710" s="2" t="s">
        <v>100</v>
      </c>
      <c r="P1710" s="2" t="str">
        <f>"2170578875                    "</f>
        <v xml:space="preserve">2170578875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4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1</v>
      </c>
      <c r="BJ1710" s="2">
        <v>0.2</v>
      </c>
      <c r="BK1710" s="2">
        <v>1</v>
      </c>
      <c r="BL1710" s="2">
        <v>41.44</v>
      </c>
      <c r="BM1710" s="2">
        <v>5.8</v>
      </c>
      <c r="BN1710" s="2">
        <v>47.24</v>
      </c>
      <c r="BO1710" s="2">
        <v>47.24</v>
      </c>
      <c r="BP1710" s="2"/>
      <c r="BQ1710" s="2" t="s">
        <v>108</v>
      </c>
      <c r="BR1710" s="2" t="s">
        <v>84</v>
      </c>
      <c r="BS1710" s="3">
        <v>42964</v>
      </c>
      <c r="BT1710" s="4">
        <v>0.42638888888888887</v>
      </c>
      <c r="BU1710" s="2" t="s">
        <v>230</v>
      </c>
      <c r="BV1710" s="2" t="s">
        <v>95</v>
      </c>
      <c r="BW1710" s="2"/>
      <c r="BX1710" s="2"/>
      <c r="BY1710" s="2">
        <v>1200</v>
      </c>
      <c r="BZ1710" s="2" t="s">
        <v>27</v>
      </c>
      <c r="CA1710" s="2" t="s">
        <v>103</v>
      </c>
      <c r="CB1710" s="2"/>
      <c r="CC1710" s="2" t="s">
        <v>98</v>
      </c>
      <c r="CD1710" s="2">
        <v>6001</v>
      </c>
      <c r="CE1710" s="2" t="s">
        <v>104</v>
      </c>
      <c r="CF1710" s="5">
        <v>42965</v>
      </c>
      <c r="CG1710" s="2"/>
      <c r="CH1710" s="2"/>
      <c r="CI1710" s="2">
        <v>1</v>
      </c>
      <c r="CJ1710" s="2">
        <v>1</v>
      </c>
      <c r="CK1710" s="2">
        <v>21</v>
      </c>
      <c r="CL1710" s="2" t="s">
        <v>86</v>
      </c>
      <c r="CM1710" s="2"/>
    </row>
    <row r="1711" spans="1:91">
      <c r="A1711" s="2" t="s">
        <v>71</v>
      </c>
      <c r="B1711" s="2" t="s">
        <v>72</v>
      </c>
      <c r="C1711" s="2" t="s">
        <v>73</v>
      </c>
      <c r="D1711" s="2"/>
      <c r="E1711" s="2" t="str">
        <f>"FES1162569283"</f>
        <v>FES1162569283</v>
      </c>
      <c r="F1711" s="3">
        <v>42963</v>
      </c>
      <c r="G1711" s="2">
        <v>201802</v>
      </c>
      <c r="H1711" s="2" t="s">
        <v>74</v>
      </c>
      <c r="I1711" s="2" t="s">
        <v>75</v>
      </c>
      <c r="J1711" s="2" t="s">
        <v>76</v>
      </c>
      <c r="K1711" s="2" t="s">
        <v>77</v>
      </c>
      <c r="L1711" s="2" t="s">
        <v>174</v>
      </c>
      <c r="M1711" s="2" t="s">
        <v>175</v>
      </c>
      <c r="N1711" s="2" t="s">
        <v>920</v>
      </c>
      <c r="O1711" s="2" t="s">
        <v>100</v>
      </c>
      <c r="P1711" s="2" t="str">
        <f>"2170581364                    "</f>
        <v xml:space="preserve">2170581364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6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3</v>
      </c>
      <c r="BJ1711" s="2">
        <v>0.2</v>
      </c>
      <c r="BK1711" s="2">
        <v>3</v>
      </c>
      <c r="BL1711" s="2">
        <v>62.16</v>
      </c>
      <c r="BM1711" s="2">
        <v>8.6999999999999993</v>
      </c>
      <c r="BN1711" s="2">
        <v>70.86</v>
      </c>
      <c r="BO1711" s="2">
        <v>70.86</v>
      </c>
      <c r="BP1711" s="2"/>
      <c r="BQ1711" s="2" t="s">
        <v>108</v>
      </c>
      <c r="BR1711" s="2" t="s">
        <v>84</v>
      </c>
      <c r="BS1711" s="3">
        <v>42964</v>
      </c>
      <c r="BT1711" s="4">
        <v>0.375</v>
      </c>
      <c r="BU1711" s="2" t="s">
        <v>2374</v>
      </c>
      <c r="BV1711" s="2" t="s">
        <v>95</v>
      </c>
      <c r="BW1711" s="2"/>
      <c r="BX1711" s="2"/>
      <c r="BY1711" s="2">
        <v>1200</v>
      </c>
      <c r="BZ1711" s="2" t="s">
        <v>27</v>
      </c>
      <c r="CA1711" s="2" t="s">
        <v>148</v>
      </c>
      <c r="CB1711" s="2"/>
      <c r="CC1711" s="2" t="s">
        <v>175</v>
      </c>
      <c r="CD1711" s="2">
        <v>5201</v>
      </c>
      <c r="CE1711" s="2" t="s">
        <v>104</v>
      </c>
      <c r="CF1711" s="5">
        <v>42965</v>
      </c>
      <c r="CG1711" s="2"/>
      <c r="CH1711" s="2"/>
      <c r="CI1711" s="2">
        <v>1</v>
      </c>
      <c r="CJ1711" s="2">
        <v>1</v>
      </c>
      <c r="CK1711" s="2">
        <v>21</v>
      </c>
      <c r="CL1711" s="2" t="s">
        <v>86</v>
      </c>
      <c r="CM1711" s="2"/>
    </row>
    <row r="1712" spans="1:91">
      <c r="A1712" s="2" t="s">
        <v>71</v>
      </c>
      <c r="B1712" s="2" t="s">
        <v>72</v>
      </c>
      <c r="C1712" s="2" t="s">
        <v>73</v>
      </c>
      <c r="D1712" s="2"/>
      <c r="E1712" s="2" t="str">
        <f>"FES1162569249"</f>
        <v>FES1162569249</v>
      </c>
      <c r="F1712" s="3">
        <v>42963</v>
      </c>
      <c r="G1712" s="2">
        <v>201802</v>
      </c>
      <c r="H1712" s="2" t="s">
        <v>74</v>
      </c>
      <c r="I1712" s="2" t="s">
        <v>75</v>
      </c>
      <c r="J1712" s="2" t="s">
        <v>76</v>
      </c>
      <c r="K1712" s="2" t="s">
        <v>77</v>
      </c>
      <c r="L1712" s="2" t="s">
        <v>144</v>
      </c>
      <c r="M1712" s="2" t="s">
        <v>145</v>
      </c>
      <c r="N1712" s="2" t="s">
        <v>146</v>
      </c>
      <c r="O1712" s="2" t="s">
        <v>100</v>
      </c>
      <c r="P1712" s="2" t="str">
        <f>"2170583606                    "</f>
        <v xml:space="preserve">2170583606  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3.13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1</v>
      </c>
      <c r="BI1712" s="2">
        <v>1</v>
      </c>
      <c r="BJ1712" s="2">
        <v>0.2</v>
      </c>
      <c r="BK1712" s="2">
        <v>1</v>
      </c>
      <c r="BL1712" s="2">
        <v>32.380000000000003</v>
      </c>
      <c r="BM1712" s="2">
        <v>4.53</v>
      </c>
      <c r="BN1712" s="2">
        <v>36.909999999999997</v>
      </c>
      <c r="BO1712" s="2">
        <v>36.909999999999997</v>
      </c>
      <c r="BP1712" s="2"/>
      <c r="BQ1712" s="2" t="s">
        <v>83</v>
      </c>
      <c r="BR1712" s="2" t="s">
        <v>84</v>
      </c>
      <c r="BS1712" s="3">
        <v>42964</v>
      </c>
      <c r="BT1712" s="4">
        <v>0.38125000000000003</v>
      </c>
      <c r="BU1712" s="2" t="s">
        <v>728</v>
      </c>
      <c r="BV1712" s="2" t="s">
        <v>95</v>
      </c>
      <c r="BW1712" s="2"/>
      <c r="BX1712" s="2"/>
      <c r="BY1712" s="2">
        <v>1200</v>
      </c>
      <c r="BZ1712" s="2" t="s">
        <v>27</v>
      </c>
      <c r="CA1712" s="2" t="s">
        <v>729</v>
      </c>
      <c r="CB1712" s="2"/>
      <c r="CC1712" s="2" t="s">
        <v>145</v>
      </c>
      <c r="CD1712" s="2">
        <v>2094</v>
      </c>
      <c r="CE1712" s="2" t="s">
        <v>104</v>
      </c>
      <c r="CF1712" s="5">
        <v>42965</v>
      </c>
      <c r="CG1712" s="2"/>
      <c r="CH1712" s="2"/>
      <c r="CI1712" s="2">
        <v>1</v>
      </c>
      <c r="CJ1712" s="2">
        <v>1</v>
      </c>
      <c r="CK1712" s="2">
        <v>22</v>
      </c>
      <c r="CL1712" s="2" t="s">
        <v>86</v>
      </c>
      <c r="CM1712" s="2"/>
    </row>
    <row r="1713" spans="1:91">
      <c r="A1713" s="2" t="s">
        <v>71</v>
      </c>
      <c r="B1713" s="2" t="s">
        <v>72</v>
      </c>
      <c r="C1713" s="2" t="s">
        <v>73</v>
      </c>
      <c r="D1713" s="2"/>
      <c r="E1713" s="2" t="str">
        <f>"FES1162569281"</f>
        <v>FES1162569281</v>
      </c>
      <c r="F1713" s="3">
        <v>42963</v>
      </c>
      <c r="G1713" s="2">
        <v>201802</v>
      </c>
      <c r="H1713" s="2" t="s">
        <v>74</v>
      </c>
      <c r="I1713" s="2" t="s">
        <v>75</v>
      </c>
      <c r="J1713" s="2" t="s">
        <v>76</v>
      </c>
      <c r="K1713" s="2" t="s">
        <v>77</v>
      </c>
      <c r="L1713" s="2" t="s">
        <v>97</v>
      </c>
      <c r="M1713" s="2" t="s">
        <v>98</v>
      </c>
      <c r="N1713" s="2" t="s">
        <v>248</v>
      </c>
      <c r="O1713" s="2" t="s">
        <v>100</v>
      </c>
      <c r="P1713" s="2" t="str">
        <f>"2170579488                    "</f>
        <v xml:space="preserve">2170579488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4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1</v>
      </c>
      <c r="BJ1713" s="2">
        <v>0.2</v>
      </c>
      <c r="BK1713" s="2">
        <v>1</v>
      </c>
      <c r="BL1713" s="2">
        <v>41.44</v>
      </c>
      <c r="BM1713" s="2">
        <v>5.8</v>
      </c>
      <c r="BN1713" s="2">
        <v>47.24</v>
      </c>
      <c r="BO1713" s="2">
        <v>47.24</v>
      </c>
      <c r="BP1713" s="2"/>
      <c r="BQ1713" s="2" t="s">
        <v>83</v>
      </c>
      <c r="BR1713" s="2" t="s">
        <v>84</v>
      </c>
      <c r="BS1713" s="3">
        <v>42964</v>
      </c>
      <c r="BT1713" s="4">
        <v>0.34722222222222227</v>
      </c>
      <c r="BU1713" s="2" t="s">
        <v>1130</v>
      </c>
      <c r="BV1713" s="2" t="s">
        <v>95</v>
      </c>
      <c r="BW1713" s="2"/>
      <c r="BX1713" s="2"/>
      <c r="BY1713" s="2">
        <v>1200</v>
      </c>
      <c r="BZ1713" s="2" t="s">
        <v>27</v>
      </c>
      <c r="CA1713" s="2" t="s">
        <v>804</v>
      </c>
      <c r="CB1713" s="2"/>
      <c r="CC1713" s="2" t="s">
        <v>98</v>
      </c>
      <c r="CD1713" s="2">
        <v>6001</v>
      </c>
      <c r="CE1713" s="2" t="s">
        <v>104</v>
      </c>
      <c r="CF1713" s="5">
        <v>42965</v>
      </c>
      <c r="CG1713" s="2"/>
      <c r="CH1713" s="2"/>
      <c r="CI1713" s="2">
        <v>1</v>
      </c>
      <c r="CJ1713" s="2">
        <v>1</v>
      </c>
      <c r="CK1713" s="2">
        <v>21</v>
      </c>
      <c r="CL1713" s="2" t="s">
        <v>86</v>
      </c>
      <c r="CM1713" s="2"/>
    </row>
    <row r="1714" spans="1:91">
      <c r="A1714" s="2" t="s">
        <v>71</v>
      </c>
      <c r="B1714" s="2" t="s">
        <v>72</v>
      </c>
      <c r="C1714" s="2" t="s">
        <v>73</v>
      </c>
      <c r="D1714" s="2"/>
      <c r="E1714" s="2" t="str">
        <f>"FES1162569152"</f>
        <v>FES1162569152</v>
      </c>
      <c r="F1714" s="3">
        <v>42963</v>
      </c>
      <c r="G1714" s="2">
        <v>201802</v>
      </c>
      <c r="H1714" s="2" t="s">
        <v>74</v>
      </c>
      <c r="I1714" s="2" t="s">
        <v>75</v>
      </c>
      <c r="J1714" s="2" t="s">
        <v>76</v>
      </c>
      <c r="K1714" s="2" t="s">
        <v>77</v>
      </c>
      <c r="L1714" s="2" t="s">
        <v>97</v>
      </c>
      <c r="M1714" s="2" t="s">
        <v>98</v>
      </c>
      <c r="N1714" s="2" t="s">
        <v>2375</v>
      </c>
      <c r="O1714" s="2" t="s">
        <v>100</v>
      </c>
      <c r="P1714" s="2" t="str">
        <f>"2170583034                    "</f>
        <v xml:space="preserve">2170583034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18.010000000000002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1</v>
      </c>
      <c r="BI1714" s="2">
        <v>7.8</v>
      </c>
      <c r="BJ1714" s="2">
        <v>9</v>
      </c>
      <c r="BK1714" s="2">
        <v>9</v>
      </c>
      <c r="BL1714" s="2">
        <v>186.49</v>
      </c>
      <c r="BM1714" s="2">
        <v>26.11</v>
      </c>
      <c r="BN1714" s="2">
        <v>212.6</v>
      </c>
      <c r="BO1714" s="2">
        <v>212.6</v>
      </c>
      <c r="BP1714" s="2"/>
      <c r="BQ1714" s="2" t="s">
        <v>108</v>
      </c>
      <c r="BR1714" s="2" t="s">
        <v>84</v>
      </c>
      <c r="BS1714" s="3">
        <v>42964</v>
      </c>
      <c r="BT1714" s="4">
        <v>0.43055555555555558</v>
      </c>
      <c r="BU1714" s="2" t="s">
        <v>2376</v>
      </c>
      <c r="BV1714" s="2" t="s">
        <v>95</v>
      </c>
      <c r="BW1714" s="2"/>
      <c r="BX1714" s="2"/>
      <c r="BY1714" s="2">
        <v>45166.8</v>
      </c>
      <c r="BZ1714" s="2" t="s">
        <v>27</v>
      </c>
      <c r="CA1714" s="2" t="s">
        <v>103</v>
      </c>
      <c r="CB1714" s="2"/>
      <c r="CC1714" s="2" t="s">
        <v>98</v>
      </c>
      <c r="CD1714" s="2">
        <v>6001</v>
      </c>
      <c r="CE1714" s="2" t="s">
        <v>89</v>
      </c>
      <c r="CF1714" s="5">
        <v>42965</v>
      </c>
      <c r="CG1714" s="2"/>
      <c r="CH1714" s="2"/>
      <c r="CI1714" s="2">
        <v>1</v>
      </c>
      <c r="CJ1714" s="2">
        <v>1</v>
      </c>
      <c r="CK1714" s="2">
        <v>21</v>
      </c>
      <c r="CL1714" s="2" t="s">
        <v>86</v>
      </c>
      <c r="CM1714" s="2"/>
    </row>
    <row r="1715" spans="1:91">
      <c r="A1715" s="2" t="s">
        <v>71</v>
      </c>
      <c r="B1715" s="2" t="s">
        <v>72</v>
      </c>
      <c r="C1715" s="2" t="s">
        <v>73</v>
      </c>
      <c r="D1715" s="2"/>
      <c r="E1715" s="2" t="str">
        <f>"FES1162569189"</f>
        <v>FES1162569189</v>
      </c>
      <c r="F1715" s="3">
        <v>42963</v>
      </c>
      <c r="G1715" s="2">
        <v>201802</v>
      </c>
      <c r="H1715" s="2" t="s">
        <v>74</v>
      </c>
      <c r="I1715" s="2" t="s">
        <v>75</v>
      </c>
      <c r="J1715" s="2" t="s">
        <v>76</v>
      </c>
      <c r="K1715" s="2" t="s">
        <v>77</v>
      </c>
      <c r="L1715" s="2" t="s">
        <v>1202</v>
      </c>
      <c r="M1715" s="2" t="s">
        <v>1203</v>
      </c>
      <c r="N1715" s="2" t="s">
        <v>2377</v>
      </c>
      <c r="O1715" s="2" t="s">
        <v>100</v>
      </c>
      <c r="P1715" s="2" t="str">
        <f>"2170585131                    "</f>
        <v xml:space="preserve">2170585131 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3.13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1</v>
      </c>
      <c r="BI1715" s="2">
        <v>1</v>
      </c>
      <c r="BJ1715" s="2">
        <v>0.2</v>
      </c>
      <c r="BK1715" s="2">
        <v>1</v>
      </c>
      <c r="BL1715" s="2">
        <v>32.380000000000003</v>
      </c>
      <c r="BM1715" s="2">
        <v>4.53</v>
      </c>
      <c r="BN1715" s="2">
        <v>36.909999999999997</v>
      </c>
      <c r="BO1715" s="2">
        <v>36.909999999999997</v>
      </c>
      <c r="BP1715" s="2"/>
      <c r="BQ1715" s="2" t="s">
        <v>108</v>
      </c>
      <c r="BR1715" s="2" t="s">
        <v>84</v>
      </c>
      <c r="BS1715" s="3">
        <v>42964</v>
      </c>
      <c r="BT1715" s="4">
        <v>0.35069444444444442</v>
      </c>
      <c r="BU1715" s="2" t="s">
        <v>2378</v>
      </c>
      <c r="BV1715" s="2" t="s">
        <v>95</v>
      </c>
      <c r="BW1715" s="2"/>
      <c r="BX1715" s="2"/>
      <c r="BY1715" s="2">
        <v>1200</v>
      </c>
      <c r="BZ1715" s="2" t="s">
        <v>27</v>
      </c>
      <c r="CA1715" s="2" t="s">
        <v>2379</v>
      </c>
      <c r="CB1715" s="2"/>
      <c r="CC1715" s="2" t="s">
        <v>1203</v>
      </c>
      <c r="CD1715" s="2">
        <v>1501</v>
      </c>
      <c r="CE1715" s="2" t="s">
        <v>104</v>
      </c>
      <c r="CF1715" s="5">
        <v>42965</v>
      </c>
      <c r="CG1715" s="2"/>
      <c r="CH1715" s="2"/>
      <c r="CI1715" s="2">
        <v>1</v>
      </c>
      <c r="CJ1715" s="2">
        <v>1</v>
      </c>
      <c r="CK1715" s="2">
        <v>22</v>
      </c>
      <c r="CL1715" s="2" t="s">
        <v>86</v>
      </c>
      <c r="CM1715" s="2"/>
    </row>
    <row r="1716" spans="1:91">
      <c r="A1716" s="2" t="s">
        <v>71</v>
      </c>
      <c r="B1716" s="2" t="s">
        <v>72</v>
      </c>
      <c r="C1716" s="2" t="s">
        <v>73</v>
      </c>
      <c r="D1716" s="2"/>
      <c r="E1716" s="2" t="str">
        <f>"FES1162569219"</f>
        <v>FES1162569219</v>
      </c>
      <c r="F1716" s="3">
        <v>42963</v>
      </c>
      <c r="G1716" s="2">
        <v>201802</v>
      </c>
      <c r="H1716" s="2" t="s">
        <v>74</v>
      </c>
      <c r="I1716" s="2" t="s">
        <v>75</v>
      </c>
      <c r="J1716" s="2" t="s">
        <v>76</v>
      </c>
      <c r="K1716" s="2" t="s">
        <v>77</v>
      </c>
      <c r="L1716" s="2" t="s">
        <v>105</v>
      </c>
      <c r="M1716" s="2" t="s">
        <v>106</v>
      </c>
      <c r="N1716" s="2" t="s">
        <v>1857</v>
      </c>
      <c r="O1716" s="2" t="s">
        <v>100</v>
      </c>
      <c r="P1716" s="2" t="str">
        <f>"2170582423                    "</f>
        <v xml:space="preserve">2170582423  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4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1</v>
      </c>
      <c r="BI1716" s="2">
        <v>0.3</v>
      </c>
      <c r="BJ1716" s="2">
        <v>1.4</v>
      </c>
      <c r="BK1716" s="2">
        <v>1.5</v>
      </c>
      <c r="BL1716" s="2">
        <v>41.44</v>
      </c>
      <c r="BM1716" s="2">
        <v>5.8</v>
      </c>
      <c r="BN1716" s="2">
        <v>47.24</v>
      </c>
      <c r="BO1716" s="2">
        <v>47.24</v>
      </c>
      <c r="BP1716" s="2"/>
      <c r="BQ1716" s="2" t="s">
        <v>2380</v>
      </c>
      <c r="BR1716" s="2" t="s">
        <v>84</v>
      </c>
      <c r="BS1716" s="3">
        <v>42964</v>
      </c>
      <c r="BT1716" s="4">
        <v>0.75208333333333333</v>
      </c>
      <c r="BU1716" s="2" t="s">
        <v>2381</v>
      </c>
      <c r="BV1716" s="2" t="s">
        <v>86</v>
      </c>
      <c r="BW1716" s="2" t="s">
        <v>110</v>
      </c>
      <c r="BX1716" s="2" t="s">
        <v>111</v>
      </c>
      <c r="BY1716" s="2">
        <v>7137.67</v>
      </c>
      <c r="BZ1716" s="2" t="s">
        <v>27</v>
      </c>
      <c r="CA1716" s="2" t="s">
        <v>488</v>
      </c>
      <c r="CB1716" s="2"/>
      <c r="CC1716" s="2" t="s">
        <v>106</v>
      </c>
      <c r="CD1716" s="2">
        <v>7441</v>
      </c>
      <c r="CE1716" s="2" t="s">
        <v>104</v>
      </c>
      <c r="CF1716" s="5">
        <v>42965</v>
      </c>
      <c r="CG1716" s="2"/>
      <c r="CH1716" s="2"/>
      <c r="CI1716" s="2">
        <v>1</v>
      </c>
      <c r="CJ1716" s="2">
        <v>1</v>
      </c>
      <c r="CK1716" s="2">
        <v>21</v>
      </c>
      <c r="CL1716" s="2" t="s">
        <v>86</v>
      </c>
      <c r="CM1716" s="2"/>
    </row>
    <row r="1717" spans="1:91">
      <c r="A1717" s="2" t="s">
        <v>71</v>
      </c>
      <c r="B1717" s="2" t="s">
        <v>72</v>
      </c>
      <c r="C1717" s="2" t="s">
        <v>73</v>
      </c>
      <c r="D1717" s="2"/>
      <c r="E1717" s="2" t="str">
        <f>"FES1162569190"</f>
        <v>FES1162569190</v>
      </c>
      <c r="F1717" s="3">
        <v>42963</v>
      </c>
      <c r="G1717" s="2">
        <v>201802</v>
      </c>
      <c r="H1717" s="2" t="s">
        <v>74</v>
      </c>
      <c r="I1717" s="2" t="s">
        <v>75</v>
      </c>
      <c r="J1717" s="2" t="s">
        <v>76</v>
      </c>
      <c r="K1717" s="2" t="s">
        <v>77</v>
      </c>
      <c r="L1717" s="2" t="s">
        <v>105</v>
      </c>
      <c r="M1717" s="2" t="s">
        <v>106</v>
      </c>
      <c r="N1717" s="2" t="s">
        <v>2382</v>
      </c>
      <c r="O1717" s="2" t="s">
        <v>100</v>
      </c>
      <c r="P1717" s="2" t="str">
        <f>"2170585133                    "</f>
        <v xml:space="preserve">2170585133 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4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1</v>
      </c>
      <c r="BI1717" s="2">
        <v>1</v>
      </c>
      <c r="BJ1717" s="2">
        <v>0.2</v>
      </c>
      <c r="BK1717" s="2">
        <v>1</v>
      </c>
      <c r="BL1717" s="2">
        <v>41.44</v>
      </c>
      <c r="BM1717" s="2">
        <v>5.8</v>
      </c>
      <c r="BN1717" s="2">
        <v>47.24</v>
      </c>
      <c r="BO1717" s="2">
        <v>47.24</v>
      </c>
      <c r="BP1717" s="2"/>
      <c r="BQ1717" s="2" t="s">
        <v>83</v>
      </c>
      <c r="BR1717" s="2" t="s">
        <v>84</v>
      </c>
      <c r="BS1717" s="3">
        <v>42964</v>
      </c>
      <c r="BT1717" s="4">
        <v>0.3444444444444445</v>
      </c>
      <c r="BU1717" s="2" t="s">
        <v>2383</v>
      </c>
      <c r="BV1717" s="2" t="s">
        <v>95</v>
      </c>
      <c r="BW1717" s="2"/>
      <c r="BX1717" s="2"/>
      <c r="BY1717" s="2">
        <v>1200</v>
      </c>
      <c r="BZ1717" s="2" t="s">
        <v>27</v>
      </c>
      <c r="CA1717" s="2" t="s">
        <v>663</v>
      </c>
      <c r="CB1717" s="2"/>
      <c r="CC1717" s="2" t="s">
        <v>106</v>
      </c>
      <c r="CD1717" s="2">
        <v>7500</v>
      </c>
      <c r="CE1717" s="2" t="s">
        <v>104</v>
      </c>
      <c r="CF1717" s="5">
        <v>42965</v>
      </c>
      <c r="CG1717" s="2"/>
      <c r="CH1717" s="2"/>
      <c r="CI1717" s="2">
        <v>1</v>
      </c>
      <c r="CJ1717" s="2">
        <v>1</v>
      </c>
      <c r="CK1717" s="2">
        <v>21</v>
      </c>
      <c r="CL1717" s="2" t="s">
        <v>86</v>
      </c>
      <c r="CM1717" s="2"/>
    </row>
    <row r="1718" spans="1:91">
      <c r="A1718" s="2" t="s">
        <v>71</v>
      </c>
      <c r="B1718" s="2" t="s">
        <v>72</v>
      </c>
      <c r="C1718" s="2" t="s">
        <v>73</v>
      </c>
      <c r="D1718" s="2"/>
      <c r="E1718" s="2" t="str">
        <f>"FES1162569100"</f>
        <v>FES1162569100</v>
      </c>
      <c r="F1718" s="3">
        <v>42963</v>
      </c>
      <c r="G1718" s="2">
        <v>201802</v>
      </c>
      <c r="H1718" s="2" t="s">
        <v>74</v>
      </c>
      <c r="I1718" s="2" t="s">
        <v>75</v>
      </c>
      <c r="J1718" s="2" t="s">
        <v>76</v>
      </c>
      <c r="K1718" s="2" t="s">
        <v>77</v>
      </c>
      <c r="L1718" s="2" t="s">
        <v>1239</v>
      </c>
      <c r="M1718" s="2" t="s">
        <v>1240</v>
      </c>
      <c r="N1718" s="2" t="s">
        <v>1241</v>
      </c>
      <c r="O1718" s="2" t="s">
        <v>100</v>
      </c>
      <c r="P1718" s="2" t="str">
        <f>"2170584683                    "</f>
        <v xml:space="preserve">2170584683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35.770000000000003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9.8000000000000007</v>
      </c>
      <c r="BJ1718" s="2">
        <v>2.1</v>
      </c>
      <c r="BK1718" s="2">
        <v>10</v>
      </c>
      <c r="BL1718" s="2">
        <v>370.39</v>
      </c>
      <c r="BM1718" s="2">
        <v>51.85</v>
      </c>
      <c r="BN1718" s="2">
        <v>422.24</v>
      </c>
      <c r="BO1718" s="2">
        <v>422.24</v>
      </c>
      <c r="BP1718" s="2"/>
      <c r="BQ1718" s="2" t="s">
        <v>108</v>
      </c>
      <c r="BR1718" s="2" t="s">
        <v>84</v>
      </c>
      <c r="BS1718" s="3">
        <v>42964</v>
      </c>
      <c r="BT1718" s="4">
        <v>0.61527777777777781</v>
      </c>
      <c r="BU1718" s="2" t="s">
        <v>2384</v>
      </c>
      <c r="BV1718" s="2" t="s">
        <v>95</v>
      </c>
      <c r="BW1718" s="2"/>
      <c r="BX1718" s="2"/>
      <c r="BY1718" s="2">
        <v>10579.2</v>
      </c>
      <c r="BZ1718" s="2" t="s">
        <v>27</v>
      </c>
      <c r="CA1718" s="2" t="s">
        <v>714</v>
      </c>
      <c r="CB1718" s="2"/>
      <c r="CC1718" s="2" t="s">
        <v>1240</v>
      </c>
      <c r="CD1718" s="2">
        <v>4399</v>
      </c>
      <c r="CE1718" s="2" t="s">
        <v>135</v>
      </c>
      <c r="CF1718" s="5">
        <v>42965</v>
      </c>
      <c r="CG1718" s="2"/>
      <c r="CH1718" s="2"/>
      <c r="CI1718" s="2">
        <v>1</v>
      </c>
      <c r="CJ1718" s="2">
        <v>1</v>
      </c>
      <c r="CK1718" s="2">
        <v>23</v>
      </c>
      <c r="CL1718" s="2" t="s">
        <v>86</v>
      </c>
      <c r="CM1718" s="2"/>
    </row>
    <row r="1719" spans="1:91">
      <c r="A1719" s="2" t="s">
        <v>71</v>
      </c>
      <c r="B1719" s="2" t="s">
        <v>72</v>
      </c>
      <c r="C1719" s="2" t="s">
        <v>73</v>
      </c>
      <c r="D1719" s="2"/>
      <c r="E1719" s="2" t="str">
        <f>"FES1162569324"</f>
        <v>FES1162569324</v>
      </c>
      <c r="F1719" s="3">
        <v>42963</v>
      </c>
      <c r="G1719" s="2">
        <v>201802</v>
      </c>
      <c r="H1719" s="2" t="s">
        <v>74</v>
      </c>
      <c r="I1719" s="2" t="s">
        <v>75</v>
      </c>
      <c r="J1719" s="2" t="s">
        <v>76</v>
      </c>
      <c r="K1719" s="2" t="s">
        <v>77</v>
      </c>
      <c r="L1719" s="2" t="s">
        <v>510</v>
      </c>
      <c r="M1719" s="2" t="s">
        <v>511</v>
      </c>
      <c r="N1719" s="2" t="s">
        <v>2385</v>
      </c>
      <c r="O1719" s="2" t="s">
        <v>100</v>
      </c>
      <c r="P1719" s="2" t="str">
        <f>"2170585192                    "</f>
        <v xml:space="preserve">2170585192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4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1</v>
      </c>
      <c r="BJ1719" s="2">
        <v>0.2</v>
      </c>
      <c r="BK1719" s="2">
        <v>1</v>
      </c>
      <c r="BL1719" s="2">
        <v>41.44</v>
      </c>
      <c r="BM1719" s="2">
        <v>5.8</v>
      </c>
      <c r="BN1719" s="2">
        <v>47.24</v>
      </c>
      <c r="BO1719" s="2">
        <v>47.24</v>
      </c>
      <c r="BP1719" s="2"/>
      <c r="BQ1719" s="2" t="s">
        <v>2386</v>
      </c>
      <c r="BR1719" s="2" t="s">
        <v>84</v>
      </c>
      <c r="BS1719" s="3">
        <v>42964</v>
      </c>
      <c r="BT1719" s="4">
        <v>0.33333333333333331</v>
      </c>
      <c r="BU1719" s="2" t="s">
        <v>2387</v>
      </c>
      <c r="BV1719" s="2" t="s">
        <v>95</v>
      </c>
      <c r="BW1719" s="2"/>
      <c r="BX1719" s="2"/>
      <c r="BY1719" s="2">
        <v>1200</v>
      </c>
      <c r="BZ1719" s="2" t="s">
        <v>27</v>
      </c>
      <c r="CA1719" s="2" t="s">
        <v>514</v>
      </c>
      <c r="CB1719" s="2"/>
      <c r="CC1719" s="2" t="s">
        <v>511</v>
      </c>
      <c r="CD1719" s="2">
        <v>6230</v>
      </c>
      <c r="CE1719" s="2" t="s">
        <v>104</v>
      </c>
      <c r="CF1719" s="5">
        <v>42965</v>
      </c>
      <c r="CG1719" s="2"/>
      <c r="CH1719" s="2"/>
      <c r="CI1719" s="2">
        <v>1</v>
      </c>
      <c r="CJ1719" s="2">
        <v>1</v>
      </c>
      <c r="CK1719" s="2">
        <v>21</v>
      </c>
      <c r="CL1719" s="2" t="s">
        <v>86</v>
      </c>
      <c r="CM1719" s="2"/>
    </row>
    <row r="1720" spans="1:91">
      <c r="A1720" s="2" t="s">
        <v>71</v>
      </c>
      <c r="B1720" s="2" t="s">
        <v>72</v>
      </c>
      <c r="C1720" s="2" t="s">
        <v>73</v>
      </c>
      <c r="D1720" s="2"/>
      <c r="E1720" s="2" t="str">
        <f>"FES1162569222"</f>
        <v>FES1162569222</v>
      </c>
      <c r="F1720" s="3">
        <v>42963</v>
      </c>
      <c r="G1720" s="2">
        <v>201802</v>
      </c>
      <c r="H1720" s="2" t="s">
        <v>74</v>
      </c>
      <c r="I1720" s="2" t="s">
        <v>75</v>
      </c>
      <c r="J1720" s="2" t="s">
        <v>76</v>
      </c>
      <c r="K1720" s="2" t="s">
        <v>77</v>
      </c>
      <c r="L1720" s="2" t="s">
        <v>144</v>
      </c>
      <c r="M1720" s="2" t="s">
        <v>145</v>
      </c>
      <c r="N1720" s="2" t="s">
        <v>146</v>
      </c>
      <c r="O1720" s="2" t="s">
        <v>100</v>
      </c>
      <c r="P1720" s="2" t="str">
        <f>"2170582492                    "</f>
        <v xml:space="preserve">2170582492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3.13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1</v>
      </c>
      <c r="BI1720" s="2">
        <v>1</v>
      </c>
      <c r="BJ1720" s="2">
        <v>0.2</v>
      </c>
      <c r="BK1720" s="2">
        <v>1</v>
      </c>
      <c r="BL1720" s="2">
        <v>32.380000000000003</v>
      </c>
      <c r="BM1720" s="2">
        <v>4.53</v>
      </c>
      <c r="BN1720" s="2">
        <v>36.909999999999997</v>
      </c>
      <c r="BO1720" s="2">
        <v>36.909999999999997</v>
      </c>
      <c r="BP1720" s="2"/>
      <c r="BQ1720" s="2" t="s">
        <v>83</v>
      </c>
      <c r="BR1720" s="2" t="s">
        <v>84</v>
      </c>
      <c r="BS1720" s="3">
        <v>42964</v>
      </c>
      <c r="BT1720" s="4">
        <v>0.3833333333333333</v>
      </c>
      <c r="BU1720" s="2" t="s">
        <v>728</v>
      </c>
      <c r="BV1720" s="2" t="s">
        <v>95</v>
      </c>
      <c r="BW1720" s="2"/>
      <c r="BX1720" s="2"/>
      <c r="BY1720" s="2">
        <v>1200</v>
      </c>
      <c r="BZ1720" s="2" t="s">
        <v>27</v>
      </c>
      <c r="CA1720" s="2" t="s">
        <v>729</v>
      </c>
      <c r="CB1720" s="2"/>
      <c r="CC1720" s="2" t="s">
        <v>145</v>
      </c>
      <c r="CD1720" s="2">
        <v>2094</v>
      </c>
      <c r="CE1720" s="2" t="s">
        <v>104</v>
      </c>
      <c r="CF1720" s="5">
        <v>42965</v>
      </c>
      <c r="CG1720" s="2"/>
      <c r="CH1720" s="2"/>
      <c r="CI1720" s="2">
        <v>1</v>
      </c>
      <c r="CJ1720" s="2">
        <v>1</v>
      </c>
      <c r="CK1720" s="2">
        <v>22</v>
      </c>
      <c r="CL1720" s="2" t="s">
        <v>86</v>
      </c>
      <c r="CM1720" s="2"/>
    </row>
    <row r="1721" spans="1:91">
      <c r="A1721" s="2" t="s">
        <v>71</v>
      </c>
      <c r="B1721" s="2" t="s">
        <v>72</v>
      </c>
      <c r="C1721" s="2" t="s">
        <v>73</v>
      </c>
      <c r="D1721" s="2"/>
      <c r="E1721" s="2" t="str">
        <f>"FES1162569186"</f>
        <v>FES1162569186</v>
      </c>
      <c r="F1721" s="3">
        <v>42963</v>
      </c>
      <c r="G1721" s="2">
        <v>201802</v>
      </c>
      <c r="H1721" s="2" t="s">
        <v>74</v>
      </c>
      <c r="I1721" s="2" t="s">
        <v>75</v>
      </c>
      <c r="J1721" s="2" t="s">
        <v>76</v>
      </c>
      <c r="K1721" s="2" t="s">
        <v>77</v>
      </c>
      <c r="L1721" s="2" t="s">
        <v>164</v>
      </c>
      <c r="M1721" s="2" t="s">
        <v>165</v>
      </c>
      <c r="N1721" s="2" t="s">
        <v>1191</v>
      </c>
      <c r="O1721" s="2" t="s">
        <v>100</v>
      </c>
      <c r="P1721" s="2" t="str">
        <f>"2170585049                    "</f>
        <v xml:space="preserve">2170585049  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4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1</v>
      </c>
      <c r="BJ1721" s="2">
        <v>0.2</v>
      </c>
      <c r="BK1721" s="2">
        <v>1</v>
      </c>
      <c r="BL1721" s="2">
        <v>41.44</v>
      </c>
      <c r="BM1721" s="2">
        <v>5.8</v>
      </c>
      <c r="BN1721" s="2">
        <v>47.24</v>
      </c>
      <c r="BO1721" s="2">
        <v>47.24</v>
      </c>
      <c r="BP1721" s="2"/>
      <c r="BQ1721" s="2" t="s">
        <v>2388</v>
      </c>
      <c r="BR1721" s="2" t="s">
        <v>84</v>
      </c>
      <c r="BS1721" s="3">
        <v>42964</v>
      </c>
      <c r="BT1721" s="4">
        <v>0.41666666666666669</v>
      </c>
      <c r="BU1721" s="2" t="s">
        <v>2389</v>
      </c>
      <c r="BV1721" s="2" t="s">
        <v>95</v>
      </c>
      <c r="BW1721" s="2"/>
      <c r="BX1721" s="2"/>
      <c r="BY1721" s="2">
        <v>1200</v>
      </c>
      <c r="BZ1721" s="2" t="s">
        <v>27</v>
      </c>
      <c r="CA1721" s="2"/>
      <c r="CB1721" s="2"/>
      <c r="CC1721" s="2" t="s">
        <v>165</v>
      </c>
      <c r="CD1721" s="2">
        <v>6850</v>
      </c>
      <c r="CE1721" s="2" t="s">
        <v>104</v>
      </c>
      <c r="CF1721" s="5">
        <v>42965</v>
      </c>
      <c r="CG1721" s="2"/>
      <c r="CH1721" s="2"/>
      <c r="CI1721" s="2">
        <v>3</v>
      </c>
      <c r="CJ1721" s="2">
        <v>1</v>
      </c>
      <c r="CK1721" s="2">
        <v>21</v>
      </c>
      <c r="CL1721" s="2" t="s">
        <v>86</v>
      </c>
      <c r="CM1721" s="2"/>
    </row>
    <row r="1722" spans="1:91">
      <c r="A1722" s="2" t="s">
        <v>71</v>
      </c>
      <c r="B1722" s="2" t="s">
        <v>72</v>
      </c>
      <c r="C1722" s="2" t="s">
        <v>73</v>
      </c>
      <c r="D1722" s="2"/>
      <c r="E1722" s="2" t="str">
        <f>"FES1162569135"</f>
        <v>FES1162569135</v>
      </c>
      <c r="F1722" s="3">
        <v>42963</v>
      </c>
      <c r="G1722" s="2">
        <v>201802</v>
      </c>
      <c r="H1722" s="2" t="s">
        <v>74</v>
      </c>
      <c r="I1722" s="2" t="s">
        <v>75</v>
      </c>
      <c r="J1722" s="2" t="s">
        <v>76</v>
      </c>
      <c r="K1722" s="2" t="s">
        <v>77</v>
      </c>
      <c r="L1722" s="2" t="s">
        <v>149</v>
      </c>
      <c r="M1722" s="2" t="s">
        <v>150</v>
      </c>
      <c r="N1722" s="2" t="s">
        <v>482</v>
      </c>
      <c r="O1722" s="2" t="s">
        <v>100</v>
      </c>
      <c r="P1722" s="2" t="str">
        <f>"2170583962                    "</f>
        <v xml:space="preserve">2170583962 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6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3</v>
      </c>
      <c r="BJ1722" s="2">
        <v>0.2</v>
      </c>
      <c r="BK1722" s="2">
        <v>3</v>
      </c>
      <c r="BL1722" s="2">
        <v>62.16</v>
      </c>
      <c r="BM1722" s="2">
        <v>8.6999999999999993</v>
      </c>
      <c r="BN1722" s="2">
        <v>70.86</v>
      </c>
      <c r="BO1722" s="2">
        <v>70.86</v>
      </c>
      <c r="BP1722" s="2"/>
      <c r="BQ1722" s="2" t="s">
        <v>83</v>
      </c>
      <c r="BR1722" s="2" t="s">
        <v>84</v>
      </c>
      <c r="BS1722" s="3">
        <v>42964</v>
      </c>
      <c r="BT1722" s="4">
        <v>0.36805555555555558</v>
      </c>
      <c r="BU1722" s="2" t="s">
        <v>2390</v>
      </c>
      <c r="BV1722" s="2" t="s">
        <v>95</v>
      </c>
      <c r="BW1722" s="2"/>
      <c r="BX1722" s="2"/>
      <c r="BY1722" s="2">
        <v>1200</v>
      </c>
      <c r="BZ1722" s="2" t="s">
        <v>27</v>
      </c>
      <c r="CA1722" s="2" t="s">
        <v>682</v>
      </c>
      <c r="CB1722" s="2"/>
      <c r="CC1722" s="2" t="s">
        <v>150</v>
      </c>
      <c r="CD1722" s="2">
        <v>4001</v>
      </c>
      <c r="CE1722" s="2" t="s">
        <v>104</v>
      </c>
      <c r="CF1722" s="5">
        <v>42965</v>
      </c>
      <c r="CG1722" s="2"/>
      <c r="CH1722" s="2"/>
      <c r="CI1722" s="2">
        <v>1</v>
      </c>
      <c r="CJ1722" s="2">
        <v>1</v>
      </c>
      <c r="CK1722" s="2">
        <v>21</v>
      </c>
      <c r="CL1722" s="2" t="s">
        <v>86</v>
      </c>
      <c r="CM1722" s="2"/>
    </row>
    <row r="1723" spans="1:91">
      <c r="A1723" s="2" t="s">
        <v>71</v>
      </c>
      <c r="B1723" s="2" t="s">
        <v>72</v>
      </c>
      <c r="C1723" s="2" t="s">
        <v>73</v>
      </c>
      <c r="D1723" s="2"/>
      <c r="E1723" s="2" t="str">
        <f>"FES1162569177"</f>
        <v>FES1162569177</v>
      </c>
      <c r="F1723" s="3">
        <v>42963</v>
      </c>
      <c r="G1723" s="2">
        <v>201802</v>
      </c>
      <c r="H1723" s="2" t="s">
        <v>74</v>
      </c>
      <c r="I1723" s="2" t="s">
        <v>75</v>
      </c>
      <c r="J1723" s="2" t="s">
        <v>76</v>
      </c>
      <c r="K1723" s="2" t="s">
        <v>77</v>
      </c>
      <c r="L1723" s="2" t="s">
        <v>105</v>
      </c>
      <c r="M1723" s="2" t="s">
        <v>106</v>
      </c>
      <c r="N1723" s="2" t="s">
        <v>1851</v>
      </c>
      <c r="O1723" s="2" t="s">
        <v>100</v>
      </c>
      <c r="P1723" s="2" t="str">
        <f>"2170584671                    "</f>
        <v xml:space="preserve">2170584671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4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1</v>
      </c>
      <c r="BJ1723" s="2">
        <v>0.2</v>
      </c>
      <c r="BK1723" s="2">
        <v>1</v>
      </c>
      <c r="BL1723" s="2">
        <v>41.44</v>
      </c>
      <c r="BM1723" s="2">
        <v>5.8</v>
      </c>
      <c r="BN1723" s="2">
        <v>47.24</v>
      </c>
      <c r="BO1723" s="2">
        <v>47.24</v>
      </c>
      <c r="BP1723" s="2"/>
      <c r="BQ1723" s="2" t="s">
        <v>83</v>
      </c>
      <c r="BR1723" s="2" t="s">
        <v>84</v>
      </c>
      <c r="BS1723" s="3">
        <v>42964</v>
      </c>
      <c r="BT1723" s="4">
        <v>0.35972222222222222</v>
      </c>
      <c r="BU1723" s="2" t="s">
        <v>1256</v>
      </c>
      <c r="BV1723" s="2" t="s">
        <v>95</v>
      </c>
      <c r="BW1723" s="2"/>
      <c r="BX1723" s="2"/>
      <c r="BY1723" s="2">
        <v>1200</v>
      </c>
      <c r="BZ1723" s="2" t="s">
        <v>27</v>
      </c>
      <c r="CA1723" s="2" t="s">
        <v>302</v>
      </c>
      <c r="CB1723" s="2"/>
      <c r="CC1723" s="2" t="s">
        <v>106</v>
      </c>
      <c r="CD1723" s="2">
        <v>7530</v>
      </c>
      <c r="CE1723" s="2" t="s">
        <v>104</v>
      </c>
      <c r="CF1723" s="5">
        <v>42965</v>
      </c>
      <c r="CG1723" s="2"/>
      <c r="CH1723" s="2"/>
      <c r="CI1723" s="2">
        <v>1</v>
      </c>
      <c r="CJ1723" s="2">
        <v>1</v>
      </c>
      <c r="CK1723" s="2">
        <v>21</v>
      </c>
      <c r="CL1723" s="2" t="s">
        <v>86</v>
      </c>
      <c r="CM1723" s="2"/>
    </row>
    <row r="1724" spans="1:91">
      <c r="A1724" s="2" t="s">
        <v>71</v>
      </c>
      <c r="B1724" s="2" t="s">
        <v>72</v>
      </c>
      <c r="C1724" s="2" t="s">
        <v>73</v>
      </c>
      <c r="D1724" s="2"/>
      <c r="E1724" s="2" t="str">
        <f>"FES1162569116"</f>
        <v>FES1162569116</v>
      </c>
      <c r="F1724" s="3">
        <v>42963</v>
      </c>
      <c r="G1724" s="2">
        <v>201802</v>
      </c>
      <c r="H1724" s="2" t="s">
        <v>74</v>
      </c>
      <c r="I1724" s="2" t="s">
        <v>75</v>
      </c>
      <c r="J1724" s="2" t="s">
        <v>76</v>
      </c>
      <c r="K1724" s="2" t="s">
        <v>77</v>
      </c>
      <c r="L1724" s="2" t="s">
        <v>362</v>
      </c>
      <c r="M1724" s="2" t="s">
        <v>363</v>
      </c>
      <c r="N1724" s="2" t="s">
        <v>683</v>
      </c>
      <c r="O1724" s="2" t="s">
        <v>100</v>
      </c>
      <c r="P1724" s="2" t="str">
        <f>"2170585114                    "</f>
        <v xml:space="preserve">2170585114                    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4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1</v>
      </c>
      <c r="BJ1724" s="2">
        <v>0.2</v>
      </c>
      <c r="BK1724" s="2">
        <v>1</v>
      </c>
      <c r="BL1724" s="2">
        <v>41.44</v>
      </c>
      <c r="BM1724" s="2">
        <v>5.8</v>
      </c>
      <c r="BN1724" s="2">
        <v>47.24</v>
      </c>
      <c r="BO1724" s="2">
        <v>47.24</v>
      </c>
      <c r="BP1724" s="2"/>
      <c r="BQ1724" s="2" t="s">
        <v>108</v>
      </c>
      <c r="BR1724" s="2" t="s">
        <v>84</v>
      </c>
      <c r="BS1724" s="3">
        <v>42964</v>
      </c>
      <c r="BT1724" s="4">
        <v>0.41944444444444445</v>
      </c>
      <c r="BU1724" s="2" t="s">
        <v>684</v>
      </c>
      <c r="BV1724" s="2" t="s">
        <v>95</v>
      </c>
      <c r="BW1724" s="2"/>
      <c r="BX1724" s="2"/>
      <c r="BY1724" s="2">
        <v>1200</v>
      </c>
      <c r="BZ1724" s="2" t="s">
        <v>27</v>
      </c>
      <c r="CA1724" s="2" t="s">
        <v>685</v>
      </c>
      <c r="CB1724" s="2"/>
      <c r="CC1724" s="2" t="s">
        <v>363</v>
      </c>
      <c r="CD1724" s="2">
        <v>3201</v>
      </c>
      <c r="CE1724" s="2" t="s">
        <v>104</v>
      </c>
      <c r="CF1724" s="5">
        <v>42965</v>
      </c>
      <c r="CG1724" s="2"/>
      <c r="CH1724" s="2"/>
      <c r="CI1724" s="2">
        <v>1</v>
      </c>
      <c r="CJ1724" s="2">
        <v>1</v>
      </c>
      <c r="CK1724" s="2">
        <v>21</v>
      </c>
      <c r="CL1724" s="2" t="s">
        <v>86</v>
      </c>
      <c r="CM1724" s="2"/>
    </row>
    <row r="1725" spans="1:91">
      <c r="A1725" s="2" t="s">
        <v>71</v>
      </c>
      <c r="B1725" s="2" t="s">
        <v>72</v>
      </c>
      <c r="C1725" s="2" t="s">
        <v>73</v>
      </c>
      <c r="D1725" s="2"/>
      <c r="E1725" s="2" t="str">
        <f>"FES1162569252"</f>
        <v>FES1162569252</v>
      </c>
      <c r="F1725" s="3">
        <v>42963</v>
      </c>
      <c r="G1725" s="2">
        <v>201802</v>
      </c>
      <c r="H1725" s="2" t="s">
        <v>74</v>
      </c>
      <c r="I1725" s="2" t="s">
        <v>75</v>
      </c>
      <c r="J1725" s="2" t="s">
        <v>76</v>
      </c>
      <c r="K1725" s="2" t="s">
        <v>77</v>
      </c>
      <c r="L1725" s="2" t="s">
        <v>164</v>
      </c>
      <c r="M1725" s="2" t="s">
        <v>165</v>
      </c>
      <c r="N1725" s="2" t="s">
        <v>166</v>
      </c>
      <c r="O1725" s="2" t="s">
        <v>100</v>
      </c>
      <c r="P1725" s="2" t="str">
        <f>"2170584213                    "</f>
        <v xml:space="preserve">2170584213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4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1</v>
      </c>
      <c r="BJ1725" s="2">
        <v>0.2</v>
      </c>
      <c r="BK1725" s="2">
        <v>1</v>
      </c>
      <c r="BL1725" s="2">
        <v>41.44</v>
      </c>
      <c r="BM1725" s="2">
        <v>5.8</v>
      </c>
      <c r="BN1725" s="2">
        <v>47.24</v>
      </c>
      <c r="BO1725" s="2">
        <v>47.24</v>
      </c>
      <c r="BP1725" s="2"/>
      <c r="BQ1725" s="2" t="s">
        <v>83</v>
      </c>
      <c r="BR1725" s="2" t="s">
        <v>84</v>
      </c>
      <c r="BS1725" s="3">
        <v>42964</v>
      </c>
      <c r="BT1725" s="4">
        <v>0.41666666666666669</v>
      </c>
      <c r="BU1725" s="2" t="s">
        <v>2391</v>
      </c>
      <c r="BV1725" s="2" t="s">
        <v>95</v>
      </c>
      <c r="BW1725" s="2"/>
      <c r="BX1725" s="2"/>
      <c r="BY1725" s="2">
        <v>1200</v>
      </c>
      <c r="BZ1725" s="2" t="s">
        <v>27</v>
      </c>
      <c r="CA1725" s="2"/>
      <c r="CB1725" s="2"/>
      <c r="CC1725" s="2" t="s">
        <v>165</v>
      </c>
      <c r="CD1725" s="2">
        <v>6849</v>
      </c>
      <c r="CE1725" s="2" t="s">
        <v>104</v>
      </c>
      <c r="CF1725" s="5">
        <v>42965</v>
      </c>
      <c r="CG1725" s="2"/>
      <c r="CH1725" s="2"/>
      <c r="CI1725" s="2">
        <v>3</v>
      </c>
      <c r="CJ1725" s="2">
        <v>1</v>
      </c>
      <c r="CK1725" s="2">
        <v>21</v>
      </c>
      <c r="CL1725" s="2" t="s">
        <v>86</v>
      </c>
      <c r="CM1725" s="2"/>
    </row>
    <row r="1726" spans="1:91">
      <c r="A1726" s="2" t="s">
        <v>71</v>
      </c>
      <c r="B1726" s="2" t="s">
        <v>72</v>
      </c>
      <c r="C1726" s="2" t="s">
        <v>73</v>
      </c>
      <c r="D1726" s="2"/>
      <c r="E1726" s="2" t="str">
        <f>"FES1162569206"</f>
        <v>FES1162569206</v>
      </c>
      <c r="F1726" s="3">
        <v>42963</v>
      </c>
      <c r="G1726" s="2">
        <v>201802</v>
      </c>
      <c r="H1726" s="2" t="s">
        <v>74</v>
      </c>
      <c r="I1726" s="2" t="s">
        <v>75</v>
      </c>
      <c r="J1726" s="2" t="s">
        <v>76</v>
      </c>
      <c r="K1726" s="2" t="s">
        <v>77</v>
      </c>
      <c r="L1726" s="2" t="s">
        <v>216</v>
      </c>
      <c r="M1726" s="2" t="s">
        <v>217</v>
      </c>
      <c r="N1726" s="2" t="s">
        <v>479</v>
      </c>
      <c r="O1726" s="2" t="s">
        <v>100</v>
      </c>
      <c r="P1726" s="2" t="str">
        <f>"2170579972                    "</f>
        <v xml:space="preserve">2170579972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3.13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1</v>
      </c>
      <c r="BJ1726" s="2">
        <v>0.2</v>
      </c>
      <c r="BK1726" s="2">
        <v>1</v>
      </c>
      <c r="BL1726" s="2">
        <v>32.380000000000003</v>
      </c>
      <c r="BM1726" s="2">
        <v>4.53</v>
      </c>
      <c r="BN1726" s="2">
        <v>36.909999999999997</v>
      </c>
      <c r="BO1726" s="2">
        <v>36.909999999999997</v>
      </c>
      <c r="BP1726" s="2"/>
      <c r="BQ1726" s="2" t="s">
        <v>480</v>
      </c>
      <c r="BR1726" s="2" t="s">
        <v>84</v>
      </c>
      <c r="BS1726" s="3">
        <v>42964</v>
      </c>
      <c r="BT1726" s="4">
        <v>0.31944444444444448</v>
      </c>
      <c r="BU1726" s="2" t="s">
        <v>2392</v>
      </c>
      <c r="BV1726" s="2" t="s">
        <v>95</v>
      </c>
      <c r="BW1726" s="2"/>
      <c r="BX1726" s="2"/>
      <c r="BY1726" s="2">
        <v>1200</v>
      </c>
      <c r="BZ1726" s="2" t="s">
        <v>27</v>
      </c>
      <c r="CA1726" s="2"/>
      <c r="CB1726" s="2"/>
      <c r="CC1726" s="2" t="s">
        <v>217</v>
      </c>
      <c r="CD1726" s="2">
        <v>1451</v>
      </c>
      <c r="CE1726" s="2" t="s">
        <v>104</v>
      </c>
      <c r="CF1726" s="5">
        <v>42965</v>
      </c>
      <c r="CG1726" s="2"/>
      <c r="CH1726" s="2"/>
      <c r="CI1726" s="2">
        <v>1</v>
      </c>
      <c r="CJ1726" s="2">
        <v>1</v>
      </c>
      <c r="CK1726" s="2">
        <v>22</v>
      </c>
      <c r="CL1726" s="2" t="s">
        <v>86</v>
      </c>
      <c r="CM1726" s="2"/>
    </row>
    <row r="1727" spans="1:91">
      <c r="A1727" s="2" t="s">
        <v>71</v>
      </c>
      <c r="B1727" s="2" t="s">
        <v>72</v>
      </c>
      <c r="C1727" s="2" t="s">
        <v>73</v>
      </c>
      <c r="D1727" s="2"/>
      <c r="E1727" s="2" t="str">
        <f>"FES1162569144"</f>
        <v>FES1162569144</v>
      </c>
      <c r="F1727" s="3">
        <v>42963</v>
      </c>
      <c r="G1727" s="2">
        <v>201802</v>
      </c>
      <c r="H1727" s="2" t="s">
        <v>74</v>
      </c>
      <c r="I1727" s="2" t="s">
        <v>75</v>
      </c>
      <c r="J1727" s="2" t="s">
        <v>76</v>
      </c>
      <c r="K1727" s="2" t="s">
        <v>77</v>
      </c>
      <c r="L1727" s="2" t="s">
        <v>206</v>
      </c>
      <c r="M1727" s="2" t="s">
        <v>207</v>
      </c>
      <c r="N1727" s="2" t="s">
        <v>650</v>
      </c>
      <c r="O1727" s="2" t="s">
        <v>100</v>
      </c>
      <c r="P1727" s="2" t="str">
        <f>"2170582571                    "</f>
        <v xml:space="preserve">2170582571 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5.63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1</v>
      </c>
      <c r="BJ1727" s="2">
        <v>0.2</v>
      </c>
      <c r="BK1727" s="2">
        <v>1</v>
      </c>
      <c r="BL1727" s="2">
        <v>58.28</v>
      </c>
      <c r="BM1727" s="2">
        <v>8.16</v>
      </c>
      <c r="BN1727" s="2">
        <v>66.44</v>
      </c>
      <c r="BO1727" s="2">
        <v>66.44</v>
      </c>
      <c r="BP1727" s="2"/>
      <c r="BQ1727" s="2" t="s">
        <v>108</v>
      </c>
      <c r="BR1727" s="2" t="s">
        <v>84</v>
      </c>
      <c r="BS1727" s="3">
        <v>42964</v>
      </c>
      <c r="BT1727" s="4">
        <v>0.53472222222222221</v>
      </c>
      <c r="BU1727" s="2" t="s">
        <v>651</v>
      </c>
      <c r="BV1727" s="2" t="s">
        <v>95</v>
      </c>
      <c r="BW1727" s="2"/>
      <c r="BX1727" s="2"/>
      <c r="BY1727" s="2">
        <v>1200</v>
      </c>
      <c r="BZ1727" s="2" t="s">
        <v>27</v>
      </c>
      <c r="CA1727" s="2" t="s">
        <v>640</v>
      </c>
      <c r="CB1727" s="2"/>
      <c r="CC1727" s="2" t="s">
        <v>207</v>
      </c>
      <c r="CD1727" s="2">
        <v>250</v>
      </c>
      <c r="CE1727" s="2" t="s">
        <v>104</v>
      </c>
      <c r="CF1727" s="5">
        <v>42968</v>
      </c>
      <c r="CG1727" s="2"/>
      <c r="CH1727" s="2"/>
      <c r="CI1727" s="2">
        <v>1</v>
      </c>
      <c r="CJ1727" s="2">
        <v>1</v>
      </c>
      <c r="CK1727" s="2">
        <v>24</v>
      </c>
      <c r="CL1727" s="2" t="s">
        <v>86</v>
      </c>
      <c r="CM1727" s="2"/>
    </row>
    <row r="1728" spans="1:91">
      <c r="A1728" s="2" t="s">
        <v>71</v>
      </c>
      <c r="B1728" s="2" t="s">
        <v>72</v>
      </c>
      <c r="C1728" s="2" t="s">
        <v>73</v>
      </c>
      <c r="D1728" s="2"/>
      <c r="E1728" s="2" t="str">
        <f>"FES1162569295"</f>
        <v>FES1162569295</v>
      </c>
      <c r="F1728" s="3">
        <v>42963</v>
      </c>
      <c r="G1728" s="2">
        <v>201802</v>
      </c>
      <c r="H1728" s="2" t="s">
        <v>74</v>
      </c>
      <c r="I1728" s="2" t="s">
        <v>75</v>
      </c>
      <c r="J1728" s="2" t="s">
        <v>76</v>
      </c>
      <c r="K1728" s="2" t="s">
        <v>77</v>
      </c>
      <c r="L1728" s="2" t="s">
        <v>97</v>
      </c>
      <c r="M1728" s="2" t="s">
        <v>98</v>
      </c>
      <c r="N1728" s="2" t="s">
        <v>248</v>
      </c>
      <c r="O1728" s="2" t="s">
        <v>100</v>
      </c>
      <c r="P1728" s="2" t="str">
        <f>"2170582718                    "</f>
        <v xml:space="preserve">2170582718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4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1</v>
      </c>
      <c r="BJ1728" s="2">
        <v>0.2</v>
      </c>
      <c r="BK1728" s="2">
        <v>1</v>
      </c>
      <c r="BL1728" s="2">
        <v>41.44</v>
      </c>
      <c r="BM1728" s="2">
        <v>5.8</v>
      </c>
      <c r="BN1728" s="2">
        <v>47.24</v>
      </c>
      <c r="BO1728" s="2">
        <v>47.24</v>
      </c>
      <c r="BP1728" s="2"/>
      <c r="BQ1728" s="2" t="s">
        <v>83</v>
      </c>
      <c r="BR1728" s="2" t="s">
        <v>84</v>
      </c>
      <c r="BS1728" s="3">
        <v>42964</v>
      </c>
      <c r="BT1728" s="4">
        <v>0.34722222222222227</v>
      </c>
      <c r="BU1728" s="2" t="s">
        <v>1130</v>
      </c>
      <c r="BV1728" s="2" t="s">
        <v>95</v>
      </c>
      <c r="BW1728" s="2"/>
      <c r="BX1728" s="2"/>
      <c r="BY1728" s="2">
        <v>1200</v>
      </c>
      <c r="BZ1728" s="2" t="s">
        <v>27</v>
      </c>
      <c r="CA1728" s="2" t="s">
        <v>804</v>
      </c>
      <c r="CB1728" s="2"/>
      <c r="CC1728" s="2" t="s">
        <v>98</v>
      </c>
      <c r="CD1728" s="2">
        <v>6001</v>
      </c>
      <c r="CE1728" s="2" t="s">
        <v>104</v>
      </c>
      <c r="CF1728" s="5">
        <v>42965</v>
      </c>
      <c r="CG1728" s="2"/>
      <c r="CH1728" s="2"/>
      <c r="CI1728" s="2">
        <v>1</v>
      </c>
      <c r="CJ1728" s="2">
        <v>1</v>
      </c>
      <c r="CK1728" s="2">
        <v>21</v>
      </c>
      <c r="CL1728" s="2" t="s">
        <v>86</v>
      </c>
      <c r="CM1728" s="2"/>
    </row>
    <row r="1729" spans="1:91">
      <c r="A1729" s="2" t="s">
        <v>71</v>
      </c>
      <c r="B1729" s="2" t="s">
        <v>72</v>
      </c>
      <c r="C1729" s="2" t="s">
        <v>73</v>
      </c>
      <c r="D1729" s="2"/>
      <c r="E1729" s="2" t="str">
        <f>"FES1162569185"</f>
        <v>FES1162569185</v>
      </c>
      <c r="F1729" s="3">
        <v>42963</v>
      </c>
      <c r="G1729" s="2">
        <v>201802</v>
      </c>
      <c r="H1729" s="2" t="s">
        <v>74</v>
      </c>
      <c r="I1729" s="2" t="s">
        <v>75</v>
      </c>
      <c r="J1729" s="2" t="s">
        <v>76</v>
      </c>
      <c r="K1729" s="2" t="s">
        <v>77</v>
      </c>
      <c r="L1729" s="2" t="s">
        <v>470</v>
      </c>
      <c r="M1729" s="2" t="s">
        <v>471</v>
      </c>
      <c r="N1729" s="2" t="s">
        <v>2209</v>
      </c>
      <c r="O1729" s="2" t="s">
        <v>100</v>
      </c>
      <c r="P1729" s="2" t="str">
        <f>"2170584995                    "</f>
        <v xml:space="preserve">2170584995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4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1</v>
      </c>
      <c r="BJ1729" s="2">
        <v>0.2</v>
      </c>
      <c r="BK1729" s="2">
        <v>1</v>
      </c>
      <c r="BL1729" s="2">
        <v>41.44</v>
      </c>
      <c r="BM1729" s="2">
        <v>5.8</v>
      </c>
      <c r="BN1729" s="2">
        <v>47.24</v>
      </c>
      <c r="BO1729" s="2">
        <v>47.24</v>
      </c>
      <c r="BP1729" s="2"/>
      <c r="BQ1729" s="2" t="s">
        <v>2393</v>
      </c>
      <c r="BR1729" s="2" t="s">
        <v>84</v>
      </c>
      <c r="BS1729" s="3">
        <v>42964</v>
      </c>
      <c r="BT1729" s="4">
        <v>0.35555555555555557</v>
      </c>
      <c r="BU1729" s="2" t="s">
        <v>2394</v>
      </c>
      <c r="BV1729" s="2" t="s">
        <v>95</v>
      </c>
      <c r="BW1729" s="2"/>
      <c r="BX1729" s="2"/>
      <c r="BY1729" s="2">
        <v>1200</v>
      </c>
      <c r="BZ1729" s="2" t="s">
        <v>27</v>
      </c>
      <c r="CA1729" s="2" t="s">
        <v>703</v>
      </c>
      <c r="CB1729" s="2"/>
      <c r="CC1729" s="2" t="s">
        <v>471</v>
      </c>
      <c r="CD1729" s="2">
        <v>1900</v>
      </c>
      <c r="CE1729" s="2" t="s">
        <v>104</v>
      </c>
      <c r="CF1729" s="5">
        <v>42965</v>
      </c>
      <c r="CG1729" s="2"/>
      <c r="CH1729" s="2"/>
      <c r="CI1729" s="2">
        <v>1</v>
      </c>
      <c r="CJ1729" s="2">
        <v>1</v>
      </c>
      <c r="CK1729" s="2">
        <v>21</v>
      </c>
      <c r="CL1729" s="2" t="s">
        <v>86</v>
      </c>
      <c r="CM1729" s="2"/>
    </row>
    <row r="1730" spans="1:91">
      <c r="A1730" s="2" t="s">
        <v>71</v>
      </c>
      <c r="B1730" s="2" t="s">
        <v>72</v>
      </c>
      <c r="C1730" s="2" t="s">
        <v>73</v>
      </c>
      <c r="D1730" s="2"/>
      <c r="E1730" s="2" t="str">
        <f>"FES1162569140"</f>
        <v>FES1162569140</v>
      </c>
      <c r="F1730" s="3">
        <v>42963</v>
      </c>
      <c r="G1730" s="2">
        <v>201802</v>
      </c>
      <c r="H1730" s="2" t="s">
        <v>74</v>
      </c>
      <c r="I1730" s="2" t="s">
        <v>75</v>
      </c>
      <c r="J1730" s="2" t="s">
        <v>76</v>
      </c>
      <c r="K1730" s="2" t="s">
        <v>77</v>
      </c>
      <c r="L1730" s="2" t="s">
        <v>510</v>
      </c>
      <c r="M1730" s="2" t="s">
        <v>511</v>
      </c>
      <c r="N1730" s="2" t="s">
        <v>583</v>
      </c>
      <c r="O1730" s="2" t="s">
        <v>100</v>
      </c>
      <c r="P1730" s="2" t="str">
        <f>"2170580134                    "</f>
        <v xml:space="preserve">2170580134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5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0.8</v>
      </c>
      <c r="BJ1730" s="2">
        <v>2.5</v>
      </c>
      <c r="BK1730" s="2">
        <v>2.5</v>
      </c>
      <c r="BL1730" s="2">
        <v>51.8</v>
      </c>
      <c r="BM1730" s="2">
        <v>7.25</v>
      </c>
      <c r="BN1730" s="2">
        <v>59.05</v>
      </c>
      <c r="BO1730" s="2">
        <v>59.05</v>
      </c>
      <c r="BP1730" s="2"/>
      <c r="BQ1730" s="2" t="s">
        <v>108</v>
      </c>
      <c r="BR1730" s="2" t="s">
        <v>84</v>
      </c>
      <c r="BS1730" s="3">
        <v>42964</v>
      </c>
      <c r="BT1730" s="4">
        <v>0.31666666666666665</v>
      </c>
      <c r="BU1730" s="2" t="s">
        <v>2395</v>
      </c>
      <c r="BV1730" s="2" t="s">
        <v>95</v>
      </c>
      <c r="BW1730" s="2"/>
      <c r="BX1730" s="2"/>
      <c r="BY1730" s="2">
        <v>12367.14</v>
      </c>
      <c r="BZ1730" s="2" t="s">
        <v>27</v>
      </c>
      <c r="CA1730" s="2" t="s">
        <v>514</v>
      </c>
      <c r="CB1730" s="2"/>
      <c r="CC1730" s="2" t="s">
        <v>511</v>
      </c>
      <c r="CD1730" s="2">
        <v>6229</v>
      </c>
      <c r="CE1730" s="2" t="s">
        <v>104</v>
      </c>
      <c r="CF1730" s="5">
        <v>42965</v>
      </c>
      <c r="CG1730" s="2"/>
      <c r="CH1730" s="2"/>
      <c r="CI1730" s="2">
        <v>1</v>
      </c>
      <c r="CJ1730" s="2">
        <v>1</v>
      </c>
      <c r="CK1730" s="2">
        <v>21</v>
      </c>
      <c r="CL1730" s="2" t="s">
        <v>86</v>
      </c>
      <c r="CM1730" s="2"/>
    </row>
    <row r="1731" spans="1:91">
      <c r="A1731" s="2" t="s">
        <v>71</v>
      </c>
      <c r="B1731" s="2" t="s">
        <v>72</v>
      </c>
      <c r="C1731" s="2" t="s">
        <v>73</v>
      </c>
      <c r="D1731" s="2"/>
      <c r="E1731" s="2" t="str">
        <f>"FES1162568675"</f>
        <v>FES1162568675</v>
      </c>
      <c r="F1731" s="3">
        <v>42961</v>
      </c>
      <c r="G1731" s="2">
        <v>201802</v>
      </c>
      <c r="H1731" s="2" t="s">
        <v>74</v>
      </c>
      <c r="I1731" s="2" t="s">
        <v>75</v>
      </c>
      <c r="J1731" s="2" t="s">
        <v>76</v>
      </c>
      <c r="K1731" s="2" t="s">
        <v>77</v>
      </c>
      <c r="L1731" s="2" t="s">
        <v>105</v>
      </c>
      <c r="M1731" s="2" t="s">
        <v>106</v>
      </c>
      <c r="N1731" s="2" t="s">
        <v>534</v>
      </c>
      <c r="O1731" s="2" t="s">
        <v>100</v>
      </c>
      <c r="P1731" s="2" t="str">
        <f>"2170584705                    "</f>
        <v xml:space="preserve">2170584705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142.08000000000001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3</v>
      </c>
      <c r="BI1731" s="2">
        <v>70.900000000000006</v>
      </c>
      <c r="BJ1731" s="2">
        <v>44.6</v>
      </c>
      <c r="BK1731" s="2">
        <v>71</v>
      </c>
      <c r="BL1731" s="2">
        <v>1471.2</v>
      </c>
      <c r="BM1731" s="2">
        <v>205.97</v>
      </c>
      <c r="BN1731" s="2">
        <v>1677.17</v>
      </c>
      <c r="BO1731" s="2">
        <v>1677.17</v>
      </c>
      <c r="BP1731" s="2" t="s">
        <v>2396</v>
      </c>
      <c r="BQ1731" s="2" t="s">
        <v>2397</v>
      </c>
      <c r="BR1731" s="2" t="s">
        <v>84</v>
      </c>
      <c r="BS1731" s="3">
        <v>42962</v>
      </c>
      <c r="BT1731" s="4">
        <v>0.40625</v>
      </c>
      <c r="BU1731" s="2" t="s">
        <v>2398</v>
      </c>
      <c r="BV1731" s="2" t="s">
        <v>95</v>
      </c>
      <c r="BW1731" s="2"/>
      <c r="BX1731" s="2"/>
      <c r="BY1731" s="2">
        <v>222776.56</v>
      </c>
      <c r="BZ1731" s="2" t="s">
        <v>27</v>
      </c>
      <c r="CA1731" s="2" t="s">
        <v>112</v>
      </c>
      <c r="CB1731" s="2"/>
      <c r="CC1731" s="2" t="s">
        <v>106</v>
      </c>
      <c r="CD1731" s="2">
        <v>7405</v>
      </c>
      <c r="CE1731" s="2" t="s">
        <v>89</v>
      </c>
      <c r="CF1731" s="5">
        <v>42963</v>
      </c>
      <c r="CG1731" s="2"/>
      <c r="CH1731" s="2"/>
      <c r="CI1731" s="2">
        <v>1</v>
      </c>
      <c r="CJ1731" s="2">
        <v>1</v>
      </c>
      <c r="CK1731" s="2">
        <v>21</v>
      </c>
      <c r="CL1731" s="2" t="s">
        <v>86</v>
      </c>
      <c r="CM1731" s="2"/>
    </row>
    <row r="1732" spans="1:91">
      <c r="A1732" s="2" t="s">
        <v>71</v>
      </c>
      <c r="B1732" s="2" t="s">
        <v>72</v>
      </c>
      <c r="C1732" s="2" t="s">
        <v>73</v>
      </c>
      <c r="D1732" s="2"/>
      <c r="E1732" s="2" t="str">
        <f>"FES1162569169"</f>
        <v>FES1162569169</v>
      </c>
      <c r="F1732" s="3">
        <v>42963</v>
      </c>
      <c r="G1732" s="2">
        <v>201802</v>
      </c>
      <c r="H1732" s="2" t="s">
        <v>74</v>
      </c>
      <c r="I1732" s="2" t="s">
        <v>75</v>
      </c>
      <c r="J1732" s="2" t="s">
        <v>76</v>
      </c>
      <c r="K1732" s="2" t="s">
        <v>77</v>
      </c>
      <c r="L1732" s="2" t="s">
        <v>268</v>
      </c>
      <c r="M1732" s="2" t="s">
        <v>269</v>
      </c>
      <c r="N1732" s="2" t="s">
        <v>351</v>
      </c>
      <c r="O1732" s="2" t="s">
        <v>100</v>
      </c>
      <c r="P1732" s="2" t="str">
        <f>"2170584105                    "</f>
        <v xml:space="preserve">2170584105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4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1</v>
      </c>
      <c r="BI1732" s="2">
        <v>1</v>
      </c>
      <c r="BJ1732" s="2">
        <v>0.2</v>
      </c>
      <c r="BK1732" s="2">
        <v>1</v>
      </c>
      <c r="BL1732" s="2">
        <v>41.44</v>
      </c>
      <c r="BM1732" s="2">
        <v>5.8</v>
      </c>
      <c r="BN1732" s="2">
        <v>47.24</v>
      </c>
      <c r="BO1732" s="2">
        <v>47.24</v>
      </c>
      <c r="BP1732" s="2"/>
      <c r="BQ1732" s="2" t="s">
        <v>108</v>
      </c>
      <c r="BR1732" s="2" t="s">
        <v>84</v>
      </c>
      <c r="BS1732" s="3">
        <v>42964</v>
      </c>
      <c r="BT1732" s="4">
        <v>0.4284722222222222</v>
      </c>
      <c r="BU1732" s="2" t="s">
        <v>85</v>
      </c>
      <c r="BV1732" s="2" t="s">
        <v>95</v>
      </c>
      <c r="BW1732" s="2"/>
      <c r="BX1732" s="2"/>
      <c r="BY1732" s="2">
        <v>1200</v>
      </c>
      <c r="BZ1732" s="2" t="s">
        <v>27</v>
      </c>
      <c r="CA1732" s="2"/>
      <c r="CB1732" s="2"/>
      <c r="CC1732" s="2" t="s">
        <v>269</v>
      </c>
      <c r="CD1732" s="2">
        <v>200</v>
      </c>
      <c r="CE1732" s="2" t="s">
        <v>104</v>
      </c>
      <c r="CF1732" s="5">
        <v>42965</v>
      </c>
      <c r="CG1732" s="2"/>
      <c r="CH1732" s="2"/>
      <c r="CI1732" s="2">
        <v>1</v>
      </c>
      <c r="CJ1732" s="2">
        <v>1</v>
      </c>
      <c r="CK1732" s="2">
        <v>21</v>
      </c>
      <c r="CL1732" s="2" t="s">
        <v>86</v>
      </c>
      <c r="CM1732" s="2"/>
    </row>
    <row r="1733" spans="1:91">
      <c r="A1733" s="2" t="s">
        <v>71</v>
      </c>
      <c r="B1733" s="2" t="s">
        <v>72</v>
      </c>
      <c r="C1733" s="2" t="s">
        <v>73</v>
      </c>
      <c r="D1733" s="2"/>
      <c r="E1733" s="2" t="str">
        <f>"FES1162569293"</f>
        <v>FES1162569293</v>
      </c>
      <c r="F1733" s="3">
        <v>42963</v>
      </c>
      <c r="G1733" s="2">
        <v>201802</v>
      </c>
      <c r="H1733" s="2" t="s">
        <v>74</v>
      </c>
      <c r="I1733" s="2" t="s">
        <v>75</v>
      </c>
      <c r="J1733" s="2" t="s">
        <v>76</v>
      </c>
      <c r="K1733" s="2" t="s">
        <v>77</v>
      </c>
      <c r="L1733" s="2" t="s">
        <v>268</v>
      </c>
      <c r="M1733" s="2" t="s">
        <v>269</v>
      </c>
      <c r="N1733" s="2" t="s">
        <v>493</v>
      </c>
      <c r="O1733" s="2" t="s">
        <v>100</v>
      </c>
      <c r="P1733" s="2" t="str">
        <f>"2170582690                    "</f>
        <v xml:space="preserve">2170582690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4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1</v>
      </c>
      <c r="BJ1733" s="2">
        <v>0.2</v>
      </c>
      <c r="BK1733" s="2">
        <v>1</v>
      </c>
      <c r="BL1733" s="2">
        <v>41.44</v>
      </c>
      <c r="BM1733" s="2">
        <v>5.8</v>
      </c>
      <c r="BN1733" s="2">
        <v>47.24</v>
      </c>
      <c r="BO1733" s="2">
        <v>47.24</v>
      </c>
      <c r="BP1733" s="2"/>
      <c r="BQ1733" s="2" t="s">
        <v>494</v>
      </c>
      <c r="BR1733" s="2" t="s">
        <v>84</v>
      </c>
      <c r="BS1733" s="3">
        <v>42964</v>
      </c>
      <c r="BT1733" s="4">
        <v>0.41666666666666669</v>
      </c>
      <c r="BU1733" s="2" t="s">
        <v>2399</v>
      </c>
      <c r="BV1733" s="2" t="s">
        <v>95</v>
      </c>
      <c r="BW1733" s="2"/>
      <c r="BX1733" s="2"/>
      <c r="BY1733" s="2">
        <v>1200</v>
      </c>
      <c r="BZ1733" s="2" t="s">
        <v>27</v>
      </c>
      <c r="CA1733" s="2"/>
      <c r="CB1733" s="2"/>
      <c r="CC1733" s="2" t="s">
        <v>269</v>
      </c>
      <c r="CD1733" s="2">
        <v>200</v>
      </c>
      <c r="CE1733" s="2" t="s">
        <v>104</v>
      </c>
      <c r="CF1733" s="5">
        <v>42965</v>
      </c>
      <c r="CG1733" s="2"/>
      <c r="CH1733" s="2"/>
      <c r="CI1733" s="2">
        <v>1</v>
      </c>
      <c r="CJ1733" s="2">
        <v>1</v>
      </c>
      <c r="CK1733" s="2">
        <v>21</v>
      </c>
      <c r="CL1733" s="2" t="s">
        <v>86</v>
      </c>
      <c r="CM1733" s="2"/>
    </row>
    <row r="1734" spans="1:91">
      <c r="A1734" s="2" t="s">
        <v>71</v>
      </c>
      <c r="B1734" s="2" t="s">
        <v>72</v>
      </c>
      <c r="C1734" s="2" t="s">
        <v>73</v>
      </c>
      <c r="D1734" s="2"/>
      <c r="E1734" s="2" t="str">
        <f>"FES1162569345"</f>
        <v>FES1162569345</v>
      </c>
      <c r="F1734" s="3">
        <v>42963</v>
      </c>
      <c r="G1734" s="2">
        <v>201802</v>
      </c>
      <c r="H1734" s="2" t="s">
        <v>74</v>
      </c>
      <c r="I1734" s="2" t="s">
        <v>75</v>
      </c>
      <c r="J1734" s="2" t="s">
        <v>76</v>
      </c>
      <c r="K1734" s="2" t="s">
        <v>77</v>
      </c>
      <c r="L1734" s="2" t="s">
        <v>417</v>
      </c>
      <c r="M1734" s="2" t="s">
        <v>417</v>
      </c>
      <c r="N1734" s="2" t="s">
        <v>475</v>
      </c>
      <c r="O1734" s="2" t="s">
        <v>100</v>
      </c>
      <c r="P1734" s="2" t="str">
        <f>"2170575868                    "</f>
        <v xml:space="preserve">2170575868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6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2.6</v>
      </c>
      <c r="BJ1734" s="2">
        <v>0.9</v>
      </c>
      <c r="BK1734" s="2">
        <v>3</v>
      </c>
      <c r="BL1734" s="2">
        <v>62.16</v>
      </c>
      <c r="BM1734" s="2">
        <v>8.6999999999999993</v>
      </c>
      <c r="BN1734" s="2">
        <v>70.86</v>
      </c>
      <c r="BO1734" s="2">
        <v>70.86</v>
      </c>
      <c r="BP1734" s="2"/>
      <c r="BQ1734" s="2" t="s">
        <v>108</v>
      </c>
      <c r="BR1734" s="2" t="s">
        <v>84</v>
      </c>
      <c r="BS1734" s="3">
        <v>42964</v>
      </c>
      <c r="BT1734" s="4">
        <v>0.42708333333333331</v>
      </c>
      <c r="BU1734" s="2" t="s">
        <v>509</v>
      </c>
      <c r="BV1734" s="2" t="s">
        <v>95</v>
      </c>
      <c r="BW1734" s="2"/>
      <c r="BX1734" s="2"/>
      <c r="BY1734" s="2">
        <v>4429.74</v>
      </c>
      <c r="BZ1734" s="2" t="s">
        <v>27</v>
      </c>
      <c r="CA1734" s="2" t="s">
        <v>460</v>
      </c>
      <c r="CB1734" s="2"/>
      <c r="CC1734" s="2" t="s">
        <v>417</v>
      </c>
      <c r="CD1734" s="2">
        <v>7646</v>
      </c>
      <c r="CE1734" s="2" t="s">
        <v>135</v>
      </c>
      <c r="CF1734" s="5">
        <v>42964</v>
      </c>
      <c r="CG1734" s="2"/>
      <c r="CH1734" s="2"/>
      <c r="CI1734" s="2">
        <v>1</v>
      </c>
      <c r="CJ1734" s="2">
        <v>1</v>
      </c>
      <c r="CK1734" s="2">
        <v>21</v>
      </c>
      <c r="CL1734" s="2" t="s">
        <v>86</v>
      </c>
      <c r="CM1734" s="2"/>
    </row>
    <row r="1735" spans="1:91">
      <c r="A1735" s="2" t="s">
        <v>71</v>
      </c>
      <c r="B1735" s="2" t="s">
        <v>72</v>
      </c>
      <c r="C1735" s="2" t="s">
        <v>73</v>
      </c>
      <c r="D1735" s="2"/>
      <c r="E1735" s="2" t="str">
        <f>"FES1162569218"</f>
        <v>FES1162569218</v>
      </c>
      <c r="F1735" s="3">
        <v>42963</v>
      </c>
      <c r="G1735" s="2">
        <v>201802</v>
      </c>
      <c r="H1735" s="2" t="s">
        <v>74</v>
      </c>
      <c r="I1735" s="2" t="s">
        <v>75</v>
      </c>
      <c r="J1735" s="2" t="s">
        <v>76</v>
      </c>
      <c r="K1735" s="2" t="s">
        <v>77</v>
      </c>
      <c r="L1735" s="2" t="s">
        <v>846</v>
      </c>
      <c r="M1735" s="2" t="s">
        <v>847</v>
      </c>
      <c r="N1735" s="2" t="s">
        <v>848</v>
      </c>
      <c r="O1735" s="2" t="s">
        <v>100</v>
      </c>
      <c r="P1735" s="2" t="str">
        <f>"2170582267                    "</f>
        <v xml:space="preserve">2170582267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7.75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1.2</v>
      </c>
      <c r="BJ1735" s="2">
        <v>1</v>
      </c>
      <c r="BK1735" s="2">
        <v>1.5</v>
      </c>
      <c r="BL1735" s="2">
        <v>80.290000000000006</v>
      </c>
      <c r="BM1735" s="2">
        <v>11.24</v>
      </c>
      <c r="BN1735" s="2">
        <v>91.53</v>
      </c>
      <c r="BO1735" s="2">
        <v>91.53</v>
      </c>
      <c r="BP1735" s="2"/>
      <c r="BQ1735" s="2" t="s">
        <v>108</v>
      </c>
      <c r="BR1735" s="2" t="s">
        <v>84</v>
      </c>
      <c r="BS1735" s="3">
        <v>42964</v>
      </c>
      <c r="BT1735" s="4">
        <v>0.54375000000000007</v>
      </c>
      <c r="BU1735" s="2" t="s">
        <v>2400</v>
      </c>
      <c r="BV1735" s="2" t="s">
        <v>95</v>
      </c>
      <c r="BW1735" s="2"/>
      <c r="BX1735" s="2"/>
      <c r="BY1735" s="2">
        <v>5014.8999999999996</v>
      </c>
      <c r="BZ1735" s="2" t="s">
        <v>27</v>
      </c>
      <c r="CA1735" s="2" t="s">
        <v>850</v>
      </c>
      <c r="CB1735" s="2"/>
      <c r="CC1735" s="2" t="s">
        <v>847</v>
      </c>
      <c r="CD1735" s="2">
        <v>7349</v>
      </c>
      <c r="CE1735" s="2" t="s">
        <v>89</v>
      </c>
      <c r="CF1735" s="5">
        <v>42965</v>
      </c>
      <c r="CG1735" s="2"/>
      <c r="CH1735" s="2"/>
      <c r="CI1735" s="2">
        <v>1</v>
      </c>
      <c r="CJ1735" s="2">
        <v>1</v>
      </c>
      <c r="CK1735" s="2">
        <v>23</v>
      </c>
      <c r="CL1735" s="2" t="s">
        <v>86</v>
      </c>
      <c r="CM1735" s="2"/>
    </row>
    <row r="1736" spans="1:91">
      <c r="A1736" s="2" t="s">
        <v>71</v>
      </c>
      <c r="B1736" s="2" t="s">
        <v>72</v>
      </c>
      <c r="C1736" s="2" t="s">
        <v>73</v>
      </c>
      <c r="D1736" s="2"/>
      <c r="E1736" s="2" t="str">
        <f>"FES1162569385"</f>
        <v>FES1162569385</v>
      </c>
      <c r="F1736" s="3">
        <v>42963</v>
      </c>
      <c r="G1736" s="2">
        <v>201802</v>
      </c>
      <c r="H1736" s="2" t="s">
        <v>74</v>
      </c>
      <c r="I1736" s="2" t="s">
        <v>75</v>
      </c>
      <c r="J1736" s="2" t="s">
        <v>76</v>
      </c>
      <c r="K1736" s="2" t="s">
        <v>77</v>
      </c>
      <c r="L1736" s="2" t="s">
        <v>510</v>
      </c>
      <c r="M1736" s="2" t="s">
        <v>511</v>
      </c>
      <c r="N1736" s="2" t="s">
        <v>1504</v>
      </c>
      <c r="O1736" s="2" t="s">
        <v>100</v>
      </c>
      <c r="P1736" s="2" t="str">
        <f>"2170585214                    "</f>
        <v xml:space="preserve">2170585214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10.01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1</v>
      </c>
      <c r="BI1736" s="2">
        <v>2.7</v>
      </c>
      <c r="BJ1736" s="2">
        <v>4.7</v>
      </c>
      <c r="BK1736" s="2">
        <v>5</v>
      </c>
      <c r="BL1736" s="2">
        <v>103.61</v>
      </c>
      <c r="BM1736" s="2">
        <v>14.51</v>
      </c>
      <c r="BN1736" s="2">
        <v>118.12</v>
      </c>
      <c r="BO1736" s="2">
        <v>118.12</v>
      </c>
      <c r="BP1736" s="2"/>
      <c r="BQ1736" s="2" t="s">
        <v>108</v>
      </c>
      <c r="BR1736" s="2" t="s">
        <v>84</v>
      </c>
      <c r="BS1736" s="3">
        <v>42964</v>
      </c>
      <c r="BT1736" s="4">
        <v>0.31458333333333333</v>
      </c>
      <c r="BU1736" s="2" t="s">
        <v>2368</v>
      </c>
      <c r="BV1736" s="2" t="s">
        <v>95</v>
      </c>
      <c r="BW1736" s="2"/>
      <c r="BX1736" s="2"/>
      <c r="BY1736" s="2">
        <v>23555.65</v>
      </c>
      <c r="BZ1736" s="2" t="s">
        <v>27</v>
      </c>
      <c r="CA1736" s="2" t="s">
        <v>514</v>
      </c>
      <c r="CB1736" s="2"/>
      <c r="CC1736" s="2" t="s">
        <v>511</v>
      </c>
      <c r="CD1736" s="2">
        <v>6230</v>
      </c>
      <c r="CE1736" s="2" t="s">
        <v>135</v>
      </c>
      <c r="CF1736" s="5">
        <v>42965</v>
      </c>
      <c r="CG1736" s="2"/>
      <c r="CH1736" s="2"/>
      <c r="CI1736" s="2">
        <v>1</v>
      </c>
      <c r="CJ1736" s="2">
        <v>1</v>
      </c>
      <c r="CK1736" s="2">
        <v>21</v>
      </c>
      <c r="CL1736" s="2" t="s">
        <v>86</v>
      </c>
      <c r="CM1736" s="2"/>
    </row>
    <row r="1737" spans="1:91">
      <c r="A1737" s="2" t="s">
        <v>71</v>
      </c>
      <c r="B1737" s="2" t="s">
        <v>72</v>
      </c>
      <c r="C1737" s="2" t="s">
        <v>73</v>
      </c>
      <c r="D1737" s="2"/>
      <c r="E1737" s="2" t="str">
        <f>"FES1162569389"</f>
        <v>FES1162569389</v>
      </c>
      <c r="F1737" s="3">
        <v>42963</v>
      </c>
      <c r="G1737" s="2">
        <v>201802</v>
      </c>
      <c r="H1737" s="2" t="s">
        <v>74</v>
      </c>
      <c r="I1737" s="2" t="s">
        <v>75</v>
      </c>
      <c r="J1737" s="2" t="s">
        <v>76</v>
      </c>
      <c r="K1737" s="2" t="s">
        <v>77</v>
      </c>
      <c r="L1737" s="2" t="s">
        <v>510</v>
      </c>
      <c r="M1737" s="2" t="s">
        <v>511</v>
      </c>
      <c r="N1737" s="2" t="s">
        <v>1504</v>
      </c>
      <c r="O1737" s="2" t="s">
        <v>100</v>
      </c>
      <c r="P1737" s="2" t="str">
        <f>"2170585216                    "</f>
        <v xml:space="preserve">2170585216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7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1.9</v>
      </c>
      <c r="BJ1737" s="2">
        <v>3.2</v>
      </c>
      <c r="BK1737" s="2">
        <v>3.5</v>
      </c>
      <c r="BL1737" s="2">
        <v>72.52</v>
      </c>
      <c r="BM1737" s="2">
        <v>10.15</v>
      </c>
      <c r="BN1737" s="2">
        <v>82.67</v>
      </c>
      <c r="BO1737" s="2">
        <v>82.67</v>
      </c>
      <c r="BP1737" s="2"/>
      <c r="BQ1737" s="2" t="s">
        <v>108</v>
      </c>
      <c r="BR1737" s="2" t="s">
        <v>84</v>
      </c>
      <c r="BS1737" s="3">
        <v>42964</v>
      </c>
      <c r="BT1737" s="4">
        <v>0.31597222222222221</v>
      </c>
      <c r="BU1737" s="2" t="s">
        <v>2368</v>
      </c>
      <c r="BV1737" s="2" t="s">
        <v>95</v>
      </c>
      <c r="BW1737" s="2"/>
      <c r="BX1737" s="2"/>
      <c r="BY1737" s="2">
        <v>16114.02</v>
      </c>
      <c r="BZ1737" s="2" t="s">
        <v>27</v>
      </c>
      <c r="CA1737" s="2" t="s">
        <v>514</v>
      </c>
      <c r="CB1737" s="2"/>
      <c r="CC1737" s="2" t="s">
        <v>511</v>
      </c>
      <c r="CD1737" s="2">
        <v>6230</v>
      </c>
      <c r="CE1737" s="2" t="s">
        <v>89</v>
      </c>
      <c r="CF1737" s="5">
        <v>42965</v>
      </c>
      <c r="CG1737" s="2"/>
      <c r="CH1737" s="2"/>
      <c r="CI1737" s="2">
        <v>1</v>
      </c>
      <c r="CJ1737" s="2">
        <v>1</v>
      </c>
      <c r="CK1737" s="2">
        <v>21</v>
      </c>
      <c r="CL1737" s="2" t="s">
        <v>86</v>
      </c>
      <c r="CM1737" s="2"/>
    </row>
    <row r="1738" spans="1:91">
      <c r="A1738" s="2" t="s">
        <v>71</v>
      </c>
      <c r="B1738" s="2" t="s">
        <v>72</v>
      </c>
      <c r="C1738" s="2" t="s">
        <v>73</v>
      </c>
      <c r="D1738" s="2"/>
      <c r="E1738" s="2" t="str">
        <f>"FES1162569374"</f>
        <v>FES1162569374</v>
      </c>
      <c r="F1738" s="3">
        <v>42963</v>
      </c>
      <c r="G1738" s="2">
        <v>201802</v>
      </c>
      <c r="H1738" s="2" t="s">
        <v>74</v>
      </c>
      <c r="I1738" s="2" t="s">
        <v>75</v>
      </c>
      <c r="J1738" s="2" t="s">
        <v>76</v>
      </c>
      <c r="K1738" s="2" t="s">
        <v>77</v>
      </c>
      <c r="L1738" s="2" t="s">
        <v>105</v>
      </c>
      <c r="M1738" s="2" t="s">
        <v>106</v>
      </c>
      <c r="N1738" s="2" t="s">
        <v>520</v>
      </c>
      <c r="O1738" s="2" t="s">
        <v>100</v>
      </c>
      <c r="P1738" s="2" t="str">
        <f>"2170585223                    "</f>
        <v xml:space="preserve">2170585223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4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0.7</v>
      </c>
      <c r="BJ1738" s="2">
        <v>1.1000000000000001</v>
      </c>
      <c r="BK1738" s="2">
        <v>1.5</v>
      </c>
      <c r="BL1738" s="2">
        <v>41.44</v>
      </c>
      <c r="BM1738" s="2">
        <v>5.8</v>
      </c>
      <c r="BN1738" s="2">
        <v>47.24</v>
      </c>
      <c r="BO1738" s="2">
        <v>47.24</v>
      </c>
      <c r="BP1738" s="2"/>
      <c r="BQ1738" s="2" t="s">
        <v>108</v>
      </c>
      <c r="BR1738" s="2" t="s">
        <v>84</v>
      </c>
      <c r="BS1738" s="3">
        <v>42964</v>
      </c>
      <c r="BT1738" s="4">
        <v>0.46319444444444446</v>
      </c>
      <c r="BU1738" s="2" t="s">
        <v>2401</v>
      </c>
      <c r="BV1738" s="2" t="s">
        <v>86</v>
      </c>
      <c r="BW1738" s="2" t="s">
        <v>110</v>
      </c>
      <c r="BX1738" s="2" t="s">
        <v>111</v>
      </c>
      <c r="BY1738" s="2">
        <v>5555.55</v>
      </c>
      <c r="BZ1738" s="2" t="s">
        <v>27</v>
      </c>
      <c r="CA1738" s="2" t="s">
        <v>1867</v>
      </c>
      <c r="CB1738" s="2"/>
      <c r="CC1738" s="2" t="s">
        <v>106</v>
      </c>
      <c r="CD1738" s="2">
        <v>7405</v>
      </c>
      <c r="CE1738" s="2" t="s">
        <v>89</v>
      </c>
      <c r="CF1738" s="5">
        <v>42965</v>
      </c>
      <c r="CG1738" s="2"/>
      <c r="CH1738" s="2"/>
      <c r="CI1738" s="2">
        <v>1</v>
      </c>
      <c r="CJ1738" s="2">
        <v>1</v>
      </c>
      <c r="CK1738" s="2">
        <v>21</v>
      </c>
      <c r="CL1738" s="2" t="s">
        <v>86</v>
      </c>
      <c r="CM1738" s="2"/>
    </row>
    <row r="1739" spans="1:91">
      <c r="A1739" s="2" t="s">
        <v>71</v>
      </c>
      <c r="B1739" s="2" t="s">
        <v>72</v>
      </c>
      <c r="C1739" s="2" t="s">
        <v>73</v>
      </c>
      <c r="D1739" s="2"/>
      <c r="E1739" s="2" t="str">
        <f>"FES1162560817"</f>
        <v>FES1162560817</v>
      </c>
      <c r="F1739" s="3">
        <v>42963</v>
      </c>
      <c r="G1739" s="2">
        <v>201802</v>
      </c>
      <c r="H1739" s="2" t="s">
        <v>74</v>
      </c>
      <c r="I1739" s="2" t="s">
        <v>75</v>
      </c>
      <c r="J1739" s="2" t="s">
        <v>76</v>
      </c>
      <c r="K1739" s="2" t="s">
        <v>77</v>
      </c>
      <c r="L1739" s="2" t="s">
        <v>2402</v>
      </c>
      <c r="M1739" s="2" t="s">
        <v>2403</v>
      </c>
      <c r="N1739" s="2" t="s">
        <v>2404</v>
      </c>
      <c r="O1739" s="2" t="s">
        <v>100</v>
      </c>
      <c r="P1739" s="2" t="str">
        <f>"2170577599                    "</f>
        <v xml:space="preserve">2170577599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53.28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1</v>
      </c>
      <c r="BI1739" s="2">
        <v>15</v>
      </c>
      <c r="BJ1739" s="2">
        <v>4.5</v>
      </c>
      <c r="BK1739" s="2">
        <v>15</v>
      </c>
      <c r="BL1739" s="2">
        <v>551.70000000000005</v>
      </c>
      <c r="BM1739" s="2">
        <v>77.239999999999995</v>
      </c>
      <c r="BN1739" s="2">
        <v>628.94000000000005</v>
      </c>
      <c r="BO1739" s="2">
        <v>628.94000000000005</v>
      </c>
      <c r="BP1739" s="2"/>
      <c r="BQ1739" s="2" t="s">
        <v>108</v>
      </c>
      <c r="BR1739" s="2" t="s">
        <v>84</v>
      </c>
      <c r="BS1739" s="3">
        <v>42964</v>
      </c>
      <c r="BT1739" s="4">
        <v>0.47222222222222227</v>
      </c>
      <c r="BU1739" s="2" t="s">
        <v>2258</v>
      </c>
      <c r="BV1739" s="2" t="s">
        <v>86</v>
      </c>
      <c r="BW1739" s="2" t="s">
        <v>2405</v>
      </c>
      <c r="BX1739" s="2" t="s">
        <v>337</v>
      </c>
      <c r="BY1739" s="2">
        <v>22657.5</v>
      </c>
      <c r="BZ1739" s="2" t="s">
        <v>27</v>
      </c>
      <c r="CA1739" s="2" t="s">
        <v>2406</v>
      </c>
      <c r="CB1739" s="2"/>
      <c r="CC1739" s="2" t="s">
        <v>2403</v>
      </c>
      <c r="CD1739" s="2">
        <v>2940</v>
      </c>
      <c r="CE1739" s="2" t="s">
        <v>89</v>
      </c>
      <c r="CF1739" s="5">
        <v>42968</v>
      </c>
      <c r="CG1739" s="2"/>
      <c r="CH1739" s="2"/>
      <c r="CI1739" s="2">
        <v>1</v>
      </c>
      <c r="CJ1739" s="2">
        <v>1</v>
      </c>
      <c r="CK1739" s="2">
        <v>23</v>
      </c>
      <c r="CL1739" s="2" t="s">
        <v>86</v>
      </c>
      <c r="CM1739" s="2"/>
    </row>
    <row r="1740" spans="1:91">
      <c r="A1740" s="2" t="s">
        <v>71</v>
      </c>
      <c r="B1740" s="2" t="s">
        <v>72</v>
      </c>
      <c r="C1740" s="2" t="s">
        <v>73</v>
      </c>
      <c r="D1740" s="2"/>
      <c r="E1740" s="2" t="str">
        <f>"FES1162569294"</f>
        <v>FES1162569294</v>
      </c>
      <c r="F1740" s="3">
        <v>42963</v>
      </c>
      <c r="G1740" s="2">
        <v>201802</v>
      </c>
      <c r="H1740" s="2" t="s">
        <v>74</v>
      </c>
      <c r="I1740" s="2" t="s">
        <v>75</v>
      </c>
      <c r="J1740" s="2" t="s">
        <v>76</v>
      </c>
      <c r="K1740" s="2" t="s">
        <v>77</v>
      </c>
      <c r="L1740" s="2" t="s">
        <v>1781</v>
      </c>
      <c r="M1740" s="2" t="s">
        <v>1781</v>
      </c>
      <c r="N1740" s="2" t="s">
        <v>1782</v>
      </c>
      <c r="O1740" s="2" t="s">
        <v>100</v>
      </c>
      <c r="P1740" s="2" t="str">
        <f>"2170582707                    "</f>
        <v xml:space="preserve">2170582707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7.75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1.9</v>
      </c>
      <c r="BJ1740" s="2">
        <v>1.8</v>
      </c>
      <c r="BK1740" s="2">
        <v>2</v>
      </c>
      <c r="BL1740" s="2">
        <v>80.290000000000006</v>
      </c>
      <c r="BM1740" s="2">
        <v>11.24</v>
      </c>
      <c r="BN1740" s="2">
        <v>91.53</v>
      </c>
      <c r="BO1740" s="2">
        <v>91.53</v>
      </c>
      <c r="BP1740" s="2"/>
      <c r="BQ1740" s="2" t="s">
        <v>108</v>
      </c>
      <c r="BR1740" s="2" t="s">
        <v>84</v>
      </c>
      <c r="BS1740" s="3">
        <v>42965</v>
      </c>
      <c r="BT1740" s="4">
        <v>0.58333333333333337</v>
      </c>
      <c r="BU1740" s="2" t="s">
        <v>1360</v>
      </c>
      <c r="BV1740" s="2" t="s">
        <v>95</v>
      </c>
      <c r="BW1740" s="2"/>
      <c r="BX1740" s="2"/>
      <c r="BY1740" s="2">
        <v>8986.85</v>
      </c>
      <c r="BZ1740" s="2" t="s">
        <v>27</v>
      </c>
      <c r="CA1740" s="2"/>
      <c r="CB1740" s="2"/>
      <c r="CC1740" s="2" t="s">
        <v>1781</v>
      </c>
      <c r="CD1740" s="2">
        <v>5470</v>
      </c>
      <c r="CE1740" s="2" t="s">
        <v>135</v>
      </c>
      <c r="CF1740" s="5">
        <v>42972</v>
      </c>
      <c r="CG1740" s="2"/>
      <c r="CH1740" s="2"/>
      <c r="CI1740" s="2">
        <v>4</v>
      </c>
      <c r="CJ1740" s="2">
        <v>2</v>
      </c>
      <c r="CK1740" s="2">
        <v>23</v>
      </c>
      <c r="CL1740" s="2" t="s">
        <v>86</v>
      </c>
      <c r="CM1740" s="2"/>
    </row>
    <row r="1741" spans="1:91">
      <c r="A1741" s="2" t="s">
        <v>71</v>
      </c>
      <c r="B1741" s="2" t="s">
        <v>72</v>
      </c>
      <c r="C1741" s="2" t="s">
        <v>73</v>
      </c>
      <c r="D1741" s="2"/>
      <c r="E1741" s="2" t="str">
        <f>"FES1162569386"</f>
        <v>FES1162569386</v>
      </c>
      <c r="F1741" s="3">
        <v>42963</v>
      </c>
      <c r="G1741" s="2">
        <v>201802</v>
      </c>
      <c r="H1741" s="2" t="s">
        <v>74</v>
      </c>
      <c r="I1741" s="2" t="s">
        <v>75</v>
      </c>
      <c r="J1741" s="2" t="s">
        <v>76</v>
      </c>
      <c r="K1741" s="2" t="s">
        <v>77</v>
      </c>
      <c r="L1741" s="2" t="s">
        <v>97</v>
      </c>
      <c r="M1741" s="2" t="s">
        <v>98</v>
      </c>
      <c r="N1741" s="2" t="s">
        <v>1210</v>
      </c>
      <c r="O1741" s="2" t="s">
        <v>100</v>
      </c>
      <c r="P1741" s="2" t="str">
        <f>"2170585226                    "</f>
        <v xml:space="preserve">2170585226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7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3.3</v>
      </c>
      <c r="BJ1741" s="2">
        <v>1.7</v>
      </c>
      <c r="BK1741" s="2">
        <v>3.5</v>
      </c>
      <c r="BL1741" s="2">
        <v>72.52</v>
      </c>
      <c r="BM1741" s="2">
        <v>10.15</v>
      </c>
      <c r="BN1741" s="2">
        <v>82.67</v>
      </c>
      <c r="BO1741" s="2">
        <v>82.67</v>
      </c>
      <c r="BP1741" s="2"/>
      <c r="BQ1741" s="2" t="s">
        <v>108</v>
      </c>
      <c r="BR1741" s="2" t="s">
        <v>84</v>
      </c>
      <c r="BS1741" s="3">
        <v>42964</v>
      </c>
      <c r="BT1741" s="4">
        <v>0.29166666666666669</v>
      </c>
      <c r="BU1741" s="2" t="s">
        <v>2407</v>
      </c>
      <c r="BV1741" s="2" t="s">
        <v>95</v>
      </c>
      <c r="BW1741" s="2"/>
      <c r="BX1741" s="2"/>
      <c r="BY1741" s="2">
        <v>8443.66</v>
      </c>
      <c r="BZ1741" s="2" t="s">
        <v>27</v>
      </c>
      <c r="CA1741" s="2" t="s">
        <v>148</v>
      </c>
      <c r="CB1741" s="2"/>
      <c r="CC1741" s="2" t="s">
        <v>98</v>
      </c>
      <c r="CD1741" s="2">
        <v>6012</v>
      </c>
      <c r="CE1741" s="2" t="s">
        <v>89</v>
      </c>
      <c r="CF1741" s="5">
        <v>42965</v>
      </c>
      <c r="CG1741" s="2"/>
      <c r="CH1741" s="2"/>
      <c r="CI1741" s="2">
        <v>1</v>
      </c>
      <c r="CJ1741" s="2">
        <v>1</v>
      </c>
      <c r="CK1741" s="2">
        <v>21</v>
      </c>
      <c r="CL1741" s="2" t="s">
        <v>86</v>
      </c>
      <c r="CM1741" s="2"/>
    </row>
    <row r="1742" spans="1:91">
      <c r="A1742" s="2" t="s">
        <v>71</v>
      </c>
      <c r="B1742" s="2" t="s">
        <v>72</v>
      </c>
      <c r="C1742" s="2" t="s">
        <v>73</v>
      </c>
      <c r="D1742" s="2"/>
      <c r="E1742" s="2" t="str">
        <f>"FES1162569450"</f>
        <v>FES1162569450</v>
      </c>
      <c r="F1742" s="3">
        <v>42963</v>
      </c>
      <c r="G1742" s="2">
        <v>201802</v>
      </c>
      <c r="H1742" s="2" t="s">
        <v>74</v>
      </c>
      <c r="I1742" s="2" t="s">
        <v>75</v>
      </c>
      <c r="J1742" s="2" t="s">
        <v>76</v>
      </c>
      <c r="K1742" s="2" t="s">
        <v>77</v>
      </c>
      <c r="L1742" s="2" t="s">
        <v>97</v>
      </c>
      <c r="M1742" s="2" t="s">
        <v>98</v>
      </c>
      <c r="N1742" s="2" t="s">
        <v>2408</v>
      </c>
      <c r="O1742" s="2" t="s">
        <v>100</v>
      </c>
      <c r="P1742" s="2" t="str">
        <f>"2170585302                    "</f>
        <v xml:space="preserve">2170585302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6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1.9</v>
      </c>
      <c r="BJ1742" s="2">
        <v>3</v>
      </c>
      <c r="BK1742" s="2">
        <v>3</v>
      </c>
      <c r="BL1742" s="2">
        <v>62.16</v>
      </c>
      <c r="BM1742" s="2">
        <v>8.6999999999999993</v>
      </c>
      <c r="BN1742" s="2">
        <v>70.86</v>
      </c>
      <c r="BO1742" s="2">
        <v>70.86</v>
      </c>
      <c r="BP1742" s="2"/>
      <c r="BQ1742" s="2" t="s">
        <v>108</v>
      </c>
      <c r="BR1742" s="2" t="s">
        <v>84</v>
      </c>
      <c r="BS1742" s="3">
        <v>42964</v>
      </c>
      <c r="BT1742" s="4">
        <v>0.33749999999999997</v>
      </c>
      <c r="BU1742" s="2" t="s">
        <v>859</v>
      </c>
      <c r="BV1742" s="2" t="s">
        <v>95</v>
      </c>
      <c r="BW1742" s="2"/>
      <c r="BX1742" s="2"/>
      <c r="BY1742" s="2">
        <v>14990.59</v>
      </c>
      <c r="BZ1742" s="2" t="s">
        <v>27</v>
      </c>
      <c r="CA1742" s="2" t="s">
        <v>600</v>
      </c>
      <c r="CB1742" s="2"/>
      <c r="CC1742" s="2" t="s">
        <v>98</v>
      </c>
      <c r="CD1742" s="2">
        <v>6045</v>
      </c>
      <c r="CE1742" s="2" t="s">
        <v>135</v>
      </c>
      <c r="CF1742" s="5">
        <v>42965</v>
      </c>
      <c r="CG1742" s="2"/>
      <c r="CH1742" s="2"/>
      <c r="CI1742" s="2">
        <v>1</v>
      </c>
      <c r="CJ1742" s="2">
        <v>1</v>
      </c>
      <c r="CK1742" s="2">
        <v>21</v>
      </c>
      <c r="CL1742" s="2" t="s">
        <v>86</v>
      </c>
      <c r="CM1742" s="2"/>
    </row>
    <row r="1743" spans="1:91">
      <c r="A1743" s="2" t="s">
        <v>71</v>
      </c>
      <c r="B1743" s="2" t="s">
        <v>72</v>
      </c>
      <c r="C1743" s="2" t="s">
        <v>73</v>
      </c>
      <c r="D1743" s="2"/>
      <c r="E1743" s="2" t="str">
        <f>"FES1162569471"</f>
        <v>FES1162569471</v>
      </c>
      <c r="F1743" s="3">
        <v>42963</v>
      </c>
      <c r="G1743" s="2">
        <v>201802</v>
      </c>
      <c r="H1743" s="2" t="s">
        <v>74</v>
      </c>
      <c r="I1743" s="2" t="s">
        <v>75</v>
      </c>
      <c r="J1743" s="2" t="s">
        <v>76</v>
      </c>
      <c r="K1743" s="2" t="s">
        <v>77</v>
      </c>
      <c r="L1743" s="2" t="s">
        <v>97</v>
      </c>
      <c r="M1743" s="2" t="s">
        <v>98</v>
      </c>
      <c r="N1743" s="2" t="s">
        <v>250</v>
      </c>
      <c r="O1743" s="2" t="s">
        <v>100</v>
      </c>
      <c r="P1743" s="2" t="str">
        <f>"2170585329                    "</f>
        <v xml:space="preserve">2170585329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7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3.2</v>
      </c>
      <c r="BJ1743" s="2">
        <v>1.7</v>
      </c>
      <c r="BK1743" s="2">
        <v>3.5</v>
      </c>
      <c r="BL1743" s="2">
        <v>72.52</v>
      </c>
      <c r="BM1743" s="2">
        <v>10.15</v>
      </c>
      <c r="BN1743" s="2">
        <v>82.67</v>
      </c>
      <c r="BO1743" s="2">
        <v>82.67</v>
      </c>
      <c r="BP1743" s="2"/>
      <c r="BQ1743" s="2" t="s">
        <v>227</v>
      </c>
      <c r="BR1743" s="2" t="s">
        <v>84</v>
      </c>
      <c r="BS1743" s="3">
        <v>42964</v>
      </c>
      <c r="BT1743" s="4">
        <v>0.41666666666666669</v>
      </c>
      <c r="BU1743" s="2" t="s">
        <v>890</v>
      </c>
      <c r="BV1743" s="2" t="s">
        <v>95</v>
      </c>
      <c r="BW1743" s="2"/>
      <c r="BX1743" s="2"/>
      <c r="BY1743" s="2">
        <v>8384.8799999999992</v>
      </c>
      <c r="BZ1743" s="2" t="s">
        <v>27</v>
      </c>
      <c r="CA1743" s="2" t="s">
        <v>804</v>
      </c>
      <c r="CB1743" s="2"/>
      <c r="CC1743" s="2" t="s">
        <v>98</v>
      </c>
      <c r="CD1743" s="2">
        <v>6012</v>
      </c>
      <c r="CE1743" s="2" t="s">
        <v>89</v>
      </c>
      <c r="CF1743" s="5">
        <v>42965</v>
      </c>
      <c r="CG1743" s="2"/>
      <c r="CH1743" s="2"/>
      <c r="CI1743" s="2">
        <v>1</v>
      </c>
      <c r="CJ1743" s="2">
        <v>1</v>
      </c>
      <c r="CK1743" s="2">
        <v>21</v>
      </c>
      <c r="CL1743" s="2" t="s">
        <v>86</v>
      </c>
      <c r="CM1743" s="2"/>
    </row>
    <row r="1744" spans="1:91">
      <c r="A1744" s="2" t="s">
        <v>71</v>
      </c>
      <c r="B1744" s="2" t="s">
        <v>72</v>
      </c>
      <c r="C1744" s="2" t="s">
        <v>73</v>
      </c>
      <c r="D1744" s="2"/>
      <c r="E1744" s="2" t="str">
        <f>"FES1162569309"</f>
        <v>FES1162569309</v>
      </c>
      <c r="F1744" s="3">
        <v>42963</v>
      </c>
      <c r="G1744" s="2">
        <v>201802</v>
      </c>
      <c r="H1744" s="2" t="s">
        <v>74</v>
      </c>
      <c r="I1744" s="2" t="s">
        <v>75</v>
      </c>
      <c r="J1744" s="2" t="s">
        <v>76</v>
      </c>
      <c r="K1744" s="2" t="s">
        <v>77</v>
      </c>
      <c r="L1744" s="2" t="s">
        <v>74</v>
      </c>
      <c r="M1744" s="2" t="s">
        <v>75</v>
      </c>
      <c r="N1744" s="2" t="s">
        <v>192</v>
      </c>
      <c r="O1744" s="2" t="s">
        <v>100</v>
      </c>
      <c r="P1744" s="2" t="str">
        <f>"2170584460                    "</f>
        <v xml:space="preserve">2170584460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3.13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1</v>
      </c>
      <c r="BJ1744" s="2">
        <v>0.2</v>
      </c>
      <c r="BK1744" s="2">
        <v>1</v>
      </c>
      <c r="BL1744" s="2">
        <v>32.380000000000003</v>
      </c>
      <c r="BM1744" s="2">
        <v>4.53</v>
      </c>
      <c r="BN1744" s="2">
        <v>36.909999999999997</v>
      </c>
      <c r="BO1744" s="2">
        <v>36.909999999999997</v>
      </c>
      <c r="BP1744" s="2"/>
      <c r="BQ1744" s="2" t="s">
        <v>1934</v>
      </c>
      <c r="BR1744" s="2" t="s">
        <v>84</v>
      </c>
      <c r="BS1744" s="3">
        <v>42964</v>
      </c>
      <c r="BT1744" s="4">
        <v>0.34930555555555554</v>
      </c>
      <c r="BU1744" s="2" t="s">
        <v>193</v>
      </c>
      <c r="BV1744" s="2" t="s">
        <v>95</v>
      </c>
      <c r="BW1744" s="2"/>
      <c r="BX1744" s="2"/>
      <c r="BY1744" s="2">
        <v>1200</v>
      </c>
      <c r="BZ1744" s="2" t="s">
        <v>27</v>
      </c>
      <c r="CA1744" s="2" t="s">
        <v>194</v>
      </c>
      <c r="CB1744" s="2"/>
      <c r="CC1744" s="2" t="s">
        <v>75</v>
      </c>
      <c r="CD1744" s="2">
        <v>1665</v>
      </c>
      <c r="CE1744" s="2" t="s">
        <v>104</v>
      </c>
      <c r="CF1744" s="5">
        <v>42965</v>
      </c>
      <c r="CG1744" s="2"/>
      <c r="CH1744" s="2"/>
      <c r="CI1744" s="2">
        <v>1</v>
      </c>
      <c r="CJ1744" s="2">
        <v>1</v>
      </c>
      <c r="CK1744" s="2">
        <v>22</v>
      </c>
      <c r="CL1744" s="2" t="s">
        <v>86</v>
      </c>
      <c r="CM1744" s="2"/>
    </row>
    <row r="1745" spans="1:91">
      <c r="A1745" s="2" t="s">
        <v>71</v>
      </c>
      <c r="B1745" s="2" t="s">
        <v>72</v>
      </c>
      <c r="C1745" s="2" t="s">
        <v>73</v>
      </c>
      <c r="D1745" s="2"/>
      <c r="E1745" s="2" t="str">
        <f>"FES1162569285"</f>
        <v>FES1162569285</v>
      </c>
      <c r="F1745" s="3">
        <v>42963</v>
      </c>
      <c r="G1745" s="2">
        <v>201802</v>
      </c>
      <c r="H1745" s="2" t="s">
        <v>74</v>
      </c>
      <c r="I1745" s="2" t="s">
        <v>75</v>
      </c>
      <c r="J1745" s="2" t="s">
        <v>76</v>
      </c>
      <c r="K1745" s="2" t="s">
        <v>77</v>
      </c>
      <c r="L1745" s="2" t="s">
        <v>144</v>
      </c>
      <c r="M1745" s="2" t="s">
        <v>145</v>
      </c>
      <c r="N1745" s="2" t="s">
        <v>146</v>
      </c>
      <c r="O1745" s="2" t="s">
        <v>100</v>
      </c>
      <c r="P1745" s="2" t="str">
        <f>"2170582424                    "</f>
        <v xml:space="preserve">2170582424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3.13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1</v>
      </c>
      <c r="BI1745" s="2">
        <v>1</v>
      </c>
      <c r="BJ1745" s="2">
        <v>0.2</v>
      </c>
      <c r="BK1745" s="2">
        <v>1</v>
      </c>
      <c r="BL1745" s="2">
        <v>32.380000000000003</v>
      </c>
      <c r="BM1745" s="2">
        <v>4.53</v>
      </c>
      <c r="BN1745" s="2">
        <v>36.909999999999997</v>
      </c>
      <c r="BO1745" s="2">
        <v>36.909999999999997</v>
      </c>
      <c r="BP1745" s="2"/>
      <c r="BQ1745" s="2" t="s">
        <v>83</v>
      </c>
      <c r="BR1745" s="2" t="s">
        <v>84</v>
      </c>
      <c r="BS1745" s="3">
        <v>42964</v>
      </c>
      <c r="BT1745" s="4">
        <v>0.38055555555555554</v>
      </c>
      <c r="BU1745" s="2" t="s">
        <v>728</v>
      </c>
      <c r="BV1745" s="2" t="s">
        <v>95</v>
      </c>
      <c r="BW1745" s="2"/>
      <c r="BX1745" s="2"/>
      <c r="BY1745" s="2">
        <v>1200</v>
      </c>
      <c r="BZ1745" s="2" t="s">
        <v>27</v>
      </c>
      <c r="CA1745" s="2" t="s">
        <v>729</v>
      </c>
      <c r="CB1745" s="2"/>
      <c r="CC1745" s="2" t="s">
        <v>145</v>
      </c>
      <c r="CD1745" s="2">
        <v>2094</v>
      </c>
      <c r="CE1745" s="2" t="s">
        <v>104</v>
      </c>
      <c r="CF1745" s="5">
        <v>42965</v>
      </c>
      <c r="CG1745" s="2"/>
      <c r="CH1745" s="2"/>
      <c r="CI1745" s="2">
        <v>1</v>
      </c>
      <c r="CJ1745" s="2">
        <v>1</v>
      </c>
      <c r="CK1745" s="2">
        <v>22</v>
      </c>
      <c r="CL1745" s="2" t="s">
        <v>86</v>
      </c>
      <c r="CM1745" s="2"/>
    </row>
    <row r="1746" spans="1:91">
      <c r="A1746" s="2" t="s">
        <v>71</v>
      </c>
      <c r="B1746" s="2" t="s">
        <v>72</v>
      </c>
      <c r="C1746" s="2" t="s">
        <v>73</v>
      </c>
      <c r="D1746" s="2"/>
      <c r="E1746" s="2" t="str">
        <f>"FES1162569347"</f>
        <v>FES1162569347</v>
      </c>
      <c r="F1746" s="3">
        <v>42963</v>
      </c>
      <c r="G1746" s="2">
        <v>201802</v>
      </c>
      <c r="H1746" s="2" t="s">
        <v>74</v>
      </c>
      <c r="I1746" s="2" t="s">
        <v>75</v>
      </c>
      <c r="J1746" s="2" t="s">
        <v>76</v>
      </c>
      <c r="K1746" s="2" t="s">
        <v>77</v>
      </c>
      <c r="L1746" s="2" t="s">
        <v>170</v>
      </c>
      <c r="M1746" s="2" t="s">
        <v>171</v>
      </c>
      <c r="N1746" s="2" t="s">
        <v>489</v>
      </c>
      <c r="O1746" s="2" t="s">
        <v>100</v>
      </c>
      <c r="P1746" s="2" t="str">
        <f>"2170580894                    "</f>
        <v xml:space="preserve">2170580894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3.13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1</v>
      </c>
      <c r="BI1746" s="2">
        <v>1</v>
      </c>
      <c r="BJ1746" s="2">
        <v>0.2</v>
      </c>
      <c r="BK1746" s="2">
        <v>1</v>
      </c>
      <c r="BL1746" s="2">
        <v>32.380000000000003</v>
      </c>
      <c r="BM1746" s="2">
        <v>4.53</v>
      </c>
      <c r="BN1746" s="2">
        <v>36.909999999999997</v>
      </c>
      <c r="BO1746" s="2">
        <v>36.909999999999997</v>
      </c>
      <c r="BP1746" s="2"/>
      <c r="BQ1746" s="2" t="s">
        <v>490</v>
      </c>
      <c r="BR1746" s="2" t="s">
        <v>84</v>
      </c>
      <c r="BS1746" s="3">
        <v>42964</v>
      </c>
      <c r="BT1746" s="4">
        <v>0.4375</v>
      </c>
      <c r="BU1746" s="2" t="s">
        <v>2320</v>
      </c>
      <c r="BV1746" s="2" t="s">
        <v>95</v>
      </c>
      <c r="BW1746" s="2"/>
      <c r="BX1746" s="2"/>
      <c r="BY1746" s="2">
        <v>1200</v>
      </c>
      <c r="BZ1746" s="2" t="s">
        <v>27</v>
      </c>
      <c r="CA1746" s="2"/>
      <c r="CB1746" s="2"/>
      <c r="CC1746" s="2" t="s">
        <v>171</v>
      </c>
      <c r="CD1746" s="2">
        <v>1401</v>
      </c>
      <c r="CE1746" s="2" t="s">
        <v>104</v>
      </c>
      <c r="CF1746" s="5">
        <v>42965</v>
      </c>
      <c r="CG1746" s="2"/>
      <c r="CH1746" s="2"/>
      <c r="CI1746" s="2">
        <v>1</v>
      </c>
      <c r="CJ1746" s="2">
        <v>1</v>
      </c>
      <c r="CK1746" s="2">
        <v>22</v>
      </c>
      <c r="CL1746" s="2" t="s">
        <v>86</v>
      </c>
      <c r="CM1746" s="2"/>
    </row>
    <row r="1747" spans="1:91">
      <c r="A1747" s="2" t="s">
        <v>71</v>
      </c>
      <c r="B1747" s="2" t="s">
        <v>72</v>
      </c>
      <c r="C1747" s="2" t="s">
        <v>73</v>
      </c>
      <c r="D1747" s="2"/>
      <c r="E1747" s="2" t="str">
        <f>"FES1162569153"</f>
        <v>FES1162569153</v>
      </c>
      <c r="F1747" s="3">
        <v>42963</v>
      </c>
      <c r="G1747" s="2">
        <v>201802</v>
      </c>
      <c r="H1747" s="2" t="s">
        <v>74</v>
      </c>
      <c r="I1747" s="2" t="s">
        <v>75</v>
      </c>
      <c r="J1747" s="2" t="s">
        <v>76</v>
      </c>
      <c r="K1747" s="2" t="s">
        <v>77</v>
      </c>
      <c r="L1747" s="2" t="s">
        <v>144</v>
      </c>
      <c r="M1747" s="2" t="s">
        <v>145</v>
      </c>
      <c r="N1747" s="2" t="s">
        <v>146</v>
      </c>
      <c r="O1747" s="2" t="s">
        <v>100</v>
      </c>
      <c r="P1747" s="2" t="str">
        <f>"2170583068                    "</f>
        <v xml:space="preserve">2170583068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3.13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2.7</v>
      </c>
      <c r="BJ1747" s="2">
        <v>2.5</v>
      </c>
      <c r="BK1747" s="2">
        <v>3</v>
      </c>
      <c r="BL1747" s="2">
        <v>32.380000000000003</v>
      </c>
      <c r="BM1747" s="2">
        <v>4.53</v>
      </c>
      <c r="BN1747" s="2">
        <v>36.909999999999997</v>
      </c>
      <c r="BO1747" s="2">
        <v>36.909999999999997</v>
      </c>
      <c r="BP1747" s="2"/>
      <c r="BQ1747" s="2" t="s">
        <v>83</v>
      </c>
      <c r="BR1747" s="2" t="s">
        <v>84</v>
      </c>
      <c r="BS1747" s="3">
        <v>42964</v>
      </c>
      <c r="BT1747" s="4">
        <v>0.37986111111111115</v>
      </c>
      <c r="BU1747" s="2" t="s">
        <v>728</v>
      </c>
      <c r="BV1747" s="2" t="s">
        <v>95</v>
      </c>
      <c r="BW1747" s="2"/>
      <c r="BX1747" s="2"/>
      <c r="BY1747" s="2">
        <v>12507.44</v>
      </c>
      <c r="BZ1747" s="2" t="s">
        <v>27</v>
      </c>
      <c r="CA1747" s="2" t="s">
        <v>729</v>
      </c>
      <c r="CB1747" s="2"/>
      <c r="CC1747" s="2" t="s">
        <v>145</v>
      </c>
      <c r="CD1747" s="2">
        <v>2094</v>
      </c>
      <c r="CE1747" s="2" t="s">
        <v>135</v>
      </c>
      <c r="CF1747" s="5">
        <v>42965</v>
      </c>
      <c r="CG1747" s="2"/>
      <c r="CH1747" s="2"/>
      <c r="CI1747" s="2">
        <v>1</v>
      </c>
      <c r="CJ1747" s="2">
        <v>1</v>
      </c>
      <c r="CK1747" s="2">
        <v>22</v>
      </c>
      <c r="CL1747" s="2" t="s">
        <v>86</v>
      </c>
      <c r="CM1747" s="2"/>
    </row>
    <row r="1748" spans="1:91">
      <c r="A1748" s="2" t="s">
        <v>71</v>
      </c>
      <c r="B1748" s="2" t="s">
        <v>72</v>
      </c>
      <c r="C1748" s="2" t="s">
        <v>73</v>
      </c>
      <c r="D1748" s="2"/>
      <c r="E1748" s="2" t="str">
        <f>"FES1162569300"</f>
        <v>FES1162569300</v>
      </c>
      <c r="F1748" s="3">
        <v>42963</v>
      </c>
      <c r="G1748" s="2">
        <v>201802</v>
      </c>
      <c r="H1748" s="2" t="s">
        <v>74</v>
      </c>
      <c r="I1748" s="2" t="s">
        <v>75</v>
      </c>
      <c r="J1748" s="2" t="s">
        <v>76</v>
      </c>
      <c r="K1748" s="2" t="s">
        <v>77</v>
      </c>
      <c r="L1748" s="2" t="s">
        <v>144</v>
      </c>
      <c r="M1748" s="2" t="s">
        <v>145</v>
      </c>
      <c r="N1748" s="2" t="s">
        <v>1578</v>
      </c>
      <c r="O1748" s="2" t="s">
        <v>100</v>
      </c>
      <c r="P1748" s="2" t="str">
        <f>"2170582898                    "</f>
        <v xml:space="preserve">2170582898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3.13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1</v>
      </c>
      <c r="BJ1748" s="2">
        <v>0.2</v>
      </c>
      <c r="BK1748" s="2">
        <v>1</v>
      </c>
      <c r="BL1748" s="2">
        <v>32.380000000000003</v>
      </c>
      <c r="BM1748" s="2">
        <v>4.53</v>
      </c>
      <c r="BN1748" s="2">
        <v>36.909999999999997</v>
      </c>
      <c r="BO1748" s="2">
        <v>36.909999999999997</v>
      </c>
      <c r="BP1748" s="2"/>
      <c r="BQ1748" s="2" t="s">
        <v>108</v>
      </c>
      <c r="BR1748" s="2" t="s">
        <v>84</v>
      </c>
      <c r="BS1748" s="3">
        <v>42964</v>
      </c>
      <c r="BT1748" s="4">
        <v>0.42430555555555555</v>
      </c>
      <c r="BU1748" s="2" t="s">
        <v>1754</v>
      </c>
      <c r="BV1748" s="2" t="s">
        <v>95</v>
      </c>
      <c r="BW1748" s="2"/>
      <c r="BX1748" s="2"/>
      <c r="BY1748" s="2">
        <v>1200</v>
      </c>
      <c r="BZ1748" s="2" t="s">
        <v>27</v>
      </c>
      <c r="CA1748" s="2"/>
      <c r="CB1748" s="2"/>
      <c r="CC1748" s="2" t="s">
        <v>145</v>
      </c>
      <c r="CD1748" s="2">
        <v>2197</v>
      </c>
      <c r="CE1748" s="2" t="s">
        <v>104</v>
      </c>
      <c r="CF1748" s="5">
        <v>42965</v>
      </c>
      <c r="CG1748" s="2"/>
      <c r="CH1748" s="2"/>
      <c r="CI1748" s="2">
        <v>1</v>
      </c>
      <c r="CJ1748" s="2">
        <v>1</v>
      </c>
      <c r="CK1748" s="2">
        <v>22</v>
      </c>
      <c r="CL1748" s="2" t="s">
        <v>86</v>
      </c>
      <c r="CM1748" s="2"/>
    </row>
    <row r="1749" spans="1:91">
      <c r="A1749" s="2" t="s">
        <v>71</v>
      </c>
      <c r="B1749" s="2" t="s">
        <v>72</v>
      </c>
      <c r="C1749" s="2" t="s">
        <v>73</v>
      </c>
      <c r="D1749" s="2"/>
      <c r="E1749" s="2" t="str">
        <f>"FES1162569333"</f>
        <v>FES1162569333</v>
      </c>
      <c r="F1749" s="3">
        <v>42963</v>
      </c>
      <c r="G1749" s="2">
        <v>201802</v>
      </c>
      <c r="H1749" s="2" t="s">
        <v>74</v>
      </c>
      <c r="I1749" s="2" t="s">
        <v>75</v>
      </c>
      <c r="J1749" s="2" t="s">
        <v>76</v>
      </c>
      <c r="K1749" s="2" t="s">
        <v>77</v>
      </c>
      <c r="L1749" s="2" t="s">
        <v>74</v>
      </c>
      <c r="M1749" s="2" t="s">
        <v>75</v>
      </c>
      <c r="N1749" s="2" t="s">
        <v>192</v>
      </c>
      <c r="O1749" s="2" t="s">
        <v>100</v>
      </c>
      <c r="P1749" s="2" t="str">
        <f>"2170585202                    "</f>
        <v xml:space="preserve">2170585202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3.13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1</v>
      </c>
      <c r="BI1749" s="2">
        <v>0.5</v>
      </c>
      <c r="BJ1749" s="2">
        <v>2.2999999999999998</v>
      </c>
      <c r="BK1749" s="2">
        <v>3</v>
      </c>
      <c r="BL1749" s="2">
        <v>32.380000000000003</v>
      </c>
      <c r="BM1749" s="2">
        <v>4.53</v>
      </c>
      <c r="BN1749" s="2">
        <v>36.909999999999997</v>
      </c>
      <c r="BO1749" s="2">
        <v>36.909999999999997</v>
      </c>
      <c r="BP1749" s="2"/>
      <c r="BQ1749" s="2" t="s">
        <v>1934</v>
      </c>
      <c r="BR1749" s="2" t="s">
        <v>84</v>
      </c>
      <c r="BS1749" s="3">
        <v>42964</v>
      </c>
      <c r="BT1749" s="4">
        <v>0.34930555555555554</v>
      </c>
      <c r="BU1749" s="2" t="s">
        <v>193</v>
      </c>
      <c r="BV1749" s="2" t="s">
        <v>95</v>
      </c>
      <c r="BW1749" s="2"/>
      <c r="BX1749" s="2"/>
      <c r="BY1749" s="2">
        <v>11284.6</v>
      </c>
      <c r="BZ1749" s="2" t="s">
        <v>27</v>
      </c>
      <c r="CA1749" s="2" t="s">
        <v>194</v>
      </c>
      <c r="CB1749" s="2"/>
      <c r="CC1749" s="2" t="s">
        <v>75</v>
      </c>
      <c r="CD1749" s="2">
        <v>1665</v>
      </c>
      <c r="CE1749" s="2" t="s">
        <v>104</v>
      </c>
      <c r="CF1749" s="5">
        <v>42965</v>
      </c>
      <c r="CG1749" s="2"/>
      <c r="CH1749" s="2"/>
      <c r="CI1749" s="2">
        <v>1</v>
      </c>
      <c r="CJ1749" s="2">
        <v>1</v>
      </c>
      <c r="CK1749" s="2">
        <v>22</v>
      </c>
      <c r="CL1749" s="2" t="s">
        <v>86</v>
      </c>
      <c r="CM1749" s="2"/>
    </row>
    <row r="1750" spans="1:91">
      <c r="A1750" s="2" t="s">
        <v>71</v>
      </c>
      <c r="B1750" s="2" t="s">
        <v>72</v>
      </c>
      <c r="C1750" s="2" t="s">
        <v>73</v>
      </c>
      <c r="D1750" s="2"/>
      <c r="E1750" s="2" t="str">
        <f>"FES1162569299"</f>
        <v>FES1162569299</v>
      </c>
      <c r="F1750" s="3">
        <v>42963</v>
      </c>
      <c r="G1750" s="2">
        <v>201802</v>
      </c>
      <c r="H1750" s="2" t="s">
        <v>74</v>
      </c>
      <c r="I1750" s="2" t="s">
        <v>75</v>
      </c>
      <c r="J1750" s="2" t="s">
        <v>76</v>
      </c>
      <c r="K1750" s="2" t="s">
        <v>77</v>
      </c>
      <c r="L1750" s="2" t="s">
        <v>144</v>
      </c>
      <c r="M1750" s="2" t="s">
        <v>145</v>
      </c>
      <c r="N1750" s="2" t="s">
        <v>1578</v>
      </c>
      <c r="O1750" s="2" t="s">
        <v>100</v>
      </c>
      <c r="P1750" s="2" t="str">
        <f>"2170582894                    "</f>
        <v xml:space="preserve">2170582894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3.13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1</v>
      </c>
      <c r="BJ1750" s="2">
        <v>0.2</v>
      </c>
      <c r="BK1750" s="2">
        <v>1</v>
      </c>
      <c r="BL1750" s="2">
        <v>32.380000000000003</v>
      </c>
      <c r="BM1750" s="2">
        <v>4.53</v>
      </c>
      <c r="BN1750" s="2">
        <v>36.909999999999997</v>
      </c>
      <c r="BO1750" s="2">
        <v>36.909999999999997</v>
      </c>
      <c r="BP1750" s="2"/>
      <c r="BQ1750" s="2" t="s">
        <v>108</v>
      </c>
      <c r="BR1750" s="2" t="s">
        <v>84</v>
      </c>
      <c r="BS1750" s="3">
        <v>42964</v>
      </c>
      <c r="BT1750" s="4">
        <v>0.42430555555555555</v>
      </c>
      <c r="BU1750" s="2" t="s">
        <v>1754</v>
      </c>
      <c r="BV1750" s="2" t="s">
        <v>95</v>
      </c>
      <c r="BW1750" s="2"/>
      <c r="BX1750" s="2"/>
      <c r="BY1750" s="2">
        <v>1200</v>
      </c>
      <c r="BZ1750" s="2" t="s">
        <v>27</v>
      </c>
      <c r="CA1750" s="2"/>
      <c r="CB1750" s="2"/>
      <c r="CC1750" s="2" t="s">
        <v>145</v>
      </c>
      <c r="CD1750" s="2">
        <v>2197</v>
      </c>
      <c r="CE1750" s="2" t="s">
        <v>104</v>
      </c>
      <c r="CF1750" s="5">
        <v>42965</v>
      </c>
      <c r="CG1750" s="2"/>
      <c r="CH1750" s="2"/>
      <c r="CI1750" s="2">
        <v>1</v>
      </c>
      <c r="CJ1750" s="2">
        <v>1</v>
      </c>
      <c r="CK1750" s="2">
        <v>22</v>
      </c>
      <c r="CL1750" s="2" t="s">
        <v>86</v>
      </c>
      <c r="CM1750" s="2"/>
    </row>
    <row r="1751" spans="1:91">
      <c r="A1751" s="2" t="s">
        <v>71</v>
      </c>
      <c r="B1751" s="2" t="s">
        <v>72</v>
      </c>
      <c r="C1751" s="2" t="s">
        <v>73</v>
      </c>
      <c r="D1751" s="2"/>
      <c r="E1751" s="2" t="str">
        <f>"FES1162569320"</f>
        <v>FES1162569320</v>
      </c>
      <c r="F1751" s="3">
        <v>42963</v>
      </c>
      <c r="G1751" s="2">
        <v>201802</v>
      </c>
      <c r="H1751" s="2" t="s">
        <v>74</v>
      </c>
      <c r="I1751" s="2" t="s">
        <v>75</v>
      </c>
      <c r="J1751" s="2" t="s">
        <v>76</v>
      </c>
      <c r="K1751" s="2" t="s">
        <v>77</v>
      </c>
      <c r="L1751" s="2" t="s">
        <v>244</v>
      </c>
      <c r="M1751" s="2" t="s">
        <v>245</v>
      </c>
      <c r="N1751" s="2" t="s">
        <v>553</v>
      </c>
      <c r="O1751" s="2" t="s">
        <v>100</v>
      </c>
      <c r="P1751" s="2" t="str">
        <f>"2170585188                    "</f>
        <v xml:space="preserve">2170585188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3.13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1</v>
      </c>
      <c r="BJ1751" s="2">
        <v>0.2</v>
      </c>
      <c r="BK1751" s="2">
        <v>1</v>
      </c>
      <c r="BL1751" s="2">
        <v>32.380000000000003</v>
      </c>
      <c r="BM1751" s="2">
        <v>4.53</v>
      </c>
      <c r="BN1751" s="2">
        <v>36.909999999999997</v>
      </c>
      <c r="BO1751" s="2">
        <v>36.909999999999997</v>
      </c>
      <c r="BP1751" s="2"/>
      <c r="BQ1751" s="2" t="s">
        <v>83</v>
      </c>
      <c r="BR1751" s="2" t="s">
        <v>84</v>
      </c>
      <c r="BS1751" s="3">
        <v>42964</v>
      </c>
      <c r="BT1751" s="4">
        <v>0.33263888888888887</v>
      </c>
      <c r="BU1751" s="2" t="s">
        <v>2366</v>
      </c>
      <c r="BV1751" s="2" t="s">
        <v>95</v>
      </c>
      <c r="BW1751" s="2"/>
      <c r="BX1751" s="2"/>
      <c r="BY1751" s="2">
        <v>1200</v>
      </c>
      <c r="BZ1751" s="2" t="s">
        <v>27</v>
      </c>
      <c r="CA1751" s="2" t="s">
        <v>499</v>
      </c>
      <c r="CB1751" s="2"/>
      <c r="CC1751" s="2" t="s">
        <v>245</v>
      </c>
      <c r="CD1751" s="2">
        <v>1460</v>
      </c>
      <c r="CE1751" s="2" t="s">
        <v>104</v>
      </c>
      <c r="CF1751" s="5">
        <v>42965</v>
      </c>
      <c r="CG1751" s="2"/>
      <c r="CH1751" s="2"/>
      <c r="CI1751" s="2">
        <v>1</v>
      </c>
      <c r="CJ1751" s="2">
        <v>1</v>
      </c>
      <c r="CK1751" s="2">
        <v>22</v>
      </c>
      <c r="CL1751" s="2" t="s">
        <v>86</v>
      </c>
      <c r="CM1751" s="2"/>
    </row>
    <row r="1752" spans="1:91">
      <c r="A1752" s="2" t="s">
        <v>71</v>
      </c>
      <c r="B1752" s="2" t="s">
        <v>72</v>
      </c>
      <c r="C1752" s="2" t="s">
        <v>73</v>
      </c>
      <c r="D1752" s="2"/>
      <c r="E1752" s="2" t="str">
        <f>"FES1162569276"</f>
        <v>FES1162569276</v>
      </c>
      <c r="F1752" s="3">
        <v>42963</v>
      </c>
      <c r="G1752" s="2">
        <v>201802</v>
      </c>
      <c r="H1752" s="2" t="s">
        <v>74</v>
      </c>
      <c r="I1752" s="2" t="s">
        <v>75</v>
      </c>
      <c r="J1752" s="2" t="s">
        <v>76</v>
      </c>
      <c r="K1752" s="2" t="s">
        <v>77</v>
      </c>
      <c r="L1752" s="2" t="s">
        <v>74</v>
      </c>
      <c r="M1752" s="2" t="s">
        <v>75</v>
      </c>
      <c r="N1752" s="2" t="s">
        <v>821</v>
      </c>
      <c r="O1752" s="2" t="s">
        <v>100</v>
      </c>
      <c r="P1752" s="2" t="str">
        <f>"2170585181                    "</f>
        <v xml:space="preserve">2170585181 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3.13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2</v>
      </c>
      <c r="BJ1752" s="2">
        <v>3.5</v>
      </c>
      <c r="BK1752" s="2">
        <v>4</v>
      </c>
      <c r="BL1752" s="2">
        <v>32.380000000000003</v>
      </c>
      <c r="BM1752" s="2">
        <v>4.53</v>
      </c>
      <c r="BN1752" s="2">
        <v>36.909999999999997</v>
      </c>
      <c r="BO1752" s="2">
        <v>36.909999999999997</v>
      </c>
      <c r="BP1752" s="2"/>
      <c r="BQ1752" s="2" t="s">
        <v>83</v>
      </c>
      <c r="BR1752" s="2" t="s">
        <v>84</v>
      </c>
      <c r="BS1752" s="3">
        <v>42964</v>
      </c>
      <c r="BT1752" s="4">
        <v>0.375</v>
      </c>
      <c r="BU1752" s="2" t="s">
        <v>1517</v>
      </c>
      <c r="BV1752" s="2" t="s">
        <v>95</v>
      </c>
      <c r="BW1752" s="2"/>
      <c r="BX1752" s="2"/>
      <c r="BY1752" s="2">
        <v>17715.240000000002</v>
      </c>
      <c r="BZ1752" s="2" t="s">
        <v>27</v>
      </c>
      <c r="CA1752" s="2" t="s">
        <v>194</v>
      </c>
      <c r="CB1752" s="2"/>
      <c r="CC1752" s="2" t="s">
        <v>75</v>
      </c>
      <c r="CD1752" s="2">
        <v>1665</v>
      </c>
      <c r="CE1752" s="2" t="s">
        <v>104</v>
      </c>
      <c r="CF1752" s="5">
        <v>42965</v>
      </c>
      <c r="CG1752" s="2"/>
      <c r="CH1752" s="2"/>
      <c r="CI1752" s="2">
        <v>1</v>
      </c>
      <c r="CJ1752" s="2">
        <v>1</v>
      </c>
      <c r="CK1752" s="2">
        <v>22</v>
      </c>
      <c r="CL1752" s="2" t="s">
        <v>86</v>
      </c>
      <c r="CM1752" s="2"/>
    </row>
    <row r="1753" spans="1:91">
      <c r="A1753" s="2" t="s">
        <v>71</v>
      </c>
      <c r="B1753" s="2" t="s">
        <v>72</v>
      </c>
      <c r="C1753" s="2" t="s">
        <v>73</v>
      </c>
      <c r="D1753" s="2"/>
      <c r="E1753" s="2" t="str">
        <f>"FES1162569415"</f>
        <v>FES1162569415</v>
      </c>
      <c r="F1753" s="3">
        <v>42963</v>
      </c>
      <c r="G1753" s="2">
        <v>201802</v>
      </c>
      <c r="H1753" s="2" t="s">
        <v>74</v>
      </c>
      <c r="I1753" s="2" t="s">
        <v>75</v>
      </c>
      <c r="J1753" s="2" t="s">
        <v>76</v>
      </c>
      <c r="K1753" s="2" t="s">
        <v>77</v>
      </c>
      <c r="L1753" s="2" t="s">
        <v>74</v>
      </c>
      <c r="M1753" s="2" t="s">
        <v>75</v>
      </c>
      <c r="N1753" s="2" t="s">
        <v>2409</v>
      </c>
      <c r="O1753" s="2" t="s">
        <v>100</v>
      </c>
      <c r="P1753" s="2" t="str">
        <f>"2170582744                    "</f>
        <v xml:space="preserve">2170582744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3.13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1</v>
      </c>
      <c r="BJ1753" s="2">
        <v>0.2</v>
      </c>
      <c r="BK1753" s="2">
        <v>1</v>
      </c>
      <c r="BL1753" s="2">
        <v>32.380000000000003</v>
      </c>
      <c r="BM1753" s="2">
        <v>4.53</v>
      </c>
      <c r="BN1753" s="2">
        <v>36.909999999999997</v>
      </c>
      <c r="BO1753" s="2">
        <v>36.909999999999997</v>
      </c>
      <c r="BP1753" s="2"/>
      <c r="BQ1753" s="2" t="s">
        <v>83</v>
      </c>
      <c r="BR1753" s="2" t="s">
        <v>84</v>
      </c>
      <c r="BS1753" s="3">
        <v>42964</v>
      </c>
      <c r="BT1753" s="4">
        <v>0.41666666666666669</v>
      </c>
      <c r="BU1753" s="2" t="s">
        <v>2410</v>
      </c>
      <c r="BV1753" s="2" t="s">
        <v>95</v>
      </c>
      <c r="BW1753" s="2"/>
      <c r="BX1753" s="2"/>
      <c r="BY1753" s="2">
        <v>1200</v>
      </c>
      <c r="BZ1753" s="2" t="s">
        <v>27</v>
      </c>
      <c r="CA1753" s="2" t="s">
        <v>2411</v>
      </c>
      <c r="CB1753" s="2"/>
      <c r="CC1753" s="2" t="s">
        <v>75</v>
      </c>
      <c r="CD1753" s="2">
        <v>1623</v>
      </c>
      <c r="CE1753" s="2" t="s">
        <v>104</v>
      </c>
      <c r="CF1753" s="5">
        <v>42965</v>
      </c>
      <c r="CG1753" s="2"/>
      <c r="CH1753" s="2"/>
      <c r="CI1753" s="2">
        <v>1</v>
      </c>
      <c r="CJ1753" s="2">
        <v>1</v>
      </c>
      <c r="CK1753" s="2">
        <v>22</v>
      </c>
      <c r="CL1753" s="2" t="s">
        <v>86</v>
      </c>
      <c r="CM1753" s="2"/>
    </row>
    <row r="1754" spans="1:91">
      <c r="A1754" s="2" t="s">
        <v>71</v>
      </c>
      <c r="B1754" s="2" t="s">
        <v>72</v>
      </c>
      <c r="C1754" s="2" t="s">
        <v>73</v>
      </c>
      <c r="D1754" s="2"/>
      <c r="E1754" s="2" t="str">
        <f>"FES1162569369"</f>
        <v>FES1162569369</v>
      </c>
      <c r="F1754" s="3">
        <v>42963</v>
      </c>
      <c r="G1754" s="2">
        <v>201802</v>
      </c>
      <c r="H1754" s="2" t="s">
        <v>74</v>
      </c>
      <c r="I1754" s="2" t="s">
        <v>75</v>
      </c>
      <c r="J1754" s="2" t="s">
        <v>76</v>
      </c>
      <c r="K1754" s="2" t="s">
        <v>77</v>
      </c>
      <c r="L1754" s="2" t="s">
        <v>128</v>
      </c>
      <c r="M1754" s="2" t="s">
        <v>129</v>
      </c>
      <c r="N1754" s="2" t="s">
        <v>2298</v>
      </c>
      <c r="O1754" s="2" t="s">
        <v>100</v>
      </c>
      <c r="P1754" s="2" t="str">
        <f>"2170584993                    "</f>
        <v xml:space="preserve">2170584993 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3.13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1</v>
      </c>
      <c r="BI1754" s="2">
        <v>1</v>
      </c>
      <c r="BJ1754" s="2">
        <v>0.2</v>
      </c>
      <c r="BK1754" s="2">
        <v>1</v>
      </c>
      <c r="BL1754" s="2">
        <v>32.380000000000003</v>
      </c>
      <c r="BM1754" s="2">
        <v>4.53</v>
      </c>
      <c r="BN1754" s="2">
        <v>36.909999999999997</v>
      </c>
      <c r="BO1754" s="2">
        <v>36.909999999999997</v>
      </c>
      <c r="BP1754" s="2"/>
      <c r="BQ1754" s="2" t="s">
        <v>108</v>
      </c>
      <c r="BR1754" s="2" t="s">
        <v>84</v>
      </c>
      <c r="BS1754" s="3">
        <v>42964</v>
      </c>
      <c r="BT1754" s="4">
        <v>0.44444444444444442</v>
      </c>
      <c r="BU1754" s="2" t="s">
        <v>2412</v>
      </c>
      <c r="BV1754" s="2" t="s">
        <v>95</v>
      </c>
      <c r="BW1754" s="2"/>
      <c r="BX1754" s="2"/>
      <c r="BY1754" s="2">
        <v>1200</v>
      </c>
      <c r="BZ1754" s="2" t="s">
        <v>27</v>
      </c>
      <c r="CA1754" s="2" t="s">
        <v>923</v>
      </c>
      <c r="CB1754" s="2"/>
      <c r="CC1754" s="2" t="s">
        <v>129</v>
      </c>
      <c r="CD1754" s="2">
        <v>1709</v>
      </c>
      <c r="CE1754" s="2" t="s">
        <v>104</v>
      </c>
      <c r="CF1754" s="5">
        <v>42965</v>
      </c>
      <c r="CG1754" s="2"/>
      <c r="CH1754" s="2"/>
      <c r="CI1754" s="2">
        <v>1</v>
      </c>
      <c r="CJ1754" s="2">
        <v>1</v>
      </c>
      <c r="CK1754" s="2">
        <v>22</v>
      </c>
      <c r="CL1754" s="2" t="s">
        <v>86</v>
      </c>
      <c r="CM1754" s="2"/>
    </row>
    <row r="1755" spans="1:91">
      <c r="A1755" s="2" t="s">
        <v>71</v>
      </c>
      <c r="B1755" s="2" t="s">
        <v>72</v>
      </c>
      <c r="C1755" s="2" t="s">
        <v>73</v>
      </c>
      <c r="D1755" s="2"/>
      <c r="E1755" s="2" t="str">
        <f>"FES1162569288"</f>
        <v>FES1162569288</v>
      </c>
      <c r="F1755" s="3">
        <v>42963</v>
      </c>
      <c r="G1755" s="2">
        <v>201802</v>
      </c>
      <c r="H1755" s="2" t="s">
        <v>74</v>
      </c>
      <c r="I1755" s="2" t="s">
        <v>75</v>
      </c>
      <c r="J1755" s="2" t="s">
        <v>76</v>
      </c>
      <c r="K1755" s="2" t="s">
        <v>77</v>
      </c>
      <c r="L1755" s="2" t="s">
        <v>244</v>
      </c>
      <c r="M1755" s="2" t="s">
        <v>245</v>
      </c>
      <c r="N1755" s="2" t="s">
        <v>551</v>
      </c>
      <c r="O1755" s="2" t="s">
        <v>100</v>
      </c>
      <c r="P1755" s="2" t="str">
        <f>"2170582537                    "</f>
        <v xml:space="preserve">2170582537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3.13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0.3</v>
      </c>
      <c r="BJ1755" s="2">
        <v>3</v>
      </c>
      <c r="BK1755" s="2">
        <v>3</v>
      </c>
      <c r="BL1755" s="2">
        <v>32.380000000000003</v>
      </c>
      <c r="BM1755" s="2">
        <v>4.53</v>
      </c>
      <c r="BN1755" s="2">
        <v>36.909999999999997</v>
      </c>
      <c r="BO1755" s="2">
        <v>36.909999999999997</v>
      </c>
      <c r="BP1755" s="2"/>
      <c r="BQ1755" s="2" t="s">
        <v>108</v>
      </c>
      <c r="BR1755" s="2" t="s">
        <v>84</v>
      </c>
      <c r="BS1755" s="3">
        <v>42964</v>
      </c>
      <c r="BT1755" s="4">
        <v>0.36527777777777781</v>
      </c>
      <c r="BU1755" s="2" t="s">
        <v>732</v>
      </c>
      <c r="BV1755" s="2" t="s">
        <v>95</v>
      </c>
      <c r="BW1755" s="2"/>
      <c r="BX1755" s="2"/>
      <c r="BY1755" s="2">
        <v>15087.27</v>
      </c>
      <c r="BZ1755" s="2" t="s">
        <v>27</v>
      </c>
      <c r="CA1755" s="2" t="s">
        <v>733</v>
      </c>
      <c r="CB1755" s="2"/>
      <c r="CC1755" s="2" t="s">
        <v>245</v>
      </c>
      <c r="CD1755" s="2">
        <v>1459</v>
      </c>
      <c r="CE1755" s="2" t="s">
        <v>104</v>
      </c>
      <c r="CF1755" s="5">
        <v>42965</v>
      </c>
      <c r="CG1755" s="2"/>
      <c r="CH1755" s="2"/>
      <c r="CI1755" s="2">
        <v>1</v>
      </c>
      <c r="CJ1755" s="2">
        <v>1</v>
      </c>
      <c r="CK1755" s="2">
        <v>22</v>
      </c>
      <c r="CL1755" s="2" t="s">
        <v>86</v>
      </c>
      <c r="CM1755" s="2"/>
    </row>
    <row r="1756" spans="1:91">
      <c r="A1756" s="2" t="s">
        <v>71</v>
      </c>
      <c r="B1756" s="2" t="s">
        <v>72</v>
      </c>
      <c r="C1756" s="2" t="s">
        <v>73</v>
      </c>
      <c r="D1756" s="2"/>
      <c r="E1756" s="2" t="str">
        <f>"FES1162569279"</f>
        <v>FES1162569279</v>
      </c>
      <c r="F1756" s="3">
        <v>42963</v>
      </c>
      <c r="G1756" s="2">
        <v>201802</v>
      </c>
      <c r="H1756" s="2" t="s">
        <v>74</v>
      </c>
      <c r="I1756" s="2" t="s">
        <v>75</v>
      </c>
      <c r="J1756" s="2" t="s">
        <v>76</v>
      </c>
      <c r="K1756" s="2" t="s">
        <v>77</v>
      </c>
      <c r="L1756" s="2" t="s">
        <v>244</v>
      </c>
      <c r="M1756" s="2" t="s">
        <v>245</v>
      </c>
      <c r="N1756" s="2" t="s">
        <v>793</v>
      </c>
      <c r="O1756" s="2" t="s">
        <v>100</v>
      </c>
      <c r="P1756" s="2" t="str">
        <f>"2170576725                    "</f>
        <v xml:space="preserve">2170576725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3.13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1</v>
      </c>
      <c r="BJ1756" s="2">
        <v>0.2</v>
      </c>
      <c r="BK1756" s="2">
        <v>1</v>
      </c>
      <c r="BL1756" s="2">
        <v>32.380000000000003</v>
      </c>
      <c r="BM1756" s="2">
        <v>4.53</v>
      </c>
      <c r="BN1756" s="2">
        <v>36.909999999999997</v>
      </c>
      <c r="BO1756" s="2">
        <v>36.909999999999997</v>
      </c>
      <c r="BP1756" s="2"/>
      <c r="BQ1756" s="2" t="s">
        <v>1383</v>
      </c>
      <c r="BR1756" s="2" t="s">
        <v>84</v>
      </c>
      <c r="BS1756" s="3">
        <v>42964</v>
      </c>
      <c r="BT1756" s="4">
        <v>0.3923611111111111</v>
      </c>
      <c r="BU1756" s="2" t="s">
        <v>2116</v>
      </c>
      <c r="BV1756" s="2" t="s">
        <v>95</v>
      </c>
      <c r="BW1756" s="2"/>
      <c r="BX1756" s="2"/>
      <c r="BY1756" s="2">
        <v>1200</v>
      </c>
      <c r="BZ1756" s="2" t="s">
        <v>27</v>
      </c>
      <c r="CA1756" s="2" t="s">
        <v>499</v>
      </c>
      <c r="CB1756" s="2"/>
      <c r="CC1756" s="2" t="s">
        <v>245</v>
      </c>
      <c r="CD1756" s="2">
        <v>1459</v>
      </c>
      <c r="CE1756" s="2" t="s">
        <v>104</v>
      </c>
      <c r="CF1756" s="5">
        <v>42965</v>
      </c>
      <c r="CG1756" s="2"/>
      <c r="CH1756" s="2"/>
      <c r="CI1756" s="2">
        <v>1</v>
      </c>
      <c r="CJ1756" s="2">
        <v>1</v>
      </c>
      <c r="CK1756" s="2">
        <v>22</v>
      </c>
      <c r="CL1756" s="2" t="s">
        <v>86</v>
      </c>
      <c r="CM1756" s="2"/>
    </row>
    <row r="1757" spans="1:91">
      <c r="A1757" s="2" t="s">
        <v>71</v>
      </c>
      <c r="B1757" s="2" t="s">
        <v>72</v>
      </c>
      <c r="C1757" s="2" t="s">
        <v>73</v>
      </c>
      <c r="D1757" s="2"/>
      <c r="E1757" s="2" t="str">
        <f>"FES1162569259"</f>
        <v>FES1162569259</v>
      </c>
      <c r="F1757" s="3">
        <v>42963</v>
      </c>
      <c r="G1757" s="2">
        <v>201802</v>
      </c>
      <c r="H1757" s="2" t="s">
        <v>74</v>
      </c>
      <c r="I1757" s="2" t="s">
        <v>75</v>
      </c>
      <c r="J1757" s="2" t="s">
        <v>76</v>
      </c>
      <c r="K1757" s="2" t="s">
        <v>77</v>
      </c>
      <c r="L1757" s="2" t="s">
        <v>97</v>
      </c>
      <c r="M1757" s="2" t="s">
        <v>98</v>
      </c>
      <c r="N1757" s="2" t="s">
        <v>292</v>
      </c>
      <c r="O1757" s="2" t="s">
        <v>100</v>
      </c>
      <c r="P1757" s="2" t="str">
        <f>"2170585160                    "</f>
        <v xml:space="preserve">2170585160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4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1</v>
      </c>
      <c r="BJ1757" s="2">
        <v>0.2</v>
      </c>
      <c r="BK1757" s="2">
        <v>1</v>
      </c>
      <c r="BL1757" s="2">
        <v>41.44</v>
      </c>
      <c r="BM1757" s="2">
        <v>5.8</v>
      </c>
      <c r="BN1757" s="2">
        <v>47.24</v>
      </c>
      <c r="BO1757" s="2">
        <v>47.24</v>
      </c>
      <c r="BP1757" s="2"/>
      <c r="BQ1757" s="2" t="s">
        <v>83</v>
      </c>
      <c r="BR1757" s="2" t="s">
        <v>84</v>
      </c>
      <c r="BS1757" s="3">
        <v>42964</v>
      </c>
      <c r="BT1757" s="4">
        <v>0.3298611111111111</v>
      </c>
      <c r="BU1757" s="2" t="s">
        <v>2413</v>
      </c>
      <c r="BV1757" s="2" t="s">
        <v>95</v>
      </c>
      <c r="BW1757" s="2"/>
      <c r="BX1757" s="2"/>
      <c r="BY1757" s="2">
        <v>1200</v>
      </c>
      <c r="BZ1757" s="2" t="s">
        <v>27</v>
      </c>
      <c r="CA1757" s="2" t="s">
        <v>804</v>
      </c>
      <c r="CB1757" s="2"/>
      <c r="CC1757" s="2" t="s">
        <v>98</v>
      </c>
      <c r="CD1757" s="2">
        <v>6001</v>
      </c>
      <c r="CE1757" s="2" t="s">
        <v>104</v>
      </c>
      <c r="CF1757" s="5">
        <v>42965</v>
      </c>
      <c r="CG1757" s="2"/>
      <c r="CH1757" s="2"/>
      <c r="CI1757" s="2">
        <v>1</v>
      </c>
      <c r="CJ1757" s="2">
        <v>1</v>
      </c>
      <c r="CK1757" s="2">
        <v>21</v>
      </c>
      <c r="CL1757" s="2" t="s">
        <v>86</v>
      </c>
      <c r="CM1757" s="2"/>
    </row>
    <row r="1758" spans="1:91">
      <c r="A1758" s="2" t="s">
        <v>71</v>
      </c>
      <c r="B1758" s="2" t="s">
        <v>72</v>
      </c>
      <c r="C1758" s="2" t="s">
        <v>73</v>
      </c>
      <c r="D1758" s="2"/>
      <c r="E1758" s="2" t="str">
        <f>"FES1162569363"</f>
        <v>FES1162569363</v>
      </c>
      <c r="F1758" s="3">
        <v>42963</v>
      </c>
      <c r="G1758" s="2">
        <v>201802</v>
      </c>
      <c r="H1758" s="2" t="s">
        <v>74</v>
      </c>
      <c r="I1758" s="2" t="s">
        <v>75</v>
      </c>
      <c r="J1758" s="2" t="s">
        <v>76</v>
      </c>
      <c r="K1758" s="2" t="s">
        <v>77</v>
      </c>
      <c r="L1758" s="2" t="s">
        <v>244</v>
      </c>
      <c r="M1758" s="2" t="s">
        <v>245</v>
      </c>
      <c r="N1758" s="2" t="s">
        <v>551</v>
      </c>
      <c r="O1758" s="2" t="s">
        <v>100</v>
      </c>
      <c r="P1758" s="2" t="str">
        <f>"2170584004                    "</f>
        <v xml:space="preserve">2170584004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3.13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1</v>
      </c>
      <c r="BJ1758" s="2">
        <v>0.2</v>
      </c>
      <c r="BK1758" s="2">
        <v>1</v>
      </c>
      <c r="BL1758" s="2">
        <v>32.380000000000003</v>
      </c>
      <c r="BM1758" s="2">
        <v>4.53</v>
      </c>
      <c r="BN1758" s="2">
        <v>36.909999999999997</v>
      </c>
      <c r="BO1758" s="2">
        <v>36.909999999999997</v>
      </c>
      <c r="BP1758" s="2"/>
      <c r="BQ1758" s="2" t="s">
        <v>108</v>
      </c>
      <c r="BR1758" s="2" t="s">
        <v>84</v>
      </c>
      <c r="BS1758" s="3">
        <v>42964</v>
      </c>
      <c r="BT1758" s="4">
        <v>0.36527777777777781</v>
      </c>
      <c r="BU1758" s="2" t="s">
        <v>732</v>
      </c>
      <c r="BV1758" s="2" t="s">
        <v>95</v>
      </c>
      <c r="BW1758" s="2"/>
      <c r="BX1758" s="2"/>
      <c r="BY1758" s="2">
        <v>1200</v>
      </c>
      <c r="BZ1758" s="2" t="s">
        <v>27</v>
      </c>
      <c r="CA1758" s="2" t="s">
        <v>733</v>
      </c>
      <c r="CB1758" s="2"/>
      <c r="CC1758" s="2" t="s">
        <v>245</v>
      </c>
      <c r="CD1758" s="2">
        <v>1459</v>
      </c>
      <c r="CE1758" s="2" t="s">
        <v>104</v>
      </c>
      <c r="CF1758" s="5">
        <v>42965</v>
      </c>
      <c r="CG1758" s="2"/>
      <c r="CH1758" s="2"/>
      <c r="CI1758" s="2">
        <v>1</v>
      </c>
      <c r="CJ1758" s="2">
        <v>1</v>
      </c>
      <c r="CK1758" s="2">
        <v>22</v>
      </c>
      <c r="CL1758" s="2" t="s">
        <v>86</v>
      </c>
      <c r="CM1758" s="2"/>
    </row>
    <row r="1759" spans="1:91">
      <c r="A1759" s="2" t="s">
        <v>71</v>
      </c>
      <c r="B1759" s="2" t="s">
        <v>72</v>
      </c>
      <c r="C1759" s="2" t="s">
        <v>73</v>
      </c>
      <c r="D1759" s="2"/>
      <c r="E1759" s="2" t="str">
        <f>"FES11625685143"</f>
        <v>FES11625685143</v>
      </c>
      <c r="F1759" s="3">
        <v>42963</v>
      </c>
      <c r="G1759" s="2">
        <v>201802</v>
      </c>
      <c r="H1759" s="2" t="s">
        <v>74</v>
      </c>
      <c r="I1759" s="2" t="s">
        <v>75</v>
      </c>
      <c r="J1759" s="2" t="s">
        <v>76</v>
      </c>
      <c r="K1759" s="2" t="s">
        <v>77</v>
      </c>
      <c r="L1759" s="2" t="s">
        <v>144</v>
      </c>
      <c r="M1759" s="2" t="s">
        <v>145</v>
      </c>
      <c r="N1759" s="2" t="s">
        <v>2414</v>
      </c>
      <c r="O1759" s="2" t="s">
        <v>100</v>
      </c>
      <c r="P1759" s="2" t="str">
        <f>"2170585143                    "</f>
        <v xml:space="preserve">2170585143 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3.13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1</v>
      </c>
      <c r="BI1759" s="2">
        <v>1</v>
      </c>
      <c r="BJ1759" s="2">
        <v>0.2</v>
      </c>
      <c r="BK1759" s="2">
        <v>1</v>
      </c>
      <c r="BL1759" s="2">
        <v>32.380000000000003</v>
      </c>
      <c r="BM1759" s="2">
        <v>4.53</v>
      </c>
      <c r="BN1759" s="2">
        <v>36.909999999999997</v>
      </c>
      <c r="BO1759" s="2">
        <v>36.909999999999997</v>
      </c>
      <c r="BP1759" s="2"/>
      <c r="BQ1759" s="2" t="s">
        <v>108</v>
      </c>
      <c r="BR1759" s="2" t="s">
        <v>84</v>
      </c>
      <c r="BS1759" s="3">
        <v>42964</v>
      </c>
      <c r="BT1759" s="4">
        <v>0.43055555555555558</v>
      </c>
      <c r="BU1759" s="2" t="s">
        <v>2415</v>
      </c>
      <c r="BV1759" s="2" t="s">
        <v>95</v>
      </c>
      <c r="BW1759" s="2"/>
      <c r="BX1759" s="2"/>
      <c r="BY1759" s="2">
        <v>1200</v>
      </c>
      <c r="BZ1759" s="2" t="s">
        <v>27</v>
      </c>
      <c r="CA1759" s="2"/>
      <c r="CB1759" s="2"/>
      <c r="CC1759" s="2" t="s">
        <v>145</v>
      </c>
      <c r="CD1759" s="2">
        <v>2090</v>
      </c>
      <c r="CE1759" s="2" t="s">
        <v>104</v>
      </c>
      <c r="CF1759" s="2"/>
      <c r="CG1759" s="2"/>
      <c r="CH1759" s="2"/>
      <c r="CI1759" s="2">
        <v>1</v>
      </c>
      <c r="CJ1759" s="2">
        <v>1</v>
      </c>
      <c r="CK1759" s="2">
        <v>22</v>
      </c>
      <c r="CL1759" s="2" t="s">
        <v>86</v>
      </c>
      <c r="CM1759" s="2"/>
    </row>
    <row r="1760" spans="1:91">
      <c r="A1760" s="2" t="s">
        <v>71</v>
      </c>
      <c r="B1760" s="2" t="s">
        <v>72</v>
      </c>
      <c r="C1760" s="2" t="s">
        <v>73</v>
      </c>
      <c r="D1760" s="2"/>
      <c r="E1760" s="2" t="str">
        <f>"FES1162569314"</f>
        <v>FES1162569314</v>
      </c>
      <c r="F1760" s="3">
        <v>42963</v>
      </c>
      <c r="G1760" s="2">
        <v>201802</v>
      </c>
      <c r="H1760" s="2" t="s">
        <v>74</v>
      </c>
      <c r="I1760" s="2" t="s">
        <v>75</v>
      </c>
      <c r="J1760" s="2" t="s">
        <v>76</v>
      </c>
      <c r="K1760" s="2" t="s">
        <v>77</v>
      </c>
      <c r="L1760" s="2" t="s">
        <v>128</v>
      </c>
      <c r="M1760" s="2" t="s">
        <v>129</v>
      </c>
      <c r="N1760" s="2" t="s">
        <v>2298</v>
      </c>
      <c r="O1760" s="2" t="s">
        <v>100</v>
      </c>
      <c r="P1760" s="2" t="str">
        <f>"2170584993                    "</f>
        <v xml:space="preserve">2170584993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3.13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1</v>
      </c>
      <c r="BI1760" s="2">
        <v>1</v>
      </c>
      <c r="BJ1760" s="2">
        <v>0.2</v>
      </c>
      <c r="BK1760" s="2">
        <v>1</v>
      </c>
      <c r="BL1760" s="2">
        <v>32.380000000000003</v>
      </c>
      <c r="BM1760" s="2">
        <v>4.53</v>
      </c>
      <c r="BN1760" s="2">
        <v>36.909999999999997</v>
      </c>
      <c r="BO1760" s="2">
        <v>36.909999999999997</v>
      </c>
      <c r="BP1760" s="2"/>
      <c r="BQ1760" s="2" t="s">
        <v>108</v>
      </c>
      <c r="BR1760" s="2" t="s">
        <v>84</v>
      </c>
      <c r="BS1760" s="3">
        <v>42964</v>
      </c>
      <c r="BT1760" s="4">
        <v>0.40833333333333338</v>
      </c>
      <c r="BU1760" s="2" t="s">
        <v>2412</v>
      </c>
      <c r="BV1760" s="2" t="s">
        <v>95</v>
      </c>
      <c r="BW1760" s="2"/>
      <c r="BX1760" s="2"/>
      <c r="BY1760" s="2">
        <v>1200</v>
      </c>
      <c r="BZ1760" s="2" t="s">
        <v>27</v>
      </c>
      <c r="CA1760" s="2" t="s">
        <v>923</v>
      </c>
      <c r="CB1760" s="2"/>
      <c r="CC1760" s="2" t="s">
        <v>129</v>
      </c>
      <c r="CD1760" s="2">
        <v>1709</v>
      </c>
      <c r="CE1760" s="2" t="s">
        <v>104</v>
      </c>
      <c r="CF1760" s="5">
        <v>42965</v>
      </c>
      <c r="CG1760" s="2"/>
      <c r="CH1760" s="2"/>
      <c r="CI1760" s="2">
        <v>1</v>
      </c>
      <c r="CJ1760" s="2">
        <v>1</v>
      </c>
      <c r="CK1760" s="2">
        <v>22</v>
      </c>
      <c r="CL1760" s="2" t="s">
        <v>86</v>
      </c>
      <c r="CM1760" s="2"/>
    </row>
    <row r="1761" spans="1:91">
      <c r="A1761" s="2" t="s">
        <v>71</v>
      </c>
      <c r="B1761" s="2" t="s">
        <v>72</v>
      </c>
      <c r="C1761" s="2" t="s">
        <v>73</v>
      </c>
      <c r="D1761" s="2"/>
      <c r="E1761" s="2" t="str">
        <f>"FES1162569348"</f>
        <v>FES1162569348</v>
      </c>
      <c r="F1761" s="3">
        <v>42963</v>
      </c>
      <c r="G1761" s="2">
        <v>201802</v>
      </c>
      <c r="H1761" s="2" t="s">
        <v>74</v>
      </c>
      <c r="I1761" s="2" t="s">
        <v>75</v>
      </c>
      <c r="J1761" s="2" t="s">
        <v>76</v>
      </c>
      <c r="K1761" s="2" t="s">
        <v>77</v>
      </c>
      <c r="L1761" s="2" t="s">
        <v>174</v>
      </c>
      <c r="M1761" s="2" t="s">
        <v>175</v>
      </c>
      <c r="N1761" s="2" t="s">
        <v>1821</v>
      </c>
      <c r="O1761" s="2" t="s">
        <v>100</v>
      </c>
      <c r="P1761" s="2" t="str">
        <f>"2170581884                    "</f>
        <v xml:space="preserve">2170581884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4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1</v>
      </c>
      <c r="BI1761" s="2">
        <v>1</v>
      </c>
      <c r="BJ1761" s="2">
        <v>0.2</v>
      </c>
      <c r="BK1761" s="2">
        <v>1</v>
      </c>
      <c r="BL1761" s="2">
        <v>41.44</v>
      </c>
      <c r="BM1761" s="2">
        <v>5.8</v>
      </c>
      <c r="BN1761" s="2">
        <v>47.24</v>
      </c>
      <c r="BO1761" s="2">
        <v>47.24</v>
      </c>
      <c r="BP1761" s="2"/>
      <c r="BQ1761" s="2" t="s">
        <v>1822</v>
      </c>
      <c r="BR1761" s="2" t="s">
        <v>84</v>
      </c>
      <c r="BS1761" s="3">
        <v>42965</v>
      </c>
      <c r="BT1761" s="4">
        <v>0.39374999999999999</v>
      </c>
      <c r="BU1761" s="2" t="s">
        <v>1822</v>
      </c>
      <c r="BV1761" s="2" t="s">
        <v>86</v>
      </c>
      <c r="BW1761" s="2" t="s">
        <v>336</v>
      </c>
      <c r="BX1761" s="2" t="s">
        <v>592</v>
      </c>
      <c r="BY1761" s="2">
        <v>1200</v>
      </c>
      <c r="BZ1761" s="2" t="s">
        <v>27</v>
      </c>
      <c r="CA1761" s="2"/>
      <c r="CB1761" s="2"/>
      <c r="CC1761" s="2" t="s">
        <v>175</v>
      </c>
      <c r="CD1761" s="2">
        <v>5210</v>
      </c>
      <c r="CE1761" s="2" t="s">
        <v>104</v>
      </c>
      <c r="CF1761" s="5">
        <v>42968</v>
      </c>
      <c r="CG1761" s="2"/>
      <c r="CH1761" s="2"/>
      <c r="CI1761" s="2">
        <v>1</v>
      </c>
      <c r="CJ1761" s="2">
        <v>2</v>
      </c>
      <c r="CK1761" s="2">
        <v>21</v>
      </c>
      <c r="CL1761" s="2" t="s">
        <v>86</v>
      </c>
      <c r="CM1761" s="2"/>
    </row>
    <row r="1762" spans="1:91">
      <c r="A1762" s="2" t="s">
        <v>71</v>
      </c>
      <c r="B1762" s="2" t="s">
        <v>72</v>
      </c>
      <c r="C1762" s="2" t="s">
        <v>73</v>
      </c>
      <c r="D1762" s="2"/>
      <c r="E1762" s="2" t="str">
        <f>"FES1162569251"</f>
        <v>FES1162569251</v>
      </c>
      <c r="F1762" s="3">
        <v>42963</v>
      </c>
      <c r="G1762" s="2">
        <v>201802</v>
      </c>
      <c r="H1762" s="2" t="s">
        <v>74</v>
      </c>
      <c r="I1762" s="2" t="s">
        <v>75</v>
      </c>
      <c r="J1762" s="2" t="s">
        <v>76</v>
      </c>
      <c r="K1762" s="2" t="s">
        <v>77</v>
      </c>
      <c r="L1762" s="2" t="s">
        <v>144</v>
      </c>
      <c r="M1762" s="2" t="s">
        <v>145</v>
      </c>
      <c r="N1762" s="2" t="s">
        <v>1051</v>
      </c>
      <c r="O1762" s="2" t="s">
        <v>100</v>
      </c>
      <c r="P1762" s="2" t="str">
        <f>"2170583888                    "</f>
        <v xml:space="preserve">2170583888 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3.13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1</v>
      </c>
      <c r="BJ1762" s="2">
        <v>0.2</v>
      </c>
      <c r="BK1762" s="2">
        <v>1</v>
      </c>
      <c r="BL1762" s="2">
        <v>32.380000000000003</v>
      </c>
      <c r="BM1762" s="2">
        <v>4.53</v>
      </c>
      <c r="BN1762" s="2">
        <v>36.909999999999997</v>
      </c>
      <c r="BO1762" s="2">
        <v>36.909999999999997</v>
      </c>
      <c r="BP1762" s="2"/>
      <c r="BQ1762" s="2" t="s">
        <v>108</v>
      </c>
      <c r="BR1762" s="2" t="s">
        <v>84</v>
      </c>
      <c r="BS1762" s="3">
        <v>42964</v>
      </c>
      <c r="BT1762" s="4">
        <v>0.3611111111111111</v>
      </c>
      <c r="BU1762" s="2" t="s">
        <v>2416</v>
      </c>
      <c r="BV1762" s="2" t="s">
        <v>95</v>
      </c>
      <c r="BW1762" s="2"/>
      <c r="BX1762" s="2"/>
      <c r="BY1762" s="2">
        <v>1200</v>
      </c>
      <c r="BZ1762" s="2" t="s">
        <v>27</v>
      </c>
      <c r="CA1762" s="2" t="s">
        <v>396</v>
      </c>
      <c r="CB1762" s="2"/>
      <c r="CC1762" s="2" t="s">
        <v>145</v>
      </c>
      <c r="CD1762" s="2">
        <v>2091</v>
      </c>
      <c r="CE1762" s="2" t="s">
        <v>104</v>
      </c>
      <c r="CF1762" s="5">
        <v>42965</v>
      </c>
      <c r="CG1762" s="2"/>
      <c r="CH1762" s="2"/>
      <c r="CI1762" s="2">
        <v>1</v>
      </c>
      <c r="CJ1762" s="2">
        <v>1</v>
      </c>
      <c r="CK1762" s="2">
        <v>22</v>
      </c>
      <c r="CL1762" s="2" t="s">
        <v>86</v>
      </c>
      <c r="CM1762" s="2"/>
    </row>
    <row r="1763" spans="1:91">
      <c r="A1763" s="2" t="s">
        <v>71</v>
      </c>
      <c r="B1763" s="2" t="s">
        <v>72</v>
      </c>
      <c r="C1763" s="2" t="s">
        <v>73</v>
      </c>
      <c r="D1763" s="2"/>
      <c r="E1763" s="2" t="str">
        <f>"FES1162569483"</f>
        <v>FES1162569483</v>
      </c>
      <c r="F1763" s="3">
        <v>42963</v>
      </c>
      <c r="G1763" s="2">
        <v>201802</v>
      </c>
      <c r="H1763" s="2" t="s">
        <v>74</v>
      </c>
      <c r="I1763" s="2" t="s">
        <v>75</v>
      </c>
      <c r="J1763" s="2" t="s">
        <v>76</v>
      </c>
      <c r="K1763" s="2" t="s">
        <v>77</v>
      </c>
      <c r="L1763" s="2" t="s">
        <v>2417</v>
      </c>
      <c r="M1763" s="2" t="s">
        <v>2418</v>
      </c>
      <c r="N1763" s="2" t="s">
        <v>2419</v>
      </c>
      <c r="O1763" s="2" t="s">
        <v>100</v>
      </c>
      <c r="P1763" s="2" t="str">
        <f>"2170585333                    "</f>
        <v xml:space="preserve">2170585333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7.75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1</v>
      </c>
      <c r="BJ1763" s="2">
        <v>0.2</v>
      </c>
      <c r="BK1763" s="2">
        <v>1</v>
      </c>
      <c r="BL1763" s="2">
        <v>80.290000000000006</v>
      </c>
      <c r="BM1763" s="2">
        <v>11.24</v>
      </c>
      <c r="BN1763" s="2">
        <v>91.53</v>
      </c>
      <c r="BO1763" s="2">
        <v>91.53</v>
      </c>
      <c r="BP1763" s="2"/>
      <c r="BQ1763" s="2" t="s">
        <v>2420</v>
      </c>
      <c r="BR1763" s="2" t="s">
        <v>84</v>
      </c>
      <c r="BS1763" s="3">
        <v>42964</v>
      </c>
      <c r="BT1763" s="4">
        <v>0.5</v>
      </c>
      <c r="BU1763" s="2" t="s">
        <v>2421</v>
      </c>
      <c r="BV1763" s="2" t="s">
        <v>95</v>
      </c>
      <c r="BW1763" s="2"/>
      <c r="BX1763" s="2"/>
      <c r="BY1763" s="2">
        <v>1200</v>
      </c>
      <c r="BZ1763" s="2" t="s">
        <v>27</v>
      </c>
      <c r="CA1763" s="2"/>
      <c r="CB1763" s="2"/>
      <c r="CC1763" s="2" t="s">
        <v>2418</v>
      </c>
      <c r="CD1763" s="2">
        <v>4930</v>
      </c>
      <c r="CE1763" s="2" t="s">
        <v>104</v>
      </c>
      <c r="CF1763" s="5">
        <v>42968</v>
      </c>
      <c r="CG1763" s="2"/>
      <c r="CH1763" s="2"/>
      <c r="CI1763" s="2">
        <v>3</v>
      </c>
      <c r="CJ1763" s="2">
        <v>1</v>
      </c>
      <c r="CK1763" s="2">
        <v>23</v>
      </c>
      <c r="CL1763" s="2" t="s">
        <v>86</v>
      </c>
      <c r="CM1763" s="2"/>
    </row>
    <row r="1764" spans="1:91">
      <c r="A1764" s="2" t="s">
        <v>71</v>
      </c>
      <c r="B1764" s="2" t="s">
        <v>72</v>
      </c>
      <c r="C1764" s="2" t="s">
        <v>73</v>
      </c>
      <c r="D1764" s="2"/>
      <c r="E1764" s="2" t="str">
        <f>"FES1162569301"</f>
        <v>FES1162569301</v>
      </c>
      <c r="F1764" s="3">
        <v>42963</v>
      </c>
      <c r="G1764" s="2">
        <v>201802</v>
      </c>
      <c r="H1764" s="2" t="s">
        <v>74</v>
      </c>
      <c r="I1764" s="2" t="s">
        <v>75</v>
      </c>
      <c r="J1764" s="2" t="s">
        <v>76</v>
      </c>
      <c r="K1764" s="2" t="s">
        <v>77</v>
      </c>
      <c r="L1764" s="2" t="s">
        <v>723</v>
      </c>
      <c r="M1764" s="2" t="s">
        <v>724</v>
      </c>
      <c r="N1764" s="2" t="s">
        <v>2306</v>
      </c>
      <c r="O1764" s="2" t="s">
        <v>100</v>
      </c>
      <c r="P1764" s="2" t="str">
        <f>"2170582909                    "</f>
        <v xml:space="preserve">2170582909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5.63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1</v>
      </c>
      <c r="BI1764" s="2">
        <v>1</v>
      </c>
      <c r="BJ1764" s="2">
        <v>0.2</v>
      </c>
      <c r="BK1764" s="2">
        <v>1</v>
      </c>
      <c r="BL1764" s="2">
        <v>58.28</v>
      </c>
      <c r="BM1764" s="2">
        <v>8.16</v>
      </c>
      <c r="BN1764" s="2">
        <v>66.44</v>
      </c>
      <c r="BO1764" s="2">
        <v>66.44</v>
      </c>
      <c r="BP1764" s="2"/>
      <c r="BQ1764" s="2" t="s">
        <v>108</v>
      </c>
      <c r="BR1764" s="2" t="s">
        <v>84</v>
      </c>
      <c r="BS1764" s="3">
        <v>42964</v>
      </c>
      <c r="BT1764" s="4">
        <v>0.4375</v>
      </c>
      <c r="BU1764" s="2" t="s">
        <v>2422</v>
      </c>
      <c r="BV1764" s="2" t="s">
        <v>95</v>
      </c>
      <c r="BW1764" s="2"/>
      <c r="BX1764" s="2"/>
      <c r="BY1764" s="2">
        <v>1200</v>
      </c>
      <c r="BZ1764" s="2" t="s">
        <v>27</v>
      </c>
      <c r="CA1764" s="2" t="s">
        <v>727</v>
      </c>
      <c r="CB1764" s="2"/>
      <c r="CC1764" s="2" t="s">
        <v>724</v>
      </c>
      <c r="CD1764" s="2">
        <v>1754</v>
      </c>
      <c r="CE1764" s="2" t="s">
        <v>104</v>
      </c>
      <c r="CF1764" s="5">
        <v>42965</v>
      </c>
      <c r="CG1764" s="2"/>
      <c r="CH1764" s="2"/>
      <c r="CI1764" s="2">
        <v>1</v>
      </c>
      <c r="CJ1764" s="2">
        <v>1</v>
      </c>
      <c r="CK1764" s="2">
        <v>24</v>
      </c>
      <c r="CL1764" s="2" t="s">
        <v>86</v>
      </c>
      <c r="CM1764" s="2"/>
    </row>
    <row r="1765" spans="1:91">
      <c r="A1765" s="2" t="s">
        <v>71</v>
      </c>
      <c r="B1765" s="2" t="s">
        <v>72</v>
      </c>
      <c r="C1765" s="2" t="s">
        <v>73</v>
      </c>
      <c r="D1765" s="2"/>
      <c r="E1765" s="2" t="str">
        <f>"FES1162569365"</f>
        <v>FES1162569365</v>
      </c>
      <c r="F1765" s="3">
        <v>42963</v>
      </c>
      <c r="G1765" s="2">
        <v>201802</v>
      </c>
      <c r="H1765" s="2" t="s">
        <v>74</v>
      </c>
      <c r="I1765" s="2" t="s">
        <v>75</v>
      </c>
      <c r="J1765" s="2" t="s">
        <v>76</v>
      </c>
      <c r="K1765" s="2" t="s">
        <v>77</v>
      </c>
      <c r="L1765" s="2" t="s">
        <v>144</v>
      </c>
      <c r="M1765" s="2" t="s">
        <v>145</v>
      </c>
      <c r="N1765" s="2" t="s">
        <v>146</v>
      </c>
      <c r="O1765" s="2" t="s">
        <v>100</v>
      </c>
      <c r="P1765" s="2" t="str">
        <f>"2170584416                    "</f>
        <v xml:space="preserve">2170584416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3.13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1</v>
      </c>
      <c r="BI1765" s="2">
        <v>1</v>
      </c>
      <c r="BJ1765" s="2">
        <v>0.2</v>
      </c>
      <c r="BK1765" s="2">
        <v>1</v>
      </c>
      <c r="BL1765" s="2">
        <v>32.380000000000003</v>
      </c>
      <c r="BM1765" s="2">
        <v>4.53</v>
      </c>
      <c r="BN1765" s="2">
        <v>36.909999999999997</v>
      </c>
      <c r="BO1765" s="2">
        <v>36.909999999999997</v>
      </c>
      <c r="BP1765" s="2"/>
      <c r="BQ1765" s="2" t="s">
        <v>83</v>
      </c>
      <c r="BR1765" s="2" t="s">
        <v>84</v>
      </c>
      <c r="BS1765" s="3">
        <v>42964</v>
      </c>
      <c r="BT1765" s="4">
        <v>0.38125000000000003</v>
      </c>
      <c r="BU1765" s="2" t="s">
        <v>728</v>
      </c>
      <c r="BV1765" s="2" t="s">
        <v>95</v>
      </c>
      <c r="BW1765" s="2"/>
      <c r="BX1765" s="2"/>
      <c r="BY1765" s="2">
        <v>1200</v>
      </c>
      <c r="BZ1765" s="2" t="s">
        <v>27</v>
      </c>
      <c r="CA1765" s="2" t="s">
        <v>729</v>
      </c>
      <c r="CB1765" s="2"/>
      <c r="CC1765" s="2" t="s">
        <v>145</v>
      </c>
      <c r="CD1765" s="2">
        <v>2094</v>
      </c>
      <c r="CE1765" s="2" t="s">
        <v>104</v>
      </c>
      <c r="CF1765" s="5">
        <v>42965</v>
      </c>
      <c r="CG1765" s="2"/>
      <c r="CH1765" s="2"/>
      <c r="CI1765" s="2">
        <v>1</v>
      </c>
      <c r="CJ1765" s="2">
        <v>1</v>
      </c>
      <c r="CK1765" s="2">
        <v>22</v>
      </c>
      <c r="CL1765" s="2" t="s">
        <v>86</v>
      </c>
      <c r="CM1765" s="2"/>
    </row>
    <row r="1766" spans="1:91">
      <c r="A1766" s="2" t="s">
        <v>71</v>
      </c>
      <c r="B1766" s="2" t="s">
        <v>72</v>
      </c>
      <c r="C1766" s="2" t="s">
        <v>73</v>
      </c>
      <c r="D1766" s="2"/>
      <c r="E1766" s="2" t="str">
        <f>"FES1162569484"</f>
        <v>FES1162569484</v>
      </c>
      <c r="F1766" s="3">
        <v>42963</v>
      </c>
      <c r="G1766" s="2">
        <v>201802</v>
      </c>
      <c r="H1766" s="2" t="s">
        <v>74</v>
      </c>
      <c r="I1766" s="2" t="s">
        <v>75</v>
      </c>
      <c r="J1766" s="2" t="s">
        <v>76</v>
      </c>
      <c r="K1766" s="2" t="s">
        <v>77</v>
      </c>
      <c r="L1766" s="2" t="s">
        <v>174</v>
      </c>
      <c r="M1766" s="2" t="s">
        <v>175</v>
      </c>
      <c r="N1766" s="2" t="s">
        <v>930</v>
      </c>
      <c r="O1766" s="2" t="s">
        <v>100</v>
      </c>
      <c r="P1766" s="2" t="str">
        <f>"2170585334                    "</f>
        <v xml:space="preserve">2170585334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5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1</v>
      </c>
      <c r="BI1766" s="2">
        <v>0.9</v>
      </c>
      <c r="BJ1766" s="2">
        <v>2.5</v>
      </c>
      <c r="BK1766" s="2">
        <v>2.5</v>
      </c>
      <c r="BL1766" s="2">
        <v>51.8</v>
      </c>
      <c r="BM1766" s="2">
        <v>7.25</v>
      </c>
      <c r="BN1766" s="2">
        <v>59.05</v>
      </c>
      <c r="BO1766" s="2">
        <v>59.05</v>
      </c>
      <c r="BP1766" s="2"/>
      <c r="BQ1766" s="2" t="s">
        <v>2420</v>
      </c>
      <c r="BR1766" s="2" t="s">
        <v>84</v>
      </c>
      <c r="BS1766" s="3">
        <v>42964</v>
      </c>
      <c r="BT1766" s="4">
        <v>0.47986111111111113</v>
      </c>
      <c r="BU1766" s="2" t="s">
        <v>1372</v>
      </c>
      <c r="BV1766" s="2" t="s">
        <v>86</v>
      </c>
      <c r="BW1766" s="2" t="s">
        <v>110</v>
      </c>
      <c r="BX1766" s="2" t="s">
        <v>592</v>
      </c>
      <c r="BY1766" s="2">
        <v>12486.53</v>
      </c>
      <c r="BZ1766" s="2" t="s">
        <v>27</v>
      </c>
      <c r="CA1766" s="2" t="s">
        <v>1373</v>
      </c>
      <c r="CB1766" s="2"/>
      <c r="CC1766" s="2" t="s">
        <v>175</v>
      </c>
      <c r="CD1766" s="2">
        <v>5201</v>
      </c>
      <c r="CE1766" s="2" t="s">
        <v>104</v>
      </c>
      <c r="CF1766" s="5">
        <v>42965</v>
      </c>
      <c r="CG1766" s="2"/>
      <c r="CH1766" s="2"/>
      <c r="CI1766" s="2">
        <v>1</v>
      </c>
      <c r="CJ1766" s="2">
        <v>1</v>
      </c>
      <c r="CK1766" s="2">
        <v>21</v>
      </c>
      <c r="CL1766" s="2" t="s">
        <v>86</v>
      </c>
      <c r="CM1766" s="2"/>
    </row>
    <row r="1767" spans="1:91">
      <c r="A1767" s="2" t="s">
        <v>71</v>
      </c>
      <c r="B1767" s="2" t="s">
        <v>72</v>
      </c>
      <c r="C1767" s="2" t="s">
        <v>73</v>
      </c>
      <c r="D1767" s="2"/>
      <c r="E1767" s="2" t="str">
        <f>"FES1162569266"</f>
        <v>FES1162569266</v>
      </c>
      <c r="F1767" s="3">
        <v>42963</v>
      </c>
      <c r="G1767" s="2">
        <v>201802</v>
      </c>
      <c r="H1767" s="2" t="s">
        <v>74</v>
      </c>
      <c r="I1767" s="2" t="s">
        <v>75</v>
      </c>
      <c r="J1767" s="2" t="s">
        <v>76</v>
      </c>
      <c r="K1767" s="2" t="s">
        <v>77</v>
      </c>
      <c r="L1767" s="2" t="s">
        <v>97</v>
      </c>
      <c r="M1767" s="2" t="s">
        <v>98</v>
      </c>
      <c r="N1767" s="2" t="s">
        <v>248</v>
      </c>
      <c r="O1767" s="2" t="s">
        <v>100</v>
      </c>
      <c r="P1767" s="2" t="str">
        <f>"2170584976                    "</f>
        <v xml:space="preserve">2170584976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4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1</v>
      </c>
      <c r="BI1767" s="2">
        <v>1</v>
      </c>
      <c r="BJ1767" s="2">
        <v>0.2</v>
      </c>
      <c r="BK1767" s="2">
        <v>1</v>
      </c>
      <c r="BL1767" s="2">
        <v>41.44</v>
      </c>
      <c r="BM1767" s="2">
        <v>5.8</v>
      </c>
      <c r="BN1767" s="2">
        <v>47.24</v>
      </c>
      <c r="BO1767" s="2">
        <v>47.24</v>
      </c>
      <c r="BP1767" s="2"/>
      <c r="BQ1767" s="2" t="s">
        <v>83</v>
      </c>
      <c r="BR1767" s="2" t="s">
        <v>84</v>
      </c>
      <c r="BS1767" s="3">
        <v>42964</v>
      </c>
      <c r="BT1767" s="4">
        <v>0.34722222222222227</v>
      </c>
      <c r="BU1767" s="2" t="s">
        <v>1130</v>
      </c>
      <c r="BV1767" s="2" t="s">
        <v>95</v>
      </c>
      <c r="BW1767" s="2"/>
      <c r="BX1767" s="2"/>
      <c r="BY1767" s="2">
        <v>1200</v>
      </c>
      <c r="BZ1767" s="2" t="s">
        <v>27</v>
      </c>
      <c r="CA1767" s="2" t="s">
        <v>804</v>
      </c>
      <c r="CB1767" s="2"/>
      <c r="CC1767" s="2" t="s">
        <v>98</v>
      </c>
      <c r="CD1767" s="2">
        <v>6001</v>
      </c>
      <c r="CE1767" s="2" t="s">
        <v>104</v>
      </c>
      <c r="CF1767" s="5">
        <v>42965</v>
      </c>
      <c r="CG1767" s="2"/>
      <c r="CH1767" s="2"/>
      <c r="CI1767" s="2">
        <v>1</v>
      </c>
      <c r="CJ1767" s="2">
        <v>1</v>
      </c>
      <c r="CK1767" s="2">
        <v>21</v>
      </c>
      <c r="CL1767" s="2" t="s">
        <v>86</v>
      </c>
      <c r="CM1767" s="2"/>
    </row>
    <row r="1768" spans="1:91">
      <c r="A1768" s="2" t="s">
        <v>71</v>
      </c>
      <c r="B1768" s="2" t="s">
        <v>72</v>
      </c>
      <c r="C1768" s="2" t="s">
        <v>73</v>
      </c>
      <c r="D1768" s="2"/>
      <c r="E1768" s="2" t="str">
        <f>"FES1162569292"</f>
        <v>FES1162569292</v>
      </c>
      <c r="F1768" s="3">
        <v>42963</v>
      </c>
      <c r="G1768" s="2">
        <v>201802</v>
      </c>
      <c r="H1768" s="2" t="s">
        <v>74</v>
      </c>
      <c r="I1768" s="2" t="s">
        <v>75</v>
      </c>
      <c r="J1768" s="2" t="s">
        <v>76</v>
      </c>
      <c r="K1768" s="2" t="s">
        <v>77</v>
      </c>
      <c r="L1768" s="2" t="s">
        <v>144</v>
      </c>
      <c r="M1768" s="2" t="s">
        <v>145</v>
      </c>
      <c r="N1768" s="2" t="s">
        <v>282</v>
      </c>
      <c r="O1768" s="2" t="s">
        <v>100</v>
      </c>
      <c r="P1768" s="2" t="str">
        <f>"2170582606                    "</f>
        <v xml:space="preserve">2170582606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3.13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1</v>
      </c>
      <c r="BJ1768" s="2">
        <v>0.2</v>
      </c>
      <c r="BK1768" s="2">
        <v>1</v>
      </c>
      <c r="BL1768" s="2">
        <v>32.380000000000003</v>
      </c>
      <c r="BM1768" s="2">
        <v>4.53</v>
      </c>
      <c r="BN1768" s="2">
        <v>36.909999999999997</v>
      </c>
      <c r="BO1768" s="2">
        <v>36.909999999999997</v>
      </c>
      <c r="BP1768" s="2"/>
      <c r="BQ1768" s="2" t="s">
        <v>108</v>
      </c>
      <c r="BR1768" s="2" t="s">
        <v>84</v>
      </c>
      <c r="BS1768" s="3">
        <v>42964</v>
      </c>
      <c r="BT1768" s="4">
        <v>0.35555555555555557</v>
      </c>
      <c r="BU1768" s="2" t="s">
        <v>1237</v>
      </c>
      <c r="BV1768" s="2" t="s">
        <v>95</v>
      </c>
      <c r="BW1768" s="2"/>
      <c r="BX1768" s="2"/>
      <c r="BY1768" s="2">
        <v>1200</v>
      </c>
      <c r="BZ1768" s="2" t="s">
        <v>27</v>
      </c>
      <c r="CA1768" s="2" t="s">
        <v>1238</v>
      </c>
      <c r="CB1768" s="2"/>
      <c r="CC1768" s="2" t="s">
        <v>145</v>
      </c>
      <c r="CD1768" s="2">
        <v>2094</v>
      </c>
      <c r="CE1768" s="2" t="s">
        <v>104</v>
      </c>
      <c r="CF1768" s="5">
        <v>42965</v>
      </c>
      <c r="CG1768" s="2"/>
      <c r="CH1768" s="2"/>
      <c r="CI1768" s="2">
        <v>1</v>
      </c>
      <c r="CJ1768" s="2">
        <v>1</v>
      </c>
      <c r="CK1768" s="2">
        <v>22</v>
      </c>
      <c r="CL1768" s="2" t="s">
        <v>86</v>
      </c>
      <c r="CM1768" s="2"/>
    </row>
    <row r="1769" spans="1:91">
      <c r="A1769" s="2" t="s">
        <v>71</v>
      </c>
      <c r="B1769" s="2" t="s">
        <v>72</v>
      </c>
      <c r="C1769" s="2" t="s">
        <v>73</v>
      </c>
      <c r="D1769" s="2"/>
      <c r="E1769" s="2" t="str">
        <f>"FES1162569224"</f>
        <v>FES1162569224</v>
      </c>
      <c r="F1769" s="3">
        <v>42963</v>
      </c>
      <c r="G1769" s="2">
        <v>201802</v>
      </c>
      <c r="H1769" s="2" t="s">
        <v>74</v>
      </c>
      <c r="I1769" s="2" t="s">
        <v>75</v>
      </c>
      <c r="J1769" s="2" t="s">
        <v>76</v>
      </c>
      <c r="K1769" s="2" t="s">
        <v>77</v>
      </c>
      <c r="L1769" s="2" t="s">
        <v>105</v>
      </c>
      <c r="M1769" s="2" t="s">
        <v>106</v>
      </c>
      <c r="N1769" s="2" t="s">
        <v>253</v>
      </c>
      <c r="O1769" s="2" t="s">
        <v>100</v>
      </c>
      <c r="P1769" s="2" t="str">
        <f>"2170582563                    "</f>
        <v xml:space="preserve">2170582563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4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1</v>
      </c>
      <c r="BJ1769" s="2">
        <v>0.2</v>
      </c>
      <c r="BK1769" s="2">
        <v>1</v>
      </c>
      <c r="BL1769" s="2">
        <v>41.44</v>
      </c>
      <c r="BM1769" s="2">
        <v>5.8</v>
      </c>
      <c r="BN1769" s="2">
        <v>47.24</v>
      </c>
      <c r="BO1769" s="2">
        <v>47.24</v>
      </c>
      <c r="BP1769" s="2"/>
      <c r="BQ1769" s="2" t="s">
        <v>108</v>
      </c>
      <c r="BR1769" s="2" t="s">
        <v>84</v>
      </c>
      <c r="BS1769" s="3">
        <v>42964</v>
      </c>
      <c r="BT1769" s="4">
        <v>0.41875000000000001</v>
      </c>
      <c r="BU1769" s="2" t="s">
        <v>1074</v>
      </c>
      <c r="BV1769" s="2" t="s">
        <v>95</v>
      </c>
      <c r="BW1769" s="2"/>
      <c r="BX1769" s="2"/>
      <c r="BY1769" s="2">
        <v>1200</v>
      </c>
      <c r="BZ1769" s="2" t="s">
        <v>27</v>
      </c>
      <c r="CA1769" s="2" t="s">
        <v>654</v>
      </c>
      <c r="CB1769" s="2"/>
      <c r="CC1769" s="2" t="s">
        <v>106</v>
      </c>
      <c r="CD1769" s="2">
        <v>7490</v>
      </c>
      <c r="CE1769" s="2" t="s">
        <v>104</v>
      </c>
      <c r="CF1769" s="5">
        <v>42964</v>
      </c>
      <c r="CG1769" s="2"/>
      <c r="CH1769" s="2"/>
      <c r="CI1769" s="2">
        <v>1</v>
      </c>
      <c r="CJ1769" s="2">
        <v>1</v>
      </c>
      <c r="CK1769" s="2">
        <v>21</v>
      </c>
      <c r="CL1769" s="2" t="s">
        <v>86</v>
      </c>
      <c r="CM1769" s="2"/>
    </row>
    <row r="1770" spans="1:91">
      <c r="A1770" s="2" t="s">
        <v>71</v>
      </c>
      <c r="B1770" s="2" t="s">
        <v>72</v>
      </c>
      <c r="C1770" s="2" t="s">
        <v>73</v>
      </c>
      <c r="D1770" s="2"/>
      <c r="E1770" s="2" t="str">
        <f>"FES1162569376"</f>
        <v>FES1162569376</v>
      </c>
      <c r="F1770" s="3">
        <v>42963</v>
      </c>
      <c r="G1770" s="2">
        <v>201802</v>
      </c>
      <c r="H1770" s="2" t="s">
        <v>74</v>
      </c>
      <c r="I1770" s="2" t="s">
        <v>75</v>
      </c>
      <c r="J1770" s="2" t="s">
        <v>76</v>
      </c>
      <c r="K1770" s="2" t="s">
        <v>77</v>
      </c>
      <c r="L1770" s="2" t="s">
        <v>244</v>
      </c>
      <c r="M1770" s="2" t="s">
        <v>245</v>
      </c>
      <c r="N1770" s="2" t="s">
        <v>2156</v>
      </c>
      <c r="O1770" s="2" t="s">
        <v>100</v>
      </c>
      <c r="P1770" s="2" t="str">
        <f>"2170585193                    "</f>
        <v xml:space="preserve">2170585193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3.13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1</v>
      </c>
      <c r="BJ1770" s="2">
        <v>0.2</v>
      </c>
      <c r="BK1770" s="2">
        <v>1</v>
      </c>
      <c r="BL1770" s="2">
        <v>32.380000000000003</v>
      </c>
      <c r="BM1770" s="2">
        <v>4.53</v>
      </c>
      <c r="BN1770" s="2">
        <v>36.909999999999997</v>
      </c>
      <c r="BO1770" s="2">
        <v>36.909999999999997</v>
      </c>
      <c r="BP1770" s="2"/>
      <c r="BQ1770" s="2" t="s">
        <v>108</v>
      </c>
      <c r="BR1770" s="2" t="s">
        <v>84</v>
      </c>
      <c r="BS1770" s="3">
        <v>42964</v>
      </c>
      <c r="BT1770" s="4">
        <v>0.42708333333333331</v>
      </c>
      <c r="BU1770" s="2" t="s">
        <v>2423</v>
      </c>
      <c r="BV1770" s="2" t="s">
        <v>95</v>
      </c>
      <c r="BW1770" s="2"/>
      <c r="BX1770" s="2"/>
      <c r="BY1770" s="2">
        <v>1200</v>
      </c>
      <c r="BZ1770" s="2" t="s">
        <v>27</v>
      </c>
      <c r="CA1770" s="2" t="s">
        <v>733</v>
      </c>
      <c r="CB1770" s="2"/>
      <c r="CC1770" s="2" t="s">
        <v>245</v>
      </c>
      <c r="CD1770" s="2">
        <v>1459</v>
      </c>
      <c r="CE1770" s="2" t="s">
        <v>104</v>
      </c>
      <c r="CF1770" s="5">
        <v>42965</v>
      </c>
      <c r="CG1770" s="2"/>
      <c r="CH1770" s="2"/>
      <c r="CI1770" s="2">
        <v>1</v>
      </c>
      <c r="CJ1770" s="2">
        <v>1</v>
      </c>
      <c r="CK1770" s="2">
        <v>22</v>
      </c>
      <c r="CL1770" s="2" t="s">
        <v>86</v>
      </c>
      <c r="CM1770" s="2"/>
    </row>
    <row r="1771" spans="1:91">
      <c r="A1771" s="2" t="s">
        <v>71</v>
      </c>
      <c r="B1771" s="2" t="s">
        <v>72</v>
      </c>
      <c r="C1771" s="2" t="s">
        <v>73</v>
      </c>
      <c r="D1771" s="2"/>
      <c r="E1771" s="2" t="str">
        <f>"FES1162569242"</f>
        <v>FES1162569242</v>
      </c>
      <c r="F1771" s="3">
        <v>42963</v>
      </c>
      <c r="G1771" s="2">
        <v>201802</v>
      </c>
      <c r="H1771" s="2" t="s">
        <v>74</v>
      </c>
      <c r="I1771" s="2" t="s">
        <v>75</v>
      </c>
      <c r="J1771" s="2" t="s">
        <v>76</v>
      </c>
      <c r="K1771" s="2" t="s">
        <v>77</v>
      </c>
      <c r="L1771" s="2" t="s">
        <v>105</v>
      </c>
      <c r="M1771" s="2" t="s">
        <v>106</v>
      </c>
      <c r="N1771" s="2" t="s">
        <v>2094</v>
      </c>
      <c r="O1771" s="2" t="s">
        <v>100</v>
      </c>
      <c r="P1771" s="2" t="str">
        <f>"2170582934                    "</f>
        <v xml:space="preserve">2170582934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4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1</v>
      </c>
      <c r="BJ1771" s="2">
        <v>0.2</v>
      </c>
      <c r="BK1771" s="2">
        <v>1</v>
      </c>
      <c r="BL1771" s="2">
        <v>41.44</v>
      </c>
      <c r="BM1771" s="2">
        <v>5.8</v>
      </c>
      <c r="BN1771" s="2">
        <v>47.24</v>
      </c>
      <c r="BO1771" s="2">
        <v>47.24</v>
      </c>
      <c r="BP1771" s="2"/>
      <c r="BQ1771" s="2" t="s">
        <v>83</v>
      </c>
      <c r="BR1771" s="2" t="s">
        <v>84</v>
      </c>
      <c r="BS1771" s="3">
        <v>42964</v>
      </c>
      <c r="BT1771" s="4">
        <v>0.48402777777777778</v>
      </c>
      <c r="BU1771" s="2" t="s">
        <v>2095</v>
      </c>
      <c r="BV1771" s="2" t="s">
        <v>86</v>
      </c>
      <c r="BW1771" s="2" t="s">
        <v>110</v>
      </c>
      <c r="BX1771" s="2" t="s">
        <v>111</v>
      </c>
      <c r="BY1771" s="2">
        <v>1200</v>
      </c>
      <c r="BZ1771" s="2" t="s">
        <v>27</v>
      </c>
      <c r="CA1771" s="2" t="s">
        <v>1867</v>
      </c>
      <c r="CB1771" s="2"/>
      <c r="CC1771" s="2" t="s">
        <v>106</v>
      </c>
      <c r="CD1771" s="2">
        <v>7405</v>
      </c>
      <c r="CE1771" s="2" t="s">
        <v>104</v>
      </c>
      <c r="CF1771" s="5">
        <v>42965</v>
      </c>
      <c r="CG1771" s="2"/>
      <c r="CH1771" s="2"/>
      <c r="CI1771" s="2">
        <v>1</v>
      </c>
      <c r="CJ1771" s="2">
        <v>1</v>
      </c>
      <c r="CK1771" s="2">
        <v>21</v>
      </c>
      <c r="CL1771" s="2" t="s">
        <v>86</v>
      </c>
      <c r="CM1771" s="2"/>
    </row>
    <row r="1772" spans="1:91">
      <c r="A1772" s="2" t="s">
        <v>71</v>
      </c>
      <c r="B1772" s="2" t="s">
        <v>72</v>
      </c>
      <c r="C1772" s="2" t="s">
        <v>73</v>
      </c>
      <c r="D1772" s="2"/>
      <c r="E1772" s="2" t="str">
        <f>"FES1162569146"</f>
        <v>FES1162569146</v>
      </c>
      <c r="F1772" s="3">
        <v>42963</v>
      </c>
      <c r="G1772" s="2">
        <v>201802</v>
      </c>
      <c r="H1772" s="2" t="s">
        <v>74</v>
      </c>
      <c r="I1772" s="2" t="s">
        <v>75</v>
      </c>
      <c r="J1772" s="2" t="s">
        <v>76</v>
      </c>
      <c r="K1772" s="2" t="s">
        <v>77</v>
      </c>
      <c r="L1772" s="2" t="s">
        <v>105</v>
      </c>
      <c r="M1772" s="2" t="s">
        <v>106</v>
      </c>
      <c r="N1772" s="2" t="s">
        <v>1436</v>
      </c>
      <c r="O1772" s="2" t="s">
        <v>100</v>
      </c>
      <c r="P1772" s="2" t="str">
        <f>"2170582583                    "</f>
        <v xml:space="preserve">2170582583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4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1</v>
      </c>
      <c r="BJ1772" s="2">
        <v>0.2</v>
      </c>
      <c r="BK1772" s="2">
        <v>1</v>
      </c>
      <c r="BL1772" s="2">
        <v>41.44</v>
      </c>
      <c r="BM1772" s="2">
        <v>5.8</v>
      </c>
      <c r="BN1772" s="2">
        <v>47.24</v>
      </c>
      <c r="BO1772" s="2">
        <v>47.24</v>
      </c>
      <c r="BP1772" s="2"/>
      <c r="BQ1772" s="2" t="s">
        <v>83</v>
      </c>
      <c r="BR1772" s="2" t="s">
        <v>84</v>
      </c>
      <c r="BS1772" s="3">
        <v>42964</v>
      </c>
      <c r="BT1772" s="4">
        <v>0.75</v>
      </c>
      <c r="BU1772" s="2" t="s">
        <v>1437</v>
      </c>
      <c r="BV1772" s="2" t="s">
        <v>86</v>
      </c>
      <c r="BW1772" s="2" t="s">
        <v>110</v>
      </c>
      <c r="BX1772" s="2" t="s">
        <v>111</v>
      </c>
      <c r="BY1772" s="2">
        <v>1200</v>
      </c>
      <c r="BZ1772" s="2" t="s">
        <v>27</v>
      </c>
      <c r="CA1772" s="2" t="s">
        <v>488</v>
      </c>
      <c r="CB1772" s="2"/>
      <c r="CC1772" s="2" t="s">
        <v>106</v>
      </c>
      <c r="CD1772" s="2">
        <v>7441</v>
      </c>
      <c r="CE1772" s="2" t="s">
        <v>104</v>
      </c>
      <c r="CF1772" s="5">
        <v>42965</v>
      </c>
      <c r="CG1772" s="2"/>
      <c r="CH1772" s="2"/>
      <c r="CI1772" s="2">
        <v>1</v>
      </c>
      <c r="CJ1772" s="2">
        <v>1</v>
      </c>
      <c r="CK1772" s="2">
        <v>21</v>
      </c>
      <c r="CL1772" s="2" t="s">
        <v>86</v>
      </c>
      <c r="CM1772" s="2"/>
    </row>
    <row r="1773" spans="1:91">
      <c r="A1773" s="2" t="s">
        <v>71</v>
      </c>
      <c r="B1773" s="2" t="s">
        <v>72</v>
      </c>
      <c r="C1773" s="2" t="s">
        <v>73</v>
      </c>
      <c r="D1773" s="2"/>
      <c r="E1773" s="2" t="str">
        <f>"FES1162569352"</f>
        <v>FES1162569352</v>
      </c>
      <c r="F1773" s="3">
        <v>42963</v>
      </c>
      <c r="G1773" s="2">
        <v>201802</v>
      </c>
      <c r="H1773" s="2" t="s">
        <v>74</v>
      </c>
      <c r="I1773" s="2" t="s">
        <v>75</v>
      </c>
      <c r="J1773" s="2" t="s">
        <v>76</v>
      </c>
      <c r="K1773" s="2" t="s">
        <v>77</v>
      </c>
      <c r="L1773" s="2" t="s">
        <v>74</v>
      </c>
      <c r="M1773" s="2" t="s">
        <v>75</v>
      </c>
      <c r="N1773" s="2" t="s">
        <v>407</v>
      </c>
      <c r="O1773" s="2" t="s">
        <v>100</v>
      </c>
      <c r="P1773" s="2" t="str">
        <f>"2170582246                    "</f>
        <v xml:space="preserve">2170582246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3.13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1</v>
      </c>
      <c r="BJ1773" s="2">
        <v>0.2</v>
      </c>
      <c r="BK1773" s="2">
        <v>1</v>
      </c>
      <c r="BL1773" s="2">
        <v>32.380000000000003</v>
      </c>
      <c r="BM1773" s="2">
        <v>4.53</v>
      </c>
      <c r="BN1773" s="2">
        <v>36.909999999999997</v>
      </c>
      <c r="BO1773" s="2">
        <v>36.909999999999997</v>
      </c>
      <c r="BP1773" s="2"/>
      <c r="BQ1773" s="2" t="s">
        <v>108</v>
      </c>
      <c r="BR1773" s="2" t="s">
        <v>84</v>
      </c>
      <c r="BS1773" s="3">
        <v>42964</v>
      </c>
      <c r="BT1773" s="4">
        <v>0.33333333333333331</v>
      </c>
      <c r="BU1773" s="2" t="s">
        <v>708</v>
      </c>
      <c r="BV1773" s="2" t="s">
        <v>95</v>
      </c>
      <c r="BW1773" s="2"/>
      <c r="BX1773" s="2"/>
      <c r="BY1773" s="2">
        <v>1200</v>
      </c>
      <c r="BZ1773" s="2" t="s">
        <v>27</v>
      </c>
      <c r="CA1773" s="2" t="s">
        <v>709</v>
      </c>
      <c r="CB1773" s="2"/>
      <c r="CC1773" s="2" t="s">
        <v>75</v>
      </c>
      <c r="CD1773" s="2">
        <v>1645</v>
      </c>
      <c r="CE1773" s="2" t="s">
        <v>104</v>
      </c>
      <c r="CF1773" s="5">
        <v>42965</v>
      </c>
      <c r="CG1773" s="2"/>
      <c r="CH1773" s="2"/>
      <c r="CI1773" s="2">
        <v>1</v>
      </c>
      <c r="CJ1773" s="2">
        <v>1</v>
      </c>
      <c r="CK1773" s="2">
        <v>22</v>
      </c>
      <c r="CL1773" s="2" t="s">
        <v>86</v>
      </c>
      <c r="CM1773" s="2"/>
    </row>
    <row r="1774" spans="1:91">
      <c r="A1774" s="2" t="s">
        <v>71</v>
      </c>
      <c r="B1774" s="2" t="s">
        <v>72</v>
      </c>
      <c r="C1774" s="2" t="s">
        <v>73</v>
      </c>
      <c r="D1774" s="2"/>
      <c r="E1774" s="2" t="str">
        <f>"FES1162569308"</f>
        <v>FES1162569308</v>
      </c>
      <c r="F1774" s="3">
        <v>42963</v>
      </c>
      <c r="G1774" s="2">
        <v>201802</v>
      </c>
      <c r="H1774" s="2" t="s">
        <v>74</v>
      </c>
      <c r="I1774" s="2" t="s">
        <v>75</v>
      </c>
      <c r="J1774" s="2" t="s">
        <v>76</v>
      </c>
      <c r="K1774" s="2" t="s">
        <v>77</v>
      </c>
      <c r="L1774" s="2" t="s">
        <v>74</v>
      </c>
      <c r="M1774" s="2" t="s">
        <v>75</v>
      </c>
      <c r="N1774" s="2" t="s">
        <v>1843</v>
      </c>
      <c r="O1774" s="2" t="s">
        <v>100</v>
      </c>
      <c r="P1774" s="2" t="str">
        <f>"2170584266                    "</f>
        <v xml:space="preserve">2170584266 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3.13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0.6</v>
      </c>
      <c r="BJ1774" s="2">
        <v>1.4</v>
      </c>
      <c r="BK1774" s="2">
        <v>2</v>
      </c>
      <c r="BL1774" s="2">
        <v>32.380000000000003</v>
      </c>
      <c r="BM1774" s="2">
        <v>4.53</v>
      </c>
      <c r="BN1774" s="2">
        <v>36.909999999999997</v>
      </c>
      <c r="BO1774" s="2">
        <v>36.909999999999997</v>
      </c>
      <c r="BP1774" s="2"/>
      <c r="BQ1774" s="2" t="s">
        <v>108</v>
      </c>
      <c r="BR1774" s="2" t="s">
        <v>84</v>
      </c>
      <c r="BS1774" s="3">
        <v>42964</v>
      </c>
      <c r="BT1774" s="4">
        <v>0.3611111111111111</v>
      </c>
      <c r="BU1774" s="2" t="s">
        <v>2424</v>
      </c>
      <c r="BV1774" s="2" t="s">
        <v>95</v>
      </c>
      <c r="BW1774" s="2"/>
      <c r="BX1774" s="2"/>
      <c r="BY1774" s="2">
        <v>7005.9</v>
      </c>
      <c r="BZ1774" s="2" t="s">
        <v>27</v>
      </c>
      <c r="CA1774" s="2" t="s">
        <v>331</v>
      </c>
      <c r="CB1774" s="2"/>
      <c r="CC1774" s="2" t="s">
        <v>75</v>
      </c>
      <c r="CD1774" s="2">
        <v>1600</v>
      </c>
      <c r="CE1774" s="2" t="s">
        <v>104</v>
      </c>
      <c r="CF1774" s="5">
        <v>42965</v>
      </c>
      <c r="CG1774" s="2"/>
      <c r="CH1774" s="2"/>
      <c r="CI1774" s="2">
        <v>1</v>
      </c>
      <c r="CJ1774" s="2">
        <v>1</v>
      </c>
      <c r="CK1774" s="2">
        <v>22</v>
      </c>
      <c r="CL1774" s="2" t="s">
        <v>86</v>
      </c>
      <c r="CM1774" s="2"/>
    </row>
    <row r="1775" spans="1:91">
      <c r="A1775" s="2" t="s">
        <v>71</v>
      </c>
      <c r="B1775" s="2" t="s">
        <v>72</v>
      </c>
      <c r="C1775" s="2" t="s">
        <v>73</v>
      </c>
      <c r="D1775" s="2"/>
      <c r="E1775" s="2" t="str">
        <f>"FES1162569193"</f>
        <v>FES1162569193</v>
      </c>
      <c r="F1775" s="3">
        <v>42963</v>
      </c>
      <c r="G1775" s="2">
        <v>201802</v>
      </c>
      <c r="H1775" s="2" t="s">
        <v>74</v>
      </c>
      <c r="I1775" s="2" t="s">
        <v>75</v>
      </c>
      <c r="J1775" s="2" t="s">
        <v>76</v>
      </c>
      <c r="K1775" s="2" t="s">
        <v>77</v>
      </c>
      <c r="L1775" s="2" t="s">
        <v>105</v>
      </c>
      <c r="M1775" s="2" t="s">
        <v>106</v>
      </c>
      <c r="N1775" s="2" t="s">
        <v>364</v>
      </c>
      <c r="O1775" s="2" t="s">
        <v>100</v>
      </c>
      <c r="P1775" s="2" t="str">
        <f>"2170585140                    "</f>
        <v xml:space="preserve">2170585140  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5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1</v>
      </c>
      <c r="BI1775" s="2">
        <v>0.8</v>
      </c>
      <c r="BJ1775" s="2">
        <v>2.4</v>
      </c>
      <c r="BK1775" s="2">
        <v>2.5</v>
      </c>
      <c r="BL1775" s="2">
        <v>51.8</v>
      </c>
      <c r="BM1775" s="2">
        <v>7.25</v>
      </c>
      <c r="BN1775" s="2">
        <v>59.05</v>
      </c>
      <c r="BO1775" s="2">
        <v>59.05</v>
      </c>
      <c r="BP1775" s="2"/>
      <c r="BQ1775" s="2" t="s">
        <v>2425</v>
      </c>
      <c r="BR1775" s="2" t="s">
        <v>84</v>
      </c>
      <c r="BS1775" s="3">
        <v>42964</v>
      </c>
      <c r="BT1775" s="4">
        <v>0.3888888888888889</v>
      </c>
      <c r="BU1775" s="2" t="s">
        <v>622</v>
      </c>
      <c r="BV1775" s="2" t="s">
        <v>95</v>
      </c>
      <c r="BW1775" s="2"/>
      <c r="BX1775" s="2"/>
      <c r="BY1775" s="2">
        <v>11986.16</v>
      </c>
      <c r="BZ1775" s="2" t="s">
        <v>27</v>
      </c>
      <c r="CA1775" s="2"/>
      <c r="CB1775" s="2"/>
      <c r="CC1775" s="2" t="s">
        <v>106</v>
      </c>
      <c r="CD1775" s="2">
        <v>7560</v>
      </c>
      <c r="CE1775" s="2" t="s">
        <v>104</v>
      </c>
      <c r="CF1775" s="5">
        <v>42965</v>
      </c>
      <c r="CG1775" s="2"/>
      <c r="CH1775" s="2"/>
      <c r="CI1775" s="2">
        <v>1</v>
      </c>
      <c r="CJ1775" s="2">
        <v>1</v>
      </c>
      <c r="CK1775" s="2">
        <v>21</v>
      </c>
      <c r="CL1775" s="2" t="s">
        <v>86</v>
      </c>
      <c r="CM1775" s="2"/>
    </row>
    <row r="1776" spans="1:91">
      <c r="A1776" s="2" t="s">
        <v>71</v>
      </c>
      <c r="B1776" s="2" t="s">
        <v>72</v>
      </c>
      <c r="C1776" s="2" t="s">
        <v>73</v>
      </c>
      <c r="D1776" s="2"/>
      <c r="E1776" s="2" t="str">
        <f>"FES1162569350"</f>
        <v>FES1162569350</v>
      </c>
      <c r="F1776" s="3">
        <v>42963</v>
      </c>
      <c r="G1776" s="2">
        <v>201802</v>
      </c>
      <c r="H1776" s="2" t="s">
        <v>74</v>
      </c>
      <c r="I1776" s="2" t="s">
        <v>75</v>
      </c>
      <c r="J1776" s="2" t="s">
        <v>76</v>
      </c>
      <c r="K1776" s="2" t="s">
        <v>77</v>
      </c>
      <c r="L1776" s="2" t="s">
        <v>164</v>
      </c>
      <c r="M1776" s="2" t="s">
        <v>165</v>
      </c>
      <c r="N1776" s="2" t="s">
        <v>1480</v>
      </c>
      <c r="O1776" s="2" t="s">
        <v>100</v>
      </c>
      <c r="P1776" s="2" t="str">
        <f>"2170582217                    "</f>
        <v xml:space="preserve">2170582217 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4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1</v>
      </c>
      <c r="BJ1776" s="2">
        <v>0.2</v>
      </c>
      <c r="BK1776" s="2">
        <v>1</v>
      </c>
      <c r="BL1776" s="2">
        <v>41.44</v>
      </c>
      <c r="BM1776" s="2">
        <v>5.8</v>
      </c>
      <c r="BN1776" s="2">
        <v>47.24</v>
      </c>
      <c r="BO1776" s="2">
        <v>47.24</v>
      </c>
      <c r="BP1776" s="2"/>
      <c r="BQ1776" s="2" t="s">
        <v>1481</v>
      </c>
      <c r="BR1776" s="2" t="s">
        <v>84</v>
      </c>
      <c r="BS1776" s="3">
        <v>42964</v>
      </c>
      <c r="BT1776" s="4">
        <v>0.41666666666666669</v>
      </c>
      <c r="BU1776" s="2" t="s">
        <v>2113</v>
      </c>
      <c r="BV1776" s="2" t="s">
        <v>95</v>
      </c>
      <c r="BW1776" s="2"/>
      <c r="BX1776" s="2"/>
      <c r="BY1776" s="2">
        <v>1200</v>
      </c>
      <c r="BZ1776" s="2" t="s">
        <v>27</v>
      </c>
      <c r="CA1776" s="2"/>
      <c r="CB1776" s="2"/>
      <c r="CC1776" s="2" t="s">
        <v>165</v>
      </c>
      <c r="CD1776" s="2">
        <v>6850</v>
      </c>
      <c r="CE1776" s="2" t="s">
        <v>104</v>
      </c>
      <c r="CF1776" s="5">
        <v>42965</v>
      </c>
      <c r="CG1776" s="2"/>
      <c r="CH1776" s="2"/>
      <c r="CI1776" s="2">
        <v>3</v>
      </c>
      <c r="CJ1776" s="2">
        <v>1</v>
      </c>
      <c r="CK1776" s="2">
        <v>21</v>
      </c>
      <c r="CL1776" s="2" t="s">
        <v>86</v>
      </c>
      <c r="CM1776" s="2"/>
    </row>
    <row r="1777" spans="1:91">
      <c r="A1777" s="2" t="s">
        <v>71</v>
      </c>
      <c r="B1777" s="2" t="s">
        <v>72</v>
      </c>
      <c r="C1777" s="2" t="s">
        <v>73</v>
      </c>
      <c r="D1777" s="2"/>
      <c r="E1777" s="2" t="str">
        <f>"FES1162569277"</f>
        <v>FES1162569277</v>
      </c>
      <c r="F1777" s="3">
        <v>42963</v>
      </c>
      <c r="G1777" s="2">
        <v>201802</v>
      </c>
      <c r="H1777" s="2" t="s">
        <v>74</v>
      </c>
      <c r="I1777" s="2" t="s">
        <v>75</v>
      </c>
      <c r="J1777" s="2" t="s">
        <v>76</v>
      </c>
      <c r="K1777" s="2" t="s">
        <v>77</v>
      </c>
      <c r="L1777" s="2" t="s">
        <v>74</v>
      </c>
      <c r="M1777" s="2" t="s">
        <v>75</v>
      </c>
      <c r="N1777" s="2" t="s">
        <v>2426</v>
      </c>
      <c r="O1777" s="2" t="s">
        <v>100</v>
      </c>
      <c r="P1777" s="2" t="str">
        <f>"2170572191                    "</f>
        <v xml:space="preserve">2170572191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3.13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</v>
      </c>
      <c r="BJ1777" s="2">
        <v>0.2</v>
      </c>
      <c r="BK1777" s="2">
        <v>1</v>
      </c>
      <c r="BL1777" s="2">
        <v>32.380000000000003</v>
      </c>
      <c r="BM1777" s="2">
        <v>4.53</v>
      </c>
      <c r="BN1777" s="2">
        <v>36.909999999999997</v>
      </c>
      <c r="BO1777" s="2">
        <v>36.909999999999997</v>
      </c>
      <c r="BP1777" s="2"/>
      <c r="BQ1777" s="2" t="s">
        <v>108</v>
      </c>
      <c r="BR1777" s="2" t="s">
        <v>84</v>
      </c>
      <c r="BS1777" s="3">
        <v>42964</v>
      </c>
      <c r="BT1777" s="4">
        <v>0.34166666666666662</v>
      </c>
      <c r="BU1777" s="2" t="s">
        <v>2427</v>
      </c>
      <c r="BV1777" s="2" t="s">
        <v>95</v>
      </c>
      <c r="BW1777" s="2"/>
      <c r="BX1777" s="2"/>
      <c r="BY1777" s="2">
        <v>1200</v>
      </c>
      <c r="BZ1777" s="2" t="s">
        <v>27</v>
      </c>
      <c r="CA1777" s="2" t="s">
        <v>1441</v>
      </c>
      <c r="CB1777" s="2"/>
      <c r="CC1777" s="2" t="s">
        <v>75</v>
      </c>
      <c r="CD1777" s="2">
        <v>1614</v>
      </c>
      <c r="CE1777" s="2" t="s">
        <v>104</v>
      </c>
      <c r="CF1777" s="5">
        <v>42965</v>
      </c>
      <c r="CG1777" s="2"/>
      <c r="CH1777" s="2"/>
      <c r="CI1777" s="2">
        <v>1</v>
      </c>
      <c r="CJ1777" s="2">
        <v>1</v>
      </c>
      <c r="CK1777" s="2">
        <v>22</v>
      </c>
      <c r="CL1777" s="2" t="s">
        <v>86</v>
      </c>
      <c r="CM1777" s="2"/>
    </row>
    <row r="1778" spans="1:91">
      <c r="A1778" s="2" t="s">
        <v>71</v>
      </c>
      <c r="B1778" s="2" t="s">
        <v>72</v>
      </c>
      <c r="C1778" s="2" t="s">
        <v>73</v>
      </c>
      <c r="D1778" s="2"/>
      <c r="E1778" s="2" t="str">
        <f>"FES1162569440"</f>
        <v>FES1162569440</v>
      </c>
      <c r="F1778" s="3">
        <v>42963</v>
      </c>
      <c r="G1778" s="2">
        <v>201802</v>
      </c>
      <c r="H1778" s="2" t="s">
        <v>74</v>
      </c>
      <c r="I1778" s="2" t="s">
        <v>75</v>
      </c>
      <c r="J1778" s="2" t="s">
        <v>76</v>
      </c>
      <c r="K1778" s="2" t="s">
        <v>77</v>
      </c>
      <c r="L1778" s="2" t="s">
        <v>97</v>
      </c>
      <c r="M1778" s="2" t="s">
        <v>98</v>
      </c>
      <c r="N1778" s="2" t="s">
        <v>1772</v>
      </c>
      <c r="O1778" s="2" t="s">
        <v>100</v>
      </c>
      <c r="P1778" s="2" t="str">
        <f>"2170584170                    "</f>
        <v xml:space="preserve">2170584170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4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1</v>
      </c>
      <c r="BI1778" s="2">
        <v>1</v>
      </c>
      <c r="BJ1778" s="2">
        <v>0.2</v>
      </c>
      <c r="BK1778" s="2">
        <v>1</v>
      </c>
      <c r="BL1778" s="2">
        <v>41.44</v>
      </c>
      <c r="BM1778" s="2">
        <v>5.8</v>
      </c>
      <c r="BN1778" s="2">
        <v>47.24</v>
      </c>
      <c r="BO1778" s="2">
        <v>47.24</v>
      </c>
      <c r="BP1778" s="2"/>
      <c r="BQ1778" s="2" t="s">
        <v>108</v>
      </c>
      <c r="BR1778" s="2" t="s">
        <v>84</v>
      </c>
      <c r="BS1778" s="3">
        <v>42964</v>
      </c>
      <c r="BT1778" s="4">
        <v>0.40625</v>
      </c>
      <c r="BU1778" s="2" t="s">
        <v>2365</v>
      </c>
      <c r="BV1778" s="2" t="s">
        <v>95</v>
      </c>
      <c r="BW1778" s="2"/>
      <c r="BX1778" s="2"/>
      <c r="BY1778" s="2">
        <v>1200</v>
      </c>
      <c r="BZ1778" s="2" t="s">
        <v>27</v>
      </c>
      <c r="CA1778" s="2" t="s">
        <v>1775</v>
      </c>
      <c r="CB1778" s="2"/>
      <c r="CC1778" s="2" t="s">
        <v>98</v>
      </c>
      <c r="CD1778" s="2">
        <v>6065</v>
      </c>
      <c r="CE1778" s="2" t="s">
        <v>104</v>
      </c>
      <c r="CF1778" s="5">
        <v>42965</v>
      </c>
      <c r="CG1778" s="2"/>
      <c r="CH1778" s="2"/>
      <c r="CI1778" s="2">
        <v>1</v>
      </c>
      <c r="CJ1778" s="2">
        <v>1</v>
      </c>
      <c r="CK1778" s="2">
        <v>21</v>
      </c>
      <c r="CL1778" s="2" t="s">
        <v>86</v>
      </c>
      <c r="CM1778" s="2"/>
    </row>
    <row r="1779" spans="1:91">
      <c r="A1779" s="2" t="s">
        <v>71</v>
      </c>
      <c r="B1779" s="2" t="s">
        <v>72</v>
      </c>
      <c r="C1779" s="2" t="s">
        <v>73</v>
      </c>
      <c r="D1779" s="2"/>
      <c r="E1779" s="2" t="str">
        <f>"FES1162569447"</f>
        <v>FES1162569447</v>
      </c>
      <c r="F1779" s="3">
        <v>42963</v>
      </c>
      <c r="G1779" s="2">
        <v>201802</v>
      </c>
      <c r="H1779" s="2" t="s">
        <v>74</v>
      </c>
      <c r="I1779" s="2" t="s">
        <v>75</v>
      </c>
      <c r="J1779" s="2" t="s">
        <v>76</v>
      </c>
      <c r="K1779" s="2" t="s">
        <v>77</v>
      </c>
      <c r="L1779" s="2" t="s">
        <v>97</v>
      </c>
      <c r="M1779" s="2" t="s">
        <v>98</v>
      </c>
      <c r="N1779" s="2" t="s">
        <v>119</v>
      </c>
      <c r="O1779" s="2" t="s">
        <v>100</v>
      </c>
      <c r="P1779" s="2" t="str">
        <f>"2170585299                    "</f>
        <v xml:space="preserve">2170585299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4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1</v>
      </c>
      <c r="BI1779" s="2">
        <v>1</v>
      </c>
      <c r="BJ1779" s="2">
        <v>0.2</v>
      </c>
      <c r="BK1779" s="2">
        <v>1</v>
      </c>
      <c r="BL1779" s="2">
        <v>41.44</v>
      </c>
      <c r="BM1779" s="2">
        <v>5.8</v>
      </c>
      <c r="BN1779" s="2">
        <v>47.24</v>
      </c>
      <c r="BO1779" s="2">
        <v>47.24</v>
      </c>
      <c r="BP1779" s="2"/>
      <c r="BQ1779" s="2" t="s">
        <v>108</v>
      </c>
      <c r="BR1779" s="2" t="s">
        <v>84</v>
      </c>
      <c r="BS1779" s="3">
        <v>42964</v>
      </c>
      <c r="BT1779" s="4">
        <v>0.34513888888888888</v>
      </c>
      <c r="BU1779" s="2" t="s">
        <v>2428</v>
      </c>
      <c r="BV1779" s="2" t="s">
        <v>95</v>
      </c>
      <c r="BW1779" s="2"/>
      <c r="BX1779" s="2"/>
      <c r="BY1779" s="2">
        <v>1200</v>
      </c>
      <c r="BZ1779" s="2" t="s">
        <v>27</v>
      </c>
      <c r="CA1779" s="2" t="s">
        <v>213</v>
      </c>
      <c r="CB1779" s="2"/>
      <c r="CC1779" s="2" t="s">
        <v>98</v>
      </c>
      <c r="CD1779" s="2">
        <v>6001</v>
      </c>
      <c r="CE1779" s="2" t="s">
        <v>104</v>
      </c>
      <c r="CF1779" s="5">
        <v>42965</v>
      </c>
      <c r="CG1779" s="2"/>
      <c r="CH1779" s="2"/>
      <c r="CI1779" s="2">
        <v>1</v>
      </c>
      <c r="CJ1779" s="2">
        <v>1</v>
      </c>
      <c r="CK1779" s="2">
        <v>21</v>
      </c>
      <c r="CL1779" s="2" t="s">
        <v>86</v>
      </c>
      <c r="CM1779" s="2"/>
    </row>
    <row r="1780" spans="1:91">
      <c r="A1780" s="2" t="s">
        <v>71</v>
      </c>
      <c r="B1780" s="2" t="s">
        <v>72</v>
      </c>
      <c r="C1780" s="2" t="s">
        <v>73</v>
      </c>
      <c r="D1780" s="2"/>
      <c r="E1780" s="2" t="str">
        <f>"FES1162569271"</f>
        <v>FES1162569271</v>
      </c>
      <c r="F1780" s="3">
        <v>42963</v>
      </c>
      <c r="G1780" s="2">
        <v>201802</v>
      </c>
      <c r="H1780" s="2" t="s">
        <v>74</v>
      </c>
      <c r="I1780" s="2" t="s">
        <v>75</v>
      </c>
      <c r="J1780" s="2" t="s">
        <v>76</v>
      </c>
      <c r="K1780" s="2" t="s">
        <v>77</v>
      </c>
      <c r="L1780" s="2" t="s">
        <v>321</v>
      </c>
      <c r="M1780" s="2" t="s">
        <v>322</v>
      </c>
      <c r="N1780" s="2" t="s">
        <v>323</v>
      </c>
      <c r="O1780" s="2" t="s">
        <v>100</v>
      </c>
      <c r="P1780" s="2" t="str">
        <f>"2170584743                    "</f>
        <v xml:space="preserve">2170584743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19.010000000000002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9.5</v>
      </c>
      <c r="BJ1780" s="2">
        <v>8.6999999999999993</v>
      </c>
      <c r="BK1780" s="2">
        <v>9.5</v>
      </c>
      <c r="BL1780" s="2">
        <v>196.85</v>
      </c>
      <c r="BM1780" s="2">
        <v>27.56</v>
      </c>
      <c r="BN1780" s="2">
        <v>224.41</v>
      </c>
      <c r="BO1780" s="2">
        <v>224.41</v>
      </c>
      <c r="BP1780" s="2"/>
      <c r="BQ1780" s="2" t="s">
        <v>83</v>
      </c>
      <c r="BR1780" s="2" t="s">
        <v>84</v>
      </c>
      <c r="BS1780" s="3">
        <v>42964</v>
      </c>
      <c r="BT1780" s="4">
        <v>0.39097222222222222</v>
      </c>
      <c r="BU1780" s="2" t="s">
        <v>324</v>
      </c>
      <c r="BV1780" s="2" t="s">
        <v>95</v>
      </c>
      <c r="BW1780" s="2"/>
      <c r="BX1780" s="2"/>
      <c r="BY1780" s="2">
        <v>43445.9</v>
      </c>
      <c r="BZ1780" s="2" t="s">
        <v>27</v>
      </c>
      <c r="CA1780" s="2" t="s">
        <v>103</v>
      </c>
      <c r="CB1780" s="2"/>
      <c r="CC1780" s="2" t="s">
        <v>322</v>
      </c>
      <c r="CD1780" s="2">
        <v>6220</v>
      </c>
      <c r="CE1780" s="2" t="s">
        <v>89</v>
      </c>
      <c r="CF1780" s="5">
        <v>42965</v>
      </c>
      <c r="CG1780" s="2"/>
      <c r="CH1780" s="2"/>
      <c r="CI1780" s="2">
        <v>1</v>
      </c>
      <c r="CJ1780" s="2">
        <v>1</v>
      </c>
      <c r="CK1780" s="2">
        <v>21</v>
      </c>
      <c r="CL1780" s="2" t="s">
        <v>86</v>
      </c>
      <c r="CM1780" s="2"/>
    </row>
    <row r="1781" spans="1:91">
      <c r="A1781" s="2" t="s">
        <v>71</v>
      </c>
      <c r="B1781" s="2" t="s">
        <v>72</v>
      </c>
      <c r="C1781" s="2" t="s">
        <v>73</v>
      </c>
      <c r="D1781" s="2"/>
      <c r="E1781" s="2" t="str">
        <f>"FES1162569204"</f>
        <v>FES1162569204</v>
      </c>
      <c r="F1781" s="3">
        <v>42963</v>
      </c>
      <c r="G1781" s="2">
        <v>201802</v>
      </c>
      <c r="H1781" s="2" t="s">
        <v>74</v>
      </c>
      <c r="I1781" s="2" t="s">
        <v>75</v>
      </c>
      <c r="J1781" s="2" t="s">
        <v>76</v>
      </c>
      <c r="K1781" s="2" t="s">
        <v>77</v>
      </c>
      <c r="L1781" s="2" t="s">
        <v>144</v>
      </c>
      <c r="M1781" s="2" t="s">
        <v>145</v>
      </c>
      <c r="N1781" s="2" t="s">
        <v>146</v>
      </c>
      <c r="O1781" s="2" t="s">
        <v>100</v>
      </c>
      <c r="P1781" s="2" t="str">
        <f>"2170579292                    "</f>
        <v xml:space="preserve">2170579292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3.13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6.9</v>
      </c>
      <c r="BJ1781" s="2">
        <v>2.2000000000000002</v>
      </c>
      <c r="BK1781" s="2">
        <v>7</v>
      </c>
      <c r="BL1781" s="2">
        <v>32.380000000000003</v>
      </c>
      <c r="BM1781" s="2">
        <v>4.53</v>
      </c>
      <c r="BN1781" s="2">
        <v>36.909999999999997</v>
      </c>
      <c r="BO1781" s="2">
        <v>36.909999999999997</v>
      </c>
      <c r="BP1781" s="2"/>
      <c r="BQ1781" s="2" t="s">
        <v>83</v>
      </c>
      <c r="BR1781" s="2" t="s">
        <v>84</v>
      </c>
      <c r="BS1781" s="3">
        <v>42964</v>
      </c>
      <c r="BT1781" s="4">
        <v>0.37916666666666665</v>
      </c>
      <c r="BU1781" s="2" t="s">
        <v>728</v>
      </c>
      <c r="BV1781" s="2" t="s">
        <v>95</v>
      </c>
      <c r="BW1781" s="2"/>
      <c r="BX1781" s="2"/>
      <c r="BY1781" s="2">
        <v>11161.99</v>
      </c>
      <c r="BZ1781" s="2" t="s">
        <v>27</v>
      </c>
      <c r="CA1781" s="2" t="s">
        <v>729</v>
      </c>
      <c r="CB1781" s="2"/>
      <c r="CC1781" s="2" t="s">
        <v>145</v>
      </c>
      <c r="CD1781" s="2">
        <v>2094</v>
      </c>
      <c r="CE1781" s="2" t="s">
        <v>89</v>
      </c>
      <c r="CF1781" s="5">
        <v>42965</v>
      </c>
      <c r="CG1781" s="2"/>
      <c r="CH1781" s="2"/>
      <c r="CI1781" s="2">
        <v>1</v>
      </c>
      <c r="CJ1781" s="2">
        <v>1</v>
      </c>
      <c r="CK1781" s="2">
        <v>22</v>
      </c>
      <c r="CL1781" s="2" t="s">
        <v>86</v>
      </c>
      <c r="CM1781" s="2"/>
    </row>
    <row r="1782" spans="1:91">
      <c r="A1782" s="2" t="s">
        <v>71</v>
      </c>
      <c r="B1782" s="2" t="s">
        <v>72</v>
      </c>
      <c r="C1782" s="2" t="s">
        <v>73</v>
      </c>
      <c r="D1782" s="2"/>
      <c r="E1782" s="2" t="str">
        <f>"FES1162569302"</f>
        <v>FES1162569302</v>
      </c>
      <c r="F1782" s="3">
        <v>42963</v>
      </c>
      <c r="G1782" s="2">
        <v>201802</v>
      </c>
      <c r="H1782" s="2" t="s">
        <v>74</v>
      </c>
      <c r="I1782" s="2" t="s">
        <v>75</v>
      </c>
      <c r="J1782" s="2" t="s">
        <v>76</v>
      </c>
      <c r="K1782" s="2" t="s">
        <v>77</v>
      </c>
      <c r="L1782" s="2" t="s">
        <v>510</v>
      </c>
      <c r="M1782" s="2" t="s">
        <v>511</v>
      </c>
      <c r="N1782" s="2" t="s">
        <v>2342</v>
      </c>
      <c r="O1782" s="2" t="s">
        <v>100</v>
      </c>
      <c r="P1782" s="2" t="str">
        <f>"2170582921                    "</f>
        <v xml:space="preserve">2170582921                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4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1</v>
      </c>
      <c r="BI1782" s="2">
        <v>1</v>
      </c>
      <c r="BJ1782" s="2">
        <v>0.2</v>
      </c>
      <c r="BK1782" s="2">
        <v>1</v>
      </c>
      <c r="BL1782" s="2">
        <v>41.44</v>
      </c>
      <c r="BM1782" s="2">
        <v>5.8</v>
      </c>
      <c r="BN1782" s="2">
        <v>47.24</v>
      </c>
      <c r="BO1782" s="2">
        <v>47.24</v>
      </c>
      <c r="BP1782" s="2"/>
      <c r="BQ1782" s="2" t="s">
        <v>83</v>
      </c>
      <c r="BR1782" s="2" t="s">
        <v>84</v>
      </c>
      <c r="BS1782" s="3">
        <v>42964</v>
      </c>
      <c r="BT1782" s="4">
        <v>0.33888888888888885</v>
      </c>
      <c r="BU1782" s="2" t="s">
        <v>2343</v>
      </c>
      <c r="BV1782" s="2" t="s">
        <v>95</v>
      </c>
      <c r="BW1782" s="2"/>
      <c r="BX1782" s="2"/>
      <c r="BY1782" s="2">
        <v>1200</v>
      </c>
      <c r="BZ1782" s="2" t="s">
        <v>27</v>
      </c>
      <c r="CA1782" s="2" t="s">
        <v>514</v>
      </c>
      <c r="CB1782" s="2"/>
      <c r="CC1782" s="2" t="s">
        <v>511</v>
      </c>
      <c r="CD1782" s="2">
        <v>6230</v>
      </c>
      <c r="CE1782" s="2" t="s">
        <v>104</v>
      </c>
      <c r="CF1782" s="5">
        <v>42965</v>
      </c>
      <c r="CG1782" s="2"/>
      <c r="CH1782" s="2"/>
      <c r="CI1782" s="2">
        <v>1</v>
      </c>
      <c r="CJ1782" s="2">
        <v>1</v>
      </c>
      <c r="CK1782" s="2">
        <v>21</v>
      </c>
      <c r="CL1782" s="2" t="s">
        <v>86</v>
      </c>
      <c r="CM1782" s="2"/>
    </row>
    <row r="1783" spans="1:91">
      <c r="A1783" s="2" t="s">
        <v>71</v>
      </c>
      <c r="B1783" s="2" t="s">
        <v>72</v>
      </c>
      <c r="C1783" s="2" t="s">
        <v>73</v>
      </c>
      <c r="D1783" s="2"/>
      <c r="E1783" s="2" t="str">
        <f>"FES1162569196"</f>
        <v>FES1162569196</v>
      </c>
      <c r="F1783" s="3">
        <v>42963</v>
      </c>
      <c r="G1783" s="2">
        <v>201802</v>
      </c>
      <c r="H1783" s="2" t="s">
        <v>74</v>
      </c>
      <c r="I1783" s="2" t="s">
        <v>75</v>
      </c>
      <c r="J1783" s="2" t="s">
        <v>76</v>
      </c>
      <c r="K1783" s="2" t="s">
        <v>77</v>
      </c>
      <c r="L1783" s="2" t="s">
        <v>105</v>
      </c>
      <c r="M1783" s="2" t="s">
        <v>106</v>
      </c>
      <c r="N1783" s="2" t="s">
        <v>2429</v>
      </c>
      <c r="O1783" s="2" t="s">
        <v>100</v>
      </c>
      <c r="P1783" s="2" t="str">
        <f>"2170585146                    "</f>
        <v xml:space="preserve">2170585146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7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1</v>
      </c>
      <c r="BI1783" s="2">
        <v>1.9</v>
      </c>
      <c r="BJ1783" s="2">
        <v>3.5</v>
      </c>
      <c r="BK1783" s="2">
        <v>3.5</v>
      </c>
      <c r="BL1783" s="2">
        <v>72.52</v>
      </c>
      <c r="BM1783" s="2">
        <v>10.15</v>
      </c>
      <c r="BN1783" s="2">
        <v>82.67</v>
      </c>
      <c r="BO1783" s="2">
        <v>82.67</v>
      </c>
      <c r="BP1783" s="2"/>
      <c r="BQ1783" s="2" t="s">
        <v>108</v>
      </c>
      <c r="BR1783" s="2" t="s">
        <v>84</v>
      </c>
      <c r="BS1783" s="3">
        <v>42964</v>
      </c>
      <c r="BT1783" s="4">
        <v>0.3263888888888889</v>
      </c>
      <c r="BU1783" s="2" t="s">
        <v>2430</v>
      </c>
      <c r="BV1783" s="2" t="s">
        <v>95</v>
      </c>
      <c r="BW1783" s="2"/>
      <c r="BX1783" s="2"/>
      <c r="BY1783" s="2">
        <v>17321.18</v>
      </c>
      <c r="BZ1783" s="2" t="s">
        <v>27</v>
      </c>
      <c r="CA1783" s="2"/>
      <c r="CB1783" s="2"/>
      <c r="CC1783" s="2" t="s">
        <v>106</v>
      </c>
      <c r="CD1783" s="2">
        <v>7530</v>
      </c>
      <c r="CE1783" s="2" t="s">
        <v>89</v>
      </c>
      <c r="CF1783" s="5">
        <v>42965</v>
      </c>
      <c r="CG1783" s="2"/>
      <c r="CH1783" s="2"/>
      <c r="CI1783" s="2">
        <v>1</v>
      </c>
      <c r="CJ1783" s="2">
        <v>1</v>
      </c>
      <c r="CK1783" s="2">
        <v>21</v>
      </c>
      <c r="CL1783" s="2" t="s">
        <v>86</v>
      </c>
      <c r="CM1783" s="2"/>
    </row>
    <row r="1784" spans="1:91">
      <c r="A1784" s="2" t="s">
        <v>71</v>
      </c>
      <c r="B1784" s="2" t="s">
        <v>72</v>
      </c>
      <c r="C1784" s="2" t="s">
        <v>73</v>
      </c>
      <c r="D1784" s="2"/>
      <c r="E1784" s="2" t="str">
        <f>"FES1162569172"</f>
        <v>FES1162569172</v>
      </c>
      <c r="F1784" s="3">
        <v>42963</v>
      </c>
      <c r="G1784" s="2">
        <v>201802</v>
      </c>
      <c r="H1784" s="2" t="s">
        <v>74</v>
      </c>
      <c r="I1784" s="2" t="s">
        <v>75</v>
      </c>
      <c r="J1784" s="2" t="s">
        <v>76</v>
      </c>
      <c r="K1784" s="2" t="s">
        <v>77</v>
      </c>
      <c r="L1784" s="2" t="s">
        <v>417</v>
      </c>
      <c r="M1784" s="2" t="s">
        <v>417</v>
      </c>
      <c r="N1784" s="2" t="s">
        <v>475</v>
      </c>
      <c r="O1784" s="2" t="s">
        <v>100</v>
      </c>
      <c r="P1784" s="2" t="str">
        <f>"2170584323                    "</f>
        <v xml:space="preserve">2170584323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9.01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4.5</v>
      </c>
      <c r="BJ1784" s="2">
        <v>3.4</v>
      </c>
      <c r="BK1784" s="2">
        <v>4.5</v>
      </c>
      <c r="BL1784" s="2">
        <v>93.25</v>
      </c>
      <c r="BM1784" s="2">
        <v>13.06</v>
      </c>
      <c r="BN1784" s="2">
        <v>106.31</v>
      </c>
      <c r="BO1784" s="2">
        <v>106.31</v>
      </c>
      <c r="BP1784" s="2"/>
      <c r="BQ1784" s="2" t="s">
        <v>108</v>
      </c>
      <c r="BR1784" s="2" t="s">
        <v>84</v>
      </c>
      <c r="BS1784" s="3">
        <v>42964</v>
      </c>
      <c r="BT1784" s="4">
        <v>0.42708333333333331</v>
      </c>
      <c r="BU1784" s="2" t="s">
        <v>509</v>
      </c>
      <c r="BV1784" s="2" t="s">
        <v>95</v>
      </c>
      <c r="BW1784" s="2"/>
      <c r="BX1784" s="2"/>
      <c r="BY1784" s="2">
        <v>16941.54</v>
      </c>
      <c r="BZ1784" s="2" t="s">
        <v>27</v>
      </c>
      <c r="CA1784" s="2" t="s">
        <v>460</v>
      </c>
      <c r="CB1784" s="2"/>
      <c r="CC1784" s="2" t="s">
        <v>417</v>
      </c>
      <c r="CD1784" s="2">
        <v>7646</v>
      </c>
      <c r="CE1784" s="2" t="s">
        <v>89</v>
      </c>
      <c r="CF1784" s="5">
        <v>42964</v>
      </c>
      <c r="CG1784" s="2"/>
      <c r="CH1784" s="2"/>
      <c r="CI1784" s="2">
        <v>1</v>
      </c>
      <c r="CJ1784" s="2">
        <v>1</v>
      </c>
      <c r="CK1784" s="2">
        <v>21</v>
      </c>
      <c r="CL1784" s="2" t="s">
        <v>86</v>
      </c>
      <c r="CM1784" s="2"/>
    </row>
    <row r="1785" spans="1:91">
      <c r="A1785" s="2" t="s">
        <v>71</v>
      </c>
      <c r="B1785" s="2" t="s">
        <v>72</v>
      </c>
      <c r="C1785" s="2" t="s">
        <v>73</v>
      </c>
      <c r="D1785" s="2"/>
      <c r="E1785" s="2" t="str">
        <f>"FES1162569315"</f>
        <v>FES1162569315</v>
      </c>
      <c r="F1785" s="3">
        <v>42963</v>
      </c>
      <c r="G1785" s="2">
        <v>201802</v>
      </c>
      <c r="H1785" s="2" t="s">
        <v>74</v>
      </c>
      <c r="I1785" s="2" t="s">
        <v>75</v>
      </c>
      <c r="J1785" s="2" t="s">
        <v>76</v>
      </c>
      <c r="K1785" s="2" t="s">
        <v>77</v>
      </c>
      <c r="L1785" s="2" t="s">
        <v>2431</v>
      </c>
      <c r="M1785" s="2" t="s">
        <v>2432</v>
      </c>
      <c r="N1785" s="2" t="s">
        <v>2433</v>
      </c>
      <c r="O1785" s="2" t="s">
        <v>100</v>
      </c>
      <c r="P1785" s="2" t="str">
        <f>"2170585182                    "</f>
        <v xml:space="preserve">2170585182           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7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1.5</v>
      </c>
      <c r="BJ1785" s="2">
        <v>3.3</v>
      </c>
      <c r="BK1785" s="2">
        <v>3.5</v>
      </c>
      <c r="BL1785" s="2">
        <v>72.52</v>
      </c>
      <c r="BM1785" s="2">
        <v>10.15</v>
      </c>
      <c r="BN1785" s="2">
        <v>82.67</v>
      </c>
      <c r="BO1785" s="2">
        <v>82.67</v>
      </c>
      <c r="BP1785" s="2"/>
      <c r="BQ1785" s="2" t="s">
        <v>288</v>
      </c>
      <c r="BR1785" s="2" t="s">
        <v>84</v>
      </c>
      <c r="BS1785" s="3">
        <v>42964</v>
      </c>
      <c r="BT1785" s="4">
        <v>0.42152777777777778</v>
      </c>
      <c r="BU1785" s="2" t="s">
        <v>2434</v>
      </c>
      <c r="BV1785" s="2" t="s">
        <v>95</v>
      </c>
      <c r="BW1785" s="2"/>
      <c r="BX1785" s="2"/>
      <c r="BY1785" s="2">
        <v>16619.2</v>
      </c>
      <c r="BZ1785" s="2" t="s">
        <v>27</v>
      </c>
      <c r="CA1785" s="2" t="s">
        <v>2435</v>
      </c>
      <c r="CB1785" s="2"/>
      <c r="CC1785" s="2" t="s">
        <v>2432</v>
      </c>
      <c r="CD1785" s="2">
        <v>1200</v>
      </c>
      <c r="CE1785" s="2" t="s">
        <v>89</v>
      </c>
      <c r="CF1785" s="5">
        <v>42965</v>
      </c>
      <c r="CG1785" s="2"/>
      <c r="CH1785" s="2"/>
      <c r="CI1785" s="2">
        <v>1</v>
      </c>
      <c r="CJ1785" s="2">
        <v>1</v>
      </c>
      <c r="CK1785" s="2">
        <v>21</v>
      </c>
      <c r="CL1785" s="2" t="s">
        <v>86</v>
      </c>
      <c r="CM1785" s="2"/>
    </row>
    <row r="1786" spans="1:91">
      <c r="A1786" s="2" t="s">
        <v>71</v>
      </c>
      <c r="B1786" s="2" t="s">
        <v>72</v>
      </c>
      <c r="C1786" s="2" t="s">
        <v>73</v>
      </c>
      <c r="D1786" s="2"/>
      <c r="E1786" s="2" t="str">
        <f>"FES1162569303"</f>
        <v>FES1162569303</v>
      </c>
      <c r="F1786" s="3">
        <v>42963</v>
      </c>
      <c r="G1786" s="2">
        <v>201802</v>
      </c>
      <c r="H1786" s="2" t="s">
        <v>74</v>
      </c>
      <c r="I1786" s="2" t="s">
        <v>75</v>
      </c>
      <c r="J1786" s="2" t="s">
        <v>76</v>
      </c>
      <c r="K1786" s="2" t="s">
        <v>77</v>
      </c>
      <c r="L1786" s="2" t="s">
        <v>417</v>
      </c>
      <c r="M1786" s="2" t="s">
        <v>417</v>
      </c>
      <c r="N1786" s="2" t="s">
        <v>1414</v>
      </c>
      <c r="O1786" s="2" t="s">
        <v>100</v>
      </c>
      <c r="P1786" s="2" t="str">
        <f>"2170582928                    "</f>
        <v xml:space="preserve">2170582928            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4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1</v>
      </c>
      <c r="BI1786" s="2">
        <v>1.3</v>
      </c>
      <c r="BJ1786" s="2">
        <v>1.8</v>
      </c>
      <c r="BK1786" s="2">
        <v>2</v>
      </c>
      <c r="BL1786" s="2">
        <v>41.44</v>
      </c>
      <c r="BM1786" s="2">
        <v>5.8</v>
      </c>
      <c r="BN1786" s="2">
        <v>47.24</v>
      </c>
      <c r="BO1786" s="2">
        <v>47.24</v>
      </c>
      <c r="BP1786" s="2"/>
      <c r="BQ1786" s="2" t="s">
        <v>108</v>
      </c>
      <c r="BR1786" s="2" t="s">
        <v>84</v>
      </c>
      <c r="BS1786" s="3">
        <v>42964</v>
      </c>
      <c r="BT1786" s="4">
        <v>0.40833333333333338</v>
      </c>
      <c r="BU1786" s="2" t="s">
        <v>699</v>
      </c>
      <c r="BV1786" s="2" t="s">
        <v>95</v>
      </c>
      <c r="BW1786" s="2"/>
      <c r="BX1786" s="2"/>
      <c r="BY1786" s="2">
        <v>9222.9699999999993</v>
      </c>
      <c r="BZ1786" s="2" t="s">
        <v>27</v>
      </c>
      <c r="CA1786" s="2" t="s">
        <v>460</v>
      </c>
      <c r="CB1786" s="2"/>
      <c r="CC1786" s="2" t="s">
        <v>417</v>
      </c>
      <c r="CD1786" s="2">
        <v>7646</v>
      </c>
      <c r="CE1786" s="2" t="s">
        <v>89</v>
      </c>
      <c r="CF1786" s="5">
        <v>42964</v>
      </c>
      <c r="CG1786" s="2"/>
      <c r="CH1786" s="2"/>
      <c r="CI1786" s="2">
        <v>1</v>
      </c>
      <c r="CJ1786" s="2">
        <v>1</v>
      </c>
      <c r="CK1786" s="2">
        <v>21</v>
      </c>
      <c r="CL1786" s="2" t="s">
        <v>86</v>
      </c>
      <c r="CM1786" s="2"/>
    </row>
    <row r="1787" spans="1:91">
      <c r="A1787" s="2" t="s">
        <v>71</v>
      </c>
      <c r="B1787" s="2" t="s">
        <v>72</v>
      </c>
      <c r="C1787" s="2" t="s">
        <v>73</v>
      </c>
      <c r="D1787" s="2"/>
      <c r="E1787" s="2" t="str">
        <f>"FES1162569240"</f>
        <v>FES1162569240</v>
      </c>
      <c r="F1787" s="3">
        <v>42963</v>
      </c>
      <c r="G1787" s="2">
        <v>201802</v>
      </c>
      <c r="H1787" s="2" t="s">
        <v>74</v>
      </c>
      <c r="I1787" s="2" t="s">
        <v>75</v>
      </c>
      <c r="J1787" s="2" t="s">
        <v>76</v>
      </c>
      <c r="K1787" s="2" t="s">
        <v>77</v>
      </c>
      <c r="L1787" s="2" t="s">
        <v>221</v>
      </c>
      <c r="M1787" s="2" t="s">
        <v>222</v>
      </c>
      <c r="N1787" s="2" t="s">
        <v>415</v>
      </c>
      <c r="O1787" s="2" t="s">
        <v>100</v>
      </c>
      <c r="P1787" s="2" t="str">
        <f>"2170582878                    "</f>
        <v xml:space="preserve">2170582878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8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3.9</v>
      </c>
      <c r="BJ1787" s="2">
        <v>3.2</v>
      </c>
      <c r="BK1787" s="2">
        <v>4</v>
      </c>
      <c r="BL1787" s="2">
        <v>82.88</v>
      </c>
      <c r="BM1787" s="2">
        <v>11.6</v>
      </c>
      <c r="BN1787" s="2">
        <v>94.48</v>
      </c>
      <c r="BO1787" s="2">
        <v>94.48</v>
      </c>
      <c r="BP1787" s="2"/>
      <c r="BQ1787" s="2" t="s">
        <v>108</v>
      </c>
      <c r="BR1787" s="2" t="s">
        <v>84</v>
      </c>
      <c r="BS1787" s="3">
        <v>42964</v>
      </c>
      <c r="BT1787" s="4">
        <v>0.35694444444444445</v>
      </c>
      <c r="BU1787" s="2" t="s">
        <v>416</v>
      </c>
      <c r="BV1787" s="2" t="s">
        <v>95</v>
      </c>
      <c r="BW1787" s="2"/>
      <c r="BX1787" s="2"/>
      <c r="BY1787" s="2">
        <v>16249.34</v>
      </c>
      <c r="BZ1787" s="2" t="s">
        <v>27</v>
      </c>
      <c r="CA1787" s="2" t="s">
        <v>225</v>
      </c>
      <c r="CB1787" s="2"/>
      <c r="CC1787" s="2" t="s">
        <v>222</v>
      </c>
      <c r="CD1787" s="2">
        <v>4302</v>
      </c>
      <c r="CE1787" s="2" t="s">
        <v>89</v>
      </c>
      <c r="CF1787" s="5">
        <v>42965</v>
      </c>
      <c r="CG1787" s="2"/>
      <c r="CH1787" s="2"/>
      <c r="CI1787" s="2">
        <v>1</v>
      </c>
      <c r="CJ1787" s="2">
        <v>1</v>
      </c>
      <c r="CK1787" s="2">
        <v>21</v>
      </c>
      <c r="CL1787" s="2" t="s">
        <v>86</v>
      </c>
      <c r="CM1787" s="2"/>
    </row>
    <row r="1788" spans="1:91">
      <c r="A1788" s="2" t="s">
        <v>71</v>
      </c>
      <c r="B1788" s="2" t="s">
        <v>72</v>
      </c>
      <c r="C1788" s="2" t="s">
        <v>73</v>
      </c>
      <c r="D1788" s="2"/>
      <c r="E1788" s="2" t="str">
        <f>"FES1162569231"</f>
        <v>FES1162569231</v>
      </c>
      <c r="F1788" s="3">
        <v>42963</v>
      </c>
      <c r="G1788" s="2">
        <v>201802</v>
      </c>
      <c r="H1788" s="2" t="s">
        <v>74</v>
      </c>
      <c r="I1788" s="2" t="s">
        <v>75</v>
      </c>
      <c r="J1788" s="2" t="s">
        <v>76</v>
      </c>
      <c r="K1788" s="2" t="s">
        <v>77</v>
      </c>
      <c r="L1788" s="2" t="s">
        <v>715</v>
      </c>
      <c r="M1788" s="2" t="s">
        <v>716</v>
      </c>
      <c r="N1788" s="2" t="s">
        <v>2310</v>
      </c>
      <c r="O1788" s="2" t="s">
        <v>100</v>
      </c>
      <c r="P1788" s="2" t="str">
        <f>"2170582669                    "</f>
        <v xml:space="preserve">2170582669 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5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2.2000000000000002</v>
      </c>
      <c r="BJ1788" s="2">
        <v>1.8</v>
      </c>
      <c r="BK1788" s="2">
        <v>2.5</v>
      </c>
      <c r="BL1788" s="2">
        <v>51.8</v>
      </c>
      <c r="BM1788" s="2">
        <v>7.25</v>
      </c>
      <c r="BN1788" s="2">
        <v>59.05</v>
      </c>
      <c r="BO1788" s="2">
        <v>59.05</v>
      </c>
      <c r="BP1788" s="2"/>
      <c r="BQ1788" s="2" t="s">
        <v>2436</v>
      </c>
      <c r="BR1788" s="2" t="s">
        <v>84</v>
      </c>
      <c r="BS1788" s="3">
        <v>42964</v>
      </c>
      <c r="BT1788" s="4">
        <v>0.46388888888888885</v>
      </c>
      <c r="BU1788" s="2" t="s">
        <v>2437</v>
      </c>
      <c r="BV1788" s="2" t="s">
        <v>95</v>
      </c>
      <c r="BW1788" s="2"/>
      <c r="BX1788" s="2"/>
      <c r="BY1788" s="2">
        <v>9118.2000000000007</v>
      </c>
      <c r="BZ1788" s="2" t="s">
        <v>27</v>
      </c>
      <c r="CA1788" s="2" t="s">
        <v>566</v>
      </c>
      <c r="CB1788" s="2"/>
      <c r="CC1788" s="2" t="s">
        <v>716</v>
      </c>
      <c r="CD1788" s="2">
        <v>3290</v>
      </c>
      <c r="CE1788" s="2" t="s">
        <v>89</v>
      </c>
      <c r="CF1788" s="5">
        <v>42968</v>
      </c>
      <c r="CG1788" s="2"/>
      <c r="CH1788" s="2"/>
      <c r="CI1788" s="2">
        <v>1</v>
      </c>
      <c r="CJ1788" s="2">
        <v>1</v>
      </c>
      <c r="CK1788" s="2">
        <v>21</v>
      </c>
      <c r="CL1788" s="2" t="s">
        <v>86</v>
      </c>
      <c r="CM1788" s="2"/>
    </row>
    <row r="1789" spans="1:91">
      <c r="A1789" s="2" t="s">
        <v>71</v>
      </c>
      <c r="B1789" s="2" t="s">
        <v>72</v>
      </c>
      <c r="C1789" s="2" t="s">
        <v>73</v>
      </c>
      <c r="D1789" s="2"/>
      <c r="E1789" s="2" t="str">
        <f>"FES1162569192"</f>
        <v>FES1162569192</v>
      </c>
      <c r="F1789" s="3">
        <v>42963</v>
      </c>
      <c r="G1789" s="2">
        <v>201802</v>
      </c>
      <c r="H1789" s="2" t="s">
        <v>74</v>
      </c>
      <c r="I1789" s="2" t="s">
        <v>75</v>
      </c>
      <c r="J1789" s="2" t="s">
        <v>76</v>
      </c>
      <c r="K1789" s="2" t="s">
        <v>77</v>
      </c>
      <c r="L1789" s="2" t="s">
        <v>105</v>
      </c>
      <c r="M1789" s="2" t="s">
        <v>106</v>
      </c>
      <c r="N1789" s="2" t="s">
        <v>364</v>
      </c>
      <c r="O1789" s="2" t="s">
        <v>100</v>
      </c>
      <c r="P1789" s="2" t="str">
        <f>"2170585139                    "</f>
        <v xml:space="preserve">2170585139      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6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2.8</v>
      </c>
      <c r="BJ1789" s="2">
        <v>1.9</v>
      </c>
      <c r="BK1789" s="2">
        <v>3</v>
      </c>
      <c r="BL1789" s="2">
        <v>62.16</v>
      </c>
      <c r="BM1789" s="2">
        <v>8.6999999999999993</v>
      </c>
      <c r="BN1789" s="2">
        <v>70.86</v>
      </c>
      <c r="BO1789" s="2">
        <v>70.86</v>
      </c>
      <c r="BP1789" s="2"/>
      <c r="BQ1789" s="2" t="s">
        <v>83</v>
      </c>
      <c r="BR1789" s="2" t="s">
        <v>84</v>
      </c>
      <c r="BS1789" s="3">
        <v>42964</v>
      </c>
      <c r="BT1789" s="4">
        <v>0.3888888888888889</v>
      </c>
      <c r="BU1789" s="2" t="s">
        <v>622</v>
      </c>
      <c r="BV1789" s="2" t="s">
        <v>95</v>
      </c>
      <c r="BW1789" s="2"/>
      <c r="BX1789" s="2"/>
      <c r="BY1789" s="2">
        <v>9630.2099999999991</v>
      </c>
      <c r="BZ1789" s="2" t="s">
        <v>27</v>
      </c>
      <c r="CA1789" s="2"/>
      <c r="CB1789" s="2"/>
      <c r="CC1789" s="2" t="s">
        <v>106</v>
      </c>
      <c r="CD1789" s="2">
        <v>7560</v>
      </c>
      <c r="CE1789" s="2" t="s">
        <v>89</v>
      </c>
      <c r="CF1789" s="5">
        <v>42965</v>
      </c>
      <c r="CG1789" s="2"/>
      <c r="CH1789" s="2"/>
      <c r="CI1789" s="2">
        <v>1</v>
      </c>
      <c r="CJ1789" s="2">
        <v>1</v>
      </c>
      <c r="CK1789" s="2">
        <v>21</v>
      </c>
      <c r="CL1789" s="2" t="s">
        <v>86</v>
      </c>
      <c r="CM1789" s="2"/>
    </row>
    <row r="1790" spans="1:91">
      <c r="A1790" s="2" t="s">
        <v>71</v>
      </c>
      <c r="B1790" s="2" t="s">
        <v>72</v>
      </c>
      <c r="C1790" s="2" t="s">
        <v>73</v>
      </c>
      <c r="D1790" s="2"/>
      <c r="E1790" s="2" t="str">
        <f>"FES1162569332"</f>
        <v>FES1162569332</v>
      </c>
      <c r="F1790" s="3">
        <v>42963</v>
      </c>
      <c r="G1790" s="2">
        <v>201802</v>
      </c>
      <c r="H1790" s="2" t="s">
        <v>74</v>
      </c>
      <c r="I1790" s="2" t="s">
        <v>75</v>
      </c>
      <c r="J1790" s="2" t="s">
        <v>76</v>
      </c>
      <c r="K1790" s="2" t="s">
        <v>77</v>
      </c>
      <c r="L1790" s="2" t="s">
        <v>164</v>
      </c>
      <c r="M1790" s="2" t="s">
        <v>165</v>
      </c>
      <c r="N1790" s="2" t="s">
        <v>166</v>
      </c>
      <c r="O1790" s="2" t="s">
        <v>100</v>
      </c>
      <c r="P1790" s="2" t="str">
        <f>"2170585201                    "</f>
        <v xml:space="preserve">2170585201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17.010000000000002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8.1999999999999993</v>
      </c>
      <c r="BJ1790" s="2">
        <v>3.3</v>
      </c>
      <c r="BK1790" s="2">
        <v>8.5</v>
      </c>
      <c r="BL1790" s="2">
        <v>176.13</v>
      </c>
      <c r="BM1790" s="2">
        <v>24.66</v>
      </c>
      <c r="BN1790" s="2">
        <v>200.79</v>
      </c>
      <c r="BO1790" s="2">
        <v>200.79</v>
      </c>
      <c r="BP1790" s="2"/>
      <c r="BQ1790" s="2" t="s">
        <v>83</v>
      </c>
      <c r="BR1790" s="2" t="s">
        <v>84</v>
      </c>
      <c r="BS1790" s="3">
        <v>42964</v>
      </c>
      <c r="BT1790" s="4">
        <v>0.41666666666666669</v>
      </c>
      <c r="BU1790" s="2" t="s">
        <v>2391</v>
      </c>
      <c r="BV1790" s="2" t="s">
        <v>95</v>
      </c>
      <c r="BW1790" s="2"/>
      <c r="BX1790" s="2"/>
      <c r="BY1790" s="2">
        <v>16310.27</v>
      </c>
      <c r="BZ1790" s="2" t="s">
        <v>27</v>
      </c>
      <c r="CA1790" s="2"/>
      <c r="CB1790" s="2"/>
      <c r="CC1790" s="2" t="s">
        <v>165</v>
      </c>
      <c r="CD1790" s="2">
        <v>6849</v>
      </c>
      <c r="CE1790" s="2" t="s">
        <v>89</v>
      </c>
      <c r="CF1790" s="5">
        <v>42965</v>
      </c>
      <c r="CG1790" s="2"/>
      <c r="CH1790" s="2"/>
      <c r="CI1790" s="2">
        <v>3</v>
      </c>
      <c r="CJ1790" s="2">
        <v>1</v>
      </c>
      <c r="CK1790" s="2">
        <v>21</v>
      </c>
      <c r="CL1790" s="2" t="s">
        <v>86</v>
      </c>
      <c r="CM1790" s="2"/>
    </row>
    <row r="1791" spans="1:91">
      <c r="A1791" s="2" t="s">
        <v>71</v>
      </c>
      <c r="B1791" s="2" t="s">
        <v>72</v>
      </c>
      <c r="C1791" s="2" t="s">
        <v>73</v>
      </c>
      <c r="D1791" s="2"/>
      <c r="E1791" s="2" t="str">
        <f>"FES1162569411"</f>
        <v>FES1162569411</v>
      </c>
      <c r="F1791" s="3">
        <v>42963</v>
      </c>
      <c r="G1791" s="2">
        <v>201802</v>
      </c>
      <c r="H1791" s="2" t="s">
        <v>74</v>
      </c>
      <c r="I1791" s="2" t="s">
        <v>75</v>
      </c>
      <c r="J1791" s="2" t="s">
        <v>76</v>
      </c>
      <c r="K1791" s="2" t="s">
        <v>77</v>
      </c>
      <c r="L1791" s="2" t="s">
        <v>841</v>
      </c>
      <c r="M1791" s="2" t="s">
        <v>842</v>
      </c>
      <c r="N1791" s="2" t="s">
        <v>843</v>
      </c>
      <c r="O1791" s="2" t="s">
        <v>100</v>
      </c>
      <c r="P1791" s="2" t="str">
        <f>"2170585263                    "</f>
        <v xml:space="preserve">2170585263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14.76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3.9</v>
      </c>
      <c r="BJ1791" s="2">
        <v>1.6</v>
      </c>
      <c r="BK1791" s="2">
        <v>4</v>
      </c>
      <c r="BL1791" s="2">
        <v>152.82</v>
      </c>
      <c r="BM1791" s="2">
        <v>21.39</v>
      </c>
      <c r="BN1791" s="2">
        <v>174.21</v>
      </c>
      <c r="BO1791" s="2">
        <v>174.21</v>
      </c>
      <c r="BP1791" s="2"/>
      <c r="BQ1791" s="2" t="s">
        <v>83</v>
      </c>
      <c r="BR1791" s="2" t="s">
        <v>84</v>
      </c>
      <c r="BS1791" s="3">
        <v>42964</v>
      </c>
      <c r="BT1791" s="4">
        <v>0.4513888888888889</v>
      </c>
      <c r="BU1791" s="2" t="s">
        <v>2438</v>
      </c>
      <c r="BV1791" s="2" t="s">
        <v>95</v>
      </c>
      <c r="BW1791" s="2"/>
      <c r="BX1791" s="2"/>
      <c r="BY1791" s="2">
        <v>7960.18</v>
      </c>
      <c r="BZ1791" s="2" t="s">
        <v>27</v>
      </c>
      <c r="CA1791" s="2" t="s">
        <v>845</v>
      </c>
      <c r="CB1791" s="2"/>
      <c r="CC1791" s="2" t="s">
        <v>842</v>
      </c>
      <c r="CD1791" s="2">
        <v>3370</v>
      </c>
      <c r="CE1791" s="2" t="s">
        <v>89</v>
      </c>
      <c r="CF1791" s="5">
        <v>42968</v>
      </c>
      <c r="CG1791" s="2"/>
      <c r="CH1791" s="2"/>
      <c r="CI1791" s="2">
        <v>3</v>
      </c>
      <c r="CJ1791" s="2">
        <v>1</v>
      </c>
      <c r="CK1791" s="2">
        <v>23</v>
      </c>
      <c r="CL1791" s="2" t="s">
        <v>86</v>
      </c>
      <c r="CM1791" s="2"/>
    </row>
    <row r="1792" spans="1:91">
      <c r="A1792" s="2" t="s">
        <v>71</v>
      </c>
      <c r="B1792" s="2" t="s">
        <v>72</v>
      </c>
      <c r="C1792" s="2" t="s">
        <v>73</v>
      </c>
      <c r="D1792" s="2"/>
      <c r="E1792" s="2" t="str">
        <f>"FES1162569159"</f>
        <v>FES1162569159</v>
      </c>
      <c r="F1792" s="3">
        <v>42963</v>
      </c>
      <c r="G1792" s="2">
        <v>201802</v>
      </c>
      <c r="H1792" s="2" t="s">
        <v>74</v>
      </c>
      <c r="I1792" s="2" t="s">
        <v>75</v>
      </c>
      <c r="J1792" s="2" t="s">
        <v>76</v>
      </c>
      <c r="K1792" s="2" t="s">
        <v>77</v>
      </c>
      <c r="L1792" s="2" t="s">
        <v>105</v>
      </c>
      <c r="M1792" s="2" t="s">
        <v>106</v>
      </c>
      <c r="N1792" s="2" t="s">
        <v>2439</v>
      </c>
      <c r="O1792" s="2" t="s">
        <v>100</v>
      </c>
      <c r="P1792" s="2" t="str">
        <f>"2170583251                    "</f>
        <v xml:space="preserve">2170583251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4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0.6</v>
      </c>
      <c r="BJ1792" s="2">
        <v>1.6</v>
      </c>
      <c r="BK1792" s="2">
        <v>2</v>
      </c>
      <c r="BL1792" s="2">
        <v>41.44</v>
      </c>
      <c r="BM1792" s="2">
        <v>5.8</v>
      </c>
      <c r="BN1792" s="2">
        <v>47.24</v>
      </c>
      <c r="BO1792" s="2">
        <v>47.24</v>
      </c>
      <c r="BP1792" s="2"/>
      <c r="BQ1792" s="2" t="s">
        <v>83</v>
      </c>
      <c r="BR1792" s="2" t="s">
        <v>84</v>
      </c>
      <c r="BS1792" s="3">
        <v>42964</v>
      </c>
      <c r="BT1792" s="4">
        <v>0.38819444444444445</v>
      </c>
      <c r="BU1792" s="2" t="s">
        <v>2440</v>
      </c>
      <c r="BV1792" s="2" t="s">
        <v>95</v>
      </c>
      <c r="BW1792" s="2"/>
      <c r="BX1792" s="2"/>
      <c r="BY1792" s="2">
        <v>8040.31</v>
      </c>
      <c r="BZ1792" s="2" t="s">
        <v>27</v>
      </c>
      <c r="CA1792" s="2"/>
      <c r="CB1792" s="2"/>
      <c r="CC1792" s="2" t="s">
        <v>106</v>
      </c>
      <c r="CD1792" s="2">
        <v>7560</v>
      </c>
      <c r="CE1792" s="2" t="s">
        <v>89</v>
      </c>
      <c r="CF1792" s="5">
        <v>42965</v>
      </c>
      <c r="CG1792" s="2"/>
      <c r="CH1792" s="2"/>
      <c r="CI1792" s="2">
        <v>1</v>
      </c>
      <c r="CJ1792" s="2">
        <v>1</v>
      </c>
      <c r="CK1792" s="2">
        <v>21</v>
      </c>
      <c r="CL1792" s="2" t="s">
        <v>86</v>
      </c>
      <c r="CM1792" s="2"/>
    </row>
    <row r="1793" spans="1:91">
      <c r="A1793" s="2" t="s">
        <v>71</v>
      </c>
      <c r="B1793" s="2" t="s">
        <v>72</v>
      </c>
      <c r="C1793" s="2" t="s">
        <v>73</v>
      </c>
      <c r="D1793" s="2"/>
      <c r="E1793" s="2" t="str">
        <f>"FES1162569480"</f>
        <v>FES1162569480</v>
      </c>
      <c r="F1793" s="3">
        <v>42963</v>
      </c>
      <c r="G1793" s="2">
        <v>201802</v>
      </c>
      <c r="H1793" s="2" t="s">
        <v>74</v>
      </c>
      <c r="I1793" s="2" t="s">
        <v>75</v>
      </c>
      <c r="J1793" s="2" t="s">
        <v>76</v>
      </c>
      <c r="K1793" s="2" t="s">
        <v>77</v>
      </c>
      <c r="L1793" s="2" t="s">
        <v>105</v>
      </c>
      <c r="M1793" s="2" t="s">
        <v>106</v>
      </c>
      <c r="N1793" s="2" t="s">
        <v>2441</v>
      </c>
      <c r="O1793" s="2" t="s">
        <v>100</v>
      </c>
      <c r="P1793" s="2" t="str">
        <f>"2170583335                    "</f>
        <v xml:space="preserve">2170583335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34.020000000000003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17</v>
      </c>
      <c r="BJ1793" s="2">
        <v>11.7</v>
      </c>
      <c r="BK1793" s="2">
        <v>17</v>
      </c>
      <c r="BL1793" s="2">
        <v>352.26</v>
      </c>
      <c r="BM1793" s="2">
        <v>49.32</v>
      </c>
      <c r="BN1793" s="2">
        <v>401.58</v>
      </c>
      <c r="BO1793" s="2">
        <v>401.58</v>
      </c>
      <c r="BP1793" s="2"/>
      <c r="BQ1793" s="2" t="s">
        <v>83</v>
      </c>
      <c r="BR1793" s="2" t="s">
        <v>84</v>
      </c>
      <c r="BS1793" s="3">
        <v>42964</v>
      </c>
      <c r="BT1793" s="4">
        <v>0.48958333333333331</v>
      </c>
      <c r="BU1793" s="2" t="s">
        <v>2442</v>
      </c>
      <c r="BV1793" s="2" t="s">
        <v>86</v>
      </c>
      <c r="BW1793" s="2" t="s">
        <v>110</v>
      </c>
      <c r="BX1793" s="2" t="s">
        <v>111</v>
      </c>
      <c r="BY1793" s="2">
        <v>58378</v>
      </c>
      <c r="BZ1793" s="2" t="s">
        <v>27</v>
      </c>
      <c r="CA1793" s="2" t="s">
        <v>643</v>
      </c>
      <c r="CB1793" s="2"/>
      <c r="CC1793" s="2" t="s">
        <v>106</v>
      </c>
      <c r="CD1793" s="2">
        <v>7925</v>
      </c>
      <c r="CE1793" s="2" t="s">
        <v>89</v>
      </c>
      <c r="CF1793" s="5">
        <v>42965</v>
      </c>
      <c r="CG1793" s="2"/>
      <c r="CH1793" s="2"/>
      <c r="CI1793" s="2">
        <v>1</v>
      </c>
      <c r="CJ1793" s="2">
        <v>1</v>
      </c>
      <c r="CK1793" s="2">
        <v>21</v>
      </c>
      <c r="CL1793" s="2" t="s">
        <v>86</v>
      </c>
      <c r="CM1793" s="2"/>
    </row>
    <row r="1794" spans="1:91">
      <c r="A1794" s="2" t="s">
        <v>71</v>
      </c>
      <c r="B1794" s="2" t="s">
        <v>72</v>
      </c>
      <c r="C1794" s="2" t="s">
        <v>73</v>
      </c>
      <c r="D1794" s="2"/>
      <c r="E1794" s="2" t="str">
        <f>"FES1162569380"</f>
        <v>FES1162569380</v>
      </c>
      <c r="F1794" s="3">
        <v>42963</v>
      </c>
      <c r="G1794" s="2">
        <v>201802</v>
      </c>
      <c r="H1794" s="2" t="s">
        <v>74</v>
      </c>
      <c r="I1794" s="2" t="s">
        <v>75</v>
      </c>
      <c r="J1794" s="2" t="s">
        <v>76</v>
      </c>
      <c r="K1794" s="2" t="s">
        <v>77</v>
      </c>
      <c r="L1794" s="2" t="s">
        <v>105</v>
      </c>
      <c r="M1794" s="2" t="s">
        <v>106</v>
      </c>
      <c r="N1794" s="2" t="s">
        <v>397</v>
      </c>
      <c r="O1794" s="2" t="s">
        <v>100</v>
      </c>
      <c r="P1794" s="2" t="str">
        <f>"2170585224                    "</f>
        <v xml:space="preserve">2170585224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8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3.6</v>
      </c>
      <c r="BJ1794" s="2">
        <v>1.2</v>
      </c>
      <c r="BK1794" s="2">
        <v>4</v>
      </c>
      <c r="BL1794" s="2">
        <v>82.88</v>
      </c>
      <c r="BM1794" s="2">
        <v>11.6</v>
      </c>
      <c r="BN1794" s="2">
        <v>94.48</v>
      </c>
      <c r="BO1794" s="2">
        <v>94.48</v>
      </c>
      <c r="BP1794" s="2"/>
      <c r="BQ1794" s="2" t="s">
        <v>83</v>
      </c>
      <c r="BR1794" s="2" t="s">
        <v>84</v>
      </c>
      <c r="BS1794" s="3">
        <v>42964</v>
      </c>
      <c r="BT1794" s="4">
        <v>0.39097222222222222</v>
      </c>
      <c r="BU1794" s="2" t="s">
        <v>779</v>
      </c>
      <c r="BV1794" s="2" t="s">
        <v>95</v>
      </c>
      <c r="BW1794" s="2"/>
      <c r="BX1794" s="2"/>
      <c r="BY1794" s="2">
        <v>6181.91</v>
      </c>
      <c r="BZ1794" s="2" t="s">
        <v>27</v>
      </c>
      <c r="CA1794" s="2" t="s">
        <v>112</v>
      </c>
      <c r="CB1794" s="2"/>
      <c r="CC1794" s="2" t="s">
        <v>106</v>
      </c>
      <c r="CD1794" s="2">
        <v>7405</v>
      </c>
      <c r="CE1794" s="2" t="s">
        <v>89</v>
      </c>
      <c r="CF1794" s="5">
        <v>42965</v>
      </c>
      <c r="CG1794" s="2"/>
      <c r="CH1794" s="2"/>
      <c r="CI1794" s="2">
        <v>1</v>
      </c>
      <c r="CJ1794" s="2">
        <v>1</v>
      </c>
      <c r="CK1794" s="2">
        <v>21</v>
      </c>
      <c r="CL1794" s="2" t="s">
        <v>86</v>
      </c>
      <c r="CM1794" s="2"/>
    </row>
    <row r="1795" spans="1:91">
      <c r="A1795" s="2" t="s">
        <v>71</v>
      </c>
      <c r="B1795" s="2" t="s">
        <v>72</v>
      </c>
      <c r="C1795" s="2" t="s">
        <v>73</v>
      </c>
      <c r="D1795" s="2"/>
      <c r="E1795" s="2" t="str">
        <f>"FES1162569162"</f>
        <v>FES1162569162</v>
      </c>
      <c r="F1795" s="3">
        <v>42963</v>
      </c>
      <c r="G1795" s="2">
        <v>201802</v>
      </c>
      <c r="H1795" s="2" t="s">
        <v>74</v>
      </c>
      <c r="I1795" s="2" t="s">
        <v>75</v>
      </c>
      <c r="J1795" s="2" t="s">
        <v>76</v>
      </c>
      <c r="K1795" s="2" t="s">
        <v>77</v>
      </c>
      <c r="L1795" s="2" t="s">
        <v>105</v>
      </c>
      <c r="M1795" s="2" t="s">
        <v>106</v>
      </c>
      <c r="N1795" s="2" t="s">
        <v>2216</v>
      </c>
      <c r="O1795" s="2" t="s">
        <v>100</v>
      </c>
      <c r="P1795" s="2" t="str">
        <f>"2170583554                    "</f>
        <v xml:space="preserve">2170583554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5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1</v>
      </c>
      <c r="BI1795" s="2">
        <v>2.5</v>
      </c>
      <c r="BJ1795" s="2">
        <v>0.9</v>
      </c>
      <c r="BK1795" s="2">
        <v>2.5</v>
      </c>
      <c r="BL1795" s="2">
        <v>51.8</v>
      </c>
      <c r="BM1795" s="2">
        <v>7.25</v>
      </c>
      <c r="BN1795" s="2">
        <v>59.05</v>
      </c>
      <c r="BO1795" s="2">
        <v>59.05</v>
      </c>
      <c r="BP1795" s="2"/>
      <c r="BQ1795" s="2" t="s">
        <v>2443</v>
      </c>
      <c r="BR1795" s="2" t="s">
        <v>84</v>
      </c>
      <c r="BS1795" s="3">
        <v>42964</v>
      </c>
      <c r="BT1795" s="4">
        <v>0.41666666666666669</v>
      </c>
      <c r="BU1795" s="2" t="s">
        <v>1207</v>
      </c>
      <c r="BV1795" s="2" t="s">
        <v>95</v>
      </c>
      <c r="BW1795" s="2"/>
      <c r="BX1795" s="2"/>
      <c r="BY1795" s="2">
        <v>4305.63</v>
      </c>
      <c r="BZ1795" s="2" t="s">
        <v>27</v>
      </c>
      <c r="CA1795" s="2"/>
      <c r="CB1795" s="2"/>
      <c r="CC1795" s="2" t="s">
        <v>106</v>
      </c>
      <c r="CD1795" s="2">
        <v>7945</v>
      </c>
      <c r="CE1795" s="2" t="s">
        <v>89</v>
      </c>
      <c r="CF1795" s="5">
        <v>42965</v>
      </c>
      <c r="CG1795" s="2"/>
      <c r="CH1795" s="2"/>
      <c r="CI1795" s="2">
        <v>1</v>
      </c>
      <c r="CJ1795" s="2">
        <v>1</v>
      </c>
      <c r="CK1795" s="2">
        <v>21</v>
      </c>
      <c r="CL1795" s="2" t="s">
        <v>86</v>
      </c>
      <c r="CM1795" s="2"/>
    </row>
    <row r="1796" spans="1:91">
      <c r="A1796" s="2" t="s">
        <v>71</v>
      </c>
      <c r="B1796" s="2" t="s">
        <v>72</v>
      </c>
      <c r="C1796" s="2" t="s">
        <v>73</v>
      </c>
      <c r="D1796" s="2"/>
      <c r="E1796" s="2" t="str">
        <f>"FES1162569225"</f>
        <v>FES1162569225</v>
      </c>
      <c r="F1796" s="3">
        <v>42963</v>
      </c>
      <c r="G1796" s="2">
        <v>201802</v>
      </c>
      <c r="H1796" s="2" t="s">
        <v>74</v>
      </c>
      <c r="I1796" s="2" t="s">
        <v>75</v>
      </c>
      <c r="J1796" s="2" t="s">
        <v>76</v>
      </c>
      <c r="K1796" s="2" t="s">
        <v>77</v>
      </c>
      <c r="L1796" s="2" t="s">
        <v>417</v>
      </c>
      <c r="M1796" s="2" t="s">
        <v>417</v>
      </c>
      <c r="N1796" s="2" t="s">
        <v>458</v>
      </c>
      <c r="O1796" s="2" t="s">
        <v>100</v>
      </c>
      <c r="P1796" s="2" t="str">
        <f>"2170582573                    "</f>
        <v xml:space="preserve">2170582573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4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1</v>
      </c>
      <c r="BI1796" s="2">
        <v>1.9</v>
      </c>
      <c r="BJ1796" s="2">
        <v>1.4</v>
      </c>
      <c r="BK1796" s="2">
        <v>2</v>
      </c>
      <c r="BL1796" s="2">
        <v>41.44</v>
      </c>
      <c r="BM1796" s="2">
        <v>5.8</v>
      </c>
      <c r="BN1796" s="2">
        <v>47.24</v>
      </c>
      <c r="BO1796" s="2">
        <v>47.24</v>
      </c>
      <c r="BP1796" s="2"/>
      <c r="BQ1796" s="2" t="s">
        <v>83</v>
      </c>
      <c r="BR1796" s="2" t="s">
        <v>84</v>
      </c>
      <c r="BS1796" s="3">
        <v>42964</v>
      </c>
      <c r="BT1796" s="4">
        <v>0.42986111111111108</v>
      </c>
      <c r="BU1796" s="2" t="s">
        <v>459</v>
      </c>
      <c r="BV1796" s="2" t="s">
        <v>95</v>
      </c>
      <c r="BW1796" s="2"/>
      <c r="BX1796" s="2"/>
      <c r="BY1796" s="2">
        <v>6919.2</v>
      </c>
      <c r="BZ1796" s="2" t="s">
        <v>27</v>
      </c>
      <c r="CA1796" s="2" t="s">
        <v>460</v>
      </c>
      <c r="CB1796" s="2"/>
      <c r="CC1796" s="2" t="s">
        <v>417</v>
      </c>
      <c r="CD1796" s="2">
        <v>7646</v>
      </c>
      <c r="CE1796" s="2" t="s">
        <v>89</v>
      </c>
      <c r="CF1796" s="5">
        <v>42964</v>
      </c>
      <c r="CG1796" s="2"/>
      <c r="CH1796" s="2"/>
      <c r="CI1796" s="2">
        <v>1</v>
      </c>
      <c r="CJ1796" s="2">
        <v>1</v>
      </c>
      <c r="CK1796" s="2">
        <v>21</v>
      </c>
      <c r="CL1796" s="2" t="s">
        <v>86</v>
      </c>
      <c r="CM1796" s="2"/>
    </row>
    <row r="1797" spans="1:91">
      <c r="A1797" s="2" t="s">
        <v>71</v>
      </c>
      <c r="B1797" s="2" t="s">
        <v>72</v>
      </c>
      <c r="C1797" s="2" t="s">
        <v>73</v>
      </c>
      <c r="D1797" s="2"/>
      <c r="E1797" s="2" t="str">
        <f>"FES1162569351"</f>
        <v>FES1162569351</v>
      </c>
      <c r="F1797" s="3">
        <v>42963</v>
      </c>
      <c r="G1797" s="2">
        <v>201802</v>
      </c>
      <c r="H1797" s="2" t="s">
        <v>74</v>
      </c>
      <c r="I1797" s="2" t="s">
        <v>75</v>
      </c>
      <c r="J1797" s="2" t="s">
        <v>76</v>
      </c>
      <c r="K1797" s="2" t="s">
        <v>77</v>
      </c>
      <c r="L1797" s="2" t="s">
        <v>221</v>
      </c>
      <c r="M1797" s="2" t="s">
        <v>222</v>
      </c>
      <c r="N1797" s="2" t="s">
        <v>223</v>
      </c>
      <c r="O1797" s="2" t="s">
        <v>100</v>
      </c>
      <c r="P1797" s="2" t="str">
        <f>"2170582236                    "</f>
        <v xml:space="preserve">2170582236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4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1</v>
      </c>
      <c r="BI1797" s="2">
        <v>1</v>
      </c>
      <c r="BJ1797" s="2">
        <v>0.2</v>
      </c>
      <c r="BK1797" s="2">
        <v>1</v>
      </c>
      <c r="BL1797" s="2">
        <v>41.44</v>
      </c>
      <c r="BM1797" s="2">
        <v>5.8</v>
      </c>
      <c r="BN1797" s="2">
        <v>47.24</v>
      </c>
      <c r="BO1797" s="2">
        <v>47.24</v>
      </c>
      <c r="BP1797" s="2"/>
      <c r="BQ1797" s="2" t="s">
        <v>83</v>
      </c>
      <c r="BR1797" s="2" t="s">
        <v>84</v>
      </c>
      <c r="BS1797" s="3">
        <v>42964</v>
      </c>
      <c r="BT1797" s="4">
        <v>0.37361111111111112</v>
      </c>
      <c r="BU1797" s="2" t="s">
        <v>719</v>
      </c>
      <c r="BV1797" s="2" t="s">
        <v>95</v>
      </c>
      <c r="BW1797" s="2"/>
      <c r="BX1797" s="2"/>
      <c r="BY1797" s="2">
        <v>1200</v>
      </c>
      <c r="BZ1797" s="2" t="s">
        <v>27</v>
      </c>
      <c r="CA1797" s="2" t="s">
        <v>225</v>
      </c>
      <c r="CB1797" s="2"/>
      <c r="CC1797" s="2" t="s">
        <v>222</v>
      </c>
      <c r="CD1797" s="2">
        <v>4300</v>
      </c>
      <c r="CE1797" s="2" t="s">
        <v>104</v>
      </c>
      <c r="CF1797" s="5">
        <v>42965</v>
      </c>
      <c r="CG1797" s="2"/>
      <c r="CH1797" s="2"/>
      <c r="CI1797" s="2">
        <v>1</v>
      </c>
      <c r="CJ1797" s="2">
        <v>1</v>
      </c>
      <c r="CK1797" s="2">
        <v>21</v>
      </c>
      <c r="CL1797" s="2" t="s">
        <v>86</v>
      </c>
      <c r="CM1797" s="2"/>
    </row>
    <row r="1798" spans="1:91">
      <c r="A1798" s="2" t="s">
        <v>71</v>
      </c>
      <c r="B1798" s="2" t="s">
        <v>72</v>
      </c>
      <c r="C1798" s="2" t="s">
        <v>73</v>
      </c>
      <c r="D1798" s="2"/>
      <c r="E1798" s="2" t="str">
        <f>"FES1162569181"</f>
        <v>FES1162569181</v>
      </c>
      <c r="F1798" s="3">
        <v>42963</v>
      </c>
      <c r="G1798" s="2">
        <v>201802</v>
      </c>
      <c r="H1798" s="2" t="s">
        <v>74</v>
      </c>
      <c r="I1798" s="2" t="s">
        <v>75</v>
      </c>
      <c r="J1798" s="2" t="s">
        <v>76</v>
      </c>
      <c r="K1798" s="2" t="s">
        <v>77</v>
      </c>
      <c r="L1798" s="2" t="s">
        <v>105</v>
      </c>
      <c r="M1798" s="2" t="s">
        <v>106</v>
      </c>
      <c r="N1798" s="2" t="s">
        <v>364</v>
      </c>
      <c r="O1798" s="2" t="s">
        <v>100</v>
      </c>
      <c r="P1798" s="2" t="str">
        <f>"2170584865                    "</f>
        <v xml:space="preserve">2170584865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7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3.1</v>
      </c>
      <c r="BJ1798" s="2">
        <v>2</v>
      </c>
      <c r="BK1798" s="2">
        <v>3.5</v>
      </c>
      <c r="BL1798" s="2">
        <v>72.52</v>
      </c>
      <c r="BM1798" s="2">
        <v>10.15</v>
      </c>
      <c r="BN1798" s="2">
        <v>82.67</v>
      </c>
      <c r="BO1798" s="2">
        <v>82.67</v>
      </c>
      <c r="BP1798" s="2"/>
      <c r="BQ1798" s="2" t="s">
        <v>2425</v>
      </c>
      <c r="BR1798" s="2" t="s">
        <v>84</v>
      </c>
      <c r="BS1798" s="3">
        <v>42964</v>
      </c>
      <c r="BT1798" s="4">
        <v>0.3888888888888889</v>
      </c>
      <c r="BU1798" s="2" t="s">
        <v>622</v>
      </c>
      <c r="BV1798" s="2" t="s">
        <v>95</v>
      </c>
      <c r="BW1798" s="2"/>
      <c r="BX1798" s="2"/>
      <c r="BY1798" s="2">
        <v>9823.52</v>
      </c>
      <c r="BZ1798" s="2" t="s">
        <v>27</v>
      </c>
      <c r="CA1798" s="2"/>
      <c r="CB1798" s="2"/>
      <c r="CC1798" s="2" t="s">
        <v>106</v>
      </c>
      <c r="CD1798" s="2">
        <v>7560</v>
      </c>
      <c r="CE1798" s="2" t="s">
        <v>89</v>
      </c>
      <c r="CF1798" s="5">
        <v>42965</v>
      </c>
      <c r="CG1798" s="2"/>
      <c r="CH1798" s="2"/>
      <c r="CI1798" s="2">
        <v>1</v>
      </c>
      <c r="CJ1798" s="2">
        <v>1</v>
      </c>
      <c r="CK1798" s="2">
        <v>21</v>
      </c>
      <c r="CL1798" s="2" t="s">
        <v>86</v>
      </c>
      <c r="CM1798" s="2"/>
    </row>
    <row r="1799" spans="1:91">
      <c r="A1799" s="2" t="s">
        <v>71</v>
      </c>
      <c r="B1799" s="2" t="s">
        <v>72</v>
      </c>
      <c r="C1799" s="2" t="s">
        <v>73</v>
      </c>
      <c r="D1799" s="2"/>
      <c r="E1799" s="2" t="str">
        <f>"FES1162569227"</f>
        <v>FES1162569227</v>
      </c>
      <c r="F1799" s="3">
        <v>42963</v>
      </c>
      <c r="G1799" s="2">
        <v>201802</v>
      </c>
      <c r="H1799" s="2" t="s">
        <v>74</v>
      </c>
      <c r="I1799" s="2" t="s">
        <v>75</v>
      </c>
      <c r="J1799" s="2" t="s">
        <v>76</v>
      </c>
      <c r="K1799" s="2" t="s">
        <v>77</v>
      </c>
      <c r="L1799" s="2" t="s">
        <v>221</v>
      </c>
      <c r="M1799" s="2" t="s">
        <v>222</v>
      </c>
      <c r="N1799" s="2" t="s">
        <v>415</v>
      </c>
      <c r="O1799" s="2" t="s">
        <v>100</v>
      </c>
      <c r="P1799" s="2" t="str">
        <f>"2170582576                    "</f>
        <v xml:space="preserve">2170582576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4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1</v>
      </c>
      <c r="BI1799" s="2">
        <v>1</v>
      </c>
      <c r="BJ1799" s="2">
        <v>0.2</v>
      </c>
      <c r="BK1799" s="2">
        <v>1</v>
      </c>
      <c r="BL1799" s="2">
        <v>41.44</v>
      </c>
      <c r="BM1799" s="2">
        <v>5.8</v>
      </c>
      <c r="BN1799" s="2">
        <v>47.24</v>
      </c>
      <c r="BO1799" s="2">
        <v>47.24</v>
      </c>
      <c r="BP1799" s="2"/>
      <c r="BQ1799" s="2" t="s">
        <v>108</v>
      </c>
      <c r="BR1799" s="2" t="s">
        <v>84</v>
      </c>
      <c r="BS1799" s="3">
        <v>42964</v>
      </c>
      <c r="BT1799" s="4">
        <v>0.35694444444444445</v>
      </c>
      <c r="BU1799" s="2" t="s">
        <v>416</v>
      </c>
      <c r="BV1799" s="2" t="s">
        <v>95</v>
      </c>
      <c r="BW1799" s="2"/>
      <c r="BX1799" s="2"/>
      <c r="BY1799" s="2">
        <v>1200</v>
      </c>
      <c r="BZ1799" s="2" t="s">
        <v>27</v>
      </c>
      <c r="CA1799" s="2" t="s">
        <v>225</v>
      </c>
      <c r="CB1799" s="2"/>
      <c r="CC1799" s="2" t="s">
        <v>222</v>
      </c>
      <c r="CD1799" s="2">
        <v>4302</v>
      </c>
      <c r="CE1799" s="2" t="s">
        <v>104</v>
      </c>
      <c r="CF1799" s="5">
        <v>42965</v>
      </c>
      <c r="CG1799" s="2"/>
      <c r="CH1799" s="2"/>
      <c r="CI1799" s="2">
        <v>1</v>
      </c>
      <c r="CJ1799" s="2">
        <v>1</v>
      </c>
      <c r="CK1799" s="2">
        <v>21</v>
      </c>
      <c r="CL1799" s="2" t="s">
        <v>86</v>
      </c>
      <c r="CM1799" s="2"/>
    </row>
    <row r="1800" spans="1:91">
      <c r="A1800" s="2" t="s">
        <v>71</v>
      </c>
      <c r="B1800" s="2" t="s">
        <v>72</v>
      </c>
      <c r="C1800" s="2" t="s">
        <v>73</v>
      </c>
      <c r="D1800" s="2"/>
      <c r="E1800" s="2" t="str">
        <f>"FES1162569142"</f>
        <v>FES1162569142</v>
      </c>
      <c r="F1800" s="3">
        <v>42963</v>
      </c>
      <c r="G1800" s="2">
        <v>201802</v>
      </c>
      <c r="H1800" s="2" t="s">
        <v>74</v>
      </c>
      <c r="I1800" s="2" t="s">
        <v>75</v>
      </c>
      <c r="J1800" s="2" t="s">
        <v>76</v>
      </c>
      <c r="K1800" s="2" t="s">
        <v>77</v>
      </c>
      <c r="L1800" s="2" t="s">
        <v>268</v>
      </c>
      <c r="M1800" s="2" t="s">
        <v>269</v>
      </c>
      <c r="N1800" s="2" t="s">
        <v>635</v>
      </c>
      <c r="O1800" s="2" t="s">
        <v>100</v>
      </c>
      <c r="P1800" s="2" t="str">
        <f>"2170581361                    "</f>
        <v xml:space="preserve">2170581361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4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1</v>
      </c>
      <c r="BJ1800" s="2">
        <v>0.2</v>
      </c>
      <c r="BK1800" s="2">
        <v>1</v>
      </c>
      <c r="BL1800" s="2">
        <v>41.44</v>
      </c>
      <c r="BM1800" s="2">
        <v>5.8</v>
      </c>
      <c r="BN1800" s="2">
        <v>47.24</v>
      </c>
      <c r="BO1800" s="2">
        <v>47.24</v>
      </c>
      <c r="BP1800" s="2"/>
      <c r="BQ1800" s="2" t="s">
        <v>108</v>
      </c>
      <c r="BR1800" s="2" t="s">
        <v>84</v>
      </c>
      <c r="BS1800" s="3">
        <v>42964</v>
      </c>
      <c r="BT1800" s="4">
        <v>0.47916666666666669</v>
      </c>
      <c r="BU1800" s="2" t="s">
        <v>637</v>
      </c>
      <c r="BV1800" s="2" t="s">
        <v>86</v>
      </c>
      <c r="BW1800" s="2"/>
      <c r="BX1800" s="2"/>
      <c r="BY1800" s="2">
        <v>1200</v>
      </c>
      <c r="BZ1800" s="2" t="s">
        <v>27</v>
      </c>
      <c r="CA1800" s="2" t="s">
        <v>638</v>
      </c>
      <c r="CB1800" s="2"/>
      <c r="CC1800" s="2" t="s">
        <v>269</v>
      </c>
      <c r="CD1800" s="2">
        <v>184</v>
      </c>
      <c r="CE1800" s="2" t="s">
        <v>104</v>
      </c>
      <c r="CF1800" s="5">
        <v>42965</v>
      </c>
      <c r="CG1800" s="2"/>
      <c r="CH1800" s="2"/>
      <c r="CI1800" s="2">
        <v>1</v>
      </c>
      <c r="CJ1800" s="2">
        <v>1</v>
      </c>
      <c r="CK1800" s="2">
        <v>21</v>
      </c>
      <c r="CL1800" s="2" t="s">
        <v>86</v>
      </c>
      <c r="CM1800" s="2"/>
    </row>
    <row r="1801" spans="1:91">
      <c r="A1801" s="2" t="s">
        <v>71</v>
      </c>
      <c r="B1801" s="2" t="s">
        <v>72</v>
      </c>
      <c r="C1801" s="2" t="s">
        <v>73</v>
      </c>
      <c r="D1801" s="2"/>
      <c r="E1801" s="2" t="str">
        <f>"FES1162569166"</f>
        <v>FES1162569166</v>
      </c>
      <c r="F1801" s="3">
        <v>42963</v>
      </c>
      <c r="G1801" s="2">
        <v>201802</v>
      </c>
      <c r="H1801" s="2" t="s">
        <v>74</v>
      </c>
      <c r="I1801" s="2" t="s">
        <v>75</v>
      </c>
      <c r="J1801" s="2" t="s">
        <v>76</v>
      </c>
      <c r="K1801" s="2" t="s">
        <v>77</v>
      </c>
      <c r="L1801" s="2" t="s">
        <v>137</v>
      </c>
      <c r="M1801" s="2" t="s">
        <v>138</v>
      </c>
      <c r="N1801" s="2" t="s">
        <v>544</v>
      </c>
      <c r="O1801" s="2" t="s">
        <v>100</v>
      </c>
      <c r="P1801" s="2" t="str">
        <f>"2170583777                    "</f>
        <v xml:space="preserve">2170583777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4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1</v>
      </c>
      <c r="BJ1801" s="2">
        <v>0.2</v>
      </c>
      <c r="BK1801" s="2">
        <v>1</v>
      </c>
      <c r="BL1801" s="2">
        <v>41.44</v>
      </c>
      <c r="BM1801" s="2">
        <v>5.8</v>
      </c>
      <c r="BN1801" s="2">
        <v>47.24</v>
      </c>
      <c r="BO1801" s="2">
        <v>47.24</v>
      </c>
      <c r="BP1801" s="2"/>
      <c r="BQ1801" s="2" t="s">
        <v>1432</v>
      </c>
      <c r="BR1801" s="2" t="s">
        <v>84</v>
      </c>
      <c r="BS1801" s="3">
        <v>42964</v>
      </c>
      <c r="BT1801" s="4">
        <v>0.37152777777777773</v>
      </c>
      <c r="BU1801" s="2" t="s">
        <v>545</v>
      </c>
      <c r="BV1801" s="2" t="s">
        <v>95</v>
      </c>
      <c r="BW1801" s="2"/>
      <c r="BX1801" s="2"/>
      <c r="BY1801" s="2">
        <v>1200</v>
      </c>
      <c r="BZ1801" s="2" t="s">
        <v>27</v>
      </c>
      <c r="CA1801" s="2"/>
      <c r="CB1801" s="2"/>
      <c r="CC1801" s="2" t="s">
        <v>138</v>
      </c>
      <c r="CD1801" s="2">
        <v>157</v>
      </c>
      <c r="CE1801" s="2" t="s">
        <v>104</v>
      </c>
      <c r="CF1801" s="5">
        <v>42965</v>
      </c>
      <c r="CG1801" s="2"/>
      <c r="CH1801" s="2"/>
      <c r="CI1801" s="2">
        <v>1</v>
      </c>
      <c r="CJ1801" s="2">
        <v>1</v>
      </c>
      <c r="CK1801" s="2">
        <v>21</v>
      </c>
      <c r="CL1801" s="2" t="s">
        <v>86</v>
      </c>
      <c r="CM1801" s="2"/>
    </row>
    <row r="1802" spans="1:91">
      <c r="A1802" s="2" t="s">
        <v>71</v>
      </c>
      <c r="B1802" s="2" t="s">
        <v>72</v>
      </c>
      <c r="C1802" s="2" t="s">
        <v>73</v>
      </c>
      <c r="D1802" s="2"/>
      <c r="E1802" s="2" t="str">
        <f>"FES1162569366"</f>
        <v>FES1162569366</v>
      </c>
      <c r="F1802" s="3">
        <v>42963</v>
      </c>
      <c r="G1802" s="2">
        <v>201802</v>
      </c>
      <c r="H1802" s="2" t="s">
        <v>74</v>
      </c>
      <c r="I1802" s="2" t="s">
        <v>75</v>
      </c>
      <c r="J1802" s="2" t="s">
        <v>76</v>
      </c>
      <c r="K1802" s="2" t="s">
        <v>77</v>
      </c>
      <c r="L1802" s="2" t="s">
        <v>417</v>
      </c>
      <c r="M1802" s="2" t="s">
        <v>417</v>
      </c>
      <c r="N1802" s="2" t="s">
        <v>1414</v>
      </c>
      <c r="O1802" s="2" t="s">
        <v>100</v>
      </c>
      <c r="P1802" s="2" t="str">
        <f>"2170584417                    "</f>
        <v xml:space="preserve">2170584417 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4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1</v>
      </c>
      <c r="BJ1802" s="2">
        <v>0.2</v>
      </c>
      <c r="BK1802" s="2">
        <v>1</v>
      </c>
      <c r="BL1802" s="2">
        <v>41.44</v>
      </c>
      <c r="BM1802" s="2">
        <v>5.8</v>
      </c>
      <c r="BN1802" s="2">
        <v>47.24</v>
      </c>
      <c r="BO1802" s="2">
        <v>47.24</v>
      </c>
      <c r="BP1802" s="2"/>
      <c r="BQ1802" s="2" t="s">
        <v>108</v>
      </c>
      <c r="BR1802" s="2" t="s">
        <v>84</v>
      </c>
      <c r="BS1802" s="3">
        <v>42964</v>
      </c>
      <c r="BT1802" s="4">
        <v>0.40972222222222227</v>
      </c>
      <c r="BU1802" s="2" t="s">
        <v>699</v>
      </c>
      <c r="BV1802" s="2" t="s">
        <v>95</v>
      </c>
      <c r="BW1802" s="2"/>
      <c r="BX1802" s="2"/>
      <c r="BY1802" s="2">
        <v>1200</v>
      </c>
      <c r="BZ1802" s="2" t="s">
        <v>27</v>
      </c>
      <c r="CA1802" s="2" t="s">
        <v>460</v>
      </c>
      <c r="CB1802" s="2"/>
      <c r="CC1802" s="2" t="s">
        <v>417</v>
      </c>
      <c r="CD1802" s="2">
        <v>7646</v>
      </c>
      <c r="CE1802" s="2" t="s">
        <v>104</v>
      </c>
      <c r="CF1802" s="5">
        <v>42964</v>
      </c>
      <c r="CG1802" s="2"/>
      <c r="CH1802" s="2"/>
      <c r="CI1802" s="2">
        <v>1</v>
      </c>
      <c r="CJ1802" s="2">
        <v>1</v>
      </c>
      <c r="CK1802" s="2">
        <v>21</v>
      </c>
      <c r="CL1802" s="2" t="s">
        <v>86</v>
      </c>
      <c r="CM1802" s="2"/>
    </row>
    <row r="1803" spans="1:91">
      <c r="A1803" s="2" t="s">
        <v>71</v>
      </c>
      <c r="B1803" s="2" t="s">
        <v>72</v>
      </c>
      <c r="C1803" s="2" t="s">
        <v>73</v>
      </c>
      <c r="D1803" s="2"/>
      <c r="E1803" s="2" t="str">
        <f>"FES1162569137"</f>
        <v>FES1162569137</v>
      </c>
      <c r="F1803" s="3">
        <v>42963</v>
      </c>
      <c r="G1803" s="2">
        <v>201802</v>
      </c>
      <c r="H1803" s="2" t="s">
        <v>74</v>
      </c>
      <c r="I1803" s="2" t="s">
        <v>75</v>
      </c>
      <c r="J1803" s="2" t="s">
        <v>76</v>
      </c>
      <c r="K1803" s="2" t="s">
        <v>77</v>
      </c>
      <c r="L1803" s="2" t="s">
        <v>105</v>
      </c>
      <c r="M1803" s="2" t="s">
        <v>106</v>
      </c>
      <c r="N1803" s="2" t="s">
        <v>893</v>
      </c>
      <c r="O1803" s="2" t="s">
        <v>100</v>
      </c>
      <c r="P1803" s="2" t="str">
        <f>"2170578424                    "</f>
        <v xml:space="preserve">2170578424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4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1</v>
      </c>
      <c r="BJ1803" s="2">
        <v>0.2</v>
      </c>
      <c r="BK1803" s="2">
        <v>1</v>
      </c>
      <c r="BL1803" s="2">
        <v>41.44</v>
      </c>
      <c r="BM1803" s="2">
        <v>5.8</v>
      </c>
      <c r="BN1803" s="2">
        <v>47.24</v>
      </c>
      <c r="BO1803" s="2">
        <v>47.24</v>
      </c>
      <c r="BP1803" s="2"/>
      <c r="BQ1803" s="2" t="s">
        <v>83</v>
      </c>
      <c r="BR1803" s="2" t="s">
        <v>84</v>
      </c>
      <c r="BS1803" s="3">
        <v>42964</v>
      </c>
      <c r="BT1803" s="4">
        <v>0.33263888888888887</v>
      </c>
      <c r="BU1803" s="2" t="s">
        <v>2444</v>
      </c>
      <c r="BV1803" s="2" t="s">
        <v>95</v>
      </c>
      <c r="BW1803" s="2"/>
      <c r="BX1803" s="2"/>
      <c r="BY1803" s="2">
        <v>1200</v>
      </c>
      <c r="BZ1803" s="2" t="s">
        <v>27</v>
      </c>
      <c r="CA1803" s="2" t="s">
        <v>869</v>
      </c>
      <c r="CB1803" s="2"/>
      <c r="CC1803" s="2" t="s">
        <v>106</v>
      </c>
      <c r="CD1803" s="2">
        <v>7460</v>
      </c>
      <c r="CE1803" s="2" t="s">
        <v>104</v>
      </c>
      <c r="CF1803" s="5">
        <v>42965</v>
      </c>
      <c r="CG1803" s="2"/>
      <c r="CH1803" s="2"/>
      <c r="CI1803" s="2">
        <v>1</v>
      </c>
      <c r="CJ1803" s="2">
        <v>1</v>
      </c>
      <c r="CK1803" s="2">
        <v>21</v>
      </c>
      <c r="CL1803" s="2" t="s">
        <v>86</v>
      </c>
      <c r="CM1803" s="2"/>
    </row>
    <row r="1804" spans="1:91">
      <c r="A1804" s="2" t="s">
        <v>71</v>
      </c>
      <c r="B1804" s="2" t="s">
        <v>72</v>
      </c>
      <c r="C1804" s="2" t="s">
        <v>73</v>
      </c>
      <c r="D1804" s="2"/>
      <c r="E1804" s="2" t="str">
        <f>"FES1162569163"</f>
        <v>FES1162569163</v>
      </c>
      <c r="F1804" s="3">
        <v>42963</v>
      </c>
      <c r="G1804" s="2">
        <v>201802</v>
      </c>
      <c r="H1804" s="2" t="s">
        <v>74</v>
      </c>
      <c r="I1804" s="2" t="s">
        <v>75</v>
      </c>
      <c r="J1804" s="2" t="s">
        <v>76</v>
      </c>
      <c r="K1804" s="2" t="s">
        <v>77</v>
      </c>
      <c r="L1804" s="2" t="s">
        <v>268</v>
      </c>
      <c r="M1804" s="2" t="s">
        <v>269</v>
      </c>
      <c r="N1804" s="2" t="s">
        <v>270</v>
      </c>
      <c r="O1804" s="2" t="s">
        <v>100</v>
      </c>
      <c r="P1804" s="2" t="str">
        <f>"2170583595                    "</f>
        <v xml:space="preserve">2170583595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6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1</v>
      </c>
      <c r="BI1804" s="2">
        <v>1.7</v>
      </c>
      <c r="BJ1804" s="2">
        <v>2.6</v>
      </c>
      <c r="BK1804" s="2">
        <v>3</v>
      </c>
      <c r="BL1804" s="2">
        <v>62.16</v>
      </c>
      <c r="BM1804" s="2">
        <v>8.6999999999999993</v>
      </c>
      <c r="BN1804" s="2">
        <v>70.86</v>
      </c>
      <c r="BO1804" s="2">
        <v>70.86</v>
      </c>
      <c r="BP1804" s="2"/>
      <c r="BQ1804" s="2" t="s">
        <v>2445</v>
      </c>
      <c r="BR1804" s="2" t="s">
        <v>84</v>
      </c>
      <c r="BS1804" s="3">
        <v>42964</v>
      </c>
      <c r="BT1804" s="4">
        <v>0.44444444444444442</v>
      </c>
      <c r="BU1804" s="2" t="s">
        <v>1180</v>
      </c>
      <c r="BV1804" s="2" t="s">
        <v>95</v>
      </c>
      <c r="BW1804" s="2"/>
      <c r="BX1804" s="2"/>
      <c r="BY1804" s="2">
        <v>12929.28</v>
      </c>
      <c r="BZ1804" s="2" t="s">
        <v>27</v>
      </c>
      <c r="CA1804" s="2"/>
      <c r="CB1804" s="2"/>
      <c r="CC1804" s="2" t="s">
        <v>269</v>
      </c>
      <c r="CD1804" s="2">
        <v>200</v>
      </c>
      <c r="CE1804" s="2" t="s">
        <v>104</v>
      </c>
      <c r="CF1804" s="5">
        <v>42965</v>
      </c>
      <c r="CG1804" s="2"/>
      <c r="CH1804" s="2"/>
      <c r="CI1804" s="2">
        <v>1</v>
      </c>
      <c r="CJ1804" s="2">
        <v>1</v>
      </c>
      <c r="CK1804" s="2">
        <v>21</v>
      </c>
      <c r="CL1804" s="2" t="s">
        <v>86</v>
      </c>
      <c r="CM1804" s="2"/>
    </row>
    <row r="1805" spans="1:91">
      <c r="A1805" s="2" t="s">
        <v>71</v>
      </c>
      <c r="B1805" s="2" t="s">
        <v>72</v>
      </c>
      <c r="C1805" s="2" t="s">
        <v>73</v>
      </c>
      <c r="D1805" s="2"/>
      <c r="E1805" s="2" t="str">
        <f>"FES1162569356"</f>
        <v>FES1162569356</v>
      </c>
      <c r="F1805" s="3">
        <v>42963</v>
      </c>
      <c r="G1805" s="2">
        <v>201802</v>
      </c>
      <c r="H1805" s="2" t="s">
        <v>74</v>
      </c>
      <c r="I1805" s="2" t="s">
        <v>75</v>
      </c>
      <c r="J1805" s="2" t="s">
        <v>76</v>
      </c>
      <c r="K1805" s="2" t="s">
        <v>77</v>
      </c>
      <c r="L1805" s="2" t="s">
        <v>362</v>
      </c>
      <c r="M1805" s="2" t="s">
        <v>363</v>
      </c>
      <c r="N1805" s="2" t="s">
        <v>1168</v>
      </c>
      <c r="O1805" s="2" t="s">
        <v>100</v>
      </c>
      <c r="P1805" s="2" t="str">
        <f>"2170582353                    "</f>
        <v xml:space="preserve">2170582353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4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1</v>
      </c>
      <c r="BJ1805" s="2">
        <v>0.2</v>
      </c>
      <c r="BK1805" s="2">
        <v>1</v>
      </c>
      <c r="BL1805" s="2">
        <v>41.44</v>
      </c>
      <c r="BM1805" s="2">
        <v>5.8</v>
      </c>
      <c r="BN1805" s="2">
        <v>47.24</v>
      </c>
      <c r="BO1805" s="2">
        <v>47.24</v>
      </c>
      <c r="BP1805" s="2"/>
      <c r="BQ1805" s="2" t="s">
        <v>83</v>
      </c>
      <c r="BR1805" s="2" t="s">
        <v>84</v>
      </c>
      <c r="BS1805" s="3">
        <v>42964</v>
      </c>
      <c r="BT1805" s="4">
        <v>0.375</v>
      </c>
      <c r="BU1805" s="2" t="s">
        <v>1169</v>
      </c>
      <c r="BV1805" s="2" t="s">
        <v>95</v>
      </c>
      <c r="BW1805" s="2"/>
      <c r="BX1805" s="2"/>
      <c r="BY1805" s="2">
        <v>1200</v>
      </c>
      <c r="BZ1805" s="2" t="s">
        <v>27</v>
      </c>
      <c r="CA1805" s="2" t="s">
        <v>1170</v>
      </c>
      <c r="CB1805" s="2"/>
      <c r="CC1805" s="2" t="s">
        <v>363</v>
      </c>
      <c r="CD1805" s="2">
        <v>3201</v>
      </c>
      <c r="CE1805" s="2" t="s">
        <v>104</v>
      </c>
      <c r="CF1805" s="5">
        <v>42965</v>
      </c>
      <c r="CG1805" s="2"/>
      <c r="CH1805" s="2"/>
      <c r="CI1805" s="2">
        <v>1</v>
      </c>
      <c r="CJ1805" s="2">
        <v>1</v>
      </c>
      <c r="CK1805" s="2">
        <v>21</v>
      </c>
      <c r="CL1805" s="2" t="s">
        <v>86</v>
      </c>
      <c r="CM1805" s="2"/>
    </row>
    <row r="1806" spans="1:91">
      <c r="A1806" s="2" t="s">
        <v>71</v>
      </c>
      <c r="B1806" s="2" t="s">
        <v>72</v>
      </c>
      <c r="C1806" s="2" t="s">
        <v>73</v>
      </c>
      <c r="D1806" s="2"/>
      <c r="E1806" s="2" t="str">
        <f>"FES1162569197"</f>
        <v>FES1162569197</v>
      </c>
      <c r="F1806" s="3">
        <v>42963</v>
      </c>
      <c r="G1806" s="2">
        <v>201802</v>
      </c>
      <c r="H1806" s="2" t="s">
        <v>74</v>
      </c>
      <c r="I1806" s="2" t="s">
        <v>75</v>
      </c>
      <c r="J1806" s="2" t="s">
        <v>76</v>
      </c>
      <c r="K1806" s="2" t="s">
        <v>77</v>
      </c>
      <c r="L1806" s="2" t="s">
        <v>105</v>
      </c>
      <c r="M1806" s="2" t="s">
        <v>106</v>
      </c>
      <c r="N1806" s="2" t="s">
        <v>1484</v>
      </c>
      <c r="O1806" s="2" t="s">
        <v>100</v>
      </c>
      <c r="P1806" s="2" t="str">
        <f>"2170585147                    "</f>
        <v xml:space="preserve">2170585147 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4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1</v>
      </c>
      <c r="BJ1806" s="2">
        <v>0.2</v>
      </c>
      <c r="BK1806" s="2">
        <v>1</v>
      </c>
      <c r="BL1806" s="2">
        <v>41.44</v>
      </c>
      <c r="BM1806" s="2">
        <v>5.8</v>
      </c>
      <c r="BN1806" s="2">
        <v>47.24</v>
      </c>
      <c r="BO1806" s="2">
        <v>47.24</v>
      </c>
      <c r="BP1806" s="2"/>
      <c r="BQ1806" s="2" t="s">
        <v>83</v>
      </c>
      <c r="BR1806" s="2" t="s">
        <v>84</v>
      </c>
      <c r="BS1806" s="3">
        <v>42964</v>
      </c>
      <c r="BT1806" s="4">
        <v>0.35000000000000003</v>
      </c>
      <c r="BU1806" s="2" t="s">
        <v>1485</v>
      </c>
      <c r="BV1806" s="2" t="s">
        <v>95</v>
      </c>
      <c r="BW1806" s="2"/>
      <c r="BX1806" s="2"/>
      <c r="BY1806" s="2">
        <v>1200</v>
      </c>
      <c r="BZ1806" s="2" t="s">
        <v>27</v>
      </c>
      <c r="CA1806" s="2" t="s">
        <v>748</v>
      </c>
      <c r="CB1806" s="2"/>
      <c r="CC1806" s="2" t="s">
        <v>106</v>
      </c>
      <c r="CD1806" s="2">
        <v>7441</v>
      </c>
      <c r="CE1806" s="2" t="s">
        <v>104</v>
      </c>
      <c r="CF1806" s="5">
        <v>42965</v>
      </c>
      <c r="CG1806" s="2"/>
      <c r="CH1806" s="2"/>
      <c r="CI1806" s="2">
        <v>1</v>
      </c>
      <c r="CJ1806" s="2">
        <v>1</v>
      </c>
      <c r="CK1806" s="2">
        <v>21</v>
      </c>
      <c r="CL1806" s="2" t="s">
        <v>86</v>
      </c>
      <c r="CM1806" s="2"/>
    </row>
    <row r="1807" spans="1:91">
      <c r="A1807" s="2" t="s">
        <v>71</v>
      </c>
      <c r="B1807" s="2" t="s">
        <v>72</v>
      </c>
      <c r="C1807" s="2" t="s">
        <v>73</v>
      </c>
      <c r="D1807" s="2"/>
      <c r="E1807" s="2" t="str">
        <f>"FES1162569318"</f>
        <v>FES1162569318</v>
      </c>
      <c r="F1807" s="3">
        <v>42963</v>
      </c>
      <c r="G1807" s="2">
        <v>201802</v>
      </c>
      <c r="H1807" s="2" t="s">
        <v>74</v>
      </c>
      <c r="I1807" s="2" t="s">
        <v>75</v>
      </c>
      <c r="J1807" s="2" t="s">
        <v>76</v>
      </c>
      <c r="K1807" s="2" t="s">
        <v>77</v>
      </c>
      <c r="L1807" s="2" t="s">
        <v>2431</v>
      </c>
      <c r="M1807" s="2" t="s">
        <v>2432</v>
      </c>
      <c r="N1807" s="2" t="s">
        <v>2433</v>
      </c>
      <c r="O1807" s="2" t="s">
        <v>100</v>
      </c>
      <c r="P1807" s="2" t="str">
        <f>"2170585185                    "</f>
        <v xml:space="preserve">2170585185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12.01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2.9</v>
      </c>
      <c r="BJ1807" s="2">
        <v>6</v>
      </c>
      <c r="BK1807" s="2">
        <v>6</v>
      </c>
      <c r="BL1807" s="2">
        <v>124.33</v>
      </c>
      <c r="BM1807" s="2">
        <v>17.41</v>
      </c>
      <c r="BN1807" s="2">
        <v>141.74</v>
      </c>
      <c r="BO1807" s="2">
        <v>141.74</v>
      </c>
      <c r="BP1807" s="2"/>
      <c r="BQ1807" s="2" t="s">
        <v>288</v>
      </c>
      <c r="BR1807" s="2" t="s">
        <v>84</v>
      </c>
      <c r="BS1807" s="3">
        <v>42964</v>
      </c>
      <c r="BT1807" s="4">
        <v>0.42152777777777778</v>
      </c>
      <c r="BU1807" s="2" t="s">
        <v>2434</v>
      </c>
      <c r="BV1807" s="2" t="s">
        <v>95</v>
      </c>
      <c r="BW1807" s="2"/>
      <c r="BX1807" s="2"/>
      <c r="BY1807" s="2">
        <v>30063.3</v>
      </c>
      <c r="BZ1807" s="2"/>
      <c r="CA1807" s="2" t="s">
        <v>2435</v>
      </c>
      <c r="CB1807" s="2"/>
      <c r="CC1807" s="2" t="s">
        <v>2432</v>
      </c>
      <c r="CD1807" s="2">
        <v>1200</v>
      </c>
      <c r="CE1807" s="2" t="s">
        <v>89</v>
      </c>
      <c r="CF1807" s="5">
        <v>42965</v>
      </c>
      <c r="CG1807" s="2"/>
      <c r="CH1807" s="2"/>
      <c r="CI1807" s="2">
        <v>1</v>
      </c>
      <c r="CJ1807" s="2">
        <v>1</v>
      </c>
      <c r="CK1807" s="2">
        <v>21</v>
      </c>
      <c r="CL1807" s="2" t="s">
        <v>86</v>
      </c>
      <c r="CM1807" s="2"/>
    </row>
    <row r="1808" spans="1:91">
      <c r="A1808" s="2" t="s">
        <v>71</v>
      </c>
      <c r="B1808" s="2" t="s">
        <v>72</v>
      </c>
      <c r="C1808" s="2" t="s">
        <v>73</v>
      </c>
      <c r="D1808" s="2"/>
      <c r="E1808" s="2" t="str">
        <f>"FES1162569507"</f>
        <v>FES1162569507</v>
      </c>
      <c r="F1808" s="3">
        <v>42963</v>
      </c>
      <c r="G1808" s="2">
        <v>201802</v>
      </c>
      <c r="H1808" s="2" t="s">
        <v>74</v>
      </c>
      <c r="I1808" s="2" t="s">
        <v>75</v>
      </c>
      <c r="J1808" s="2" t="s">
        <v>76</v>
      </c>
      <c r="K1808" s="2" t="s">
        <v>77</v>
      </c>
      <c r="L1808" s="2" t="s">
        <v>105</v>
      </c>
      <c r="M1808" s="2" t="s">
        <v>106</v>
      </c>
      <c r="N1808" s="2" t="s">
        <v>705</v>
      </c>
      <c r="O1808" s="2" t="s">
        <v>100</v>
      </c>
      <c r="P1808" s="2" t="str">
        <f>"2170585349                    "</f>
        <v xml:space="preserve">2170585349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10.01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5</v>
      </c>
      <c r="BJ1808" s="2">
        <v>4.0999999999999996</v>
      </c>
      <c r="BK1808" s="2">
        <v>5</v>
      </c>
      <c r="BL1808" s="2">
        <v>103.61</v>
      </c>
      <c r="BM1808" s="2">
        <v>14.51</v>
      </c>
      <c r="BN1808" s="2">
        <v>118.12</v>
      </c>
      <c r="BO1808" s="2">
        <v>118.12</v>
      </c>
      <c r="BP1808" s="2"/>
      <c r="BQ1808" s="2" t="s">
        <v>108</v>
      </c>
      <c r="BR1808" s="2" t="s">
        <v>84</v>
      </c>
      <c r="BS1808" s="3">
        <v>42964</v>
      </c>
      <c r="BT1808" s="4">
        <v>0.7583333333333333</v>
      </c>
      <c r="BU1808" s="2" t="s">
        <v>706</v>
      </c>
      <c r="BV1808" s="2" t="s">
        <v>86</v>
      </c>
      <c r="BW1808" s="2" t="s">
        <v>110</v>
      </c>
      <c r="BX1808" s="2" t="s">
        <v>111</v>
      </c>
      <c r="BY1808" s="2">
        <v>20358</v>
      </c>
      <c r="BZ1808" s="2"/>
      <c r="CA1808" s="2" t="s">
        <v>488</v>
      </c>
      <c r="CB1808" s="2"/>
      <c r="CC1808" s="2" t="s">
        <v>106</v>
      </c>
      <c r="CD1808" s="2">
        <v>7441</v>
      </c>
      <c r="CE1808" s="2" t="s">
        <v>89</v>
      </c>
      <c r="CF1808" s="5">
        <v>42965</v>
      </c>
      <c r="CG1808" s="2"/>
      <c r="CH1808" s="2"/>
      <c r="CI1808" s="2">
        <v>1</v>
      </c>
      <c r="CJ1808" s="2">
        <v>1</v>
      </c>
      <c r="CK1808" s="2">
        <v>21</v>
      </c>
      <c r="CL1808" s="2" t="s">
        <v>86</v>
      </c>
      <c r="CM1808" s="2"/>
    </row>
    <row r="1809" spans="1:91">
      <c r="A1809" s="2" t="s">
        <v>71</v>
      </c>
      <c r="B1809" s="2" t="s">
        <v>72</v>
      </c>
      <c r="C1809" s="2" t="s">
        <v>73</v>
      </c>
      <c r="D1809" s="2"/>
      <c r="E1809" s="2" t="str">
        <f>"FES1162569399"</f>
        <v>FES1162569399</v>
      </c>
      <c r="F1809" s="3">
        <v>42963</v>
      </c>
      <c r="G1809" s="2">
        <v>201802</v>
      </c>
      <c r="H1809" s="2" t="s">
        <v>74</v>
      </c>
      <c r="I1809" s="2" t="s">
        <v>75</v>
      </c>
      <c r="J1809" s="2" t="s">
        <v>76</v>
      </c>
      <c r="K1809" s="2" t="s">
        <v>77</v>
      </c>
      <c r="L1809" s="2" t="s">
        <v>417</v>
      </c>
      <c r="M1809" s="2" t="s">
        <v>417</v>
      </c>
      <c r="N1809" s="2" t="s">
        <v>1309</v>
      </c>
      <c r="O1809" s="2" t="s">
        <v>100</v>
      </c>
      <c r="P1809" s="2" t="str">
        <f>"2170585241                    "</f>
        <v xml:space="preserve">2170585241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16.010000000000002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7.6</v>
      </c>
      <c r="BJ1809" s="2">
        <v>3.8</v>
      </c>
      <c r="BK1809" s="2">
        <v>8</v>
      </c>
      <c r="BL1809" s="2">
        <v>165.77</v>
      </c>
      <c r="BM1809" s="2">
        <v>23.21</v>
      </c>
      <c r="BN1809" s="2">
        <v>188.98</v>
      </c>
      <c r="BO1809" s="2">
        <v>188.98</v>
      </c>
      <c r="BP1809" s="2"/>
      <c r="BQ1809" s="2" t="s">
        <v>83</v>
      </c>
      <c r="BR1809" s="2" t="s">
        <v>84</v>
      </c>
      <c r="BS1809" s="3">
        <v>42964</v>
      </c>
      <c r="BT1809" s="4">
        <v>0.42222222222222222</v>
      </c>
      <c r="BU1809" s="2" t="s">
        <v>2446</v>
      </c>
      <c r="BV1809" s="2" t="s">
        <v>95</v>
      </c>
      <c r="BW1809" s="2"/>
      <c r="BX1809" s="2"/>
      <c r="BY1809" s="2">
        <v>19065.98</v>
      </c>
      <c r="BZ1809" s="2"/>
      <c r="CA1809" s="2" t="s">
        <v>460</v>
      </c>
      <c r="CB1809" s="2"/>
      <c r="CC1809" s="2" t="s">
        <v>417</v>
      </c>
      <c r="CD1809" s="2">
        <v>7646</v>
      </c>
      <c r="CE1809" s="2" t="s">
        <v>89</v>
      </c>
      <c r="CF1809" s="5">
        <v>42964</v>
      </c>
      <c r="CG1809" s="2"/>
      <c r="CH1809" s="2"/>
      <c r="CI1809" s="2">
        <v>1</v>
      </c>
      <c r="CJ1809" s="2">
        <v>1</v>
      </c>
      <c r="CK1809" s="2">
        <v>21</v>
      </c>
      <c r="CL1809" s="2" t="s">
        <v>86</v>
      </c>
      <c r="CM1809" s="2"/>
    </row>
    <row r="1810" spans="1:91">
      <c r="A1810" s="2" t="s">
        <v>71</v>
      </c>
      <c r="B1810" s="2" t="s">
        <v>72</v>
      </c>
      <c r="C1810" s="2" t="s">
        <v>73</v>
      </c>
      <c r="D1810" s="2"/>
      <c r="E1810" s="2" t="str">
        <f>"FES1162569490"</f>
        <v>FES1162569490</v>
      </c>
      <c r="F1810" s="3">
        <v>42963</v>
      </c>
      <c r="G1810" s="2">
        <v>201802</v>
      </c>
      <c r="H1810" s="2" t="s">
        <v>74</v>
      </c>
      <c r="I1810" s="2" t="s">
        <v>75</v>
      </c>
      <c r="J1810" s="2" t="s">
        <v>76</v>
      </c>
      <c r="K1810" s="2" t="s">
        <v>77</v>
      </c>
      <c r="L1810" s="2" t="s">
        <v>149</v>
      </c>
      <c r="M1810" s="2" t="s">
        <v>150</v>
      </c>
      <c r="N1810" s="2" t="s">
        <v>435</v>
      </c>
      <c r="O1810" s="2" t="s">
        <v>100</v>
      </c>
      <c r="P1810" s="2" t="str">
        <f>"2170575444                    "</f>
        <v xml:space="preserve">2170575444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13.01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6.5</v>
      </c>
      <c r="BJ1810" s="2">
        <v>2.9</v>
      </c>
      <c r="BK1810" s="2">
        <v>6.5</v>
      </c>
      <c r="BL1810" s="2">
        <v>134.69</v>
      </c>
      <c r="BM1810" s="2">
        <v>18.86</v>
      </c>
      <c r="BN1810" s="2">
        <v>153.55000000000001</v>
      </c>
      <c r="BO1810" s="2">
        <v>153.55000000000001</v>
      </c>
      <c r="BP1810" s="2"/>
      <c r="BQ1810" s="2" t="s">
        <v>288</v>
      </c>
      <c r="BR1810" s="2" t="s">
        <v>84</v>
      </c>
      <c r="BS1810" s="3">
        <v>42964</v>
      </c>
      <c r="BT1810" s="4">
        <v>0.36527777777777781</v>
      </c>
      <c r="BU1810" s="2" t="s">
        <v>2077</v>
      </c>
      <c r="BV1810" s="2" t="s">
        <v>95</v>
      </c>
      <c r="BW1810" s="2"/>
      <c r="BX1810" s="2"/>
      <c r="BY1810" s="2">
        <v>14553.77</v>
      </c>
      <c r="BZ1810" s="2"/>
      <c r="CA1810" s="2" t="s">
        <v>429</v>
      </c>
      <c r="CB1810" s="2"/>
      <c r="CC1810" s="2" t="s">
        <v>150</v>
      </c>
      <c r="CD1810" s="2">
        <v>4001</v>
      </c>
      <c r="CE1810" s="2" t="s">
        <v>89</v>
      </c>
      <c r="CF1810" s="5">
        <v>42964</v>
      </c>
      <c r="CG1810" s="2"/>
      <c r="CH1810" s="2"/>
      <c r="CI1810" s="2">
        <v>1</v>
      </c>
      <c r="CJ1810" s="2">
        <v>1</v>
      </c>
      <c r="CK1810" s="2">
        <v>21</v>
      </c>
      <c r="CL1810" s="2" t="s">
        <v>86</v>
      </c>
      <c r="CM1810" s="2"/>
    </row>
    <row r="1811" spans="1:91">
      <c r="A1811" s="2" t="s">
        <v>71</v>
      </c>
      <c r="B1811" s="2" t="s">
        <v>72</v>
      </c>
      <c r="C1811" s="2" t="s">
        <v>73</v>
      </c>
      <c r="D1811" s="2"/>
      <c r="E1811" s="2" t="str">
        <f>"FES1162569439"</f>
        <v>FES1162569439</v>
      </c>
      <c r="F1811" s="3">
        <v>42963</v>
      </c>
      <c r="G1811" s="2">
        <v>201802</v>
      </c>
      <c r="H1811" s="2" t="s">
        <v>74</v>
      </c>
      <c r="I1811" s="2" t="s">
        <v>75</v>
      </c>
      <c r="J1811" s="2" t="s">
        <v>76</v>
      </c>
      <c r="K1811" s="2" t="s">
        <v>77</v>
      </c>
      <c r="L1811" s="2" t="s">
        <v>237</v>
      </c>
      <c r="M1811" s="2" t="s">
        <v>238</v>
      </c>
      <c r="N1811" s="2" t="s">
        <v>669</v>
      </c>
      <c r="O1811" s="2" t="s">
        <v>100</v>
      </c>
      <c r="P1811" s="2" t="str">
        <f>"2170585280                    "</f>
        <v xml:space="preserve">2170585280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23.01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11.2</v>
      </c>
      <c r="BJ1811" s="2">
        <v>8.9</v>
      </c>
      <c r="BK1811" s="2">
        <v>11.5</v>
      </c>
      <c r="BL1811" s="2">
        <v>238.29</v>
      </c>
      <c r="BM1811" s="2">
        <v>33.36</v>
      </c>
      <c r="BN1811" s="2">
        <v>271.64999999999998</v>
      </c>
      <c r="BO1811" s="2">
        <v>271.64999999999998</v>
      </c>
      <c r="BP1811" s="2"/>
      <c r="BQ1811" s="2" t="s">
        <v>83</v>
      </c>
      <c r="BR1811" s="2" t="s">
        <v>84</v>
      </c>
      <c r="BS1811" s="3">
        <v>42964</v>
      </c>
      <c r="BT1811" s="4">
        <v>0.40972222222222227</v>
      </c>
      <c r="BU1811" s="2" t="s">
        <v>677</v>
      </c>
      <c r="BV1811" s="2" t="s">
        <v>95</v>
      </c>
      <c r="BW1811" s="2"/>
      <c r="BX1811" s="2"/>
      <c r="BY1811" s="2">
        <v>44436.67</v>
      </c>
      <c r="BZ1811" s="2"/>
      <c r="CA1811" s="2" t="s">
        <v>672</v>
      </c>
      <c r="CB1811" s="2"/>
      <c r="CC1811" s="2" t="s">
        <v>238</v>
      </c>
      <c r="CD1811" s="2">
        <v>3610</v>
      </c>
      <c r="CE1811" s="2" t="s">
        <v>89</v>
      </c>
      <c r="CF1811" s="5">
        <v>42965</v>
      </c>
      <c r="CG1811" s="2"/>
      <c r="CH1811" s="2"/>
      <c r="CI1811" s="2">
        <v>1</v>
      </c>
      <c r="CJ1811" s="2">
        <v>1</v>
      </c>
      <c r="CK1811" s="2">
        <v>21</v>
      </c>
      <c r="CL1811" s="2" t="s">
        <v>86</v>
      </c>
      <c r="CM1811" s="2"/>
    </row>
    <row r="1812" spans="1:91">
      <c r="A1812" s="2" t="s">
        <v>71</v>
      </c>
      <c r="B1812" s="2" t="s">
        <v>72</v>
      </c>
      <c r="C1812" s="2" t="s">
        <v>73</v>
      </c>
      <c r="D1812" s="2"/>
      <c r="E1812" s="2" t="str">
        <f>"FES1162569470"</f>
        <v>FES1162569470</v>
      </c>
      <c r="F1812" s="3">
        <v>42963</v>
      </c>
      <c r="G1812" s="2">
        <v>201802</v>
      </c>
      <c r="H1812" s="2" t="s">
        <v>74</v>
      </c>
      <c r="I1812" s="2" t="s">
        <v>75</v>
      </c>
      <c r="J1812" s="2" t="s">
        <v>76</v>
      </c>
      <c r="K1812" s="2" t="s">
        <v>77</v>
      </c>
      <c r="L1812" s="2" t="s">
        <v>74</v>
      </c>
      <c r="M1812" s="2" t="s">
        <v>75</v>
      </c>
      <c r="N1812" s="2" t="s">
        <v>2447</v>
      </c>
      <c r="O1812" s="2" t="s">
        <v>100</v>
      </c>
      <c r="P1812" s="2" t="str">
        <f>"2170585162                    "</f>
        <v xml:space="preserve">2170585162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3.13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5.9</v>
      </c>
      <c r="BJ1812" s="2">
        <v>2.2000000000000002</v>
      </c>
      <c r="BK1812" s="2">
        <v>6</v>
      </c>
      <c r="BL1812" s="2">
        <v>32.380000000000003</v>
      </c>
      <c r="BM1812" s="2">
        <v>4.53</v>
      </c>
      <c r="BN1812" s="2">
        <v>36.909999999999997</v>
      </c>
      <c r="BO1812" s="2">
        <v>36.909999999999997</v>
      </c>
      <c r="BP1812" s="2"/>
      <c r="BQ1812" s="2" t="s">
        <v>83</v>
      </c>
      <c r="BR1812" s="2" t="s">
        <v>84</v>
      </c>
      <c r="BS1812" s="3">
        <v>42964</v>
      </c>
      <c r="BT1812" s="4">
        <v>0.42777777777777781</v>
      </c>
      <c r="BU1812" s="2" t="s">
        <v>2448</v>
      </c>
      <c r="BV1812" s="2" t="s">
        <v>95</v>
      </c>
      <c r="BW1812" s="2"/>
      <c r="BX1812" s="2"/>
      <c r="BY1812" s="2">
        <v>11178.24</v>
      </c>
      <c r="BZ1812" s="2"/>
      <c r="CA1812" s="2" t="s">
        <v>194</v>
      </c>
      <c r="CB1812" s="2"/>
      <c r="CC1812" s="2" t="s">
        <v>75</v>
      </c>
      <c r="CD1812" s="2">
        <v>1682</v>
      </c>
      <c r="CE1812" s="2" t="s">
        <v>89</v>
      </c>
      <c r="CF1812" s="5">
        <v>42965</v>
      </c>
      <c r="CG1812" s="2"/>
      <c r="CH1812" s="2"/>
      <c r="CI1812" s="2">
        <v>1</v>
      </c>
      <c r="CJ1812" s="2">
        <v>1</v>
      </c>
      <c r="CK1812" s="2">
        <v>22</v>
      </c>
      <c r="CL1812" s="2" t="s">
        <v>86</v>
      </c>
      <c r="CM1812" s="2"/>
    </row>
    <row r="1813" spans="1:91">
      <c r="A1813" s="2" t="s">
        <v>71</v>
      </c>
      <c r="B1813" s="2" t="s">
        <v>72</v>
      </c>
      <c r="C1813" s="2" t="s">
        <v>73</v>
      </c>
      <c r="D1813" s="2"/>
      <c r="E1813" s="2" t="str">
        <f>"FES1162569499"</f>
        <v>FES1162569499</v>
      </c>
      <c r="F1813" s="3">
        <v>42963</v>
      </c>
      <c r="G1813" s="2">
        <v>201802</v>
      </c>
      <c r="H1813" s="2" t="s">
        <v>74</v>
      </c>
      <c r="I1813" s="2" t="s">
        <v>75</v>
      </c>
      <c r="J1813" s="2" t="s">
        <v>76</v>
      </c>
      <c r="K1813" s="2" t="s">
        <v>77</v>
      </c>
      <c r="L1813" s="2" t="s">
        <v>539</v>
      </c>
      <c r="M1813" s="2" t="s">
        <v>540</v>
      </c>
      <c r="N1813" s="2" t="s">
        <v>737</v>
      </c>
      <c r="O1813" s="2" t="s">
        <v>100</v>
      </c>
      <c r="P1813" s="2" t="str">
        <f>"2170577396                    "</f>
        <v xml:space="preserve">2170577396  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3.5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1</v>
      </c>
      <c r="BI1813" s="2">
        <v>5.5</v>
      </c>
      <c r="BJ1813" s="2">
        <v>8.1999999999999993</v>
      </c>
      <c r="BK1813" s="2">
        <v>9</v>
      </c>
      <c r="BL1813" s="2">
        <v>36.26</v>
      </c>
      <c r="BM1813" s="2">
        <v>5.08</v>
      </c>
      <c r="BN1813" s="2">
        <v>41.34</v>
      </c>
      <c r="BO1813" s="2">
        <v>41.34</v>
      </c>
      <c r="BP1813" s="2"/>
      <c r="BQ1813" s="2" t="s">
        <v>738</v>
      </c>
      <c r="BR1813" s="2" t="s">
        <v>84</v>
      </c>
      <c r="BS1813" s="3">
        <v>42964</v>
      </c>
      <c r="BT1813" s="4">
        <v>0.66666666666666663</v>
      </c>
      <c r="BU1813" s="2" t="s">
        <v>739</v>
      </c>
      <c r="BV1813" s="2" t="s">
        <v>86</v>
      </c>
      <c r="BW1813" s="2" t="s">
        <v>124</v>
      </c>
      <c r="BX1813" s="2" t="s">
        <v>199</v>
      </c>
      <c r="BY1813" s="2">
        <v>40804.089999999997</v>
      </c>
      <c r="BZ1813" s="2"/>
      <c r="CA1813" s="2"/>
      <c r="CB1813" s="2"/>
      <c r="CC1813" s="2" t="s">
        <v>540</v>
      </c>
      <c r="CD1813" s="2">
        <v>2163</v>
      </c>
      <c r="CE1813" s="2" t="s">
        <v>89</v>
      </c>
      <c r="CF1813" s="5">
        <v>42965</v>
      </c>
      <c r="CG1813" s="2"/>
      <c r="CH1813" s="2"/>
      <c r="CI1813" s="2">
        <v>1</v>
      </c>
      <c r="CJ1813" s="2">
        <v>1</v>
      </c>
      <c r="CK1813" s="2">
        <v>22</v>
      </c>
      <c r="CL1813" s="2" t="s">
        <v>86</v>
      </c>
      <c r="CM1813" s="2"/>
    </row>
    <row r="1814" spans="1:91">
      <c r="A1814" s="2" t="s">
        <v>71</v>
      </c>
      <c r="B1814" s="2" t="s">
        <v>72</v>
      </c>
      <c r="C1814" s="2" t="s">
        <v>73</v>
      </c>
      <c r="D1814" s="2"/>
      <c r="E1814" s="2" t="str">
        <f>"FES1162569544"</f>
        <v>FES1162569544</v>
      </c>
      <c r="F1814" s="3">
        <v>42963</v>
      </c>
      <c r="G1814" s="2">
        <v>201802</v>
      </c>
      <c r="H1814" s="2" t="s">
        <v>74</v>
      </c>
      <c r="I1814" s="2" t="s">
        <v>75</v>
      </c>
      <c r="J1814" s="2" t="s">
        <v>76</v>
      </c>
      <c r="K1814" s="2" t="s">
        <v>77</v>
      </c>
      <c r="L1814" s="2" t="s">
        <v>437</v>
      </c>
      <c r="M1814" s="2" t="s">
        <v>438</v>
      </c>
      <c r="N1814" s="2" t="s">
        <v>749</v>
      </c>
      <c r="O1814" s="2" t="s">
        <v>100</v>
      </c>
      <c r="P1814" s="2" t="str">
        <f>"2170584934                    "</f>
        <v xml:space="preserve">2170584934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5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2.4</v>
      </c>
      <c r="BJ1814" s="2">
        <v>1</v>
      </c>
      <c r="BK1814" s="2">
        <v>2.5</v>
      </c>
      <c r="BL1814" s="2">
        <v>51.8</v>
      </c>
      <c r="BM1814" s="2">
        <v>7.25</v>
      </c>
      <c r="BN1814" s="2">
        <v>59.05</v>
      </c>
      <c r="BO1814" s="2">
        <v>59.05</v>
      </c>
      <c r="BP1814" s="2"/>
      <c r="BQ1814" s="2" t="s">
        <v>108</v>
      </c>
      <c r="BR1814" s="2" t="s">
        <v>84</v>
      </c>
      <c r="BS1814" s="3">
        <v>42964</v>
      </c>
      <c r="BT1814" s="4">
        <v>0.36458333333333331</v>
      </c>
      <c r="BU1814" s="2" t="s">
        <v>750</v>
      </c>
      <c r="BV1814" s="2" t="s">
        <v>95</v>
      </c>
      <c r="BW1814" s="2"/>
      <c r="BX1814" s="2"/>
      <c r="BY1814" s="2">
        <v>5139.78</v>
      </c>
      <c r="BZ1814" s="2"/>
      <c r="CA1814" s="2" t="s">
        <v>441</v>
      </c>
      <c r="CB1814" s="2"/>
      <c r="CC1814" s="2" t="s">
        <v>438</v>
      </c>
      <c r="CD1814" s="2">
        <v>6536</v>
      </c>
      <c r="CE1814" s="2" t="s">
        <v>89</v>
      </c>
      <c r="CF1814" s="5">
        <v>42965</v>
      </c>
      <c r="CG1814" s="2"/>
      <c r="CH1814" s="2"/>
      <c r="CI1814" s="2">
        <v>1</v>
      </c>
      <c r="CJ1814" s="2">
        <v>1</v>
      </c>
      <c r="CK1814" s="2">
        <v>21</v>
      </c>
      <c r="CL1814" s="2" t="s">
        <v>86</v>
      </c>
      <c r="CM1814" s="2"/>
    </row>
    <row r="1815" spans="1:91">
      <c r="A1815" s="2" t="s">
        <v>71</v>
      </c>
      <c r="B1815" s="2" t="s">
        <v>72</v>
      </c>
      <c r="C1815" s="2" t="s">
        <v>73</v>
      </c>
      <c r="D1815" s="2"/>
      <c r="E1815" s="2" t="str">
        <f>"FES1162569547"</f>
        <v>FES1162569547</v>
      </c>
      <c r="F1815" s="3">
        <v>42963</v>
      </c>
      <c r="G1815" s="2">
        <v>201802</v>
      </c>
      <c r="H1815" s="2" t="s">
        <v>74</v>
      </c>
      <c r="I1815" s="2" t="s">
        <v>75</v>
      </c>
      <c r="J1815" s="2" t="s">
        <v>76</v>
      </c>
      <c r="K1815" s="2" t="s">
        <v>77</v>
      </c>
      <c r="L1815" s="2" t="s">
        <v>846</v>
      </c>
      <c r="M1815" s="2" t="s">
        <v>847</v>
      </c>
      <c r="N1815" s="2" t="s">
        <v>848</v>
      </c>
      <c r="O1815" s="2" t="s">
        <v>100</v>
      </c>
      <c r="P1815" s="2" t="str">
        <f>"2170585387                    "</f>
        <v xml:space="preserve">2170585387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7.75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1</v>
      </c>
      <c r="BJ1815" s="2">
        <v>0.2</v>
      </c>
      <c r="BK1815" s="2">
        <v>1</v>
      </c>
      <c r="BL1815" s="2">
        <v>80.290000000000006</v>
      </c>
      <c r="BM1815" s="2">
        <v>11.24</v>
      </c>
      <c r="BN1815" s="2">
        <v>91.53</v>
      </c>
      <c r="BO1815" s="2">
        <v>91.53</v>
      </c>
      <c r="BP1815" s="2"/>
      <c r="BQ1815" s="2" t="s">
        <v>108</v>
      </c>
      <c r="BR1815" s="2" t="s">
        <v>84</v>
      </c>
      <c r="BS1815" s="3">
        <v>42964</v>
      </c>
      <c r="BT1815" s="4">
        <v>0.54375000000000007</v>
      </c>
      <c r="BU1815" s="2" t="s">
        <v>2400</v>
      </c>
      <c r="BV1815" s="2" t="s">
        <v>95</v>
      </c>
      <c r="BW1815" s="2"/>
      <c r="BX1815" s="2"/>
      <c r="BY1815" s="2">
        <v>1200</v>
      </c>
      <c r="BZ1815" s="2"/>
      <c r="CA1815" s="2" t="s">
        <v>850</v>
      </c>
      <c r="CB1815" s="2"/>
      <c r="CC1815" s="2" t="s">
        <v>847</v>
      </c>
      <c r="CD1815" s="2">
        <v>7349</v>
      </c>
      <c r="CE1815" s="2" t="s">
        <v>104</v>
      </c>
      <c r="CF1815" s="5">
        <v>42965</v>
      </c>
      <c r="CG1815" s="2"/>
      <c r="CH1815" s="2"/>
      <c r="CI1815" s="2">
        <v>1</v>
      </c>
      <c r="CJ1815" s="2">
        <v>1</v>
      </c>
      <c r="CK1815" s="2">
        <v>23</v>
      </c>
      <c r="CL1815" s="2" t="s">
        <v>86</v>
      </c>
      <c r="CM1815" s="2"/>
    </row>
    <row r="1816" spans="1:91">
      <c r="A1816" s="2" t="s">
        <v>71</v>
      </c>
      <c r="B1816" s="2" t="s">
        <v>72</v>
      </c>
      <c r="C1816" s="2" t="s">
        <v>73</v>
      </c>
      <c r="D1816" s="2"/>
      <c r="E1816" s="2" t="str">
        <f>"FES1162569529"</f>
        <v>FES1162569529</v>
      </c>
      <c r="F1816" s="3">
        <v>42963</v>
      </c>
      <c r="G1816" s="2">
        <v>201802</v>
      </c>
      <c r="H1816" s="2" t="s">
        <v>74</v>
      </c>
      <c r="I1816" s="2" t="s">
        <v>75</v>
      </c>
      <c r="J1816" s="2" t="s">
        <v>76</v>
      </c>
      <c r="K1816" s="2" t="s">
        <v>77</v>
      </c>
      <c r="L1816" s="2" t="s">
        <v>105</v>
      </c>
      <c r="M1816" s="2" t="s">
        <v>106</v>
      </c>
      <c r="N1816" s="2" t="s">
        <v>1080</v>
      </c>
      <c r="O1816" s="2" t="s">
        <v>100</v>
      </c>
      <c r="P1816" s="2" t="str">
        <f>"2170585365                    "</f>
        <v xml:space="preserve">2170585365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4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1</v>
      </c>
      <c r="BJ1816" s="2">
        <v>0.2</v>
      </c>
      <c r="BK1816" s="2">
        <v>1</v>
      </c>
      <c r="BL1816" s="2">
        <v>41.44</v>
      </c>
      <c r="BM1816" s="2">
        <v>5.8</v>
      </c>
      <c r="BN1816" s="2">
        <v>47.24</v>
      </c>
      <c r="BO1816" s="2">
        <v>47.24</v>
      </c>
      <c r="BP1816" s="2"/>
      <c r="BQ1816" s="2" t="s">
        <v>288</v>
      </c>
      <c r="BR1816" s="2" t="s">
        <v>84</v>
      </c>
      <c r="BS1816" s="3">
        <v>42964</v>
      </c>
      <c r="BT1816" s="4">
        <v>0.34652777777777777</v>
      </c>
      <c r="BU1816" s="2" t="s">
        <v>236</v>
      </c>
      <c r="BV1816" s="2" t="s">
        <v>95</v>
      </c>
      <c r="BW1816" s="2"/>
      <c r="BX1816" s="2"/>
      <c r="BY1816" s="2">
        <v>1200</v>
      </c>
      <c r="BZ1816" s="2"/>
      <c r="CA1816" s="2" t="s">
        <v>748</v>
      </c>
      <c r="CB1816" s="2"/>
      <c r="CC1816" s="2" t="s">
        <v>106</v>
      </c>
      <c r="CD1816" s="2">
        <v>7441</v>
      </c>
      <c r="CE1816" s="2" t="s">
        <v>104</v>
      </c>
      <c r="CF1816" s="5">
        <v>42965</v>
      </c>
      <c r="CG1816" s="2"/>
      <c r="CH1816" s="2"/>
      <c r="CI1816" s="2">
        <v>1</v>
      </c>
      <c r="CJ1816" s="2">
        <v>1</v>
      </c>
      <c r="CK1816" s="2">
        <v>21</v>
      </c>
      <c r="CL1816" s="2" t="s">
        <v>86</v>
      </c>
      <c r="CM1816" s="2"/>
    </row>
    <row r="1817" spans="1:91">
      <c r="A1817" s="2" t="s">
        <v>71</v>
      </c>
      <c r="B1817" s="2" t="s">
        <v>72</v>
      </c>
      <c r="C1817" s="2" t="s">
        <v>73</v>
      </c>
      <c r="D1817" s="2"/>
      <c r="E1817" s="2" t="str">
        <f>"FES1162569545"</f>
        <v>FES1162569545</v>
      </c>
      <c r="F1817" s="3">
        <v>42963</v>
      </c>
      <c r="G1817" s="2">
        <v>201802</v>
      </c>
      <c r="H1817" s="2" t="s">
        <v>74</v>
      </c>
      <c r="I1817" s="2" t="s">
        <v>75</v>
      </c>
      <c r="J1817" s="2" t="s">
        <v>76</v>
      </c>
      <c r="K1817" s="2" t="s">
        <v>77</v>
      </c>
      <c r="L1817" s="2" t="s">
        <v>105</v>
      </c>
      <c r="M1817" s="2" t="s">
        <v>106</v>
      </c>
      <c r="N1817" s="2" t="s">
        <v>1080</v>
      </c>
      <c r="O1817" s="2" t="s">
        <v>100</v>
      </c>
      <c r="P1817" s="2" t="str">
        <f>"2170581023                    "</f>
        <v xml:space="preserve">2170581023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7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0.4</v>
      </c>
      <c r="BJ1817" s="2">
        <v>3.4</v>
      </c>
      <c r="BK1817" s="2">
        <v>3.5</v>
      </c>
      <c r="BL1817" s="2">
        <v>72.52</v>
      </c>
      <c r="BM1817" s="2">
        <v>10.15</v>
      </c>
      <c r="BN1817" s="2">
        <v>82.67</v>
      </c>
      <c r="BO1817" s="2">
        <v>82.67</v>
      </c>
      <c r="BP1817" s="2"/>
      <c r="BQ1817" s="2" t="s">
        <v>288</v>
      </c>
      <c r="BR1817" s="2" t="s">
        <v>84</v>
      </c>
      <c r="BS1817" s="3">
        <v>42964</v>
      </c>
      <c r="BT1817" s="4">
        <v>0.41666666666666669</v>
      </c>
      <c r="BU1817" s="2" t="s">
        <v>2449</v>
      </c>
      <c r="BV1817" s="2" t="s">
        <v>95</v>
      </c>
      <c r="BW1817" s="2"/>
      <c r="BX1817" s="2"/>
      <c r="BY1817" s="2">
        <v>17236.98</v>
      </c>
      <c r="BZ1817" s="2"/>
      <c r="CA1817" s="2"/>
      <c r="CB1817" s="2"/>
      <c r="CC1817" s="2" t="s">
        <v>106</v>
      </c>
      <c r="CD1817" s="2">
        <v>7441</v>
      </c>
      <c r="CE1817" s="2" t="s">
        <v>104</v>
      </c>
      <c r="CF1817" s="5">
        <v>42965</v>
      </c>
      <c r="CG1817" s="2"/>
      <c r="CH1817" s="2"/>
      <c r="CI1817" s="2">
        <v>1</v>
      </c>
      <c r="CJ1817" s="2">
        <v>1</v>
      </c>
      <c r="CK1817" s="2">
        <v>21</v>
      </c>
      <c r="CL1817" s="2" t="s">
        <v>86</v>
      </c>
      <c r="CM1817" s="2"/>
    </row>
    <row r="1818" spans="1:91">
      <c r="A1818" s="2" t="s">
        <v>71</v>
      </c>
      <c r="B1818" s="2" t="s">
        <v>72</v>
      </c>
      <c r="C1818" s="2" t="s">
        <v>73</v>
      </c>
      <c r="D1818" s="2"/>
      <c r="E1818" s="2" t="str">
        <f>"FES1162569523"</f>
        <v>FES1162569523</v>
      </c>
      <c r="F1818" s="3">
        <v>42963</v>
      </c>
      <c r="G1818" s="2">
        <v>201802</v>
      </c>
      <c r="H1818" s="2" t="s">
        <v>74</v>
      </c>
      <c r="I1818" s="2" t="s">
        <v>75</v>
      </c>
      <c r="J1818" s="2" t="s">
        <v>76</v>
      </c>
      <c r="K1818" s="2" t="s">
        <v>77</v>
      </c>
      <c r="L1818" s="2" t="s">
        <v>105</v>
      </c>
      <c r="M1818" s="2" t="s">
        <v>106</v>
      </c>
      <c r="N1818" s="2" t="s">
        <v>1080</v>
      </c>
      <c r="O1818" s="2" t="s">
        <v>100</v>
      </c>
      <c r="P1818" s="2" t="str">
        <f>"2170585364                    "</f>
        <v xml:space="preserve">2170585364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4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1</v>
      </c>
      <c r="BJ1818" s="2">
        <v>0.2</v>
      </c>
      <c r="BK1818" s="2">
        <v>1</v>
      </c>
      <c r="BL1818" s="2">
        <v>41.44</v>
      </c>
      <c r="BM1818" s="2">
        <v>5.8</v>
      </c>
      <c r="BN1818" s="2">
        <v>47.24</v>
      </c>
      <c r="BO1818" s="2">
        <v>47.24</v>
      </c>
      <c r="BP1818" s="2"/>
      <c r="BQ1818" s="2" t="s">
        <v>288</v>
      </c>
      <c r="BR1818" s="2" t="s">
        <v>84</v>
      </c>
      <c r="BS1818" s="3">
        <v>42964</v>
      </c>
      <c r="BT1818" s="4">
        <v>0.34513888888888888</v>
      </c>
      <c r="BU1818" s="2" t="s">
        <v>236</v>
      </c>
      <c r="BV1818" s="2" t="s">
        <v>95</v>
      </c>
      <c r="BW1818" s="2"/>
      <c r="BX1818" s="2"/>
      <c r="BY1818" s="2">
        <v>1200</v>
      </c>
      <c r="BZ1818" s="2"/>
      <c r="CA1818" s="2" t="s">
        <v>748</v>
      </c>
      <c r="CB1818" s="2"/>
      <c r="CC1818" s="2" t="s">
        <v>106</v>
      </c>
      <c r="CD1818" s="2">
        <v>7441</v>
      </c>
      <c r="CE1818" s="2" t="s">
        <v>104</v>
      </c>
      <c r="CF1818" s="5">
        <v>42965</v>
      </c>
      <c r="CG1818" s="2"/>
      <c r="CH1818" s="2"/>
      <c r="CI1818" s="2">
        <v>1</v>
      </c>
      <c r="CJ1818" s="2">
        <v>1</v>
      </c>
      <c r="CK1818" s="2">
        <v>21</v>
      </c>
      <c r="CL1818" s="2" t="s">
        <v>86</v>
      </c>
      <c r="CM1818" s="2"/>
    </row>
    <row r="1819" spans="1:91">
      <c r="A1819" s="2" t="s">
        <v>71</v>
      </c>
      <c r="B1819" s="2" t="s">
        <v>72</v>
      </c>
      <c r="C1819" s="2" t="s">
        <v>73</v>
      </c>
      <c r="D1819" s="2"/>
      <c r="E1819" s="2" t="str">
        <f>"FES1162569528"</f>
        <v>FES1162569528</v>
      </c>
      <c r="F1819" s="3">
        <v>42963</v>
      </c>
      <c r="G1819" s="2">
        <v>201802</v>
      </c>
      <c r="H1819" s="2" t="s">
        <v>74</v>
      </c>
      <c r="I1819" s="2" t="s">
        <v>75</v>
      </c>
      <c r="J1819" s="2" t="s">
        <v>76</v>
      </c>
      <c r="K1819" s="2" t="s">
        <v>77</v>
      </c>
      <c r="L1819" s="2" t="s">
        <v>1101</v>
      </c>
      <c r="M1819" s="2" t="s">
        <v>1102</v>
      </c>
      <c r="N1819" s="2" t="s">
        <v>2265</v>
      </c>
      <c r="O1819" s="2" t="s">
        <v>100</v>
      </c>
      <c r="P1819" s="2" t="str">
        <f>"2170585110                    "</f>
        <v xml:space="preserve">2170585110 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7.75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2</v>
      </c>
      <c r="BJ1819" s="2">
        <v>1.5</v>
      </c>
      <c r="BK1819" s="2">
        <v>2</v>
      </c>
      <c r="BL1819" s="2">
        <v>80.290000000000006</v>
      </c>
      <c r="BM1819" s="2">
        <v>11.24</v>
      </c>
      <c r="BN1819" s="2">
        <v>91.53</v>
      </c>
      <c r="BO1819" s="2">
        <v>91.53</v>
      </c>
      <c r="BP1819" s="2"/>
      <c r="BQ1819" s="2" t="s">
        <v>108</v>
      </c>
      <c r="BR1819" s="2" t="s">
        <v>84</v>
      </c>
      <c r="BS1819" s="3">
        <v>42964</v>
      </c>
      <c r="BT1819" s="4">
        <v>0.47222222222222227</v>
      </c>
      <c r="BU1819" s="2" t="s">
        <v>85</v>
      </c>
      <c r="BV1819" s="2" t="s">
        <v>95</v>
      </c>
      <c r="BW1819" s="2"/>
      <c r="BX1819" s="2"/>
      <c r="BY1819" s="2">
        <v>7441.2</v>
      </c>
      <c r="BZ1819" s="2"/>
      <c r="CA1819" s="2"/>
      <c r="CB1819" s="2"/>
      <c r="CC1819" s="2" t="s">
        <v>1102</v>
      </c>
      <c r="CD1819" s="2">
        <v>2531</v>
      </c>
      <c r="CE1819" s="2" t="s">
        <v>104</v>
      </c>
      <c r="CF1819" s="5">
        <v>42968</v>
      </c>
      <c r="CG1819" s="2"/>
      <c r="CH1819" s="2"/>
      <c r="CI1819" s="2">
        <v>1</v>
      </c>
      <c r="CJ1819" s="2">
        <v>1</v>
      </c>
      <c r="CK1819" s="2">
        <v>23</v>
      </c>
      <c r="CL1819" s="2" t="s">
        <v>86</v>
      </c>
      <c r="CM1819" s="2"/>
    </row>
    <row r="1820" spans="1:91">
      <c r="A1820" s="2" t="s">
        <v>71</v>
      </c>
      <c r="B1820" s="2" t="s">
        <v>72</v>
      </c>
      <c r="C1820" s="2" t="s">
        <v>73</v>
      </c>
      <c r="D1820" s="2"/>
      <c r="E1820" s="2" t="str">
        <f>"FES1162569506"</f>
        <v>FES1162569506</v>
      </c>
      <c r="F1820" s="3">
        <v>42963</v>
      </c>
      <c r="G1820" s="2">
        <v>201802</v>
      </c>
      <c r="H1820" s="2" t="s">
        <v>74</v>
      </c>
      <c r="I1820" s="2" t="s">
        <v>75</v>
      </c>
      <c r="J1820" s="2" t="s">
        <v>76</v>
      </c>
      <c r="K1820" s="2" t="s">
        <v>77</v>
      </c>
      <c r="L1820" s="2" t="s">
        <v>311</v>
      </c>
      <c r="M1820" s="2" t="s">
        <v>312</v>
      </c>
      <c r="N1820" s="2" t="s">
        <v>2450</v>
      </c>
      <c r="O1820" s="2" t="s">
        <v>100</v>
      </c>
      <c r="P1820" s="2" t="str">
        <f>"2170585348                    "</f>
        <v xml:space="preserve">2170585348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3.13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1</v>
      </c>
      <c r="BJ1820" s="2">
        <v>0.2</v>
      </c>
      <c r="BK1820" s="2">
        <v>1</v>
      </c>
      <c r="BL1820" s="2">
        <v>32.380000000000003</v>
      </c>
      <c r="BM1820" s="2">
        <v>4.53</v>
      </c>
      <c r="BN1820" s="2">
        <v>36.909999999999997</v>
      </c>
      <c r="BO1820" s="2">
        <v>36.909999999999997</v>
      </c>
      <c r="BP1820" s="2"/>
      <c r="BQ1820" s="2" t="s">
        <v>108</v>
      </c>
      <c r="BR1820" s="2" t="s">
        <v>84</v>
      </c>
      <c r="BS1820" s="3">
        <v>42964</v>
      </c>
      <c r="BT1820" s="4">
        <v>0.41388888888888892</v>
      </c>
      <c r="BU1820" s="2" t="s">
        <v>2451</v>
      </c>
      <c r="BV1820" s="2" t="s">
        <v>95</v>
      </c>
      <c r="BW1820" s="2"/>
      <c r="BX1820" s="2"/>
      <c r="BY1820" s="2">
        <v>1200</v>
      </c>
      <c r="BZ1820" s="2"/>
      <c r="CA1820" s="2"/>
      <c r="CB1820" s="2"/>
      <c r="CC1820" s="2" t="s">
        <v>312</v>
      </c>
      <c r="CD1820" s="2">
        <v>1559</v>
      </c>
      <c r="CE1820" s="2" t="s">
        <v>104</v>
      </c>
      <c r="CF1820" s="5">
        <v>42965</v>
      </c>
      <c r="CG1820" s="2"/>
      <c r="CH1820" s="2"/>
      <c r="CI1820" s="2">
        <v>1</v>
      </c>
      <c r="CJ1820" s="2">
        <v>1</v>
      </c>
      <c r="CK1820" s="2">
        <v>22</v>
      </c>
      <c r="CL1820" s="2" t="s">
        <v>86</v>
      </c>
      <c r="CM1820" s="2"/>
    </row>
    <row r="1821" spans="1:91">
      <c r="A1821" s="2" t="s">
        <v>71</v>
      </c>
      <c r="B1821" s="2" t="s">
        <v>72</v>
      </c>
      <c r="C1821" s="2" t="s">
        <v>73</v>
      </c>
      <c r="D1821" s="2"/>
      <c r="E1821" s="2" t="str">
        <f>"FES1162569520"</f>
        <v>FES1162569520</v>
      </c>
      <c r="F1821" s="3">
        <v>42963</v>
      </c>
      <c r="G1821" s="2">
        <v>201802</v>
      </c>
      <c r="H1821" s="2" t="s">
        <v>74</v>
      </c>
      <c r="I1821" s="2" t="s">
        <v>75</v>
      </c>
      <c r="J1821" s="2" t="s">
        <v>76</v>
      </c>
      <c r="K1821" s="2" t="s">
        <v>77</v>
      </c>
      <c r="L1821" s="2" t="s">
        <v>144</v>
      </c>
      <c r="M1821" s="2" t="s">
        <v>145</v>
      </c>
      <c r="N1821" s="2" t="s">
        <v>146</v>
      </c>
      <c r="O1821" s="2" t="s">
        <v>100</v>
      </c>
      <c r="P1821" s="2" t="str">
        <f>"2170585361                    "</f>
        <v xml:space="preserve">2170585361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3.13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1</v>
      </c>
      <c r="BJ1821" s="2">
        <v>0.2</v>
      </c>
      <c r="BK1821" s="2">
        <v>1</v>
      </c>
      <c r="BL1821" s="2">
        <v>32.380000000000003</v>
      </c>
      <c r="BM1821" s="2">
        <v>4.53</v>
      </c>
      <c r="BN1821" s="2">
        <v>36.909999999999997</v>
      </c>
      <c r="BO1821" s="2">
        <v>36.909999999999997</v>
      </c>
      <c r="BP1821" s="2"/>
      <c r="BQ1821" s="2" t="s">
        <v>83</v>
      </c>
      <c r="BR1821" s="2" t="s">
        <v>84</v>
      </c>
      <c r="BS1821" s="3">
        <v>42964</v>
      </c>
      <c r="BT1821" s="4">
        <v>0.38194444444444442</v>
      </c>
      <c r="BU1821" s="2" t="s">
        <v>728</v>
      </c>
      <c r="BV1821" s="2" t="s">
        <v>95</v>
      </c>
      <c r="BW1821" s="2"/>
      <c r="BX1821" s="2"/>
      <c r="BY1821" s="2">
        <v>1200</v>
      </c>
      <c r="BZ1821" s="2"/>
      <c r="CA1821" s="2" t="s">
        <v>729</v>
      </c>
      <c r="CB1821" s="2"/>
      <c r="CC1821" s="2" t="s">
        <v>145</v>
      </c>
      <c r="CD1821" s="2">
        <v>2094</v>
      </c>
      <c r="CE1821" s="2" t="s">
        <v>104</v>
      </c>
      <c r="CF1821" s="5">
        <v>42965</v>
      </c>
      <c r="CG1821" s="2"/>
      <c r="CH1821" s="2"/>
      <c r="CI1821" s="2">
        <v>1</v>
      </c>
      <c r="CJ1821" s="2">
        <v>1</v>
      </c>
      <c r="CK1821" s="2">
        <v>22</v>
      </c>
      <c r="CL1821" s="2" t="s">
        <v>86</v>
      </c>
      <c r="CM1821" s="2"/>
    </row>
    <row r="1822" spans="1:91">
      <c r="A1822" s="2" t="s">
        <v>71</v>
      </c>
      <c r="B1822" s="2" t="s">
        <v>72</v>
      </c>
      <c r="C1822" s="2" t="s">
        <v>73</v>
      </c>
      <c r="D1822" s="2"/>
      <c r="E1822" s="2" t="str">
        <f>"FES1162569519"</f>
        <v>FES1162569519</v>
      </c>
      <c r="F1822" s="3">
        <v>42963</v>
      </c>
      <c r="G1822" s="2">
        <v>201802</v>
      </c>
      <c r="H1822" s="2" t="s">
        <v>74</v>
      </c>
      <c r="I1822" s="2" t="s">
        <v>75</v>
      </c>
      <c r="J1822" s="2" t="s">
        <v>76</v>
      </c>
      <c r="K1822" s="2" t="s">
        <v>77</v>
      </c>
      <c r="L1822" s="2" t="s">
        <v>144</v>
      </c>
      <c r="M1822" s="2" t="s">
        <v>145</v>
      </c>
      <c r="N1822" s="2" t="s">
        <v>146</v>
      </c>
      <c r="O1822" s="2" t="s">
        <v>100</v>
      </c>
      <c r="P1822" s="2" t="str">
        <f>"2170585360                    "</f>
        <v xml:space="preserve">2170585360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3.13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1</v>
      </c>
      <c r="BI1822" s="2">
        <v>1</v>
      </c>
      <c r="BJ1822" s="2">
        <v>0.2</v>
      </c>
      <c r="BK1822" s="2">
        <v>1</v>
      </c>
      <c r="BL1822" s="2">
        <v>32.380000000000003</v>
      </c>
      <c r="BM1822" s="2">
        <v>4.53</v>
      </c>
      <c r="BN1822" s="2">
        <v>36.909999999999997</v>
      </c>
      <c r="BO1822" s="2">
        <v>36.909999999999997</v>
      </c>
      <c r="BP1822" s="2"/>
      <c r="BQ1822" s="2" t="s">
        <v>83</v>
      </c>
      <c r="BR1822" s="2" t="s">
        <v>84</v>
      </c>
      <c r="BS1822" s="3">
        <v>42964</v>
      </c>
      <c r="BT1822" s="4">
        <v>0.38263888888888892</v>
      </c>
      <c r="BU1822" s="2" t="s">
        <v>728</v>
      </c>
      <c r="BV1822" s="2" t="s">
        <v>95</v>
      </c>
      <c r="BW1822" s="2"/>
      <c r="BX1822" s="2"/>
      <c r="BY1822" s="2">
        <v>1200</v>
      </c>
      <c r="BZ1822" s="2"/>
      <c r="CA1822" s="2" t="s">
        <v>729</v>
      </c>
      <c r="CB1822" s="2"/>
      <c r="CC1822" s="2" t="s">
        <v>145</v>
      </c>
      <c r="CD1822" s="2">
        <v>2094</v>
      </c>
      <c r="CE1822" s="2" t="s">
        <v>104</v>
      </c>
      <c r="CF1822" s="5">
        <v>42965</v>
      </c>
      <c r="CG1822" s="2"/>
      <c r="CH1822" s="2"/>
      <c r="CI1822" s="2">
        <v>1</v>
      </c>
      <c r="CJ1822" s="2">
        <v>1</v>
      </c>
      <c r="CK1822" s="2">
        <v>22</v>
      </c>
      <c r="CL1822" s="2" t="s">
        <v>86</v>
      </c>
      <c r="CM1822" s="2"/>
    </row>
    <row r="1823" spans="1:91">
      <c r="A1823" s="2" t="s">
        <v>71</v>
      </c>
      <c r="B1823" s="2" t="s">
        <v>72</v>
      </c>
      <c r="C1823" s="2" t="s">
        <v>73</v>
      </c>
      <c r="D1823" s="2"/>
      <c r="E1823" s="2" t="str">
        <f>"FES1162569504"</f>
        <v>FES1162569504</v>
      </c>
      <c r="F1823" s="3">
        <v>42963</v>
      </c>
      <c r="G1823" s="2">
        <v>201802</v>
      </c>
      <c r="H1823" s="2" t="s">
        <v>74</v>
      </c>
      <c r="I1823" s="2" t="s">
        <v>75</v>
      </c>
      <c r="J1823" s="2" t="s">
        <v>76</v>
      </c>
      <c r="K1823" s="2" t="s">
        <v>77</v>
      </c>
      <c r="L1823" s="2" t="s">
        <v>144</v>
      </c>
      <c r="M1823" s="2" t="s">
        <v>145</v>
      </c>
      <c r="N1823" s="2" t="s">
        <v>2452</v>
      </c>
      <c r="O1823" s="2" t="s">
        <v>100</v>
      </c>
      <c r="P1823" s="2" t="str">
        <f>"2170585317                    "</f>
        <v xml:space="preserve">2170585317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3.13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1</v>
      </c>
      <c r="BJ1823" s="2">
        <v>0.2</v>
      </c>
      <c r="BK1823" s="2">
        <v>1</v>
      </c>
      <c r="BL1823" s="2">
        <v>32.380000000000003</v>
      </c>
      <c r="BM1823" s="2">
        <v>4.53</v>
      </c>
      <c r="BN1823" s="2">
        <v>36.909999999999997</v>
      </c>
      <c r="BO1823" s="2">
        <v>36.909999999999997</v>
      </c>
      <c r="BP1823" s="2"/>
      <c r="BQ1823" s="2" t="s">
        <v>209</v>
      </c>
      <c r="BR1823" s="2" t="s">
        <v>84</v>
      </c>
      <c r="BS1823" s="3">
        <v>42964</v>
      </c>
      <c r="BT1823" s="4">
        <v>0.31736111111111115</v>
      </c>
      <c r="BU1823" s="2" t="s">
        <v>2453</v>
      </c>
      <c r="BV1823" s="2" t="s">
        <v>95</v>
      </c>
      <c r="BW1823" s="2"/>
      <c r="BX1823" s="2"/>
      <c r="BY1823" s="2">
        <v>1200</v>
      </c>
      <c r="BZ1823" s="2"/>
      <c r="CA1823" s="2" t="s">
        <v>729</v>
      </c>
      <c r="CB1823" s="2"/>
      <c r="CC1823" s="2" t="s">
        <v>145</v>
      </c>
      <c r="CD1823" s="2">
        <v>2022</v>
      </c>
      <c r="CE1823" s="2" t="s">
        <v>104</v>
      </c>
      <c r="CF1823" s="5">
        <v>42965</v>
      </c>
      <c r="CG1823" s="2"/>
      <c r="CH1823" s="2"/>
      <c r="CI1823" s="2">
        <v>1</v>
      </c>
      <c r="CJ1823" s="2">
        <v>1</v>
      </c>
      <c r="CK1823" s="2">
        <v>22</v>
      </c>
      <c r="CL1823" s="2" t="s">
        <v>86</v>
      </c>
      <c r="CM1823" s="2"/>
    </row>
    <row r="1824" spans="1:91">
      <c r="A1824" s="2" t="s">
        <v>71</v>
      </c>
      <c r="B1824" s="2" t="s">
        <v>72</v>
      </c>
      <c r="C1824" s="2" t="s">
        <v>73</v>
      </c>
      <c r="D1824" s="2"/>
      <c r="E1824" s="2" t="str">
        <f>"FES1162569441"</f>
        <v>FES1162569441</v>
      </c>
      <c r="F1824" s="3">
        <v>42963</v>
      </c>
      <c r="G1824" s="2">
        <v>201802</v>
      </c>
      <c r="H1824" s="2" t="s">
        <v>74</v>
      </c>
      <c r="I1824" s="2" t="s">
        <v>75</v>
      </c>
      <c r="J1824" s="2" t="s">
        <v>76</v>
      </c>
      <c r="K1824" s="2" t="s">
        <v>77</v>
      </c>
      <c r="L1824" s="2" t="s">
        <v>144</v>
      </c>
      <c r="M1824" s="2" t="s">
        <v>145</v>
      </c>
      <c r="N1824" s="2" t="s">
        <v>1578</v>
      </c>
      <c r="O1824" s="2" t="s">
        <v>100</v>
      </c>
      <c r="P1824" s="2" t="str">
        <f>"2170585293                    "</f>
        <v xml:space="preserve">2170585293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3.13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1</v>
      </c>
      <c r="BJ1824" s="2">
        <v>0.2</v>
      </c>
      <c r="BK1824" s="2">
        <v>1</v>
      </c>
      <c r="BL1824" s="2">
        <v>32.380000000000003</v>
      </c>
      <c r="BM1824" s="2">
        <v>4.53</v>
      </c>
      <c r="BN1824" s="2">
        <v>36.909999999999997</v>
      </c>
      <c r="BO1824" s="2">
        <v>36.909999999999997</v>
      </c>
      <c r="BP1824" s="2"/>
      <c r="BQ1824" s="2" t="s">
        <v>108</v>
      </c>
      <c r="BR1824" s="2" t="s">
        <v>84</v>
      </c>
      <c r="BS1824" s="3">
        <v>42964</v>
      </c>
      <c r="BT1824" s="4">
        <v>0.42430555555555555</v>
      </c>
      <c r="BU1824" s="2" t="s">
        <v>1754</v>
      </c>
      <c r="BV1824" s="2" t="s">
        <v>95</v>
      </c>
      <c r="BW1824" s="2"/>
      <c r="BX1824" s="2"/>
      <c r="BY1824" s="2">
        <v>1200</v>
      </c>
      <c r="BZ1824" s="2"/>
      <c r="CA1824" s="2"/>
      <c r="CB1824" s="2"/>
      <c r="CC1824" s="2" t="s">
        <v>145</v>
      </c>
      <c r="CD1824" s="2">
        <v>2197</v>
      </c>
      <c r="CE1824" s="2" t="s">
        <v>104</v>
      </c>
      <c r="CF1824" s="5">
        <v>42965</v>
      </c>
      <c r="CG1824" s="2"/>
      <c r="CH1824" s="2"/>
      <c r="CI1824" s="2">
        <v>1</v>
      </c>
      <c r="CJ1824" s="2">
        <v>1</v>
      </c>
      <c r="CK1824" s="2">
        <v>22</v>
      </c>
      <c r="CL1824" s="2" t="s">
        <v>86</v>
      </c>
      <c r="CM1824" s="2"/>
    </row>
    <row r="1825" spans="1:91">
      <c r="A1825" s="2" t="s">
        <v>71</v>
      </c>
      <c r="B1825" s="2" t="s">
        <v>72</v>
      </c>
      <c r="C1825" s="2" t="s">
        <v>73</v>
      </c>
      <c r="D1825" s="2"/>
      <c r="E1825" s="2" t="str">
        <f>"FES1162569454"</f>
        <v>FES1162569454</v>
      </c>
      <c r="F1825" s="3">
        <v>42963</v>
      </c>
      <c r="G1825" s="2">
        <v>201802</v>
      </c>
      <c r="H1825" s="2" t="s">
        <v>74</v>
      </c>
      <c r="I1825" s="2" t="s">
        <v>75</v>
      </c>
      <c r="J1825" s="2" t="s">
        <v>76</v>
      </c>
      <c r="K1825" s="2" t="s">
        <v>77</v>
      </c>
      <c r="L1825" s="2" t="s">
        <v>311</v>
      </c>
      <c r="M1825" s="2" t="s">
        <v>312</v>
      </c>
      <c r="N1825" s="2" t="s">
        <v>2450</v>
      </c>
      <c r="O1825" s="2" t="s">
        <v>100</v>
      </c>
      <c r="P1825" s="2" t="str">
        <f>"2170584788                    "</f>
        <v xml:space="preserve">2170584788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3.13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6.3</v>
      </c>
      <c r="BJ1825" s="2">
        <v>3.2</v>
      </c>
      <c r="BK1825" s="2">
        <v>7</v>
      </c>
      <c r="BL1825" s="2">
        <v>32.380000000000003</v>
      </c>
      <c r="BM1825" s="2">
        <v>4.53</v>
      </c>
      <c r="BN1825" s="2">
        <v>36.909999999999997</v>
      </c>
      <c r="BO1825" s="2">
        <v>36.909999999999997</v>
      </c>
      <c r="BP1825" s="2"/>
      <c r="BQ1825" s="2" t="s">
        <v>108</v>
      </c>
      <c r="BR1825" s="2" t="s">
        <v>84</v>
      </c>
      <c r="BS1825" s="3">
        <v>42964</v>
      </c>
      <c r="BT1825" s="4">
        <v>0.41388888888888892</v>
      </c>
      <c r="BU1825" s="2" t="s">
        <v>2451</v>
      </c>
      <c r="BV1825" s="2" t="s">
        <v>95</v>
      </c>
      <c r="BW1825" s="2"/>
      <c r="BX1825" s="2"/>
      <c r="BY1825" s="2">
        <v>16072.98</v>
      </c>
      <c r="BZ1825" s="2"/>
      <c r="CA1825" s="2"/>
      <c r="CB1825" s="2"/>
      <c r="CC1825" s="2" t="s">
        <v>312</v>
      </c>
      <c r="CD1825" s="2">
        <v>1559</v>
      </c>
      <c r="CE1825" s="2" t="s">
        <v>89</v>
      </c>
      <c r="CF1825" s="5">
        <v>42965</v>
      </c>
      <c r="CG1825" s="2"/>
      <c r="CH1825" s="2"/>
      <c r="CI1825" s="2">
        <v>1</v>
      </c>
      <c r="CJ1825" s="2">
        <v>1</v>
      </c>
      <c r="CK1825" s="2">
        <v>22</v>
      </c>
      <c r="CL1825" s="2" t="s">
        <v>86</v>
      </c>
      <c r="CM1825" s="2"/>
    </row>
    <row r="1826" spans="1:91">
      <c r="A1826" s="2" t="s">
        <v>71</v>
      </c>
      <c r="B1826" s="2" t="s">
        <v>72</v>
      </c>
      <c r="C1826" s="2" t="s">
        <v>73</v>
      </c>
      <c r="D1826" s="2"/>
      <c r="E1826" s="2" t="str">
        <f>"FES1162569444"</f>
        <v>FES1162569444</v>
      </c>
      <c r="F1826" s="3">
        <v>42963</v>
      </c>
      <c r="G1826" s="2">
        <v>201802</v>
      </c>
      <c r="H1826" s="2" t="s">
        <v>74</v>
      </c>
      <c r="I1826" s="2" t="s">
        <v>75</v>
      </c>
      <c r="J1826" s="2" t="s">
        <v>76</v>
      </c>
      <c r="K1826" s="2" t="s">
        <v>77</v>
      </c>
      <c r="L1826" s="2" t="s">
        <v>216</v>
      </c>
      <c r="M1826" s="2" t="s">
        <v>217</v>
      </c>
      <c r="N1826" s="2" t="s">
        <v>2454</v>
      </c>
      <c r="O1826" s="2" t="s">
        <v>100</v>
      </c>
      <c r="P1826" s="2" t="str">
        <f>"2170585107                    "</f>
        <v xml:space="preserve">2170585107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3.13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5.7</v>
      </c>
      <c r="BJ1826" s="2">
        <v>1.7</v>
      </c>
      <c r="BK1826" s="2">
        <v>6</v>
      </c>
      <c r="BL1826" s="2">
        <v>32.380000000000003</v>
      </c>
      <c r="BM1826" s="2">
        <v>4.53</v>
      </c>
      <c r="BN1826" s="2">
        <v>36.909999999999997</v>
      </c>
      <c r="BO1826" s="2">
        <v>36.909999999999997</v>
      </c>
      <c r="BP1826" s="2"/>
      <c r="BQ1826" s="2" t="s">
        <v>83</v>
      </c>
      <c r="BR1826" s="2" t="s">
        <v>84</v>
      </c>
      <c r="BS1826" s="3">
        <v>42964</v>
      </c>
      <c r="BT1826" s="4">
        <v>0.42222222222222222</v>
      </c>
      <c r="BU1826" s="2" t="s">
        <v>2455</v>
      </c>
      <c r="BV1826" s="2" t="s">
        <v>95</v>
      </c>
      <c r="BW1826" s="2"/>
      <c r="BX1826" s="2"/>
      <c r="BY1826" s="2">
        <v>8542.1299999999992</v>
      </c>
      <c r="BZ1826" s="2"/>
      <c r="CA1826" s="2" t="s">
        <v>1217</v>
      </c>
      <c r="CB1826" s="2"/>
      <c r="CC1826" s="2" t="s">
        <v>217</v>
      </c>
      <c r="CD1826" s="2">
        <v>1540</v>
      </c>
      <c r="CE1826" s="2" t="s">
        <v>89</v>
      </c>
      <c r="CF1826" s="5">
        <v>42965</v>
      </c>
      <c r="CG1826" s="2"/>
      <c r="CH1826" s="2"/>
      <c r="CI1826" s="2">
        <v>1</v>
      </c>
      <c r="CJ1826" s="2">
        <v>1</v>
      </c>
      <c r="CK1826" s="2">
        <v>22</v>
      </c>
      <c r="CL1826" s="2" t="s">
        <v>86</v>
      </c>
      <c r="CM1826" s="2"/>
    </row>
    <row r="1827" spans="1:91">
      <c r="A1827" s="2" t="s">
        <v>71</v>
      </c>
      <c r="B1827" s="2" t="s">
        <v>72</v>
      </c>
      <c r="C1827" s="2" t="s">
        <v>73</v>
      </c>
      <c r="D1827" s="2"/>
      <c r="E1827" s="2" t="str">
        <f>"FES1162569489"</f>
        <v>FES1162569489</v>
      </c>
      <c r="F1827" s="3">
        <v>42963</v>
      </c>
      <c r="G1827" s="2">
        <v>201802</v>
      </c>
      <c r="H1827" s="2" t="s">
        <v>74</v>
      </c>
      <c r="I1827" s="2" t="s">
        <v>75</v>
      </c>
      <c r="J1827" s="2" t="s">
        <v>76</v>
      </c>
      <c r="K1827" s="2" t="s">
        <v>77</v>
      </c>
      <c r="L1827" s="2" t="s">
        <v>144</v>
      </c>
      <c r="M1827" s="2" t="s">
        <v>145</v>
      </c>
      <c r="N1827" s="2" t="s">
        <v>146</v>
      </c>
      <c r="O1827" s="2" t="s">
        <v>100</v>
      </c>
      <c r="P1827" s="2" t="str">
        <f>"2170585343                    "</f>
        <v xml:space="preserve">2170585343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3.13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1</v>
      </c>
      <c r="BJ1827" s="2">
        <v>0.2</v>
      </c>
      <c r="BK1827" s="2">
        <v>1</v>
      </c>
      <c r="BL1827" s="2">
        <v>32.380000000000003</v>
      </c>
      <c r="BM1827" s="2">
        <v>4.53</v>
      </c>
      <c r="BN1827" s="2">
        <v>36.909999999999997</v>
      </c>
      <c r="BO1827" s="2">
        <v>36.909999999999997</v>
      </c>
      <c r="BP1827" s="2"/>
      <c r="BQ1827" s="2" t="s">
        <v>83</v>
      </c>
      <c r="BR1827" s="2" t="s">
        <v>84</v>
      </c>
      <c r="BS1827" s="3">
        <v>42964</v>
      </c>
      <c r="BT1827" s="4">
        <v>0.3833333333333333</v>
      </c>
      <c r="BU1827" s="2" t="s">
        <v>728</v>
      </c>
      <c r="BV1827" s="2" t="s">
        <v>95</v>
      </c>
      <c r="BW1827" s="2"/>
      <c r="BX1827" s="2"/>
      <c r="BY1827" s="2">
        <v>1200</v>
      </c>
      <c r="BZ1827" s="2"/>
      <c r="CA1827" s="2" t="s">
        <v>729</v>
      </c>
      <c r="CB1827" s="2"/>
      <c r="CC1827" s="2" t="s">
        <v>145</v>
      </c>
      <c r="CD1827" s="2">
        <v>2094</v>
      </c>
      <c r="CE1827" s="2" t="s">
        <v>104</v>
      </c>
      <c r="CF1827" s="5">
        <v>42965</v>
      </c>
      <c r="CG1827" s="2"/>
      <c r="CH1827" s="2"/>
      <c r="CI1827" s="2">
        <v>1</v>
      </c>
      <c r="CJ1827" s="2">
        <v>1</v>
      </c>
      <c r="CK1827" s="2">
        <v>22</v>
      </c>
      <c r="CL1827" s="2" t="s">
        <v>86</v>
      </c>
      <c r="CM1827" s="2"/>
    </row>
    <row r="1828" spans="1:91">
      <c r="A1828" s="2" t="s">
        <v>71</v>
      </c>
      <c r="B1828" s="2" t="s">
        <v>72</v>
      </c>
      <c r="C1828" s="2" t="s">
        <v>73</v>
      </c>
      <c r="D1828" s="2"/>
      <c r="E1828" s="2" t="str">
        <f>"FES1162569449"</f>
        <v>FES1162569449</v>
      </c>
      <c r="F1828" s="3">
        <v>42963</v>
      </c>
      <c r="G1828" s="2">
        <v>201802</v>
      </c>
      <c r="H1828" s="2" t="s">
        <v>74</v>
      </c>
      <c r="I1828" s="2" t="s">
        <v>75</v>
      </c>
      <c r="J1828" s="2" t="s">
        <v>76</v>
      </c>
      <c r="K1828" s="2" t="s">
        <v>77</v>
      </c>
      <c r="L1828" s="2" t="s">
        <v>237</v>
      </c>
      <c r="M1828" s="2" t="s">
        <v>238</v>
      </c>
      <c r="N1828" s="2" t="s">
        <v>2089</v>
      </c>
      <c r="O1828" s="2" t="s">
        <v>100</v>
      </c>
      <c r="P1828" s="2" t="str">
        <f>"2170585301                    "</f>
        <v xml:space="preserve">2170585301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4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1</v>
      </c>
      <c r="BI1828" s="2">
        <v>1</v>
      </c>
      <c r="BJ1828" s="2">
        <v>0.2</v>
      </c>
      <c r="BK1828" s="2">
        <v>1</v>
      </c>
      <c r="BL1828" s="2">
        <v>41.44</v>
      </c>
      <c r="BM1828" s="2">
        <v>5.8</v>
      </c>
      <c r="BN1828" s="2">
        <v>47.24</v>
      </c>
      <c r="BO1828" s="2">
        <v>47.24</v>
      </c>
      <c r="BP1828" s="2"/>
      <c r="BQ1828" s="2" t="s">
        <v>83</v>
      </c>
      <c r="BR1828" s="2" t="s">
        <v>84</v>
      </c>
      <c r="BS1828" s="3">
        <v>42964</v>
      </c>
      <c r="BT1828" s="4">
        <v>0.4375</v>
      </c>
      <c r="BU1828" s="2" t="s">
        <v>1407</v>
      </c>
      <c r="BV1828" s="2" t="s">
        <v>95</v>
      </c>
      <c r="BW1828" s="2"/>
      <c r="BX1828" s="2"/>
      <c r="BY1828" s="2">
        <v>1200</v>
      </c>
      <c r="BZ1828" s="2"/>
      <c r="CA1828" s="2" t="s">
        <v>672</v>
      </c>
      <c r="CB1828" s="2"/>
      <c r="CC1828" s="2" t="s">
        <v>238</v>
      </c>
      <c r="CD1828" s="2">
        <v>3610</v>
      </c>
      <c r="CE1828" s="2" t="s">
        <v>104</v>
      </c>
      <c r="CF1828" s="5">
        <v>42965</v>
      </c>
      <c r="CG1828" s="2"/>
      <c r="CH1828" s="2"/>
      <c r="CI1828" s="2">
        <v>1</v>
      </c>
      <c r="CJ1828" s="2">
        <v>1</v>
      </c>
      <c r="CK1828" s="2">
        <v>21</v>
      </c>
      <c r="CL1828" s="2" t="s">
        <v>86</v>
      </c>
      <c r="CM1828" s="2"/>
    </row>
    <row r="1829" spans="1:91">
      <c r="A1829" s="2" t="s">
        <v>71</v>
      </c>
      <c r="B1829" s="2" t="s">
        <v>72</v>
      </c>
      <c r="C1829" s="2" t="s">
        <v>73</v>
      </c>
      <c r="D1829" s="2"/>
      <c r="E1829" s="2" t="str">
        <f>"FES1162569410"</f>
        <v>FES1162569410</v>
      </c>
      <c r="F1829" s="3">
        <v>42963</v>
      </c>
      <c r="G1829" s="2">
        <v>201802</v>
      </c>
      <c r="H1829" s="2" t="s">
        <v>74</v>
      </c>
      <c r="I1829" s="2" t="s">
        <v>75</v>
      </c>
      <c r="J1829" s="2" t="s">
        <v>76</v>
      </c>
      <c r="K1829" s="2" t="s">
        <v>77</v>
      </c>
      <c r="L1829" s="2" t="s">
        <v>170</v>
      </c>
      <c r="M1829" s="2" t="s">
        <v>171</v>
      </c>
      <c r="N1829" s="2" t="s">
        <v>2456</v>
      </c>
      <c r="O1829" s="2" t="s">
        <v>100</v>
      </c>
      <c r="P1829" s="2" t="str">
        <f>"2170585262                    "</f>
        <v xml:space="preserve">2170585262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3.13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1</v>
      </c>
      <c r="BI1829" s="2">
        <v>2.8</v>
      </c>
      <c r="BJ1829" s="2">
        <v>1</v>
      </c>
      <c r="BK1829" s="2">
        <v>3</v>
      </c>
      <c r="BL1829" s="2">
        <v>32.380000000000003</v>
      </c>
      <c r="BM1829" s="2">
        <v>4.53</v>
      </c>
      <c r="BN1829" s="2">
        <v>36.909999999999997</v>
      </c>
      <c r="BO1829" s="2">
        <v>36.909999999999997</v>
      </c>
      <c r="BP1829" s="2"/>
      <c r="BQ1829" s="2" t="s">
        <v>83</v>
      </c>
      <c r="BR1829" s="2" t="s">
        <v>84</v>
      </c>
      <c r="BS1829" s="3">
        <v>42964</v>
      </c>
      <c r="BT1829" s="4">
        <v>0.4375</v>
      </c>
      <c r="BU1829" s="2" t="s">
        <v>1360</v>
      </c>
      <c r="BV1829" s="2" t="s">
        <v>95</v>
      </c>
      <c r="BW1829" s="2"/>
      <c r="BX1829" s="2"/>
      <c r="BY1829" s="2">
        <v>5208.92</v>
      </c>
      <c r="BZ1829" s="2"/>
      <c r="CA1829" s="2"/>
      <c r="CB1829" s="2"/>
      <c r="CC1829" s="2" t="s">
        <v>171</v>
      </c>
      <c r="CD1829" s="2">
        <v>1422</v>
      </c>
      <c r="CE1829" s="2" t="s">
        <v>89</v>
      </c>
      <c r="CF1829" s="5">
        <v>42965</v>
      </c>
      <c r="CG1829" s="2"/>
      <c r="CH1829" s="2"/>
      <c r="CI1829" s="2">
        <v>1</v>
      </c>
      <c r="CJ1829" s="2">
        <v>1</v>
      </c>
      <c r="CK1829" s="2">
        <v>22</v>
      </c>
      <c r="CL1829" s="2" t="s">
        <v>86</v>
      </c>
      <c r="CM1829" s="2"/>
    </row>
    <row r="1830" spans="1:91">
      <c r="A1830" s="2" t="s">
        <v>71</v>
      </c>
      <c r="B1830" s="2" t="s">
        <v>72</v>
      </c>
      <c r="C1830" s="2" t="s">
        <v>73</v>
      </c>
      <c r="D1830" s="2"/>
      <c r="E1830" s="2" t="str">
        <f>"FES1162569455"</f>
        <v>FES1162569455</v>
      </c>
      <c r="F1830" s="3">
        <v>42963</v>
      </c>
      <c r="G1830" s="2">
        <v>201802</v>
      </c>
      <c r="H1830" s="2" t="s">
        <v>74</v>
      </c>
      <c r="I1830" s="2" t="s">
        <v>75</v>
      </c>
      <c r="J1830" s="2" t="s">
        <v>76</v>
      </c>
      <c r="K1830" s="2" t="s">
        <v>77</v>
      </c>
      <c r="L1830" s="2" t="s">
        <v>237</v>
      </c>
      <c r="M1830" s="2" t="s">
        <v>238</v>
      </c>
      <c r="N1830" s="2" t="s">
        <v>2457</v>
      </c>
      <c r="O1830" s="2" t="s">
        <v>100</v>
      </c>
      <c r="P1830" s="2" t="str">
        <f>"2170585316                    "</f>
        <v xml:space="preserve">2170585316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4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1</v>
      </c>
      <c r="BJ1830" s="2">
        <v>0.2</v>
      </c>
      <c r="BK1830" s="2">
        <v>1</v>
      </c>
      <c r="BL1830" s="2">
        <v>41.44</v>
      </c>
      <c r="BM1830" s="2">
        <v>5.8</v>
      </c>
      <c r="BN1830" s="2">
        <v>47.24</v>
      </c>
      <c r="BO1830" s="2">
        <v>47.24</v>
      </c>
      <c r="BP1830" s="2"/>
      <c r="BQ1830" s="2" t="s">
        <v>288</v>
      </c>
      <c r="BR1830" s="2" t="s">
        <v>84</v>
      </c>
      <c r="BS1830" s="3">
        <v>42964</v>
      </c>
      <c r="BT1830" s="4">
        <v>0.4375</v>
      </c>
      <c r="BU1830" s="2" t="s">
        <v>2458</v>
      </c>
      <c r="BV1830" s="2" t="s">
        <v>95</v>
      </c>
      <c r="BW1830" s="2"/>
      <c r="BX1830" s="2"/>
      <c r="BY1830" s="2">
        <v>1200</v>
      </c>
      <c r="BZ1830" s="2"/>
      <c r="CA1830" s="2" t="s">
        <v>401</v>
      </c>
      <c r="CB1830" s="2"/>
      <c r="CC1830" s="2" t="s">
        <v>238</v>
      </c>
      <c r="CD1830" s="2">
        <v>3610</v>
      </c>
      <c r="CE1830" s="2" t="s">
        <v>104</v>
      </c>
      <c r="CF1830" s="5">
        <v>42964</v>
      </c>
      <c r="CG1830" s="2"/>
      <c r="CH1830" s="2"/>
      <c r="CI1830" s="2">
        <v>1</v>
      </c>
      <c r="CJ1830" s="2">
        <v>1</v>
      </c>
      <c r="CK1830" s="2">
        <v>21</v>
      </c>
      <c r="CL1830" s="2" t="s">
        <v>86</v>
      </c>
      <c r="CM1830" s="2"/>
    </row>
    <row r="1831" spans="1:91">
      <c r="A1831" s="2" t="s">
        <v>71</v>
      </c>
      <c r="B1831" s="2" t="s">
        <v>72</v>
      </c>
      <c r="C1831" s="2" t="s">
        <v>73</v>
      </c>
      <c r="D1831" s="2"/>
      <c r="E1831" s="2" t="str">
        <f>"FES1162569448"</f>
        <v>FES1162569448</v>
      </c>
      <c r="F1831" s="3">
        <v>42963</v>
      </c>
      <c r="G1831" s="2">
        <v>201802</v>
      </c>
      <c r="H1831" s="2" t="s">
        <v>74</v>
      </c>
      <c r="I1831" s="2" t="s">
        <v>75</v>
      </c>
      <c r="J1831" s="2" t="s">
        <v>76</v>
      </c>
      <c r="K1831" s="2" t="s">
        <v>77</v>
      </c>
      <c r="L1831" s="2" t="s">
        <v>149</v>
      </c>
      <c r="M1831" s="2" t="s">
        <v>150</v>
      </c>
      <c r="N1831" s="2" t="s">
        <v>1751</v>
      </c>
      <c r="O1831" s="2" t="s">
        <v>100</v>
      </c>
      <c r="P1831" s="2" t="str">
        <f>"2170585300                    "</f>
        <v xml:space="preserve">2170585300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4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1</v>
      </c>
      <c r="BJ1831" s="2">
        <v>0.2</v>
      </c>
      <c r="BK1831" s="2">
        <v>1</v>
      </c>
      <c r="BL1831" s="2">
        <v>41.44</v>
      </c>
      <c r="BM1831" s="2">
        <v>5.8</v>
      </c>
      <c r="BN1831" s="2">
        <v>47.24</v>
      </c>
      <c r="BO1831" s="2">
        <v>47.24</v>
      </c>
      <c r="BP1831" s="2"/>
      <c r="BQ1831" s="2" t="s">
        <v>83</v>
      </c>
      <c r="BR1831" s="2" t="s">
        <v>84</v>
      </c>
      <c r="BS1831" s="3">
        <v>42964</v>
      </c>
      <c r="BT1831" s="4">
        <v>0.4291666666666667</v>
      </c>
      <c r="BU1831" s="2" t="s">
        <v>1752</v>
      </c>
      <c r="BV1831" s="2" t="s">
        <v>95</v>
      </c>
      <c r="BW1831" s="2"/>
      <c r="BX1831" s="2"/>
      <c r="BY1831" s="2">
        <v>1200</v>
      </c>
      <c r="BZ1831" s="2"/>
      <c r="CA1831" s="2" t="s">
        <v>682</v>
      </c>
      <c r="CB1831" s="2"/>
      <c r="CC1831" s="2" t="s">
        <v>150</v>
      </c>
      <c r="CD1831" s="2">
        <v>4001</v>
      </c>
      <c r="CE1831" s="2" t="s">
        <v>104</v>
      </c>
      <c r="CF1831" s="5">
        <v>42965</v>
      </c>
      <c r="CG1831" s="2"/>
      <c r="CH1831" s="2"/>
      <c r="CI1831" s="2">
        <v>1</v>
      </c>
      <c r="CJ1831" s="2">
        <v>1</v>
      </c>
      <c r="CK1831" s="2">
        <v>21</v>
      </c>
      <c r="CL1831" s="2" t="s">
        <v>86</v>
      </c>
      <c r="CM1831" s="2"/>
    </row>
    <row r="1832" spans="1:91">
      <c r="A1832" s="2" t="s">
        <v>71</v>
      </c>
      <c r="B1832" s="2" t="s">
        <v>72</v>
      </c>
      <c r="C1832" s="2" t="s">
        <v>73</v>
      </c>
      <c r="D1832" s="2"/>
      <c r="E1832" s="2" t="str">
        <f>"FES1162569508"</f>
        <v>FES1162569508</v>
      </c>
      <c r="F1832" s="3">
        <v>42963</v>
      </c>
      <c r="G1832" s="2">
        <v>201802</v>
      </c>
      <c r="H1832" s="2" t="s">
        <v>74</v>
      </c>
      <c r="I1832" s="2" t="s">
        <v>75</v>
      </c>
      <c r="J1832" s="2" t="s">
        <v>76</v>
      </c>
      <c r="K1832" s="2" t="s">
        <v>77</v>
      </c>
      <c r="L1832" s="2" t="s">
        <v>539</v>
      </c>
      <c r="M1832" s="2" t="s">
        <v>540</v>
      </c>
      <c r="N1832" s="2" t="s">
        <v>2459</v>
      </c>
      <c r="O1832" s="2" t="s">
        <v>100</v>
      </c>
      <c r="P1832" s="2" t="str">
        <f>"2170585350                    "</f>
        <v xml:space="preserve">2170585350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3.13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2.2000000000000002</v>
      </c>
      <c r="BJ1832" s="2">
        <v>1.8</v>
      </c>
      <c r="BK1832" s="2">
        <v>3</v>
      </c>
      <c r="BL1832" s="2">
        <v>32.380000000000003</v>
      </c>
      <c r="BM1832" s="2">
        <v>4.53</v>
      </c>
      <c r="BN1832" s="2">
        <v>36.909999999999997</v>
      </c>
      <c r="BO1832" s="2">
        <v>36.909999999999997</v>
      </c>
      <c r="BP1832" s="2"/>
      <c r="BQ1832" s="2" t="s">
        <v>83</v>
      </c>
      <c r="BR1832" s="2" t="s">
        <v>84</v>
      </c>
      <c r="BS1832" s="3">
        <v>42964</v>
      </c>
      <c r="BT1832" s="4">
        <v>0.43263888888888885</v>
      </c>
      <c r="BU1832" s="2" t="s">
        <v>2460</v>
      </c>
      <c r="BV1832" s="2" t="s">
        <v>95</v>
      </c>
      <c r="BW1832" s="2"/>
      <c r="BX1832" s="2"/>
      <c r="BY1832" s="2">
        <v>9128.06</v>
      </c>
      <c r="BZ1832" s="2"/>
      <c r="CA1832" s="2" t="s">
        <v>722</v>
      </c>
      <c r="CB1832" s="2"/>
      <c r="CC1832" s="2" t="s">
        <v>540</v>
      </c>
      <c r="CD1832" s="2">
        <v>2163</v>
      </c>
      <c r="CE1832" s="2" t="s">
        <v>89</v>
      </c>
      <c r="CF1832" s="5">
        <v>42965</v>
      </c>
      <c r="CG1832" s="2"/>
      <c r="CH1832" s="2"/>
      <c r="CI1832" s="2">
        <v>1</v>
      </c>
      <c r="CJ1832" s="2">
        <v>1</v>
      </c>
      <c r="CK1832" s="2">
        <v>22</v>
      </c>
      <c r="CL1832" s="2" t="s">
        <v>86</v>
      </c>
      <c r="CM1832" s="2"/>
    </row>
    <row r="1833" spans="1:91">
      <c r="A1833" s="2" t="s">
        <v>71</v>
      </c>
      <c r="B1833" s="2" t="s">
        <v>72</v>
      </c>
      <c r="C1833" s="2" t="s">
        <v>73</v>
      </c>
      <c r="D1833" s="2"/>
      <c r="E1833" s="2" t="str">
        <f>"FES1162569486"</f>
        <v>FES1162569486</v>
      </c>
      <c r="F1833" s="3">
        <v>42963</v>
      </c>
      <c r="G1833" s="2">
        <v>201802</v>
      </c>
      <c r="H1833" s="2" t="s">
        <v>74</v>
      </c>
      <c r="I1833" s="2" t="s">
        <v>75</v>
      </c>
      <c r="J1833" s="2" t="s">
        <v>76</v>
      </c>
      <c r="K1833" s="2" t="s">
        <v>77</v>
      </c>
      <c r="L1833" s="2" t="s">
        <v>362</v>
      </c>
      <c r="M1833" s="2" t="s">
        <v>363</v>
      </c>
      <c r="N1833" s="2" t="s">
        <v>1020</v>
      </c>
      <c r="O1833" s="2" t="s">
        <v>100</v>
      </c>
      <c r="P1833" s="2" t="str">
        <f>"2170585338                    "</f>
        <v xml:space="preserve">2170585338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4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1</v>
      </c>
      <c r="BJ1833" s="2">
        <v>0.2</v>
      </c>
      <c r="BK1833" s="2">
        <v>1</v>
      </c>
      <c r="BL1833" s="2">
        <v>41.44</v>
      </c>
      <c r="BM1833" s="2">
        <v>5.8</v>
      </c>
      <c r="BN1833" s="2">
        <v>47.24</v>
      </c>
      <c r="BO1833" s="2">
        <v>47.24</v>
      </c>
      <c r="BP1833" s="2"/>
      <c r="BQ1833" s="2" t="s">
        <v>209</v>
      </c>
      <c r="BR1833" s="2" t="s">
        <v>84</v>
      </c>
      <c r="BS1833" s="3">
        <v>42964</v>
      </c>
      <c r="BT1833" s="4">
        <v>0.4236111111111111</v>
      </c>
      <c r="BU1833" s="2" t="s">
        <v>2461</v>
      </c>
      <c r="BV1833" s="2" t="s">
        <v>95</v>
      </c>
      <c r="BW1833" s="2"/>
      <c r="BX1833" s="2"/>
      <c r="BY1833" s="2">
        <v>1200</v>
      </c>
      <c r="BZ1833" s="2"/>
      <c r="CA1833" s="2" t="s">
        <v>685</v>
      </c>
      <c r="CB1833" s="2"/>
      <c r="CC1833" s="2" t="s">
        <v>363</v>
      </c>
      <c r="CD1833" s="2">
        <v>3200</v>
      </c>
      <c r="CE1833" s="2" t="s">
        <v>104</v>
      </c>
      <c r="CF1833" s="5">
        <v>42965</v>
      </c>
      <c r="CG1833" s="2"/>
      <c r="CH1833" s="2"/>
      <c r="CI1833" s="2">
        <v>1</v>
      </c>
      <c r="CJ1833" s="2">
        <v>1</v>
      </c>
      <c r="CK1833" s="2">
        <v>21</v>
      </c>
      <c r="CL1833" s="2" t="s">
        <v>86</v>
      </c>
      <c r="CM1833" s="2"/>
    </row>
    <row r="1834" spans="1:91">
      <c r="A1834" s="2" t="s">
        <v>71</v>
      </c>
      <c r="B1834" s="2" t="s">
        <v>72</v>
      </c>
      <c r="C1834" s="2" t="s">
        <v>73</v>
      </c>
      <c r="D1834" s="2"/>
      <c r="E1834" s="2" t="str">
        <f>"FES1162569555"</f>
        <v>FES1162569555</v>
      </c>
      <c r="F1834" s="3">
        <v>42963</v>
      </c>
      <c r="G1834" s="2">
        <v>201802</v>
      </c>
      <c r="H1834" s="2" t="s">
        <v>74</v>
      </c>
      <c r="I1834" s="2" t="s">
        <v>75</v>
      </c>
      <c r="J1834" s="2" t="s">
        <v>76</v>
      </c>
      <c r="K1834" s="2" t="s">
        <v>77</v>
      </c>
      <c r="L1834" s="2" t="s">
        <v>97</v>
      </c>
      <c r="M1834" s="2" t="s">
        <v>98</v>
      </c>
      <c r="N1834" s="2" t="s">
        <v>248</v>
      </c>
      <c r="O1834" s="2" t="s">
        <v>100</v>
      </c>
      <c r="P1834" s="2" t="str">
        <f>"2170580388                    "</f>
        <v xml:space="preserve">2170580388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4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1</v>
      </c>
      <c r="BI1834" s="2">
        <v>1</v>
      </c>
      <c r="BJ1834" s="2">
        <v>0.2</v>
      </c>
      <c r="BK1834" s="2">
        <v>1</v>
      </c>
      <c r="BL1834" s="2">
        <v>41.44</v>
      </c>
      <c r="BM1834" s="2">
        <v>5.8</v>
      </c>
      <c r="BN1834" s="2">
        <v>47.24</v>
      </c>
      <c r="BO1834" s="2">
        <v>47.24</v>
      </c>
      <c r="BP1834" s="2"/>
      <c r="BQ1834" s="2" t="s">
        <v>83</v>
      </c>
      <c r="BR1834" s="2" t="s">
        <v>84</v>
      </c>
      <c r="BS1834" s="3">
        <v>42964</v>
      </c>
      <c r="BT1834" s="4">
        <v>0.34722222222222227</v>
      </c>
      <c r="BU1834" s="2" t="s">
        <v>1130</v>
      </c>
      <c r="BV1834" s="2" t="s">
        <v>95</v>
      </c>
      <c r="BW1834" s="2"/>
      <c r="BX1834" s="2"/>
      <c r="BY1834" s="2">
        <v>1200</v>
      </c>
      <c r="BZ1834" s="2"/>
      <c r="CA1834" s="2" t="s">
        <v>804</v>
      </c>
      <c r="CB1834" s="2"/>
      <c r="CC1834" s="2" t="s">
        <v>98</v>
      </c>
      <c r="CD1834" s="2">
        <v>6001</v>
      </c>
      <c r="CE1834" s="2" t="s">
        <v>104</v>
      </c>
      <c r="CF1834" s="5">
        <v>42965</v>
      </c>
      <c r="CG1834" s="2"/>
      <c r="CH1834" s="2"/>
      <c r="CI1834" s="2">
        <v>1</v>
      </c>
      <c r="CJ1834" s="2">
        <v>1</v>
      </c>
      <c r="CK1834" s="2">
        <v>21</v>
      </c>
      <c r="CL1834" s="2" t="s">
        <v>86</v>
      </c>
      <c r="CM1834" s="2"/>
    </row>
    <row r="1835" spans="1:91">
      <c r="A1835" s="2" t="s">
        <v>71</v>
      </c>
      <c r="B1835" s="2" t="s">
        <v>72</v>
      </c>
      <c r="C1835" s="2" t="s">
        <v>73</v>
      </c>
      <c r="D1835" s="2"/>
      <c r="E1835" s="2" t="str">
        <f>"FES1162569540"</f>
        <v>FES1162569540</v>
      </c>
      <c r="F1835" s="3">
        <v>42963</v>
      </c>
      <c r="G1835" s="2">
        <v>201802</v>
      </c>
      <c r="H1835" s="2" t="s">
        <v>74</v>
      </c>
      <c r="I1835" s="2" t="s">
        <v>75</v>
      </c>
      <c r="J1835" s="2" t="s">
        <v>76</v>
      </c>
      <c r="K1835" s="2" t="s">
        <v>77</v>
      </c>
      <c r="L1835" s="2" t="s">
        <v>939</v>
      </c>
      <c r="M1835" s="2" t="s">
        <v>940</v>
      </c>
      <c r="N1835" s="2" t="s">
        <v>993</v>
      </c>
      <c r="O1835" s="2" t="s">
        <v>100</v>
      </c>
      <c r="P1835" s="2" t="str">
        <f>"2170585383                    "</f>
        <v xml:space="preserve">2170585383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5.63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1</v>
      </c>
      <c r="BJ1835" s="2">
        <v>0.2</v>
      </c>
      <c r="BK1835" s="2">
        <v>1</v>
      </c>
      <c r="BL1835" s="2">
        <v>58.28</v>
      </c>
      <c r="BM1835" s="2">
        <v>8.16</v>
      </c>
      <c r="BN1835" s="2">
        <v>66.44</v>
      </c>
      <c r="BO1835" s="2">
        <v>66.44</v>
      </c>
      <c r="BP1835" s="2"/>
      <c r="BQ1835" s="2" t="s">
        <v>288</v>
      </c>
      <c r="BR1835" s="2" t="s">
        <v>84</v>
      </c>
      <c r="BS1835" s="3">
        <v>42964</v>
      </c>
      <c r="BT1835" s="4">
        <v>0.70833333333333337</v>
      </c>
      <c r="BU1835" s="2" t="s">
        <v>2462</v>
      </c>
      <c r="BV1835" s="2" t="s">
        <v>95</v>
      </c>
      <c r="BW1835" s="2"/>
      <c r="BX1835" s="2"/>
      <c r="BY1835" s="2">
        <v>1200</v>
      </c>
      <c r="BZ1835" s="2"/>
      <c r="CA1835" s="2" t="s">
        <v>943</v>
      </c>
      <c r="CB1835" s="2"/>
      <c r="CC1835" s="2" t="s">
        <v>940</v>
      </c>
      <c r="CD1835" s="2">
        <v>1020</v>
      </c>
      <c r="CE1835" s="2" t="s">
        <v>104</v>
      </c>
      <c r="CF1835" s="5">
        <v>42965</v>
      </c>
      <c r="CG1835" s="2"/>
      <c r="CH1835" s="2"/>
      <c r="CI1835" s="2">
        <v>2</v>
      </c>
      <c r="CJ1835" s="2">
        <v>1</v>
      </c>
      <c r="CK1835" s="2">
        <v>24</v>
      </c>
      <c r="CL1835" s="2" t="s">
        <v>86</v>
      </c>
      <c r="CM1835" s="2"/>
    </row>
    <row r="1836" spans="1:91">
      <c r="A1836" s="2" t="s">
        <v>71</v>
      </c>
      <c r="B1836" s="2" t="s">
        <v>72</v>
      </c>
      <c r="C1836" s="2" t="s">
        <v>73</v>
      </c>
      <c r="D1836" s="2"/>
      <c r="E1836" s="2" t="str">
        <f>"FES1162569498"</f>
        <v>FES1162569498</v>
      </c>
      <c r="F1836" s="3">
        <v>42963</v>
      </c>
      <c r="G1836" s="2">
        <v>201802</v>
      </c>
      <c r="H1836" s="2" t="s">
        <v>74</v>
      </c>
      <c r="I1836" s="2" t="s">
        <v>75</v>
      </c>
      <c r="J1836" s="2" t="s">
        <v>76</v>
      </c>
      <c r="K1836" s="2" t="s">
        <v>77</v>
      </c>
      <c r="L1836" s="2" t="s">
        <v>237</v>
      </c>
      <c r="M1836" s="2" t="s">
        <v>238</v>
      </c>
      <c r="N1836" s="2" t="s">
        <v>571</v>
      </c>
      <c r="O1836" s="2" t="s">
        <v>100</v>
      </c>
      <c r="P1836" s="2" t="str">
        <f>"2170582432                    "</f>
        <v xml:space="preserve">2170582432 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4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1</v>
      </c>
      <c r="BJ1836" s="2">
        <v>0.2</v>
      </c>
      <c r="BK1836" s="2">
        <v>1</v>
      </c>
      <c r="BL1836" s="2">
        <v>41.44</v>
      </c>
      <c r="BM1836" s="2">
        <v>5.8</v>
      </c>
      <c r="BN1836" s="2">
        <v>47.24</v>
      </c>
      <c r="BO1836" s="2">
        <v>47.24</v>
      </c>
      <c r="BP1836" s="2"/>
      <c r="BQ1836" s="2" t="s">
        <v>83</v>
      </c>
      <c r="BR1836" s="2" t="s">
        <v>84</v>
      </c>
      <c r="BS1836" s="3">
        <v>42964</v>
      </c>
      <c r="BT1836" s="4">
        <v>0.36041666666666666</v>
      </c>
      <c r="BU1836" s="2" t="s">
        <v>573</v>
      </c>
      <c r="BV1836" s="2" t="s">
        <v>95</v>
      </c>
      <c r="BW1836" s="2"/>
      <c r="BX1836" s="2"/>
      <c r="BY1836" s="2">
        <v>1200</v>
      </c>
      <c r="BZ1836" s="2"/>
      <c r="CA1836" s="2" t="s">
        <v>401</v>
      </c>
      <c r="CB1836" s="2"/>
      <c r="CC1836" s="2" t="s">
        <v>238</v>
      </c>
      <c r="CD1836" s="2">
        <v>3610</v>
      </c>
      <c r="CE1836" s="2" t="s">
        <v>104</v>
      </c>
      <c r="CF1836" s="5">
        <v>42970</v>
      </c>
      <c r="CG1836" s="2"/>
      <c r="CH1836" s="2"/>
      <c r="CI1836" s="2">
        <v>1</v>
      </c>
      <c r="CJ1836" s="2">
        <v>1</v>
      </c>
      <c r="CK1836" s="2">
        <v>21</v>
      </c>
      <c r="CL1836" s="2" t="s">
        <v>86</v>
      </c>
      <c r="CM1836" s="2"/>
    </row>
    <row r="1837" spans="1:91">
      <c r="A1837" s="2" t="s">
        <v>71</v>
      </c>
      <c r="B1837" s="2" t="s">
        <v>72</v>
      </c>
      <c r="C1837" s="2" t="s">
        <v>73</v>
      </c>
      <c r="D1837" s="2"/>
      <c r="E1837" s="2" t="str">
        <f>"FES1162569465"</f>
        <v>FES1162569465</v>
      </c>
      <c r="F1837" s="3">
        <v>42963</v>
      </c>
      <c r="G1837" s="2">
        <v>201802</v>
      </c>
      <c r="H1837" s="2" t="s">
        <v>74</v>
      </c>
      <c r="I1837" s="2" t="s">
        <v>75</v>
      </c>
      <c r="J1837" s="2" t="s">
        <v>76</v>
      </c>
      <c r="K1837" s="2" t="s">
        <v>77</v>
      </c>
      <c r="L1837" s="2" t="s">
        <v>237</v>
      </c>
      <c r="M1837" s="2" t="s">
        <v>238</v>
      </c>
      <c r="N1837" s="2" t="s">
        <v>388</v>
      </c>
      <c r="O1837" s="2" t="s">
        <v>100</v>
      </c>
      <c r="P1837" s="2" t="str">
        <f>"2170585322                    "</f>
        <v xml:space="preserve">2170585322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4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1</v>
      </c>
      <c r="BJ1837" s="2">
        <v>0.2</v>
      </c>
      <c r="BK1837" s="2">
        <v>1</v>
      </c>
      <c r="BL1837" s="2">
        <v>41.44</v>
      </c>
      <c r="BM1837" s="2">
        <v>5.8</v>
      </c>
      <c r="BN1837" s="2">
        <v>47.24</v>
      </c>
      <c r="BO1837" s="2">
        <v>47.24</v>
      </c>
      <c r="BP1837" s="2"/>
      <c r="BQ1837" s="2" t="s">
        <v>288</v>
      </c>
      <c r="BR1837" s="2" t="s">
        <v>84</v>
      </c>
      <c r="BS1837" s="3">
        <v>42964</v>
      </c>
      <c r="BT1837" s="4">
        <v>0.41250000000000003</v>
      </c>
      <c r="BU1837" s="2" t="s">
        <v>109</v>
      </c>
      <c r="BV1837" s="2" t="s">
        <v>95</v>
      </c>
      <c r="BW1837" s="2"/>
      <c r="BX1837" s="2"/>
      <c r="BY1837" s="2">
        <v>1200</v>
      </c>
      <c r="BZ1837" s="2"/>
      <c r="CA1837" s="2" t="s">
        <v>389</v>
      </c>
      <c r="CB1837" s="2"/>
      <c r="CC1837" s="2" t="s">
        <v>238</v>
      </c>
      <c r="CD1837" s="2">
        <v>3610</v>
      </c>
      <c r="CE1837" s="2" t="s">
        <v>104</v>
      </c>
      <c r="CF1837" s="5">
        <v>42965</v>
      </c>
      <c r="CG1837" s="2"/>
      <c r="CH1837" s="2"/>
      <c r="CI1837" s="2">
        <v>1</v>
      </c>
      <c r="CJ1837" s="2">
        <v>1</v>
      </c>
      <c r="CK1837" s="2">
        <v>21</v>
      </c>
      <c r="CL1837" s="2" t="s">
        <v>86</v>
      </c>
      <c r="CM1837" s="2"/>
    </row>
    <row r="1838" spans="1:91">
      <c r="A1838" s="2" t="s">
        <v>71</v>
      </c>
      <c r="B1838" s="2" t="s">
        <v>72</v>
      </c>
      <c r="C1838" s="2" t="s">
        <v>73</v>
      </c>
      <c r="D1838" s="2"/>
      <c r="E1838" s="2" t="str">
        <f>"FES1162569532"</f>
        <v>FES1162569532</v>
      </c>
      <c r="F1838" s="3">
        <v>42963</v>
      </c>
      <c r="G1838" s="2">
        <v>201802</v>
      </c>
      <c r="H1838" s="2" t="s">
        <v>74</v>
      </c>
      <c r="I1838" s="2" t="s">
        <v>75</v>
      </c>
      <c r="J1838" s="2" t="s">
        <v>76</v>
      </c>
      <c r="K1838" s="2" t="s">
        <v>77</v>
      </c>
      <c r="L1838" s="2" t="s">
        <v>339</v>
      </c>
      <c r="M1838" s="2" t="s">
        <v>340</v>
      </c>
      <c r="N1838" s="2" t="s">
        <v>2463</v>
      </c>
      <c r="O1838" s="2" t="s">
        <v>100</v>
      </c>
      <c r="P1838" s="2" t="str">
        <f>"2170585369                    "</f>
        <v xml:space="preserve">2170585369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4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1</v>
      </c>
      <c r="BJ1838" s="2">
        <v>0.2</v>
      </c>
      <c r="BK1838" s="2">
        <v>1</v>
      </c>
      <c r="BL1838" s="2">
        <v>41.44</v>
      </c>
      <c r="BM1838" s="2">
        <v>5.8</v>
      </c>
      <c r="BN1838" s="2">
        <v>47.24</v>
      </c>
      <c r="BO1838" s="2">
        <v>47.24</v>
      </c>
      <c r="BP1838" s="2"/>
      <c r="BQ1838" s="2" t="s">
        <v>83</v>
      </c>
      <c r="BR1838" s="2" t="s">
        <v>84</v>
      </c>
      <c r="BS1838" s="3">
        <v>42964</v>
      </c>
      <c r="BT1838" s="4">
        <v>0.39166666666666666</v>
      </c>
      <c r="BU1838" s="2" t="s">
        <v>2464</v>
      </c>
      <c r="BV1838" s="2" t="s">
        <v>95</v>
      </c>
      <c r="BW1838" s="2"/>
      <c r="BX1838" s="2"/>
      <c r="BY1838" s="2">
        <v>1200</v>
      </c>
      <c r="BZ1838" s="2"/>
      <c r="CA1838" s="2" t="s">
        <v>2236</v>
      </c>
      <c r="CB1838" s="2"/>
      <c r="CC1838" s="2" t="s">
        <v>340</v>
      </c>
      <c r="CD1838" s="2">
        <v>1947</v>
      </c>
      <c r="CE1838" s="2" t="s">
        <v>104</v>
      </c>
      <c r="CF1838" s="5">
        <v>42965</v>
      </c>
      <c r="CG1838" s="2"/>
      <c r="CH1838" s="2"/>
      <c r="CI1838" s="2">
        <v>1</v>
      </c>
      <c r="CJ1838" s="2">
        <v>1</v>
      </c>
      <c r="CK1838" s="2">
        <v>21</v>
      </c>
      <c r="CL1838" s="2" t="s">
        <v>86</v>
      </c>
      <c r="CM1838" s="2"/>
    </row>
    <row r="1839" spans="1:91">
      <c r="A1839" s="2" t="s">
        <v>71</v>
      </c>
      <c r="B1839" s="2" t="s">
        <v>72</v>
      </c>
      <c r="C1839" s="2" t="s">
        <v>73</v>
      </c>
      <c r="D1839" s="2"/>
      <c r="E1839" s="2" t="str">
        <f>"FES11625685367"</f>
        <v>FES11625685367</v>
      </c>
      <c r="F1839" s="3">
        <v>42963</v>
      </c>
      <c r="G1839" s="2">
        <v>201802</v>
      </c>
      <c r="H1839" s="2" t="s">
        <v>74</v>
      </c>
      <c r="I1839" s="2" t="s">
        <v>75</v>
      </c>
      <c r="J1839" s="2" t="s">
        <v>76</v>
      </c>
      <c r="K1839" s="2" t="s">
        <v>77</v>
      </c>
      <c r="L1839" s="2" t="s">
        <v>362</v>
      </c>
      <c r="M1839" s="2" t="s">
        <v>363</v>
      </c>
      <c r="N1839" s="2" t="s">
        <v>751</v>
      </c>
      <c r="O1839" s="2" t="s">
        <v>100</v>
      </c>
      <c r="P1839" s="2" t="str">
        <f>"2170585367                    "</f>
        <v xml:space="preserve">2170585367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4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2</v>
      </c>
      <c r="BJ1839" s="2">
        <v>0.2</v>
      </c>
      <c r="BK1839" s="2">
        <v>2</v>
      </c>
      <c r="BL1839" s="2">
        <v>41.44</v>
      </c>
      <c r="BM1839" s="2">
        <v>5.8</v>
      </c>
      <c r="BN1839" s="2">
        <v>47.24</v>
      </c>
      <c r="BO1839" s="2">
        <v>47.24</v>
      </c>
      <c r="BP1839" s="2"/>
      <c r="BQ1839" s="2" t="s">
        <v>83</v>
      </c>
      <c r="BR1839" s="2" t="s">
        <v>84</v>
      </c>
      <c r="BS1839" s="3">
        <v>42964</v>
      </c>
      <c r="BT1839" s="4">
        <v>0.42222222222222222</v>
      </c>
      <c r="BU1839" s="2" t="s">
        <v>2465</v>
      </c>
      <c r="BV1839" s="2" t="s">
        <v>95</v>
      </c>
      <c r="BW1839" s="2"/>
      <c r="BX1839" s="2"/>
      <c r="BY1839" s="2">
        <v>1200</v>
      </c>
      <c r="BZ1839" s="2"/>
      <c r="CA1839" s="2" t="s">
        <v>685</v>
      </c>
      <c r="CB1839" s="2"/>
      <c r="CC1839" s="2" t="s">
        <v>363</v>
      </c>
      <c r="CD1839" s="2">
        <v>3201</v>
      </c>
      <c r="CE1839" s="2" t="s">
        <v>104</v>
      </c>
      <c r="CF1839" s="2"/>
      <c r="CG1839" s="2"/>
      <c r="CH1839" s="2"/>
      <c r="CI1839" s="2">
        <v>1</v>
      </c>
      <c r="CJ1839" s="2">
        <v>1</v>
      </c>
      <c r="CK1839" s="2">
        <v>21</v>
      </c>
      <c r="CL1839" s="2" t="s">
        <v>86</v>
      </c>
      <c r="CM1839" s="2"/>
    </row>
    <row r="1840" spans="1:91">
      <c r="A1840" s="2" t="s">
        <v>71</v>
      </c>
      <c r="B1840" s="2" t="s">
        <v>72</v>
      </c>
      <c r="C1840" s="2" t="s">
        <v>73</v>
      </c>
      <c r="D1840" s="2"/>
      <c r="E1840" s="2" t="str">
        <f>"FES1162569408"</f>
        <v>FES1162569408</v>
      </c>
      <c r="F1840" s="3">
        <v>42963</v>
      </c>
      <c r="G1840" s="2">
        <v>201802</v>
      </c>
      <c r="H1840" s="2" t="s">
        <v>74</v>
      </c>
      <c r="I1840" s="2" t="s">
        <v>75</v>
      </c>
      <c r="J1840" s="2" t="s">
        <v>76</v>
      </c>
      <c r="K1840" s="2" t="s">
        <v>77</v>
      </c>
      <c r="L1840" s="2" t="s">
        <v>539</v>
      </c>
      <c r="M1840" s="2" t="s">
        <v>540</v>
      </c>
      <c r="N1840" s="2" t="s">
        <v>2466</v>
      </c>
      <c r="O1840" s="2" t="s">
        <v>100</v>
      </c>
      <c r="P1840" s="2" t="str">
        <f>"2170585258                    "</f>
        <v xml:space="preserve">2170585258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3.13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1</v>
      </c>
      <c r="BI1840" s="2">
        <v>1</v>
      </c>
      <c r="BJ1840" s="2">
        <v>0.2</v>
      </c>
      <c r="BK1840" s="2">
        <v>1</v>
      </c>
      <c r="BL1840" s="2">
        <v>32.380000000000003</v>
      </c>
      <c r="BM1840" s="2">
        <v>4.53</v>
      </c>
      <c r="BN1840" s="2">
        <v>36.909999999999997</v>
      </c>
      <c r="BO1840" s="2">
        <v>36.909999999999997</v>
      </c>
      <c r="BP1840" s="2"/>
      <c r="BQ1840" s="2" t="s">
        <v>83</v>
      </c>
      <c r="BR1840" s="2" t="s">
        <v>84</v>
      </c>
      <c r="BS1840" s="3">
        <v>42964</v>
      </c>
      <c r="BT1840" s="4">
        <v>0.36805555555555558</v>
      </c>
      <c r="BU1840" s="2" t="s">
        <v>330</v>
      </c>
      <c r="BV1840" s="2" t="s">
        <v>95</v>
      </c>
      <c r="BW1840" s="2"/>
      <c r="BX1840" s="2"/>
      <c r="BY1840" s="2">
        <v>1200</v>
      </c>
      <c r="BZ1840" s="2"/>
      <c r="CA1840" s="2" t="s">
        <v>2467</v>
      </c>
      <c r="CB1840" s="2"/>
      <c r="CC1840" s="2" t="s">
        <v>540</v>
      </c>
      <c r="CD1840" s="2">
        <v>2194</v>
      </c>
      <c r="CE1840" s="2" t="s">
        <v>104</v>
      </c>
      <c r="CF1840" s="5">
        <v>42965</v>
      </c>
      <c r="CG1840" s="2"/>
      <c r="CH1840" s="2"/>
      <c r="CI1840" s="2">
        <v>1</v>
      </c>
      <c r="CJ1840" s="2">
        <v>1</v>
      </c>
      <c r="CK1840" s="2">
        <v>22</v>
      </c>
      <c r="CL1840" s="2" t="s">
        <v>86</v>
      </c>
      <c r="CM1840" s="2"/>
    </row>
    <row r="1841" spans="1:91">
      <c r="A1841" s="2" t="s">
        <v>71</v>
      </c>
      <c r="B1841" s="2" t="s">
        <v>72</v>
      </c>
      <c r="C1841" s="2" t="s">
        <v>73</v>
      </c>
      <c r="D1841" s="2"/>
      <c r="E1841" s="2" t="str">
        <f>"FES1162569311"</f>
        <v>FES1162569311</v>
      </c>
      <c r="F1841" s="3">
        <v>42963</v>
      </c>
      <c r="G1841" s="2">
        <v>201802</v>
      </c>
      <c r="H1841" s="2" t="s">
        <v>74</v>
      </c>
      <c r="I1841" s="2" t="s">
        <v>75</v>
      </c>
      <c r="J1841" s="2" t="s">
        <v>76</v>
      </c>
      <c r="K1841" s="2" t="s">
        <v>77</v>
      </c>
      <c r="L1841" s="2" t="s">
        <v>97</v>
      </c>
      <c r="M1841" s="2" t="s">
        <v>98</v>
      </c>
      <c r="N1841" s="2" t="s">
        <v>119</v>
      </c>
      <c r="O1841" s="2" t="s">
        <v>100</v>
      </c>
      <c r="P1841" s="2" t="str">
        <f>"2170584785                    "</f>
        <v xml:space="preserve">2170584785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4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1</v>
      </c>
      <c r="BJ1841" s="2">
        <v>0.2</v>
      </c>
      <c r="BK1841" s="2">
        <v>1</v>
      </c>
      <c r="BL1841" s="2">
        <v>41.44</v>
      </c>
      <c r="BM1841" s="2">
        <v>5.8</v>
      </c>
      <c r="BN1841" s="2">
        <v>47.24</v>
      </c>
      <c r="BO1841" s="2">
        <v>47.24</v>
      </c>
      <c r="BP1841" s="2"/>
      <c r="BQ1841" s="2" t="s">
        <v>108</v>
      </c>
      <c r="BR1841" s="2" t="s">
        <v>84</v>
      </c>
      <c r="BS1841" s="3">
        <v>42964</v>
      </c>
      <c r="BT1841" s="4">
        <v>0.34513888888888888</v>
      </c>
      <c r="BU1841" s="2" t="s">
        <v>2428</v>
      </c>
      <c r="BV1841" s="2" t="s">
        <v>95</v>
      </c>
      <c r="BW1841" s="2"/>
      <c r="BX1841" s="2"/>
      <c r="BY1841" s="2">
        <v>1200</v>
      </c>
      <c r="BZ1841" s="2"/>
      <c r="CA1841" s="2" t="s">
        <v>213</v>
      </c>
      <c r="CB1841" s="2"/>
      <c r="CC1841" s="2" t="s">
        <v>98</v>
      </c>
      <c r="CD1841" s="2">
        <v>6001</v>
      </c>
      <c r="CE1841" s="2" t="s">
        <v>104</v>
      </c>
      <c r="CF1841" s="5">
        <v>42965</v>
      </c>
      <c r="CG1841" s="2"/>
      <c r="CH1841" s="2"/>
      <c r="CI1841" s="2">
        <v>1</v>
      </c>
      <c r="CJ1841" s="2">
        <v>1</v>
      </c>
      <c r="CK1841" s="2">
        <v>21</v>
      </c>
      <c r="CL1841" s="2" t="s">
        <v>86</v>
      </c>
      <c r="CM1841" s="2"/>
    </row>
    <row r="1842" spans="1:91">
      <c r="A1842" s="2" t="s">
        <v>71</v>
      </c>
      <c r="B1842" s="2" t="s">
        <v>72</v>
      </c>
      <c r="C1842" s="2" t="s">
        <v>73</v>
      </c>
      <c r="D1842" s="2"/>
      <c r="E1842" s="2" t="str">
        <f>"FES1162569505"</f>
        <v>FES1162569505</v>
      </c>
      <c r="F1842" s="3">
        <v>42963</v>
      </c>
      <c r="G1842" s="2">
        <v>201802</v>
      </c>
      <c r="H1842" s="2" t="s">
        <v>74</v>
      </c>
      <c r="I1842" s="2" t="s">
        <v>75</v>
      </c>
      <c r="J1842" s="2" t="s">
        <v>76</v>
      </c>
      <c r="K1842" s="2" t="s">
        <v>77</v>
      </c>
      <c r="L1842" s="2" t="s">
        <v>144</v>
      </c>
      <c r="M1842" s="2" t="s">
        <v>145</v>
      </c>
      <c r="N1842" s="2" t="s">
        <v>561</v>
      </c>
      <c r="O1842" s="2" t="s">
        <v>100</v>
      </c>
      <c r="P1842" s="2" t="str">
        <f>"2170585346                    "</f>
        <v xml:space="preserve">2170585346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3.13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1</v>
      </c>
      <c r="BJ1842" s="2">
        <v>0.2</v>
      </c>
      <c r="BK1842" s="2">
        <v>1</v>
      </c>
      <c r="BL1842" s="2">
        <v>32.380000000000003</v>
      </c>
      <c r="BM1842" s="2">
        <v>4.53</v>
      </c>
      <c r="BN1842" s="2">
        <v>36.909999999999997</v>
      </c>
      <c r="BO1842" s="2">
        <v>36.909999999999997</v>
      </c>
      <c r="BP1842" s="2"/>
      <c r="BQ1842" s="2" t="s">
        <v>83</v>
      </c>
      <c r="BR1842" s="2" t="s">
        <v>84</v>
      </c>
      <c r="BS1842" s="3">
        <v>42964</v>
      </c>
      <c r="BT1842" s="4">
        <v>0.41666666666666669</v>
      </c>
      <c r="BU1842" s="2" t="s">
        <v>2468</v>
      </c>
      <c r="BV1842" s="2" t="s">
        <v>95</v>
      </c>
      <c r="BW1842" s="2"/>
      <c r="BX1842" s="2"/>
      <c r="BY1842" s="2">
        <v>1200</v>
      </c>
      <c r="BZ1842" s="2"/>
      <c r="CA1842" s="2"/>
      <c r="CB1842" s="2"/>
      <c r="CC1842" s="2" t="s">
        <v>145</v>
      </c>
      <c r="CD1842" s="2">
        <v>1821</v>
      </c>
      <c r="CE1842" s="2" t="s">
        <v>104</v>
      </c>
      <c r="CF1842" s="5">
        <v>42965</v>
      </c>
      <c r="CG1842" s="2"/>
      <c r="CH1842" s="2"/>
      <c r="CI1842" s="2">
        <v>1</v>
      </c>
      <c r="CJ1842" s="2">
        <v>1</v>
      </c>
      <c r="CK1842" s="2">
        <v>22</v>
      </c>
      <c r="CL1842" s="2" t="s">
        <v>86</v>
      </c>
      <c r="CM1842" s="2"/>
    </row>
    <row r="1843" spans="1:91">
      <c r="A1843" s="2" t="s">
        <v>71</v>
      </c>
      <c r="B1843" s="2" t="s">
        <v>72</v>
      </c>
      <c r="C1843" s="2" t="s">
        <v>73</v>
      </c>
      <c r="D1843" s="2"/>
      <c r="E1843" s="2" t="str">
        <f>"FES1162569553"</f>
        <v>FES1162569553</v>
      </c>
      <c r="F1843" s="3">
        <v>42963</v>
      </c>
      <c r="G1843" s="2">
        <v>201802</v>
      </c>
      <c r="H1843" s="2" t="s">
        <v>74</v>
      </c>
      <c r="I1843" s="2" t="s">
        <v>75</v>
      </c>
      <c r="J1843" s="2" t="s">
        <v>76</v>
      </c>
      <c r="K1843" s="2" t="s">
        <v>77</v>
      </c>
      <c r="L1843" s="2" t="s">
        <v>244</v>
      </c>
      <c r="M1843" s="2" t="s">
        <v>245</v>
      </c>
      <c r="N1843" s="2" t="s">
        <v>918</v>
      </c>
      <c r="O1843" s="2" t="s">
        <v>100</v>
      </c>
      <c r="P1843" s="2" t="str">
        <f>"2170585398                    "</f>
        <v xml:space="preserve">2170585398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3.13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4.4000000000000004</v>
      </c>
      <c r="BJ1843" s="2">
        <v>4</v>
      </c>
      <c r="BK1843" s="2">
        <v>5</v>
      </c>
      <c r="BL1843" s="2">
        <v>32.380000000000003</v>
      </c>
      <c r="BM1843" s="2">
        <v>4.53</v>
      </c>
      <c r="BN1843" s="2">
        <v>36.909999999999997</v>
      </c>
      <c r="BO1843" s="2">
        <v>36.909999999999997</v>
      </c>
      <c r="BP1843" s="2"/>
      <c r="BQ1843" s="2" t="s">
        <v>288</v>
      </c>
      <c r="BR1843" s="2" t="s">
        <v>84</v>
      </c>
      <c r="BS1843" s="3">
        <v>42964</v>
      </c>
      <c r="BT1843" s="4">
        <v>0.35347222222222219</v>
      </c>
      <c r="BU1843" s="2" t="s">
        <v>919</v>
      </c>
      <c r="BV1843" s="2" t="s">
        <v>95</v>
      </c>
      <c r="BW1843" s="2"/>
      <c r="BX1843" s="2"/>
      <c r="BY1843" s="2">
        <v>20186.5</v>
      </c>
      <c r="BZ1843" s="2"/>
      <c r="CA1843" s="2" t="s">
        <v>499</v>
      </c>
      <c r="CB1843" s="2"/>
      <c r="CC1843" s="2" t="s">
        <v>245</v>
      </c>
      <c r="CD1843" s="2">
        <v>1459</v>
      </c>
      <c r="CE1843" s="2" t="s">
        <v>89</v>
      </c>
      <c r="CF1843" s="5">
        <v>42965</v>
      </c>
      <c r="CG1843" s="2"/>
      <c r="CH1843" s="2"/>
      <c r="CI1843" s="2">
        <v>1</v>
      </c>
      <c r="CJ1843" s="2">
        <v>1</v>
      </c>
      <c r="CK1843" s="2">
        <v>22</v>
      </c>
      <c r="CL1843" s="2" t="s">
        <v>86</v>
      </c>
      <c r="CM1843" s="2"/>
    </row>
    <row r="1844" spans="1:91">
      <c r="A1844" s="2" t="s">
        <v>71</v>
      </c>
      <c r="B1844" s="2" t="s">
        <v>72</v>
      </c>
      <c r="C1844" s="2" t="s">
        <v>73</v>
      </c>
      <c r="D1844" s="2"/>
      <c r="E1844" s="2" t="str">
        <f>"FES1162569548"</f>
        <v>FES1162569548</v>
      </c>
      <c r="F1844" s="3">
        <v>42963</v>
      </c>
      <c r="G1844" s="2">
        <v>201802</v>
      </c>
      <c r="H1844" s="2" t="s">
        <v>74</v>
      </c>
      <c r="I1844" s="2" t="s">
        <v>75</v>
      </c>
      <c r="J1844" s="2" t="s">
        <v>76</v>
      </c>
      <c r="K1844" s="2" t="s">
        <v>77</v>
      </c>
      <c r="L1844" s="2" t="s">
        <v>362</v>
      </c>
      <c r="M1844" s="2" t="s">
        <v>363</v>
      </c>
      <c r="N1844" s="2" t="s">
        <v>546</v>
      </c>
      <c r="O1844" s="2" t="s">
        <v>100</v>
      </c>
      <c r="P1844" s="2" t="str">
        <f>"2170585389                    "</f>
        <v xml:space="preserve">2170585389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12.01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4.4000000000000004</v>
      </c>
      <c r="BJ1844" s="2">
        <v>5.9</v>
      </c>
      <c r="BK1844" s="2">
        <v>6</v>
      </c>
      <c r="BL1844" s="2">
        <v>124.33</v>
      </c>
      <c r="BM1844" s="2">
        <v>17.41</v>
      </c>
      <c r="BN1844" s="2">
        <v>141.74</v>
      </c>
      <c r="BO1844" s="2">
        <v>141.74</v>
      </c>
      <c r="BP1844" s="2"/>
      <c r="BQ1844" s="2" t="s">
        <v>209</v>
      </c>
      <c r="BR1844" s="2" t="s">
        <v>84</v>
      </c>
      <c r="BS1844" s="3">
        <v>42964</v>
      </c>
      <c r="BT1844" s="4">
        <v>0.38194444444444442</v>
      </c>
      <c r="BU1844" s="2" t="s">
        <v>2469</v>
      </c>
      <c r="BV1844" s="2" t="s">
        <v>95</v>
      </c>
      <c r="BW1844" s="2"/>
      <c r="BX1844" s="2"/>
      <c r="BY1844" s="2">
        <v>29289.98</v>
      </c>
      <c r="BZ1844" s="2"/>
      <c r="CA1844" s="2" t="s">
        <v>379</v>
      </c>
      <c r="CB1844" s="2"/>
      <c r="CC1844" s="2" t="s">
        <v>363</v>
      </c>
      <c r="CD1844" s="2">
        <v>3201</v>
      </c>
      <c r="CE1844" s="2" t="s">
        <v>89</v>
      </c>
      <c r="CF1844" s="5">
        <v>42968</v>
      </c>
      <c r="CG1844" s="2"/>
      <c r="CH1844" s="2"/>
      <c r="CI1844" s="2">
        <v>1</v>
      </c>
      <c r="CJ1844" s="2">
        <v>1</v>
      </c>
      <c r="CK1844" s="2">
        <v>21</v>
      </c>
      <c r="CL1844" s="2" t="s">
        <v>86</v>
      </c>
      <c r="CM1844" s="2"/>
    </row>
    <row r="1845" spans="1:91">
      <c r="A1845" s="2" t="s">
        <v>71</v>
      </c>
      <c r="B1845" s="2" t="s">
        <v>72</v>
      </c>
      <c r="C1845" s="2" t="s">
        <v>73</v>
      </c>
      <c r="D1845" s="2"/>
      <c r="E1845" s="2" t="str">
        <f>"FES1162569502"</f>
        <v>FES1162569502</v>
      </c>
      <c r="F1845" s="3">
        <v>42963</v>
      </c>
      <c r="G1845" s="2">
        <v>201802</v>
      </c>
      <c r="H1845" s="2" t="s">
        <v>74</v>
      </c>
      <c r="I1845" s="2" t="s">
        <v>75</v>
      </c>
      <c r="J1845" s="2" t="s">
        <v>76</v>
      </c>
      <c r="K1845" s="2" t="s">
        <v>77</v>
      </c>
      <c r="L1845" s="2" t="s">
        <v>97</v>
      </c>
      <c r="M1845" s="2" t="s">
        <v>98</v>
      </c>
      <c r="N1845" s="2" t="s">
        <v>248</v>
      </c>
      <c r="O1845" s="2" t="s">
        <v>100</v>
      </c>
      <c r="P1845" s="2" t="str">
        <f>"2170584976                    "</f>
        <v xml:space="preserve">2170584976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7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3.2</v>
      </c>
      <c r="BJ1845" s="2">
        <v>2.2000000000000002</v>
      </c>
      <c r="BK1845" s="2">
        <v>3.5</v>
      </c>
      <c r="BL1845" s="2">
        <v>72.52</v>
      </c>
      <c r="BM1845" s="2">
        <v>10.15</v>
      </c>
      <c r="BN1845" s="2">
        <v>82.67</v>
      </c>
      <c r="BO1845" s="2">
        <v>82.67</v>
      </c>
      <c r="BP1845" s="2"/>
      <c r="BQ1845" s="2" t="s">
        <v>83</v>
      </c>
      <c r="BR1845" s="2" t="s">
        <v>84</v>
      </c>
      <c r="BS1845" s="3">
        <v>42964</v>
      </c>
      <c r="BT1845" s="4">
        <v>0.34722222222222227</v>
      </c>
      <c r="BU1845" s="2" t="s">
        <v>2470</v>
      </c>
      <c r="BV1845" s="2" t="s">
        <v>95</v>
      </c>
      <c r="BW1845" s="2"/>
      <c r="BX1845" s="2"/>
      <c r="BY1845" s="2">
        <v>11161.08</v>
      </c>
      <c r="BZ1845" s="2"/>
      <c r="CA1845" s="2" t="s">
        <v>804</v>
      </c>
      <c r="CB1845" s="2"/>
      <c r="CC1845" s="2" t="s">
        <v>98</v>
      </c>
      <c r="CD1845" s="2">
        <v>6001</v>
      </c>
      <c r="CE1845" s="2" t="s">
        <v>89</v>
      </c>
      <c r="CF1845" s="5">
        <v>42965</v>
      </c>
      <c r="CG1845" s="2"/>
      <c r="CH1845" s="2"/>
      <c r="CI1845" s="2">
        <v>1</v>
      </c>
      <c r="CJ1845" s="2">
        <v>1</v>
      </c>
      <c r="CK1845" s="2">
        <v>21</v>
      </c>
      <c r="CL1845" s="2" t="s">
        <v>86</v>
      </c>
      <c r="CM1845" s="2"/>
    </row>
    <row r="1846" spans="1:91">
      <c r="A1846" s="2" t="s">
        <v>71</v>
      </c>
      <c r="B1846" s="2" t="s">
        <v>72</v>
      </c>
      <c r="C1846" s="2" t="s">
        <v>73</v>
      </c>
      <c r="D1846" s="2"/>
      <c r="E1846" s="2" t="str">
        <f>"FES1162569431"</f>
        <v>FES1162569431</v>
      </c>
      <c r="F1846" s="3">
        <v>42963</v>
      </c>
      <c r="G1846" s="2">
        <v>201802</v>
      </c>
      <c r="H1846" s="2" t="s">
        <v>74</v>
      </c>
      <c r="I1846" s="2" t="s">
        <v>75</v>
      </c>
      <c r="J1846" s="2" t="s">
        <v>76</v>
      </c>
      <c r="K1846" s="2" t="s">
        <v>77</v>
      </c>
      <c r="L1846" s="2" t="s">
        <v>723</v>
      </c>
      <c r="M1846" s="2" t="s">
        <v>724</v>
      </c>
      <c r="N1846" s="2" t="s">
        <v>2471</v>
      </c>
      <c r="O1846" s="2" t="s">
        <v>100</v>
      </c>
      <c r="P1846" s="2" t="str">
        <f>"2170585276                    "</f>
        <v xml:space="preserve">2170585276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5.63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1</v>
      </c>
      <c r="BI1846" s="2">
        <v>1</v>
      </c>
      <c r="BJ1846" s="2">
        <v>0.2</v>
      </c>
      <c r="BK1846" s="2">
        <v>1</v>
      </c>
      <c r="BL1846" s="2">
        <v>58.28</v>
      </c>
      <c r="BM1846" s="2">
        <v>8.16</v>
      </c>
      <c r="BN1846" s="2">
        <v>66.44</v>
      </c>
      <c r="BO1846" s="2">
        <v>66.44</v>
      </c>
      <c r="BP1846" s="2"/>
      <c r="BQ1846" s="2" t="s">
        <v>83</v>
      </c>
      <c r="BR1846" s="2" t="s">
        <v>84</v>
      </c>
      <c r="BS1846" s="3">
        <v>42964</v>
      </c>
      <c r="BT1846" s="4">
        <v>0.36874999999999997</v>
      </c>
      <c r="BU1846" s="2" t="s">
        <v>2472</v>
      </c>
      <c r="BV1846" s="2" t="s">
        <v>95</v>
      </c>
      <c r="BW1846" s="2"/>
      <c r="BX1846" s="2"/>
      <c r="BY1846" s="2">
        <v>1200</v>
      </c>
      <c r="BZ1846" s="2"/>
      <c r="CA1846" s="2" t="s">
        <v>727</v>
      </c>
      <c r="CB1846" s="2"/>
      <c r="CC1846" s="2" t="s">
        <v>724</v>
      </c>
      <c r="CD1846" s="2">
        <v>1739</v>
      </c>
      <c r="CE1846" s="2" t="s">
        <v>104</v>
      </c>
      <c r="CF1846" s="5">
        <v>42965</v>
      </c>
      <c r="CG1846" s="2"/>
      <c r="CH1846" s="2"/>
      <c r="CI1846" s="2">
        <v>1</v>
      </c>
      <c r="CJ1846" s="2">
        <v>1</v>
      </c>
      <c r="CK1846" s="2">
        <v>24</v>
      </c>
      <c r="CL1846" s="2" t="s">
        <v>86</v>
      </c>
      <c r="CM1846" s="2"/>
    </row>
    <row r="1847" spans="1:91">
      <c r="A1847" s="2" t="s">
        <v>71</v>
      </c>
      <c r="B1847" s="2" t="s">
        <v>72</v>
      </c>
      <c r="C1847" s="2" t="s">
        <v>73</v>
      </c>
      <c r="D1847" s="2"/>
      <c r="E1847" s="2" t="str">
        <f>"FES1162569313"</f>
        <v>FES1162569313</v>
      </c>
      <c r="F1847" s="3">
        <v>42963</v>
      </c>
      <c r="G1847" s="2">
        <v>201802</v>
      </c>
      <c r="H1847" s="2" t="s">
        <v>74</v>
      </c>
      <c r="I1847" s="2" t="s">
        <v>75</v>
      </c>
      <c r="J1847" s="2" t="s">
        <v>76</v>
      </c>
      <c r="K1847" s="2" t="s">
        <v>77</v>
      </c>
      <c r="L1847" s="2" t="s">
        <v>144</v>
      </c>
      <c r="M1847" s="2" t="s">
        <v>145</v>
      </c>
      <c r="N1847" s="2" t="s">
        <v>146</v>
      </c>
      <c r="O1847" s="2" t="s">
        <v>100</v>
      </c>
      <c r="P1847" s="2" t="str">
        <f>"2170584829                    "</f>
        <v xml:space="preserve">2170584829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3.13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6.7</v>
      </c>
      <c r="BJ1847" s="2">
        <v>1.9</v>
      </c>
      <c r="BK1847" s="2">
        <v>7</v>
      </c>
      <c r="BL1847" s="2">
        <v>32.380000000000003</v>
      </c>
      <c r="BM1847" s="2">
        <v>4.53</v>
      </c>
      <c r="BN1847" s="2">
        <v>36.909999999999997</v>
      </c>
      <c r="BO1847" s="2">
        <v>36.909999999999997</v>
      </c>
      <c r="BP1847" s="2"/>
      <c r="BQ1847" s="2" t="s">
        <v>83</v>
      </c>
      <c r="BR1847" s="2" t="s">
        <v>84</v>
      </c>
      <c r="BS1847" s="3">
        <v>42964</v>
      </c>
      <c r="BT1847" s="4">
        <v>0.38611111111111113</v>
      </c>
      <c r="BU1847" s="2" t="s">
        <v>728</v>
      </c>
      <c r="BV1847" s="2" t="s">
        <v>95</v>
      </c>
      <c r="BW1847" s="2"/>
      <c r="BX1847" s="2"/>
      <c r="BY1847" s="2">
        <v>9531.76</v>
      </c>
      <c r="BZ1847" s="2"/>
      <c r="CA1847" s="2" t="s">
        <v>729</v>
      </c>
      <c r="CB1847" s="2"/>
      <c r="CC1847" s="2" t="s">
        <v>145</v>
      </c>
      <c r="CD1847" s="2">
        <v>2094</v>
      </c>
      <c r="CE1847" s="2" t="s">
        <v>89</v>
      </c>
      <c r="CF1847" s="5">
        <v>42965</v>
      </c>
      <c r="CG1847" s="2"/>
      <c r="CH1847" s="2"/>
      <c r="CI1847" s="2">
        <v>1</v>
      </c>
      <c r="CJ1847" s="2">
        <v>1</v>
      </c>
      <c r="CK1847" s="2">
        <v>22</v>
      </c>
      <c r="CL1847" s="2" t="s">
        <v>86</v>
      </c>
      <c r="CM1847" s="2"/>
    </row>
    <row r="1848" spans="1:91">
      <c r="A1848" s="2" t="s">
        <v>71</v>
      </c>
      <c r="B1848" s="2" t="s">
        <v>72</v>
      </c>
      <c r="C1848" s="2" t="s">
        <v>73</v>
      </c>
      <c r="D1848" s="2"/>
      <c r="E1848" s="2" t="str">
        <f>"FES1162569443"</f>
        <v>FES1162569443</v>
      </c>
      <c r="F1848" s="3">
        <v>42963</v>
      </c>
      <c r="G1848" s="2">
        <v>201802</v>
      </c>
      <c r="H1848" s="2" t="s">
        <v>74</v>
      </c>
      <c r="I1848" s="2" t="s">
        <v>75</v>
      </c>
      <c r="J1848" s="2" t="s">
        <v>76</v>
      </c>
      <c r="K1848" s="2" t="s">
        <v>77</v>
      </c>
      <c r="L1848" s="2" t="s">
        <v>268</v>
      </c>
      <c r="M1848" s="2" t="s">
        <v>269</v>
      </c>
      <c r="N1848" s="2" t="s">
        <v>493</v>
      </c>
      <c r="O1848" s="2" t="s">
        <v>100</v>
      </c>
      <c r="P1848" s="2" t="str">
        <f>"2170583254                    "</f>
        <v xml:space="preserve">2170583254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4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1</v>
      </c>
      <c r="BI1848" s="2">
        <v>1</v>
      </c>
      <c r="BJ1848" s="2">
        <v>0.2</v>
      </c>
      <c r="BK1848" s="2">
        <v>1</v>
      </c>
      <c r="BL1848" s="2">
        <v>41.44</v>
      </c>
      <c r="BM1848" s="2">
        <v>5.8</v>
      </c>
      <c r="BN1848" s="2">
        <v>47.24</v>
      </c>
      <c r="BO1848" s="2">
        <v>47.24</v>
      </c>
      <c r="BP1848" s="2"/>
      <c r="BQ1848" s="2" t="s">
        <v>288</v>
      </c>
      <c r="BR1848" s="2" t="s">
        <v>84</v>
      </c>
      <c r="BS1848" s="3">
        <v>42964</v>
      </c>
      <c r="BT1848" s="4">
        <v>0.41666666666666669</v>
      </c>
      <c r="BU1848" s="2" t="s">
        <v>2473</v>
      </c>
      <c r="BV1848" s="2" t="s">
        <v>95</v>
      </c>
      <c r="BW1848" s="2"/>
      <c r="BX1848" s="2"/>
      <c r="BY1848" s="2">
        <v>1200</v>
      </c>
      <c r="BZ1848" s="2"/>
      <c r="CA1848" s="2"/>
      <c r="CB1848" s="2"/>
      <c r="CC1848" s="2" t="s">
        <v>269</v>
      </c>
      <c r="CD1848" s="2">
        <v>200</v>
      </c>
      <c r="CE1848" s="2" t="s">
        <v>104</v>
      </c>
      <c r="CF1848" s="5">
        <v>42965</v>
      </c>
      <c r="CG1848" s="2"/>
      <c r="CH1848" s="2"/>
      <c r="CI1848" s="2">
        <v>1</v>
      </c>
      <c r="CJ1848" s="2">
        <v>1</v>
      </c>
      <c r="CK1848" s="2">
        <v>21</v>
      </c>
      <c r="CL1848" s="2" t="s">
        <v>86</v>
      </c>
      <c r="CM1848" s="2"/>
    </row>
    <row r="1849" spans="1:91">
      <c r="A1849" s="2" t="s">
        <v>71</v>
      </c>
      <c r="B1849" s="2" t="s">
        <v>72</v>
      </c>
      <c r="C1849" s="2" t="s">
        <v>73</v>
      </c>
      <c r="D1849" s="2"/>
      <c r="E1849" s="2" t="str">
        <f>"FES1162569564"</f>
        <v>FES1162569564</v>
      </c>
      <c r="F1849" s="3">
        <v>42963</v>
      </c>
      <c r="G1849" s="2">
        <v>201802</v>
      </c>
      <c r="H1849" s="2" t="s">
        <v>74</v>
      </c>
      <c r="I1849" s="2" t="s">
        <v>75</v>
      </c>
      <c r="J1849" s="2" t="s">
        <v>76</v>
      </c>
      <c r="K1849" s="2" t="s">
        <v>77</v>
      </c>
      <c r="L1849" s="2" t="s">
        <v>105</v>
      </c>
      <c r="M1849" s="2" t="s">
        <v>106</v>
      </c>
      <c r="N1849" s="2" t="s">
        <v>2474</v>
      </c>
      <c r="O1849" s="2" t="s">
        <v>100</v>
      </c>
      <c r="P1849" s="2" t="str">
        <f>"2170585402                    "</f>
        <v xml:space="preserve">2170585402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4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1</v>
      </c>
      <c r="BI1849" s="2">
        <v>0.3</v>
      </c>
      <c r="BJ1849" s="2">
        <v>0.9</v>
      </c>
      <c r="BK1849" s="2">
        <v>1</v>
      </c>
      <c r="BL1849" s="2">
        <v>41.44</v>
      </c>
      <c r="BM1849" s="2">
        <v>5.8</v>
      </c>
      <c r="BN1849" s="2">
        <v>47.24</v>
      </c>
      <c r="BO1849" s="2">
        <v>47.24</v>
      </c>
      <c r="BP1849" s="2"/>
      <c r="BQ1849" s="2" t="s">
        <v>288</v>
      </c>
      <c r="BR1849" s="2" t="s">
        <v>84</v>
      </c>
      <c r="BS1849" s="3">
        <v>42964</v>
      </c>
      <c r="BT1849" s="4">
        <v>0.36805555555555558</v>
      </c>
      <c r="BU1849" s="2" t="s">
        <v>2475</v>
      </c>
      <c r="BV1849" s="2" t="s">
        <v>95</v>
      </c>
      <c r="BW1849" s="2"/>
      <c r="BX1849" s="2"/>
      <c r="BY1849" s="2">
        <v>4358.6000000000004</v>
      </c>
      <c r="BZ1849" s="2"/>
      <c r="CA1849" s="2"/>
      <c r="CB1849" s="2"/>
      <c r="CC1849" s="2" t="s">
        <v>106</v>
      </c>
      <c r="CD1849" s="2">
        <v>7560</v>
      </c>
      <c r="CE1849" s="2" t="s">
        <v>89</v>
      </c>
      <c r="CF1849" s="5">
        <v>42965</v>
      </c>
      <c r="CG1849" s="2"/>
      <c r="CH1849" s="2"/>
      <c r="CI1849" s="2">
        <v>1</v>
      </c>
      <c r="CJ1849" s="2">
        <v>1</v>
      </c>
      <c r="CK1849" s="2">
        <v>21</v>
      </c>
      <c r="CL1849" s="2" t="s">
        <v>86</v>
      </c>
      <c r="CM1849" s="2"/>
    </row>
    <row r="1850" spans="1:91">
      <c r="A1850" s="2" t="s">
        <v>71</v>
      </c>
      <c r="B1850" s="2" t="s">
        <v>72</v>
      </c>
      <c r="C1850" s="2" t="s">
        <v>73</v>
      </c>
      <c r="D1850" s="2"/>
      <c r="E1850" s="2" t="str">
        <f>"FES1162569558"</f>
        <v>FES1162569558</v>
      </c>
      <c r="F1850" s="3">
        <v>42963</v>
      </c>
      <c r="G1850" s="2">
        <v>201802</v>
      </c>
      <c r="H1850" s="2" t="s">
        <v>74</v>
      </c>
      <c r="I1850" s="2" t="s">
        <v>75</v>
      </c>
      <c r="J1850" s="2" t="s">
        <v>76</v>
      </c>
      <c r="K1850" s="2" t="s">
        <v>77</v>
      </c>
      <c r="L1850" s="2" t="s">
        <v>105</v>
      </c>
      <c r="M1850" s="2" t="s">
        <v>106</v>
      </c>
      <c r="N1850" s="2" t="s">
        <v>2476</v>
      </c>
      <c r="O1850" s="2" t="s">
        <v>100</v>
      </c>
      <c r="P1850" s="2" t="str">
        <f>"2170585236                    "</f>
        <v xml:space="preserve">2170585236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4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1</v>
      </c>
      <c r="BI1850" s="2">
        <v>1</v>
      </c>
      <c r="BJ1850" s="2">
        <v>0.2</v>
      </c>
      <c r="BK1850" s="2">
        <v>1</v>
      </c>
      <c r="BL1850" s="2">
        <v>41.44</v>
      </c>
      <c r="BM1850" s="2">
        <v>5.8</v>
      </c>
      <c r="BN1850" s="2">
        <v>47.24</v>
      </c>
      <c r="BO1850" s="2">
        <v>47.24</v>
      </c>
      <c r="BP1850" s="2"/>
      <c r="BQ1850" s="2" t="s">
        <v>83</v>
      </c>
      <c r="BR1850" s="2" t="s">
        <v>84</v>
      </c>
      <c r="BS1850" s="3">
        <v>42964</v>
      </c>
      <c r="BT1850" s="4">
        <v>0.34236111111111112</v>
      </c>
      <c r="BU1850" s="2" t="s">
        <v>2477</v>
      </c>
      <c r="BV1850" s="2" t="s">
        <v>95</v>
      </c>
      <c r="BW1850" s="2"/>
      <c r="BX1850" s="2"/>
      <c r="BY1850" s="2">
        <v>1200</v>
      </c>
      <c r="BZ1850" s="2"/>
      <c r="CA1850" s="2" t="s">
        <v>748</v>
      </c>
      <c r="CB1850" s="2"/>
      <c r="CC1850" s="2" t="s">
        <v>106</v>
      </c>
      <c r="CD1850" s="2">
        <v>7441</v>
      </c>
      <c r="CE1850" s="2" t="s">
        <v>104</v>
      </c>
      <c r="CF1850" s="5">
        <v>42965</v>
      </c>
      <c r="CG1850" s="2"/>
      <c r="CH1850" s="2"/>
      <c r="CI1850" s="2">
        <v>1</v>
      </c>
      <c r="CJ1850" s="2">
        <v>1</v>
      </c>
      <c r="CK1850" s="2">
        <v>21</v>
      </c>
      <c r="CL1850" s="2" t="s">
        <v>86</v>
      </c>
      <c r="CM1850" s="2"/>
    </row>
    <row r="1851" spans="1:91">
      <c r="A1851" s="2" t="s">
        <v>71</v>
      </c>
      <c r="B1851" s="2" t="s">
        <v>72</v>
      </c>
      <c r="C1851" s="2" t="s">
        <v>73</v>
      </c>
      <c r="D1851" s="2"/>
      <c r="E1851" s="2" t="str">
        <f>"FES1162569525"</f>
        <v>FES1162569525</v>
      </c>
      <c r="F1851" s="3">
        <v>42963</v>
      </c>
      <c r="G1851" s="2">
        <v>201802</v>
      </c>
      <c r="H1851" s="2" t="s">
        <v>74</v>
      </c>
      <c r="I1851" s="2" t="s">
        <v>75</v>
      </c>
      <c r="J1851" s="2" t="s">
        <v>76</v>
      </c>
      <c r="K1851" s="2" t="s">
        <v>77</v>
      </c>
      <c r="L1851" s="2" t="s">
        <v>137</v>
      </c>
      <c r="M1851" s="2" t="s">
        <v>138</v>
      </c>
      <c r="N1851" s="2" t="s">
        <v>226</v>
      </c>
      <c r="O1851" s="2" t="s">
        <v>100</v>
      </c>
      <c r="P1851" s="2" t="str">
        <f>"2170584796                    "</f>
        <v xml:space="preserve">2170584796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4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1.8</v>
      </c>
      <c r="BJ1851" s="2">
        <v>1.4</v>
      </c>
      <c r="BK1851" s="2">
        <v>2</v>
      </c>
      <c r="BL1851" s="2">
        <v>41.44</v>
      </c>
      <c r="BM1851" s="2">
        <v>5.8</v>
      </c>
      <c r="BN1851" s="2">
        <v>47.24</v>
      </c>
      <c r="BO1851" s="2">
        <v>47.24</v>
      </c>
      <c r="BP1851" s="2"/>
      <c r="BQ1851" s="2" t="s">
        <v>288</v>
      </c>
      <c r="BR1851" s="2" t="s">
        <v>84</v>
      </c>
      <c r="BS1851" s="3">
        <v>42964</v>
      </c>
      <c r="BT1851" s="4">
        <v>0.37708333333333338</v>
      </c>
      <c r="BU1851" s="2" t="s">
        <v>2478</v>
      </c>
      <c r="BV1851" s="2" t="s">
        <v>95</v>
      </c>
      <c r="BW1851" s="2"/>
      <c r="BX1851" s="2"/>
      <c r="BY1851" s="2">
        <v>6924.53</v>
      </c>
      <c r="BZ1851" s="2"/>
      <c r="CA1851" s="2"/>
      <c r="CB1851" s="2"/>
      <c r="CC1851" s="2" t="s">
        <v>138</v>
      </c>
      <c r="CD1851" s="2">
        <v>157</v>
      </c>
      <c r="CE1851" s="2" t="s">
        <v>89</v>
      </c>
      <c r="CF1851" s="5">
        <v>42965</v>
      </c>
      <c r="CG1851" s="2"/>
      <c r="CH1851" s="2"/>
      <c r="CI1851" s="2">
        <v>1</v>
      </c>
      <c r="CJ1851" s="2">
        <v>1</v>
      </c>
      <c r="CK1851" s="2">
        <v>21</v>
      </c>
      <c r="CL1851" s="2" t="s">
        <v>86</v>
      </c>
      <c r="CM1851" s="2"/>
    </row>
    <row r="1852" spans="1:91">
      <c r="A1852" s="2" t="s">
        <v>71</v>
      </c>
      <c r="B1852" s="2" t="s">
        <v>72</v>
      </c>
      <c r="C1852" s="2" t="s">
        <v>73</v>
      </c>
      <c r="D1852" s="2"/>
      <c r="E1852" s="2" t="str">
        <f>"FES1162569556"</f>
        <v>FES1162569556</v>
      </c>
      <c r="F1852" s="3">
        <v>42963</v>
      </c>
      <c r="G1852" s="2">
        <v>201802</v>
      </c>
      <c r="H1852" s="2" t="s">
        <v>74</v>
      </c>
      <c r="I1852" s="2" t="s">
        <v>75</v>
      </c>
      <c r="J1852" s="2" t="s">
        <v>76</v>
      </c>
      <c r="K1852" s="2" t="s">
        <v>77</v>
      </c>
      <c r="L1852" s="2" t="s">
        <v>97</v>
      </c>
      <c r="M1852" s="2" t="s">
        <v>98</v>
      </c>
      <c r="N1852" s="2" t="s">
        <v>99</v>
      </c>
      <c r="O1852" s="2" t="s">
        <v>100</v>
      </c>
      <c r="P1852" s="2" t="str">
        <f>"2170583760                    "</f>
        <v xml:space="preserve">2170583760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4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1</v>
      </c>
      <c r="BJ1852" s="2">
        <v>0.2</v>
      </c>
      <c r="BK1852" s="2">
        <v>1</v>
      </c>
      <c r="BL1852" s="2">
        <v>41.44</v>
      </c>
      <c r="BM1852" s="2">
        <v>5.8</v>
      </c>
      <c r="BN1852" s="2">
        <v>47.24</v>
      </c>
      <c r="BO1852" s="2">
        <v>47.24</v>
      </c>
      <c r="BP1852" s="2"/>
      <c r="BQ1852" s="2" t="s">
        <v>83</v>
      </c>
      <c r="BR1852" s="2" t="s">
        <v>84</v>
      </c>
      <c r="BS1852" s="3">
        <v>42964</v>
      </c>
      <c r="BT1852" s="4">
        <v>0.35902777777777778</v>
      </c>
      <c r="BU1852" s="2" t="s">
        <v>102</v>
      </c>
      <c r="BV1852" s="2" t="s">
        <v>95</v>
      </c>
      <c r="BW1852" s="2"/>
      <c r="BX1852" s="2"/>
      <c r="BY1852" s="2">
        <v>1200</v>
      </c>
      <c r="BZ1852" s="2"/>
      <c r="CA1852" s="2" t="s">
        <v>103</v>
      </c>
      <c r="CB1852" s="2"/>
      <c r="CC1852" s="2" t="s">
        <v>98</v>
      </c>
      <c r="CD1852" s="2">
        <v>6210</v>
      </c>
      <c r="CE1852" s="2" t="s">
        <v>104</v>
      </c>
      <c r="CF1852" s="5">
        <v>42965</v>
      </c>
      <c r="CG1852" s="2"/>
      <c r="CH1852" s="2"/>
      <c r="CI1852" s="2">
        <v>1</v>
      </c>
      <c r="CJ1852" s="2">
        <v>1</v>
      </c>
      <c r="CK1852" s="2">
        <v>21</v>
      </c>
      <c r="CL1852" s="2" t="s">
        <v>86</v>
      </c>
      <c r="CM1852" s="2"/>
    </row>
    <row r="1853" spans="1:91">
      <c r="A1853" s="2" t="s">
        <v>71</v>
      </c>
      <c r="B1853" s="2" t="s">
        <v>72</v>
      </c>
      <c r="C1853" s="2" t="s">
        <v>73</v>
      </c>
      <c r="D1853" s="2"/>
      <c r="E1853" s="2" t="str">
        <f>"FES1162569460"</f>
        <v>FES1162569460</v>
      </c>
      <c r="F1853" s="3">
        <v>42963</v>
      </c>
      <c r="G1853" s="2">
        <v>201802</v>
      </c>
      <c r="H1853" s="2" t="s">
        <v>74</v>
      </c>
      <c r="I1853" s="2" t="s">
        <v>75</v>
      </c>
      <c r="J1853" s="2" t="s">
        <v>76</v>
      </c>
      <c r="K1853" s="2" t="s">
        <v>77</v>
      </c>
      <c r="L1853" s="2" t="s">
        <v>144</v>
      </c>
      <c r="M1853" s="2" t="s">
        <v>145</v>
      </c>
      <c r="N1853" s="2" t="s">
        <v>1630</v>
      </c>
      <c r="O1853" s="2" t="s">
        <v>100</v>
      </c>
      <c r="P1853" s="2" t="str">
        <f>"2170585314                    "</f>
        <v xml:space="preserve">2170585314 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3.88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1</v>
      </c>
      <c r="BI1853" s="2">
        <v>9.6</v>
      </c>
      <c r="BJ1853" s="2">
        <v>5</v>
      </c>
      <c r="BK1853" s="2">
        <v>10</v>
      </c>
      <c r="BL1853" s="2">
        <v>40.15</v>
      </c>
      <c r="BM1853" s="2">
        <v>5.62</v>
      </c>
      <c r="BN1853" s="2">
        <v>45.77</v>
      </c>
      <c r="BO1853" s="2">
        <v>45.77</v>
      </c>
      <c r="BP1853" s="2"/>
      <c r="BQ1853" s="2" t="s">
        <v>1927</v>
      </c>
      <c r="BR1853" s="2" t="s">
        <v>84</v>
      </c>
      <c r="BS1853" s="3">
        <v>42964</v>
      </c>
      <c r="BT1853" s="4">
        <v>0.39513888888888887</v>
      </c>
      <c r="BU1853" s="2" t="s">
        <v>2479</v>
      </c>
      <c r="BV1853" s="2" t="s">
        <v>95</v>
      </c>
      <c r="BW1853" s="2"/>
      <c r="BX1853" s="2"/>
      <c r="BY1853" s="2">
        <v>25232.76</v>
      </c>
      <c r="BZ1853" s="2"/>
      <c r="CA1853" s="2" t="s">
        <v>729</v>
      </c>
      <c r="CB1853" s="2"/>
      <c r="CC1853" s="2" t="s">
        <v>145</v>
      </c>
      <c r="CD1853" s="2">
        <v>2001</v>
      </c>
      <c r="CE1853" s="2" t="s">
        <v>89</v>
      </c>
      <c r="CF1853" s="5">
        <v>42965</v>
      </c>
      <c r="CG1853" s="2"/>
      <c r="CH1853" s="2"/>
      <c r="CI1853" s="2">
        <v>1</v>
      </c>
      <c r="CJ1853" s="2">
        <v>1</v>
      </c>
      <c r="CK1853" s="2">
        <v>22</v>
      </c>
      <c r="CL1853" s="2" t="s">
        <v>86</v>
      </c>
      <c r="CM1853" s="2"/>
    </row>
    <row r="1854" spans="1:91">
      <c r="A1854" s="2" t="s">
        <v>71</v>
      </c>
      <c r="B1854" s="2" t="s">
        <v>72</v>
      </c>
      <c r="C1854" s="2" t="s">
        <v>73</v>
      </c>
      <c r="D1854" s="2"/>
      <c r="E1854" s="2" t="str">
        <f>"FES1162569481"</f>
        <v>FES1162569481</v>
      </c>
      <c r="F1854" s="3">
        <v>42963</v>
      </c>
      <c r="G1854" s="2">
        <v>201802</v>
      </c>
      <c r="H1854" s="2" t="s">
        <v>74</v>
      </c>
      <c r="I1854" s="2" t="s">
        <v>75</v>
      </c>
      <c r="J1854" s="2" t="s">
        <v>76</v>
      </c>
      <c r="K1854" s="2" t="s">
        <v>77</v>
      </c>
      <c r="L1854" s="2" t="s">
        <v>539</v>
      </c>
      <c r="M1854" s="2" t="s">
        <v>540</v>
      </c>
      <c r="N1854" s="2" t="s">
        <v>2480</v>
      </c>
      <c r="O1854" s="2" t="s">
        <v>100</v>
      </c>
      <c r="P1854" s="2" t="str">
        <f>"2170585155                    "</f>
        <v xml:space="preserve">2170585155 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3.13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2</v>
      </c>
      <c r="BJ1854" s="2">
        <v>0.2</v>
      </c>
      <c r="BK1854" s="2">
        <v>2</v>
      </c>
      <c r="BL1854" s="2">
        <v>32.380000000000003</v>
      </c>
      <c r="BM1854" s="2">
        <v>4.53</v>
      </c>
      <c r="BN1854" s="2">
        <v>36.909999999999997</v>
      </c>
      <c r="BO1854" s="2">
        <v>36.909999999999997</v>
      </c>
      <c r="BP1854" s="2"/>
      <c r="BQ1854" s="2" t="s">
        <v>83</v>
      </c>
      <c r="BR1854" s="2" t="s">
        <v>84</v>
      </c>
      <c r="BS1854" s="3">
        <v>42964</v>
      </c>
      <c r="BT1854" s="4">
        <v>0.39930555555555558</v>
      </c>
      <c r="BU1854" s="2" t="s">
        <v>2481</v>
      </c>
      <c r="BV1854" s="2" t="s">
        <v>95</v>
      </c>
      <c r="BW1854" s="2"/>
      <c r="BX1854" s="2"/>
      <c r="BY1854" s="2">
        <v>1200</v>
      </c>
      <c r="BZ1854" s="2"/>
      <c r="CA1854" s="2" t="s">
        <v>722</v>
      </c>
      <c r="CB1854" s="2"/>
      <c r="CC1854" s="2" t="s">
        <v>540</v>
      </c>
      <c r="CD1854" s="2">
        <v>2125</v>
      </c>
      <c r="CE1854" s="2" t="s">
        <v>104</v>
      </c>
      <c r="CF1854" s="5">
        <v>42965</v>
      </c>
      <c r="CG1854" s="2"/>
      <c r="CH1854" s="2"/>
      <c r="CI1854" s="2">
        <v>1</v>
      </c>
      <c r="CJ1854" s="2">
        <v>1</v>
      </c>
      <c r="CK1854" s="2">
        <v>22</v>
      </c>
      <c r="CL1854" s="2" t="s">
        <v>86</v>
      </c>
      <c r="CM1854" s="2"/>
    </row>
    <row r="1855" spans="1:91">
      <c r="A1855" s="2" t="s">
        <v>71</v>
      </c>
      <c r="B1855" s="2" t="s">
        <v>72</v>
      </c>
      <c r="C1855" s="2" t="s">
        <v>73</v>
      </c>
      <c r="D1855" s="2"/>
      <c r="E1855" s="2" t="str">
        <f>"FES1162569274"</f>
        <v>FES1162569274</v>
      </c>
      <c r="F1855" s="3">
        <v>42963</v>
      </c>
      <c r="G1855" s="2">
        <v>201802</v>
      </c>
      <c r="H1855" s="2" t="s">
        <v>74</v>
      </c>
      <c r="I1855" s="2" t="s">
        <v>75</v>
      </c>
      <c r="J1855" s="2" t="s">
        <v>76</v>
      </c>
      <c r="K1855" s="2" t="s">
        <v>77</v>
      </c>
      <c r="L1855" s="2" t="s">
        <v>170</v>
      </c>
      <c r="M1855" s="2" t="s">
        <v>171</v>
      </c>
      <c r="N1855" s="2" t="s">
        <v>2482</v>
      </c>
      <c r="O1855" s="2" t="s">
        <v>100</v>
      </c>
      <c r="P1855" s="2" t="str">
        <f>"217059274                     "</f>
        <v xml:space="preserve">217059274 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3.13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1</v>
      </c>
      <c r="BI1855" s="2">
        <v>1</v>
      </c>
      <c r="BJ1855" s="2">
        <v>0.2</v>
      </c>
      <c r="BK1855" s="2">
        <v>1</v>
      </c>
      <c r="BL1855" s="2">
        <v>32.380000000000003</v>
      </c>
      <c r="BM1855" s="2">
        <v>4.53</v>
      </c>
      <c r="BN1855" s="2">
        <v>36.909999999999997</v>
      </c>
      <c r="BO1855" s="2">
        <v>36.909999999999997</v>
      </c>
      <c r="BP1855" s="2"/>
      <c r="BQ1855" s="2" t="s">
        <v>83</v>
      </c>
      <c r="BR1855" s="2" t="s">
        <v>84</v>
      </c>
      <c r="BS1855" s="3">
        <v>42965</v>
      </c>
      <c r="BT1855" s="4">
        <v>0.375</v>
      </c>
      <c r="BU1855" s="2" t="s">
        <v>2483</v>
      </c>
      <c r="BV1855" s="2" t="s">
        <v>86</v>
      </c>
      <c r="BW1855" s="2" t="s">
        <v>1007</v>
      </c>
      <c r="BX1855" s="2" t="s">
        <v>1452</v>
      </c>
      <c r="BY1855" s="2">
        <v>1200</v>
      </c>
      <c r="BZ1855" s="2"/>
      <c r="CA1855" s="2"/>
      <c r="CB1855" s="2"/>
      <c r="CC1855" s="2" t="s">
        <v>171</v>
      </c>
      <c r="CD1855" s="2">
        <v>1428</v>
      </c>
      <c r="CE1855" s="2" t="s">
        <v>104</v>
      </c>
      <c r="CF1855" s="5">
        <v>42968</v>
      </c>
      <c r="CG1855" s="2"/>
      <c r="CH1855" s="2"/>
      <c r="CI1855" s="2">
        <v>1</v>
      </c>
      <c r="CJ1855" s="2">
        <v>2</v>
      </c>
      <c r="CK1855" s="2">
        <v>22</v>
      </c>
      <c r="CL1855" s="2" t="s">
        <v>86</v>
      </c>
      <c r="CM1855" s="2"/>
    </row>
    <row r="1856" spans="1:91">
      <c r="A1856" s="2" t="s">
        <v>71</v>
      </c>
      <c r="B1856" s="2" t="s">
        <v>72</v>
      </c>
      <c r="C1856" s="2" t="s">
        <v>73</v>
      </c>
      <c r="D1856" s="2"/>
      <c r="E1856" s="2" t="str">
        <f>"FES1162569433"</f>
        <v>FES1162569433</v>
      </c>
      <c r="F1856" s="3">
        <v>42963</v>
      </c>
      <c r="G1856" s="2">
        <v>201802</v>
      </c>
      <c r="H1856" s="2" t="s">
        <v>74</v>
      </c>
      <c r="I1856" s="2" t="s">
        <v>75</v>
      </c>
      <c r="J1856" s="2" t="s">
        <v>76</v>
      </c>
      <c r="K1856" s="2" t="s">
        <v>77</v>
      </c>
      <c r="L1856" s="2" t="s">
        <v>244</v>
      </c>
      <c r="M1856" s="2" t="s">
        <v>245</v>
      </c>
      <c r="N1856" s="2" t="s">
        <v>1175</v>
      </c>
      <c r="O1856" s="2" t="s">
        <v>100</v>
      </c>
      <c r="P1856" s="2" t="str">
        <f>"2170574504                    "</f>
        <v xml:space="preserve">2170574504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3.13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0.8</v>
      </c>
      <c r="BJ1856" s="2">
        <v>0.9</v>
      </c>
      <c r="BK1856" s="2">
        <v>1</v>
      </c>
      <c r="BL1856" s="2">
        <v>32.380000000000003</v>
      </c>
      <c r="BM1856" s="2">
        <v>4.53</v>
      </c>
      <c r="BN1856" s="2">
        <v>36.909999999999997</v>
      </c>
      <c r="BO1856" s="2">
        <v>36.909999999999997</v>
      </c>
      <c r="BP1856" s="2"/>
      <c r="BQ1856" s="2" t="s">
        <v>108</v>
      </c>
      <c r="BR1856" s="2" t="s">
        <v>84</v>
      </c>
      <c r="BS1856" s="3">
        <v>42964</v>
      </c>
      <c r="BT1856" s="4">
        <v>0.32500000000000001</v>
      </c>
      <c r="BU1856" s="2" t="s">
        <v>1176</v>
      </c>
      <c r="BV1856" s="2" t="s">
        <v>95</v>
      </c>
      <c r="BW1856" s="2"/>
      <c r="BX1856" s="2"/>
      <c r="BY1856" s="2">
        <v>4560.84</v>
      </c>
      <c r="BZ1856" s="2"/>
      <c r="CA1856" s="2" t="s">
        <v>499</v>
      </c>
      <c r="CB1856" s="2"/>
      <c r="CC1856" s="2" t="s">
        <v>245</v>
      </c>
      <c r="CD1856" s="2">
        <v>1459</v>
      </c>
      <c r="CE1856" s="2" t="s">
        <v>104</v>
      </c>
      <c r="CF1856" s="5">
        <v>42965</v>
      </c>
      <c r="CG1856" s="2"/>
      <c r="CH1856" s="2"/>
      <c r="CI1856" s="2">
        <v>1</v>
      </c>
      <c r="CJ1856" s="2">
        <v>1</v>
      </c>
      <c r="CK1856" s="2">
        <v>22</v>
      </c>
      <c r="CL1856" s="2" t="s">
        <v>86</v>
      </c>
      <c r="CM1856" s="2"/>
    </row>
    <row r="1857" spans="1:91">
      <c r="A1857" s="2" t="s">
        <v>71</v>
      </c>
      <c r="B1857" s="2" t="s">
        <v>72</v>
      </c>
      <c r="C1857" s="2" t="s">
        <v>73</v>
      </c>
      <c r="D1857" s="2"/>
      <c r="E1857" s="2" t="str">
        <f>"FES1162569565"</f>
        <v>FES1162569565</v>
      </c>
      <c r="F1857" s="3">
        <v>42963</v>
      </c>
      <c r="G1857" s="2">
        <v>201802</v>
      </c>
      <c r="H1857" s="2" t="s">
        <v>74</v>
      </c>
      <c r="I1857" s="2" t="s">
        <v>75</v>
      </c>
      <c r="J1857" s="2" t="s">
        <v>76</v>
      </c>
      <c r="K1857" s="2" t="s">
        <v>77</v>
      </c>
      <c r="L1857" s="2" t="s">
        <v>149</v>
      </c>
      <c r="M1857" s="2" t="s">
        <v>150</v>
      </c>
      <c r="N1857" s="2" t="s">
        <v>372</v>
      </c>
      <c r="O1857" s="2" t="s">
        <v>100</v>
      </c>
      <c r="P1857" s="2" t="str">
        <f>"2170583893                    "</f>
        <v xml:space="preserve">2170583893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4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1</v>
      </c>
      <c r="BJ1857" s="2">
        <v>0.2</v>
      </c>
      <c r="BK1857" s="2">
        <v>1</v>
      </c>
      <c r="BL1857" s="2">
        <v>41.44</v>
      </c>
      <c r="BM1857" s="2">
        <v>5.8</v>
      </c>
      <c r="BN1857" s="2">
        <v>47.24</v>
      </c>
      <c r="BO1857" s="2">
        <v>47.24</v>
      </c>
      <c r="BP1857" s="2"/>
      <c r="BQ1857" s="2" t="s">
        <v>83</v>
      </c>
      <c r="BR1857" s="2" t="s">
        <v>84</v>
      </c>
      <c r="BS1857" s="3">
        <v>42964</v>
      </c>
      <c r="BT1857" s="4">
        <v>0.36527777777777781</v>
      </c>
      <c r="BU1857" s="2" t="s">
        <v>373</v>
      </c>
      <c r="BV1857" s="2" t="s">
        <v>95</v>
      </c>
      <c r="BW1857" s="2"/>
      <c r="BX1857" s="2"/>
      <c r="BY1857" s="2">
        <v>1200</v>
      </c>
      <c r="BZ1857" s="2"/>
      <c r="CA1857" s="2" t="s">
        <v>235</v>
      </c>
      <c r="CB1857" s="2"/>
      <c r="CC1857" s="2" t="s">
        <v>150</v>
      </c>
      <c r="CD1857" s="2">
        <v>4052</v>
      </c>
      <c r="CE1857" s="2" t="s">
        <v>104</v>
      </c>
      <c r="CF1857" s="5">
        <v>42964</v>
      </c>
      <c r="CG1857" s="2"/>
      <c r="CH1857" s="2"/>
      <c r="CI1857" s="2">
        <v>1</v>
      </c>
      <c r="CJ1857" s="2">
        <v>1</v>
      </c>
      <c r="CK1857" s="2">
        <v>21</v>
      </c>
      <c r="CL1857" s="2" t="s">
        <v>86</v>
      </c>
      <c r="CM1857" s="2"/>
    </row>
    <row r="1858" spans="1:91">
      <c r="A1858" s="2" t="s">
        <v>71</v>
      </c>
      <c r="B1858" s="2" t="s">
        <v>72</v>
      </c>
      <c r="C1858" s="2" t="s">
        <v>73</v>
      </c>
      <c r="D1858" s="2"/>
      <c r="E1858" s="2" t="str">
        <f>"FES1162569535"</f>
        <v>FES1162569535</v>
      </c>
      <c r="F1858" s="3">
        <v>42963</v>
      </c>
      <c r="G1858" s="2">
        <v>201802</v>
      </c>
      <c r="H1858" s="2" t="s">
        <v>74</v>
      </c>
      <c r="I1858" s="2" t="s">
        <v>75</v>
      </c>
      <c r="J1858" s="2" t="s">
        <v>76</v>
      </c>
      <c r="K1858" s="2" t="s">
        <v>77</v>
      </c>
      <c r="L1858" s="2" t="s">
        <v>2227</v>
      </c>
      <c r="M1858" s="2" t="s">
        <v>2228</v>
      </c>
      <c r="N1858" s="2" t="s">
        <v>2314</v>
      </c>
      <c r="O1858" s="2" t="s">
        <v>100</v>
      </c>
      <c r="P1858" s="2" t="str">
        <f>"2170585375                    "</f>
        <v xml:space="preserve">2170585375  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7.75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1</v>
      </c>
      <c r="BJ1858" s="2">
        <v>0.2</v>
      </c>
      <c r="BK1858" s="2">
        <v>1</v>
      </c>
      <c r="BL1858" s="2">
        <v>80.290000000000006</v>
      </c>
      <c r="BM1858" s="2">
        <v>11.24</v>
      </c>
      <c r="BN1858" s="2">
        <v>91.53</v>
      </c>
      <c r="BO1858" s="2">
        <v>91.53</v>
      </c>
      <c r="BP1858" s="2"/>
      <c r="BQ1858" s="2" t="s">
        <v>83</v>
      </c>
      <c r="BR1858" s="2" t="s">
        <v>84</v>
      </c>
      <c r="BS1858" s="3">
        <v>42964</v>
      </c>
      <c r="BT1858" s="4">
        <v>0.47291666666666665</v>
      </c>
      <c r="BU1858" s="2" t="s">
        <v>2484</v>
      </c>
      <c r="BV1858" s="2" t="s">
        <v>95</v>
      </c>
      <c r="BW1858" s="2"/>
      <c r="BX1858" s="2"/>
      <c r="BY1858" s="2">
        <v>1200</v>
      </c>
      <c r="BZ1858" s="2"/>
      <c r="CA1858" s="2" t="s">
        <v>2231</v>
      </c>
      <c r="CB1858" s="2"/>
      <c r="CC1858" s="2" t="s">
        <v>2228</v>
      </c>
      <c r="CD1858" s="2">
        <v>4170</v>
      </c>
      <c r="CE1858" s="2" t="s">
        <v>104</v>
      </c>
      <c r="CF1858" s="5">
        <v>42965</v>
      </c>
      <c r="CG1858" s="2"/>
      <c r="CH1858" s="2"/>
      <c r="CI1858" s="2">
        <v>1</v>
      </c>
      <c r="CJ1858" s="2">
        <v>1</v>
      </c>
      <c r="CK1858" s="2">
        <v>23</v>
      </c>
      <c r="CL1858" s="2" t="s">
        <v>86</v>
      </c>
      <c r="CM1858" s="2"/>
    </row>
    <row r="1859" spans="1:91">
      <c r="A1859" s="2" t="s">
        <v>71</v>
      </c>
      <c r="B1859" s="2" t="s">
        <v>72</v>
      </c>
      <c r="C1859" s="2" t="s">
        <v>73</v>
      </c>
      <c r="D1859" s="2"/>
      <c r="E1859" s="2" t="str">
        <f>"FES1162569539"</f>
        <v>FES1162569539</v>
      </c>
      <c r="F1859" s="3">
        <v>42963</v>
      </c>
      <c r="G1859" s="2">
        <v>201802</v>
      </c>
      <c r="H1859" s="2" t="s">
        <v>74</v>
      </c>
      <c r="I1859" s="2" t="s">
        <v>75</v>
      </c>
      <c r="J1859" s="2" t="s">
        <v>76</v>
      </c>
      <c r="K1859" s="2" t="s">
        <v>77</v>
      </c>
      <c r="L1859" s="2" t="s">
        <v>221</v>
      </c>
      <c r="M1859" s="2" t="s">
        <v>222</v>
      </c>
      <c r="N1859" s="2" t="s">
        <v>1275</v>
      </c>
      <c r="O1859" s="2" t="s">
        <v>100</v>
      </c>
      <c r="P1859" s="2" t="str">
        <f>"2170585382                    "</f>
        <v xml:space="preserve">2170585382  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4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1</v>
      </c>
      <c r="BJ1859" s="2">
        <v>0.2</v>
      </c>
      <c r="BK1859" s="2">
        <v>1</v>
      </c>
      <c r="BL1859" s="2">
        <v>41.44</v>
      </c>
      <c r="BM1859" s="2">
        <v>5.8</v>
      </c>
      <c r="BN1859" s="2">
        <v>47.24</v>
      </c>
      <c r="BO1859" s="2">
        <v>47.24</v>
      </c>
      <c r="BP1859" s="2"/>
      <c r="BQ1859" s="2" t="s">
        <v>83</v>
      </c>
      <c r="BR1859" s="2" t="s">
        <v>84</v>
      </c>
      <c r="BS1859" s="3">
        <v>42964</v>
      </c>
      <c r="BT1859" s="4">
        <v>0.3979166666666667</v>
      </c>
      <c r="BU1859" s="2" t="s">
        <v>2485</v>
      </c>
      <c r="BV1859" s="2" t="s">
        <v>95</v>
      </c>
      <c r="BW1859" s="2"/>
      <c r="BX1859" s="2"/>
      <c r="BY1859" s="2">
        <v>1200</v>
      </c>
      <c r="BZ1859" s="2"/>
      <c r="CA1859" s="2" t="s">
        <v>1536</v>
      </c>
      <c r="CB1859" s="2"/>
      <c r="CC1859" s="2" t="s">
        <v>222</v>
      </c>
      <c r="CD1859" s="2">
        <v>4300</v>
      </c>
      <c r="CE1859" s="2" t="s">
        <v>104</v>
      </c>
      <c r="CF1859" s="5">
        <v>42964</v>
      </c>
      <c r="CG1859" s="2"/>
      <c r="CH1859" s="2"/>
      <c r="CI1859" s="2">
        <v>1</v>
      </c>
      <c r="CJ1859" s="2">
        <v>1</v>
      </c>
      <c r="CK1859" s="2">
        <v>21</v>
      </c>
      <c r="CL1859" s="2" t="s">
        <v>86</v>
      </c>
      <c r="CM1859" s="2"/>
    </row>
    <row r="1860" spans="1:91">
      <c r="A1860" s="2" t="s">
        <v>71</v>
      </c>
      <c r="B1860" s="2" t="s">
        <v>72</v>
      </c>
      <c r="C1860" s="2" t="s">
        <v>73</v>
      </c>
      <c r="D1860" s="2"/>
      <c r="E1860" s="2" t="str">
        <f>"FES1162569560"</f>
        <v>FES1162569560</v>
      </c>
      <c r="F1860" s="3">
        <v>42963</v>
      </c>
      <c r="G1860" s="2">
        <v>201802</v>
      </c>
      <c r="H1860" s="2" t="s">
        <v>74</v>
      </c>
      <c r="I1860" s="2" t="s">
        <v>75</v>
      </c>
      <c r="J1860" s="2" t="s">
        <v>76</v>
      </c>
      <c r="K1860" s="2" t="s">
        <v>77</v>
      </c>
      <c r="L1860" s="2" t="s">
        <v>311</v>
      </c>
      <c r="M1860" s="2" t="s">
        <v>312</v>
      </c>
      <c r="N1860" s="2" t="s">
        <v>2486</v>
      </c>
      <c r="O1860" s="2" t="s">
        <v>100</v>
      </c>
      <c r="P1860" s="2" t="str">
        <f>"2170585401                    "</f>
        <v xml:space="preserve">2170585401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3.13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1</v>
      </c>
      <c r="BI1860" s="2">
        <v>1</v>
      </c>
      <c r="BJ1860" s="2">
        <v>0.2</v>
      </c>
      <c r="BK1860" s="2">
        <v>1</v>
      </c>
      <c r="BL1860" s="2">
        <v>32.380000000000003</v>
      </c>
      <c r="BM1860" s="2">
        <v>4.53</v>
      </c>
      <c r="BN1860" s="2">
        <v>36.909999999999997</v>
      </c>
      <c r="BO1860" s="2">
        <v>36.909999999999997</v>
      </c>
      <c r="BP1860" s="2"/>
      <c r="BQ1860" s="2" t="s">
        <v>83</v>
      </c>
      <c r="BR1860" s="2" t="s">
        <v>84</v>
      </c>
      <c r="BS1860" s="3">
        <v>42964</v>
      </c>
      <c r="BT1860" s="4">
        <v>0.34722222222222227</v>
      </c>
      <c r="BU1860" s="2" t="s">
        <v>2487</v>
      </c>
      <c r="BV1860" s="2" t="s">
        <v>95</v>
      </c>
      <c r="BW1860" s="2"/>
      <c r="BX1860" s="2"/>
      <c r="BY1860" s="2">
        <v>1200</v>
      </c>
      <c r="BZ1860" s="2"/>
      <c r="CA1860" s="2"/>
      <c r="CB1860" s="2"/>
      <c r="CC1860" s="2" t="s">
        <v>312</v>
      </c>
      <c r="CD1860" s="2">
        <v>1559</v>
      </c>
      <c r="CE1860" s="2" t="s">
        <v>104</v>
      </c>
      <c r="CF1860" s="5">
        <v>42965</v>
      </c>
      <c r="CG1860" s="2"/>
      <c r="CH1860" s="2"/>
      <c r="CI1860" s="2">
        <v>1</v>
      </c>
      <c r="CJ1860" s="2">
        <v>1</v>
      </c>
      <c r="CK1860" s="2">
        <v>22</v>
      </c>
      <c r="CL1860" s="2" t="s">
        <v>86</v>
      </c>
      <c r="CM1860" s="2"/>
    </row>
    <row r="1861" spans="1:91">
      <c r="A1861" s="2" t="s">
        <v>71</v>
      </c>
      <c r="B1861" s="2" t="s">
        <v>72</v>
      </c>
      <c r="C1861" s="2" t="s">
        <v>73</v>
      </c>
      <c r="D1861" s="2"/>
      <c r="E1861" s="2" t="str">
        <f>"009935791632"</f>
        <v>009935791632</v>
      </c>
      <c r="F1861" s="3">
        <v>42963</v>
      </c>
      <c r="G1861" s="2">
        <v>201802</v>
      </c>
      <c r="H1861" s="2" t="s">
        <v>74</v>
      </c>
      <c r="I1861" s="2" t="s">
        <v>75</v>
      </c>
      <c r="J1861" s="2" t="s">
        <v>76</v>
      </c>
      <c r="K1861" s="2" t="s">
        <v>77</v>
      </c>
      <c r="L1861" s="2" t="s">
        <v>105</v>
      </c>
      <c r="M1861" s="2" t="s">
        <v>106</v>
      </c>
      <c r="N1861" s="2" t="s">
        <v>534</v>
      </c>
      <c r="O1861" s="2" t="s">
        <v>100</v>
      </c>
      <c r="P1861" s="2" t="str">
        <f>"TONY                          "</f>
        <v xml:space="preserve">TONY      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4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1</v>
      </c>
      <c r="BI1861" s="2">
        <v>0.3</v>
      </c>
      <c r="BJ1861" s="2">
        <v>1.8</v>
      </c>
      <c r="BK1861" s="2">
        <v>2</v>
      </c>
      <c r="BL1861" s="2">
        <v>41.44</v>
      </c>
      <c r="BM1861" s="2">
        <v>5.8</v>
      </c>
      <c r="BN1861" s="2">
        <v>47.24</v>
      </c>
      <c r="BO1861" s="2">
        <v>47.24</v>
      </c>
      <c r="BP1861" s="2"/>
      <c r="BQ1861" s="2" t="s">
        <v>2488</v>
      </c>
      <c r="BR1861" s="2" t="s">
        <v>84</v>
      </c>
      <c r="BS1861" s="3">
        <v>42964</v>
      </c>
      <c r="BT1861" s="4">
        <v>0.36874999999999997</v>
      </c>
      <c r="BU1861" s="2" t="s">
        <v>2489</v>
      </c>
      <c r="BV1861" s="2" t="s">
        <v>95</v>
      </c>
      <c r="BW1861" s="2"/>
      <c r="BX1861" s="2"/>
      <c r="BY1861" s="2">
        <v>8904.98</v>
      </c>
      <c r="BZ1861" s="2"/>
      <c r="CA1861" s="2" t="s">
        <v>112</v>
      </c>
      <c r="CB1861" s="2"/>
      <c r="CC1861" s="2" t="s">
        <v>106</v>
      </c>
      <c r="CD1861" s="2">
        <v>7405</v>
      </c>
      <c r="CE1861" s="2" t="s">
        <v>104</v>
      </c>
      <c r="CF1861" s="5">
        <v>42965</v>
      </c>
      <c r="CG1861" s="2"/>
      <c r="CH1861" s="2"/>
      <c r="CI1861" s="2">
        <v>1</v>
      </c>
      <c r="CJ1861" s="2">
        <v>1</v>
      </c>
      <c r="CK1861" s="2">
        <v>21</v>
      </c>
      <c r="CL1861" s="2" t="s">
        <v>86</v>
      </c>
      <c r="CM1861" s="2"/>
    </row>
    <row r="1862" spans="1:91">
      <c r="A1862" s="2" t="s">
        <v>71</v>
      </c>
      <c r="B1862" s="2" t="s">
        <v>72</v>
      </c>
      <c r="C1862" s="2" t="s">
        <v>73</v>
      </c>
      <c r="D1862" s="2"/>
      <c r="E1862" s="2" t="str">
        <f>"FES1162569148"</f>
        <v>FES1162569148</v>
      </c>
      <c r="F1862" s="3">
        <v>42963</v>
      </c>
      <c r="G1862" s="2">
        <v>201802</v>
      </c>
      <c r="H1862" s="2" t="s">
        <v>74</v>
      </c>
      <c r="I1862" s="2" t="s">
        <v>75</v>
      </c>
      <c r="J1862" s="2" t="s">
        <v>76</v>
      </c>
      <c r="K1862" s="2" t="s">
        <v>77</v>
      </c>
      <c r="L1862" s="2" t="s">
        <v>604</v>
      </c>
      <c r="M1862" s="2" t="s">
        <v>605</v>
      </c>
      <c r="N1862" s="2" t="s">
        <v>1907</v>
      </c>
      <c r="O1862" s="2" t="s">
        <v>100</v>
      </c>
      <c r="P1862" s="2" t="str">
        <f>"2170582955                    "</f>
        <v xml:space="preserve">2170582955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4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1</v>
      </c>
      <c r="BJ1862" s="2">
        <v>0.2</v>
      </c>
      <c r="BK1862" s="2">
        <v>1</v>
      </c>
      <c r="BL1862" s="2">
        <v>41.44</v>
      </c>
      <c r="BM1862" s="2">
        <v>5.8</v>
      </c>
      <c r="BN1862" s="2">
        <v>47.24</v>
      </c>
      <c r="BO1862" s="2">
        <v>47.24</v>
      </c>
      <c r="BP1862" s="2"/>
      <c r="BQ1862" s="2" t="s">
        <v>83</v>
      </c>
      <c r="BR1862" s="2" t="s">
        <v>84</v>
      </c>
      <c r="BS1862" s="3">
        <v>42964</v>
      </c>
      <c r="BT1862" s="4">
        <v>0.35833333333333334</v>
      </c>
      <c r="BU1862" s="2" t="s">
        <v>215</v>
      </c>
      <c r="BV1862" s="2" t="s">
        <v>95</v>
      </c>
      <c r="BW1862" s="2"/>
      <c r="BX1862" s="2"/>
      <c r="BY1862" s="2">
        <v>1200</v>
      </c>
      <c r="BZ1862" s="2"/>
      <c r="CA1862" s="2" t="s">
        <v>607</v>
      </c>
      <c r="CB1862" s="2"/>
      <c r="CC1862" s="2" t="s">
        <v>605</v>
      </c>
      <c r="CD1862" s="2">
        <v>4126</v>
      </c>
      <c r="CE1862" s="2" t="s">
        <v>104</v>
      </c>
      <c r="CF1862" s="5">
        <v>42964</v>
      </c>
      <c r="CG1862" s="2"/>
      <c r="CH1862" s="2"/>
      <c r="CI1862" s="2">
        <v>1</v>
      </c>
      <c r="CJ1862" s="2">
        <v>1</v>
      </c>
      <c r="CK1862" s="2">
        <v>21</v>
      </c>
      <c r="CL1862" s="2" t="s">
        <v>86</v>
      </c>
      <c r="CM1862" s="2"/>
    </row>
    <row r="1863" spans="1:91">
      <c r="A1863" s="2" t="s">
        <v>71</v>
      </c>
      <c r="B1863" s="2" t="s">
        <v>72</v>
      </c>
      <c r="C1863" s="2" t="s">
        <v>73</v>
      </c>
      <c r="D1863" s="2"/>
      <c r="E1863" s="2" t="str">
        <f>"FES1162569512"</f>
        <v>FES1162569512</v>
      </c>
      <c r="F1863" s="3">
        <v>42963</v>
      </c>
      <c r="G1863" s="2">
        <v>201802</v>
      </c>
      <c r="H1863" s="2" t="s">
        <v>74</v>
      </c>
      <c r="I1863" s="2" t="s">
        <v>75</v>
      </c>
      <c r="J1863" s="2" t="s">
        <v>76</v>
      </c>
      <c r="K1863" s="2" t="s">
        <v>77</v>
      </c>
      <c r="L1863" s="2" t="s">
        <v>74</v>
      </c>
      <c r="M1863" s="2" t="s">
        <v>75</v>
      </c>
      <c r="N1863" s="2" t="s">
        <v>2490</v>
      </c>
      <c r="O1863" s="2" t="s">
        <v>100</v>
      </c>
      <c r="P1863" s="2" t="str">
        <f>"2170581766                    "</f>
        <v xml:space="preserve">2170581766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3.5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2.4</v>
      </c>
      <c r="BJ1863" s="2">
        <v>8.1</v>
      </c>
      <c r="BK1863" s="2">
        <v>9</v>
      </c>
      <c r="BL1863" s="2">
        <v>36.26</v>
      </c>
      <c r="BM1863" s="2">
        <v>5.08</v>
      </c>
      <c r="BN1863" s="2">
        <v>41.34</v>
      </c>
      <c r="BO1863" s="2">
        <v>41.34</v>
      </c>
      <c r="BP1863" s="2"/>
      <c r="BQ1863" s="2" t="s">
        <v>83</v>
      </c>
      <c r="BR1863" s="2" t="s">
        <v>84</v>
      </c>
      <c r="BS1863" s="3">
        <v>42964</v>
      </c>
      <c r="BT1863" s="4">
        <v>0.27430555555555552</v>
      </c>
      <c r="BU1863" s="2" t="s">
        <v>2491</v>
      </c>
      <c r="BV1863" s="2" t="s">
        <v>95</v>
      </c>
      <c r="BW1863" s="2"/>
      <c r="BX1863" s="2"/>
      <c r="BY1863" s="2">
        <v>40727.449999999997</v>
      </c>
      <c r="BZ1863" s="2"/>
      <c r="CA1863" s="2" t="s">
        <v>1289</v>
      </c>
      <c r="CB1863" s="2"/>
      <c r="CC1863" s="2" t="s">
        <v>75</v>
      </c>
      <c r="CD1863" s="2">
        <v>1619</v>
      </c>
      <c r="CE1863" s="2" t="s">
        <v>89</v>
      </c>
      <c r="CF1863" s="5">
        <v>42965</v>
      </c>
      <c r="CG1863" s="2"/>
      <c r="CH1863" s="2"/>
      <c r="CI1863" s="2">
        <v>1</v>
      </c>
      <c r="CJ1863" s="2">
        <v>1</v>
      </c>
      <c r="CK1863" s="2">
        <v>22</v>
      </c>
      <c r="CL1863" s="2" t="s">
        <v>86</v>
      </c>
      <c r="CM1863" s="2"/>
    </row>
    <row r="1864" spans="1:91">
      <c r="A1864" s="2" t="s">
        <v>71</v>
      </c>
      <c r="B1864" s="2" t="s">
        <v>72</v>
      </c>
      <c r="C1864" s="2" t="s">
        <v>73</v>
      </c>
      <c r="D1864" s="2"/>
      <c r="E1864" s="2" t="str">
        <f>"FES1162569339"</f>
        <v>FES1162569339</v>
      </c>
      <c r="F1864" s="3">
        <v>42963</v>
      </c>
      <c r="G1864" s="2">
        <v>201802</v>
      </c>
      <c r="H1864" s="2" t="s">
        <v>74</v>
      </c>
      <c r="I1864" s="2" t="s">
        <v>75</v>
      </c>
      <c r="J1864" s="2" t="s">
        <v>76</v>
      </c>
      <c r="K1864" s="2" t="s">
        <v>77</v>
      </c>
      <c r="L1864" s="2" t="s">
        <v>174</v>
      </c>
      <c r="M1864" s="2" t="s">
        <v>175</v>
      </c>
      <c r="N1864" s="2" t="s">
        <v>2492</v>
      </c>
      <c r="O1864" s="2" t="s">
        <v>100</v>
      </c>
      <c r="P1864" s="2" t="str">
        <f>"2170582144                    "</f>
        <v xml:space="preserve">2170582144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4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1</v>
      </c>
      <c r="BJ1864" s="2">
        <v>0.2</v>
      </c>
      <c r="BK1864" s="2">
        <v>1</v>
      </c>
      <c r="BL1864" s="2">
        <v>41.44</v>
      </c>
      <c r="BM1864" s="2">
        <v>5.8</v>
      </c>
      <c r="BN1864" s="2">
        <v>47.24</v>
      </c>
      <c r="BO1864" s="2">
        <v>47.24</v>
      </c>
      <c r="BP1864" s="2"/>
      <c r="BQ1864" s="2" t="s">
        <v>83</v>
      </c>
      <c r="BR1864" s="2" t="s">
        <v>84</v>
      </c>
      <c r="BS1864" s="3">
        <v>42964</v>
      </c>
      <c r="BT1864" s="4">
        <v>0.42152777777777778</v>
      </c>
      <c r="BU1864" s="2" t="s">
        <v>2493</v>
      </c>
      <c r="BV1864" s="2" t="s">
        <v>95</v>
      </c>
      <c r="BW1864" s="2"/>
      <c r="BX1864" s="2"/>
      <c r="BY1864" s="2">
        <v>1200</v>
      </c>
      <c r="BZ1864" s="2"/>
      <c r="CA1864" s="2" t="s">
        <v>1420</v>
      </c>
      <c r="CB1864" s="2"/>
      <c r="CC1864" s="2" t="s">
        <v>175</v>
      </c>
      <c r="CD1864" s="2">
        <v>5201</v>
      </c>
      <c r="CE1864" s="2" t="s">
        <v>104</v>
      </c>
      <c r="CF1864" s="5">
        <v>42965</v>
      </c>
      <c r="CG1864" s="2"/>
      <c r="CH1864" s="2"/>
      <c r="CI1864" s="2">
        <v>1</v>
      </c>
      <c r="CJ1864" s="2">
        <v>1</v>
      </c>
      <c r="CK1864" s="2">
        <v>21</v>
      </c>
      <c r="CL1864" s="2" t="s">
        <v>86</v>
      </c>
      <c r="CM1864" s="2"/>
    </row>
    <row r="1865" spans="1:91">
      <c r="A1865" s="2" t="s">
        <v>71</v>
      </c>
      <c r="B1865" s="2" t="s">
        <v>72</v>
      </c>
      <c r="C1865" s="2" t="s">
        <v>73</v>
      </c>
      <c r="D1865" s="2"/>
      <c r="E1865" s="2" t="str">
        <f>"FES1162569261"</f>
        <v>FES1162569261</v>
      </c>
      <c r="F1865" s="3">
        <v>42963</v>
      </c>
      <c r="G1865" s="2">
        <v>201802</v>
      </c>
      <c r="H1865" s="2" t="s">
        <v>74</v>
      </c>
      <c r="I1865" s="2" t="s">
        <v>75</v>
      </c>
      <c r="J1865" s="2" t="s">
        <v>76</v>
      </c>
      <c r="K1865" s="2" t="s">
        <v>77</v>
      </c>
      <c r="L1865" s="2" t="s">
        <v>174</v>
      </c>
      <c r="M1865" s="2" t="s">
        <v>175</v>
      </c>
      <c r="N1865" s="2" t="s">
        <v>930</v>
      </c>
      <c r="O1865" s="2" t="s">
        <v>100</v>
      </c>
      <c r="P1865" s="2" t="str">
        <f>"2170585165                    "</f>
        <v xml:space="preserve">2170585165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4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1</v>
      </c>
      <c r="BJ1865" s="2">
        <v>0.2</v>
      </c>
      <c r="BK1865" s="2">
        <v>1</v>
      </c>
      <c r="BL1865" s="2">
        <v>41.44</v>
      </c>
      <c r="BM1865" s="2">
        <v>5.8</v>
      </c>
      <c r="BN1865" s="2">
        <v>47.24</v>
      </c>
      <c r="BO1865" s="2">
        <v>47.24</v>
      </c>
      <c r="BP1865" s="2"/>
      <c r="BQ1865" s="2" t="s">
        <v>83</v>
      </c>
      <c r="BR1865" s="2" t="s">
        <v>84</v>
      </c>
      <c r="BS1865" s="3">
        <v>42964</v>
      </c>
      <c r="BT1865" s="4">
        <v>0.47986111111111113</v>
      </c>
      <c r="BU1865" s="2" t="s">
        <v>1372</v>
      </c>
      <c r="BV1865" s="2" t="s">
        <v>86</v>
      </c>
      <c r="BW1865" s="2" t="s">
        <v>110</v>
      </c>
      <c r="BX1865" s="2" t="s">
        <v>592</v>
      </c>
      <c r="BY1865" s="2">
        <v>1200</v>
      </c>
      <c r="BZ1865" s="2" t="s">
        <v>27</v>
      </c>
      <c r="CA1865" s="2" t="s">
        <v>1373</v>
      </c>
      <c r="CB1865" s="2"/>
      <c r="CC1865" s="2" t="s">
        <v>175</v>
      </c>
      <c r="CD1865" s="2">
        <v>5201</v>
      </c>
      <c r="CE1865" s="2" t="s">
        <v>2494</v>
      </c>
      <c r="CF1865" s="5">
        <v>42965</v>
      </c>
      <c r="CG1865" s="2"/>
      <c r="CH1865" s="2"/>
      <c r="CI1865" s="2">
        <v>1</v>
      </c>
      <c r="CJ1865" s="2">
        <v>1</v>
      </c>
      <c r="CK1865" s="2">
        <v>21</v>
      </c>
      <c r="CL1865" s="2" t="s">
        <v>86</v>
      </c>
      <c r="CM1865" s="2"/>
    </row>
    <row r="1866" spans="1:91">
      <c r="A1866" s="2" t="s">
        <v>71</v>
      </c>
      <c r="B1866" s="2" t="s">
        <v>72</v>
      </c>
      <c r="C1866" s="2" t="s">
        <v>73</v>
      </c>
      <c r="D1866" s="2"/>
      <c r="E1866" s="2" t="str">
        <f>"FES1162569860"</f>
        <v>FES1162569860</v>
      </c>
      <c r="F1866" s="3">
        <v>42964</v>
      </c>
      <c r="G1866" s="2">
        <v>201802</v>
      </c>
      <c r="H1866" s="2" t="s">
        <v>74</v>
      </c>
      <c r="I1866" s="2" t="s">
        <v>75</v>
      </c>
      <c r="J1866" s="2" t="s">
        <v>76</v>
      </c>
      <c r="K1866" s="2" t="s">
        <v>77</v>
      </c>
      <c r="L1866" s="2" t="s">
        <v>97</v>
      </c>
      <c r="M1866" s="2" t="s">
        <v>98</v>
      </c>
      <c r="N1866" s="2" t="s">
        <v>597</v>
      </c>
      <c r="O1866" s="2" t="s">
        <v>100</v>
      </c>
      <c r="P1866" s="2" t="str">
        <f>"2170585359                    "</f>
        <v xml:space="preserve">2170585359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4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1</v>
      </c>
      <c r="BJ1866" s="2">
        <v>0.2</v>
      </c>
      <c r="BK1866" s="2">
        <v>1</v>
      </c>
      <c r="BL1866" s="2">
        <v>41.44</v>
      </c>
      <c r="BM1866" s="2">
        <v>5.8</v>
      </c>
      <c r="BN1866" s="2">
        <v>47.24</v>
      </c>
      <c r="BO1866" s="2">
        <v>47.24</v>
      </c>
      <c r="BP1866" s="2"/>
      <c r="BQ1866" s="2" t="s">
        <v>288</v>
      </c>
      <c r="BR1866" s="2" t="s">
        <v>84</v>
      </c>
      <c r="BS1866" s="3">
        <v>42965</v>
      </c>
      <c r="BT1866" s="4">
        <v>0.3923611111111111</v>
      </c>
      <c r="BU1866" s="2" t="s">
        <v>2495</v>
      </c>
      <c r="BV1866" s="2" t="s">
        <v>95</v>
      </c>
      <c r="BW1866" s="2"/>
      <c r="BX1866" s="2"/>
      <c r="BY1866" s="2">
        <v>1200</v>
      </c>
      <c r="BZ1866" s="2"/>
      <c r="CA1866" s="2" t="s">
        <v>2065</v>
      </c>
      <c r="CB1866" s="2"/>
      <c r="CC1866" s="2" t="s">
        <v>98</v>
      </c>
      <c r="CD1866" s="2">
        <v>6070</v>
      </c>
      <c r="CE1866" s="2" t="s">
        <v>104</v>
      </c>
      <c r="CF1866" s="5">
        <v>42968</v>
      </c>
      <c r="CG1866" s="2"/>
      <c r="CH1866" s="2"/>
      <c r="CI1866" s="2">
        <v>1</v>
      </c>
      <c r="CJ1866" s="2">
        <v>1</v>
      </c>
      <c r="CK1866" s="2">
        <v>21</v>
      </c>
      <c r="CL1866" s="2" t="s">
        <v>86</v>
      </c>
      <c r="CM1866" s="2"/>
    </row>
    <row r="1867" spans="1:91">
      <c r="A1867" s="2" t="s">
        <v>71</v>
      </c>
      <c r="B1867" s="2" t="s">
        <v>72</v>
      </c>
      <c r="C1867" s="2" t="s">
        <v>73</v>
      </c>
      <c r="D1867" s="2"/>
      <c r="E1867" s="2" t="str">
        <f>"FES1162568597"</f>
        <v>FES1162568597</v>
      </c>
      <c r="F1867" s="3">
        <v>42961</v>
      </c>
      <c r="G1867" s="2">
        <v>201802</v>
      </c>
      <c r="H1867" s="2" t="s">
        <v>74</v>
      </c>
      <c r="I1867" s="2" t="s">
        <v>75</v>
      </c>
      <c r="J1867" s="2" t="s">
        <v>76</v>
      </c>
      <c r="K1867" s="2" t="s">
        <v>77</v>
      </c>
      <c r="L1867" s="2" t="s">
        <v>74</v>
      </c>
      <c r="M1867" s="2" t="s">
        <v>75</v>
      </c>
      <c r="N1867" s="2" t="s">
        <v>2316</v>
      </c>
      <c r="O1867" s="2" t="s">
        <v>100</v>
      </c>
      <c r="P1867" s="2" t="str">
        <f>"2170584668 123333             "</f>
        <v xml:space="preserve">2170584668 123333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3.13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1</v>
      </c>
      <c r="BJ1867" s="2">
        <v>0.2</v>
      </c>
      <c r="BK1867" s="2">
        <v>1</v>
      </c>
      <c r="BL1867" s="2">
        <v>32.380000000000003</v>
      </c>
      <c r="BM1867" s="2">
        <v>4.53</v>
      </c>
      <c r="BN1867" s="2">
        <v>36.909999999999997</v>
      </c>
      <c r="BO1867" s="2">
        <v>36.909999999999997</v>
      </c>
      <c r="BP1867" s="2"/>
      <c r="BQ1867" s="2" t="s">
        <v>2317</v>
      </c>
      <c r="BR1867" s="2" t="s">
        <v>84</v>
      </c>
      <c r="BS1867" s="3">
        <v>42964</v>
      </c>
      <c r="BT1867" s="4">
        <v>0.34236111111111112</v>
      </c>
      <c r="BU1867" s="2" t="s">
        <v>2496</v>
      </c>
      <c r="BV1867" s="2" t="s">
        <v>86</v>
      </c>
      <c r="BW1867" s="2" t="s">
        <v>124</v>
      </c>
      <c r="BX1867" s="2" t="s">
        <v>498</v>
      </c>
      <c r="BY1867" s="2">
        <v>1200</v>
      </c>
      <c r="BZ1867" s="2"/>
      <c r="CA1867" s="2" t="s">
        <v>1289</v>
      </c>
      <c r="CB1867" s="2"/>
      <c r="CC1867" s="2" t="s">
        <v>75</v>
      </c>
      <c r="CD1867" s="2">
        <v>1619</v>
      </c>
      <c r="CE1867" s="2" t="s">
        <v>104</v>
      </c>
      <c r="CF1867" s="5">
        <v>42965</v>
      </c>
      <c r="CG1867" s="2"/>
      <c r="CH1867" s="2"/>
      <c r="CI1867" s="2">
        <v>1</v>
      </c>
      <c r="CJ1867" s="2">
        <v>3</v>
      </c>
      <c r="CK1867" s="2">
        <v>22</v>
      </c>
      <c r="CL1867" s="2" t="s">
        <v>86</v>
      </c>
      <c r="CM1867" s="2"/>
    </row>
    <row r="1868" spans="1:91">
      <c r="A1868" s="2" t="s">
        <v>71</v>
      </c>
      <c r="B1868" s="2" t="s">
        <v>72</v>
      </c>
      <c r="C1868" s="2" t="s">
        <v>73</v>
      </c>
      <c r="D1868" s="2"/>
      <c r="E1868" s="2" t="str">
        <f>"FES1162569799"</f>
        <v>FES1162569799</v>
      </c>
      <c r="F1868" s="3">
        <v>42964</v>
      </c>
      <c r="G1868" s="2">
        <v>201802</v>
      </c>
      <c r="H1868" s="2" t="s">
        <v>74</v>
      </c>
      <c r="I1868" s="2" t="s">
        <v>75</v>
      </c>
      <c r="J1868" s="2" t="s">
        <v>76</v>
      </c>
      <c r="K1868" s="2" t="s">
        <v>77</v>
      </c>
      <c r="L1868" s="2" t="s">
        <v>105</v>
      </c>
      <c r="M1868" s="2" t="s">
        <v>106</v>
      </c>
      <c r="N1868" s="2" t="s">
        <v>2497</v>
      </c>
      <c r="O1868" s="2" t="s">
        <v>100</v>
      </c>
      <c r="P1868" s="2" t="str">
        <f>"2170585583                    "</f>
        <v xml:space="preserve">2170585583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4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1</v>
      </c>
      <c r="BJ1868" s="2">
        <v>0.2</v>
      </c>
      <c r="BK1868" s="2">
        <v>1</v>
      </c>
      <c r="BL1868" s="2">
        <v>41.44</v>
      </c>
      <c r="BM1868" s="2">
        <v>5.8</v>
      </c>
      <c r="BN1868" s="2">
        <v>47.24</v>
      </c>
      <c r="BO1868" s="2">
        <v>47.24</v>
      </c>
      <c r="BP1868" s="2"/>
      <c r="BQ1868" s="2" t="s">
        <v>83</v>
      </c>
      <c r="BR1868" s="2" t="s">
        <v>84</v>
      </c>
      <c r="BS1868" s="3">
        <v>42965</v>
      </c>
      <c r="BT1868" s="4">
        <v>0.35833333333333334</v>
      </c>
      <c r="BU1868" s="2" t="s">
        <v>2498</v>
      </c>
      <c r="BV1868" s="2" t="s">
        <v>95</v>
      </c>
      <c r="BW1868" s="2"/>
      <c r="BX1868" s="2"/>
      <c r="BY1868" s="2">
        <v>1200</v>
      </c>
      <c r="BZ1868" s="2"/>
      <c r="CA1868" s="2" t="s">
        <v>291</v>
      </c>
      <c r="CB1868" s="2"/>
      <c r="CC1868" s="2" t="s">
        <v>106</v>
      </c>
      <c r="CD1868" s="2">
        <v>7441</v>
      </c>
      <c r="CE1868" s="2" t="s">
        <v>104</v>
      </c>
      <c r="CF1868" s="5">
        <v>42968</v>
      </c>
      <c r="CG1868" s="2"/>
      <c r="CH1868" s="2"/>
      <c r="CI1868" s="2">
        <v>1</v>
      </c>
      <c r="CJ1868" s="2">
        <v>1</v>
      </c>
      <c r="CK1868" s="2">
        <v>21</v>
      </c>
      <c r="CL1868" s="2" t="s">
        <v>86</v>
      </c>
      <c r="CM1868" s="2"/>
    </row>
    <row r="1869" spans="1:91">
      <c r="A1869" s="2" t="s">
        <v>71</v>
      </c>
      <c r="B1869" s="2" t="s">
        <v>72</v>
      </c>
      <c r="C1869" s="2" t="s">
        <v>73</v>
      </c>
      <c r="D1869" s="2"/>
      <c r="E1869" s="2" t="str">
        <f>"FES1162569517"</f>
        <v>FES1162569517</v>
      </c>
      <c r="F1869" s="3">
        <v>42963</v>
      </c>
      <c r="G1869" s="2">
        <v>201802</v>
      </c>
      <c r="H1869" s="2" t="s">
        <v>74</v>
      </c>
      <c r="I1869" s="2" t="s">
        <v>75</v>
      </c>
      <c r="J1869" s="2" t="s">
        <v>76</v>
      </c>
      <c r="K1869" s="2" t="s">
        <v>77</v>
      </c>
      <c r="L1869" s="2" t="s">
        <v>710</v>
      </c>
      <c r="M1869" s="2" t="s">
        <v>711</v>
      </c>
      <c r="N1869" s="2" t="s">
        <v>2499</v>
      </c>
      <c r="O1869" s="2" t="s">
        <v>100</v>
      </c>
      <c r="P1869" s="2" t="str">
        <f>"2170585282                    "</f>
        <v xml:space="preserve">2170585282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14.76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2.5</v>
      </c>
      <c r="BJ1869" s="2">
        <v>3.9</v>
      </c>
      <c r="BK1869" s="2">
        <v>4</v>
      </c>
      <c r="BL1869" s="2">
        <v>152.82</v>
      </c>
      <c r="BM1869" s="2">
        <v>21.39</v>
      </c>
      <c r="BN1869" s="2">
        <v>174.21</v>
      </c>
      <c r="BO1869" s="2">
        <v>174.21</v>
      </c>
      <c r="BP1869" s="2"/>
      <c r="BQ1869" s="2" t="s">
        <v>83</v>
      </c>
      <c r="BR1869" s="2" t="s">
        <v>84</v>
      </c>
      <c r="BS1869" s="3">
        <v>42969</v>
      </c>
      <c r="BT1869" s="4">
        <v>0.54166666666666663</v>
      </c>
      <c r="BU1869" s="2" t="s">
        <v>2500</v>
      </c>
      <c r="BV1869" s="2" t="s">
        <v>86</v>
      </c>
      <c r="BW1869" s="2" t="s">
        <v>336</v>
      </c>
      <c r="BX1869" s="2" t="s">
        <v>337</v>
      </c>
      <c r="BY1869" s="2">
        <v>19682.66</v>
      </c>
      <c r="BZ1869" s="2"/>
      <c r="CA1869" s="2"/>
      <c r="CB1869" s="2"/>
      <c r="CC1869" s="2" t="s">
        <v>711</v>
      </c>
      <c r="CD1869" s="2">
        <v>4339</v>
      </c>
      <c r="CE1869" s="2" t="s">
        <v>89</v>
      </c>
      <c r="CF1869" s="5">
        <v>42970</v>
      </c>
      <c r="CG1869" s="2"/>
      <c r="CH1869" s="2"/>
      <c r="CI1869" s="2">
        <v>1</v>
      </c>
      <c r="CJ1869" s="2">
        <v>4</v>
      </c>
      <c r="CK1869" s="2">
        <v>23</v>
      </c>
      <c r="CL1869" s="2" t="s">
        <v>86</v>
      </c>
      <c r="CM1869" s="2"/>
    </row>
    <row r="1870" spans="1:91">
      <c r="A1870" s="2" t="s">
        <v>71</v>
      </c>
      <c r="B1870" s="2" t="s">
        <v>72</v>
      </c>
      <c r="C1870" s="2" t="s">
        <v>73</v>
      </c>
      <c r="D1870" s="2"/>
      <c r="E1870" s="2" t="str">
        <f>"FES1162569268"</f>
        <v>FES1162569268</v>
      </c>
      <c r="F1870" s="3">
        <v>42963</v>
      </c>
      <c r="G1870" s="2">
        <v>201802</v>
      </c>
      <c r="H1870" s="2" t="s">
        <v>74</v>
      </c>
      <c r="I1870" s="2" t="s">
        <v>75</v>
      </c>
      <c r="J1870" s="2" t="s">
        <v>76</v>
      </c>
      <c r="K1870" s="2" t="s">
        <v>77</v>
      </c>
      <c r="L1870" s="2" t="s">
        <v>149</v>
      </c>
      <c r="M1870" s="2" t="s">
        <v>150</v>
      </c>
      <c r="N1870" s="2" t="s">
        <v>2143</v>
      </c>
      <c r="O1870" s="2" t="s">
        <v>100</v>
      </c>
      <c r="P1870" s="2" t="str">
        <f>"2170585171                    "</f>
        <v xml:space="preserve">2170585171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4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1</v>
      </c>
      <c r="BJ1870" s="2">
        <v>0.2</v>
      </c>
      <c r="BK1870" s="2">
        <v>1</v>
      </c>
      <c r="BL1870" s="2">
        <v>41.44</v>
      </c>
      <c r="BM1870" s="2">
        <v>5.8</v>
      </c>
      <c r="BN1870" s="2">
        <v>47.24</v>
      </c>
      <c r="BO1870" s="2">
        <v>47.24</v>
      </c>
      <c r="BP1870" s="2"/>
      <c r="BQ1870" s="2" t="s">
        <v>83</v>
      </c>
      <c r="BR1870" s="2" t="s">
        <v>84</v>
      </c>
      <c r="BS1870" s="3">
        <v>42965</v>
      </c>
      <c r="BT1870" s="4">
        <v>0.38472222222222219</v>
      </c>
      <c r="BU1870" s="2" t="s">
        <v>2501</v>
      </c>
      <c r="BV1870" s="2" t="s">
        <v>86</v>
      </c>
      <c r="BW1870" s="2" t="s">
        <v>336</v>
      </c>
      <c r="BX1870" s="2" t="s">
        <v>337</v>
      </c>
      <c r="BY1870" s="2">
        <v>1200</v>
      </c>
      <c r="BZ1870" s="2"/>
      <c r="CA1870" s="2" t="s">
        <v>839</v>
      </c>
      <c r="CB1870" s="2"/>
      <c r="CC1870" s="2" t="s">
        <v>150</v>
      </c>
      <c r="CD1870" s="2">
        <v>4051</v>
      </c>
      <c r="CE1870" s="2" t="s">
        <v>104</v>
      </c>
      <c r="CF1870" s="5">
        <v>42968</v>
      </c>
      <c r="CG1870" s="2"/>
      <c r="CH1870" s="2"/>
      <c r="CI1870" s="2">
        <v>1</v>
      </c>
      <c r="CJ1870" s="2">
        <v>2</v>
      </c>
      <c r="CK1870" s="2">
        <v>21</v>
      </c>
      <c r="CL1870" s="2" t="s">
        <v>86</v>
      </c>
      <c r="CM1870" s="2"/>
    </row>
    <row r="1871" spans="1:91">
      <c r="A1871" s="2" t="s">
        <v>71</v>
      </c>
      <c r="B1871" s="2" t="s">
        <v>72</v>
      </c>
      <c r="C1871" s="2" t="s">
        <v>73</v>
      </c>
      <c r="D1871" s="2"/>
      <c r="E1871" s="2" t="str">
        <f>"FES1162569739"</f>
        <v>FES1162569739</v>
      </c>
      <c r="F1871" s="3">
        <v>42964</v>
      </c>
      <c r="G1871" s="2">
        <v>201802</v>
      </c>
      <c r="H1871" s="2" t="s">
        <v>74</v>
      </c>
      <c r="I1871" s="2" t="s">
        <v>75</v>
      </c>
      <c r="J1871" s="2" t="s">
        <v>76</v>
      </c>
      <c r="K1871" s="2" t="s">
        <v>77</v>
      </c>
      <c r="L1871" s="2" t="s">
        <v>417</v>
      </c>
      <c r="M1871" s="2" t="s">
        <v>417</v>
      </c>
      <c r="N1871" s="2" t="s">
        <v>475</v>
      </c>
      <c r="O1871" s="2" t="s">
        <v>100</v>
      </c>
      <c r="P1871" s="2" t="str">
        <f>"2170583272                    "</f>
        <v xml:space="preserve">2170583272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4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1</v>
      </c>
      <c r="BJ1871" s="2">
        <v>0.2</v>
      </c>
      <c r="BK1871" s="2">
        <v>1</v>
      </c>
      <c r="BL1871" s="2">
        <v>41.44</v>
      </c>
      <c r="BM1871" s="2">
        <v>5.8</v>
      </c>
      <c r="BN1871" s="2">
        <v>47.24</v>
      </c>
      <c r="BO1871" s="2">
        <v>47.24</v>
      </c>
      <c r="BP1871" s="2"/>
      <c r="BQ1871" s="2" t="s">
        <v>108</v>
      </c>
      <c r="BR1871" s="2" t="s">
        <v>84</v>
      </c>
      <c r="BS1871" s="3">
        <v>42965</v>
      </c>
      <c r="BT1871" s="4">
        <v>0.4458333333333333</v>
      </c>
      <c r="BU1871" s="2" t="s">
        <v>476</v>
      </c>
      <c r="BV1871" s="2" t="s">
        <v>95</v>
      </c>
      <c r="BW1871" s="2"/>
      <c r="BX1871" s="2"/>
      <c r="BY1871" s="2">
        <v>1200</v>
      </c>
      <c r="BZ1871" s="2"/>
      <c r="CA1871" s="2" t="s">
        <v>460</v>
      </c>
      <c r="CB1871" s="2"/>
      <c r="CC1871" s="2" t="s">
        <v>417</v>
      </c>
      <c r="CD1871" s="2">
        <v>7646</v>
      </c>
      <c r="CE1871" s="2" t="s">
        <v>104</v>
      </c>
      <c r="CF1871" s="5">
        <v>42968</v>
      </c>
      <c r="CG1871" s="2"/>
      <c r="CH1871" s="2"/>
      <c r="CI1871" s="2">
        <v>1</v>
      </c>
      <c r="CJ1871" s="2">
        <v>1</v>
      </c>
      <c r="CK1871" s="2">
        <v>21</v>
      </c>
      <c r="CL1871" s="2" t="s">
        <v>86</v>
      </c>
      <c r="CM1871" s="2"/>
    </row>
    <row r="1872" spans="1:91">
      <c r="A1872" s="2" t="s">
        <v>71</v>
      </c>
      <c r="B1872" s="2" t="s">
        <v>72</v>
      </c>
      <c r="C1872" s="2" t="s">
        <v>73</v>
      </c>
      <c r="D1872" s="2"/>
      <c r="E1872" s="2" t="str">
        <f>"FES1162569816"</f>
        <v>FES1162569816</v>
      </c>
      <c r="F1872" s="3">
        <v>42964</v>
      </c>
      <c r="G1872" s="2">
        <v>201802</v>
      </c>
      <c r="H1872" s="2" t="s">
        <v>74</v>
      </c>
      <c r="I1872" s="2" t="s">
        <v>75</v>
      </c>
      <c r="J1872" s="2" t="s">
        <v>76</v>
      </c>
      <c r="K1872" s="2" t="s">
        <v>77</v>
      </c>
      <c r="L1872" s="2" t="s">
        <v>74</v>
      </c>
      <c r="M1872" s="2" t="s">
        <v>75</v>
      </c>
      <c r="N1872" s="2" t="s">
        <v>1967</v>
      </c>
      <c r="O1872" s="2" t="s">
        <v>100</v>
      </c>
      <c r="P1872" s="2" t="str">
        <f>"2170585604                    "</f>
        <v xml:space="preserve">2170585604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3.13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1</v>
      </c>
      <c r="BJ1872" s="2">
        <v>0.2</v>
      </c>
      <c r="BK1872" s="2">
        <v>1</v>
      </c>
      <c r="BL1872" s="2">
        <v>32.380000000000003</v>
      </c>
      <c r="BM1872" s="2">
        <v>4.53</v>
      </c>
      <c r="BN1872" s="2">
        <v>36.909999999999997</v>
      </c>
      <c r="BO1872" s="2">
        <v>36.909999999999997</v>
      </c>
      <c r="BP1872" s="2"/>
      <c r="BQ1872" s="2" t="s">
        <v>288</v>
      </c>
      <c r="BR1872" s="2" t="s">
        <v>84</v>
      </c>
      <c r="BS1872" s="3">
        <v>42965</v>
      </c>
      <c r="BT1872" s="4">
        <v>0.37222222222222223</v>
      </c>
      <c r="BU1872" s="2" t="s">
        <v>2502</v>
      </c>
      <c r="BV1872" s="2" t="s">
        <v>95</v>
      </c>
      <c r="BW1872" s="2"/>
      <c r="BX1872" s="2"/>
      <c r="BY1872" s="2">
        <v>1200</v>
      </c>
      <c r="BZ1872" s="2"/>
      <c r="CA1872" s="2" t="s">
        <v>2242</v>
      </c>
      <c r="CB1872" s="2"/>
      <c r="CC1872" s="2" t="s">
        <v>75</v>
      </c>
      <c r="CD1872" s="2">
        <v>1682</v>
      </c>
      <c r="CE1872" s="2" t="s">
        <v>104</v>
      </c>
      <c r="CF1872" s="5">
        <v>42968</v>
      </c>
      <c r="CG1872" s="2"/>
      <c r="CH1872" s="2"/>
      <c r="CI1872" s="2">
        <v>1</v>
      </c>
      <c r="CJ1872" s="2">
        <v>1</v>
      </c>
      <c r="CK1872" s="2">
        <v>22</v>
      </c>
      <c r="CL1872" s="2" t="s">
        <v>86</v>
      </c>
      <c r="CM1872" s="2"/>
    </row>
    <row r="1873" spans="1:91">
      <c r="A1873" s="2" t="s">
        <v>71</v>
      </c>
      <c r="B1873" s="2" t="s">
        <v>72</v>
      </c>
      <c r="C1873" s="2" t="s">
        <v>73</v>
      </c>
      <c r="D1873" s="2"/>
      <c r="E1873" s="2" t="str">
        <f>"FES1162569580"</f>
        <v>FES1162569580</v>
      </c>
      <c r="F1873" s="3">
        <v>42964</v>
      </c>
      <c r="G1873" s="2">
        <v>201802</v>
      </c>
      <c r="H1873" s="2" t="s">
        <v>74</v>
      </c>
      <c r="I1873" s="2" t="s">
        <v>75</v>
      </c>
      <c r="J1873" s="2" t="s">
        <v>76</v>
      </c>
      <c r="K1873" s="2" t="s">
        <v>77</v>
      </c>
      <c r="L1873" s="2" t="s">
        <v>343</v>
      </c>
      <c r="M1873" s="2" t="s">
        <v>344</v>
      </c>
      <c r="N1873" s="2" t="s">
        <v>351</v>
      </c>
      <c r="O1873" s="2" t="s">
        <v>100</v>
      </c>
      <c r="P1873" s="2" t="str">
        <f>"2170583616                    "</f>
        <v xml:space="preserve">2170583616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4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1</v>
      </c>
      <c r="BJ1873" s="2">
        <v>0.2</v>
      </c>
      <c r="BK1873" s="2">
        <v>1</v>
      </c>
      <c r="BL1873" s="2">
        <v>41.44</v>
      </c>
      <c r="BM1873" s="2">
        <v>5.8</v>
      </c>
      <c r="BN1873" s="2">
        <v>47.24</v>
      </c>
      <c r="BO1873" s="2">
        <v>47.24</v>
      </c>
      <c r="BP1873" s="2"/>
      <c r="BQ1873" s="2" t="s">
        <v>108</v>
      </c>
      <c r="BR1873" s="2" t="s">
        <v>84</v>
      </c>
      <c r="BS1873" s="3">
        <v>42965</v>
      </c>
      <c r="BT1873" s="4">
        <v>0.34861111111111115</v>
      </c>
      <c r="BU1873" s="2" t="s">
        <v>2240</v>
      </c>
      <c r="BV1873" s="2" t="s">
        <v>95</v>
      </c>
      <c r="BW1873" s="2"/>
      <c r="BX1873" s="2"/>
      <c r="BY1873" s="2">
        <v>1200</v>
      </c>
      <c r="BZ1873" s="2" t="s">
        <v>27</v>
      </c>
      <c r="CA1873" s="2" t="s">
        <v>347</v>
      </c>
      <c r="CB1873" s="2"/>
      <c r="CC1873" s="2" t="s">
        <v>344</v>
      </c>
      <c r="CD1873" s="2">
        <v>4133</v>
      </c>
      <c r="CE1873" s="2" t="s">
        <v>104</v>
      </c>
      <c r="CF1873" s="5">
        <v>42968</v>
      </c>
      <c r="CG1873" s="2"/>
      <c r="CH1873" s="2"/>
      <c r="CI1873" s="2">
        <v>1</v>
      </c>
      <c r="CJ1873" s="2">
        <v>1</v>
      </c>
      <c r="CK1873" s="2">
        <v>21</v>
      </c>
      <c r="CL1873" s="2" t="s">
        <v>86</v>
      </c>
      <c r="CM1873" s="2"/>
    </row>
    <row r="1874" spans="1:91">
      <c r="A1874" s="2" t="s">
        <v>71</v>
      </c>
      <c r="B1874" s="2" t="s">
        <v>72</v>
      </c>
      <c r="C1874" s="2" t="s">
        <v>73</v>
      </c>
      <c r="D1874" s="2"/>
      <c r="E1874" s="2" t="str">
        <f>"FES1162569738"</f>
        <v>FES1162569738</v>
      </c>
      <c r="F1874" s="3">
        <v>42964</v>
      </c>
      <c r="G1874" s="2">
        <v>201802</v>
      </c>
      <c r="H1874" s="2" t="s">
        <v>74</v>
      </c>
      <c r="I1874" s="2" t="s">
        <v>75</v>
      </c>
      <c r="J1874" s="2" t="s">
        <v>76</v>
      </c>
      <c r="K1874" s="2" t="s">
        <v>77</v>
      </c>
      <c r="L1874" s="2" t="s">
        <v>939</v>
      </c>
      <c r="M1874" s="2" t="s">
        <v>940</v>
      </c>
      <c r="N1874" s="2" t="s">
        <v>941</v>
      </c>
      <c r="O1874" s="2" t="s">
        <v>100</v>
      </c>
      <c r="P1874" s="2" t="str">
        <f>"2170583263                    "</f>
        <v xml:space="preserve">2170583263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5.63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1</v>
      </c>
      <c r="BJ1874" s="2">
        <v>0.2</v>
      </c>
      <c r="BK1874" s="2">
        <v>1</v>
      </c>
      <c r="BL1874" s="2">
        <v>58.28</v>
      </c>
      <c r="BM1874" s="2">
        <v>8.16</v>
      </c>
      <c r="BN1874" s="2">
        <v>66.44</v>
      </c>
      <c r="BO1874" s="2">
        <v>66.44</v>
      </c>
      <c r="BP1874" s="2"/>
      <c r="BQ1874" s="2" t="s">
        <v>108</v>
      </c>
      <c r="BR1874" s="2" t="s">
        <v>84</v>
      </c>
      <c r="BS1874" s="3">
        <v>42968</v>
      </c>
      <c r="BT1874" s="4">
        <v>0.61111111111111105</v>
      </c>
      <c r="BU1874" s="2" t="s">
        <v>1677</v>
      </c>
      <c r="BV1874" s="2" t="s">
        <v>95</v>
      </c>
      <c r="BW1874" s="2"/>
      <c r="BX1874" s="2"/>
      <c r="BY1874" s="2">
        <v>1200</v>
      </c>
      <c r="BZ1874" s="2"/>
      <c r="CA1874" s="2" t="s">
        <v>943</v>
      </c>
      <c r="CB1874" s="2"/>
      <c r="CC1874" s="2" t="s">
        <v>940</v>
      </c>
      <c r="CD1874" s="2">
        <v>1028</v>
      </c>
      <c r="CE1874" s="2" t="s">
        <v>104</v>
      </c>
      <c r="CF1874" s="5">
        <v>42969</v>
      </c>
      <c r="CG1874" s="2"/>
      <c r="CH1874" s="2"/>
      <c r="CI1874" s="2">
        <v>2</v>
      </c>
      <c r="CJ1874" s="2">
        <v>2</v>
      </c>
      <c r="CK1874" s="2">
        <v>24</v>
      </c>
      <c r="CL1874" s="2" t="s">
        <v>86</v>
      </c>
      <c r="CM1874" s="2"/>
    </row>
    <row r="1875" spans="1:91">
      <c r="A1875" s="2" t="s">
        <v>71</v>
      </c>
      <c r="B1875" s="2" t="s">
        <v>72</v>
      </c>
      <c r="C1875" s="2" t="s">
        <v>73</v>
      </c>
      <c r="D1875" s="2"/>
      <c r="E1875" s="2" t="str">
        <f>"FES1162569648"</f>
        <v>FES1162569648</v>
      </c>
      <c r="F1875" s="3">
        <v>42964</v>
      </c>
      <c r="G1875" s="2">
        <v>201802</v>
      </c>
      <c r="H1875" s="2" t="s">
        <v>74</v>
      </c>
      <c r="I1875" s="2" t="s">
        <v>75</v>
      </c>
      <c r="J1875" s="2" t="s">
        <v>76</v>
      </c>
      <c r="K1875" s="2" t="s">
        <v>77</v>
      </c>
      <c r="L1875" s="2" t="s">
        <v>604</v>
      </c>
      <c r="M1875" s="2" t="s">
        <v>605</v>
      </c>
      <c r="N1875" s="2" t="s">
        <v>391</v>
      </c>
      <c r="O1875" s="2" t="s">
        <v>100</v>
      </c>
      <c r="P1875" s="2" t="str">
        <f>"2170582955                    "</f>
        <v xml:space="preserve">2170582955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4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1</v>
      </c>
      <c r="BJ1875" s="2">
        <v>0.2</v>
      </c>
      <c r="BK1875" s="2">
        <v>1</v>
      </c>
      <c r="BL1875" s="2">
        <v>41.44</v>
      </c>
      <c r="BM1875" s="2">
        <v>5.8</v>
      </c>
      <c r="BN1875" s="2">
        <v>47.24</v>
      </c>
      <c r="BO1875" s="2">
        <v>47.24</v>
      </c>
      <c r="BP1875" s="2"/>
      <c r="BQ1875" s="2" t="s">
        <v>288</v>
      </c>
      <c r="BR1875" s="2" t="s">
        <v>84</v>
      </c>
      <c r="BS1875" s="3">
        <v>42965</v>
      </c>
      <c r="BT1875" s="4">
        <v>0.34027777777777773</v>
      </c>
      <c r="BU1875" s="2" t="s">
        <v>431</v>
      </c>
      <c r="BV1875" s="2" t="s">
        <v>95</v>
      </c>
      <c r="BW1875" s="2"/>
      <c r="BX1875" s="2"/>
      <c r="BY1875" s="2">
        <v>1200</v>
      </c>
      <c r="BZ1875" s="2" t="s">
        <v>27</v>
      </c>
      <c r="CA1875" s="2" t="s">
        <v>840</v>
      </c>
      <c r="CB1875" s="2"/>
      <c r="CC1875" s="2" t="s">
        <v>605</v>
      </c>
      <c r="CD1875" s="2">
        <v>4126</v>
      </c>
      <c r="CE1875" s="2" t="s">
        <v>104</v>
      </c>
      <c r="CF1875" s="5">
        <v>42968</v>
      </c>
      <c r="CG1875" s="2"/>
      <c r="CH1875" s="2"/>
      <c r="CI1875" s="2">
        <v>1</v>
      </c>
      <c r="CJ1875" s="2">
        <v>1</v>
      </c>
      <c r="CK1875" s="2">
        <v>21</v>
      </c>
      <c r="CL1875" s="2" t="s">
        <v>86</v>
      </c>
      <c r="CM1875" s="2"/>
    </row>
    <row r="1876" spans="1:91">
      <c r="A1876" s="2" t="s">
        <v>71</v>
      </c>
      <c r="B1876" s="2" t="s">
        <v>72</v>
      </c>
      <c r="C1876" s="2" t="s">
        <v>73</v>
      </c>
      <c r="D1876" s="2"/>
      <c r="E1876" s="2" t="str">
        <f>"FES1162569735"</f>
        <v>FES1162569735</v>
      </c>
      <c r="F1876" s="3">
        <v>42964</v>
      </c>
      <c r="G1876" s="2">
        <v>201802</v>
      </c>
      <c r="H1876" s="2" t="s">
        <v>74</v>
      </c>
      <c r="I1876" s="2" t="s">
        <v>75</v>
      </c>
      <c r="J1876" s="2" t="s">
        <v>76</v>
      </c>
      <c r="K1876" s="2" t="s">
        <v>77</v>
      </c>
      <c r="L1876" s="2" t="s">
        <v>105</v>
      </c>
      <c r="M1876" s="2" t="s">
        <v>106</v>
      </c>
      <c r="N1876" s="2" t="s">
        <v>1669</v>
      </c>
      <c r="O1876" s="2" t="s">
        <v>100</v>
      </c>
      <c r="P1876" s="2" t="str">
        <f>"2170583153                    "</f>
        <v xml:space="preserve">2170583153 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4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1</v>
      </c>
      <c r="BJ1876" s="2">
        <v>0.2</v>
      </c>
      <c r="BK1876" s="2">
        <v>1</v>
      </c>
      <c r="BL1876" s="2">
        <v>41.44</v>
      </c>
      <c r="BM1876" s="2">
        <v>5.8</v>
      </c>
      <c r="BN1876" s="2">
        <v>47.24</v>
      </c>
      <c r="BO1876" s="2">
        <v>47.24</v>
      </c>
      <c r="BP1876" s="2"/>
      <c r="BQ1876" s="2" t="s">
        <v>288</v>
      </c>
      <c r="BR1876" s="2" t="s">
        <v>84</v>
      </c>
      <c r="BS1876" s="3">
        <v>42965</v>
      </c>
      <c r="BT1876" s="4">
        <v>0.36180555555555555</v>
      </c>
      <c r="BU1876" s="2" t="s">
        <v>2503</v>
      </c>
      <c r="BV1876" s="2" t="s">
        <v>95</v>
      </c>
      <c r="BW1876" s="2"/>
      <c r="BX1876" s="2"/>
      <c r="BY1876" s="2">
        <v>1200</v>
      </c>
      <c r="BZ1876" s="2"/>
      <c r="CA1876" s="2" t="s">
        <v>278</v>
      </c>
      <c r="CB1876" s="2"/>
      <c r="CC1876" s="2" t="s">
        <v>106</v>
      </c>
      <c r="CD1876" s="2">
        <v>7493</v>
      </c>
      <c r="CE1876" s="2" t="s">
        <v>104</v>
      </c>
      <c r="CF1876" s="5">
        <v>42968</v>
      </c>
      <c r="CG1876" s="2"/>
      <c r="CH1876" s="2"/>
      <c r="CI1876" s="2">
        <v>1</v>
      </c>
      <c r="CJ1876" s="2">
        <v>1</v>
      </c>
      <c r="CK1876" s="2">
        <v>21</v>
      </c>
      <c r="CL1876" s="2" t="s">
        <v>86</v>
      </c>
      <c r="CM1876" s="2"/>
    </row>
    <row r="1877" spans="1:91">
      <c r="A1877" s="2" t="s">
        <v>71</v>
      </c>
      <c r="B1877" s="2" t="s">
        <v>72</v>
      </c>
      <c r="C1877" s="2" t="s">
        <v>73</v>
      </c>
      <c r="D1877" s="2"/>
      <c r="E1877" s="2" t="str">
        <f>"FES1162569887"</f>
        <v>FES1162569887</v>
      </c>
      <c r="F1877" s="3">
        <v>42964</v>
      </c>
      <c r="G1877" s="2">
        <v>201802</v>
      </c>
      <c r="H1877" s="2" t="s">
        <v>74</v>
      </c>
      <c r="I1877" s="2" t="s">
        <v>75</v>
      </c>
      <c r="J1877" s="2" t="s">
        <v>76</v>
      </c>
      <c r="K1877" s="2" t="s">
        <v>77</v>
      </c>
      <c r="L1877" s="2" t="s">
        <v>1663</v>
      </c>
      <c r="M1877" s="2" t="s">
        <v>1664</v>
      </c>
      <c r="N1877" s="2" t="s">
        <v>2504</v>
      </c>
      <c r="O1877" s="2" t="s">
        <v>100</v>
      </c>
      <c r="P1877" s="2" t="str">
        <f>"2170585697                    "</f>
        <v xml:space="preserve">2170585697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4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1</v>
      </c>
      <c r="BJ1877" s="2">
        <v>0.2</v>
      </c>
      <c r="BK1877" s="2">
        <v>1</v>
      </c>
      <c r="BL1877" s="2">
        <v>41.44</v>
      </c>
      <c r="BM1877" s="2">
        <v>5.8</v>
      </c>
      <c r="BN1877" s="2">
        <v>47.24</v>
      </c>
      <c r="BO1877" s="2">
        <v>47.24</v>
      </c>
      <c r="BP1877" s="2"/>
      <c r="BQ1877" s="2" t="s">
        <v>288</v>
      </c>
      <c r="BR1877" s="2" t="s">
        <v>84</v>
      </c>
      <c r="BS1877" s="3">
        <v>42965</v>
      </c>
      <c r="BT1877" s="4">
        <v>0.48055555555555557</v>
      </c>
      <c r="BU1877" s="2" t="s">
        <v>2505</v>
      </c>
      <c r="BV1877" s="2" t="s">
        <v>95</v>
      </c>
      <c r="BW1877" s="2"/>
      <c r="BX1877" s="2"/>
      <c r="BY1877" s="2">
        <v>1200</v>
      </c>
      <c r="BZ1877" s="2"/>
      <c r="CA1877" s="2" t="s">
        <v>1668</v>
      </c>
      <c r="CB1877" s="2"/>
      <c r="CC1877" s="2" t="s">
        <v>1664</v>
      </c>
      <c r="CD1877" s="2">
        <v>3310</v>
      </c>
      <c r="CE1877" s="2" t="s">
        <v>104</v>
      </c>
      <c r="CF1877" s="5">
        <v>42969</v>
      </c>
      <c r="CG1877" s="2"/>
      <c r="CH1877" s="2"/>
      <c r="CI1877" s="2">
        <v>1</v>
      </c>
      <c r="CJ1877" s="2">
        <v>1</v>
      </c>
      <c r="CK1877" s="2">
        <v>21</v>
      </c>
      <c r="CL1877" s="2" t="s">
        <v>86</v>
      </c>
      <c r="CM1877" s="2"/>
    </row>
    <row r="1878" spans="1:91">
      <c r="A1878" s="2" t="s">
        <v>71</v>
      </c>
      <c r="B1878" s="2" t="s">
        <v>72</v>
      </c>
      <c r="C1878" s="2" t="s">
        <v>73</v>
      </c>
      <c r="D1878" s="2"/>
      <c r="E1878" s="2" t="str">
        <f>"FES1162569688"</f>
        <v>FES1162569688</v>
      </c>
      <c r="F1878" s="3">
        <v>42964</v>
      </c>
      <c r="G1878" s="2">
        <v>201802</v>
      </c>
      <c r="H1878" s="2" t="s">
        <v>74</v>
      </c>
      <c r="I1878" s="2" t="s">
        <v>75</v>
      </c>
      <c r="J1878" s="2" t="s">
        <v>76</v>
      </c>
      <c r="K1878" s="2" t="s">
        <v>77</v>
      </c>
      <c r="L1878" s="2" t="s">
        <v>221</v>
      </c>
      <c r="M1878" s="2" t="s">
        <v>222</v>
      </c>
      <c r="N1878" s="2" t="s">
        <v>415</v>
      </c>
      <c r="O1878" s="2" t="s">
        <v>100</v>
      </c>
      <c r="P1878" s="2" t="str">
        <f>"2170585471                    "</f>
        <v xml:space="preserve">2170585471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4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1</v>
      </c>
      <c r="BI1878" s="2">
        <v>1</v>
      </c>
      <c r="BJ1878" s="2">
        <v>0.2</v>
      </c>
      <c r="BK1878" s="2">
        <v>1</v>
      </c>
      <c r="BL1878" s="2">
        <v>41.44</v>
      </c>
      <c r="BM1878" s="2">
        <v>5.8</v>
      </c>
      <c r="BN1878" s="2">
        <v>47.24</v>
      </c>
      <c r="BO1878" s="2">
        <v>47.24</v>
      </c>
      <c r="BP1878" s="2"/>
      <c r="BQ1878" s="2" t="s">
        <v>108</v>
      </c>
      <c r="BR1878" s="2" t="s">
        <v>84</v>
      </c>
      <c r="BS1878" s="3">
        <v>42965</v>
      </c>
      <c r="BT1878" s="4">
        <v>0.4375</v>
      </c>
      <c r="BU1878" s="2" t="s">
        <v>933</v>
      </c>
      <c r="BV1878" s="2" t="s">
        <v>95</v>
      </c>
      <c r="BW1878" s="2"/>
      <c r="BX1878" s="2"/>
      <c r="BY1878" s="2">
        <v>1200</v>
      </c>
      <c r="BZ1878" s="2"/>
      <c r="CA1878" s="2"/>
      <c r="CB1878" s="2"/>
      <c r="CC1878" s="2" t="s">
        <v>222</v>
      </c>
      <c r="CD1878" s="2">
        <v>4302</v>
      </c>
      <c r="CE1878" s="2" t="s">
        <v>104</v>
      </c>
      <c r="CF1878" s="5">
        <v>42968</v>
      </c>
      <c r="CG1878" s="2"/>
      <c r="CH1878" s="2"/>
      <c r="CI1878" s="2">
        <v>1</v>
      </c>
      <c r="CJ1878" s="2">
        <v>1</v>
      </c>
      <c r="CK1878" s="2">
        <v>21</v>
      </c>
      <c r="CL1878" s="2" t="s">
        <v>86</v>
      </c>
      <c r="CM1878" s="2"/>
    </row>
    <row r="1879" spans="1:91">
      <c r="A1879" s="2" t="s">
        <v>71</v>
      </c>
      <c r="B1879" s="2" t="s">
        <v>72</v>
      </c>
      <c r="C1879" s="2" t="s">
        <v>73</v>
      </c>
      <c r="D1879" s="2"/>
      <c r="E1879" s="2" t="str">
        <f>"FES1162569713"</f>
        <v>FES1162569713</v>
      </c>
      <c r="F1879" s="3">
        <v>42964</v>
      </c>
      <c r="G1879" s="2">
        <v>201802</v>
      </c>
      <c r="H1879" s="2" t="s">
        <v>74</v>
      </c>
      <c r="I1879" s="2" t="s">
        <v>75</v>
      </c>
      <c r="J1879" s="2" t="s">
        <v>76</v>
      </c>
      <c r="K1879" s="2" t="s">
        <v>77</v>
      </c>
      <c r="L1879" s="2" t="s">
        <v>144</v>
      </c>
      <c r="M1879" s="2" t="s">
        <v>145</v>
      </c>
      <c r="N1879" s="2" t="s">
        <v>146</v>
      </c>
      <c r="O1879" s="2" t="s">
        <v>100</v>
      </c>
      <c r="P1879" s="2" t="str">
        <f>"2170585494                    "</f>
        <v xml:space="preserve">2170585494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3.13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1.5</v>
      </c>
      <c r="BJ1879" s="2">
        <v>1.7</v>
      </c>
      <c r="BK1879" s="2">
        <v>2</v>
      </c>
      <c r="BL1879" s="2">
        <v>32.380000000000003</v>
      </c>
      <c r="BM1879" s="2">
        <v>4.53</v>
      </c>
      <c r="BN1879" s="2">
        <v>36.909999999999997</v>
      </c>
      <c r="BO1879" s="2">
        <v>36.909999999999997</v>
      </c>
      <c r="BP1879" s="2"/>
      <c r="BQ1879" s="2" t="s">
        <v>83</v>
      </c>
      <c r="BR1879" s="2" t="s">
        <v>84</v>
      </c>
      <c r="BS1879" s="3">
        <v>42965</v>
      </c>
      <c r="BT1879" s="4">
        <v>0.3923611111111111</v>
      </c>
      <c r="BU1879" s="2" t="s">
        <v>273</v>
      </c>
      <c r="BV1879" s="2" t="s">
        <v>95</v>
      </c>
      <c r="BW1879" s="2"/>
      <c r="BX1879" s="2"/>
      <c r="BY1879" s="2">
        <v>8542.7199999999993</v>
      </c>
      <c r="BZ1879" s="2" t="s">
        <v>27</v>
      </c>
      <c r="CA1879" s="2" t="s">
        <v>274</v>
      </c>
      <c r="CB1879" s="2"/>
      <c r="CC1879" s="2" t="s">
        <v>145</v>
      </c>
      <c r="CD1879" s="2">
        <v>2094</v>
      </c>
      <c r="CE1879" s="2" t="s">
        <v>89</v>
      </c>
      <c r="CF1879" s="5">
        <v>42968</v>
      </c>
      <c r="CG1879" s="2"/>
      <c r="CH1879" s="2"/>
      <c r="CI1879" s="2">
        <v>1</v>
      </c>
      <c r="CJ1879" s="2">
        <v>1</v>
      </c>
      <c r="CK1879" s="2">
        <v>22</v>
      </c>
      <c r="CL1879" s="2" t="s">
        <v>86</v>
      </c>
      <c r="CM1879" s="2"/>
    </row>
    <row r="1880" spans="1:91">
      <c r="A1880" s="2" t="s">
        <v>71</v>
      </c>
      <c r="B1880" s="2" t="s">
        <v>72</v>
      </c>
      <c r="C1880" s="2" t="s">
        <v>73</v>
      </c>
      <c r="D1880" s="2"/>
      <c r="E1880" s="2" t="str">
        <f>"FES1162569851"</f>
        <v>FES1162569851</v>
      </c>
      <c r="F1880" s="3">
        <v>42964</v>
      </c>
      <c r="G1880" s="2">
        <v>201802</v>
      </c>
      <c r="H1880" s="2" t="s">
        <v>74</v>
      </c>
      <c r="I1880" s="2" t="s">
        <v>75</v>
      </c>
      <c r="J1880" s="2" t="s">
        <v>76</v>
      </c>
      <c r="K1880" s="2" t="s">
        <v>77</v>
      </c>
      <c r="L1880" s="2" t="s">
        <v>97</v>
      </c>
      <c r="M1880" s="2" t="s">
        <v>98</v>
      </c>
      <c r="N1880" s="2" t="s">
        <v>250</v>
      </c>
      <c r="O1880" s="2" t="s">
        <v>100</v>
      </c>
      <c r="P1880" s="2" t="str">
        <f>"2170585433                    "</f>
        <v xml:space="preserve">2170585433 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16.010000000000002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7.9</v>
      </c>
      <c r="BJ1880" s="2">
        <v>3.8</v>
      </c>
      <c r="BK1880" s="2">
        <v>8</v>
      </c>
      <c r="BL1880" s="2">
        <v>165.77</v>
      </c>
      <c r="BM1880" s="2">
        <v>23.21</v>
      </c>
      <c r="BN1880" s="2">
        <v>188.98</v>
      </c>
      <c r="BO1880" s="2">
        <v>188.98</v>
      </c>
      <c r="BP1880" s="2"/>
      <c r="BQ1880" s="2" t="s">
        <v>288</v>
      </c>
      <c r="BR1880" s="2" t="s">
        <v>84</v>
      </c>
      <c r="BS1880" s="3">
        <v>42965</v>
      </c>
      <c r="BT1880" s="4">
        <v>0.4236111111111111</v>
      </c>
      <c r="BU1880" s="2" t="s">
        <v>251</v>
      </c>
      <c r="BV1880" s="2" t="s">
        <v>95</v>
      </c>
      <c r="BW1880" s="2"/>
      <c r="BX1880" s="2"/>
      <c r="BY1880" s="2">
        <v>19098.45</v>
      </c>
      <c r="BZ1880" s="2"/>
      <c r="CA1880" s="2" t="s">
        <v>294</v>
      </c>
      <c r="CB1880" s="2"/>
      <c r="CC1880" s="2" t="s">
        <v>98</v>
      </c>
      <c r="CD1880" s="2">
        <v>6012</v>
      </c>
      <c r="CE1880" s="2" t="s">
        <v>89</v>
      </c>
      <c r="CF1880" s="5">
        <v>42968</v>
      </c>
      <c r="CG1880" s="2"/>
      <c r="CH1880" s="2"/>
      <c r="CI1880" s="2">
        <v>1</v>
      </c>
      <c r="CJ1880" s="2">
        <v>1</v>
      </c>
      <c r="CK1880" s="2">
        <v>21</v>
      </c>
      <c r="CL1880" s="2" t="s">
        <v>86</v>
      </c>
      <c r="CM1880" s="2"/>
    </row>
    <row r="1881" spans="1:91">
      <c r="A1881" s="2" t="s">
        <v>71</v>
      </c>
      <c r="B1881" s="2" t="s">
        <v>72</v>
      </c>
      <c r="C1881" s="2" t="s">
        <v>73</v>
      </c>
      <c r="D1881" s="2"/>
      <c r="E1881" s="2" t="str">
        <f>"FES1162569812"</f>
        <v>FES1162569812</v>
      </c>
      <c r="F1881" s="3">
        <v>42964</v>
      </c>
      <c r="G1881" s="2">
        <v>201802</v>
      </c>
      <c r="H1881" s="2" t="s">
        <v>74</v>
      </c>
      <c r="I1881" s="2" t="s">
        <v>75</v>
      </c>
      <c r="J1881" s="2" t="s">
        <v>76</v>
      </c>
      <c r="K1881" s="2" t="s">
        <v>77</v>
      </c>
      <c r="L1881" s="2" t="s">
        <v>144</v>
      </c>
      <c r="M1881" s="2" t="s">
        <v>145</v>
      </c>
      <c r="N1881" s="2" t="s">
        <v>450</v>
      </c>
      <c r="O1881" s="2" t="s">
        <v>100</v>
      </c>
      <c r="P1881" s="2" t="str">
        <f>"2170585598                    "</f>
        <v xml:space="preserve">2170585598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3.13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1</v>
      </c>
      <c r="BJ1881" s="2">
        <v>0.2</v>
      </c>
      <c r="BK1881" s="2">
        <v>1</v>
      </c>
      <c r="BL1881" s="2">
        <v>32.380000000000003</v>
      </c>
      <c r="BM1881" s="2">
        <v>4.53</v>
      </c>
      <c r="BN1881" s="2">
        <v>36.909999999999997</v>
      </c>
      <c r="BO1881" s="2">
        <v>36.909999999999997</v>
      </c>
      <c r="BP1881" s="2"/>
      <c r="BQ1881" s="2" t="s">
        <v>108</v>
      </c>
      <c r="BR1881" s="2" t="s">
        <v>84</v>
      </c>
      <c r="BS1881" s="3">
        <v>42965</v>
      </c>
      <c r="BT1881" s="4">
        <v>0.35416666666666669</v>
      </c>
      <c r="BU1881" s="2" t="s">
        <v>2506</v>
      </c>
      <c r="BV1881" s="2" t="s">
        <v>95</v>
      </c>
      <c r="BW1881" s="2"/>
      <c r="BX1881" s="2"/>
      <c r="BY1881" s="2">
        <v>1200</v>
      </c>
      <c r="BZ1881" s="2"/>
      <c r="CA1881" s="2" t="s">
        <v>274</v>
      </c>
      <c r="CB1881" s="2"/>
      <c r="CC1881" s="2" t="s">
        <v>145</v>
      </c>
      <c r="CD1881" s="2">
        <v>2011</v>
      </c>
      <c r="CE1881" s="2" t="s">
        <v>104</v>
      </c>
      <c r="CF1881" s="5">
        <v>42968</v>
      </c>
      <c r="CG1881" s="2"/>
      <c r="CH1881" s="2"/>
      <c r="CI1881" s="2">
        <v>1</v>
      </c>
      <c r="CJ1881" s="2">
        <v>1</v>
      </c>
      <c r="CK1881" s="2">
        <v>22</v>
      </c>
      <c r="CL1881" s="2" t="s">
        <v>86</v>
      </c>
      <c r="CM1881" s="2"/>
    </row>
    <row r="1882" spans="1:91">
      <c r="A1882" s="2" t="s">
        <v>71</v>
      </c>
      <c r="B1882" s="2" t="s">
        <v>72</v>
      </c>
      <c r="C1882" s="2" t="s">
        <v>73</v>
      </c>
      <c r="D1882" s="2"/>
      <c r="E1882" s="2" t="str">
        <f>"FES1162569678"</f>
        <v>FES1162569678</v>
      </c>
      <c r="F1882" s="3">
        <v>42964</v>
      </c>
      <c r="G1882" s="2">
        <v>201802</v>
      </c>
      <c r="H1882" s="2" t="s">
        <v>74</v>
      </c>
      <c r="I1882" s="2" t="s">
        <v>75</v>
      </c>
      <c r="J1882" s="2" t="s">
        <v>76</v>
      </c>
      <c r="K1882" s="2" t="s">
        <v>77</v>
      </c>
      <c r="L1882" s="2" t="s">
        <v>841</v>
      </c>
      <c r="M1882" s="2" t="s">
        <v>842</v>
      </c>
      <c r="N1882" s="2" t="s">
        <v>843</v>
      </c>
      <c r="O1882" s="2" t="s">
        <v>100</v>
      </c>
      <c r="P1882" s="2" t="str">
        <f>"2170583292                    "</f>
        <v xml:space="preserve">2170583292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7.75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1</v>
      </c>
      <c r="BJ1882" s="2">
        <v>0.2</v>
      </c>
      <c r="BK1882" s="2">
        <v>1</v>
      </c>
      <c r="BL1882" s="2">
        <v>80.290000000000006</v>
      </c>
      <c r="BM1882" s="2">
        <v>11.24</v>
      </c>
      <c r="BN1882" s="2">
        <v>91.53</v>
      </c>
      <c r="BO1882" s="2">
        <v>91.53</v>
      </c>
      <c r="BP1882" s="2"/>
      <c r="BQ1882" s="2" t="s">
        <v>83</v>
      </c>
      <c r="BR1882" s="2" t="s">
        <v>84</v>
      </c>
      <c r="BS1882" s="3">
        <v>42965</v>
      </c>
      <c r="BT1882" s="4">
        <v>0.50694444444444442</v>
      </c>
      <c r="BU1882" s="2" t="s">
        <v>844</v>
      </c>
      <c r="BV1882" s="2" t="s">
        <v>95</v>
      </c>
      <c r="BW1882" s="2"/>
      <c r="BX1882" s="2"/>
      <c r="BY1882" s="2">
        <v>1200</v>
      </c>
      <c r="BZ1882" s="2"/>
      <c r="CA1882" s="2" t="s">
        <v>845</v>
      </c>
      <c r="CB1882" s="2"/>
      <c r="CC1882" s="2" t="s">
        <v>842</v>
      </c>
      <c r="CD1882" s="2">
        <v>3370</v>
      </c>
      <c r="CE1882" s="2" t="s">
        <v>104</v>
      </c>
      <c r="CF1882" s="5">
        <v>42969</v>
      </c>
      <c r="CG1882" s="2"/>
      <c r="CH1882" s="2"/>
      <c r="CI1882" s="2">
        <v>3</v>
      </c>
      <c r="CJ1882" s="2">
        <v>1</v>
      </c>
      <c r="CK1882" s="2">
        <v>23</v>
      </c>
      <c r="CL1882" s="2" t="s">
        <v>86</v>
      </c>
      <c r="CM1882" s="2"/>
    </row>
    <row r="1883" spans="1:91">
      <c r="A1883" s="2" t="s">
        <v>71</v>
      </c>
      <c r="B1883" s="2" t="s">
        <v>72</v>
      </c>
      <c r="C1883" s="2" t="s">
        <v>73</v>
      </c>
      <c r="D1883" s="2"/>
      <c r="E1883" s="2" t="str">
        <f>"FES1162569601"</f>
        <v>FES1162569601</v>
      </c>
      <c r="F1883" s="3">
        <v>42964</v>
      </c>
      <c r="G1883" s="2">
        <v>201802</v>
      </c>
      <c r="H1883" s="2" t="s">
        <v>74</v>
      </c>
      <c r="I1883" s="2" t="s">
        <v>75</v>
      </c>
      <c r="J1883" s="2" t="s">
        <v>76</v>
      </c>
      <c r="K1883" s="2" t="s">
        <v>77</v>
      </c>
      <c r="L1883" s="2" t="s">
        <v>237</v>
      </c>
      <c r="M1883" s="2" t="s">
        <v>238</v>
      </c>
      <c r="N1883" s="2" t="s">
        <v>673</v>
      </c>
      <c r="O1883" s="2" t="s">
        <v>100</v>
      </c>
      <c r="P1883" s="2" t="str">
        <f>"2170585414                    "</f>
        <v xml:space="preserve">2170585414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4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1</v>
      </c>
      <c r="BJ1883" s="2">
        <v>0.2</v>
      </c>
      <c r="BK1883" s="2">
        <v>1</v>
      </c>
      <c r="BL1883" s="2">
        <v>41.44</v>
      </c>
      <c r="BM1883" s="2">
        <v>5.8</v>
      </c>
      <c r="BN1883" s="2">
        <v>47.24</v>
      </c>
      <c r="BO1883" s="2">
        <v>47.24</v>
      </c>
      <c r="BP1883" s="2"/>
      <c r="BQ1883" s="2" t="s">
        <v>83</v>
      </c>
      <c r="BR1883" s="2" t="s">
        <v>84</v>
      </c>
      <c r="BS1883" s="3">
        <v>42965</v>
      </c>
      <c r="BT1883" s="4">
        <v>0.4069444444444445</v>
      </c>
      <c r="BU1883" s="2" t="s">
        <v>674</v>
      </c>
      <c r="BV1883" s="2" t="s">
        <v>95</v>
      </c>
      <c r="BW1883" s="2"/>
      <c r="BX1883" s="2"/>
      <c r="BY1883" s="2">
        <v>1200</v>
      </c>
      <c r="BZ1883" s="2" t="s">
        <v>27</v>
      </c>
      <c r="CA1883" s="2" t="s">
        <v>401</v>
      </c>
      <c r="CB1883" s="2"/>
      <c r="CC1883" s="2" t="s">
        <v>238</v>
      </c>
      <c r="CD1883" s="2">
        <v>3610</v>
      </c>
      <c r="CE1883" s="2" t="s">
        <v>104</v>
      </c>
      <c r="CF1883" s="5">
        <v>42968</v>
      </c>
      <c r="CG1883" s="2"/>
      <c r="CH1883" s="2"/>
      <c r="CI1883" s="2">
        <v>1</v>
      </c>
      <c r="CJ1883" s="2">
        <v>1</v>
      </c>
      <c r="CK1883" s="2">
        <v>21</v>
      </c>
      <c r="CL1883" s="2" t="s">
        <v>86</v>
      </c>
      <c r="CM1883" s="2"/>
    </row>
    <row r="1884" spans="1:91">
      <c r="A1884" s="2" t="s">
        <v>71</v>
      </c>
      <c r="B1884" s="2" t="s">
        <v>72</v>
      </c>
      <c r="C1884" s="2" t="s">
        <v>73</v>
      </c>
      <c r="D1884" s="2"/>
      <c r="E1884" s="2" t="str">
        <f>"FES1162569800"</f>
        <v>FES1162569800</v>
      </c>
      <c r="F1884" s="3">
        <v>42964</v>
      </c>
      <c r="G1884" s="2">
        <v>201802</v>
      </c>
      <c r="H1884" s="2" t="s">
        <v>74</v>
      </c>
      <c r="I1884" s="2" t="s">
        <v>75</v>
      </c>
      <c r="J1884" s="2" t="s">
        <v>76</v>
      </c>
      <c r="K1884" s="2" t="s">
        <v>77</v>
      </c>
      <c r="L1884" s="2" t="s">
        <v>105</v>
      </c>
      <c r="M1884" s="2" t="s">
        <v>106</v>
      </c>
      <c r="N1884" s="2" t="s">
        <v>2255</v>
      </c>
      <c r="O1884" s="2" t="s">
        <v>100</v>
      </c>
      <c r="P1884" s="2" t="str">
        <f>"2170585584                    "</f>
        <v xml:space="preserve">2170585584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4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</v>
      </c>
      <c r="BJ1884" s="2">
        <v>0.2</v>
      </c>
      <c r="BK1884" s="2">
        <v>1</v>
      </c>
      <c r="BL1884" s="2">
        <v>41.44</v>
      </c>
      <c r="BM1884" s="2">
        <v>5.8</v>
      </c>
      <c r="BN1884" s="2">
        <v>47.24</v>
      </c>
      <c r="BO1884" s="2">
        <v>47.24</v>
      </c>
      <c r="BP1884" s="2"/>
      <c r="BQ1884" s="2" t="s">
        <v>83</v>
      </c>
      <c r="BR1884" s="2" t="s">
        <v>84</v>
      </c>
      <c r="BS1884" s="3">
        <v>42965</v>
      </c>
      <c r="BT1884" s="4">
        <v>0.40972222222222227</v>
      </c>
      <c r="BU1884" s="2" t="s">
        <v>2507</v>
      </c>
      <c r="BV1884" s="2" t="s">
        <v>95</v>
      </c>
      <c r="BW1884" s="2"/>
      <c r="BX1884" s="2"/>
      <c r="BY1884" s="2">
        <v>1200</v>
      </c>
      <c r="BZ1884" s="2"/>
      <c r="CA1884" s="2" t="s">
        <v>869</v>
      </c>
      <c r="CB1884" s="2"/>
      <c r="CC1884" s="2" t="s">
        <v>106</v>
      </c>
      <c r="CD1884" s="2">
        <v>7460</v>
      </c>
      <c r="CE1884" s="2" t="s">
        <v>104</v>
      </c>
      <c r="CF1884" s="5">
        <v>42968</v>
      </c>
      <c r="CG1884" s="2"/>
      <c r="CH1884" s="2"/>
      <c r="CI1884" s="2">
        <v>1</v>
      </c>
      <c r="CJ1884" s="2">
        <v>1</v>
      </c>
      <c r="CK1884" s="2">
        <v>21</v>
      </c>
      <c r="CL1884" s="2" t="s">
        <v>86</v>
      </c>
      <c r="CM1884" s="2"/>
    </row>
    <row r="1885" spans="1:91">
      <c r="A1885" s="2" t="s">
        <v>71</v>
      </c>
      <c r="B1885" s="2" t="s">
        <v>72</v>
      </c>
      <c r="C1885" s="2" t="s">
        <v>73</v>
      </c>
      <c r="D1885" s="2"/>
      <c r="E1885" s="2" t="str">
        <f>"FES1162569546"</f>
        <v>FES1162569546</v>
      </c>
      <c r="F1885" s="3">
        <v>42964</v>
      </c>
      <c r="G1885" s="2">
        <v>201802</v>
      </c>
      <c r="H1885" s="2" t="s">
        <v>74</v>
      </c>
      <c r="I1885" s="2" t="s">
        <v>75</v>
      </c>
      <c r="J1885" s="2" t="s">
        <v>76</v>
      </c>
      <c r="K1885" s="2" t="s">
        <v>77</v>
      </c>
      <c r="L1885" s="2" t="s">
        <v>221</v>
      </c>
      <c r="M1885" s="2" t="s">
        <v>222</v>
      </c>
      <c r="N1885" s="2" t="s">
        <v>675</v>
      </c>
      <c r="O1885" s="2" t="s">
        <v>100</v>
      </c>
      <c r="P1885" s="2" t="str">
        <f>"2170585164                    "</f>
        <v xml:space="preserve">2170585164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4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1</v>
      </c>
      <c r="BI1885" s="2">
        <v>1</v>
      </c>
      <c r="BJ1885" s="2">
        <v>0.2</v>
      </c>
      <c r="BK1885" s="2">
        <v>1</v>
      </c>
      <c r="BL1885" s="2">
        <v>41.44</v>
      </c>
      <c r="BM1885" s="2">
        <v>5.8</v>
      </c>
      <c r="BN1885" s="2">
        <v>47.24</v>
      </c>
      <c r="BO1885" s="2">
        <v>47.24</v>
      </c>
      <c r="BP1885" s="2"/>
      <c r="BQ1885" s="2" t="s">
        <v>83</v>
      </c>
      <c r="BR1885" s="2" t="s">
        <v>84</v>
      </c>
      <c r="BS1885" s="3">
        <v>42965</v>
      </c>
      <c r="BT1885" s="4">
        <v>0.4375</v>
      </c>
      <c r="BU1885" s="2" t="s">
        <v>2508</v>
      </c>
      <c r="BV1885" s="2" t="s">
        <v>95</v>
      </c>
      <c r="BW1885" s="2"/>
      <c r="BX1885" s="2"/>
      <c r="BY1885" s="2">
        <v>1200</v>
      </c>
      <c r="BZ1885" s="2"/>
      <c r="CA1885" s="2"/>
      <c r="CB1885" s="2"/>
      <c r="CC1885" s="2" t="s">
        <v>222</v>
      </c>
      <c r="CD1885" s="2">
        <v>4300</v>
      </c>
      <c r="CE1885" s="2" t="s">
        <v>104</v>
      </c>
      <c r="CF1885" s="5">
        <v>42968</v>
      </c>
      <c r="CG1885" s="2"/>
      <c r="CH1885" s="2"/>
      <c r="CI1885" s="2">
        <v>1</v>
      </c>
      <c r="CJ1885" s="2">
        <v>1</v>
      </c>
      <c r="CK1885" s="2">
        <v>21</v>
      </c>
      <c r="CL1885" s="2" t="s">
        <v>86</v>
      </c>
      <c r="CM1885" s="2"/>
    </row>
    <row r="1886" spans="1:91">
      <c r="A1886" s="2" t="s">
        <v>71</v>
      </c>
      <c r="B1886" s="2" t="s">
        <v>72</v>
      </c>
      <c r="C1886" s="2" t="s">
        <v>73</v>
      </c>
      <c r="D1886" s="2"/>
      <c r="E1886" s="2" t="str">
        <f>"FES1162569854"</f>
        <v>FES1162569854</v>
      </c>
      <c r="F1886" s="3">
        <v>42964</v>
      </c>
      <c r="G1886" s="2">
        <v>201802</v>
      </c>
      <c r="H1886" s="2" t="s">
        <v>74</v>
      </c>
      <c r="I1886" s="2" t="s">
        <v>75</v>
      </c>
      <c r="J1886" s="2" t="s">
        <v>76</v>
      </c>
      <c r="K1886" s="2" t="s">
        <v>77</v>
      </c>
      <c r="L1886" s="2" t="s">
        <v>105</v>
      </c>
      <c r="M1886" s="2" t="s">
        <v>106</v>
      </c>
      <c r="N1886" s="2" t="s">
        <v>397</v>
      </c>
      <c r="O1886" s="2" t="s">
        <v>100</v>
      </c>
      <c r="P1886" s="2" t="str">
        <f>"2170585654                    "</f>
        <v xml:space="preserve">2170585654 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4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2</v>
      </c>
      <c r="BJ1886" s="2">
        <v>0.2</v>
      </c>
      <c r="BK1886" s="2">
        <v>2</v>
      </c>
      <c r="BL1886" s="2">
        <v>41.44</v>
      </c>
      <c r="BM1886" s="2">
        <v>5.8</v>
      </c>
      <c r="BN1886" s="2">
        <v>47.24</v>
      </c>
      <c r="BO1886" s="2">
        <v>47.24</v>
      </c>
      <c r="BP1886" s="2"/>
      <c r="BQ1886" s="2" t="s">
        <v>108</v>
      </c>
      <c r="BR1886" s="2" t="s">
        <v>84</v>
      </c>
      <c r="BS1886" s="3">
        <v>42965</v>
      </c>
      <c r="BT1886" s="4">
        <v>0.37152777777777773</v>
      </c>
      <c r="BU1886" s="2" t="s">
        <v>462</v>
      </c>
      <c r="BV1886" s="2" t="s">
        <v>95</v>
      </c>
      <c r="BW1886" s="2"/>
      <c r="BX1886" s="2"/>
      <c r="BY1886" s="2">
        <v>1200</v>
      </c>
      <c r="BZ1886" s="2"/>
      <c r="CA1886" s="2" t="s">
        <v>302</v>
      </c>
      <c r="CB1886" s="2"/>
      <c r="CC1886" s="2" t="s">
        <v>106</v>
      </c>
      <c r="CD1886" s="2">
        <v>7530</v>
      </c>
      <c r="CE1886" s="2" t="s">
        <v>104</v>
      </c>
      <c r="CF1886" s="5">
        <v>42968</v>
      </c>
      <c r="CG1886" s="2"/>
      <c r="CH1886" s="2"/>
      <c r="CI1886" s="2">
        <v>1</v>
      </c>
      <c r="CJ1886" s="2">
        <v>1</v>
      </c>
      <c r="CK1886" s="2">
        <v>21</v>
      </c>
      <c r="CL1886" s="2" t="s">
        <v>86</v>
      </c>
      <c r="CM1886" s="2"/>
    </row>
    <row r="1887" spans="1:91">
      <c r="A1887" s="2" t="s">
        <v>71</v>
      </c>
      <c r="B1887" s="2" t="s">
        <v>72</v>
      </c>
      <c r="C1887" s="2" t="s">
        <v>73</v>
      </c>
      <c r="D1887" s="2"/>
      <c r="E1887" s="2" t="str">
        <f>"FES1162569754"</f>
        <v>FES1162569754</v>
      </c>
      <c r="F1887" s="3">
        <v>42964</v>
      </c>
      <c r="G1887" s="2">
        <v>201802</v>
      </c>
      <c r="H1887" s="2" t="s">
        <v>74</v>
      </c>
      <c r="I1887" s="2" t="s">
        <v>75</v>
      </c>
      <c r="J1887" s="2" t="s">
        <v>76</v>
      </c>
      <c r="K1887" s="2" t="s">
        <v>77</v>
      </c>
      <c r="L1887" s="2" t="s">
        <v>159</v>
      </c>
      <c r="M1887" s="2" t="s">
        <v>160</v>
      </c>
      <c r="N1887" s="2" t="s">
        <v>1465</v>
      </c>
      <c r="O1887" s="2" t="s">
        <v>100</v>
      </c>
      <c r="P1887" s="2" t="str">
        <f>"2170581625                    "</f>
        <v xml:space="preserve">2170581625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5.63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1</v>
      </c>
      <c r="BJ1887" s="2">
        <v>0.2</v>
      </c>
      <c r="BK1887" s="2">
        <v>1</v>
      </c>
      <c r="BL1887" s="2">
        <v>58.28</v>
      </c>
      <c r="BM1887" s="2">
        <v>8.16</v>
      </c>
      <c r="BN1887" s="2">
        <v>66.44</v>
      </c>
      <c r="BO1887" s="2">
        <v>66.44</v>
      </c>
      <c r="BP1887" s="2"/>
      <c r="BQ1887" s="2" t="s">
        <v>209</v>
      </c>
      <c r="BR1887" s="2" t="s">
        <v>84</v>
      </c>
      <c r="BS1887" s="3">
        <v>42965</v>
      </c>
      <c r="BT1887" s="4">
        <v>0.47222222222222227</v>
      </c>
      <c r="BU1887" s="2" t="s">
        <v>2509</v>
      </c>
      <c r="BV1887" s="2" t="s">
        <v>95</v>
      </c>
      <c r="BW1887" s="2"/>
      <c r="BX1887" s="2"/>
      <c r="BY1887" s="2">
        <v>1200</v>
      </c>
      <c r="BZ1887" s="2"/>
      <c r="CA1887" s="2" t="s">
        <v>956</v>
      </c>
      <c r="CB1887" s="2"/>
      <c r="CC1887" s="2" t="s">
        <v>160</v>
      </c>
      <c r="CD1887" s="2">
        <v>407</v>
      </c>
      <c r="CE1887" s="2" t="s">
        <v>104</v>
      </c>
      <c r="CF1887" s="5">
        <v>42968</v>
      </c>
      <c r="CG1887" s="2"/>
      <c r="CH1887" s="2"/>
      <c r="CI1887" s="2">
        <v>1</v>
      </c>
      <c r="CJ1887" s="2">
        <v>1</v>
      </c>
      <c r="CK1887" s="2">
        <v>24</v>
      </c>
      <c r="CL1887" s="2" t="s">
        <v>86</v>
      </c>
      <c r="CM1887" s="2"/>
    </row>
    <row r="1888" spans="1:91">
      <c r="A1888" s="2" t="s">
        <v>71</v>
      </c>
      <c r="B1888" s="2" t="s">
        <v>72</v>
      </c>
      <c r="C1888" s="2" t="s">
        <v>73</v>
      </c>
      <c r="D1888" s="2"/>
      <c r="E1888" s="2" t="str">
        <f>"FES1162569714"</f>
        <v>FES1162569714</v>
      </c>
      <c r="F1888" s="3">
        <v>42964</v>
      </c>
      <c r="G1888" s="2">
        <v>201802</v>
      </c>
      <c r="H1888" s="2" t="s">
        <v>74</v>
      </c>
      <c r="I1888" s="2" t="s">
        <v>75</v>
      </c>
      <c r="J1888" s="2" t="s">
        <v>76</v>
      </c>
      <c r="K1888" s="2" t="s">
        <v>77</v>
      </c>
      <c r="L1888" s="2" t="s">
        <v>237</v>
      </c>
      <c r="M1888" s="2" t="s">
        <v>238</v>
      </c>
      <c r="N1888" s="2" t="s">
        <v>2510</v>
      </c>
      <c r="O1888" s="2" t="s">
        <v>100</v>
      </c>
      <c r="P1888" s="2" t="str">
        <f>"2170585495                    "</f>
        <v xml:space="preserve">2170585495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4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1</v>
      </c>
      <c r="BI1888" s="2">
        <v>1</v>
      </c>
      <c r="BJ1888" s="2">
        <v>0.2</v>
      </c>
      <c r="BK1888" s="2">
        <v>1</v>
      </c>
      <c r="BL1888" s="2">
        <v>41.44</v>
      </c>
      <c r="BM1888" s="2">
        <v>5.8</v>
      </c>
      <c r="BN1888" s="2">
        <v>47.24</v>
      </c>
      <c r="BO1888" s="2">
        <v>47.24</v>
      </c>
      <c r="BP1888" s="2"/>
      <c r="BQ1888" s="2" t="s">
        <v>83</v>
      </c>
      <c r="BR1888" s="2" t="s">
        <v>84</v>
      </c>
      <c r="BS1888" s="3">
        <v>42965</v>
      </c>
      <c r="BT1888" s="4">
        <v>0.3576388888888889</v>
      </c>
      <c r="BU1888" s="2" t="s">
        <v>2511</v>
      </c>
      <c r="BV1888" s="2" t="s">
        <v>95</v>
      </c>
      <c r="BW1888" s="2"/>
      <c r="BX1888" s="2"/>
      <c r="BY1888" s="2">
        <v>1200</v>
      </c>
      <c r="BZ1888" s="2"/>
      <c r="CA1888" s="2" t="s">
        <v>401</v>
      </c>
      <c r="CB1888" s="2"/>
      <c r="CC1888" s="2" t="s">
        <v>238</v>
      </c>
      <c r="CD1888" s="2">
        <v>3610</v>
      </c>
      <c r="CE1888" s="2" t="s">
        <v>104</v>
      </c>
      <c r="CF1888" s="5">
        <v>42968</v>
      </c>
      <c r="CG1888" s="2"/>
      <c r="CH1888" s="2"/>
      <c r="CI1888" s="2">
        <v>1</v>
      </c>
      <c r="CJ1888" s="2">
        <v>1</v>
      </c>
      <c r="CK1888" s="2">
        <v>21</v>
      </c>
      <c r="CL1888" s="2" t="s">
        <v>86</v>
      </c>
      <c r="CM1888" s="2"/>
    </row>
    <row r="1889" spans="1:91">
      <c r="A1889" s="2" t="s">
        <v>71</v>
      </c>
      <c r="B1889" s="2" t="s">
        <v>72</v>
      </c>
      <c r="C1889" s="2" t="s">
        <v>73</v>
      </c>
      <c r="D1889" s="2"/>
      <c r="E1889" s="2" t="str">
        <f>"FES1162569815"</f>
        <v>FES1162569815</v>
      </c>
      <c r="F1889" s="3">
        <v>42964</v>
      </c>
      <c r="G1889" s="2">
        <v>201802</v>
      </c>
      <c r="H1889" s="2" t="s">
        <v>74</v>
      </c>
      <c r="I1889" s="2" t="s">
        <v>75</v>
      </c>
      <c r="J1889" s="2" t="s">
        <v>76</v>
      </c>
      <c r="K1889" s="2" t="s">
        <v>77</v>
      </c>
      <c r="L1889" s="2" t="s">
        <v>170</v>
      </c>
      <c r="M1889" s="2" t="s">
        <v>171</v>
      </c>
      <c r="N1889" s="2" t="s">
        <v>2252</v>
      </c>
      <c r="O1889" s="2" t="s">
        <v>100</v>
      </c>
      <c r="P1889" s="2" t="str">
        <f>"2170585603                    "</f>
        <v xml:space="preserve">2170585603 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3.13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1</v>
      </c>
      <c r="BJ1889" s="2">
        <v>0.2</v>
      </c>
      <c r="BK1889" s="2">
        <v>1</v>
      </c>
      <c r="BL1889" s="2">
        <v>32.380000000000003</v>
      </c>
      <c r="BM1889" s="2">
        <v>4.53</v>
      </c>
      <c r="BN1889" s="2">
        <v>36.909999999999997</v>
      </c>
      <c r="BO1889" s="2">
        <v>36.909999999999997</v>
      </c>
      <c r="BP1889" s="2"/>
      <c r="BQ1889" s="2" t="s">
        <v>288</v>
      </c>
      <c r="BR1889" s="2" t="s">
        <v>84</v>
      </c>
      <c r="BS1889" s="3">
        <v>42965</v>
      </c>
      <c r="BT1889" s="4">
        <v>0.33333333333333331</v>
      </c>
      <c r="BU1889" s="2" t="s">
        <v>330</v>
      </c>
      <c r="BV1889" s="2" t="s">
        <v>95</v>
      </c>
      <c r="BW1889" s="2"/>
      <c r="BX1889" s="2"/>
      <c r="BY1889" s="2">
        <v>1200</v>
      </c>
      <c r="BZ1889" s="2"/>
      <c r="CA1889" s="2"/>
      <c r="CB1889" s="2"/>
      <c r="CC1889" s="2" t="s">
        <v>171</v>
      </c>
      <c r="CD1889" s="2">
        <v>1428</v>
      </c>
      <c r="CE1889" s="2" t="s">
        <v>104</v>
      </c>
      <c r="CF1889" s="5">
        <v>42968</v>
      </c>
      <c r="CG1889" s="2"/>
      <c r="CH1889" s="2"/>
      <c r="CI1889" s="2">
        <v>1</v>
      </c>
      <c r="CJ1889" s="2">
        <v>1</v>
      </c>
      <c r="CK1889" s="2">
        <v>22</v>
      </c>
      <c r="CL1889" s="2" t="s">
        <v>86</v>
      </c>
      <c r="CM1889" s="2"/>
    </row>
    <row r="1890" spans="1:91">
      <c r="A1890" s="2" t="s">
        <v>71</v>
      </c>
      <c r="B1890" s="2" t="s">
        <v>72</v>
      </c>
      <c r="C1890" s="2" t="s">
        <v>73</v>
      </c>
      <c r="D1890" s="2"/>
      <c r="E1890" s="2" t="str">
        <f>"FES1162569769"</f>
        <v>FES1162569769</v>
      </c>
      <c r="F1890" s="3">
        <v>42964</v>
      </c>
      <c r="G1890" s="2">
        <v>201802</v>
      </c>
      <c r="H1890" s="2" t="s">
        <v>74</v>
      </c>
      <c r="I1890" s="2" t="s">
        <v>75</v>
      </c>
      <c r="J1890" s="2" t="s">
        <v>76</v>
      </c>
      <c r="K1890" s="2" t="s">
        <v>77</v>
      </c>
      <c r="L1890" s="2" t="s">
        <v>144</v>
      </c>
      <c r="M1890" s="2" t="s">
        <v>145</v>
      </c>
      <c r="N1890" s="2" t="s">
        <v>2512</v>
      </c>
      <c r="O1890" s="2" t="s">
        <v>100</v>
      </c>
      <c r="P1890" s="2" t="str">
        <f>"2170585536                    "</f>
        <v xml:space="preserve">2170585536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3.13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5.0999999999999996</v>
      </c>
      <c r="BJ1890" s="2">
        <v>4.5</v>
      </c>
      <c r="BK1890" s="2">
        <v>6</v>
      </c>
      <c r="BL1890" s="2">
        <v>32.380000000000003</v>
      </c>
      <c r="BM1890" s="2">
        <v>4.53</v>
      </c>
      <c r="BN1890" s="2">
        <v>36.909999999999997</v>
      </c>
      <c r="BO1890" s="2">
        <v>36.909999999999997</v>
      </c>
      <c r="BP1890" s="2"/>
      <c r="BQ1890" s="2" t="s">
        <v>288</v>
      </c>
      <c r="BR1890" s="2" t="s">
        <v>84</v>
      </c>
      <c r="BS1890" s="3">
        <v>42965</v>
      </c>
      <c r="BT1890" s="4">
        <v>0.31388888888888888</v>
      </c>
      <c r="BU1890" s="2" t="s">
        <v>2513</v>
      </c>
      <c r="BV1890" s="2" t="s">
        <v>95</v>
      </c>
      <c r="BW1890" s="2"/>
      <c r="BX1890" s="2"/>
      <c r="BY1890" s="2">
        <v>22480.52</v>
      </c>
      <c r="BZ1890" s="2"/>
      <c r="CA1890" s="2" t="s">
        <v>274</v>
      </c>
      <c r="CB1890" s="2"/>
      <c r="CC1890" s="2" t="s">
        <v>145</v>
      </c>
      <c r="CD1890" s="2">
        <v>2094</v>
      </c>
      <c r="CE1890" s="2" t="s">
        <v>89</v>
      </c>
      <c r="CF1890" s="5">
        <v>42968</v>
      </c>
      <c r="CG1890" s="2"/>
      <c r="CH1890" s="2"/>
      <c r="CI1890" s="2">
        <v>1</v>
      </c>
      <c r="CJ1890" s="2">
        <v>1</v>
      </c>
      <c r="CK1890" s="2">
        <v>22</v>
      </c>
      <c r="CL1890" s="2" t="s">
        <v>86</v>
      </c>
      <c r="CM1890" s="2"/>
    </row>
    <row r="1891" spans="1:91">
      <c r="A1891" s="2" t="s">
        <v>71</v>
      </c>
      <c r="B1891" s="2" t="s">
        <v>72</v>
      </c>
      <c r="C1891" s="2" t="s">
        <v>73</v>
      </c>
      <c r="D1891" s="2"/>
      <c r="E1891" s="2" t="str">
        <f>"FES1162569577"</f>
        <v>FES1162569577</v>
      </c>
      <c r="F1891" s="3">
        <v>42964</v>
      </c>
      <c r="G1891" s="2">
        <v>201802</v>
      </c>
      <c r="H1891" s="2" t="s">
        <v>74</v>
      </c>
      <c r="I1891" s="2" t="s">
        <v>75</v>
      </c>
      <c r="J1891" s="2" t="s">
        <v>76</v>
      </c>
      <c r="K1891" s="2" t="s">
        <v>77</v>
      </c>
      <c r="L1891" s="2" t="s">
        <v>339</v>
      </c>
      <c r="M1891" s="2" t="s">
        <v>340</v>
      </c>
      <c r="N1891" s="2" t="s">
        <v>341</v>
      </c>
      <c r="O1891" s="2" t="s">
        <v>100</v>
      </c>
      <c r="P1891" s="2" t="str">
        <f>"2170583485                    "</f>
        <v xml:space="preserve">2170583485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4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1</v>
      </c>
      <c r="BJ1891" s="2">
        <v>0.2</v>
      </c>
      <c r="BK1891" s="2">
        <v>1</v>
      </c>
      <c r="BL1891" s="2">
        <v>41.44</v>
      </c>
      <c r="BM1891" s="2">
        <v>5.8</v>
      </c>
      <c r="BN1891" s="2">
        <v>47.24</v>
      </c>
      <c r="BO1891" s="2">
        <v>47.24</v>
      </c>
      <c r="BP1891" s="2"/>
      <c r="BQ1891" s="2" t="s">
        <v>108</v>
      </c>
      <c r="BR1891" s="2" t="s">
        <v>84</v>
      </c>
      <c r="BS1891" s="3">
        <v>42965</v>
      </c>
      <c r="BT1891" s="4">
        <v>0.48749999999999999</v>
      </c>
      <c r="BU1891" s="2" t="s">
        <v>2514</v>
      </c>
      <c r="BV1891" s="2" t="s">
        <v>86</v>
      </c>
      <c r="BW1891" s="2"/>
      <c r="BX1891" s="2"/>
      <c r="BY1891" s="2">
        <v>1200</v>
      </c>
      <c r="BZ1891" s="2"/>
      <c r="CA1891" s="2" t="s">
        <v>951</v>
      </c>
      <c r="CB1891" s="2"/>
      <c r="CC1891" s="2" t="s">
        <v>340</v>
      </c>
      <c r="CD1891" s="2">
        <v>1949</v>
      </c>
      <c r="CE1891" s="2" t="s">
        <v>104</v>
      </c>
      <c r="CF1891" s="5">
        <v>42968</v>
      </c>
      <c r="CG1891" s="2"/>
      <c r="CH1891" s="2"/>
      <c r="CI1891" s="2">
        <v>1</v>
      </c>
      <c r="CJ1891" s="2">
        <v>1</v>
      </c>
      <c r="CK1891" s="2">
        <v>21</v>
      </c>
      <c r="CL1891" s="2" t="s">
        <v>86</v>
      </c>
      <c r="CM1891" s="2"/>
    </row>
    <row r="1892" spans="1:91">
      <c r="A1892" s="2" t="s">
        <v>71</v>
      </c>
      <c r="B1892" s="2" t="s">
        <v>72</v>
      </c>
      <c r="C1892" s="2" t="s">
        <v>73</v>
      </c>
      <c r="D1892" s="2"/>
      <c r="E1892" s="2" t="str">
        <f>"FES1162569573"</f>
        <v>FES1162569573</v>
      </c>
      <c r="F1892" s="3">
        <v>42964</v>
      </c>
      <c r="G1892" s="2">
        <v>201802</v>
      </c>
      <c r="H1892" s="2" t="s">
        <v>74</v>
      </c>
      <c r="I1892" s="2" t="s">
        <v>75</v>
      </c>
      <c r="J1892" s="2" t="s">
        <v>76</v>
      </c>
      <c r="K1892" s="2" t="s">
        <v>77</v>
      </c>
      <c r="L1892" s="2" t="s">
        <v>105</v>
      </c>
      <c r="M1892" s="2" t="s">
        <v>106</v>
      </c>
      <c r="N1892" s="2" t="s">
        <v>1143</v>
      </c>
      <c r="O1892" s="2" t="s">
        <v>100</v>
      </c>
      <c r="P1892" s="2" t="str">
        <f>"2170583411                    "</f>
        <v xml:space="preserve">2170583411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4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1</v>
      </c>
      <c r="BI1892" s="2">
        <v>1.1000000000000001</v>
      </c>
      <c r="BJ1892" s="2">
        <v>2</v>
      </c>
      <c r="BK1892" s="2">
        <v>2</v>
      </c>
      <c r="BL1892" s="2">
        <v>41.44</v>
      </c>
      <c r="BM1892" s="2">
        <v>5.8</v>
      </c>
      <c r="BN1892" s="2">
        <v>47.24</v>
      </c>
      <c r="BO1892" s="2">
        <v>47.24</v>
      </c>
      <c r="BP1892" s="2"/>
      <c r="BQ1892" s="2" t="s">
        <v>108</v>
      </c>
      <c r="BR1892" s="2" t="s">
        <v>84</v>
      </c>
      <c r="BS1892" s="3">
        <v>42965</v>
      </c>
      <c r="BT1892" s="4">
        <v>0.4368055555555555</v>
      </c>
      <c r="BU1892" s="2" t="s">
        <v>1144</v>
      </c>
      <c r="BV1892" s="2" t="s">
        <v>95</v>
      </c>
      <c r="BW1892" s="2"/>
      <c r="BX1892" s="2"/>
      <c r="BY1892" s="2">
        <v>9882.65</v>
      </c>
      <c r="BZ1892" s="2"/>
      <c r="CA1892" s="2" t="s">
        <v>643</v>
      </c>
      <c r="CB1892" s="2"/>
      <c r="CC1892" s="2" t="s">
        <v>106</v>
      </c>
      <c r="CD1892" s="2">
        <v>7925</v>
      </c>
      <c r="CE1892" s="2" t="s">
        <v>89</v>
      </c>
      <c r="CF1892" s="5">
        <v>42968</v>
      </c>
      <c r="CG1892" s="2"/>
      <c r="CH1892" s="2"/>
      <c r="CI1892" s="2">
        <v>1</v>
      </c>
      <c r="CJ1892" s="2">
        <v>1</v>
      </c>
      <c r="CK1892" s="2">
        <v>21</v>
      </c>
      <c r="CL1892" s="2" t="s">
        <v>86</v>
      </c>
      <c r="CM1892" s="2"/>
    </row>
    <row r="1893" spans="1:91">
      <c r="A1893" s="2" t="s">
        <v>71</v>
      </c>
      <c r="B1893" s="2" t="s">
        <v>72</v>
      </c>
      <c r="C1893" s="2" t="s">
        <v>73</v>
      </c>
      <c r="D1893" s="2"/>
      <c r="E1893" s="2" t="str">
        <f>"FES1162569673"</f>
        <v>FES1162569673</v>
      </c>
      <c r="F1893" s="3">
        <v>42964</v>
      </c>
      <c r="G1893" s="2">
        <v>201802</v>
      </c>
      <c r="H1893" s="2" t="s">
        <v>74</v>
      </c>
      <c r="I1893" s="2" t="s">
        <v>75</v>
      </c>
      <c r="J1893" s="2" t="s">
        <v>76</v>
      </c>
      <c r="K1893" s="2" t="s">
        <v>77</v>
      </c>
      <c r="L1893" s="2" t="s">
        <v>170</v>
      </c>
      <c r="M1893" s="2" t="s">
        <v>171</v>
      </c>
      <c r="N1893" s="2" t="s">
        <v>172</v>
      </c>
      <c r="O1893" s="2" t="s">
        <v>100</v>
      </c>
      <c r="P1893" s="2" t="str">
        <f>"2170577722                    "</f>
        <v xml:space="preserve">2170577722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3.13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1</v>
      </c>
      <c r="BI1893" s="2">
        <v>4.8</v>
      </c>
      <c r="BJ1893" s="2">
        <v>1.9</v>
      </c>
      <c r="BK1893" s="2">
        <v>5</v>
      </c>
      <c r="BL1893" s="2">
        <v>32.380000000000003</v>
      </c>
      <c r="BM1893" s="2">
        <v>4.53</v>
      </c>
      <c r="BN1893" s="2">
        <v>36.909999999999997</v>
      </c>
      <c r="BO1893" s="2">
        <v>36.909999999999997</v>
      </c>
      <c r="BP1893" s="2"/>
      <c r="BQ1893" s="2" t="s">
        <v>288</v>
      </c>
      <c r="BR1893" s="2" t="s">
        <v>84</v>
      </c>
      <c r="BS1893" s="3">
        <v>42965</v>
      </c>
      <c r="BT1893" s="4">
        <v>0.41666666666666669</v>
      </c>
      <c r="BU1893" s="2" t="s">
        <v>173</v>
      </c>
      <c r="BV1893" s="2" t="s">
        <v>95</v>
      </c>
      <c r="BW1893" s="2"/>
      <c r="BX1893" s="2"/>
      <c r="BY1893" s="2">
        <v>9300.36</v>
      </c>
      <c r="BZ1893" s="2" t="s">
        <v>27</v>
      </c>
      <c r="CA1893" s="2"/>
      <c r="CB1893" s="2"/>
      <c r="CC1893" s="2" t="s">
        <v>171</v>
      </c>
      <c r="CD1893" s="2">
        <v>1401</v>
      </c>
      <c r="CE1893" s="2" t="s">
        <v>89</v>
      </c>
      <c r="CF1893" s="5">
        <v>42968</v>
      </c>
      <c r="CG1893" s="2"/>
      <c r="CH1893" s="2"/>
      <c r="CI1893" s="2">
        <v>1</v>
      </c>
      <c r="CJ1893" s="2">
        <v>1</v>
      </c>
      <c r="CK1893" s="2">
        <v>22</v>
      </c>
      <c r="CL1893" s="2" t="s">
        <v>86</v>
      </c>
      <c r="CM1893" s="2"/>
    </row>
    <row r="1894" spans="1:91">
      <c r="A1894" s="2" t="s">
        <v>71</v>
      </c>
      <c r="B1894" s="2" t="s">
        <v>72</v>
      </c>
      <c r="C1894" s="2" t="s">
        <v>73</v>
      </c>
      <c r="D1894" s="2"/>
      <c r="E1894" s="2" t="str">
        <f>"FES1162569732"</f>
        <v>FES1162569732</v>
      </c>
      <c r="F1894" s="3">
        <v>42964</v>
      </c>
      <c r="G1894" s="2">
        <v>201802</v>
      </c>
      <c r="H1894" s="2" t="s">
        <v>74</v>
      </c>
      <c r="I1894" s="2" t="s">
        <v>75</v>
      </c>
      <c r="J1894" s="2" t="s">
        <v>76</v>
      </c>
      <c r="K1894" s="2" t="s">
        <v>77</v>
      </c>
      <c r="L1894" s="2" t="s">
        <v>846</v>
      </c>
      <c r="M1894" s="2" t="s">
        <v>847</v>
      </c>
      <c r="N1894" s="2" t="s">
        <v>1017</v>
      </c>
      <c r="O1894" s="2" t="s">
        <v>100</v>
      </c>
      <c r="P1894" s="2" t="str">
        <f>"2170583029                    "</f>
        <v xml:space="preserve">2170583029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7.75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1</v>
      </c>
      <c r="BJ1894" s="2">
        <v>0.2</v>
      </c>
      <c r="BK1894" s="2">
        <v>1</v>
      </c>
      <c r="BL1894" s="2">
        <v>80.290000000000006</v>
      </c>
      <c r="BM1894" s="2">
        <v>11.24</v>
      </c>
      <c r="BN1894" s="2">
        <v>91.53</v>
      </c>
      <c r="BO1894" s="2">
        <v>91.53</v>
      </c>
      <c r="BP1894" s="2"/>
      <c r="BQ1894" s="2" t="s">
        <v>83</v>
      </c>
      <c r="BR1894" s="2" t="s">
        <v>84</v>
      </c>
      <c r="BS1894" s="3">
        <v>42965</v>
      </c>
      <c r="BT1894" s="4">
        <v>0.50138888888888888</v>
      </c>
      <c r="BU1894" s="2" t="s">
        <v>2077</v>
      </c>
      <c r="BV1894" s="2" t="s">
        <v>95</v>
      </c>
      <c r="BW1894" s="2"/>
      <c r="BX1894" s="2"/>
      <c r="BY1894" s="2">
        <v>1200</v>
      </c>
      <c r="BZ1894" s="2"/>
      <c r="CA1894" s="2" t="s">
        <v>850</v>
      </c>
      <c r="CB1894" s="2"/>
      <c r="CC1894" s="2" t="s">
        <v>847</v>
      </c>
      <c r="CD1894" s="2">
        <v>7349</v>
      </c>
      <c r="CE1894" s="2" t="s">
        <v>104</v>
      </c>
      <c r="CF1894" s="5">
        <v>42968</v>
      </c>
      <c r="CG1894" s="2"/>
      <c r="CH1894" s="2"/>
      <c r="CI1894" s="2">
        <v>1</v>
      </c>
      <c r="CJ1894" s="2">
        <v>1</v>
      </c>
      <c r="CK1894" s="2">
        <v>23</v>
      </c>
      <c r="CL1894" s="2" t="s">
        <v>86</v>
      </c>
      <c r="CM1894" s="2"/>
    </row>
    <row r="1895" spans="1:91">
      <c r="A1895" s="2" t="s">
        <v>71</v>
      </c>
      <c r="B1895" s="2" t="s">
        <v>72</v>
      </c>
      <c r="C1895" s="2" t="s">
        <v>73</v>
      </c>
      <c r="D1895" s="2"/>
      <c r="E1895" s="2" t="str">
        <f>"FES1162569792"</f>
        <v>FES1162569792</v>
      </c>
      <c r="F1895" s="3">
        <v>42964</v>
      </c>
      <c r="G1895" s="2">
        <v>201802</v>
      </c>
      <c r="H1895" s="2" t="s">
        <v>74</v>
      </c>
      <c r="I1895" s="2" t="s">
        <v>75</v>
      </c>
      <c r="J1895" s="2" t="s">
        <v>76</v>
      </c>
      <c r="K1895" s="2" t="s">
        <v>77</v>
      </c>
      <c r="L1895" s="2" t="s">
        <v>159</v>
      </c>
      <c r="M1895" s="2" t="s">
        <v>160</v>
      </c>
      <c r="N1895" s="2" t="s">
        <v>2515</v>
      </c>
      <c r="O1895" s="2" t="s">
        <v>100</v>
      </c>
      <c r="P1895" s="2" t="str">
        <f>"2170585575                    "</f>
        <v xml:space="preserve">2170585575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5.63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1</v>
      </c>
      <c r="BI1895" s="2">
        <v>1</v>
      </c>
      <c r="BJ1895" s="2">
        <v>0.2</v>
      </c>
      <c r="BK1895" s="2">
        <v>1</v>
      </c>
      <c r="BL1895" s="2">
        <v>58.28</v>
      </c>
      <c r="BM1895" s="2">
        <v>8.16</v>
      </c>
      <c r="BN1895" s="2">
        <v>66.44</v>
      </c>
      <c r="BO1895" s="2">
        <v>66.44</v>
      </c>
      <c r="BP1895" s="2"/>
      <c r="BQ1895" s="2" t="s">
        <v>288</v>
      </c>
      <c r="BR1895" s="2" t="s">
        <v>84</v>
      </c>
      <c r="BS1895" s="3">
        <v>42965</v>
      </c>
      <c r="BT1895" s="4">
        <v>0.5805555555555556</v>
      </c>
      <c r="BU1895" s="2" t="s">
        <v>2516</v>
      </c>
      <c r="BV1895" s="2" t="s">
        <v>95</v>
      </c>
      <c r="BW1895" s="2"/>
      <c r="BX1895" s="2"/>
      <c r="BY1895" s="2">
        <v>1200</v>
      </c>
      <c r="BZ1895" s="2"/>
      <c r="CA1895" s="2"/>
      <c r="CB1895" s="2"/>
      <c r="CC1895" s="2" t="s">
        <v>160</v>
      </c>
      <c r="CD1895" s="2">
        <v>208</v>
      </c>
      <c r="CE1895" s="2" t="s">
        <v>104</v>
      </c>
      <c r="CF1895" s="5">
        <v>42968</v>
      </c>
      <c r="CG1895" s="2"/>
      <c r="CH1895" s="2"/>
      <c r="CI1895" s="2">
        <v>1</v>
      </c>
      <c r="CJ1895" s="2">
        <v>1</v>
      </c>
      <c r="CK1895" s="2">
        <v>24</v>
      </c>
      <c r="CL1895" s="2" t="s">
        <v>86</v>
      </c>
      <c r="CM1895" s="2"/>
    </row>
    <row r="1896" spans="1:91">
      <c r="A1896" s="2" t="s">
        <v>71</v>
      </c>
      <c r="B1896" s="2" t="s">
        <v>72</v>
      </c>
      <c r="C1896" s="2" t="s">
        <v>73</v>
      </c>
      <c r="D1896" s="2"/>
      <c r="E1896" s="2" t="str">
        <f>"FES1162569734"</f>
        <v>FES1162569734</v>
      </c>
      <c r="F1896" s="3">
        <v>42964</v>
      </c>
      <c r="G1896" s="2">
        <v>201802</v>
      </c>
      <c r="H1896" s="2" t="s">
        <v>74</v>
      </c>
      <c r="I1896" s="2" t="s">
        <v>75</v>
      </c>
      <c r="J1896" s="2" t="s">
        <v>76</v>
      </c>
      <c r="K1896" s="2" t="s">
        <v>77</v>
      </c>
      <c r="L1896" s="2" t="s">
        <v>105</v>
      </c>
      <c r="M1896" s="2" t="s">
        <v>106</v>
      </c>
      <c r="N1896" s="2" t="s">
        <v>2517</v>
      </c>
      <c r="O1896" s="2" t="s">
        <v>100</v>
      </c>
      <c r="P1896" s="2" t="str">
        <f>"2170583141                    "</f>
        <v xml:space="preserve">2170583141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4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1</v>
      </c>
      <c r="BJ1896" s="2">
        <v>0.2</v>
      </c>
      <c r="BK1896" s="2">
        <v>1</v>
      </c>
      <c r="BL1896" s="2">
        <v>41.44</v>
      </c>
      <c r="BM1896" s="2">
        <v>5.8</v>
      </c>
      <c r="BN1896" s="2">
        <v>47.24</v>
      </c>
      <c r="BO1896" s="2">
        <v>47.24</v>
      </c>
      <c r="BP1896" s="2"/>
      <c r="BQ1896" s="2" t="s">
        <v>108</v>
      </c>
      <c r="BR1896" s="2" t="s">
        <v>84</v>
      </c>
      <c r="BS1896" s="3">
        <v>42965</v>
      </c>
      <c r="BT1896" s="4">
        <v>0.45555555555555555</v>
      </c>
      <c r="BU1896" s="2" t="s">
        <v>2518</v>
      </c>
      <c r="BV1896" s="2" t="s">
        <v>95</v>
      </c>
      <c r="BW1896" s="2"/>
      <c r="BX1896" s="2"/>
      <c r="BY1896" s="2">
        <v>1200</v>
      </c>
      <c r="BZ1896" s="2"/>
      <c r="CA1896" s="2" t="s">
        <v>1867</v>
      </c>
      <c r="CB1896" s="2"/>
      <c r="CC1896" s="2" t="s">
        <v>106</v>
      </c>
      <c r="CD1896" s="2">
        <v>7405</v>
      </c>
      <c r="CE1896" s="2" t="s">
        <v>104</v>
      </c>
      <c r="CF1896" s="5">
        <v>42968</v>
      </c>
      <c r="CG1896" s="2"/>
      <c r="CH1896" s="2"/>
      <c r="CI1896" s="2">
        <v>1</v>
      </c>
      <c r="CJ1896" s="2">
        <v>1</v>
      </c>
      <c r="CK1896" s="2">
        <v>21</v>
      </c>
      <c r="CL1896" s="2" t="s">
        <v>86</v>
      </c>
      <c r="CM1896" s="2"/>
    </row>
    <row r="1897" spans="1:91">
      <c r="A1897" s="2" t="s">
        <v>71</v>
      </c>
      <c r="B1897" s="2" t="s">
        <v>72</v>
      </c>
      <c r="C1897" s="2" t="s">
        <v>73</v>
      </c>
      <c r="D1897" s="2"/>
      <c r="E1897" s="2" t="str">
        <f>"FES1162569649"</f>
        <v>FES1162569649</v>
      </c>
      <c r="F1897" s="3">
        <v>42964</v>
      </c>
      <c r="G1897" s="2">
        <v>201802</v>
      </c>
      <c r="H1897" s="2" t="s">
        <v>74</v>
      </c>
      <c r="I1897" s="2" t="s">
        <v>75</v>
      </c>
      <c r="J1897" s="2" t="s">
        <v>76</v>
      </c>
      <c r="K1897" s="2" t="s">
        <v>77</v>
      </c>
      <c r="L1897" s="2" t="s">
        <v>237</v>
      </c>
      <c r="M1897" s="2" t="s">
        <v>238</v>
      </c>
      <c r="N1897" s="2" t="s">
        <v>837</v>
      </c>
      <c r="O1897" s="2" t="s">
        <v>100</v>
      </c>
      <c r="P1897" s="2" t="str">
        <f>"2170582962                    "</f>
        <v xml:space="preserve">2170582962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4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1.9</v>
      </c>
      <c r="BJ1897" s="2">
        <v>1.7</v>
      </c>
      <c r="BK1897" s="2">
        <v>2</v>
      </c>
      <c r="BL1897" s="2">
        <v>41.44</v>
      </c>
      <c r="BM1897" s="2">
        <v>5.8</v>
      </c>
      <c r="BN1897" s="2">
        <v>47.24</v>
      </c>
      <c r="BO1897" s="2">
        <v>47.24</v>
      </c>
      <c r="BP1897" s="2"/>
      <c r="BQ1897" s="2" t="s">
        <v>288</v>
      </c>
      <c r="BR1897" s="2" t="s">
        <v>84</v>
      </c>
      <c r="BS1897" s="3">
        <v>42965</v>
      </c>
      <c r="BT1897" s="4">
        <v>0.38472222222222219</v>
      </c>
      <c r="BU1897" s="2" t="s">
        <v>838</v>
      </c>
      <c r="BV1897" s="2" t="s">
        <v>95</v>
      </c>
      <c r="BW1897" s="2"/>
      <c r="BX1897" s="2"/>
      <c r="BY1897" s="2">
        <v>8615.3799999999992</v>
      </c>
      <c r="BZ1897" s="2" t="s">
        <v>27</v>
      </c>
      <c r="CA1897" s="2" t="s">
        <v>839</v>
      </c>
      <c r="CB1897" s="2"/>
      <c r="CC1897" s="2" t="s">
        <v>238</v>
      </c>
      <c r="CD1897" s="2">
        <v>4037</v>
      </c>
      <c r="CE1897" s="2" t="s">
        <v>89</v>
      </c>
      <c r="CF1897" s="5">
        <v>42968</v>
      </c>
      <c r="CG1897" s="2"/>
      <c r="CH1897" s="2"/>
      <c r="CI1897" s="2">
        <v>1</v>
      </c>
      <c r="CJ1897" s="2">
        <v>1</v>
      </c>
      <c r="CK1897" s="2">
        <v>21</v>
      </c>
      <c r="CL1897" s="2" t="s">
        <v>86</v>
      </c>
      <c r="CM1897" s="2"/>
    </row>
    <row r="1898" spans="1:91">
      <c r="A1898" s="2" t="s">
        <v>71</v>
      </c>
      <c r="B1898" s="2" t="s">
        <v>72</v>
      </c>
      <c r="C1898" s="2" t="s">
        <v>73</v>
      </c>
      <c r="D1898" s="2"/>
      <c r="E1898" s="2" t="str">
        <f>"FES1162569747"</f>
        <v>FES1162569747</v>
      </c>
      <c r="F1898" s="3">
        <v>42964</v>
      </c>
      <c r="G1898" s="2">
        <v>201802</v>
      </c>
      <c r="H1898" s="2" t="s">
        <v>74</v>
      </c>
      <c r="I1898" s="2" t="s">
        <v>75</v>
      </c>
      <c r="J1898" s="2" t="s">
        <v>76</v>
      </c>
      <c r="K1898" s="2" t="s">
        <v>77</v>
      </c>
      <c r="L1898" s="2" t="s">
        <v>944</v>
      </c>
      <c r="M1898" s="2" t="s">
        <v>944</v>
      </c>
      <c r="N1898" s="2" t="s">
        <v>1137</v>
      </c>
      <c r="O1898" s="2" t="s">
        <v>100</v>
      </c>
      <c r="P1898" s="2" t="str">
        <f>"2170585105                    "</f>
        <v xml:space="preserve">2170585105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5.63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1</v>
      </c>
      <c r="BI1898" s="2">
        <v>1.6</v>
      </c>
      <c r="BJ1898" s="2">
        <v>1.7</v>
      </c>
      <c r="BK1898" s="2">
        <v>2</v>
      </c>
      <c r="BL1898" s="2">
        <v>58.28</v>
      </c>
      <c r="BM1898" s="2">
        <v>8.16</v>
      </c>
      <c r="BN1898" s="2">
        <v>66.44</v>
      </c>
      <c r="BO1898" s="2">
        <v>66.44</v>
      </c>
      <c r="BP1898" s="2"/>
      <c r="BQ1898" s="2" t="s">
        <v>288</v>
      </c>
      <c r="BR1898" s="2" t="s">
        <v>84</v>
      </c>
      <c r="BS1898" s="3">
        <v>42965</v>
      </c>
      <c r="BT1898" s="4">
        <v>0.3833333333333333</v>
      </c>
      <c r="BU1898" s="2" t="s">
        <v>2519</v>
      </c>
      <c r="BV1898" s="2" t="s">
        <v>95</v>
      </c>
      <c r="BW1898" s="2"/>
      <c r="BX1898" s="2"/>
      <c r="BY1898" s="2">
        <v>8595.6</v>
      </c>
      <c r="BZ1898" s="2"/>
      <c r="CA1898" s="2" t="s">
        <v>1098</v>
      </c>
      <c r="CB1898" s="2"/>
      <c r="CC1898" s="2" t="s">
        <v>944</v>
      </c>
      <c r="CD1898" s="2">
        <v>1490</v>
      </c>
      <c r="CE1898" s="2" t="s">
        <v>89</v>
      </c>
      <c r="CF1898" s="5">
        <v>42968</v>
      </c>
      <c r="CG1898" s="2"/>
      <c r="CH1898" s="2"/>
      <c r="CI1898" s="2">
        <v>1</v>
      </c>
      <c r="CJ1898" s="2">
        <v>1</v>
      </c>
      <c r="CK1898" s="2">
        <v>24</v>
      </c>
      <c r="CL1898" s="2" t="s">
        <v>86</v>
      </c>
      <c r="CM1898" s="2"/>
    </row>
    <row r="1899" spans="1:91">
      <c r="A1899" s="2" t="s">
        <v>71</v>
      </c>
      <c r="B1899" s="2" t="s">
        <v>72</v>
      </c>
      <c r="C1899" s="2" t="s">
        <v>73</v>
      </c>
      <c r="D1899" s="2"/>
      <c r="E1899" s="2" t="str">
        <f>"FES1162569890"</f>
        <v>FES1162569890</v>
      </c>
      <c r="F1899" s="3">
        <v>42964</v>
      </c>
      <c r="G1899" s="2">
        <v>201802</v>
      </c>
      <c r="H1899" s="2" t="s">
        <v>74</v>
      </c>
      <c r="I1899" s="2" t="s">
        <v>75</v>
      </c>
      <c r="J1899" s="2" t="s">
        <v>76</v>
      </c>
      <c r="K1899" s="2" t="s">
        <v>77</v>
      </c>
      <c r="L1899" s="2" t="s">
        <v>237</v>
      </c>
      <c r="M1899" s="2" t="s">
        <v>238</v>
      </c>
      <c r="N1899" s="2" t="s">
        <v>2457</v>
      </c>
      <c r="O1899" s="2" t="s">
        <v>100</v>
      </c>
      <c r="P1899" s="2" t="str">
        <f>"2170585701                    "</f>
        <v xml:space="preserve">2170585701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4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1</v>
      </c>
      <c r="BJ1899" s="2">
        <v>0.2</v>
      </c>
      <c r="BK1899" s="2">
        <v>1</v>
      </c>
      <c r="BL1899" s="2">
        <v>41.44</v>
      </c>
      <c r="BM1899" s="2">
        <v>5.8</v>
      </c>
      <c r="BN1899" s="2">
        <v>47.24</v>
      </c>
      <c r="BO1899" s="2">
        <v>47.24</v>
      </c>
      <c r="BP1899" s="2"/>
      <c r="BQ1899" s="2" t="s">
        <v>288</v>
      </c>
      <c r="BR1899" s="2" t="s">
        <v>84</v>
      </c>
      <c r="BS1899" s="3">
        <v>42965</v>
      </c>
      <c r="BT1899" s="4">
        <v>0.40486111111111112</v>
      </c>
      <c r="BU1899" s="2" t="s">
        <v>2458</v>
      </c>
      <c r="BV1899" s="2" t="s">
        <v>95</v>
      </c>
      <c r="BW1899" s="2"/>
      <c r="BX1899" s="2"/>
      <c r="BY1899" s="2">
        <v>1200</v>
      </c>
      <c r="BZ1899" s="2"/>
      <c r="CA1899" s="2" t="s">
        <v>401</v>
      </c>
      <c r="CB1899" s="2"/>
      <c r="CC1899" s="2" t="s">
        <v>238</v>
      </c>
      <c r="CD1899" s="2">
        <v>3610</v>
      </c>
      <c r="CE1899" s="2" t="s">
        <v>104</v>
      </c>
      <c r="CF1899" s="5">
        <v>42968</v>
      </c>
      <c r="CG1899" s="2"/>
      <c r="CH1899" s="2"/>
      <c r="CI1899" s="2">
        <v>1</v>
      </c>
      <c r="CJ1899" s="2">
        <v>1</v>
      </c>
      <c r="CK1899" s="2">
        <v>21</v>
      </c>
      <c r="CL1899" s="2" t="s">
        <v>86</v>
      </c>
      <c r="CM1899" s="2"/>
    </row>
    <row r="1900" spans="1:91">
      <c r="A1900" s="2" t="s">
        <v>71</v>
      </c>
      <c r="B1900" s="2" t="s">
        <v>72</v>
      </c>
      <c r="C1900" s="2" t="s">
        <v>73</v>
      </c>
      <c r="D1900" s="2"/>
      <c r="E1900" s="2" t="str">
        <f>"FES1162569767"</f>
        <v>FES1162569767</v>
      </c>
      <c r="F1900" s="3">
        <v>42964</v>
      </c>
      <c r="G1900" s="2">
        <v>201802</v>
      </c>
      <c r="H1900" s="2" t="s">
        <v>74</v>
      </c>
      <c r="I1900" s="2" t="s">
        <v>75</v>
      </c>
      <c r="J1900" s="2" t="s">
        <v>76</v>
      </c>
      <c r="K1900" s="2" t="s">
        <v>77</v>
      </c>
      <c r="L1900" s="2" t="s">
        <v>144</v>
      </c>
      <c r="M1900" s="2" t="s">
        <v>145</v>
      </c>
      <c r="N1900" s="2" t="s">
        <v>146</v>
      </c>
      <c r="O1900" s="2" t="s">
        <v>100</v>
      </c>
      <c r="P1900" s="2" t="str">
        <f>"2170585532                    "</f>
        <v xml:space="preserve">2170585532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3.13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1.5</v>
      </c>
      <c r="BJ1900" s="2">
        <v>1.1000000000000001</v>
      </c>
      <c r="BK1900" s="2">
        <v>2</v>
      </c>
      <c r="BL1900" s="2">
        <v>32.380000000000003</v>
      </c>
      <c r="BM1900" s="2">
        <v>4.53</v>
      </c>
      <c r="BN1900" s="2">
        <v>36.909999999999997</v>
      </c>
      <c r="BO1900" s="2">
        <v>36.909999999999997</v>
      </c>
      <c r="BP1900" s="2"/>
      <c r="BQ1900" s="2" t="s">
        <v>83</v>
      </c>
      <c r="BR1900" s="2" t="s">
        <v>84</v>
      </c>
      <c r="BS1900" s="3">
        <v>42965</v>
      </c>
      <c r="BT1900" s="4">
        <v>0.3923611111111111</v>
      </c>
      <c r="BU1900" s="2" t="s">
        <v>1176</v>
      </c>
      <c r="BV1900" s="2" t="s">
        <v>95</v>
      </c>
      <c r="BW1900" s="2"/>
      <c r="BX1900" s="2"/>
      <c r="BY1900" s="2">
        <v>5257.69</v>
      </c>
      <c r="BZ1900" s="2"/>
      <c r="CA1900" s="2" t="s">
        <v>729</v>
      </c>
      <c r="CB1900" s="2"/>
      <c r="CC1900" s="2" t="s">
        <v>145</v>
      </c>
      <c r="CD1900" s="2">
        <v>2094</v>
      </c>
      <c r="CE1900" s="2" t="s">
        <v>89</v>
      </c>
      <c r="CF1900" s="5">
        <v>42968</v>
      </c>
      <c r="CG1900" s="2"/>
      <c r="CH1900" s="2"/>
      <c r="CI1900" s="2">
        <v>1</v>
      </c>
      <c r="CJ1900" s="2">
        <v>1</v>
      </c>
      <c r="CK1900" s="2">
        <v>22</v>
      </c>
      <c r="CL1900" s="2" t="s">
        <v>86</v>
      </c>
      <c r="CM1900" s="2"/>
    </row>
    <row r="1901" spans="1:91">
      <c r="A1901" s="2" t="s">
        <v>71</v>
      </c>
      <c r="B1901" s="2" t="s">
        <v>72</v>
      </c>
      <c r="C1901" s="2" t="s">
        <v>73</v>
      </c>
      <c r="D1901" s="2"/>
      <c r="E1901" s="2" t="str">
        <f>"FES1162569355"</f>
        <v>FES1162569355</v>
      </c>
      <c r="F1901" s="3">
        <v>42964</v>
      </c>
      <c r="G1901" s="2">
        <v>201802</v>
      </c>
      <c r="H1901" s="2" t="s">
        <v>74</v>
      </c>
      <c r="I1901" s="2" t="s">
        <v>75</v>
      </c>
      <c r="J1901" s="2" t="s">
        <v>76</v>
      </c>
      <c r="K1901" s="2" t="s">
        <v>77</v>
      </c>
      <c r="L1901" s="2" t="s">
        <v>144</v>
      </c>
      <c r="M1901" s="2" t="s">
        <v>145</v>
      </c>
      <c r="N1901" s="2" t="s">
        <v>393</v>
      </c>
      <c r="O1901" s="2" t="s">
        <v>100</v>
      </c>
      <c r="P1901" s="2" t="str">
        <f>"2170582351                    "</f>
        <v xml:space="preserve">2170582351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3.13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1</v>
      </c>
      <c r="BJ1901" s="2">
        <v>0.2</v>
      </c>
      <c r="BK1901" s="2">
        <v>1</v>
      </c>
      <c r="BL1901" s="2">
        <v>32.380000000000003</v>
      </c>
      <c r="BM1901" s="2">
        <v>4.53</v>
      </c>
      <c r="BN1901" s="2">
        <v>36.909999999999997</v>
      </c>
      <c r="BO1901" s="2">
        <v>36.909999999999997</v>
      </c>
      <c r="BP1901" s="2"/>
      <c r="BQ1901" s="2" t="s">
        <v>288</v>
      </c>
      <c r="BR1901" s="2" t="s">
        <v>84</v>
      </c>
      <c r="BS1901" s="3">
        <v>42965</v>
      </c>
      <c r="BT1901" s="4">
        <v>0.4375</v>
      </c>
      <c r="BU1901" s="2" t="s">
        <v>2520</v>
      </c>
      <c r="BV1901" s="2" t="s">
        <v>95</v>
      </c>
      <c r="BW1901" s="2"/>
      <c r="BX1901" s="2"/>
      <c r="BY1901" s="2">
        <v>1200</v>
      </c>
      <c r="BZ1901" s="2" t="s">
        <v>27</v>
      </c>
      <c r="CA1901" s="2" t="s">
        <v>1296</v>
      </c>
      <c r="CB1901" s="2"/>
      <c r="CC1901" s="2" t="s">
        <v>145</v>
      </c>
      <c r="CD1901" s="2">
        <v>2001</v>
      </c>
      <c r="CE1901" s="2" t="s">
        <v>104</v>
      </c>
      <c r="CF1901" s="5">
        <v>42968</v>
      </c>
      <c r="CG1901" s="2"/>
      <c r="CH1901" s="2"/>
      <c r="CI1901" s="2">
        <v>1</v>
      </c>
      <c r="CJ1901" s="2">
        <v>1</v>
      </c>
      <c r="CK1901" s="2">
        <v>22</v>
      </c>
      <c r="CL1901" s="2" t="s">
        <v>86</v>
      </c>
      <c r="CM1901" s="2"/>
    </row>
    <row r="1902" spans="1:91">
      <c r="A1902" s="2" t="s">
        <v>71</v>
      </c>
      <c r="B1902" s="2" t="s">
        <v>72</v>
      </c>
      <c r="C1902" s="2" t="s">
        <v>73</v>
      </c>
      <c r="D1902" s="2"/>
      <c r="E1902" s="2" t="str">
        <f>"FES1162569875"</f>
        <v>FES1162569875</v>
      </c>
      <c r="F1902" s="3">
        <v>42964</v>
      </c>
      <c r="G1902" s="2">
        <v>201802</v>
      </c>
      <c r="H1902" s="2" t="s">
        <v>74</v>
      </c>
      <c r="I1902" s="2" t="s">
        <v>75</v>
      </c>
      <c r="J1902" s="2" t="s">
        <v>76</v>
      </c>
      <c r="K1902" s="2" t="s">
        <v>77</v>
      </c>
      <c r="L1902" s="2" t="s">
        <v>174</v>
      </c>
      <c r="M1902" s="2" t="s">
        <v>175</v>
      </c>
      <c r="N1902" s="2" t="s">
        <v>2521</v>
      </c>
      <c r="O1902" s="2" t="s">
        <v>100</v>
      </c>
      <c r="P1902" s="2" t="str">
        <f>"2170585683                    "</f>
        <v xml:space="preserve">2170585683 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9.01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1</v>
      </c>
      <c r="BI1902" s="2">
        <v>4</v>
      </c>
      <c r="BJ1902" s="2">
        <v>4.0999999999999996</v>
      </c>
      <c r="BK1902" s="2">
        <v>4.5</v>
      </c>
      <c r="BL1902" s="2">
        <v>93.25</v>
      </c>
      <c r="BM1902" s="2">
        <v>13.06</v>
      </c>
      <c r="BN1902" s="2">
        <v>106.31</v>
      </c>
      <c r="BO1902" s="2">
        <v>106.31</v>
      </c>
      <c r="BP1902" s="2"/>
      <c r="BQ1902" s="2" t="s">
        <v>288</v>
      </c>
      <c r="BR1902" s="2" t="s">
        <v>84</v>
      </c>
      <c r="BS1902" s="3">
        <v>42965</v>
      </c>
      <c r="BT1902" s="4">
        <v>0.35972222222222222</v>
      </c>
      <c r="BU1902" s="2" t="s">
        <v>2091</v>
      </c>
      <c r="BV1902" s="2" t="s">
        <v>95</v>
      </c>
      <c r="BW1902" s="2"/>
      <c r="BX1902" s="2"/>
      <c r="BY1902" s="2">
        <v>20358</v>
      </c>
      <c r="BZ1902" s="2"/>
      <c r="CA1902" s="2" t="s">
        <v>1420</v>
      </c>
      <c r="CB1902" s="2"/>
      <c r="CC1902" s="2" t="s">
        <v>175</v>
      </c>
      <c r="CD1902" s="2">
        <v>5201</v>
      </c>
      <c r="CE1902" s="2" t="s">
        <v>89</v>
      </c>
      <c r="CF1902" s="5">
        <v>42968</v>
      </c>
      <c r="CG1902" s="2"/>
      <c r="CH1902" s="2"/>
      <c r="CI1902" s="2">
        <v>1</v>
      </c>
      <c r="CJ1902" s="2">
        <v>1</v>
      </c>
      <c r="CK1902" s="2">
        <v>21</v>
      </c>
      <c r="CL1902" s="2" t="s">
        <v>86</v>
      </c>
      <c r="CM1902" s="2"/>
    </row>
    <row r="1903" spans="1:91">
      <c r="A1903" s="2" t="s">
        <v>71</v>
      </c>
      <c r="B1903" s="2" t="s">
        <v>72</v>
      </c>
      <c r="C1903" s="2" t="s">
        <v>73</v>
      </c>
      <c r="D1903" s="2"/>
      <c r="E1903" s="2" t="str">
        <f>"FES1162569832"</f>
        <v>FES1162569832</v>
      </c>
      <c r="F1903" s="3">
        <v>42964</v>
      </c>
      <c r="G1903" s="2">
        <v>201802</v>
      </c>
      <c r="H1903" s="2" t="s">
        <v>74</v>
      </c>
      <c r="I1903" s="2" t="s">
        <v>75</v>
      </c>
      <c r="J1903" s="2" t="s">
        <v>76</v>
      </c>
      <c r="K1903" s="2" t="s">
        <v>77</v>
      </c>
      <c r="L1903" s="2" t="s">
        <v>74</v>
      </c>
      <c r="M1903" s="2" t="s">
        <v>75</v>
      </c>
      <c r="N1903" s="2" t="s">
        <v>1815</v>
      </c>
      <c r="O1903" s="2" t="s">
        <v>100</v>
      </c>
      <c r="P1903" s="2" t="str">
        <f>"2170585623                    "</f>
        <v xml:space="preserve">2170585623 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3.13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2.7</v>
      </c>
      <c r="BJ1903" s="2">
        <v>1.4</v>
      </c>
      <c r="BK1903" s="2">
        <v>3</v>
      </c>
      <c r="BL1903" s="2">
        <v>32.380000000000003</v>
      </c>
      <c r="BM1903" s="2">
        <v>4.53</v>
      </c>
      <c r="BN1903" s="2">
        <v>36.909999999999997</v>
      </c>
      <c r="BO1903" s="2">
        <v>36.909999999999997</v>
      </c>
      <c r="BP1903" s="2"/>
      <c r="BQ1903" s="2" t="s">
        <v>288</v>
      </c>
      <c r="BR1903" s="2" t="s">
        <v>84</v>
      </c>
      <c r="BS1903" s="3">
        <v>42965</v>
      </c>
      <c r="BT1903" s="4">
        <v>0.4826388888888889</v>
      </c>
      <c r="BU1903" s="2" t="s">
        <v>2186</v>
      </c>
      <c r="BV1903" s="2" t="s">
        <v>86</v>
      </c>
      <c r="BW1903" s="2"/>
      <c r="BX1903" s="2"/>
      <c r="BY1903" s="2">
        <v>7137.94</v>
      </c>
      <c r="BZ1903" s="2"/>
      <c r="CA1903" s="2" t="s">
        <v>953</v>
      </c>
      <c r="CB1903" s="2"/>
      <c r="CC1903" s="2" t="s">
        <v>75</v>
      </c>
      <c r="CD1903" s="2">
        <v>1601</v>
      </c>
      <c r="CE1903" s="2" t="s">
        <v>89</v>
      </c>
      <c r="CF1903" s="5">
        <v>42968</v>
      </c>
      <c r="CG1903" s="2"/>
      <c r="CH1903" s="2"/>
      <c r="CI1903" s="2">
        <v>1</v>
      </c>
      <c r="CJ1903" s="2">
        <v>1</v>
      </c>
      <c r="CK1903" s="2">
        <v>22</v>
      </c>
      <c r="CL1903" s="2" t="s">
        <v>86</v>
      </c>
      <c r="CM1903" s="2"/>
    </row>
    <row r="1904" spans="1:91">
      <c r="A1904" s="2" t="s">
        <v>71</v>
      </c>
      <c r="B1904" s="2" t="s">
        <v>72</v>
      </c>
      <c r="C1904" s="2" t="s">
        <v>73</v>
      </c>
      <c r="D1904" s="2"/>
      <c r="E1904" s="2" t="str">
        <f>"FES1162569715"</f>
        <v>FES1162569715</v>
      </c>
      <c r="F1904" s="3">
        <v>42964</v>
      </c>
      <c r="G1904" s="2">
        <v>201802</v>
      </c>
      <c r="H1904" s="2" t="s">
        <v>74</v>
      </c>
      <c r="I1904" s="2" t="s">
        <v>75</v>
      </c>
      <c r="J1904" s="2" t="s">
        <v>76</v>
      </c>
      <c r="K1904" s="2" t="s">
        <v>77</v>
      </c>
      <c r="L1904" s="2" t="s">
        <v>74</v>
      </c>
      <c r="M1904" s="2" t="s">
        <v>75</v>
      </c>
      <c r="N1904" s="2" t="s">
        <v>1370</v>
      </c>
      <c r="O1904" s="2" t="s">
        <v>100</v>
      </c>
      <c r="P1904" s="2" t="str">
        <f>"2170585496                    "</f>
        <v xml:space="preserve">2170585496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3.13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1</v>
      </c>
      <c r="BI1904" s="2">
        <v>1</v>
      </c>
      <c r="BJ1904" s="2">
        <v>0.2</v>
      </c>
      <c r="BK1904" s="2">
        <v>1</v>
      </c>
      <c r="BL1904" s="2">
        <v>32.380000000000003</v>
      </c>
      <c r="BM1904" s="2">
        <v>4.53</v>
      </c>
      <c r="BN1904" s="2">
        <v>36.909999999999997</v>
      </c>
      <c r="BO1904" s="2">
        <v>36.909999999999997</v>
      </c>
      <c r="BP1904" s="2"/>
      <c r="BQ1904" s="2" t="s">
        <v>108</v>
      </c>
      <c r="BR1904" s="2" t="s">
        <v>84</v>
      </c>
      <c r="BS1904" s="3">
        <v>42965</v>
      </c>
      <c r="BT1904" s="4">
        <v>0.32777777777777778</v>
      </c>
      <c r="BU1904" s="2" t="s">
        <v>2522</v>
      </c>
      <c r="BV1904" s="2" t="s">
        <v>95</v>
      </c>
      <c r="BW1904" s="2"/>
      <c r="BX1904" s="2"/>
      <c r="BY1904" s="2">
        <v>1200</v>
      </c>
      <c r="BZ1904" s="2" t="s">
        <v>27</v>
      </c>
      <c r="CA1904" s="2" t="s">
        <v>1441</v>
      </c>
      <c r="CB1904" s="2"/>
      <c r="CC1904" s="2" t="s">
        <v>75</v>
      </c>
      <c r="CD1904" s="2">
        <v>1609</v>
      </c>
      <c r="CE1904" s="2" t="s">
        <v>104</v>
      </c>
      <c r="CF1904" s="5">
        <v>42968</v>
      </c>
      <c r="CG1904" s="2"/>
      <c r="CH1904" s="2"/>
      <c r="CI1904" s="2">
        <v>1</v>
      </c>
      <c r="CJ1904" s="2">
        <v>1</v>
      </c>
      <c r="CK1904" s="2">
        <v>22</v>
      </c>
      <c r="CL1904" s="2" t="s">
        <v>86</v>
      </c>
      <c r="CM1904" s="2"/>
    </row>
    <row r="1905" spans="1:91">
      <c r="A1905" s="2" t="s">
        <v>71</v>
      </c>
      <c r="B1905" s="2" t="s">
        <v>72</v>
      </c>
      <c r="C1905" s="2" t="s">
        <v>73</v>
      </c>
      <c r="D1905" s="2"/>
      <c r="E1905" s="2" t="str">
        <f>"FES1162569882"</f>
        <v>FES1162569882</v>
      </c>
      <c r="F1905" s="3">
        <v>42964</v>
      </c>
      <c r="G1905" s="2">
        <v>201802</v>
      </c>
      <c r="H1905" s="2" t="s">
        <v>74</v>
      </c>
      <c r="I1905" s="2" t="s">
        <v>75</v>
      </c>
      <c r="J1905" s="2" t="s">
        <v>76</v>
      </c>
      <c r="K1905" s="2" t="s">
        <v>77</v>
      </c>
      <c r="L1905" s="2" t="s">
        <v>97</v>
      </c>
      <c r="M1905" s="2" t="s">
        <v>98</v>
      </c>
      <c r="N1905" s="2" t="s">
        <v>214</v>
      </c>
      <c r="O1905" s="2" t="s">
        <v>100</v>
      </c>
      <c r="P1905" s="2" t="str">
        <f>"2170585686                    "</f>
        <v xml:space="preserve">2170585686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4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1</v>
      </c>
      <c r="BJ1905" s="2">
        <v>0.2</v>
      </c>
      <c r="BK1905" s="2">
        <v>1</v>
      </c>
      <c r="BL1905" s="2">
        <v>41.44</v>
      </c>
      <c r="BM1905" s="2">
        <v>5.8</v>
      </c>
      <c r="BN1905" s="2">
        <v>47.24</v>
      </c>
      <c r="BO1905" s="2">
        <v>47.24</v>
      </c>
      <c r="BP1905" s="2"/>
      <c r="BQ1905" s="2" t="s">
        <v>108</v>
      </c>
      <c r="BR1905" s="2" t="s">
        <v>84</v>
      </c>
      <c r="BS1905" s="3">
        <v>42965</v>
      </c>
      <c r="BT1905" s="4">
        <v>0.34236111111111112</v>
      </c>
      <c r="BU1905" s="2" t="s">
        <v>2523</v>
      </c>
      <c r="BV1905" s="2" t="s">
        <v>95</v>
      </c>
      <c r="BW1905" s="2"/>
      <c r="BX1905" s="2"/>
      <c r="BY1905" s="2">
        <v>1200</v>
      </c>
      <c r="BZ1905" s="2"/>
      <c r="CA1905" s="2" t="s">
        <v>286</v>
      </c>
      <c r="CB1905" s="2"/>
      <c r="CC1905" s="2" t="s">
        <v>98</v>
      </c>
      <c r="CD1905" s="2">
        <v>6001</v>
      </c>
      <c r="CE1905" s="2" t="s">
        <v>104</v>
      </c>
      <c r="CF1905" s="5">
        <v>42968</v>
      </c>
      <c r="CG1905" s="2"/>
      <c r="CH1905" s="2"/>
      <c r="CI1905" s="2">
        <v>1</v>
      </c>
      <c r="CJ1905" s="2">
        <v>1</v>
      </c>
      <c r="CK1905" s="2">
        <v>21</v>
      </c>
      <c r="CL1905" s="2" t="s">
        <v>86</v>
      </c>
      <c r="CM1905" s="2"/>
    </row>
    <row r="1906" spans="1:91">
      <c r="A1906" s="2" t="s">
        <v>71</v>
      </c>
      <c r="B1906" s="2" t="s">
        <v>72</v>
      </c>
      <c r="C1906" s="2" t="s">
        <v>73</v>
      </c>
      <c r="D1906" s="2"/>
      <c r="E1906" s="2" t="str">
        <f>"FES1162569881"</f>
        <v>FES1162569881</v>
      </c>
      <c r="F1906" s="3">
        <v>42964</v>
      </c>
      <c r="G1906" s="2">
        <v>201802</v>
      </c>
      <c r="H1906" s="2" t="s">
        <v>74</v>
      </c>
      <c r="I1906" s="2" t="s">
        <v>75</v>
      </c>
      <c r="J1906" s="2" t="s">
        <v>76</v>
      </c>
      <c r="K1906" s="2" t="s">
        <v>77</v>
      </c>
      <c r="L1906" s="2" t="s">
        <v>105</v>
      </c>
      <c r="M1906" s="2" t="s">
        <v>106</v>
      </c>
      <c r="N1906" s="2" t="s">
        <v>486</v>
      </c>
      <c r="O1906" s="2" t="s">
        <v>100</v>
      </c>
      <c r="P1906" s="2" t="str">
        <f>"2170585667                    "</f>
        <v xml:space="preserve">2170585667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4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1</v>
      </c>
      <c r="BJ1906" s="2">
        <v>0.2</v>
      </c>
      <c r="BK1906" s="2">
        <v>1</v>
      </c>
      <c r="BL1906" s="2">
        <v>41.44</v>
      </c>
      <c r="BM1906" s="2">
        <v>5.8</v>
      </c>
      <c r="BN1906" s="2">
        <v>47.24</v>
      </c>
      <c r="BO1906" s="2">
        <v>47.24</v>
      </c>
      <c r="BP1906" s="2"/>
      <c r="BQ1906" s="2" t="s">
        <v>365</v>
      </c>
      <c r="BR1906" s="2" t="s">
        <v>84</v>
      </c>
      <c r="BS1906" s="3">
        <v>42965</v>
      </c>
      <c r="BT1906" s="4">
        <v>0.47916666666666669</v>
      </c>
      <c r="BU1906" s="2" t="s">
        <v>2524</v>
      </c>
      <c r="BV1906" s="2" t="s">
        <v>86</v>
      </c>
      <c r="BW1906" s="2" t="s">
        <v>110</v>
      </c>
      <c r="BX1906" s="2" t="s">
        <v>111</v>
      </c>
      <c r="BY1906" s="2">
        <v>1200</v>
      </c>
      <c r="BZ1906" s="2"/>
      <c r="CA1906" s="2" t="s">
        <v>291</v>
      </c>
      <c r="CB1906" s="2"/>
      <c r="CC1906" s="2" t="s">
        <v>106</v>
      </c>
      <c r="CD1906" s="2">
        <v>7441</v>
      </c>
      <c r="CE1906" s="2" t="s">
        <v>104</v>
      </c>
      <c r="CF1906" s="5">
        <v>42968</v>
      </c>
      <c r="CG1906" s="2"/>
      <c r="CH1906" s="2"/>
      <c r="CI1906" s="2">
        <v>1</v>
      </c>
      <c r="CJ1906" s="2">
        <v>1</v>
      </c>
      <c r="CK1906" s="2">
        <v>21</v>
      </c>
      <c r="CL1906" s="2" t="s">
        <v>86</v>
      </c>
      <c r="CM1906" s="2"/>
    </row>
    <row r="1907" spans="1:91">
      <c r="A1907" s="2" t="s">
        <v>71</v>
      </c>
      <c r="B1907" s="2" t="s">
        <v>72</v>
      </c>
      <c r="C1907" s="2" t="s">
        <v>73</v>
      </c>
      <c r="D1907" s="2"/>
      <c r="E1907" s="2" t="str">
        <f>"FES1162569750"</f>
        <v>FES1162569750</v>
      </c>
      <c r="F1907" s="3">
        <v>42964</v>
      </c>
      <c r="G1907" s="2">
        <v>201802</v>
      </c>
      <c r="H1907" s="2" t="s">
        <v>74</v>
      </c>
      <c r="I1907" s="2" t="s">
        <v>75</v>
      </c>
      <c r="J1907" s="2" t="s">
        <v>76</v>
      </c>
      <c r="K1907" s="2" t="s">
        <v>77</v>
      </c>
      <c r="L1907" s="2" t="s">
        <v>74</v>
      </c>
      <c r="M1907" s="2" t="s">
        <v>75</v>
      </c>
      <c r="N1907" s="2" t="s">
        <v>2525</v>
      </c>
      <c r="O1907" s="2" t="s">
        <v>100</v>
      </c>
      <c r="P1907" s="2" t="str">
        <f>"2170585516                    "</f>
        <v xml:space="preserve">2170585516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3.13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1</v>
      </c>
      <c r="BJ1907" s="2">
        <v>0.2</v>
      </c>
      <c r="BK1907" s="2">
        <v>1</v>
      </c>
      <c r="BL1907" s="2">
        <v>32.380000000000003</v>
      </c>
      <c r="BM1907" s="2">
        <v>4.53</v>
      </c>
      <c r="BN1907" s="2">
        <v>36.909999999999997</v>
      </c>
      <c r="BO1907" s="2">
        <v>36.909999999999997</v>
      </c>
      <c r="BP1907" s="2"/>
      <c r="BQ1907" s="2" t="s">
        <v>288</v>
      </c>
      <c r="BR1907" s="2" t="s">
        <v>84</v>
      </c>
      <c r="BS1907" s="3">
        <v>42965</v>
      </c>
      <c r="BT1907" s="4">
        <v>0.4368055555555555</v>
      </c>
      <c r="BU1907" s="2" t="s">
        <v>2526</v>
      </c>
      <c r="BV1907" s="2" t="s">
        <v>95</v>
      </c>
      <c r="BW1907" s="2"/>
      <c r="BX1907" s="2"/>
      <c r="BY1907" s="2">
        <v>1200</v>
      </c>
      <c r="BZ1907" s="2" t="s">
        <v>27</v>
      </c>
      <c r="CA1907" s="2" t="s">
        <v>2527</v>
      </c>
      <c r="CB1907" s="2"/>
      <c r="CC1907" s="2" t="s">
        <v>75</v>
      </c>
      <c r="CD1907" s="2">
        <v>1600</v>
      </c>
      <c r="CE1907" s="2" t="s">
        <v>104</v>
      </c>
      <c r="CF1907" s="5">
        <v>42968</v>
      </c>
      <c r="CG1907" s="2"/>
      <c r="CH1907" s="2"/>
      <c r="CI1907" s="2">
        <v>1</v>
      </c>
      <c r="CJ1907" s="2">
        <v>1</v>
      </c>
      <c r="CK1907" s="2">
        <v>22</v>
      </c>
      <c r="CL1907" s="2" t="s">
        <v>86</v>
      </c>
      <c r="CM1907" s="2"/>
    </row>
    <row r="1908" spans="1:91">
      <c r="A1908" s="2" t="s">
        <v>71</v>
      </c>
      <c r="B1908" s="2" t="s">
        <v>72</v>
      </c>
      <c r="C1908" s="2" t="s">
        <v>73</v>
      </c>
      <c r="D1908" s="2"/>
      <c r="E1908" s="2" t="str">
        <f>"FES1162568708"</f>
        <v>FES1162568708</v>
      </c>
      <c r="F1908" s="3">
        <v>42964</v>
      </c>
      <c r="G1908" s="2">
        <v>201802</v>
      </c>
      <c r="H1908" s="2" t="s">
        <v>74</v>
      </c>
      <c r="I1908" s="2" t="s">
        <v>75</v>
      </c>
      <c r="J1908" s="2" t="s">
        <v>76</v>
      </c>
      <c r="K1908" s="2" t="s">
        <v>77</v>
      </c>
      <c r="L1908" s="2" t="s">
        <v>417</v>
      </c>
      <c r="M1908" s="2" t="s">
        <v>417</v>
      </c>
      <c r="N1908" s="2" t="s">
        <v>1409</v>
      </c>
      <c r="O1908" s="2" t="s">
        <v>100</v>
      </c>
      <c r="P1908" s="2" t="str">
        <f>"2170584688                    "</f>
        <v xml:space="preserve">2170584688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4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1</v>
      </c>
      <c r="BJ1908" s="2">
        <v>0.2</v>
      </c>
      <c r="BK1908" s="2">
        <v>1</v>
      </c>
      <c r="BL1908" s="2">
        <v>41.44</v>
      </c>
      <c r="BM1908" s="2">
        <v>5.8</v>
      </c>
      <c r="BN1908" s="2">
        <v>47.24</v>
      </c>
      <c r="BO1908" s="2">
        <v>47.24</v>
      </c>
      <c r="BP1908" s="2"/>
      <c r="BQ1908" s="2" t="s">
        <v>83</v>
      </c>
      <c r="BR1908" s="2" t="s">
        <v>84</v>
      </c>
      <c r="BS1908" s="3">
        <v>42965</v>
      </c>
      <c r="BT1908" s="4">
        <v>0.44027777777777777</v>
      </c>
      <c r="BU1908" s="2" t="s">
        <v>212</v>
      </c>
      <c r="BV1908" s="2" t="s">
        <v>95</v>
      </c>
      <c r="BW1908" s="2"/>
      <c r="BX1908" s="2"/>
      <c r="BY1908" s="2">
        <v>1200</v>
      </c>
      <c r="BZ1908" s="2"/>
      <c r="CA1908" s="2" t="s">
        <v>460</v>
      </c>
      <c r="CB1908" s="2"/>
      <c r="CC1908" s="2" t="s">
        <v>417</v>
      </c>
      <c r="CD1908" s="2">
        <v>7646</v>
      </c>
      <c r="CE1908" s="2" t="s">
        <v>104</v>
      </c>
      <c r="CF1908" s="5">
        <v>42968</v>
      </c>
      <c r="CG1908" s="2"/>
      <c r="CH1908" s="2"/>
      <c r="CI1908" s="2">
        <v>1</v>
      </c>
      <c r="CJ1908" s="2">
        <v>1</v>
      </c>
      <c r="CK1908" s="2">
        <v>21</v>
      </c>
      <c r="CL1908" s="2" t="s">
        <v>86</v>
      </c>
      <c r="CM1908" s="2"/>
    </row>
    <row r="1909" spans="1:91">
      <c r="A1909" s="2" t="s">
        <v>71</v>
      </c>
      <c r="B1909" s="2" t="s">
        <v>72</v>
      </c>
      <c r="C1909" s="2" t="s">
        <v>73</v>
      </c>
      <c r="D1909" s="2"/>
      <c r="E1909" s="2" t="str">
        <f>"FES1162569740"</f>
        <v>FES1162569740</v>
      </c>
      <c r="F1909" s="3">
        <v>42964</v>
      </c>
      <c r="G1909" s="2">
        <v>201802</v>
      </c>
      <c r="H1909" s="2" t="s">
        <v>74</v>
      </c>
      <c r="I1909" s="2" t="s">
        <v>75</v>
      </c>
      <c r="J1909" s="2" t="s">
        <v>76</v>
      </c>
      <c r="K1909" s="2" t="s">
        <v>77</v>
      </c>
      <c r="L1909" s="2" t="s">
        <v>74</v>
      </c>
      <c r="M1909" s="2" t="s">
        <v>75</v>
      </c>
      <c r="N1909" s="2" t="s">
        <v>407</v>
      </c>
      <c r="O1909" s="2" t="s">
        <v>100</v>
      </c>
      <c r="P1909" s="2" t="str">
        <f>"2170583278                    "</f>
        <v xml:space="preserve">2170583278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3.13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6.5</v>
      </c>
      <c r="BJ1909" s="2">
        <v>2.2999999999999998</v>
      </c>
      <c r="BK1909" s="2">
        <v>7</v>
      </c>
      <c r="BL1909" s="2">
        <v>32.380000000000003</v>
      </c>
      <c r="BM1909" s="2">
        <v>4.53</v>
      </c>
      <c r="BN1909" s="2">
        <v>36.909999999999997</v>
      </c>
      <c r="BO1909" s="2">
        <v>36.909999999999997</v>
      </c>
      <c r="BP1909" s="2"/>
      <c r="BQ1909" s="2" t="s">
        <v>108</v>
      </c>
      <c r="BR1909" s="2" t="s">
        <v>84</v>
      </c>
      <c r="BS1909" s="3">
        <v>42965</v>
      </c>
      <c r="BT1909" s="4">
        <v>0.33333333333333331</v>
      </c>
      <c r="BU1909" s="2" t="s">
        <v>1793</v>
      </c>
      <c r="BV1909" s="2" t="s">
        <v>95</v>
      </c>
      <c r="BW1909" s="2"/>
      <c r="BX1909" s="2"/>
      <c r="BY1909" s="2">
        <v>11571.84</v>
      </c>
      <c r="BZ1909" s="2"/>
      <c r="CA1909" s="2" t="s">
        <v>709</v>
      </c>
      <c r="CB1909" s="2"/>
      <c r="CC1909" s="2" t="s">
        <v>75</v>
      </c>
      <c r="CD1909" s="2">
        <v>1645</v>
      </c>
      <c r="CE1909" s="2" t="s">
        <v>89</v>
      </c>
      <c r="CF1909" s="5">
        <v>42968</v>
      </c>
      <c r="CG1909" s="2"/>
      <c r="CH1909" s="2"/>
      <c r="CI1909" s="2">
        <v>1</v>
      </c>
      <c r="CJ1909" s="2">
        <v>1</v>
      </c>
      <c r="CK1909" s="2">
        <v>22</v>
      </c>
      <c r="CL1909" s="2" t="s">
        <v>86</v>
      </c>
      <c r="CM1909" s="2"/>
    </row>
    <row r="1910" spans="1:91">
      <c r="A1910" s="2" t="s">
        <v>71</v>
      </c>
      <c r="B1910" s="2" t="s">
        <v>72</v>
      </c>
      <c r="C1910" s="2" t="s">
        <v>73</v>
      </c>
      <c r="D1910" s="2"/>
      <c r="E1910" s="2" t="str">
        <f>"FES1162569751"</f>
        <v>FES1162569751</v>
      </c>
      <c r="F1910" s="3">
        <v>42964</v>
      </c>
      <c r="G1910" s="2">
        <v>201802</v>
      </c>
      <c r="H1910" s="2" t="s">
        <v>74</v>
      </c>
      <c r="I1910" s="2" t="s">
        <v>75</v>
      </c>
      <c r="J1910" s="2" t="s">
        <v>76</v>
      </c>
      <c r="K1910" s="2" t="s">
        <v>77</v>
      </c>
      <c r="L1910" s="2" t="s">
        <v>170</v>
      </c>
      <c r="M1910" s="2" t="s">
        <v>171</v>
      </c>
      <c r="N1910" s="2" t="s">
        <v>2528</v>
      </c>
      <c r="O1910" s="2" t="s">
        <v>100</v>
      </c>
      <c r="P1910" s="2" t="str">
        <f>"2170585518                    "</f>
        <v xml:space="preserve">2170585518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3.13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1</v>
      </c>
      <c r="BJ1910" s="2">
        <v>0.2</v>
      </c>
      <c r="BK1910" s="2">
        <v>1</v>
      </c>
      <c r="BL1910" s="2">
        <v>32.380000000000003</v>
      </c>
      <c r="BM1910" s="2">
        <v>4.53</v>
      </c>
      <c r="BN1910" s="2">
        <v>36.909999999999997</v>
      </c>
      <c r="BO1910" s="2">
        <v>36.909999999999997</v>
      </c>
      <c r="BP1910" s="2"/>
      <c r="BQ1910" s="2" t="s">
        <v>288</v>
      </c>
      <c r="BR1910" s="2" t="s">
        <v>84</v>
      </c>
      <c r="BS1910" s="3">
        <v>42965</v>
      </c>
      <c r="BT1910" s="4">
        <v>0.40902777777777777</v>
      </c>
      <c r="BU1910" s="2" t="s">
        <v>2529</v>
      </c>
      <c r="BV1910" s="2" t="s">
        <v>95</v>
      </c>
      <c r="BW1910" s="2"/>
      <c r="BX1910" s="2"/>
      <c r="BY1910" s="2">
        <v>1200</v>
      </c>
      <c r="BZ1910" s="2" t="s">
        <v>27</v>
      </c>
      <c r="CA1910" s="2" t="s">
        <v>1441</v>
      </c>
      <c r="CB1910" s="2"/>
      <c r="CC1910" s="2" t="s">
        <v>171</v>
      </c>
      <c r="CD1910" s="2">
        <v>1401</v>
      </c>
      <c r="CE1910" s="2" t="s">
        <v>104</v>
      </c>
      <c r="CF1910" s="5">
        <v>42968</v>
      </c>
      <c r="CG1910" s="2"/>
      <c r="CH1910" s="2"/>
      <c r="CI1910" s="2">
        <v>1</v>
      </c>
      <c r="CJ1910" s="2">
        <v>1</v>
      </c>
      <c r="CK1910" s="2">
        <v>22</v>
      </c>
      <c r="CL1910" s="2" t="s">
        <v>86</v>
      </c>
      <c r="CM1910" s="2"/>
    </row>
    <row r="1911" spans="1:91">
      <c r="A1911" s="2" t="s">
        <v>71</v>
      </c>
      <c r="B1911" s="2" t="s">
        <v>72</v>
      </c>
      <c r="C1911" s="2" t="s">
        <v>73</v>
      </c>
      <c r="D1911" s="2"/>
      <c r="E1911" s="2" t="str">
        <f>"FES1162569583"</f>
        <v>FES1162569583</v>
      </c>
      <c r="F1911" s="3">
        <v>42964</v>
      </c>
      <c r="G1911" s="2">
        <v>201802</v>
      </c>
      <c r="H1911" s="2" t="s">
        <v>74</v>
      </c>
      <c r="I1911" s="2" t="s">
        <v>75</v>
      </c>
      <c r="J1911" s="2" t="s">
        <v>76</v>
      </c>
      <c r="K1911" s="2" t="s">
        <v>77</v>
      </c>
      <c r="L1911" s="2" t="s">
        <v>149</v>
      </c>
      <c r="M1911" s="2" t="s">
        <v>150</v>
      </c>
      <c r="N1911" s="2" t="s">
        <v>2082</v>
      </c>
      <c r="O1911" s="2" t="s">
        <v>100</v>
      </c>
      <c r="P1911" s="2" t="str">
        <f>"2170584038                    "</f>
        <v xml:space="preserve">2170584038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4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1</v>
      </c>
      <c r="BJ1911" s="2">
        <v>0.2</v>
      </c>
      <c r="BK1911" s="2">
        <v>1</v>
      </c>
      <c r="BL1911" s="2">
        <v>41.44</v>
      </c>
      <c r="BM1911" s="2">
        <v>5.8</v>
      </c>
      <c r="BN1911" s="2">
        <v>47.24</v>
      </c>
      <c r="BO1911" s="2">
        <v>47.24</v>
      </c>
      <c r="BP1911" s="2"/>
      <c r="BQ1911" s="2" t="s">
        <v>288</v>
      </c>
      <c r="BR1911" s="2" t="s">
        <v>84</v>
      </c>
      <c r="BS1911" s="3">
        <v>42965</v>
      </c>
      <c r="BT1911" s="4">
        <v>0.42569444444444443</v>
      </c>
      <c r="BU1911" s="2" t="s">
        <v>2530</v>
      </c>
      <c r="BV1911" s="2" t="s">
        <v>95</v>
      </c>
      <c r="BW1911" s="2"/>
      <c r="BX1911" s="2"/>
      <c r="BY1911" s="2">
        <v>1200</v>
      </c>
      <c r="BZ1911" s="2"/>
      <c r="CA1911" s="2" t="s">
        <v>1163</v>
      </c>
      <c r="CB1911" s="2"/>
      <c r="CC1911" s="2" t="s">
        <v>150</v>
      </c>
      <c r="CD1911" s="2">
        <v>4001</v>
      </c>
      <c r="CE1911" s="2" t="s">
        <v>104</v>
      </c>
      <c r="CF1911" s="5">
        <v>42968</v>
      </c>
      <c r="CG1911" s="2"/>
      <c r="CH1911" s="2"/>
      <c r="CI1911" s="2">
        <v>1</v>
      </c>
      <c r="CJ1911" s="2">
        <v>1</v>
      </c>
      <c r="CK1911" s="2">
        <v>21</v>
      </c>
      <c r="CL1911" s="2" t="s">
        <v>86</v>
      </c>
      <c r="CM1911" s="2"/>
    </row>
    <row r="1912" spans="1:91">
      <c r="A1912" s="2" t="s">
        <v>71</v>
      </c>
      <c r="B1912" s="2" t="s">
        <v>72</v>
      </c>
      <c r="C1912" s="2" t="s">
        <v>73</v>
      </c>
      <c r="D1912" s="2"/>
      <c r="E1912" s="2" t="str">
        <f>"FES1162569804"</f>
        <v>FES1162569804</v>
      </c>
      <c r="F1912" s="3">
        <v>42964</v>
      </c>
      <c r="G1912" s="2">
        <v>201802</v>
      </c>
      <c r="H1912" s="2" t="s">
        <v>74</v>
      </c>
      <c r="I1912" s="2" t="s">
        <v>75</v>
      </c>
      <c r="J1912" s="2" t="s">
        <v>76</v>
      </c>
      <c r="K1912" s="2" t="s">
        <v>77</v>
      </c>
      <c r="L1912" s="2" t="s">
        <v>237</v>
      </c>
      <c r="M1912" s="2" t="s">
        <v>238</v>
      </c>
      <c r="N1912" s="2" t="s">
        <v>669</v>
      </c>
      <c r="O1912" s="2" t="s">
        <v>100</v>
      </c>
      <c r="P1912" s="2" t="str">
        <f>"2170585591                    "</f>
        <v xml:space="preserve">2170585591 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4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1</v>
      </c>
      <c r="BJ1912" s="2">
        <v>0.2</v>
      </c>
      <c r="BK1912" s="2">
        <v>1</v>
      </c>
      <c r="BL1912" s="2">
        <v>41.44</v>
      </c>
      <c r="BM1912" s="2">
        <v>5.8</v>
      </c>
      <c r="BN1912" s="2">
        <v>47.24</v>
      </c>
      <c r="BO1912" s="2">
        <v>47.24</v>
      </c>
      <c r="BP1912" s="2"/>
      <c r="BQ1912" s="2" t="s">
        <v>288</v>
      </c>
      <c r="BR1912" s="2" t="s">
        <v>84</v>
      </c>
      <c r="BS1912" s="3">
        <v>42965</v>
      </c>
      <c r="BT1912" s="4">
        <v>0.38472222222222219</v>
      </c>
      <c r="BU1912" s="2" t="s">
        <v>677</v>
      </c>
      <c r="BV1912" s="2" t="s">
        <v>95</v>
      </c>
      <c r="BW1912" s="2"/>
      <c r="BX1912" s="2"/>
      <c r="BY1912" s="2">
        <v>1200</v>
      </c>
      <c r="BZ1912" s="2"/>
      <c r="CA1912" s="2" t="s">
        <v>672</v>
      </c>
      <c r="CB1912" s="2"/>
      <c r="CC1912" s="2" t="s">
        <v>238</v>
      </c>
      <c r="CD1912" s="2">
        <v>3610</v>
      </c>
      <c r="CE1912" s="2" t="s">
        <v>104</v>
      </c>
      <c r="CF1912" s="5">
        <v>42968</v>
      </c>
      <c r="CG1912" s="2"/>
      <c r="CH1912" s="2"/>
      <c r="CI1912" s="2">
        <v>1</v>
      </c>
      <c r="CJ1912" s="2">
        <v>1</v>
      </c>
      <c r="CK1912" s="2">
        <v>21</v>
      </c>
      <c r="CL1912" s="2" t="s">
        <v>86</v>
      </c>
      <c r="CM1912" s="2"/>
    </row>
    <row r="1913" spans="1:91">
      <c r="A1913" s="2" t="s">
        <v>71</v>
      </c>
      <c r="B1913" s="2" t="s">
        <v>72</v>
      </c>
      <c r="C1913" s="2" t="s">
        <v>73</v>
      </c>
      <c r="D1913" s="2"/>
      <c r="E1913" s="2" t="str">
        <f>"FES1162569876"</f>
        <v>FES1162569876</v>
      </c>
      <c r="F1913" s="3">
        <v>42964</v>
      </c>
      <c r="G1913" s="2">
        <v>201802</v>
      </c>
      <c r="H1913" s="2" t="s">
        <v>74</v>
      </c>
      <c r="I1913" s="2" t="s">
        <v>75</v>
      </c>
      <c r="J1913" s="2" t="s">
        <v>76</v>
      </c>
      <c r="K1913" s="2" t="s">
        <v>77</v>
      </c>
      <c r="L1913" s="2" t="s">
        <v>105</v>
      </c>
      <c r="M1913" s="2" t="s">
        <v>106</v>
      </c>
      <c r="N1913" s="2" t="s">
        <v>107</v>
      </c>
      <c r="O1913" s="2" t="s">
        <v>100</v>
      </c>
      <c r="P1913" s="2" t="str">
        <f>"2170585685                    "</f>
        <v xml:space="preserve">2170585685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4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1</v>
      </c>
      <c r="BJ1913" s="2">
        <v>0.2</v>
      </c>
      <c r="BK1913" s="2">
        <v>1</v>
      </c>
      <c r="BL1913" s="2">
        <v>41.44</v>
      </c>
      <c r="BM1913" s="2">
        <v>5.8</v>
      </c>
      <c r="BN1913" s="2">
        <v>47.24</v>
      </c>
      <c r="BO1913" s="2">
        <v>47.24</v>
      </c>
      <c r="BP1913" s="2"/>
      <c r="BQ1913" s="2" t="s">
        <v>108</v>
      </c>
      <c r="BR1913" s="2" t="s">
        <v>84</v>
      </c>
      <c r="BS1913" s="3">
        <v>42965</v>
      </c>
      <c r="BT1913" s="4">
        <v>0.52777777777777779</v>
      </c>
      <c r="BU1913" s="2" t="s">
        <v>855</v>
      </c>
      <c r="BV1913" s="2" t="s">
        <v>86</v>
      </c>
      <c r="BW1913" s="2" t="s">
        <v>110</v>
      </c>
      <c r="BX1913" s="2" t="s">
        <v>537</v>
      </c>
      <c r="BY1913" s="2">
        <v>1200</v>
      </c>
      <c r="BZ1913" s="2"/>
      <c r="CA1913" s="2" t="s">
        <v>856</v>
      </c>
      <c r="CB1913" s="2"/>
      <c r="CC1913" s="2" t="s">
        <v>106</v>
      </c>
      <c r="CD1913" s="2">
        <v>7405</v>
      </c>
      <c r="CE1913" s="2" t="s">
        <v>104</v>
      </c>
      <c r="CF1913" s="5">
        <v>42968</v>
      </c>
      <c r="CG1913" s="2"/>
      <c r="CH1913" s="2"/>
      <c r="CI1913" s="2">
        <v>1</v>
      </c>
      <c r="CJ1913" s="2">
        <v>1</v>
      </c>
      <c r="CK1913" s="2">
        <v>21</v>
      </c>
      <c r="CL1913" s="2" t="s">
        <v>86</v>
      </c>
      <c r="CM1913" s="2"/>
    </row>
    <row r="1914" spans="1:91">
      <c r="A1914" s="2" t="s">
        <v>71</v>
      </c>
      <c r="B1914" s="2" t="s">
        <v>72</v>
      </c>
      <c r="C1914" s="2" t="s">
        <v>73</v>
      </c>
      <c r="D1914" s="2"/>
      <c r="E1914" s="2" t="str">
        <f>"FES1162569766"</f>
        <v>FES1162569766</v>
      </c>
      <c r="F1914" s="3">
        <v>42964</v>
      </c>
      <c r="G1914" s="2">
        <v>201802</v>
      </c>
      <c r="H1914" s="2" t="s">
        <v>74</v>
      </c>
      <c r="I1914" s="2" t="s">
        <v>75</v>
      </c>
      <c r="J1914" s="2" t="s">
        <v>76</v>
      </c>
      <c r="K1914" s="2" t="s">
        <v>77</v>
      </c>
      <c r="L1914" s="2" t="s">
        <v>841</v>
      </c>
      <c r="M1914" s="2" t="s">
        <v>842</v>
      </c>
      <c r="N1914" s="2" t="s">
        <v>843</v>
      </c>
      <c r="O1914" s="2" t="s">
        <v>100</v>
      </c>
      <c r="P1914" s="2" t="str">
        <f>"2170585528                    "</f>
        <v xml:space="preserve">2170585528 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16.510000000000002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4.2</v>
      </c>
      <c r="BJ1914" s="2">
        <v>1.6</v>
      </c>
      <c r="BK1914" s="2">
        <v>4.5</v>
      </c>
      <c r="BL1914" s="2">
        <v>170.95</v>
      </c>
      <c r="BM1914" s="2">
        <v>23.93</v>
      </c>
      <c r="BN1914" s="2">
        <v>194.88</v>
      </c>
      <c r="BO1914" s="2">
        <v>194.88</v>
      </c>
      <c r="BP1914" s="2"/>
      <c r="BQ1914" s="2" t="s">
        <v>83</v>
      </c>
      <c r="BR1914" s="2" t="s">
        <v>84</v>
      </c>
      <c r="BS1914" s="3">
        <v>42965</v>
      </c>
      <c r="BT1914" s="4">
        <v>0.50694444444444442</v>
      </c>
      <c r="BU1914" s="2" t="s">
        <v>844</v>
      </c>
      <c r="BV1914" s="2" t="s">
        <v>95</v>
      </c>
      <c r="BW1914" s="2"/>
      <c r="BX1914" s="2"/>
      <c r="BY1914" s="2">
        <v>7999.84</v>
      </c>
      <c r="BZ1914" s="2" t="s">
        <v>27</v>
      </c>
      <c r="CA1914" s="2" t="s">
        <v>845</v>
      </c>
      <c r="CB1914" s="2"/>
      <c r="CC1914" s="2" t="s">
        <v>842</v>
      </c>
      <c r="CD1914" s="2">
        <v>3370</v>
      </c>
      <c r="CE1914" s="2" t="s">
        <v>89</v>
      </c>
      <c r="CF1914" s="5">
        <v>42969</v>
      </c>
      <c r="CG1914" s="2"/>
      <c r="CH1914" s="2"/>
      <c r="CI1914" s="2">
        <v>3</v>
      </c>
      <c r="CJ1914" s="2">
        <v>1</v>
      </c>
      <c r="CK1914" s="2">
        <v>23</v>
      </c>
      <c r="CL1914" s="2" t="s">
        <v>86</v>
      </c>
      <c r="CM1914" s="2"/>
    </row>
    <row r="1915" spans="1:91">
      <c r="A1915" s="2" t="s">
        <v>71</v>
      </c>
      <c r="B1915" s="2" t="s">
        <v>72</v>
      </c>
      <c r="C1915" s="2" t="s">
        <v>73</v>
      </c>
      <c r="D1915" s="2"/>
      <c r="E1915" s="2" t="str">
        <f>"FES1162569871"</f>
        <v>FES1162569871</v>
      </c>
      <c r="F1915" s="3">
        <v>42964</v>
      </c>
      <c r="G1915" s="2">
        <v>201802</v>
      </c>
      <c r="H1915" s="2" t="s">
        <v>74</v>
      </c>
      <c r="I1915" s="2" t="s">
        <v>75</v>
      </c>
      <c r="J1915" s="2" t="s">
        <v>76</v>
      </c>
      <c r="K1915" s="2" t="s">
        <v>77</v>
      </c>
      <c r="L1915" s="2" t="s">
        <v>105</v>
      </c>
      <c r="M1915" s="2" t="s">
        <v>106</v>
      </c>
      <c r="N1915" s="2" t="s">
        <v>2531</v>
      </c>
      <c r="O1915" s="2" t="s">
        <v>100</v>
      </c>
      <c r="P1915" s="2" t="str">
        <f>"2170585676                    "</f>
        <v xml:space="preserve">2170585676 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4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1</v>
      </c>
      <c r="BJ1915" s="2">
        <v>0.2</v>
      </c>
      <c r="BK1915" s="2">
        <v>1</v>
      </c>
      <c r="BL1915" s="2">
        <v>41.44</v>
      </c>
      <c r="BM1915" s="2">
        <v>5.8</v>
      </c>
      <c r="BN1915" s="2">
        <v>47.24</v>
      </c>
      <c r="BO1915" s="2">
        <v>47.24</v>
      </c>
      <c r="BP1915" s="2"/>
      <c r="BQ1915" s="2" t="s">
        <v>83</v>
      </c>
      <c r="BR1915" s="2" t="s">
        <v>84</v>
      </c>
      <c r="BS1915" s="3">
        <v>42965</v>
      </c>
      <c r="BT1915" s="4">
        <v>0.4465277777777778</v>
      </c>
      <c r="BU1915" s="2" t="s">
        <v>2532</v>
      </c>
      <c r="BV1915" s="2" t="s">
        <v>95</v>
      </c>
      <c r="BW1915" s="2"/>
      <c r="BX1915" s="2"/>
      <c r="BY1915" s="2">
        <v>1200</v>
      </c>
      <c r="BZ1915" s="2"/>
      <c r="CA1915" s="2" t="s">
        <v>278</v>
      </c>
      <c r="CB1915" s="2"/>
      <c r="CC1915" s="2" t="s">
        <v>106</v>
      </c>
      <c r="CD1915" s="2">
        <v>7500</v>
      </c>
      <c r="CE1915" s="2" t="s">
        <v>104</v>
      </c>
      <c r="CF1915" s="5">
        <v>42968</v>
      </c>
      <c r="CG1915" s="2"/>
      <c r="CH1915" s="2"/>
      <c r="CI1915" s="2">
        <v>1</v>
      </c>
      <c r="CJ1915" s="2">
        <v>1</v>
      </c>
      <c r="CK1915" s="2">
        <v>21</v>
      </c>
      <c r="CL1915" s="2" t="s">
        <v>86</v>
      </c>
      <c r="CM1915" s="2"/>
    </row>
    <row r="1916" spans="1:91">
      <c r="A1916" s="2" t="s">
        <v>71</v>
      </c>
      <c r="B1916" s="2" t="s">
        <v>72</v>
      </c>
      <c r="C1916" s="2" t="s">
        <v>73</v>
      </c>
      <c r="D1916" s="2"/>
      <c r="E1916" s="2" t="str">
        <f>"FES1162569772"</f>
        <v>FES1162569772</v>
      </c>
      <c r="F1916" s="3">
        <v>42964</v>
      </c>
      <c r="G1916" s="2">
        <v>201802</v>
      </c>
      <c r="H1916" s="2" t="s">
        <v>74</v>
      </c>
      <c r="I1916" s="2" t="s">
        <v>75</v>
      </c>
      <c r="J1916" s="2" t="s">
        <v>76</v>
      </c>
      <c r="K1916" s="2" t="s">
        <v>77</v>
      </c>
      <c r="L1916" s="2" t="s">
        <v>306</v>
      </c>
      <c r="M1916" s="2" t="s">
        <v>307</v>
      </c>
      <c r="N1916" s="2" t="s">
        <v>2533</v>
      </c>
      <c r="O1916" s="2" t="s">
        <v>100</v>
      </c>
      <c r="P1916" s="2" t="str">
        <f>"2170585543                    "</f>
        <v xml:space="preserve">2170585543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4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1</v>
      </c>
      <c r="BJ1916" s="2">
        <v>0.2</v>
      </c>
      <c r="BK1916" s="2">
        <v>1</v>
      </c>
      <c r="BL1916" s="2">
        <v>41.44</v>
      </c>
      <c r="BM1916" s="2">
        <v>5.8</v>
      </c>
      <c r="BN1916" s="2">
        <v>47.24</v>
      </c>
      <c r="BO1916" s="2">
        <v>47.24</v>
      </c>
      <c r="BP1916" s="2"/>
      <c r="BQ1916" s="2" t="s">
        <v>83</v>
      </c>
      <c r="BR1916" s="2" t="s">
        <v>84</v>
      </c>
      <c r="BS1916" s="3">
        <v>42965</v>
      </c>
      <c r="BT1916" s="4">
        <v>0.39444444444444443</v>
      </c>
      <c r="BU1916" s="2" t="s">
        <v>2534</v>
      </c>
      <c r="BV1916" s="2" t="s">
        <v>95</v>
      </c>
      <c r="BW1916" s="2"/>
      <c r="BX1916" s="2"/>
      <c r="BY1916" s="2">
        <v>1200</v>
      </c>
      <c r="BZ1916" s="2"/>
      <c r="CA1916" s="2" t="s">
        <v>951</v>
      </c>
      <c r="CB1916" s="2"/>
      <c r="CC1916" s="2" t="s">
        <v>307</v>
      </c>
      <c r="CD1916" s="2">
        <v>1961</v>
      </c>
      <c r="CE1916" s="2" t="s">
        <v>104</v>
      </c>
      <c r="CF1916" s="5">
        <v>42968</v>
      </c>
      <c r="CG1916" s="2"/>
      <c r="CH1916" s="2"/>
      <c r="CI1916" s="2">
        <v>1</v>
      </c>
      <c r="CJ1916" s="2">
        <v>1</v>
      </c>
      <c r="CK1916" s="2">
        <v>21</v>
      </c>
      <c r="CL1916" s="2" t="s">
        <v>86</v>
      </c>
      <c r="CM1916" s="2"/>
    </row>
    <row r="1917" spans="1:91">
      <c r="A1917" s="2" t="s">
        <v>71</v>
      </c>
      <c r="B1917" s="2" t="s">
        <v>72</v>
      </c>
      <c r="C1917" s="2" t="s">
        <v>73</v>
      </c>
      <c r="D1917" s="2"/>
      <c r="E1917" s="2" t="str">
        <f>"FES1162569801"</f>
        <v>FES1162569801</v>
      </c>
      <c r="F1917" s="3">
        <v>42964</v>
      </c>
      <c r="G1917" s="2">
        <v>201802</v>
      </c>
      <c r="H1917" s="2" t="s">
        <v>74</v>
      </c>
      <c r="I1917" s="2" t="s">
        <v>75</v>
      </c>
      <c r="J1917" s="2" t="s">
        <v>76</v>
      </c>
      <c r="K1917" s="2" t="s">
        <v>77</v>
      </c>
      <c r="L1917" s="2" t="s">
        <v>237</v>
      </c>
      <c r="M1917" s="2" t="s">
        <v>238</v>
      </c>
      <c r="N1917" s="2" t="s">
        <v>1766</v>
      </c>
      <c r="O1917" s="2" t="s">
        <v>100</v>
      </c>
      <c r="P1917" s="2" t="str">
        <f>"2170585586                    "</f>
        <v xml:space="preserve">2170585586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19.010000000000002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5.2</v>
      </c>
      <c r="BJ1917" s="2">
        <v>9.3000000000000007</v>
      </c>
      <c r="BK1917" s="2">
        <v>9.5</v>
      </c>
      <c r="BL1917" s="2">
        <v>196.85</v>
      </c>
      <c r="BM1917" s="2">
        <v>27.56</v>
      </c>
      <c r="BN1917" s="2">
        <v>224.41</v>
      </c>
      <c r="BO1917" s="2">
        <v>224.41</v>
      </c>
      <c r="BP1917" s="2"/>
      <c r="BQ1917" s="2" t="s">
        <v>108</v>
      </c>
      <c r="BR1917" s="2" t="s">
        <v>84</v>
      </c>
      <c r="BS1917" s="3">
        <v>42965</v>
      </c>
      <c r="BT1917" s="4">
        <v>0.42083333333333334</v>
      </c>
      <c r="BU1917" s="2" t="s">
        <v>428</v>
      </c>
      <c r="BV1917" s="2" t="s">
        <v>95</v>
      </c>
      <c r="BW1917" s="2"/>
      <c r="BX1917" s="2"/>
      <c r="BY1917" s="2">
        <v>46407.22</v>
      </c>
      <c r="BZ1917" s="2"/>
      <c r="CA1917" s="2" t="s">
        <v>401</v>
      </c>
      <c r="CB1917" s="2"/>
      <c r="CC1917" s="2" t="s">
        <v>238</v>
      </c>
      <c r="CD1917" s="2">
        <v>3620</v>
      </c>
      <c r="CE1917" s="2" t="s">
        <v>89</v>
      </c>
      <c r="CF1917" s="5">
        <v>42968</v>
      </c>
      <c r="CG1917" s="2"/>
      <c r="CH1917" s="2"/>
      <c r="CI1917" s="2">
        <v>1</v>
      </c>
      <c r="CJ1917" s="2">
        <v>1</v>
      </c>
      <c r="CK1917" s="2">
        <v>21</v>
      </c>
      <c r="CL1917" s="2" t="s">
        <v>86</v>
      </c>
      <c r="CM1917" s="2"/>
    </row>
    <row r="1918" spans="1:91">
      <c r="A1918" s="2" t="s">
        <v>71</v>
      </c>
      <c r="B1918" s="2" t="s">
        <v>72</v>
      </c>
      <c r="C1918" s="2" t="s">
        <v>73</v>
      </c>
      <c r="D1918" s="2"/>
      <c r="E1918" s="2" t="str">
        <f>"FES1162569833"</f>
        <v>FES1162569833</v>
      </c>
      <c r="F1918" s="3">
        <v>42964</v>
      </c>
      <c r="G1918" s="2">
        <v>201802</v>
      </c>
      <c r="H1918" s="2" t="s">
        <v>74</v>
      </c>
      <c r="I1918" s="2" t="s">
        <v>75</v>
      </c>
      <c r="J1918" s="2" t="s">
        <v>76</v>
      </c>
      <c r="K1918" s="2" t="s">
        <v>77</v>
      </c>
      <c r="L1918" s="2" t="s">
        <v>105</v>
      </c>
      <c r="M1918" s="2" t="s">
        <v>106</v>
      </c>
      <c r="N1918" s="2" t="s">
        <v>534</v>
      </c>
      <c r="O1918" s="2" t="s">
        <v>100</v>
      </c>
      <c r="P1918" s="2" t="str">
        <f>"2170585624 1162569712         "</f>
        <v xml:space="preserve">2170585624 1162569712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28.02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5.2</v>
      </c>
      <c r="BJ1918" s="2">
        <v>13.7</v>
      </c>
      <c r="BK1918" s="2">
        <v>14</v>
      </c>
      <c r="BL1918" s="2">
        <v>290.10000000000002</v>
      </c>
      <c r="BM1918" s="2">
        <v>40.61</v>
      </c>
      <c r="BN1918" s="2">
        <v>330.71</v>
      </c>
      <c r="BO1918" s="2">
        <v>330.71</v>
      </c>
      <c r="BP1918" s="2"/>
      <c r="BQ1918" s="2" t="s">
        <v>2535</v>
      </c>
      <c r="BR1918" s="2" t="s">
        <v>84</v>
      </c>
      <c r="BS1918" s="3">
        <v>42965</v>
      </c>
      <c r="BT1918" s="4">
        <v>0.37777777777777777</v>
      </c>
      <c r="BU1918" s="2" t="s">
        <v>2536</v>
      </c>
      <c r="BV1918" s="2" t="s">
        <v>95</v>
      </c>
      <c r="BW1918" s="2"/>
      <c r="BX1918" s="2"/>
      <c r="BY1918" s="2">
        <v>68700.960000000006</v>
      </c>
      <c r="BZ1918" s="2" t="s">
        <v>27</v>
      </c>
      <c r="CA1918" s="2" t="s">
        <v>856</v>
      </c>
      <c r="CB1918" s="2"/>
      <c r="CC1918" s="2" t="s">
        <v>106</v>
      </c>
      <c r="CD1918" s="2">
        <v>7405</v>
      </c>
      <c r="CE1918" s="2" t="s">
        <v>135</v>
      </c>
      <c r="CF1918" s="5">
        <v>42968</v>
      </c>
      <c r="CG1918" s="2"/>
      <c r="CH1918" s="2"/>
      <c r="CI1918" s="2">
        <v>1</v>
      </c>
      <c r="CJ1918" s="2">
        <v>1</v>
      </c>
      <c r="CK1918" s="2">
        <v>21</v>
      </c>
      <c r="CL1918" s="2" t="s">
        <v>86</v>
      </c>
      <c r="CM1918" s="2"/>
    </row>
    <row r="1919" spans="1:91">
      <c r="A1919" s="2" t="s">
        <v>71</v>
      </c>
      <c r="B1919" s="2" t="s">
        <v>72</v>
      </c>
      <c r="C1919" s="2" t="s">
        <v>73</v>
      </c>
      <c r="D1919" s="2"/>
      <c r="E1919" s="2" t="str">
        <f>"FES1162569855"</f>
        <v>FES1162569855</v>
      </c>
      <c r="F1919" s="3">
        <v>42964</v>
      </c>
      <c r="G1919" s="2">
        <v>201802</v>
      </c>
      <c r="H1919" s="2" t="s">
        <v>74</v>
      </c>
      <c r="I1919" s="2" t="s">
        <v>75</v>
      </c>
      <c r="J1919" s="2" t="s">
        <v>76</v>
      </c>
      <c r="K1919" s="2" t="s">
        <v>77</v>
      </c>
      <c r="L1919" s="2" t="s">
        <v>221</v>
      </c>
      <c r="M1919" s="2" t="s">
        <v>222</v>
      </c>
      <c r="N1919" s="2" t="s">
        <v>1275</v>
      </c>
      <c r="O1919" s="2" t="s">
        <v>100</v>
      </c>
      <c r="P1919" s="2" t="str">
        <f>"2170585655                    "</f>
        <v xml:space="preserve">2170585655 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4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1</v>
      </c>
      <c r="BJ1919" s="2">
        <v>0.2</v>
      </c>
      <c r="BK1919" s="2">
        <v>1</v>
      </c>
      <c r="BL1919" s="2">
        <v>41.44</v>
      </c>
      <c r="BM1919" s="2">
        <v>5.8</v>
      </c>
      <c r="BN1919" s="2">
        <v>47.24</v>
      </c>
      <c r="BO1919" s="2">
        <v>47.24</v>
      </c>
      <c r="BP1919" s="2"/>
      <c r="BQ1919" s="2" t="s">
        <v>227</v>
      </c>
      <c r="BR1919" s="2" t="s">
        <v>84</v>
      </c>
      <c r="BS1919" s="3">
        <v>42965</v>
      </c>
      <c r="BT1919" s="4">
        <v>0.37152777777777773</v>
      </c>
      <c r="BU1919" s="2" t="s">
        <v>1535</v>
      </c>
      <c r="BV1919" s="2" t="s">
        <v>95</v>
      </c>
      <c r="BW1919" s="2"/>
      <c r="BX1919" s="2"/>
      <c r="BY1919" s="2">
        <v>1200</v>
      </c>
      <c r="BZ1919" s="2"/>
      <c r="CA1919" s="2" t="s">
        <v>1536</v>
      </c>
      <c r="CB1919" s="2"/>
      <c r="CC1919" s="2" t="s">
        <v>222</v>
      </c>
      <c r="CD1919" s="2">
        <v>4300</v>
      </c>
      <c r="CE1919" s="2" t="s">
        <v>104</v>
      </c>
      <c r="CF1919" s="5">
        <v>42968</v>
      </c>
      <c r="CG1919" s="2"/>
      <c r="CH1919" s="2"/>
      <c r="CI1919" s="2">
        <v>1</v>
      </c>
      <c r="CJ1919" s="2">
        <v>1</v>
      </c>
      <c r="CK1919" s="2">
        <v>21</v>
      </c>
      <c r="CL1919" s="2" t="s">
        <v>86</v>
      </c>
      <c r="CM1919" s="2"/>
    </row>
    <row r="1920" spans="1:91">
      <c r="A1920" s="2" t="s">
        <v>71</v>
      </c>
      <c r="B1920" s="2" t="s">
        <v>72</v>
      </c>
      <c r="C1920" s="2" t="s">
        <v>73</v>
      </c>
      <c r="D1920" s="2"/>
      <c r="E1920" s="2" t="str">
        <f>"FES1162568796"</f>
        <v>FES1162568796</v>
      </c>
      <c r="F1920" s="3">
        <v>42964</v>
      </c>
      <c r="G1920" s="2">
        <v>201802</v>
      </c>
      <c r="H1920" s="2" t="s">
        <v>74</v>
      </c>
      <c r="I1920" s="2" t="s">
        <v>75</v>
      </c>
      <c r="J1920" s="2" t="s">
        <v>76</v>
      </c>
      <c r="K1920" s="2" t="s">
        <v>77</v>
      </c>
      <c r="L1920" s="2" t="s">
        <v>268</v>
      </c>
      <c r="M1920" s="2" t="s">
        <v>269</v>
      </c>
      <c r="N1920" s="2" t="s">
        <v>2537</v>
      </c>
      <c r="O1920" s="2" t="s">
        <v>100</v>
      </c>
      <c r="P1920" s="2" t="str">
        <f>"2170584713                    "</f>
        <v xml:space="preserve">2170584713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4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1</v>
      </c>
      <c r="BJ1920" s="2">
        <v>0.2</v>
      </c>
      <c r="BK1920" s="2">
        <v>1</v>
      </c>
      <c r="BL1920" s="2">
        <v>41.44</v>
      </c>
      <c r="BM1920" s="2">
        <v>5.8</v>
      </c>
      <c r="BN1920" s="2">
        <v>47.24</v>
      </c>
      <c r="BO1920" s="2">
        <v>47.24</v>
      </c>
      <c r="BP1920" s="2"/>
      <c r="BQ1920" s="2" t="s">
        <v>288</v>
      </c>
      <c r="BR1920" s="2" t="s">
        <v>84</v>
      </c>
      <c r="BS1920" s="3">
        <v>42965</v>
      </c>
      <c r="BT1920" s="4">
        <v>0.46458333333333335</v>
      </c>
      <c r="BU1920" s="2" t="s">
        <v>392</v>
      </c>
      <c r="BV1920" s="2" t="s">
        <v>86</v>
      </c>
      <c r="BW1920" s="2"/>
      <c r="BX1920" s="2"/>
      <c r="BY1920" s="2">
        <v>1200</v>
      </c>
      <c r="BZ1920" s="2"/>
      <c r="CA1920" s="2" t="s">
        <v>878</v>
      </c>
      <c r="CB1920" s="2"/>
      <c r="CC1920" s="2" t="s">
        <v>269</v>
      </c>
      <c r="CD1920" s="2">
        <v>186</v>
      </c>
      <c r="CE1920" s="2" t="s">
        <v>104</v>
      </c>
      <c r="CF1920" s="5">
        <v>42968</v>
      </c>
      <c r="CG1920" s="2"/>
      <c r="CH1920" s="2"/>
      <c r="CI1920" s="2">
        <v>1</v>
      </c>
      <c r="CJ1920" s="2">
        <v>1</v>
      </c>
      <c r="CK1920" s="2">
        <v>21</v>
      </c>
      <c r="CL1920" s="2" t="s">
        <v>86</v>
      </c>
      <c r="CM1920" s="2"/>
    </row>
    <row r="1921" spans="1:91">
      <c r="A1921" s="2" t="s">
        <v>71</v>
      </c>
      <c r="B1921" s="2" t="s">
        <v>72</v>
      </c>
      <c r="C1921" s="2" t="s">
        <v>73</v>
      </c>
      <c r="D1921" s="2"/>
      <c r="E1921" s="2" t="str">
        <f>"FES1162569883"</f>
        <v>FES1162569883</v>
      </c>
      <c r="F1921" s="3">
        <v>42964</v>
      </c>
      <c r="G1921" s="2">
        <v>201802</v>
      </c>
      <c r="H1921" s="2" t="s">
        <v>74</v>
      </c>
      <c r="I1921" s="2" t="s">
        <v>75</v>
      </c>
      <c r="J1921" s="2" t="s">
        <v>76</v>
      </c>
      <c r="K1921" s="2" t="s">
        <v>77</v>
      </c>
      <c r="L1921" s="2" t="s">
        <v>97</v>
      </c>
      <c r="M1921" s="2" t="s">
        <v>98</v>
      </c>
      <c r="N1921" s="2" t="s">
        <v>1044</v>
      </c>
      <c r="O1921" s="2" t="s">
        <v>100</v>
      </c>
      <c r="P1921" s="2" t="str">
        <f>"2170585687                    "</f>
        <v xml:space="preserve">2170585687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4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1.7</v>
      </c>
      <c r="BJ1921" s="2">
        <v>1.7</v>
      </c>
      <c r="BK1921" s="2">
        <v>2</v>
      </c>
      <c r="BL1921" s="2">
        <v>41.44</v>
      </c>
      <c r="BM1921" s="2">
        <v>5.8</v>
      </c>
      <c r="BN1921" s="2">
        <v>47.24</v>
      </c>
      <c r="BO1921" s="2">
        <v>47.24</v>
      </c>
      <c r="BP1921" s="2"/>
      <c r="BQ1921" s="2" t="s">
        <v>227</v>
      </c>
      <c r="BR1921" s="2" t="s">
        <v>84</v>
      </c>
      <c r="BS1921" s="3">
        <v>42965</v>
      </c>
      <c r="BT1921" s="4">
        <v>0.4069444444444445</v>
      </c>
      <c r="BU1921" s="2" t="s">
        <v>1046</v>
      </c>
      <c r="BV1921" s="2" t="s">
        <v>95</v>
      </c>
      <c r="BW1921" s="2"/>
      <c r="BX1921" s="2"/>
      <c r="BY1921" s="2">
        <v>8646.9</v>
      </c>
      <c r="BZ1921" s="2"/>
      <c r="CA1921" s="2" t="s">
        <v>1047</v>
      </c>
      <c r="CB1921" s="2"/>
      <c r="CC1921" s="2" t="s">
        <v>98</v>
      </c>
      <c r="CD1921" s="2">
        <v>6045</v>
      </c>
      <c r="CE1921" s="2" t="s">
        <v>89</v>
      </c>
      <c r="CF1921" s="5">
        <v>42968</v>
      </c>
      <c r="CG1921" s="2"/>
      <c r="CH1921" s="2"/>
      <c r="CI1921" s="2">
        <v>1</v>
      </c>
      <c r="CJ1921" s="2">
        <v>1</v>
      </c>
      <c r="CK1921" s="2">
        <v>21</v>
      </c>
      <c r="CL1921" s="2" t="s">
        <v>86</v>
      </c>
      <c r="CM1921" s="2"/>
    </row>
    <row r="1922" spans="1:91">
      <c r="A1922" s="2" t="s">
        <v>71</v>
      </c>
      <c r="B1922" s="2" t="s">
        <v>72</v>
      </c>
      <c r="C1922" s="2" t="s">
        <v>73</v>
      </c>
      <c r="D1922" s="2"/>
      <c r="E1922" s="2" t="str">
        <f>"FES1162569658"</f>
        <v>FES1162569658</v>
      </c>
      <c r="F1922" s="3">
        <v>42964</v>
      </c>
      <c r="G1922" s="2">
        <v>201802</v>
      </c>
      <c r="H1922" s="2" t="s">
        <v>74</v>
      </c>
      <c r="I1922" s="2" t="s">
        <v>75</v>
      </c>
      <c r="J1922" s="2" t="s">
        <v>76</v>
      </c>
      <c r="K1922" s="2" t="s">
        <v>77</v>
      </c>
      <c r="L1922" s="2" t="s">
        <v>149</v>
      </c>
      <c r="M1922" s="2" t="s">
        <v>150</v>
      </c>
      <c r="N1922" s="2" t="s">
        <v>456</v>
      </c>
      <c r="O1922" s="2" t="s">
        <v>100</v>
      </c>
      <c r="P1922" s="2" t="str">
        <f>"2170583303                    "</f>
        <v xml:space="preserve">2170583303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4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1</v>
      </c>
      <c r="BJ1922" s="2">
        <v>0.2</v>
      </c>
      <c r="BK1922" s="2">
        <v>1</v>
      </c>
      <c r="BL1922" s="2">
        <v>41.44</v>
      </c>
      <c r="BM1922" s="2">
        <v>5.8</v>
      </c>
      <c r="BN1922" s="2">
        <v>47.24</v>
      </c>
      <c r="BO1922" s="2">
        <v>47.24</v>
      </c>
      <c r="BP1922" s="2"/>
      <c r="BQ1922" s="2" t="s">
        <v>83</v>
      </c>
      <c r="BR1922" s="2" t="s">
        <v>84</v>
      </c>
      <c r="BS1922" s="3">
        <v>42965</v>
      </c>
      <c r="BT1922" s="4">
        <v>0.4375</v>
      </c>
      <c r="BU1922" s="2" t="s">
        <v>1721</v>
      </c>
      <c r="BV1922" s="2" t="s">
        <v>95</v>
      </c>
      <c r="BW1922" s="2"/>
      <c r="BX1922" s="2"/>
      <c r="BY1922" s="2">
        <v>1200</v>
      </c>
      <c r="BZ1922" s="2" t="s">
        <v>27</v>
      </c>
      <c r="CA1922" s="2"/>
      <c r="CB1922" s="2"/>
      <c r="CC1922" s="2" t="s">
        <v>150</v>
      </c>
      <c r="CD1922" s="2">
        <v>4068</v>
      </c>
      <c r="CE1922" s="2" t="s">
        <v>104</v>
      </c>
      <c r="CF1922" s="5">
        <v>42968</v>
      </c>
      <c r="CG1922" s="2"/>
      <c r="CH1922" s="2"/>
      <c r="CI1922" s="2">
        <v>1</v>
      </c>
      <c r="CJ1922" s="2">
        <v>1</v>
      </c>
      <c r="CK1922" s="2">
        <v>21</v>
      </c>
      <c r="CL1922" s="2" t="s">
        <v>86</v>
      </c>
      <c r="CM1922" s="2"/>
    </row>
    <row r="1923" spans="1:91">
      <c r="A1923" s="2" t="s">
        <v>71</v>
      </c>
      <c r="B1923" s="2" t="s">
        <v>72</v>
      </c>
      <c r="C1923" s="2" t="s">
        <v>73</v>
      </c>
      <c r="D1923" s="2"/>
      <c r="E1923" s="2" t="str">
        <f>"FES11625685613"</f>
        <v>FES11625685613</v>
      </c>
      <c r="F1923" s="3">
        <v>42964</v>
      </c>
      <c r="G1923" s="2">
        <v>201802</v>
      </c>
      <c r="H1923" s="2" t="s">
        <v>74</v>
      </c>
      <c r="I1923" s="2" t="s">
        <v>75</v>
      </c>
      <c r="J1923" s="2" t="s">
        <v>76</v>
      </c>
      <c r="K1923" s="2" t="s">
        <v>77</v>
      </c>
      <c r="L1923" s="2" t="s">
        <v>244</v>
      </c>
      <c r="M1923" s="2" t="s">
        <v>245</v>
      </c>
      <c r="N1923" s="2" t="s">
        <v>246</v>
      </c>
      <c r="O1923" s="2" t="s">
        <v>100</v>
      </c>
      <c r="P1923" s="2" t="str">
        <f>"2170585613                    "</f>
        <v xml:space="preserve">2170585613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3.13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1</v>
      </c>
      <c r="BJ1923" s="2">
        <v>0.2</v>
      </c>
      <c r="BK1923" s="2">
        <v>1</v>
      </c>
      <c r="BL1923" s="2">
        <v>32.380000000000003</v>
      </c>
      <c r="BM1923" s="2">
        <v>4.53</v>
      </c>
      <c r="BN1923" s="2">
        <v>36.909999999999997</v>
      </c>
      <c r="BO1923" s="2">
        <v>36.909999999999997</v>
      </c>
      <c r="BP1923" s="2"/>
      <c r="BQ1923" s="2" t="s">
        <v>108</v>
      </c>
      <c r="BR1923" s="2" t="s">
        <v>84</v>
      </c>
      <c r="BS1923" s="3">
        <v>42965</v>
      </c>
      <c r="BT1923" s="4">
        <v>0.57638888888888895</v>
      </c>
      <c r="BU1923" s="2" t="s">
        <v>739</v>
      </c>
      <c r="BV1923" s="2" t="s">
        <v>86</v>
      </c>
      <c r="BW1923" s="2" t="s">
        <v>1007</v>
      </c>
      <c r="BX1923" s="2" t="s">
        <v>1452</v>
      </c>
      <c r="BY1923" s="2">
        <v>1200</v>
      </c>
      <c r="BZ1923" s="2"/>
      <c r="CA1923" s="2"/>
      <c r="CB1923" s="2"/>
      <c r="CC1923" s="2" t="s">
        <v>245</v>
      </c>
      <c r="CD1923" s="2">
        <v>1459</v>
      </c>
      <c r="CE1923" s="2" t="s">
        <v>104</v>
      </c>
      <c r="CF1923" s="2"/>
      <c r="CG1923" s="2"/>
      <c r="CH1923" s="2"/>
      <c r="CI1923" s="2">
        <v>1</v>
      </c>
      <c r="CJ1923" s="2">
        <v>1</v>
      </c>
      <c r="CK1923" s="2">
        <v>22</v>
      </c>
      <c r="CL1923" s="2" t="s">
        <v>86</v>
      </c>
      <c r="CM1923" s="2"/>
    </row>
    <row r="1924" spans="1:91">
      <c r="A1924" s="2" t="s">
        <v>71</v>
      </c>
      <c r="B1924" s="2" t="s">
        <v>72</v>
      </c>
      <c r="C1924" s="2" t="s">
        <v>73</v>
      </c>
      <c r="D1924" s="2"/>
      <c r="E1924" s="2" t="str">
        <f>"FES1162569902"</f>
        <v>FES1162569902</v>
      </c>
      <c r="F1924" s="3">
        <v>42964</v>
      </c>
      <c r="G1924" s="2">
        <v>201802</v>
      </c>
      <c r="H1924" s="2" t="s">
        <v>74</v>
      </c>
      <c r="I1924" s="2" t="s">
        <v>75</v>
      </c>
      <c r="J1924" s="2" t="s">
        <v>76</v>
      </c>
      <c r="K1924" s="2" t="s">
        <v>77</v>
      </c>
      <c r="L1924" s="2" t="s">
        <v>268</v>
      </c>
      <c r="M1924" s="2" t="s">
        <v>269</v>
      </c>
      <c r="N1924" s="2" t="s">
        <v>351</v>
      </c>
      <c r="O1924" s="2" t="s">
        <v>100</v>
      </c>
      <c r="P1924" s="2" t="str">
        <f>"2170585734                    "</f>
        <v xml:space="preserve">2170585734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4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1</v>
      </c>
      <c r="BJ1924" s="2">
        <v>0.2</v>
      </c>
      <c r="BK1924" s="2">
        <v>1</v>
      </c>
      <c r="BL1924" s="2">
        <v>41.44</v>
      </c>
      <c r="BM1924" s="2">
        <v>5.8</v>
      </c>
      <c r="BN1924" s="2">
        <v>47.24</v>
      </c>
      <c r="BO1924" s="2">
        <v>47.24</v>
      </c>
      <c r="BP1924" s="2"/>
      <c r="BQ1924" s="2" t="s">
        <v>108</v>
      </c>
      <c r="BR1924" s="2" t="s">
        <v>84</v>
      </c>
      <c r="BS1924" s="3">
        <v>42965</v>
      </c>
      <c r="BT1924" s="4">
        <v>0.43472222222222223</v>
      </c>
      <c r="BU1924" s="2" t="s">
        <v>2538</v>
      </c>
      <c r="BV1924" s="2" t="s">
        <v>95</v>
      </c>
      <c r="BW1924" s="2"/>
      <c r="BX1924" s="2"/>
      <c r="BY1924" s="2">
        <v>1200</v>
      </c>
      <c r="BZ1924" s="2"/>
      <c r="CA1924" s="2"/>
      <c r="CB1924" s="2"/>
      <c r="CC1924" s="2" t="s">
        <v>269</v>
      </c>
      <c r="CD1924" s="2">
        <v>200</v>
      </c>
      <c r="CE1924" s="2" t="s">
        <v>104</v>
      </c>
      <c r="CF1924" s="5">
        <v>42968</v>
      </c>
      <c r="CG1924" s="2"/>
      <c r="CH1924" s="2"/>
      <c r="CI1924" s="2">
        <v>1</v>
      </c>
      <c r="CJ1924" s="2">
        <v>1</v>
      </c>
      <c r="CK1924" s="2">
        <v>21</v>
      </c>
      <c r="CL1924" s="2" t="s">
        <v>86</v>
      </c>
      <c r="CM1924" s="2"/>
    </row>
    <row r="1925" spans="1:91">
      <c r="A1925" s="2" t="s">
        <v>71</v>
      </c>
      <c r="B1925" s="2" t="s">
        <v>72</v>
      </c>
      <c r="C1925" s="2" t="s">
        <v>73</v>
      </c>
      <c r="D1925" s="2"/>
      <c r="E1925" s="2" t="str">
        <f>"FES1162569698"</f>
        <v>FES1162569698</v>
      </c>
      <c r="F1925" s="3">
        <v>42964</v>
      </c>
      <c r="G1925" s="2">
        <v>201802</v>
      </c>
      <c r="H1925" s="2" t="s">
        <v>74</v>
      </c>
      <c r="I1925" s="2" t="s">
        <v>75</v>
      </c>
      <c r="J1925" s="2" t="s">
        <v>76</v>
      </c>
      <c r="K1925" s="2" t="s">
        <v>77</v>
      </c>
      <c r="L1925" s="2" t="s">
        <v>144</v>
      </c>
      <c r="M1925" s="2" t="s">
        <v>145</v>
      </c>
      <c r="N1925" s="2" t="s">
        <v>146</v>
      </c>
      <c r="O1925" s="2" t="s">
        <v>100</v>
      </c>
      <c r="P1925" s="2" t="str">
        <f>"2170585476                    "</f>
        <v xml:space="preserve">2170585476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4.25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10.3</v>
      </c>
      <c r="BJ1925" s="2">
        <v>5.0999999999999996</v>
      </c>
      <c r="BK1925" s="2">
        <v>11</v>
      </c>
      <c r="BL1925" s="2">
        <v>44.03</v>
      </c>
      <c r="BM1925" s="2">
        <v>6.16</v>
      </c>
      <c r="BN1925" s="2">
        <v>50.19</v>
      </c>
      <c r="BO1925" s="2">
        <v>50.19</v>
      </c>
      <c r="BP1925" s="2"/>
      <c r="BQ1925" s="2" t="s">
        <v>83</v>
      </c>
      <c r="BR1925" s="2" t="s">
        <v>84</v>
      </c>
      <c r="BS1925" s="3">
        <v>42965</v>
      </c>
      <c r="BT1925" s="4">
        <v>0.39166666666666666</v>
      </c>
      <c r="BU1925" s="2" t="s">
        <v>273</v>
      </c>
      <c r="BV1925" s="2" t="s">
        <v>95</v>
      </c>
      <c r="BW1925" s="2"/>
      <c r="BX1925" s="2"/>
      <c r="BY1925" s="2">
        <v>25545.29</v>
      </c>
      <c r="BZ1925" s="2"/>
      <c r="CA1925" s="2" t="s">
        <v>274</v>
      </c>
      <c r="CB1925" s="2"/>
      <c r="CC1925" s="2" t="s">
        <v>145</v>
      </c>
      <c r="CD1925" s="2">
        <v>2094</v>
      </c>
      <c r="CE1925" s="2" t="s">
        <v>135</v>
      </c>
      <c r="CF1925" s="5">
        <v>42968</v>
      </c>
      <c r="CG1925" s="2"/>
      <c r="CH1925" s="2"/>
      <c r="CI1925" s="2">
        <v>1</v>
      </c>
      <c r="CJ1925" s="2">
        <v>1</v>
      </c>
      <c r="CK1925" s="2">
        <v>22</v>
      </c>
      <c r="CL1925" s="2" t="s">
        <v>86</v>
      </c>
      <c r="CM1925" s="2"/>
    </row>
    <row r="1926" spans="1:91">
      <c r="A1926" s="2" t="s">
        <v>71</v>
      </c>
      <c r="B1926" s="2" t="s">
        <v>72</v>
      </c>
      <c r="C1926" s="2" t="s">
        <v>73</v>
      </c>
      <c r="D1926" s="2"/>
      <c r="E1926" s="2" t="str">
        <f>"FES1162569869"</f>
        <v>FES1162569869</v>
      </c>
      <c r="F1926" s="3">
        <v>42964</v>
      </c>
      <c r="G1926" s="2">
        <v>201802</v>
      </c>
      <c r="H1926" s="2" t="s">
        <v>74</v>
      </c>
      <c r="I1926" s="2" t="s">
        <v>75</v>
      </c>
      <c r="J1926" s="2" t="s">
        <v>76</v>
      </c>
      <c r="K1926" s="2" t="s">
        <v>77</v>
      </c>
      <c r="L1926" s="2" t="s">
        <v>244</v>
      </c>
      <c r="M1926" s="2" t="s">
        <v>245</v>
      </c>
      <c r="N1926" s="2" t="s">
        <v>246</v>
      </c>
      <c r="O1926" s="2" t="s">
        <v>100</v>
      </c>
      <c r="P1926" s="2" t="str">
        <f>"2170583276                    "</f>
        <v xml:space="preserve">2170583276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3.13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1</v>
      </c>
      <c r="BJ1926" s="2">
        <v>0.2</v>
      </c>
      <c r="BK1926" s="2">
        <v>1</v>
      </c>
      <c r="BL1926" s="2">
        <v>32.380000000000003</v>
      </c>
      <c r="BM1926" s="2">
        <v>4.53</v>
      </c>
      <c r="BN1926" s="2">
        <v>36.909999999999997</v>
      </c>
      <c r="BO1926" s="2">
        <v>36.909999999999997</v>
      </c>
      <c r="BP1926" s="2"/>
      <c r="BQ1926" s="2" t="s">
        <v>108</v>
      </c>
      <c r="BR1926" s="2" t="s">
        <v>84</v>
      </c>
      <c r="BS1926" s="3">
        <v>42965</v>
      </c>
      <c r="BT1926" s="4">
        <v>0.58263888888888882</v>
      </c>
      <c r="BU1926" s="2" t="s">
        <v>739</v>
      </c>
      <c r="BV1926" s="2" t="s">
        <v>86</v>
      </c>
      <c r="BW1926" s="2" t="s">
        <v>1007</v>
      </c>
      <c r="BX1926" s="2" t="s">
        <v>1452</v>
      </c>
      <c r="BY1926" s="2">
        <v>1200</v>
      </c>
      <c r="BZ1926" s="2"/>
      <c r="CA1926" s="2" t="s">
        <v>499</v>
      </c>
      <c r="CB1926" s="2"/>
      <c r="CC1926" s="2" t="s">
        <v>245</v>
      </c>
      <c r="CD1926" s="2">
        <v>1459</v>
      </c>
      <c r="CE1926" s="2" t="s">
        <v>104</v>
      </c>
      <c r="CF1926" s="5">
        <v>42968</v>
      </c>
      <c r="CG1926" s="2"/>
      <c r="CH1926" s="2"/>
      <c r="CI1926" s="2">
        <v>1</v>
      </c>
      <c r="CJ1926" s="2">
        <v>1</v>
      </c>
      <c r="CK1926" s="2">
        <v>22</v>
      </c>
      <c r="CL1926" s="2" t="s">
        <v>86</v>
      </c>
      <c r="CM1926" s="2"/>
    </row>
    <row r="1927" spans="1:91">
      <c r="A1927" s="2" t="s">
        <v>71</v>
      </c>
      <c r="B1927" s="2" t="s">
        <v>72</v>
      </c>
      <c r="C1927" s="2" t="s">
        <v>73</v>
      </c>
      <c r="D1927" s="2"/>
      <c r="E1927" s="2" t="str">
        <f>"FES1162569874"</f>
        <v>FES1162569874</v>
      </c>
      <c r="F1927" s="3">
        <v>42964</v>
      </c>
      <c r="G1927" s="2">
        <v>201802</v>
      </c>
      <c r="H1927" s="2" t="s">
        <v>74</v>
      </c>
      <c r="I1927" s="2" t="s">
        <v>75</v>
      </c>
      <c r="J1927" s="2" t="s">
        <v>76</v>
      </c>
      <c r="K1927" s="2" t="s">
        <v>77</v>
      </c>
      <c r="L1927" s="2" t="s">
        <v>311</v>
      </c>
      <c r="M1927" s="2" t="s">
        <v>312</v>
      </c>
      <c r="N1927" s="2" t="s">
        <v>590</v>
      </c>
      <c r="O1927" s="2" t="s">
        <v>100</v>
      </c>
      <c r="P1927" s="2" t="str">
        <f>"2170585682                    "</f>
        <v xml:space="preserve">2170585682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3.13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1</v>
      </c>
      <c r="BJ1927" s="2">
        <v>0.2</v>
      </c>
      <c r="BK1927" s="2">
        <v>1</v>
      </c>
      <c r="BL1927" s="2">
        <v>32.380000000000003</v>
      </c>
      <c r="BM1927" s="2">
        <v>4.53</v>
      </c>
      <c r="BN1927" s="2">
        <v>36.909999999999997</v>
      </c>
      <c r="BO1927" s="2">
        <v>36.909999999999997</v>
      </c>
      <c r="BP1927" s="2"/>
      <c r="BQ1927" s="2" t="s">
        <v>108</v>
      </c>
      <c r="BR1927" s="2" t="s">
        <v>84</v>
      </c>
      <c r="BS1927" s="3">
        <v>42965</v>
      </c>
      <c r="BT1927" s="4">
        <v>0.41666666666666669</v>
      </c>
      <c r="BU1927" s="2" t="s">
        <v>2539</v>
      </c>
      <c r="BV1927" s="2" t="s">
        <v>95</v>
      </c>
      <c r="BW1927" s="2"/>
      <c r="BX1927" s="2"/>
      <c r="BY1927" s="2">
        <v>1200</v>
      </c>
      <c r="BZ1927" s="2"/>
      <c r="CA1927" s="2" t="s">
        <v>148</v>
      </c>
      <c r="CB1927" s="2"/>
      <c r="CC1927" s="2" t="s">
        <v>312</v>
      </c>
      <c r="CD1927" s="2">
        <v>1559</v>
      </c>
      <c r="CE1927" s="2" t="s">
        <v>104</v>
      </c>
      <c r="CF1927" s="5">
        <v>42968</v>
      </c>
      <c r="CG1927" s="2"/>
      <c r="CH1927" s="2"/>
      <c r="CI1927" s="2">
        <v>1</v>
      </c>
      <c r="CJ1927" s="2">
        <v>1</v>
      </c>
      <c r="CK1927" s="2">
        <v>22</v>
      </c>
      <c r="CL1927" s="2" t="s">
        <v>86</v>
      </c>
      <c r="CM1927" s="2"/>
    </row>
    <row r="1928" spans="1:91">
      <c r="A1928" s="2" t="s">
        <v>71</v>
      </c>
      <c r="B1928" s="2" t="s">
        <v>72</v>
      </c>
      <c r="C1928" s="2" t="s">
        <v>73</v>
      </c>
      <c r="D1928" s="2"/>
      <c r="E1928" s="2" t="str">
        <f>"FES1162569828"</f>
        <v>FES1162569828</v>
      </c>
      <c r="F1928" s="3">
        <v>42964</v>
      </c>
      <c r="G1928" s="2">
        <v>201802</v>
      </c>
      <c r="H1928" s="2" t="s">
        <v>74</v>
      </c>
      <c r="I1928" s="2" t="s">
        <v>75</v>
      </c>
      <c r="J1928" s="2" t="s">
        <v>76</v>
      </c>
      <c r="K1928" s="2" t="s">
        <v>77</v>
      </c>
      <c r="L1928" s="2" t="s">
        <v>97</v>
      </c>
      <c r="M1928" s="2" t="s">
        <v>98</v>
      </c>
      <c r="N1928" s="2" t="s">
        <v>500</v>
      </c>
      <c r="O1928" s="2" t="s">
        <v>100</v>
      </c>
      <c r="P1928" s="2" t="str">
        <f>"2170579973                    "</f>
        <v xml:space="preserve">2170579973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4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1</v>
      </c>
      <c r="BJ1928" s="2">
        <v>0.2</v>
      </c>
      <c r="BK1928" s="2">
        <v>1</v>
      </c>
      <c r="BL1928" s="2">
        <v>41.44</v>
      </c>
      <c r="BM1928" s="2">
        <v>5.8</v>
      </c>
      <c r="BN1928" s="2">
        <v>47.24</v>
      </c>
      <c r="BO1928" s="2">
        <v>47.24</v>
      </c>
      <c r="BP1928" s="2"/>
      <c r="BQ1928" s="2" t="s">
        <v>108</v>
      </c>
      <c r="BR1928" s="2" t="s">
        <v>84</v>
      </c>
      <c r="BS1928" s="3">
        <v>42965</v>
      </c>
      <c r="BT1928" s="4">
        <v>0.35694444444444445</v>
      </c>
      <c r="BU1928" s="2" t="s">
        <v>501</v>
      </c>
      <c r="BV1928" s="2" t="s">
        <v>95</v>
      </c>
      <c r="BW1928" s="2"/>
      <c r="BX1928" s="2"/>
      <c r="BY1928" s="2">
        <v>1200</v>
      </c>
      <c r="BZ1928" s="2" t="s">
        <v>27</v>
      </c>
      <c r="CA1928" s="2" t="s">
        <v>294</v>
      </c>
      <c r="CB1928" s="2"/>
      <c r="CC1928" s="2" t="s">
        <v>98</v>
      </c>
      <c r="CD1928" s="2">
        <v>6001</v>
      </c>
      <c r="CE1928" s="2" t="s">
        <v>104</v>
      </c>
      <c r="CF1928" s="5">
        <v>42968</v>
      </c>
      <c r="CG1928" s="2"/>
      <c r="CH1928" s="2"/>
      <c r="CI1928" s="2">
        <v>1</v>
      </c>
      <c r="CJ1928" s="2">
        <v>1</v>
      </c>
      <c r="CK1928" s="2">
        <v>21</v>
      </c>
      <c r="CL1928" s="2" t="s">
        <v>86</v>
      </c>
      <c r="CM1928" s="2"/>
    </row>
    <row r="1929" spans="1:91">
      <c r="A1929" s="2" t="s">
        <v>71</v>
      </c>
      <c r="B1929" s="2" t="s">
        <v>72</v>
      </c>
      <c r="C1929" s="2" t="s">
        <v>73</v>
      </c>
      <c r="D1929" s="2"/>
      <c r="E1929" s="2" t="str">
        <f>"FES1162569849"</f>
        <v>FES1162569849</v>
      </c>
      <c r="F1929" s="3">
        <v>42964</v>
      </c>
      <c r="G1929" s="2">
        <v>201802</v>
      </c>
      <c r="H1929" s="2" t="s">
        <v>74</v>
      </c>
      <c r="I1929" s="2" t="s">
        <v>75</v>
      </c>
      <c r="J1929" s="2" t="s">
        <v>76</v>
      </c>
      <c r="K1929" s="2" t="s">
        <v>77</v>
      </c>
      <c r="L1929" s="2" t="s">
        <v>144</v>
      </c>
      <c r="M1929" s="2" t="s">
        <v>145</v>
      </c>
      <c r="N1929" s="2" t="s">
        <v>585</v>
      </c>
      <c r="O1929" s="2" t="s">
        <v>100</v>
      </c>
      <c r="P1929" s="2" t="str">
        <f>"2170585363                    "</f>
        <v xml:space="preserve">2170585363 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3.88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9.5</v>
      </c>
      <c r="BJ1929" s="2">
        <v>3.8</v>
      </c>
      <c r="BK1929" s="2">
        <v>10</v>
      </c>
      <c r="BL1929" s="2">
        <v>40.15</v>
      </c>
      <c r="BM1929" s="2">
        <v>5.62</v>
      </c>
      <c r="BN1929" s="2">
        <v>45.77</v>
      </c>
      <c r="BO1929" s="2">
        <v>45.77</v>
      </c>
      <c r="BP1929" s="2"/>
      <c r="BQ1929" s="2" t="s">
        <v>227</v>
      </c>
      <c r="BR1929" s="2" t="s">
        <v>84</v>
      </c>
      <c r="BS1929" s="3">
        <v>42965</v>
      </c>
      <c r="BT1929" s="4">
        <v>0.41666666666666669</v>
      </c>
      <c r="BU1929" s="2" t="s">
        <v>330</v>
      </c>
      <c r="BV1929" s="2" t="s">
        <v>95</v>
      </c>
      <c r="BW1929" s="2"/>
      <c r="BX1929" s="2"/>
      <c r="BY1929" s="2">
        <v>18859.8</v>
      </c>
      <c r="BZ1929" s="2"/>
      <c r="CA1929" s="2"/>
      <c r="CB1929" s="2"/>
      <c r="CC1929" s="2" t="s">
        <v>145</v>
      </c>
      <c r="CD1929" s="2">
        <v>2013</v>
      </c>
      <c r="CE1929" s="2" t="s">
        <v>89</v>
      </c>
      <c r="CF1929" s="5">
        <v>42968</v>
      </c>
      <c r="CG1929" s="2"/>
      <c r="CH1929" s="2"/>
      <c r="CI1929" s="2">
        <v>1</v>
      </c>
      <c r="CJ1929" s="2">
        <v>1</v>
      </c>
      <c r="CK1929" s="2">
        <v>22</v>
      </c>
      <c r="CL1929" s="2" t="s">
        <v>86</v>
      </c>
      <c r="CM1929" s="2"/>
    </row>
    <row r="1930" spans="1:91">
      <c r="A1930" s="2" t="s">
        <v>71</v>
      </c>
      <c r="B1930" s="2" t="s">
        <v>72</v>
      </c>
      <c r="C1930" s="2" t="s">
        <v>73</v>
      </c>
      <c r="D1930" s="2"/>
      <c r="E1930" s="2" t="str">
        <f>"FES1162569814"</f>
        <v>FES1162569814</v>
      </c>
      <c r="F1930" s="3">
        <v>42964</v>
      </c>
      <c r="G1930" s="2">
        <v>201802</v>
      </c>
      <c r="H1930" s="2" t="s">
        <v>74</v>
      </c>
      <c r="I1930" s="2" t="s">
        <v>75</v>
      </c>
      <c r="J1930" s="2" t="s">
        <v>76</v>
      </c>
      <c r="K1930" s="2" t="s">
        <v>77</v>
      </c>
      <c r="L1930" s="2" t="s">
        <v>174</v>
      </c>
      <c r="M1930" s="2" t="s">
        <v>175</v>
      </c>
      <c r="N1930" s="2" t="s">
        <v>208</v>
      </c>
      <c r="O1930" s="2" t="s">
        <v>100</v>
      </c>
      <c r="P1930" s="2" t="str">
        <f>"2170585602                    "</f>
        <v xml:space="preserve">2170585602 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4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1</v>
      </c>
      <c r="BJ1930" s="2">
        <v>0.2</v>
      </c>
      <c r="BK1930" s="2">
        <v>1</v>
      </c>
      <c r="BL1930" s="2">
        <v>41.44</v>
      </c>
      <c r="BM1930" s="2">
        <v>5.8</v>
      </c>
      <c r="BN1930" s="2">
        <v>47.24</v>
      </c>
      <c r="BO1930" s="2">
        <v>47.24</v>
      </c>
      <c r="BP1930" s="2"/>
      <c r="BQ1930" s="2" t="s">
        <v>108</v>
      </c>
      <c r="BR1930" s="2" t="s">
        <v>84</v>
      </c>
      <c r="BS1930" s="3">
        <v>42965</v>
      </c>
      <c r="BT1930" s="4">
        <v>0.40902777777777777</v>
      </c>
      <c r="BU1930" s="2" t="s">
        <v>2540</v>
      </c>
      <c r="BV1930" s="2" t="s">
        <v>95</v>
      </c>
      <c r="BW1930" s="2"/>
      <c r="BX1930" s="2"/>
      <c r="BY1930" s="2">
        <v>1200</v>
      </c>
      <c r="BZ1930" s="2" t="s">
        <v>27</v>
      </c>
      <c r="CA1930" s="2" t="s">
        <v>1420</v>
      </c>
      <c r="CB1930" s="2"/>
      <c r="CC1930" s="2" t="s">
        <v>175</v>
      </c>
      <c r="CD1930" s="2">
        <v>5201</v>
      </c>
      <c r="CE1930" s="2" t="s">
        <v>104</v>
      </c>
      <c r="CF1930" s="5">
        <v>42968</v>
      </c>
      <c r="CG1930" s="2"/>
      <c r="CH1930" s="2"/>
      <c r="CI1930" s="2">
        <v>1</v>
      </c>
      <c r="CJ1930" s="2">
        <v>1</v>
      </c>
      <c r="CK1930" s="2">
        <v>21</v>
      </c>
      <c r="CL1930" s="2" t="s">
        <v>86</v>
      </c>
      <c r="CM1930" s="2"/>
    </row>
    <row r="1931" spans="1:91">
      <c r="A1931" s="2" t="s">
        <v>71</v>
      </c>
      <c r="B1931" s="2" t="s">
        <v>72</v>
      </c>
      <c r="C1931" s="2" t="s">
        <v>73</v>
      </c>
      <c r="D1931" s="2"/>
      <c r="E1931" s="2" t="str">
        <f>"009935791635"</f>
        <v>009935791635</v>
      </c>
      <c r="F1931" s="3">
        <v>42964</v>
      </c>
      <c r="G1931" s="2">
        <v>201802</v>
      </c>
      <c r="H1931" s="2" t="s">
        <v>74</v>
      </c>
      <c r="I1931" s="2" t="s">
        <v>75</v>
      </c>
      <c r="J1931" s="2" t="s">
        <v>76</v>
      </c>
      <c r="K1931" s="2" t="s">
        <v>77</v>
      </c>
      <c r="L1931" s="2" t="s">
        <v>510</v>
      </c>
      <c r="M1931" s="2" t="s">
        <v>511</v>
      </c>
      <c r="N1931" s="2" t="s">
        <v>512</v>
      </c>
      <c r="O1931" s="2" t="s">
        <v>100</v>
      </c>
      <c r="P1931" s="2" t="str">
        <f>"2170562046 1162551283         "</f>
        <v xml:space="preserve">2170562046 1162551283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34.020000000000003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6.7</v>
      </c>
      <c r="BJ1931" s="2">
        <v>16.600000000000001</v>
      </c>
      <c r="BK1931" s="2">
        <v>17</v>
      </c>
      <c r="BL1931" s="2">
        <v>352.26</v>
      </c>
      <c r="BM1931" s="2">
        <v>49.32</v>
      </c>
      <c r="BN1931" s="2">
        <v>401.58</v>
      </c>
      <c r="BO1931" s="2">
        <v>401.58</v>
      </c>
      <c r="BP1931" s="2" t="s">
        <v>2541</v>
      </c>
      <c r="BQ1931" s="2" t="s">
        <v>108</v>
      </c>
      <c r="BR1931" s="2" t="s">
        <v>84</v>
      </c>
      <c r="BS1931" s="3">
        <v>42965</v>
      </c>
      <c r="BT1931" s="4">
        <v>0.40138888888888885</v>
      </c>
      <c r="BU1931" s="2" t="s">
        <v>513</v>
      </c>
      <c r="BV1931" s="2" t="s">
        <v>95</v>
      </c>
      <c r="BW1931" s="2"/>
      <c r="BX1931" s="2"/>
      <c r="BY1931" s="2">
        <v>83210.490000000005</v>
      </c>
      <c r="BZ1931" s="2"/>
      <c r="CA1931" s="2" t="s">
        <v>514</v>
      </c>
      <c r="CB1931" s="2"/>
      <c r="CC1931" s="2" t="s">
        <v>511</v>
      </c>
      <c r="CD1931" s="2">
        <v>6229</v>
      </c>
      <c r="CE1931" s="2" t="s">
        <v>135</v>
      </c>
      <c r="CF1931" s="2"/>
      <c r="CG1931" s="2"/>
      <c r="CH1931" s="2"/>
      <c r="CI1931" s="2">
        <v>1</v>
      </c>
      <c r="CJ1931" s="2">
        <v>1</v>
      </c>
      <c r="CK1931" s="2">
        <v>21</v>
      </c>
      <c r="CL1931" s="2" t="s">
        <v>86</v>
      </c>
      <c r="CM1931" s="2"/>
    </row>
    <row r="1932" spans="1:91">
      <c r="A1932" s="2" t="s">
        <v>71</v>
      </c>
      <c r="B1932" s="2" t="s">
        <v>72</v>
      </c>
      <c r="C1932" s="2" t="s">
        <v>73</v>
      </c>
      <c r="D1932" s="2"/>
      <c r="E1932" s="2" t="str">
        <f>"FES1162569770"</f>
        <v>FES1162569770</v>
      </c>
      <c r="F1932" s="3">
        <v>42964</v>
      </c>
      <c r="G1932" s="2">
        <v>201802</v>
      </c>
      <c r="H1932" s="2" t="s">
        <v>74</v>
      </c>
      <c r="I1932" s="2" t="s">
        <v>75</v>
      </c>
      <c r="J1932" s="2" t="s">
        <v>76</v>
      </c>
      <c r="K1932" s="2" t="s">
        <v>77</v>
      </c>
      <c r="L1932" s="2" t="s">
        <v>74</v>
      </c>
      <c r="M1932" s="2" t="s">
        <v>75</v>
      </c>
      <c r="N1932" s="2" t="s">
        <v>407</v>
      </c>
      <c r="O1932" s="2" t="s">
        <v>100</v>
      </c>
      <c r="P1932" s="2" t="str">
        <f>"2170585538                    "</f>
        <v xml:space="preserve">2170585538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3.13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1</v>
      </c>
      <c r="BJ1932" s="2">
        <v>0.2</v>
      </c>
      <c r="BK1932" s="2">
        <v>1</v>
      </c>
      <c r="BL1932" s="2">
        <v>32.380000000000003</v>
      </c>
      <c r="BM1932" s="2">
        <v>4.53</v>
      </c>
      <c r="BN1932" s="2">
        <v>36.909999999999997</v>
      </c>
      <c r="BO1932" s="2">
        <v>36.909999999999997</v>
      </c>
      <c r="BP1932" s="2"/>
      <c r="BQ1932" s="2" t="s">
        <v>108</v>
      </c>
      <c r="BR1932" s="2" t="s">
        <v>84</v>
      </c>
      <c r="BS1932" s="3">
        <v>42965</v>
      </c>
      <c r="BT1932" s="4">
        <v>0.33333333333333331</v>
      </c>
      <c r="BU1932" s="2" t="s">
        <v>1793</v>
      </c>
      <c r="BV1932" s="2" t="s">
        <v>95</v>
      </c>
      <c r="BW1932" s="2"/>
      <c r="BX1932" s="2"/>
      <c r="BY1932" s="2">
        <v>1200</v>
      </c>
      <c r="BZ1932" s="2"/>
      <c r="CA1932" s="2" t="s">
        <v>709</v>
      </c>
      <c r="CB1932" s="2"/>
      <c r="CC1932" s="2" t="s">
        <v>75</v>
      </c>
      <c r="CD1932" s="2">
        <v>1645</v>
      </c>
      <c r="CE1932" s="2" t="s">
        <v>104</v>
      </c>
      <c r="CF1932" s="5">
        <v>42968</v>
      </c>
      <c r="CG1932" s="2"/>
      <c r="CH1932" s="2"/>
      <c r="CI1932" s="2">
        <v>1</v>
      </c>
      <c r="CJ1932" s="2">
        <v>1</v>
      </c>
      <c r="CK1932" s="2">
        <v>22</v>
      </c>
      <c r="CL1932" s="2" t="s">
        <v>86</v>
      </c>
      <c r="CM1932" s="2"/>
    </row>
    <row r="1933" spans="1:91">
      <c r="A1933" s="2" t="s">
        <v>71</v>
      </c>
      <c r="B1933" s="2" t="s">
        <v>72</v>
      </c>
      <c r="C1933" s="2" t="s">
        <v>73</v>
      </c>
      <c r="D1933" s="2"/>
      <c r="E1933" s="2" t="str">
        <f>"FES1162569665"</f>
        <v>FES1162569665</v>
      </c>
      <c r="F1933" s="3">
        <v>42964</v>
      </c>
      <c r="G1933" s="2">
        <v>201802</v>
      </c>
      <c r="H1933" s="2" t="s">
        <v>74</v>
      </c>
      <c r="I1933" s="2" t="s">
        <v>75</v>
      </c>
      <c r="J1933" s="2" t="s">
        <v>76</v>
      </c>
      <c r="K1933" s="2" t="s">
        <v>77</v>
      </c>
      <c r="L1933" s="2" t="s">
        <v>715</v>
      </c>
      <c r="M1933" s="2" t="s">
        <v>716</v>
      </c>
      <c r="N1933" s="2" t="s">
        <v>2542</v>
      </c>
      <c r="O1933" s="2" t="s">
        <v>100</v>
      </c>
      <c r="P1933" s="2" t="str">
        <f>"2170585453                    "</f>
        <v xml:space="preserve">2170585453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4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1</v>
      </c>
      <c r="BJ1933" s="2">
        <v>0.2</v>
      </c>
      <c r="BK1933" s="2">
        <v>1</v>
      </c>
      <c r="BL1933" s="2">
        <v>41.44</v>
      </c>
      <c r="BM1933" s="2">
        <v>5.8</v>
      </c>
      <c r="BN1933" s="2">
        <v>47.24</v>
      </c>
      <c r="BO1933" s="2">
        <v>47.24</v>
      </c>
      <c r="BP1933" s="2"/>
      <c r="BQ1933" s="2" t="s">
        <v>227</v>
      </c>
      <c r="BR1933" s="2" t="s">
        <v>84</v>
      </c>
      <c r="BS1933" s="3">
        <v>42965</v>
      </c>
      <c r="BT1933" s="4">
        <v>0.47986111111111113</v>
      </c>
      <c r="BU1933" s="2" t="s">
        <v>2350</v>
      </c>
      <c r="BV1933" s="2" t="s">
        <v>95</v>
      </c>
      <c r="BW1933" s="2"/>
      <c r="BX1933" s="2"/>
      <c r="BY1933" s="2">
        <v>1200</v>
      </c>
      <c r="BZ1933" s="2" t="s">
        <v>27</v>
      </c>
      <c r="CA1933" s="2" t="s">
        <v>566</v>
      </c>
      <c r="CB1933" s="2"/>
      <c r="CC1933" s="2" t="s">
        <v>716</v>
      </c>
      <c r="CD1933" s="2">
        <v>3280</v>
      </c>
      <c r="CE1933" s="2" t="s">
        <v>104</v>
      </c>
      <c r="CF1933" s="5">
        <v>42968</v>
      </c>
      <c r="CG1933" s="2"/>
      <c r="CH1933" s="2"/>
      <c r="CI1933" s="2">
        <v>1</v>
      </c>
      <c r="CJ1933" s="2">
        <v>1</v>
      </c>
      <c r="CK1933" s="2">
        <v>21</v>
      </c>
      <c r="CL1933" s="2" t="s">
        <v>86</v>
      </c>
      <c r="CM1933" s="2"/>
    </row>
    <row r="1934" spans="1:91">
      <c r="A1934" s="2" t="s">
        <v>71</v>
      </c>
      <c r="B1934" s="2" t="s">
        <v>72</v>
      </c>
      <c r="C1934" s="2" t="s">
        <v>73</v>
      </c>
      <c r="D1934" s="2"/>
      <c r="E1934" s="2" t="str">
        <f>"FES1162569575"</f>
        <v>FES1162569575</v>
      </c>
      <c r="F1934" s="3">
        <v>42964</v>
      </c>
      <c r="G1934" s="2">
        <v>201802</v>
      </c>
      <c r="H1934" s="2" t="s">
        <v>74</v>
      </c>
      <c r="I1934" s="2" t="s">
        <v>75</v>
      </c>
      <c r="J1934" s="2" t="s">
        <v>76</v>
      </c>
      <c r="K1934" s="2" t="s">
        <v>77</v>
      </c>
      <c r="L1934" s="2" t="s">
        <v>221</v>
      </c>
      <c r="M1934" s="2" t="s">
        <v>222</v>
      </c>
      <c r="N1934" s="2" t="s">
        <v>1275</v>
      </c>
      <c r="O1934" s="2" t="s">
        <v>100</v>
      </c>
      <c r="P1934" s="2" t="str">
        <f>"2170583450                    "</f>
        <v xml:space="preserve">2170583450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4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1</v>
      </c>
      <c r="BJ1934" s="2">
        <v>0.2</v>
      </c>
      <c r="BK1934" s="2">
        <v>1</v>
      </c>
      <c r="BL1934" s="2">
        <v>41.44</v>
      </c>
      <c r="BM1934" s="2">
        <v>5.8</v>
      </c>
      <c r="BN1934" s="2">
        <v>47.24</v>
      </c>
      <c r="BO1934" s="2">
        <v>47.24</v>
      </c>
      <c r="BP1934" s="2"/>
      <c r="BQ1934" s="2" t="s">
        <v>227</v>
      </c>
      <c r="BR1934" s="2" t="s">
        <v>84</v>
      </c>
      <c r="BS1934" s="3">
        <v>42965</v>
      </c>
      <c r="BT1934" s="4">
        <v>0.37152777777777773</v>
      </c>
      <c r="BU1934" s="2" t="s">
        <v>1535</v>
      </c>
      <c r="BV1934" s="2" t="s">
        <v>95</v>
      </c>
      <c r="BW1934" s="2"/>
      <c r="BX1934" s="2"/>
      <c r="BY1934" s="2">
        <v>1200</v>
      </c>
      <c r="BZ1934" s="2" t="s">
        <v>27</v>
      </c>
      <c r="CA1934" s="2" t="s">
        <v>1536</v>
      </c>
      <c r="CB1934" s="2"/>
      <c r="CC1934" s="2" t="s">
        <v>222</v>
      </c>
      <c r="CD1934" s="2">
        <v>4300</v>
      </c>
      <c r="CE1934" s="2" t="s">
        <v>104</v>
      </c>
      <c r="CF1934" s="5">
        <v>42968</v>
      </c>
      <c r="CG1934" s="2"/>
      <c r="CH1934" s="2"/>
      <c r="CI1934" s="2">
        <v>1</v>
      </c>
      <c r="CJ1934" s="2">
        <v>1</v>
      </c>
      <c r="CK1934" s="2">
        <v>21</v>
      </c>
      <c r="CL1934" s="2" t="s">
        <v>86</v>
      </c>
      <c r="CM1934" s="2"/>
    </row>
    <row r="1935" spans="1:91">
      <c r="A1935" s="2" t="s">
        <v>71</v>
      </c>
      <c r="B1935" s="2" t="s">
        <v>72</v>
      </c>
      <c r="C1935" s="2" t="s">
        <v>73</v>
      </c>
      <c r="D1935" s="2"/>
      <c r="E1935" s="2" t="str">
        <f>"FES1162569866"</f>
        <v>FES1162569866</v>
      </c>
      <c r="F1935" s="3">
        <v>42964</v>
      </c>
      <c r="G1935" s="2">
        <v>201802</v>
      </c>
      <c r="H1935" s="2" t="s">
        <v>74</v>
      </c>
      <c r="I1935" s="2" t="s">
        <v>75</v>
      </c>
      <c r="J1935" s="2" t="s">
        <v>76</v>
      </c>
      <c r="K1935" s="2" t="s">
        <v>77</v>
      </c>
      <c r="L1935" s="2" t="s">
        <v>216</v>
      </c>
      <c r="M1935" s="2" t="s">
        <v>217</v>
      </c>
      <c r="N1935" s="2" t="s">
        <v>218</v>
      </c>
      <c r="O1935" s="2" t="s">
        <v>100</v>
      </c>
      <c r="P1935" s="2" t="str">
        <f>"2170585670                    "</f>
        <v xml:space="preserve">2170585670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3.13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1</v>
      </c>
      <c r="BJ1935" s="2">
        <v>0.2</v>
      </c>
      <c r="BK1935" s="2">
        <v>1</v>
      </c>
      <c r="BL1935" s="2">
        <v>32.380000000000003</v>
      </c>
      <c r="BM1935" s="2">
        <v>4.53</v>
      </c>
      <c r="BN1935" s="2">
        <v>36.909999999999997</v>
      </c>
      <c r="BO1935" s="2">
        <v>36.909999999999997</v>
      </c>
      <c r="BP1935" s="2"/>
      <c r="BQ1935" s="2" t="s">
        <v>108</v>
      </c>
      <c r="BR1935" s="2" t="s">
        <v>84</v>
      </c>
      <c r="BS1935" s="3">
        <v>42965</v>
      </c>
      <c r="BT1935" s="4">
        <v>0.33333333333333331</v>
      </c>
      <c r="BU1935" s="2" t="s">
        <v>2543</v>
      </c>
      <c r="BV1935" s="2" t="s">
        <v>95</v>
      </c>
      <c r="BW1935" s="2"/>
      <c r="BX1935" s="2"/>
      <c r="BY1935" s="2">
        <v>1200</v>
      </c>
      <c r="BZ1935" s="2"/>
      <c r="CA1935" s="2" t="s">
        <v>220</v>
      </c>
      <c r="CB1935" s="2"/>
      <c r="CC1935" s="2" t="s">
        <v>217</v>
      </c>
      <c r="CD1935" s="2">
        <v>1451</v>
      </c>
      <c r="CE1935" s="2" t="s">
        <v>104</v>
      </c>
      <c r="CF1935" s="5">
        <v>42968</v>
      </c>
      <c r="CG1935" s="2"/>
      <c r="CH1935" s="2"/>
      <c r="CI1935" s="2">
        <v>1</v>
      </c>
      <c r="CJ1935" s="2">
        <v>1</v>
      </c>
      <c r="CK1935" s="2">
        <v>22</v>
      </c>
      <c r="CL1935" s="2" t="s">
        <v>86</v>
      </c>
      <c r="CM1935" s="2"/>
    </row>
    <row r="1936" spans="1:91">
      <c r="A1936" s="2" t="s">
        <v>71</v>
      </c>
      <c r="B1936" s="2" t="s">
        <v>72</v>
      </c>
      <c r="C1936" s="2" t="s">
        <v>73</v>
      </c>
      <c r="D1936" s="2"/>
      <c r="E1936" s="2" t="str">
        <f>"FES1162569865"</f>
        <v>FES1162569865</v>
      </c>
      <c r="F1936" s="3">
        <v>42964</v>
      </c>
      <c r="G1936" s="2">
        <v>201802</v>
      </c>
      <c r="H1936" s="2" t="s">
        <v>74</v>
      </c>
      <c r="I1936" s="2" t="s">
        <v>75</v>
      </c>
      <c r="J1936" s="2" t="s">
        <v>76</v>
      </c>
      <c r="K1936" s="2" t="s">
        <v>77</v>
      </c>
      <c r="L1936" s="2" t="s">
        <v>221</v>
      </c>
      <c r="M1936" s="2" t="s">
        <v>222</v>
      </c>
      <c r="N1936" s="2" t="s">
        <v>2544</v>
      </c>
      <c r="O1936" s="2" t="s">
        <v>100</v>
      </c>
      <c r="P1936" s="2" t="str">
        <f>"2170585668                    "</f>
        <v xml:space="preserve">2170585668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4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1</v>
      </c>
      <c r="BJ1936" s="2">
        <v>0.2</v>
      </c>
      <c r="BK1936" s="2">
        <v>1</v>
      </c>
      <c r="BL1936" s="2">
        <v>41.44</v>
      </c>
      <c r="BM1936" s="2">
        <v>5.8</v>
      </c>
      <c r="BN1936" s="2">
        <v>47.24</v>
      </c>
      <c r="BO1936" s="2">
        <v>47.24</v>
      </c>
      <c r="BP1936" s="2"/>
      <c r="BQ1936" s="2" t="s">
        <v>288</v>
      </c>
      <c r="BR1936" s="2" t="s">
        <v>84</v>
      </c>
      <c r="BS1936" s="3">
        <v>42965</v>
      </c>
      <c r="BT1936" s="4">
        <v>0.4375</v>
      </c>
      <c r="BU1936" s="2" t="s">
        <v>719</v>
      </c>
      <c r="BV1936" s="2" t="s">
        <v>95</v>
      </c>
      <c r="BW1936" s="2"/>
      <c r="BX1936" s="2"/>
      <c r="BY1936" s="2">
        <v>1200</v>
      </c>
      <c r="BZ1936" s="2"/>
      <c r="CA1936" s="2"/>
      <c r="CB1936" s="2"/>
      <c r="CC1936" s="2" t="s">
        <v>222</v>
      </c>
      <c r="CD1936" s="2">
        <v>4300</v>
      </c>
      <c r="CE1936" s="2" t="s">
        <v>104</v>
      </c>
      <c r="CF1936" s="5">
        <v>42968</v>
      </c>
      <c r="CG1936" s="2"/>
      <c r="CH1936" s="2"/>
      <c r="CI1936" s="2">
        <v>1</v>
      </c>
      <c r="CJ1936" s="2">
        <v>1</v>
      </c>
      <c r="CK1936" s="2">
        <v>21</v>
      </c>
      <c r="CL1936" s="2" t="s">
        <v>86</v>
      </c>
      <c r="CM1936" s="2"/>
    </row>
    <row r="1937" spans="1:91">
      <c r="A1937" s="2" t="s">
        <v>71</v>
      </c>
      <c r="B1937" s="2" t="s">
        <v>72</v>
      </c>
      <c r="C1937" s="2" t="s">
        <v>73</v>
      </c>
      <c r="D1937" s="2"/>
      <c r="E1937" s="2" t="str">
        <f>"FES1162569858"</f>
        <v>FES1162569858</v>
      </c>
      <c r="F1937" s="3">
        <v>42964</v>
      </c>
      <c r="G1937" s="2">
        <v>201802</v>
      </c>
      <c r="H1937" s="2" t="s">
        <v>74</v>
      </c>
      <c r="I1937" s="2" t="s">
        <v>75</v>
      </c>
      <c r="J1937" s="2" t="s">
        <v>76</v>
      </c>
      <c r="K1937" s="2" t="s">
        <v>77</v>
      </c>
      <c r="L1937" s="2" t="s">
        <v>723</v>
      </c>
      <c r="M1937" s="2" t="s">
        <v>724</v>
      </c>
      <c r="N1937" s="2" t="s">
        <v>351</v>
      </c>
      <c r="O1937" s="2" t="s">
        <v>100</v>
      </c>
      <c r="P1937" s="2" t="str">
        <f>"2170585658                    "</f>
        <v xml:space="preserve">2170585658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5.63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1</v>
      </c>
      <c r="BJ1937" s="2">
        <v>0.2</v>
      </c>
      <c r="BK1937" s="2">
        <v>1</v>
      </c>
      <c r="BL1937" s="2">
        <v>58.28</v>
      </c>
      <c r="BM1937" s="2">
        <v>8.16</v>
      </c>
      <c r="BN1937" s="2">
        <v>66.44</v>
      </c>
      <c r="BO1937" s="2">
        <v>66.44</v>
      </c>
      <c r="BP1937" s="2"/>
      <c r="BQ1937" s="2" t="s">
        <v>288</v>
      </c>
      <c r="BR1937" s="2" t="s">
        <v>84</v>
      </c>
      <c r="BS1937" s="3">
        <v>42965</v>
      </c>
      <c r="BT1937" s="4">
        <v>0.2986111111111111</v>
      </c>
      <c r="BU1937" s="2" t="s">
        <v>2545</v>
      </c>
      <c r="BV1937" s="2" t="s">
        <v>95</v>
      </c>
      <c r="BW1937" s="2"/>
      <c r="BX1937" s="2"/>
      <c r="BY1937" s="2">
        <v>1200</v>
      </c>
      <c r="BZ1937" s="2"/>
      <c r="CA1937" s="2" t="s">
        <v>727</v>
      </c>
      <c r="CB1937" s="2"/>
      <c r="CC1937" s="2" t="s">
        <v>724</v>
      </c>
      <c r="CD1937" s="2">
        <v>1754</v>
      </c>
      <c r="CE1937" s="2" t="s">
        <v>104</v>
      </c>
      <c r="CF1937" s="5">
        <v>42968</v>
      </c>
      <c r="CG1937" s="2"/>
      <c r="CH1937" s="2"/>
      <c r="CI1937" s="2">
        <v>1</v>
      </c>
      <c r="CJ1937" s="2">
        <v>1</v>
      </c>
      <c r="CK1937" s="2">
        <v>24</v>
      </c>
      <c r="CL1937" s="2" t="s">
        <v>86</v>
      </c>
      <c r="CM1937" s="2"/>
    </row>
    <row r="1938" spans="1:91">
      <c r="A1938" s="2" t="s">
        <v>71</v>
      </c>
      <c r="B1938" s="2" t="s">
        <v>72</v>
      </c>
      <c r="C1938" s="2" t="s">
        <v>73</v>
      </c>
      <c r="D1938" s="2"/>
      <c r="E1938" s="2" t="str">
        <f>"FES1162569741"</f>
        <v>FES1162569741</v>
      </c>
      <c r="F1938" s="3">
        <v>42964</v>
      </c>
      <c r="G1938" s="2">
        <v>201802</v>
      </c>
      <c r="H1938" s="2" t="s">
        <v>74</v>
      </c>
      <c r="I1938" s="2" t="s">
        <v>75</v>
      </c>
      <c r="J1938" s="2" t="s">
        <v>76</v>
      </c>
      <c r="K1938" s="2" t="s">
        <v>77</v>
      </c>
      <c r="L1938" s="2" t="s">
        <v>221</v>
      </c>
      <c r="M1938" s="2" t="s">
        <v>222</v>
      </c>
      <c r="N1938" s="2" t="s">
        <v>1275</v>
      </c>
      <c r="O1938" s="2" t="s">
        <v>100</v>
      </c>
      <c r="P1938" s="2" t="str">
        <f>"2170583450                    "</f>
        <v xml:space="preserve">2170583450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4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1</v>
      </c>
      <c r="BJ1938" s="2">
        <v>0.2</v>
      </c>
      <c r="BK1938" s="2">
        <v>1</v>
      </c>
      <c r="BL1938" s="2">
        <v>41.44</v>
      </c>
      <c r="BM1938" s="2">
        <v>5.8</v>
      </c>
      <c r="BN1938" s="2">
        <v>47.24</v>
      </c>
      <c r="BO1938" s="2">
        <v>47.24</v>
      </c>
      <c r="BP1938" s="2"/>
      <c r="BQ1938" s="2" t="s">
        <v>227</v>
      </c>
      <c r="BR1938" s="2" t="s">
        <v>84</v>
      </c>
      <c r="BS1938" s="3">
        <v>42965</v>
      </c>
      <c r="BT1938" s="4">
        <v>0.37152777777777773</v>
      </c>
      <c r="BU1938" s="2" t="s">
        <v>1535</v>
      </c>
      <c r="BV1938" s="2" t="s">
        <v>95</v>
      </c>
      <c r="BW1938" s="2"/>
      <c r="BX1938" s="2"/>
      <c r="BY1938" s="2">
        <v>1200</v>
      </c>
      <c r="BZ1938" s="2" t="s">
        <v>27</v>
      </c>
      <c r="CA1938" s="2" t="s">
        <v>1536</v>
      </c>
      <c r="CB1938" s="2"/>
      <c r="CC1938" s="2" t="s">
        <v>222</v>
      </c>
      <c r="CD1938" s="2">
        <v>4300</v>
      </c>
      <c r="CE1938" s="2" t="s">
        <v>104</v>
      </c>
      <c r="CF1938" s="5">
        <v>42968</v>
      </c>
      <c r="CG1938" s="2"/>
      <c r="CH1938" s="2"/>
      <c r="CI1938" s="2">
        <v>1</v>
      </c>
      <c r="CJ1938" s="2">
        <v>1</v>
      </c>
      <c r="CK1938" s="2">
        <v>21</v>
      </c>
      <c r="CL1938" s="2" t="s">
        <v>86</v>
      </c>
      <c r="CM1938" s="2"/>
    </row>
    <row r="1939" spans="1:91">
      <c r="A1939" s="2" t="s">
        <v>71</v>
      </c>
      <c r="B1939" s="2" t="s">
        <v>72</v>
      </c>
      <c r="C1939" s="2" t="s">
        <v>73</v>
      </c>
      <c r="D1939" s="2"/>
      <c r="E1939" s="2" t="str">
        <f>"FES1162569840"</f>
        <v>FES1162569840</v>
      </c>
      <c r="F1939" s="3">
        <v>42964</v>
      </c>
      <c r="G1939" s="2">
        <v>201802</v>
      </c>
      <c r="H1939" s="2" t="s">
        <v>74</v>
      </c>
      <c r="I1939" s="2" t="s">
        <v>75</v>
      </c>
      <c r="J1939" s="2" t="s">
        <v>76</v>
      </c>
      <c r="K1939" s="2" t="s">
        <v>77</v>
      </c>
      <c r="L1939" s="2" t="s">
        <v>723</v>
      </c>
      <c r="M1939" s="2" t="s">
        <v>724</v>
      </c>
      <c r="N1939" s="2" t="s">
        <v>2546</v>
      </c>
      <c r="O1939" s="2" t="s">
        <v>100</v>
      </c>
      <c r="P1939" s="2" t="str">
        <f>"2170585637                    "</f>
        <v xml:space="preserve">2170585637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5.63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1</v>
      </c>
      <c r="BJ1939" s="2">
        <v>0.2</v>
      </c>
      <c r="BK1939" s="2">
        <v>1</v>
      </c>
      <c r="BL1939" s="2">
        <v>58.28</v>
      </c>
      <c r="BM1939" s="2">
        <v>8.16</v>
      </c>
      <c r="BN1939" s="2">
        <v>66.44</v>
      </c>
      <c r="BO1939" s="2">
        <v>66.44</v>
      </c>
      <c r="BP1939" s="2"/>
      <c r="BQ1939" s="2" t="s">
        <v>288</v>
      </c>
      <c r="BR1939" s="2" t="s">
        <v>84</v>
      </c>
      <c r="BS1939" s="3">
        <v>42965</v>
      </c>
      <c r="BT1939" s="4">
        <v>0.3263888888888889</v>
      </c>
      <c r="BU1939" s="2" t="s">
        <v>2547</v>
      </c>
      <c r="BV1939" s="2" t="s">
        <v>95</v>
      </c>
      <c r="BW1939" s="2"/>
      <c r="BX1939" s="2"/>
      <c r="BY1939" s="2">
        <v>1200</v>
      </c>
      <c r="BZ1939" s="2"/>
      <c r="CA1939" s="2" t="s">
        <v>727</v>
      </c>
      <c r="CB1939" s="2"/>
      <c r="CC1939" s="2" t="s">
        <v>724</v>
      </c>
      <c r="CD1939" s="2">
        <v>1740</v>
      </c>
      <c r="CE1939" s="2" t="s">
        <v>104</v>
      </c>
      <c r="CF1939" s="5">
        <v>42968</v>
      </c>
      <c r="CG1939" s="2"/>
      <c r="CH1939" s="2"/>
      <c r="CI1939" s="2">
        <v>1</v>
      </c>
      <c r="CJ1939" s="2">
        <v>1</v>
      </c>
      <c r="CK1939" s="2">
        <v>24</v>
      </c>
      <c r="CL1939" s="2" t="s">
        <v>86</v>
      </c>
      <c r="CM1939" s="2"/>
    </row>
    <row r="1940" spans="1:91">
      <c r="A1940" s="2" t="s">
        <v>71</v>
      </c>
      <c r="B1940" s="2" t="s">
        <v>72</v>
      </c>
      <c r="C1940" s="2" t="s">
        <v>73</v>
      </c>
      <c r="D1940" s="2"/>
      <c r="E1940" s="2" t="str">
        <f>"FES1162569764"</f>
        <v>FES1162569764</v>
      </c>
      <c r="F1940" s="3">
        <v>42964</v>
      </c>
      <c r="G1940" s="2">
        <v>201802</v>
      </c>
      <c r="H1940" s="2" t="s">
        <v>74</v>
      </c>
      <c r="I1940" s="2" t="s">
        <v>75</v>
      </c>
      <c r="J1940" s="2" t="s">
        <v>76</v>
      </c>
      <c r="K1940" s="2" t="s">
        <v>77</v>
      </c>
      <c r="L1940" s="2" t="s">
        <v>362</v>
      </c>
      <c r="M1940" s="2" t="s">
        <v>363</v>
      </c>
      <c r="N1940" s="2" t="s">
        <v>546</v>
      </c>
      <c r="O1940" s="2" t="s">
        <v>100</v>
      </c>
      <c r="P1940" s="2" t="str">
        <f>"                              "</f>
        <v xml:space="preserve">          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4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1</v>
      </c>
      <c r="BJ1940" s="2">
        <v>0.2</v>
      </c>
      <c r="BK1940" s="2">
        <v>1</v>
      </c>
      <c r="BL1940" s="2">
        <v>41.44</v>
      </c>
      <c r="BM1940" s="2">
        <v>5.8</v>
      </c>
      <c r="BN1940" s="2">
        <v>47.24</v>
      </c>
      <c r="BO1940" s="2">
        <v>47.24</v>
      </c>
      <c r="BP1940" s="2">
        <v>2170585526</v>
      </c>
      <c r="BQ1940" s="2" t="s">
        <v>209</v>
      </c>
      <c r="BR1940" s="2" t="s">
        <v>84</v>
      </c>
      <c r="BS1940" s="3">
        <v>42965</v>
      </c>
      <c r="BT1940" s="4">
        <v>0.39930555555555558</v>
      </c>
      <c r="BU1940" s="2" t="s">
        <v>1848</v>
      </c>
      <c r="BV1940" s="2" t="s">
        <v>95</v>
      </c>
      <c r="BW1940" s="2"/>
      <c r="BX1940" s="2"/>
      <c r="BY1940" s="2">
        <v>1200</v>
      </c>
      <c r="BZ1940" s="2" t="s">
        <v>27</v>
      </c>
      <c r="CA1940" s="2" t="s">
        <v>379</v>
      </c>
      <c r="CB1940" s="2"/>
      <c r="CC1940" s="2" t="s">
        <v>363</v>
      </c>
      <c r="CD1940" s="2">
        <v>3201</v>
      </c>
      <c r="CE1940" s="2" t="s">
        <v>104</v>
      </c>
      <c r="CF1940" s="5">
        <v>42968</v>
      </c>
      <c r="CG1940" s="2"/>
      <c r="CH1940" s="2"/>
      <c r="CI1940" s="2">
        <v>1</v>
      </c>
      <c r="CJ1940" s="2">
        <v>1</v>
      </c>
      <c r="CK1940" s="2">
        <v>21</v>
      </c>
      <c r="CL1940" s="2" t="s">
        <v>86</v>
      </c>
      <c r="CM1940" s="2"/>
    </row>
    <row r="1941" spans="1:91">
      <c r="A1941" s="2" t="s">
        <v>71</v>
      </c>
      <c r="B1941" s="2" t="s">
        <v>72</v>
      </c>
      <c r="C1941" s="2" t="s">
        <v>73</v>
      </c>
      <c r="D1941" s="2"/>
      <c r="E1941" s="2" t="str">
        <f>"FES1162569813"</f>
        <v>FES1162569813</v>
      </c>
      <c r="F1941" s="3">
        <v>42964</v>
      </c>
      <c r="G1941" s="2">
        <v>201802</v>
      </c>
      <c r="H1941" s="2" t="s">
        <v>74</v>
      </c>
      <c r="I1941" s="2" t="s">
        <v>75</v>
      </c>
      <c r="J1941" s="2" t="s">
        <v>76</v>
      </c>
      <c r="K1941" s="2" t="s">
        <v>77</v>
      </c>
      <c r="L1941" s="2" t="s">
        <v>149</v>
      </c>
      <c r="M1941" s="2" t="s">
        <v>150</v>
      </c>
      <c r="N1941" s="2" t="s">
        <v>2548</v>
      </c>
      <c r="O1941" s="2" t="s">
        <v>100</v>
      </c>
      <c r="P1941" s="2" t="str">
        <f>"2170585600                    "</f>
        <v xml:space="preserve">2170585600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9.01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4.2</v>
      </c>
      <c r="BJ1941" s="2">
        <v>3.4</v>
      </c>
      <c r="BK1941" s="2">
        <v>4.5</v>
      </c>
      <c r="BL1941" s="2">
        <v>93.25</v>
      </c>
      <c r="BM1941" s="2">
        <v>13.06</v>
      </c>
      <c r="BN1941" s="2">
        <v>106.31</v>
      </c>
      <c r="BO1941" s="2">
        <v>106.31</v>
      </c>
      <c r="BP1941" s="2"/>
      <c r="BQ1941" s="2" t="s">
        <v>572</v>
      </c>
      <c r="BR1941" s="2" t="s">
        <v>84</v>
      </c>
      <c r="BS1941" s="3">
        <v>42968</v>
      </c>
      <c r="BT1941" s="4">
        <v>0.49027777777777781</v>
      </c>
      <c r="BU1941" s="2" t="s">
        <v>2087</v>
      </c>
      <c r="BV1941" s="2" t="s">
        <v>86</v>
      </c>
      <c r="BW1941" s="2" t="s">
        <v>124</v>
      </c>
      <c r="BX1941" s="2" t="s">
        <v>337</v>
      </c>
      <c r="BY1941" s="2">
        <v>16795.240000000002</v>
      </c>
      <c r="BZ1941" s="2"/>
      <c r="CA1941" s="2" t="s">
        <v>189</v>
      </c>
      <c r="CB1941" s="2"/>
      <c r="CC1941" s="2" t="s">
        <v>150</v>
      </c>
      <c r="CD1941" s="2">
        <v>4072</v>
      </c>
      <c r="CE1941" s="2" t="s">
        <v>89</v>
      </c>
      <c r="CF1941" s="5">
        <v>42969</v>
      </c>
      <c r="CG1941" s="2"/>
      <c r="CH1941" s="2"/>
      <c r="CI1941" s="2">
        <v>1</v>
      </c>
      <c r="CJ1941" s="2">
        <v>2</v>
      </c>
      <c r="CK1941" s="2">
        <v>21</v>
      </c>
      <c r="CL1941" s="2" t="s">
        <v>86</v>
      </c>
      <c r="CM1941" s="2"/>
    </row>
    <row r="1942" spans="1:91">
      <c r="A1942" s="2" t="s">
        <v>71</v>
      </c>
      <c r="B1942" s="2" t="s">
        <v>72</v>
      </c>
      <c r="C1942" s="2" t="s">
        <v>73</v>
      </c>
      <c r="D1942" s="2"/>
      <c r="E1942" s="2" t="str">
        <f>"FES1162569787"</f>
        <v>FES1162569787</v>
      </c>
      <c r="F1942" s="3">
        <v>42964</v>
      </c>
      <c r="G1942" s="2">
        <v>201802</v>
      </c>
      <c r="H1942" s="2" t="s">
        <v>74</v>
      </c>
      <c r="I1942" s="2" t="s">
        <v>75</v>
      </c>
      <c r="J1942" s="2" t="s">
        <v>76</v>
      </c>
      <c r="K1942" s="2" t="s">
        <v>77</v>
      </c>
      <c r="L1942" s="2" t="s">
        <v>221</v>
      </c>
      <c r="M1942" s="2" t="s">
        <v>222</v>
      </c>
      <c r="N1942" s="2" t="s">
        <v>1275</v>
      </c>
      <c r="O1942" s="2" t="s">
        <v>100</v>
      </c>
      <c r="P1942" s="2" t="str">
        <f>"2170585569                    "</f>
        <v xml:space="preserve">2170585569 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4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1</v>
      </c>
      <c r="BJ1942" s="2">
        <v>0.2</v>
      </c>
      <c r="BK1942" s="2">
        <v>1</v>
      </c>
      <c r="BL1942" s="2">
        <v>41.44</v>
      </c>
      <c r="BM1942" s="2">
        <v>5.8</v>
      </c>
      <c r="BN1942" s="2">
        <v>47.24</v>
      </c>
      <c r="BO1942" s="2">
        <v>47.24</v>
      </c>
      <c r="BP1942" s="2"/>
      <c r="BQ1942" s="2" t="s">
        <v>108</v>
      </c>
      <c r="BR1942" s="2" t="s">
        <v>84</v>
      </c>
      <c r="BS1942" s="3">
        <v>42965</v>
      </c>
      <c r="BT1942" s="4">
        <v>0.37152777777777773</v>
      </c>
      <c r="BU1942" s="2" t="s">
        <v>1535</v>
      </c>
      <c r="BV1942" s="2" t="s">
        <v>95</v>
      </c>
      <c r="BW1942" s="2"/>
      <c r="BX1942" s="2"/>
      <c r="BY1942" s="2">
        <v>1200</v>
      </c>
      <c r="BZ1942" s="2" t="s">
        <v>27</v>
      </c>
      <c r="CA1942" s="2" t="s">
        <v>1536</v>
      </c>
      <c r="CB1942" s="2"/>
      <c r="CC1942" s="2" t="s">
        <v>222</v>
      </c>
      <c r="CD1942" s="2">
        <v>4300</v>
      </c>
      <c r="CE1942" s="2" t="s">
        <v>104</v>
      </c>
      <c r="CF1942" s="5">
        <v>42968</v>
      </c>
      <c r="CG1942" s="2"/>
      <c r="CH1942" s="2"/>
      <c r="CI1942" s="2">
        <v>1</v>
      </c>
      <c r="CJ1942" s="2">
        <v>1</v>
      </c>
      <c r="CK1942" s="2">
        <v>21</v>
      </c>
      <c r="CL1942" s="2" t="s">
        <v>86</v>
      </c>
      <c r="CM1942" s="2"/>
    </row>
    <row r="1943" spans="1:91">
      <c r="A1943" s="2" t="s">
        <v>71</v>
      </c>
      <c r="B1943" s="2" t="s">
        <v>72</v>
      </c>
      <c r="C1943" s="2" t="s">
        <v>73</v>
      </c>
      <c r="D1943" s="2"/>
      <c r="E1943" s="2" t="str">
        <f>"FES1162569646"</f>
        <v>FES1162569646</v>
      </c>
      <c r="F1943" s="3">
        <v>42964</v>
      </c>
      <c r="G1943" s="2">
        <v>201802</v>
      </c>
      <c r="H1943" s="2" t="s">
        <v>74</v>
      </c>
      <c r="I1943" s="2" t="s">
        <v>75</v>
      </c>
      <c r="J1943" s="2" t="s">
        <v>76</v>
      </c>
      <c r="K1943" s="2" t="s">
        <v>77</v>
      </c>
      <c r="L1943" s="2" t="s">
        <v>149</v>
      </c>
      <c r="M1943" s="2" t="s">
        <v>150</v>
      </c>
      <c r="N1943" s="2" t="s">
        <v>427</v>
      </c>
      <c r="O1943" s="2" t="s">
        <v>100</v>
      </c>
      <c r="P1943" s="2" t="str">
        <f>"2170581086                    "</f>
        <v xml:space="preserve">2170581086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4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1</v>
      </c>
      <c r="BJ1943" s="2">
        <v>0.2</v>
      </c>
      <c r="BK1943" s="2">
        <v>1</v>
      </c>
      <c r="BL1943" s="2">
        <v>41.44</v>
      </c>
      <c r="BM1943" s="2">
        <v>5.8</v>
      </c>
      <c r="BN1943" s="2">
        <v>47.24</v>
      </c>
      <c r="BO1943" s="2">
        <v>47.24</v>
      </c>
      <c r="BP1943" s="2"/>
      <c r="BQ1943" s="2" t="s">
        <v>108</v>
      </c>
      <c r="BR1943" s="2" t="s">
        <v>84</v>
      </c>
      <c r="BS1943" s="3">
        <v>42965</v>
      </c>
      <c r="BT1943" s="4">
        <v>0.4375</v>
      </c>
      <c r="BU1943" s="2" t="s">
        <v>2549</v>
      </c>
      <c r="BV1943" s="2" t="s">
        <v>95</v>
      </c>
      <c r="BW1943" s="2"/>
      <c r="BX1943" s="2"/>
      <c r="BY1943" s="2">
        <v>1200</v>
      </c>
      <c r="BZ1943" s="2" t="s">
        <v>27</v>
      </c>
      <c r="CA1943" s="2"/>
      <c r="CB1943" s="2"/>
      <c r="CC1943" s="2" t="s">
        <v>150</v>
      </c>
      <c r="CD1943" s="2">
        <v>4001</v>
      </c>
      <c r="CE1943" s="2" t="s">
        <v>104</v>
      </c>
      <c r="CF1943" s="5">
        <v>42968</v>
      </c>
      <c r="CG1943" s="2"/>
      <c r="CH1943" s="2"/>
      <c r="CI1943" s="2">
        <v>1</v>
      </c>
      <c r="CJ1943" s="2">
        <v>1</v>
      </c>
      <c r="CK1943" s="2">
        <v>21</v>
      </c>
      <c r="CL1943" s="2" t="s">
        <v>86</v>
      </c>
      <c r="CM1943" s="2"/>
    </row>
    <row r="1944" spans="1:91">
      <c r="A1944" s="2" t="s">
        <v>71</v>
      </c>
      <c r="B1944" s="2" t="s">
        <v>72</v>
      </c>
      <c r="C1944" s="2" t="s">
        <v>73</v>
      </c>
      <c r="D1944" s="2"/>
      <c r="E1944" s="2" t="str">
        <f>"FES1162569817"</f>
        <v>FES1162569817</v>
      </c>
      <c r="F1944" s="3">
        <v>42964</v>
      </c>
      <c r="G1944" s="2">
        <v>201802</v>
      </c>
      <c r="H1944" s="2" t="s">
        <v>74</v>
      </c>
      <c r="I1944" s="2" t="s">
        <v>75</v>
      </c>
      <c r="J1944" s="2" t="s">
        <v>76</v>
      </c>
      <c r="K1944" s="2" t="s">
        <v>77</v>
      </c>
      <c r="L1944" s="2" t="s">
        <v>216</v>
      </c>
      <c r="M1944" s="2" t="s">
        <v>217</v>
      </c>
      <c r="N1944" s="2" t="s">
        <v>351</v>
      </c>
      <c r="O1944" s="2" t="s">
        <v>100</v>
      </c>
      <c r="P1944" s="2" t="str">
        <f>"2170585605                    "</f>
        <v xml:space="preserve">2170585605 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3.13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1</v>
      </c>
      <c r="BI1944" s="2">
        <v>1</v>
      </c>
      <c r="BJ1944" s="2">
        <v>0.2</v>
      </c>
      <c r="BK1944" s="2">
        <v>1</v>
      </c>
      <c r="BL1944" s="2">
        <v>32.380000000000003</v>
      </c>
      <c r="BM1944" s="2">
        <v>4.53</v>
      </c>
      <c r="BN1944" s="2">
        <v>36.909999999999997</v>
      </c>
      <c r="BO1944" s="2">
        <v>36.909999999999997</v>
      </c>
      <c r="BP1944" s="2"/>
      <c r="BQ1944" s="2" t="s">
        <v>288</v>
      </c>
      <c r="BR1944" s="2" t="s">
        <v>84</v>
      </c>
      <c r="BS1944" s="3">
        <v>42965</v>
      </c>
      <c r="BT1944" s="4">
        <v>0.38125000000000003</v>
      </c>
      <c r="BU1944" s="2" t="s">
        <v>2550</v>
      </c>
      <c r="BV1944" s="2" t="s">
        <v>95</v>
      </c>
      <c r="BW1944" s="2"/>
      <c r="BX1944" s="2"/>
      <c r="BY1944" s="2">
        <v>1200</v>
      </c>
      <c r="BZ1944" s="2"/>
      <c r="CA1944" s="2" t="s">
        <v>220</v>
      </c>
      <c r="CB1944" s="2"/>
      <c r="CC1944" s="2" t="s">
        <v>217</v>
      </c>
      <c r="CD1944" s="2">
        <v>1451</v>
      </c>
      <c r="CE1944" s="2" t="s">
        <v>104</v>
      </c>
      <c r="CF1944" s="5">
        <v>42968</v>
      </c>
      <c r="CG1944" s="2"/>
      <c r="CH1944" s="2"/>
      <c r="CI1944" s="2">
        <v>1</v>
      </c>
      <c r="CJ1944" s="2">
        <v>1</v>
      </c>
      <c r="CK1944" s="2">
        <v>22</v>
      </c>
      <c r="CL1944" s="2" t="s">
        <v>86</v>
      </c>
      <c r="CM1944" s="2"/>
    </row>
    <row r="1945" spans="1:91">
      <c r="A1945" s="2" t="s">
        <v>71</v>
      </c>
      <c r="B1945" s="2" t="s">
        <v>72</v>
      </c>
      <c r="C1945" s="2" t="s">
        <v>73</v>
      </c>
      <c r="D1945" s="2"/>
      <c r="E1945" s="2" t="str">
        <f>"FES1162569684"</f>
        <v>FES1162569684</v>
      </c>
      <c r="F1945" s="3">
        <v>42964</v>
      </c>
      <c r="G1945" s="2">
        <v>201802</v>
      </c>
      <c r="H1945" s="2" t="s">
        <v>74</v>
      </c>
      <c r="I1945" s="2" t="s">
        <v>75</v>
      </c>
      <c r="J1945" s="2" t="s">
        <v>76</v>
      </c>
      <c r="K1945" s="2" t="s">
        <v>77</v>
      </c>
      <c r="L1945" s="2" t="s">
        <v>237</v>
      </c>
      <c r="M1945" s="2" t="s">
        <v>238</v>
      </c>
      <c r="N1945" s="2" t="s">
        <v>2551</v>
      </c>
      <c r="O1945" s="2" t="s">
        <v>100</v>
      </c>
      <c r="P1945" s="2" t="str">
        <f>"2170585204                    "</f>
        <v xml:space="preserve">2170585204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4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1</v>
      </c>
      <c r="BI1945" s="2">
        <v>1</v>
      </c>
      <c r="BJ1945" s="2">
        <v>0.2</v>
      </c>
      <c r="BK1945" s="2">
        <v>1</v>
      </c>
      <c r="BL1945" s="2">
        <v>41.44</v>
      </c>
      <c r="BM1945" s="2">
        <v>5.8</v>
      </c>
      <c r="BN1945" s="2">
        <v>47.24</v>
      </c>
      <c r="BO1945" s="2">
        <v>47.24</v>
      </c>
      <c r="BP1945" s="2"/>
      <c r="BQ1945" s="2" t="s">
        <v>108</v>
      </c>
      <c r="BR1945" s="2" t="s">
        <v>84</v>
      </c>
      <c r="BS1945" s="3">
        <v>42965</v>
      </c>
      <c r="BT1945" s="4">
        <v>0.38750000000000001</v>
      </c>
      <c r="BU1945" s="2" t="s">
        <v>2552</v>
      </c>
      <c r="BV1945" s="2" t="s">
        <v>95</v>
      </c>
      <c r="BW1945" s="2"/>
      <c r="BX1945" s="2"/>
      <c r="BY1945" s="2">
        <v>1200</v>
      </c>
      <c r="BZ1945" s="2" t="s">
        <v>27</v>
      </c>
      <c r="CA1945" s="2" t="s">
        <v>672</v>
      </c>
      <c r="CB1945" s="2"/>
      <c r="CC1945" s="2" t="s">
        <v>238</v>
      </c>
      <c r="CD1945" s="2">
        <v>3610</v>
      </c>
      <c r="CE1945" s="2" t="s">
        <v>104</v>
      </c>
      <c r="CF1945" s="5">
        <v>42968</v>
      </c>
      <c r="CG1945" s="2"/>
      <c r="CH1945" s="2"/>
      <c r="CI1945" s="2">
        <v>1</v>
      </c>
      <c r="CJ1945" s="2">
        <v>1</v>
      </c>
      <c r="CK1945" s="2">
        <v>21</v>
      </c>
      <c r="CL1945" s="2" t="s">
        <v>86</v>
      </c>
      <c r="CM1945" s="2"/>
    </row>
    <row r="1946" spans="1:91">
      <c r="A1946" s="2" t="s">
        <v>71</v>
      </c>
      <c r="B1946" s="2" t="s">
        <v>72</v>
      </c>
      <c r="C1946" s="2" t="s">
        <v>73</v>
      </c>
      <c r="D1946" s="2"/>
      <c r="E1946" s="2" t="str">
        <f>"FES1162569810"</f>
        <v>FES1162569810</v>
      </c>
      <c r="F1946" s="3">
        <v>42964</v>
      </c>
      <c r="G1946" s="2">
        <v>201802</v>
      </c>
      <c r="H1946" s="2" t="s">
        <v>74</v>
      </c>
      <c r="I1946" s="2" t="s">
        <v>75</v>
      </c>
      <c r="J1946" s="2" t="s">
        <v>76</v>
      </c>
      <c r="K1946" s="2" t="s">
        <v>77</v>
      </c>
      <c r="L1946" s="2" t="s">
        <v>237</v>
      </c>
      <c r="M1946" s="2" t="s">
        <v>238</v>
      </c>
      <c r="N1946" s="2" t="s">
        <v>669</v>
      </c>
      <c r="O1946" s="2" t="s">
        <v>100</v>
      </c>
      <c r="P1946" s="2" t="str">
        <f>"2170585280                    "</f>
        <v xml:space="preserve">2170585280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4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1</v>
      </c>
      <c r="BJ1946" s="2">
        <v>0.2</v>
      </c>
      <c r="BK1946" s="2">
        <v>1</v>
      </c>
      <c r="BL1946" s="2">
        <v>41.44</v>
      </c>
      <c r="BM1946" s="2">
        <v>5.8</v>
      </c>
      <c r="BN1946" s="2">
        <v>47.24</v>
      </c>
      <c r="BO1946" s="2">
        <v>47.24</v>
      </c>
      <c r="BP1946" s="2"/>
      <c r="BQ1946" s="2" t="s">
        <v>288</v>
      </c>
      <c r="BR1946" s="2" t="s">
        <v>84</v>
      </c>
      <c r="BS1946" s="3">
        <v>42965</v>
      </c>
      <c r="BT1946" s="4">
        <v>0.38472222222222219</v>
      </c>
      <c r="BU1946" s="2" t="s">
        <v>2553</v>
      </c>
      <c r="BV1946" s="2" t="s">
        <v>95</v>
      </c>
      <c r="BW1946" s="2"/>
      <c r="BX1946" s="2"/>
      <c r="BY1946" s="2">
        <v>1200</v>
      </c>
      <c r="BZ1946" s="2"/>
      <c r="CA1946" s="2" t="s">
        <v>672</v>
      </c>
      <c r="CB1946" s="2"/>
      <c r="CC1946" s="2" t="s">
        <v>238</v>
      </c>
      <c r="CD1946" s="2">
        <v>3610</v>
      </c>
      <c r="CE1946" s="2" t="s">
        <v>104</v>
      </c>
      <c r="CF1946" s="5">
        <v>42968</v>
      </c>
      <c r="CG1946" s="2"/>
      <c r="CH1946" s="2"/>
      <c r="CI1946" s="2">
        <v>1</v>
      </c>
      <c r="CJ1946" s="2">
        <v>1</v>
      </c>
      <c r="CK1946" s="2">
        <v>21</v>
      </c>
      <c r="CL1946" s="2" t="s">
        <v>86</v>
      </c>
      <c r="CM1946" s="2"/>
    </row>
    <row r="1947" spans="1:91">
      <c r="A1947" s="2" t="s">
        <v>71</v>
      </c>
      <c r="B1947" s="2" t="s">
        <v>72</v>
      </c>
      <c r="C1947" s="2" t="s">
        <v>73</v>
      </c>
      <c r="D1947" s="2"/>
      <c r="E1947" s="2" t="str">
        <f>"FES1162569664"</f>
        <v>FES1162569664</v>
      </c>
      <c r="F1947" s="3">
        <v>42964</v>
      </c>
      <c r="G1947" s="2">
        <v>201802</v>
      </c>
      <c r="H1947" s="2" t="s">
        <v>74</v>
      </c>
      <c r="I1947" s="2" t="s">
        <v>75</v>
      </c>
      <c r="J1947" s="2" t="s">
        <v>76</v>
      </c>
      <c r="K1947" s="2" t="s">
        <v>77</v>
      </c>
      <c r="L1947" s="2" t="s">
        <v>362</v>
      </c>
      <c r="M1947" s="2" t="s">
        <v>363</v>
      </c>
      <c r="N1947" s="2" t="s">
        <v>2554</v>
      </c>
      <c r="O1947" s="2" t="s">
        <v>100</v>
      </c>
      <c r="P1947" s="2" t="str">
        <f>"2170585207                    "</f>
        <v xml:space="preserve">2170585207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4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1</v>
      </c>
      <c r="BJ1947" s="2">
        <v>0.2</v>
      </c>
      <c r="BK1947" s="2">
        <v>1</v>
      </c>
      <c r="BL1947" s="2">
        <v>41.44</v>
      </c>
      <c r="BM1947" s="2">
        <v>5.8</v>
      </c>
      <c r="BN1947" s="2">
        <v>47.24</v>
      </c>
      <c r="BO1947" s="2">
        <v>47.24</v>
      </c>
      <c r="BP1947" s="2"/>
      <c r="BQ1947" s="2" t="s">
        <v>83</v>
      </c>
      <c r="BR1947" s="2" t="s">
        <v>84</v>
      </c>
      <c r="BS1947" s="3">
        <v>42965</v>
      </c>
      <c r="BT1947" s="4">
        <v>0.33680555555555558</v>
      </c>
      <c r="BU1947" s="2" t="s">
        <v>2555</v>
      </c>
      <c r="BV1947" s="2" t="s">
        <v>95</v>
      </c>
      <c r="BW1947" s="2"/>
      <c r="BX1947" s="2"/>
      <c r="BY1947" s="2">
        <v>1200</v>
      </c>
      <c r="BZ1947" s="2" t="s">
        <v>27</v>
      </c>
      <c r="CA1947" s="2" t="s">
        <v>2556</v>
      </c>
      <c r="CB1947" s="2"/>
      <c r="CC1947" s="2" t="s">
        <v>363</v>
      </c>
      <c r="CD1947" s="2">
        <v>3200</v>
      </c>
      <c r="CE1947" s="2" t="s">
        <v>104</v>
      </c>
      <c r="CF1947" s="5">
        <v>42968</v>
      </c>
      <c r="CG1947" s="2"/>
      <c r="CH1947" s="2"/>
      <c r="CI1947" s="2">
        <v>1</v>
      </c>
      <c r="CJ1947" s="2">
        <v>1</v>
      </c>
      <c r="CK1947" s="2">
        <v>21</v>
      </c>
      <c r="CL1947" s="2" t="s">
        <v>86</v>
      </c>
      <c r="CM1947" s="2"/>
    </row>
    <row r="1948" spans="1:91">
      <c r="A1948" s="2" t="s">
        <v>71</v>
      </c>
      <c r="B1948" s="2" t="s">
        <v>72</v>
      </c>
      <c r="C1948" s="2" t="s">
        <v>73</v>
      </c>
      <c r="D1948" s="2"/>
      <c r="E1948" s="2" t="str">
        <f>"FES1162569803"</f>
        <v>FES1162569803</v>
      </c>
      <c r="F1948" s="3">
        <v>42964</v>
      </c>
      <c r="G1948" s="2">
        <v>201802</v>
      </c>
      <c r="H1948" s="2" t="s">
        <v>74</v>
      </c>
      <c r="I1948" s="2" t="s">
        <v>75</v>
      </c>
      <c r="J1948" s="2" t="s">
        <v>76</v>
      </c>
      <c r="K1948" s="2" t="s">
        <v>77</v>
      </c>
      <c r="L1948" s="2" t="s">
        <v>149</v>
      </c>
      <c r="M1948" s="2" t="s">
        <v>150</v>
      </c>
      <c r="N1948" s="2" t="s">
        <v>2548</v>
      </c>
      <c r="O1948" s="2" t="s">
        <v>100</v>
      </c>
      <c r="P1948" s="2" t="str">
        <f>"2170585589                    "</f>
        <v xml:space="preserve">2170585589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4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1</v>
      </c>
      <c r="BJ1948" s="2">
        <v>0.2</v>
      </c>
      <c r="BK1948" s="2">
        <v>1</v>
      </c>
      <c r="BL1948" s="2">
        <v>41.44</v>
      </c>
      <c r="BM1948" s="2">
        <v>5.8</v>
      </c>
      <c r="BN1948" s="2">
        <v>47.24</v>
      </c>
      <c r="BO1948" s="2">
        <v>47.24</v>
      </c>
      <c r="BP1948" s="2"/>
      <c r="BQ1948" s="2" t="s">
        <v>288</v>
      </c>
      <c r="BR1948" s="2" t="s">
        <v>84</v>
      </c>
      <c r="BS1948" s="3">
        <v>42965</v>
      </c>
      <c r="BT1948" s="4">
        <v>0.55208333333333337</v>
      </c>
      <c r="BU1948" s="2" t="s">
        <v>2557</v>
      </c>
      <c r="BV1948" s="2" t="s">
        <v>86</v>
      </c>
      <c r="BW1948" s="2" t="s">
        <v>124</v>
      </c>
      <c r="BX1948" s="2" t="s">
        <v>337</v>
      </c>
      <c r="BY1948" s="2">
        <v>1200</v>
      </c>
      <c r="BZ1948" s="2"/>
      <c r="CA1948" s="2" t="s">
        <v>2558</v>
      </c>
      <c r="CB1948" s="2"/>
      <c r="CC1948" s="2" t="s">
        <v>150</v>
      </c>
      <c r="CD1948" s="2">
        <v>4051</v>
      </c>
      <c r="CE1948" s="2" t="s">
        <v>104</v>
      </c>
      <c r="CF1948" s="5">
        <v>42965</v>
      </c>
      <c r="CG1948" s="2"/>
      <c r="CH1948" s="2"/>
      <c r="CI1948" s="2">
        <v>1</v>
      </c>
      <c r="CJ1948" s="2">
        <v>1</v>
      </c>
      <c r="CK1948" s="2">
        <v>21</v>
      </c>
      <c r="CL1948" s="2" t="s">
        <v>86</v>
      </c>
      <c r="CM1948" s="2"/>
    </row>
    <row r="1949" spans="1:91">
      <c r="A1949" s="2" t="s">
        <v>71</v>
      </c>
      <c r="B1949" s="2" t="s">
        <v>72</v>
      </c>
      <c r="C1949" s="2" t="s">
        <v>73</v>
      </c>
      <c r="D1949" s="2"/>
      <c r="E1949" s="2" t="str">
        <f>"FES1162569557"</f>
        <v>FES1162569557</v>
      </c>
      <c r="F1949" s="3">
        <v>42964</v>
      </c>
      <c r="G1949" s="2">
        <v>201802</v>
      </c>
      <c r="H1949" s="2" t="s">
        <v>74</v>
      </c>
      <c r="I1949" s="2" t="s">
        <v>75</v>
      </c>
      <c r="J1949" s="2" t="s">
        <v>76</v>
      </c>
      <c r="K1949" s="2" t="s">
        <v>77</v>
      </c>
      <c r="L1949" s="2" t="s">
        <v>149</v>
      </c>
      <c r="M1949" s="2" t="s">
        <v>150</v>
      </c>
      <c r="N1949" s="2" t="s">
        <v>696</v>
      </c>
      <c r="O1949" s="2" t="s">
        <v>100</v>
      </c>
      <c r="P1949" s="2" t="str">
        <f>"2170585229                    "</f>
        <v xml:space="preserve">2170585229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7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3.1</v>
      </c>
      <c r="BJ1949" s="2">
        <v>1.4</v>
      </c>
      <c r="BK1949" s="2">
        <v>3.5</v>
      </c>
      <c r="BL1949" s="2">
        <v>72.52</v>
      </c>
      <c r="BM1949" s="2">
        <v>10.15</v>
      </c>
      <c r="BN1949" s="2">
        <v>82.67</v>
      </c>
      <c r="BO1949" s="2">
        <v>82.67</v>
      </c>
      <c r="BP1949" s="2"/>
      <c r="BQ1949" s="2" t="s">
        <v>83</v>
      </c>
      <c r="BR1949" s="2" t="s">
        <v>84</v>
      </c>
      <c r="BS1949" s="3">
        <v>42965</v>
      </c>
      <c r="BT1949" s="4">
        <v>0.37222222222222223</v>
      </c>
      <c r="BU1949" s="2" t="s">
        <v>2559</v>
      </c>
      <c r="BV1949" s="2" t="s">
        <v>95</v>
      </c>
      <c r="BW1949" s="2"/>
      <c r="BX1949" s="2"/>
      <c r="BY1949" s="2">
        <v>7122.78</v>
      </c>
      <c r="BZ1949" s="2" t="s">
        <v>27</v>
      </c>
      <c r="CA1949" s="2" t="s">
        <v>1352</v>
      </c>
      <c r="CB1949" s="2"/>
      <c r="CC1949" s="2" t="s">
        <v>150</v>
      </c>
      <c r="CD1949" s="2">
        <v>4052</v>
      </c>
      <c r="CE1949" s="2" t="s">
        <v>135</v>
      </c>
      <c r="CF1949" s="5">
        <v>42968</v>
      </c>
      <c r="CG1949" s="2"/>
      <c r="CH1949" s="2"/>
      <c r="CI1949" s="2">
        <v>1</v>
      </c>
      <c r="CJ1949" s="2">
        <v>1</v>
      </c>
      <c r="CK1949" s="2">
        <v>21</v>
      </c>
      <c r="CL1949" s="2" t="s">
        <v>86</v>
      </c>
      <c r="CM1949" s="2"/>
    </row>
    <row r="1950" spans="1:91">
      <c r="A1950" s="2" t="s">
        <v>71</v>
      </c>
      <c r="B1950" s="2" t="s">
        <v>72</v>
      </c>
      <c r="C1950" s="2" t="s">
        <v>73</v>
      </c>
      <c r="D1950" s="2"/>
      <c r="E1950" s="2" t="str">
        <f>"FES1162569806"</f>
        <v>FES1162569806</v>
      </c>
      <c r="F1950" s="3">
        <v>42964</v>
      </c>
      <c r="G1950" s="2">
        <v>201802</v>
      </c>
      <c r="H1950" s="2" t="s">
        <v>74</v>
      </c>
      <c r="I1950" s="2" t="s">
        <v>75</v>
      </c>
      <c r="J1950" s="2" t="s">
        <v>76</v>
      </c>
      <c r="K1950" s="2" t="s">
        <v>77</v>
      </c>
      <c r="L1950" s="2" t="s">
        <v>715</v>
      </c>
      <c r="M1950" s="2" t="s">
        <v>716</v>
      </c>
      <c r="N1950" s="2" t="s">
        <v>717</v>
      </c>
      <c r="O1950" s="2" t="s">
        <v>100</v>
      </c>
      <c r="P1950" s="2" t="str">
        <f>"2170585594                    "</f>
        <v xml:space="preserve">2170585594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4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2</v>
      </c>
      <c r="BJ1950" s="2">
        <v>0.2</v>
      </c>
      <c r="BK1950" s="2">
        <v>2</v>
      </c>
      <c r="BL1950" s="2">
        <v>41.44</v>
      </c>
      <c r="BM1950" s="2">
        <v>5.8</v>
      </c>
      <c r="BN1950" s="2">
        <v>47.24</v>
      </c>
      <c r="BO1950" s="2">
        <v>47.24</v>
      </c>
      <c r="BP1950" s="2"/>
      <c r="BQ1950" s="2" t="s">
        <v>108</v>
      </c>
      <c r="BR1950" s="2" t="s">
        <v>84</v>
      </c>
      <c r="BS1950" s="3">
        <v>42965</v>
      </c>
      <c r="BT1950" s="4">
        <v>0.41319444444444442</v>
      </c>
      <c r="BU1950" s="2" t="s">
        <v>2560</v>
      </c>
      <c r="BV1950" s="2" t="s">
        <v>95</v>
      </c>
      <c r="BW1950" s="2"/>
      <c r="BX1950" s="2"/>
      <c r="BY1950" s="2">
        <v>1200</v>
      </c>
      <c r="BZ1950" s="2"/>
      <c r="CA1950" s="2" t="s">
        <v>566</v>
      </c>
      <c r="CB1950" s="2"/>
      <c r="CC1950" s="2" t="s">
        <v>716</v>
      </c>
      <c r="CD1950" s="2">
        <v>3290</v>
      </c>
      <c r="CE1950" s="2" t="s">
        <v>104</v>
      </c>
      <c r="CF1950" s="5">
        <v>42968</v>
      </c>
      <c r="CG1950" s="2"/>
      <c r="CH1950" s="2"/>
      <c r="CI1950" s="2">
        <v>1</v>
      </c>
      <c r="CJ1950" s="2">
        <v>1</v>
      </c>
      <c r="CK1950" s="2">
        <v>21</v>
      </c>
      <c r="CL1950" s="2" t="s">
        <v>86</v>
      </c>
      <c r="CM1950" s="2"/>
    </row>
    <row r="1951" spans="1:91">
      <c r="A1951" s="2" t="s">
        <v>71</v>
      </c>
      <c r="B1951" s="2" t="s">
        <v>72</v>
      </c>
      <c r="C1951" s="2" t="s">
        <v>73</v>
      </c>
      <c r="D1951" s="2"/>
      <c r="E1951" s="2" t="str">
        <f>"FES1162569818"</f>
        <v>FES1162569818</v>
      </c>
      <c r="F1951" s="3">
        <v>42964</v>
      </c>
      <c r="G1951" s="2">
        <v>201802</v>
      </c>
      <c r="H1951" s="2" t="s">
        <v>74</v>
      </c>
      <c r="I1951" s="2" t="s">
        <v>75</v>
      </c>
      <c r="J1951" s="2" t="s">
        <v>76</v>
      </c>
      <c r="K1951" s="2" t="s">
        <v>77</v>
      </c>
      <c r="L1951" s="2" t="s">
        <v>149</v>
      </c>
      <c r="M1951" s="2" t="s">
        <v>150</v>
      </c>
      <c r="N1951" s="2" t="s">
        <v>1652</v>
      </c>
      <c r="O1951" s="2" t="s">
        <v>100</v>
      </c>
      <c r="P1951" s="2" t="str">
        <f>"2170585609                    "</f>
        <v xml:space="preserve">2170585609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4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1</v>
      </c>
      <c r="BJ1951" s="2">
        <v>0.2</v>
      </c>
      <c r="BK1951" s="2">
        <v>1</v>
      </c>
      <c r="BL1951" s="2">
        <v>41.44</v>
      </c>
      <c r="BM1951" s="2">
        <v>5.8</v>
      </c>
      <c r="BN1951" s="2">
        <v>47.24</v>
      </c>
      <c r="BO1951" s="2">
        <v>47.24</v>
      </c>
      <c r="BP1951" s="2"/>
      <c r="BQ1951" s="2" t="s">
        <v>1653</v>
      </c>
      <c r="BR1951" s="2" t="s">
        <v>84</v>
      </c>
      <c r="BS1951" s="3">
        <v>42965</v>
      </c>
      <c r="BT1951" s="4">
        <v>0.28958333333333336</v>
      </c>
      <c r="BU1951" s="2" t="s">
        <v>2224</v>
      </c>
      <c r="BV1951" s="2" t="s">
        <v>95</v>
      </c>
      <c r="BW1951" s="2"/>
      <c r="BX1951" s="2"/>
      <c r="BY1951" s="2">
        <v>1200</v>
      </c>
      <c r="BZ1951" s="2"/>
      <c r="CA1951" s="2" t="s">
        <v>774</v>
      </c>
      <c r="CB1951" s="2"/>
      <c r="CC1951" s="2" t="s">
        <v>150</v>
      </c>
      <c r="CD1951" s="2">
        <v>4001</v>
      </c>
      <c r="CE1951" s="2" t="s">
        <v>104</v>
      </c>
      <c r="CF1951" s="5">
        <v>42968</v>
      </c>
      <c r="CG1951" s="2"/>
      <c r="CH1951" s="2"/>
      <c r="CI1951" s="2">
        <v>1</v>
      </c>
      <c r="CJ1951" s="2">
        <v>1</v>
      </c>
      <c r="CK1951" s="2">
        <v>21</v>
      </c>
      <c r="CL1951" s="2" t="s">
        <v>86</v>
      </c>
      <c r="CM1951" s="2"/>
    </row>
    <row r="1952" spans="1:91">
      <c r="A1952" s="2" t="s">
        <v>71</v>
      </c>
      <c r="B1952" s="2" t="s">
        <v>72</v>
      </c>
      <c r="C1952" s="2" t="s">
        <v>73</v>
      </c>
      <c r="D1952" s="2"/>
      <c r="E1952" s="2" t="str">
        <f>"FES1162569661"</f>
        <v>FES1162569661</v>
      </c>
      <c r="F1952" s="3">
        <v>42964</v>
      </c>
      <c r="G1952" s="2">
        <v>201802</v>
      </c>
      <c r="H1952" s="2" t="s">
        <v>74</v>
      </c>
      <c r="I1952" s="2" t="s">
        <v>75</v>
      </c>
      <c r="J1952" s="2" t="s">
        <v>76</v>
      </c>
      <c r="K1952" s="2" t="s">
        <v>77</v>
      </c>
      <c r="L1952" s="2" t="s">
        <v>105</v>
      </c>
      <c r="M1952" s="2" t="s">
        <v>106</v>
      </c>
      <c r="N1952" s="2" t="s">
        <v>657</v>
      </c>
      <c r="O1952" s="2" t="s">
        <v>100</v>
      </c>
      <c r="P1952" s="2" t="str">
        <f>"2170583390                    "</f>
        <v xml:space="preserve">2170583390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4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1</v>
      </c>
      <c r="BJ1952" s="2">
        <v>0.2</v>
      </c>
      <c r="BK1952" s="2">
        <v>1</v>
      </c>
      <c r="BL1952" s="2">
        <v>41.44</v>
      </c>
      <c r="BM1952" s="2">
        <v>5.8</v>
      </c>
      <c r="BN1952" s="2">
        <v>47.24</v>
      </c>
      <c r="BO1952" s="2">
        <v>47.24</v>
      </c>
      <c r="BP1952" s="2"/>
      <c r="BQ1952" s="2" t="s">
        <v>227</v>
      </c>
      <c r="BR1952" s="2" t="s">
        <v>84</v>
      </c>
      <c r="BS1952" s="3">
        <v>42965</v>
      </c>
      <c r="BT1952" s="4">
        <v>0.37777777777777777</v>
      </c>
      <c r="BU1952" s="2" t="s">
        <v>826</v>
      </c>
      <c r="BV1952" s="2" t="s">
        <v>95</v>
      </c>
      <c r="BW1952" s="2"/>
      <c r="BX1952" s="2"/>
      <c r="BY1952" s="2">
        <v>1200</v>
      </c>
      <c r="BZ1952" s="2" t="s">
        <v>27</v>
      </c>
      <c r="CA1952" s="2" t="s">
        <v>350</v>
      </c>
      <c r="CB1952" s="2"/>
      <c r="CC1952" s="2" t="s">
        <v>106</v>
      </c>
      <c r="CD1952" s="2">
        <v>7945</v>
      </c>
      <c r="CE1952" s="2" t="s">
        <v>104</v>
      </c>
      <c r="CF1952" s="5">
        <v>42968</v>
      </c>
      <c r="CG1952" s="2"/>
      <c r="CH1952" s="2"/>
      <c r="CI1952" s="2">
        <v>1</v>
      </c>
      <c r="CJ1952" s="2">
        <v>1</v>
      </c>
      <c r="CK1952" s="2">
        <v>21</v>
      </c>
      <c r="CL1952" s="2" t="s">
        <v>86</v>
      </c>
      <c r="CM1952" s="2"/>
    </row>
    <row r="1953" spans="1:91">
      <c r="A1953" s="2" t="s">
        <v>71</v>
      </c>
      <c r="B1953" s="2" t="s">
        <v>72</v>
      </c>
      <c r="C1953" s="2" t="s">
        <v>73</v>
      </c>
      <c r="D1953" s="2"/>
      <c r="E1953" s="2" t="str">
        <f>"FES1162569889"</f>
        <v>FES1162569889</v>
      </c>
      <c r="F1953" s="3">
        <v>42964</v>
      </c>
      <c r="G1953" s="2">
        <v>201802</v>
      </c>
      <c r="H1953" s="2" t="s">
        <v>74</v>
      </c>
      <c r="I1953" s="2" t="s">
        <v>75</v>
      </c>
      <c r="J1953" s="2" t="s">
        <v>76</v>
      </c>
      <c r="K1953" s="2" t="s">
        <v>77</v>
      </c>
      <c r="L1953" s="2" t="s">
        <v>97</v>
      </c>
      <c r="M1953" s="2" t="s">
        <v>98</v>
      </c>
      <c r="N1953" s="2" t="s">
        <v>248</v>
      </c>
      <c r="O1953" s="2" t="s">
        <v>100</v>
      </c>
      <c r="P1953" s="2" t="str">
        <f>"2170585699                    "</f>
        <v xml:space="preserve">2170585699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4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1</v>
      </c>
      <c r="BI1953" s="2">
        <v>1</v>
      </c>
      <c r="BJ1953" s="2">
        <v>0.2</v>
      </c>
      <c r="BK1953" s="2">
        <v>1</v>
      </c>
      <c r="BL1953" s="2">
        <v>41.44</v>
      </c>
      <c r="BM1953" s="2">
        <v>5.8</v>
      </c>
      <c r="BN1953" s="2">
        <v>47.24</v>
      </c>
      <c r="BO1953" s="2">
        <v>47.24</v>
      </c>
      <c r="BP1953" s="2"/>
      <c r="BQ1953" s="2" t="s">
        <v>83</v>
      </c>
      <c r="BR1953" s="2" t="s">
        <v>84</v>
      </c>
      <c r="BS1953" s="3">
        <v>42965</v>
      </c>
      <c r="BT1953" s="4">
        <v>0.33333333333333331</v>
      </c>
      <c r="BU1953" s="2" t="s">
        <v>390</v>
      </c>
      <c r="BV1953" s="2" t="s">
        <v>95</v>
      </c>
      <c r="BW1953" s="2"/>
      <c r="BX1953" s="2"/>
      <c r="BY1953" s="2">
        <v>1200</v>
      </c>
      <c r="BZ1953" s="2"/>
      <c r="CA1953" s="2" t="s">
        <v>294</v>
      </c>
      <c r="CB1953" s="2"/>
      <c r="CC1953" s="2" t="s">
        <v>98</v>
      </c>
      <c r="CD1953" s="2">
        <v>6001</v>
      </c>
      <c r="CE1953" s="2" t="s">
        <v>104</v>
      </c>
      <c r="CF1953" s="5">
        <v>42968</v>
      </c>
      <c r="CG1953" s="2"/>
      <c r="CH1953" s="2"/>
      <c r="CI1953" s="2">
        <v>1</v>
      </c>
      <c r="CJ1953" s="2">
        <v>1</v>
      </c>
      <c r="CK1953" s="2">
        <v>21</v>
      </c>
      <c r="CL1953" s="2" t="s">
        <v>86</v>
      </c>
      <c r="CM1953" s="2"/>
    </row>
    <row r="1954" spans="1:91">
      <c r="A1954" s="2" t="s">
        <v>71</v>
      </c>
      <c r="B1954" s="2" t="s">
        <v>72</v>
      </c>
      <c r="C1954" s="2" t="s">
        <v>73</v>
      </c>
      <c r="D1954" s="2"/>
      <c r="E1954" s="2" t="str">
        <f>"FES1162569706"</f>
        <v>FES1162569706</v>
      </c>
      <c r="F1954" s="3">
        <v>42964</v>
      </c>
      <c r="G1954" s="2">
        <v>201802</v>
      </c>
      <c r="H1954" s="2" t="s">
        <v>74</v>
      </c>
      <c r="I1954" s="2" t="s">
        <v>75</v>
      </c>
      <c r="J1954" s="2" t="s">
        <v>76</v>
      </c>
      <c r="K1954" s="2" t="s">
        <v>77</v>
      </c>
      <c r="L1954" s="2" t="s">
        <v>149</v>
      </c>
      <c r="M1954" s="2" t="s">
        <v>150</v>
      </c>
      <c r="N1954" s="2" t="s">
        <v>1537</v>
      </c>
      <c r="O1954" s="2" t="s">
        <v>100</v>
      </c>
      <c r="P1954" s="2" t="str">
        <f>"2170585480                    "</f>
        <v xml:space="preserve">2170585480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4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1</v>
      </c>
      <c r="BJ1954" s="2">
        <v>0.2</v>
      </c>
      <c r="BK1954" s="2">
        <v>1</v>
      </c>
      <c r="BL1954" s="2">
        <v>41.44</v>
      </c>
      <c r="BM1954" s="2">
        <v>5.8</v>
      </c>
      <c r="BN1954" s="2">
        <v>47.24</v>
      </c>
      <c r="BO1954" s="2">
        <v>47.24</v>
      </c>
      <c r="BP1954" s="2"/>
      <c r="BQ1954" s="2" t="s">
        <v>227</v>
      </c>
      <c r="BR1954" s="2" t="s">
        <v>84</v>
      </c>
      <c r="BS1954" s="3">
        <v>42965</v>
      </c>
      <c r="BT1954" s="4">
        <v>0.4375</v>
      </c>
      <c r="BU1954" s="2" t="s">
        <v>2561</v>
      </c>
      <c r="BV1954" s="2" t="s">
        <v>95</v>
      </c>
      <c r="BW1954" s="2"/>
      <c r="BX1954" s="2"/>
      <c r="BY1954" s="2">
        <v>1200</v>
      </c>
      <c r="BZ1954" s="2" t="s">
        <v>27</v>
      </c>
      <c r="CA1954" s="2" t="s">
        <v>347</v>
      </c>
      <c r="CB1954" s="2"/>
      <c r="CC1954" s="2" t="s">
        <v>150</v>
      </c>
      <c r="CD1954" s="2">
        <v>4001</v>
      </c>
      <c r="CE1954" s="2" t="s">
        <v>104</v>
      </c>
      <c r="CF1954" s="5">
        <v>42968</v>
      </c>
      <c r="CG1954" s="2"/>
      <c r="CH1954" s="2"/>
      <c r="CI1954" s="2">
        <v>1</v>
      </c>
      <c r="CJ1954" s="2">
        <v>1</v>
      </c>
      <c r="CK1954" s="2">
        <v>21</v>
      </c>
      <c r="CL1954" s="2" t="s">
        <v>86</v>
      </c>
      <c r="CM1954" s="2"/>
    </row>
    <row r="1955" spans="1:91">
      <c r="A1955" s="2" t="s">
        <v>71</v>
      </c>
      <c r="B1955" s="2" t="s">
        <v>72</v>
      </c>
      <c r="C1955" s="2" t="s">
        <v>73</v>
      </c>
      <c r="D1955" s="2"/>
      <c r="E1955" s="2" t="str">
        <f>"FES1162569863"</f>
        <v>FES1162569863</v>
      </c>
      <c r="F1955" s="3">
        <v>42964</v>
      </c>
      <c r="G1955" s="2">
        <v>201802</v>
      </c>
      <c r="H1955" s="2" t="s">
        <v>74</v>
      </c>
      <c r="I1955" s="2" t="s">
        <v>75</v>
      </c>
      <c r="J1955" s="2" t="s">
        <v>76</v>
      </c>
      <c r="K1955" s="2" t="s">
        <v>77</v>
      </c>
      <c r="L1955" s="2" t="s">
        <v>149</v>
      </c>
      <c r="M1955" s="2" t="s">
        <v>150</v>
      </c>
      <c r="N1955" s="2" t="s">
        <v>1592</v>
      </c>
      <c r="O1955" s="2" t="s">
        <v>100</v>
      </c>
      <c r="P1955" s="2" t="str">
        <f>"2170585641                    "</f>
        <v xml:space="preserve">2170585641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13.01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1</v>
      </c>
      <c r="BI1955" s="2">
        <v>6.1</v>
      </c>
      <c r="BJ1955" s="2">
        <v>2.6</v>
      </c>
      <c r="BK1955" s="2">
        <v>6.5</v>
      </c>
      <c r="BL1955" s="2">
        <v>134.69</v>
      </c>
      <c r="BM1955" s="2">
        <v>18.86</v>
      </c>
      <c r="BN1955" s="2">
        <v>153.55000000000001</v>
      </c>
      <c r="BO1955" s="2">
        <v>153.55000000000001</v>
      </c>
      <c r="BP1955" s="2"/>
      <c r="BQ1955" s="2" t="s">
        <v>83</v>
      </c>
      <c r="BR1955" s="2" t="s">
        <v>84</v>
      </c>
      <c r="BS1955" s="3">
        <v>42965</v>
      </c>
      <c r="BT1955" s="4">
        <v>0.34722222222222227</v>
      </c>
      <c r="BU1955" s="2" t="s">
        <v>2033</v>
      </c>
      <c r="BV1955" s="2" t="s">
        <v>95</v>
      </c>
      <c r="BW1955" s="2"/>
      <c r="BX1955" s="2"/>
      <c r="BY1955" s="2">
        <v>13176.21</v>
      </c>
      <c r="BZ1955" s="2"/>
      <c r="CA1955" s="2" t="s">
        <v>1163</v>
      </c>
      <c r="CB1955" s="2"/>
      <c r="CC1955" s="2" t="s">
        <v>150</v>
      </c>
      <c r="CD1955" s="2">
        <v>4094</v>
      </c>
      <c r="CE1955" s="2" t="s">
        <v>89</v>
      </c>
      <c r="CF1955" s="5">
        <v>42968</v>
      </c>
      <c r="CG1955" s="2"/>
      <c r="CH1955" s="2"/>
      <c r="CI1955" s="2">
        <v>1</v>
      </c>
      <c r="CJ1955" s="2">
        <v>1</v>
      </c>
      <c r="CK1955" s="2">
        <v>21</v>
      </c>
      <c r="CL1955" s="2" t="s">
        <v>86</v>
      </c>
      <c r="CM1955" s="2"/>
    </row>
    <row r="1956" spans="1:91">
      <c r="A1956" s="2" t="s">
        <v>71</v>
      </c>
      <c r="B1956" s="2" t="s">
        <v>72</v>
      </c>
      <c r="C1956" s="2" t="s">
        <v>73</v>
      </c>
      <c r="D1956" s="2"/>
      <c r="E1956" s="2" t="str">
        <f>"FES1162569567"</f>
        <v>FES1162569567</v>
      </c>
      <c r="F1956" s="3">
        <v>42964</v>
      </c>
      <c r="G1956" s="2">
        <v>201802</v>
      </c>
      <c r="H1956" s="2" t="s">
        <v>74</v>
      </c>
      <c r="I1956" s="2" t="s">
        <v>75</v>
      </c>
      <c r="J1956" s="2" t="s">
        <v>76</v>
      </c>
      <c r="K1956" s="2" t="s">
        <v>77</v>
      </c>
      <c r="L1956" s="2" t="s">
        <v>149</v>
      </c>
      <c r="M1956" s="2" t="s">
        <v>150</v>
      </c>
      <c r="N1956" s="2" t="s">
        <v>2562</v>
      </c>
      <c r="O1956" s="2" t="s">
        <v>100</v>
      </c>
      <c r="P1956" s="2" t="str">
        <f>"2170582899                    "</f>
        <v xml:space="preserve">2170582899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4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1</v>
      </c>
      <c r="BI1956" s="2">
        <v>1</v>
      </c>
      <c r="BJ1956" s="2">
        <v>0.2</v>
      </c>
      <c r="BK1956" s="2">
        <v>1</v>
      </c>
      <c r="BL1956" s="2">
        <v>41.44</v>
      </c>
      <c r="BM1956" s="2">
        <v>5.8</v>
      </c>
      <c r="BN1956" s="2">
        <v>47.24</v>
      </c>
      <c r="BO1956" s="2">
        <v>47.24</v>
      </c>
      <c r="BP1956" s="2"/>
      <c r="BQ1956" s="2" t="s">
        <v>108</v>
      </c>
      <c r="BR1956" s="2" t="s">
        <v>84</v>
      </c>
      <c r="BS1956" s="3">
        <v>42965</v>
      </c>
      <c r="BT1956" s="4">
        <v>0.39583333333333331</v>
      </c>
      <c r="BU1956" s="2" t="s">
        <v>2563</v>
      </c>
      <c r="BV1956" s="2" t="s">
        <v>95</v>
      </c>
      <c r="BW1956" s="2"/>
      <c r="BX1956" s="2"/>
      <c r="BY1956" s="2">
        <v>1200</v>
      </c>
      <c r="BZ1956" s="2" t="s">
        <v>27</v>
      </c>
      <c r="CA1956" s="2" t="s">
        <v>1163</v>
      </c>
      <c r="CB1956" s="2"/>
      <c r="CC1956" s="2" t="s">
        <v>150</v>
      </c>
      <c r="CD1956" s="2">
        <v>4052</v>
      </c>
      <c r="CE1956" s="2" t="s">
        <v>104</v>
      </c>
      <c r="CF1956" s="5">
        <v>42968</v>
      </c>
      <c r="CG1956" s="2"/>
      <c r="CH1956" s="2"/>
      <c r="CI1956" s="2">
        <v>1</v>
      </c>
      <c r="CJ1956" s="2">
        <v>1</v>
      </c>
      <c r="CK1956" s="2">
        <v>21</v>
      </c>
      <c r="CL1956" s="2" t="s">
        <v>86</v>
      </c>
      <c r="CM1956" s="2"/>
    </row>
    <row r="1957" spans="1:91">
      <c r="A1957" s="2" t="s">
        <v>71</v>
      </c>
      <c r="B1957" s="2" t="s">
        <v>72</v>
      </c>
      <c r="C1957" s="2" t="s">
        <v>73</v>
      </c>
      <c r="D1957" s="2"/>
      <c r="E1957" s="2" t="str">
        <f>"FES1162569724"</f>
        <v>FES1162569724</v>
      </c>
      <c r="F1957" s="3">
        <v>42964</v>
      </c>
      <c r="G1957" s="2">
        <v>201802</v>
      </c>
      <c r="H1957" s="2" t="s">
        <v>74</v>
      </c>
      <c r="I1957" s="2" t="s">
        <v>75</v>
      </c>
      <c r="J1957" s="2" t="s">
        <v>76</v>
      </c>
      <c r="K1957" s="2" t="s">
        <v>77</v>
      </c>
      <c r="L1957" s="2" t="s">
        <v>244</v>
      </c>
      <c r="M1957" s="2" t="s">
        <v>245</v>
      </c>
      <c r="N1957" s="2" t="s">
        <v>2564</v>
      </c>
      <c r="O1957" s="2" t="s">
        <v>100</v>
      </c>
      <c r="P1957" s="2" t="str">
        <f>"2170585508                    "</f>
        <v xml:space="preserve">2170585508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3.13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3.8</v>
      </c>
      <c r="BJ1957" s="2">
        <v>5.4</v>
      </c>
      <c r="BK1957" s="2">
        <v>6</v>
      </c>
      <c r="BL1957" s="2">
        <v>32.380000000000003</v>
      </c>
      <c r="BM1957" s="2">
        <v>4.53</v>
      </c>
      <c r="BN1957" s="2">
        <v>36.909999999999997</v>
      </c>
      <c r="BO1957" s="2">
        <v>36.909999999999997</v>
      </c>
      <c r="BP1957" s="2"/>
      <c r="BQ1957" s="2" t="s">
        <v>288</v>
      </c>
      <c r="BR1957" s="2" t="s">
        <v>84</v>
      </c>
      <c r="BS1957" s="3">
        <v>42965</v>
      </c>
      <c r="BT1957" s="4">
        <v>0.3659722222222222</v>
      </c>
      <c r="BU1957" s="2" t="s">
        <v>2565</v>
      </c>
      <c r="BV1957" s="2" t="s">
        <v>95</v>
      </c>
      <c r="BW1957" s="2"/>
      <c r="BX1957" s="2"/>
      <c r="BY1957" s="2">
        <v>27026.81</v>
      </c>
      <c r="BZ1957" s="2"/>
      <c r="CA1957" s="2" t="s">
        <v>499</v>
      </c>
      <c r="CB1957" s="2"/>
      <c r="CC1957" s="2" t="s">
        <v>245</v>
      </c>
      <c r="CD1957" s="2">
        <v>1459</v>
      </c>
      <c r="CE1957" s="2" t="s">
        <v>89</v>
      </c>
      <c r="CF1957" s="5">
        <v>42968</v>
      </c>
      <c r="CG1957" s="2"/>
      <c r="CH1957" s="2"/>
      <c r="CI1957" s="2">
        <v>1</v>
      </c>
      <c r="CJ1957" s="2">
        <v>1</v>
      </c>
      <c r="CK1957" s="2">
        <v>22</v>
      </c>
      <c r="CL1957" s="2" t="s">
        <v>86</v>
      </c>
      <c r="CM1957" s="2"/>
    </row>
    <row r="1958" spans="1:91">
      <c r="A1958" s="2" t="s">
        <v>71</v>
      </c>
      <c r="B1958" s="2" t="s">
        <v>72</v>
      </c>
      <c r="C1958" s="2" t="s">
        <v>73</v>
      </c>
      <c r="D1958" s="2"/>
      <c r="E1958" s="2" t="str">
        <f>"FES1162569631"</f>
        <v>FES1162569631</v>
      </c>
      <c r="F1958" s="3">
        <v>42964</v>
      </c>
      <c r="G1958" s="2">
        <v>201802</v>
      </c>
      <c r="H1958" s="2" t="s">
        <v>74</v>
      </c>
      <c r="I1958" s="2" t="s">
        <v>75</v>
      </c>
      <c r="J1958" s="2" t="s">
        <v>76</v>
      </c>
      <c r="K1958" s="2" t="s">
        <v>77</v>
      </c>
      <c r="L1958" s="2" t="s">
        <v>339</v>
      </c>
      <c r="M1958" s="2" t="s">
        <v>340</v>
      </c>
      <c r="N1958" s="2" t="s">
        <v>613</v>
      </c>
      <c r="O1958" s="2" t="s">
        <v>100</v>
      </c>
      <c r="P1958" s="2" t="str">
        <f>"2170583269                    "</f>
        <v xml:space="preserve">2170583269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4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1</v>
      </c>
      <c r="BI1958" s="2">
        <v>1</v>
      </c>
      <c r="BJ1958" s="2">
        <v>0.2</v>
      </c>
      <c r="BK1958" s="2">
        <v>1</v>
      </c>
      <c r="BL1958" s="2">
        <v>41.44</v>
      </c>
      <c r="BM1958" s="2">
        <v>5.8</v>
      </c>
      <c r="BN1958" s="2">
        <v>47.24</v>
      </c>
      <c r="BO1958" s="2">
        <v>47.24</v>
      </c>
      <c r="BP1958" s="2"/>
      <c r="BQ1958" s="2" t="s">
        <v>108</v>
      </c>
      <c r="BR1958" s="2" t="s">
        <v>84</v>
      </c>
      <c r="BS1958" s="3">
        <v>42965</v>
      </c>
      <c r="BT1958" s="4">
        <v>0.4368055555555555</v>
      </c>
      <c r="BU1958" s="2" t="s">
        <v>2566</v>
      </c>
      <c r="BV1958" s="2" t="s">
        <v>95</v>
      </c>
      <c r="BW1958" s="2"/>
      <c r="BX1958" s="2"/>
      <c r="BY1958" s="2">
        <v>1200</v>
      </c>
      <c r="BZ1958" s="2" t="s">
        <v>27</v>
      </c>
      <c r="CA1958" s="2" t="s">
        <v>2236</v>
      </c>
      <c r="CB1958" s="2"/>
      <c r="CC1958" s="2" t="s">
        <v>340</v>
      </c>
      <c r="CD1958" s="2">
        <v>1947</v>
      </c>
      <c r="CE1958" s="2" t="s">
        <v>104</v>
      </c>
      <c r="CF1958" s="5">
        <v>42968</v>
      </c>
      <c r="CG1958" s="2"/>
      <c r="CH1958" s="2"/>
      <c r="CI1958" s="2">
        <v>1</v>
      </c>
      <c r="CJ1958" s="2">
        <v>1</v>
      </c>
      <c r="CK1958" s="2">
        <v>21</v>
      </c>
      <c r="CL1958" s="2" t="s">
        <v>86</v>
      </c>
      <c r="CM1958" s="2"/>
    </row>
    <row r="1959" spans="1:91">
      <c r="A1959" s="2" t="s">
        <v>71</v>
      </c>
      <c r="B1959" s="2" t="s">
        <v>72</v>
      </c>
      <c r="C1959" s="2" t="s">
        <v>73</v>
      </c>
      <c r="D1959" s="2"/>
      <c r="E1959" s="2" t="str">
        <f>"FES1162569578"</f>
        <v>FES1162569578</v>
      </c>
      <c r="F1959" s="3">
        <v>42964</v>
      </c>
      <c r="G1959" s="2">
        <v>201802</v>
      </c>
      <c r="H1959" s="2" t="s">
        <v>74</v>
      </c>
      <c r="I1959" s="2" t="s">
        <v>75</v>
      </c>
      <c r="J1959" s="2" t="s">
        <v>76</v>
      </c>
      <c r="K1959" s="2" t="s">
        <v>77</v>
      </c>
      <c r="L1959" s="2" t="s">
        <v>939</v>
      </c>
      <c r="M1959" s="2" t="s">
        <v>940</v>
      </c>
      <c r="N1959" s="2" t="s">
        <v>2567</v>
      </c>
      <c r="O1959" s="2" t="s">
        <v>100</v>
      </c>
      <c r="P1959" s="2" t="str">
        <f>"2170583505                    "</f>
        <v xml:space="preserve">2170583505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5.63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1</v>
      </c>
      <c r="BI1959" s="2">
        <v>1</v>
      </c>
      <c r="BJ1959" s="2">
        <v>0.2</v>
      </c>
      <c r="BK1959" s="2">
        <v>1</v>
      </c>
      <c r="BL1959" s="2">
        <v>58.28</v>
      </c>
      <c r="BM1959" s="2">
        <v>8.16</v>
      </c>
      <c r="BN1959" s="2">
        <v>66.44</v>
      </c>
      <c r="BO1959" s="2">
        <v>66.44</v>
      </c>
      <c r="BP1959" s="2"/>
      <c r="BQ1959" s="2" t="s">
        <v>108</v>
      </c>
      <c r="BR1959" s="2" t="s">
        <v>84</v>
      </c>
      <c r="BS1959" s="3">
        <v>42968</v>
      </c>
      <c r="BT1959" s="4">
        <v>0.65972222222222221</v>
      </c>
      <c r="BU1959" s="2" t="s">
        <v>2568</v>
      </c>
      <c r="BV1959" s="2" t="s">
        <v>95</v>
      </c>
      <c r="BW1959" s="2"/>
      <c r="BX1959" s="2"/>
      <c r="BY1959" s="2">
        <v>1200</v>
      </c>
      <c r="BZ1959" s="2" t="s">
        <v>27</v>
      </c>
      <c r="CA1959" s="2" t="s">
        <v>943</v>
      </c>
      <c r="CB1959" s="2"/>
      <c r="CC1959" s="2" t="s">
        <v>940</v>
      </c>
      <c r="CD1959" s="2">
        <v>1020</v>
      </c>
      <c r="CE1959" s="2" t="s">
        <v>104</v>
      </c>
      <c r="CF1959" s="5">
        <v>42969</v>
      </c>
      <c r="CG1959" s="2"/>
      <c r="CH1959" s="2"/>
      <c r="CI1959" s="2">
        <v>2</v>
      </c>
      <c r="CJ1959" s="2">
        <v>2</v>
      </c>
      <c r="CK1959" s="2">
        <v>24</v>
      </c>
      <c r="CL1959" s="2" t="s">
        <v>86</v>
      </c>
      <c r="CM1959" s="2"/>
    </row>
    <row r="1960" spans="1:91">
      <c r="A1960" s="2" t="s">
        <v>71</v>
      </c>
      <c r="B1960" s="2" t="s">
        <v>72</v>
      </c>
      <c r="C1960" s="2" t="s">
        <v>73</v>
      </c>
      <c r="D1960" s="2"/>
      <c r="E1960" s="2" t="str">
        <f>"FES1162569758"</f>
        <v>FES1162569758</v>
      </c>
      <c r="F1960" s="3">
        <v>42964</v>
      </c>
      <c r="G1960" s="2">
        <v>201802</v>
      </c>
      <c r="H1960" s="2" t="s">
        <v>74</v>
      </c>
      <c r="I1960" s="2" t="s">
        <v>75</v>
      </c>
      <c r="J1960" s="2" t="s">
        <v>76</v>
      </c>
      <c r="K1960" s="2" t="s">
        <v>77</v>
      </c>
      <c r="L1960" s="2" t="s">
        <v>105</v>
      </c>
      <c r="M1960" s="2" t="s">
        <v>106</v>
      </c>
      <c r="N1960" s="2" t="s">
        <v>746</v>
      </c>
      <c r="O1960" s="2" t="s">
        <v>100</v>
      </c>
      <c r="P1960" s="2" t="str">
        <f>"2170585352                    "</f>
        <v xml:space="preserve">2170585352  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4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1</v>
      </c>
      <c r="BJ1960" s="2">
        <v>0.2</v>
      </c>
      <c r="BK1960" s="2">
        <v>1</v>
      </c>
      <c r="BL1960" s="2">
        <v>41.44</v>
      </c>
      <c r="BM1960" s="2">
        <v>5.8</v>
      </c>
      <c r="BN1960" s="2">
        <v>47.24</v>
      </c>
      <c r="BO1960" s="2">
        <v>47.24</v>
      </c>
      <c r="BP1960" s="2"/>
      <c r="BQ1960" s="2" t="s">
        <v>108</v>
      </c>
      <c r="BR1960" s="2" t="s">
        <v>84</v>
      </c>
      <c r="BS1960" s="3">
        <v>42965</v>
      </c>
      <c r="BT1960" s="4">
        <v>0.34930555555555554</v>
      </c>
      <c r="BU1960" s="2" t="s">
        <v>1349</v>
      </c>
      <c r="BV1960" s="2" t="s">
        <v>95</v>
      </c>
      <c r="BW1960" s="2"/>
      <c r="BX1960" s="2"/>
      <c r="BY1960" s="2">
        <v>1200</v>
      </c>
      <c r="BZ1960" s="2"/>
      <c r="CA1960" s="2" t="s">
        <v>1308</v>
      </c>
      <c r="CB1960" s="2"/>
      <c r="CC1960" s="2" t="s">
        <v>106</v>
      </c>
      <c r="CD1960" s="2">
        <v>7441</v>
      </c>
      <c r="CE1960" s="2" t="s">
        <v>104</v>
      </c>
      <c r="CF1960" s="5">
        <v>42968</v>
      </c>
      <c r="CG1960" s="2"/>
      <c r="CH1960" s="2"/>
      <c r="CI1960" s="2">
        <v>1</v>
      </c>
      <c r="CJ1960" s="2">
        <v>1</v>
      </c>
      <c r="CK1960" s="2">
        <v>21</v>
      </c>
      <c r="CL1960" s="2" t="s">
        <v>86</v>
      </c>
      <c r="CM1960" s="2"/>
    </row>
    <row r="1961" spans="1:91">
      <c r="A1961" s="2" t="s">
        <v>71</v>
      </c>
      <c r="B1961" s="2" t="s">
        <v>72</v>
      </c>
      <c r="C1961" s="2" t="s">
        <v>73</v>
      </c>
      <c r="D1961" s="2"/>
      <c r="E1961" s="2" t="str">
        <f>"FES1162569677"</f>
        <v>FES1162569677</v>
      </c>
      <c r="F1961" s="3">
        <v>42964</v>
      </c>
      <c r="G1961" s="2">
        <v>201802</v>
      </c>
      <c r="H1961" s="2" t="s">
        <v>74</v>
      </c>
      <c r="I1961" s="2" t="s">
        <v>75</v>
      </c>
      <c r="J1961" s="2" t="s">
        <v>76</v>
      </c>
      <c r="K1961" s="2" t="s">
        <v>77</v>
      </c>
      <c r="L1961" s="2" t="s">
        <v>268</v>
      </c>
      <c r="M1961" s="2" t="s">
        <v>269</v>
      </c>
      <c r="N1961" s="2" t="s">
        <v>493</v>
      </c>
      <c r="O1961" s="2" t="s">
        <v>100</v>
      </c>
      <c r="P1961" s="2" t="str">
        <f>"2170583254                    "</f>
        <v xml:space="preserve">2170583254                    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4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1</v>
      </c>
      <c r="BJ1961" s="2">
        <v>0.2</v>
      </c>
      <c r="BK1961" s="2">
        <v>1</v>
      </c>
      <c r="BL1961" s="2">
        <v>41.44</v>
      </c>
      <c r="BM1961" s="2">
        <v>5.8</v>
      </c>
      <c r="BN1961" s="2">
        <v>47.24</v>
      </c>
      <c r="BO1961" s="2">
        <v>47.24</v>
      </c>
      <c r="BP1961" s="2"/>
      <c r="BQ1961" s="2" t="s">
        <v>288</v>
      </c>
      <c r="BR1961" s="2" t="s">
        <v>84</v>
      </c>
      <c r="BS1961" s="3">
        <v>42965</v>
      </c>
      <c r="BT1961" s="4">
        <v>0.41666666666666669</v>
      </c>
      <c r="BU1961" s="2" t="s">
        <v>1147</v>
      </c>
      <c r="BV1961" s="2" t="s">
        <v>95</v>
      </c>
      <c r="BW1961" s="2"/>
      <c r="BX1961" s="2"/>
      <c r="BY1961" s="2">
        <v>1200</v>
      </c>
      <c r="BZ1961" s="2" t="s">
        <v>27</v>
      </c>
      <c r="CA1961" s="2"/>
      <c r="CB1961" s="2"/>
      <c r="CC1961" s="2" t="s">
        <v>269</v>
      </c>
      <c r="CD1961" s="2">
        <v>200</v>
      </c>
      <c r="CE1961" s="2" t="s">
        <v>104</v>
      </c>
      <c r="CF1961" s="5">
        <v>42968</v>
      </c>
      <c r="CG1961" s="2"/>
      <c r="CH1961" s="2"/>
      <c r="CI1961" s="2">
        <v>1</v>
      </c>
      <c r="CJ1961" s="2">
        <v>1</v>
      </c>
      <c r="CK1961" s="2">
        <v>21</v>
      </c>
      <c r="CL1961" s="2" t="s">
        <v>86</v>
      </c>
      <c r="CM1961" s="2"/>
    </row>
    <row r="1962" spans="1:91">
      <c r="A1962" s="2" t="s">
        <v>71</v>
      </c>
      <c r="B1962" s="2" t="s">
        <v>72</v>
      </c>
      <c r="C1962" s="2" t="s">
        <v>73</v>
      </c>
      <c r="D1962" s="2"/>
      <c r="E1962" s="2" t="str">
        <f>"FES1162569762"</f>
        <v>FES1162569762</v>
      </c>
      <c r="F1962" s="3">
        <v>42964</v>
      </c>
      <c r="G1962" s="2">
        <v>201802</v>
      </c>
      <c r="H1962" s="2" t="s">
        <v>74</v>
      </c>
      <c r="I1962" s="2" t="s">
        <v>75</v>
      </c>
      <c r="J1962" s="2" t="s">
        <v>76</v>
      </c>
      <c r="K1962" s="2" t="s">
        <v>77</v>
      </c>
      <c r="L1962" s="2" t="s">
        <v>105</v>
      </c>
      <c r="M1962" s="2" t="s">
        <v>106</v>
      </c>
      <c r="N1962" s="2" t="s">
        <v>705</v>
      </c>
      <c r="O1962" s="2" t="s">
        <v>100</v>
      </c>
      <c r="P1962" s="2" t="str">
        <f>"2170585353                    "</f>
        <v xml:space="preserve">2170585353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6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2.6</v>
      </c>
      <c r="BJ1962" s="2">
        <v>1.9</v>
      </c>
      <c r="BK1962" s="2">
        <v>3</v>
      </c>
      <c r="BL1962" s="2">
        <v>62.16</v>
      </c>
      <c r="BM1962" s="2">
        <v>8.6999999999999993</v>
      </c>
      <c r="BN1962" s="2">
        <v>70.86</v>
      </c>
      <c r="BO1962" s="2">
        <v>70.86</v>
      </c>
      <c r="BP1962" s="2"/>
      <c r="BQ1962" s="2" t="s">
        <v>108</v>
      </c>
      <c r="BR1962" s="2" t="s">
        <v>84</v>
      </c>
      <c r="BS1962" s="3">
        <v>42965</v>
      </c>
      <c r="BT1962" s="4">
        <v>0.38472222222222219</v>
      </c>
      <c r="BU1962" s="2" t="s">
        <v>706</v>
      </c>
      <c r="BV1962" s="2" t="s">
        <v>95</v>
      </c>
      <c r="BW1962" s="2"/>
      <c r="BX1962" s="2"/>
      <c r="BY1962" s="2">
        <v>9540.89</v>
      </c>
      <c r="BZ1962" s="2"/>
      <c r="CA1962" s="2" t="s">
        <v>291</v>
      </c>
      <c r="CB1962" s="2"/>
      <c r="CC1962" s="2" t="s">
        <v>106</v>
      </c>
      <c r="CD1962" s="2">
        <v>7441</v>
      </c>
      <c r="CE1962" s="2" t="s">
        <v>89</v>
      </c>
      <c r="CF1962" s="5">
        <v>42968</v>
      </c>
      <c r="CG1962" s="2"/>
      <c r="CH1962" s="2"/>
      <c r="CI1962" s="2">
        <v>1</v>
      </c>
      <c r="CJ1962" s="2">
        <v>1</v>
      </c>
      <c r="CK1962" s="2">
        <v>21</v>
      </c>
      <c r="CL1962" s="2" t="s">
        <v>86</v>
      </c>
      <c r="CM1962" s="2"/>
    </row>
    <row r="1963" spans="1:91">
      <c r="A1963" s="2" t="s">
        <v>71</v>
      </c>
      <c r="B1963" s="2" t="s">
        <v>72</v>
      </c>
      <c r="C1963" s="2" t="s">
        <v>73</v>
      </c>
      <c r="D1963" s="2"/>
      <c r="E1963" s="2" t="str">
        <f>"FES1162569872"</f>
        <v>FES1162569872</v>
      </c>
      <c r="F1963" s="3">
        <v>42964</v>
      </c>
      <c r="G1963" s="2">
        <v>201802</v>
      </c>
      <c r="H1963" s="2" t="s">
        <v>74</v>
      </c>
      <c r="I1963" s="2" t="s">
        <v>75</v>
      </c>
      <c r="J1963" s="2" t="s">
        <v>76</v>
      </c>
      <c r="K1963" s="2" t="s">
        <v>77</v>
      </c>
      <c r="L1963" s="2" t="s">
        <v>97</v>
      </c>
      <c r="M1963" s="2" t="s">
        <v>98</v>
      </c>
      <c r="N1963" s="2" t="s">
        <v>500</v>
      </c>
      <c r="O1963" s="2" t="s">
        <v>100</v>
      </c>
      <c r="P1963" s="2" t="str">
        <f>"2170585679                    "</f>
        <v xml:space="preserve">2170585679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4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1</v>
      </c>
      <c r="BJ1963" s="2">
        <v>0.2</v>
      </c>
      <c r="BK1963" s="2">
        <v>1</v>
      </c>
      <c r="BL1963" s="2">
        <v>41.44</v>
      </c>
      <c r="BM1963" s="2">
        <v>5.8</v>
      </c>
      <c r="BN1963" s="2">
        <v>47.24</v>
      </c>
      <c r="BO1963" s="2">
        <v>47.24</v>
      </c>
      <c r="BP1963" s="2"/>
      <c r="BQ1963" s="2" t="s">
        <v>108</v>
      </c>
      <c r="BR1963" s="2" t="s">
        <v>84</v>
      </c>
      <c r="BS1963" s="3">
        <v>42965</v>
      </c>
      <c r="BT1963" s="4">
        <v>0.35416666666666669</v>
      </c>
      <c r="BU1963" s="2" t="s">
        <v>501</v>
      </c>
      <c r="BV1963" s="2" t="s">
        <v>95</v>
      </c>
      <c r="BW1963" s="2"/>
      <c r="BX1963" s="2"/>
      <c r="BY1963" s="2">
        <v>1200</v>
      </c>
      <c r="BZ1963" s="2"/>
      <c r="CA1963" s="2" t="s">
        <v>294</v>
      </c>
      <c r="CB1963" s="2"/>
      <c r="CC1963" s="2" t="s">
        <v>98</v>
      </c>
      <c r="CD1963" s="2">
        <v>6001</v>
      </c>
      <c r="CE1963" s="2" t="s">
        <v>104</v>
      </c>
      <c r="CF1963" s="5">
        <v>42968</v>
      </c>
      <c r="CG1963" s="2"/>
      <c r="CH1963" s="2"/>
      <c r="CI1963" s="2">
        <v>1</v>
      </c>
      <c r="CJ1963" s="2">
        <v>1</v>
      </c>
      <c r="CK1963" s="2">
        <v>21</v>
      </c>
      <c r="CL1963" s="2" t="s">
        <v>86</v>
      </c>
      <c r="CM1963" s="2"/>
    </row>
    <row r="1964" spans="1:91">
      <c r="A1964" s="2" t="s">
        <v>71</v>
      </c>
      <c r="B1964" s="2" t="s">
        <v>72</v>
      </c>
      <c r="C1964" s="2" t="s">
        <v>73</v>
      </c>
      <c r="D1964" s="2"/>
      <c r="E1964" s="2" t="str">
        <f>"FES1162569805"</f>
        <v>FES1162569805</v>
      </c>
      <c r="F1964" s="3">
        <v>42964</v>
      </c>
      <c r="G1964" s="2">
        <v>201802</v>
      </c>
      <c r="H1964" s="2" t="s">
        <v>74</v>
      </c>
      <c r="I1964" s="2" t="s">
        <v>75</v>
      </c>
      <c r="J1964" s="2" t="s">
        <v>76</v>
      </c>
      <c r="K1964" s="2" t="s">
        <v>77</v>
      </c>
      <c r="L1964" s="2" t="s">
        <v>97</v>
      </c>
      <c r="M1964" s="2" t="s">
        <v>98</v>
      </c>
      <c r="N1964" s="2" t="s">
        <v>250</v>
      </c>
      <c r="O1964" s="2" t="s">
        <v>100</v>
      </c>
      <c r="P1964" s="2" t="str">
        <f>"2170585593                    "</f>
        <v xml:space="preserve">2170585593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4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1</v>
      </c>
      <c r="BJ1964" s="2">
        <v>0.2</v>
      </c>
      <c r="BK1964" s="2">
        <v>1</v>
      </c>
      <c r="BL1964" s="2">
        <v>41.44</v>
      </c>
      <c r="BM1964" s="2">
        <v>5.8</v>
      </c>
      <c r="BN1964" s="2">
        <v>47.24</v>
      </c>
      <c r="BO1964" s="2">
        <v>47.24</v>
      </c>
      <c r="BP1964" s="2"/>
      <c r="BQ1964" s="2" t="s">
        <v>288</v>
      </c>
      <c r="BR1964" s="2" t="s">
        <v>84</v>
      </c>
      <c r="BS1964" s="3">
        <v>42965</v>
      </c>
      <c r="BT1964" s="4">
        <v>0.4236111111111111</v>
      </c>
      <c r="BU1964" s="2" t="s">
        <v>251</v>
      </c>
      <c r="BV1964" s="2" t="s">
        <v>95</v>
      </c>
      <c r="BW1964" s="2"/>
      <c r="BX1964" s="2"/>
      <c r="BY1964" s="2">
        <v>1200</v>
      </c>
      <c r="BZ1964" s="2" t="s">
        <v>27</v>
      </c>
      <c r="CA1964" s="2" t="s">
        <v>294</v>
      </c>
      <c r="CB1964" s="2"/>
      <c r="CC1964" s="2" t="s">
        <v>98</v>
      </c>
      <c r="CD1964" s="2">
        <v>6012</v>
      </c>
      <c r="CE1964" s="2" t="s">
        <v>104</v>
      </c>
      <c r="CF1964" s="5">
        <v>42968</v>
      </c>
      <c r="CG1964" s="2"/>
      <c r="CH1964" s="2"/>
      <c r="CI1964" s="2">
        <v>1</v>
      </c>
      <c r="CJ1964" s="2">
        <v>1</v>
      </c>
      <c r="CK1964" s="2">
        <v>21</v>
      </c>
      <c r="CL1964" s="2" t="s">
        <v>86</v>
      </c>
      <c r="CM1964" s="2"/>
    </row>
    <row r="1965" spans="1:91">
      <c r="A1965" s="2" t="s">
        <v>71</v>
      </c>
      <c r="B1965" s="2" t="s">
        <v>72</v>
      </c>
      <c r="C1965" s="2" t="s">
        <v>73</v>
      </c>
      <c r="D1965" s="2"/>
      <c r="E1965" s="2" t="str">
        <f>"FES1162569853"</f>
        <v>FES1162569853</v>
      </c>
      <c r="F1965" s="3">
        <v>42964</v>
      </c>
      <c r="G1965" s="2">
        <v>201802</v>
      </c>
      <c r="H1965" s="2" t="s">
        <v>74</v>
      </c>
      <c r="I1965" s="2" t="s">
        <v>75</v>
      </c>
      <c r="J1965" s="2" t="s">
        <v>76</v>
      </c>
      <c r="K1965" s="2" t="s">
        <v>77</v>
      </c>
      <c r="L1965" s="2" t="s">
        <v>74</v>
      </c>
      <c r="M1965" s="2" t="s">
        <v>75</v>
      </c>
      <c r="N1965" s="2" t="s">
        <v>2324</v>
      </c>
      <c r="O1965" s="2" t="s">
        <v>100</v>
      </c>
      <c r="P1965" s="2" t="str">
        <f>"2170585650                    "</f>
        <v xml:space="preserve">2170585650                    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3.13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1</v>
      </c>
      <c r="BI1965" s="2">
        <v>1</v>
      </c>
      <c r="BJ1965" s="2">
        <v>0.2</v>
      </c>
      <c r="BK1965" s="2">
        <v>1</v>
      </c>
      <c r="BL1965" s="2">
        <v>32.380000000000003</v>
      </c>
      <c r="BM1965" s="2">
        <v>4.53</v>
      </c>
      <c r="BN1965" s="2">
        <v>36.909999999999997</v>
      </c>
      <c r="BO1965" s="2">
        <v>36.909999999999997</v>
      </c>
      <c r="BP1965" s="2"/>
      <c r="BQ1965" s="2" t="s">
        <v>2569</v>
      </c>
      <c r="BR1965" s="2" t="s">
        <v>84</v>
      </c>
      <c r="BS1965" s="3">
        <v>42965</v>
      </c>
      <c r="BT1965" s="4">
        <v>0.41250000000000003</v>
      </c>
      <c r="BU1965" s="2" t="s">
        <v>2570</v>
      </c>
      <c r="BV1965" s="2" t="s">
        <v>95</v>
      </c>
      <c r="BW1965" s="2"/>
      <c r="BX1965" s="2"/>
      <c r="BY1965" s="2">
        <v>1200</v>
      </c>
      <c r="BZ1965" s="2"/>
      <c r="CA1965" s="2" t="s">
        <v>2527</v>
      </c>
      <c r="CB1965" s="2"/>
      <c r="CC1965" s="2" t="s">
        <v>75</v>
      </c>
      <c r="CD1965" s="2">
        <v>1600</v>
      </c>
      <c r="CE1965" s="2" t="s">
        <v>104</v>
      </c>
      <c r="CF1965" s="5">
        <v>42968</v>
      </c>
      <c r="CG1965" s="2"/>
      <c r="CH1965" s="2"/>
      <c r="CI1965" s="2">
        <v>1</v>
      </c>
      <c r="CJ1965" s="2">
        <v>1</v>
      </c>
      <c r="CK1965" s="2">
        <v>22</v>
      </c>
      <c r="CL1965" s="2" t="s">
        <v>86</v>
      </c>
      <c r="CM1965" s="2"/>
    </row>
    <row r="1966" spans="1:91">
      <c r="A1966" s="2" t="s">
        <v>71</v>
      </c>
      <c r="B1966" s="2" t="s">
        <v>72</v>
      </c>
      <c r="C1966" s="2" t="s">
        <v>73</v>
      </c>
      <c r="D1966" s="2"/>
      <c r="E1966" s="2" t="str">
        <f>"FES1162569768"</f>
        <v>FES1162569768</v>
      </c>
      <c r="F1966" s="3">
        <v>42964</v>
      </c>
      <c r="G1966" s="2">
        <v>201802</v>
      </c>
      <c r="H1966" s="2" t="s">
        <v>74</v>
      </c>
      <c r="I1966" s="2" t="s">
        <v>75</v>
      </c>
      <c r="J1966" s="2" t="s">
        <v>76</v>
      </c>
      <c r="K1966" s="2" t="s">
        <v>77</v>
      </c>
      <c r="L1966" s="2" t="s">
        <v>174</v>
      </c>
      <c r="M1966" s="2" t="s">
        <v>175</v>
      </c>
      <c r="N1966" s="2" t="s">
        <v>920</v>
      </c>
      <c r="O1966" s="2" t="s">
        <v>100</v>
      </c>
      <c r="P1966" s="2" t="str">
        <f>"2170585533                    "</f>
        <v xml:space="preserve">2170585533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4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1</v>
      </c>
      <c r="BI1966" s="2">
        <v>1</v>
      </c>
      <c r="BJ1966" s="2">
        <v>0.2</v>
      </c>
      <c r="BK1966" s="2">
        <v>1</v>
      </c>
      <c r="BL1966" s="2">
        <v>41.44</v>
      </c>
      <c r="BM1966" s="2">
        <v>5.8</v>
      </c>
      <c r="BN1966" s="2">
        <v>47.24</v>
      </c>
      <c r="BO1966" s="2">
        <v>47.24</v>
      </c>
      <c r="BP1966" s="2"/>
      <c r="BQ1966" s="2" t="s">
        <v>108</v>
      </c>
      <c r="BR1966" s="2" t="s">
        <v>84</v>
      </c>
      <c r="BS1966" s="3">
        <v>42965</v>
      </c>
      <c r="BT1966" s="4">
        <v>0.5</v>
      </c>
      <c r="BU1966" s="2" t="s">
        <v>2571</v>
      </c>
      <c r="BV1966" s="2" t="s">
        <v>95</v>
      </c>
      <c r="BW1966" s="2"/>
      <c r="BX1966" s="2"/>
      <c r="BY1966" s="2">
        <v>1200</v>
      </c>
      <c r="BZ1966" s="2" t="s">
        <v>27</v>
      </c>
      <c r="CA1966" s="2"/>
      <c r="CB1966" s="2"/>
      <c r="CC1966" s="2" t="s">
        <v>175</v>
      </c>
      <c r="CD1966" s="2">
        <v>5201</v>
      </c>
      <c r="CE1966" s="2" t="s">
        <v>104</v>
      </c>
      <c r="CF1966" s="5">
        <v>42968</v>
      </c>
      <c r="CG1966" s="2"/>
      <c r="CH1966" s="2"/>
      <c r="CI1966" s="2">
        <v>1</v>
      </c>
      <c r="CJ1966" s="2">
        <v>1</v>
      </c>
      <c r="CK1966" s="2">
        <v>21</v>
      </c>
      <c r="CL1966" s="2" t="s">
        <v>86</v>
      </c>
      <c r="CM1966" s="2"/>
    </row>
    <row r="1967" spans="1:91">
      <c r="A1967" s="2" t="s">
        <v>71</v>
      </c>
      <c r="B1967" s="2" t="s">
        <v>72</v>
      </c>
      <c r="C1967" s="2" t="s">
        <v>73</v>
      </c>
      <c r="D1967" s="2"/>
      <c r="E1967" s="2" t="str">
        <f>"FES1162569691"</f>
        <v>FES1162569691</v>
      </c>
      <c r="F1967" s="3">
        <v>42964</v>
      </c>
      <c r="G1967" s="2">
        <v>201802</v>
      </c>
      <c r="H1967" s="2" t="s">
        <v>74</v>
      </c>
      <c r="I1967" s="2" t="s">
        <v>75</v>
      </c>
      <c r="J1967" s="2" t="s">
        <v>76</v>
      </c>
      <c r="K1967" s="2" t="s">
        <v>77</v>
      </c>
      <c r="L1967" s="2" t="s">
        <v>74</v>
      </c>
      <c r="M1967" s="2" t="s">
        <v>75</v>
      </c>
      <c r="N1967" s="2" t="s">
        <v>407</v>
      </c>
      <c r="O1967" s="2" t="s">
        <v>100</v>
      </c>
      <c r="P1967" s="2" t="str">
        <f>"2170582246                    "</f>
        <v xml:space="preserve">2170582246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3.13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1</v>
      </c>
      <c r="BJ1967" s="2">
        <v>0.2</v>
      </c>
      <c r="BK1967" s="2">
        <v>1</v>
      </c>
      <c r="BL1967" s="2">
        <v>32.380000000000003</v>
      </c>
      <c r="BM1967" s="2">
        <v>4.53</v>
      </c>
      <c r="BN1967" s="2">
        <v>36.909999999999997</v>
      </c>
      <c r="BO1967" s="2">
        <v>36.909999999999997</v>
      </c>
      <c r="BP1967" s="2"/>
      <c r="BQ1967" s="2" t="s">
        <v>108</v>
      </c>
      <c r="BR1967" s="2" t="s">
        <v>84</v>
      </c>
      <c r="BS1967" s="3">
        <v>42965</v>
      </c>
      <c r="BT1967" s="4">
        <v>0.33333333333333331</v>
      </c>
      <c r="BU1967" s="2" t="s">
        <v>1793</v>
      </c>
      <c r="BV1967" s="2" t="s">
        <v>95</v>
      </c>
      <c r="BW1967" s="2"/>
      <c r="BX1967" s="2"/>
      <c r="BY1967" s="2">
        <v>1200</v>
      </c>
      <c r="BZ1967" s="2"/>
      <c r="CA1967" s="2" t="s">
        <v>709</v>
      </c>
      <c r="CB1967" s="2"/>
      <c r="CC1967" s="2" t="s">
        <v>75</v>
      </c>
      <c r="CD1967" s="2">
        <v>1645</v>
      </c>
      <c r="CE1967" s="2" t="s">
        <v>104</v>
      </c>
      <c r="CF1967" s="5">
        <v>42968</v>
      </c>
      <c r="CG1967" s="2"/>
      <c r="CH1967" s="2"/>
      <c r="CI1967" s="2">
        <v>1</v>
      </c>
      <c r="CJ1967" s="2">
        <v>1</v>
      </c>
      <c r="CK1967" s="2">
        <v>22</v>
      </c>
      <c r="CL1967" s="2" t="s">
        <v>86</v>
      </c>
      <c r="CM1967" s="2"/>
    </row>
    <row r="1968" spans="1:91">
      <c r="A1968" s="2" t="s">
        <v>71</v>
      </c>
      <c r="B1968" s="2" t="s">
        <v>72</v>
      </c>
      <c r="C1968" s="2" t="s">
        <v>73</v>
      </c>
      <c r="D1968" s="2"/>
      <c r="E1968" s="2" t="str">
        <f>"FES1162569683"</f>
        <v>FES1162569683</v>
      </c>
      <c r="F1968" s="3">
        <v>42964</v>
      </c>
      <c r="G1968" s="2">
        <v>201802</v>
      </c>
      <c r="H1968" s="2" t="s">
        <v>74</v>
      </c>
      <c r="I1968" s="2" t="s">
        <v>75</v>
      </c>
      <c r="J1968" s="2" t="s">
        <v>76</v>
      </c>
      <c r="K1968" s="2" t="s">
        <v>77</v>
      </c>
      <c r="L1968" s="2" t="s">
        <v>446</v>
      </c>
      <c r="M1968" s="2" t="s">
        <v>447</v>
      </c>
      <c r="N1968" s="2" t="s">
        <v>515</v>
      </c>
      <c r="O1968" s="2" t="s">
        <v>100</v>
      </c>
      <c r="P1968" s="2" t="str">
        <f>"2170585461                    "</f>
        <v xml:space="preserve">2170585461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5.63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1</v>
      </c>
      <c r="BI1968" s="2">
        <v>1</v>
      </c>
      <c r="BJ1968" s="2">
        <v>0.2</v>
      </c>
      <c r="BK1968" s="2">
        <v>1</v>
      </c>
      <c r="BL1968" s="2">
        <v>58.28</v>
      </c>
      <c r="BM1968" s="2">
        <v>8.16</v>
      </c>
      <c r="BN1968" s="2">
        <v>66.44</v>
      </c>
      <c r="BO1968" s="2">
        <v>66.44</v>
      </c>
      <c r="BP1968" s="2"/>
      <c r="BQ1968" s="2" t="s">
        <v>83</v>
      </c>
      <c r="BR1968" s="2" t="s">
        <v>84</v>
      </c>
      <c r="BS1968" s="3">
        <v>42965</v>
      </c>
      <c r="BT1968" s="4">
        <v>0.41666666666666669</v>
      </c>
      <c r="BU1968" s="2" t="s">
        <v>516</v>
      </c>
      <c r="BV1968" s="2" t="s">
        <v>95</v>
      </c>
      <c r="BW1968" s="2"/>
      <c r="BX1968" s="2"/>
      <c r="BY1968" s="2">
        <v>1200</v>
      </c>
      <c r="BZ1968" s="2" t="s">
        <v>27</v>
      </c>
      <c r="CA1968" s="2"/>
      <c r="CB1968" s="2"/>
      <c r="CC1968" s="2" t="s">
        <v>447</v>
      </c>
      <c r="CD1968" s="2">
        <v>1760</v>
      </c>
      <c r="CE1968" s="2" t="s">
        <v>104</v>
      </c>
      <c r="CF1968" s="5">
        <v>42968</v>
      </c>
      <c r="CG1968" s="2"/>
      <c r="CH1968" s="2"/>
      <c r="CI1968" s="2">
        <v>1</v>
      </c>
      <c r="CJ1968" s="2">
        <v>1</v>
      </c>
      <c r="CK1968" s="2">
        <v>24</v>
      </c>
      <c r="CL1968" s="2" t="s">
        <v>86</v>
      </c>
      <c r="CM1968" s="2"/>
    </row>
    <row r="1969" spans="1:91">
      <c r="A1969" s="2" t="s">
        <v>71</v>
      </c>
      <c r="B1969" s="2" t="s">
        <v>72</v>
      </c>
      <c r="C1969" s="2" t="s">
        <v>73</v>
      </c>
      <c r="D1969" s="2"/>
      <c r="E1969" s="2" t="str">
        <f>"FES1162569856"</f>
        <v>FES1162569856</v>
      </c>
      <c r="F1969" s="3">
        <v>42964</v>
      </c>
      <c r="G1969" s="2">
        <v>201802</v>
      </c>
      <c r="H1969" s="2" t="s">
        <v>74</v>
      </c>
      <c r="I1969" s="2" t="s">
        <v>75</v>
      </c>
      <c r="J1969" s="2" t="s">
        <v>76</v>
      </c>
      <c r="K1969" s="2" t="s">
        <v>77</v>
      </c>
      <c r="L1969" s="2" t="s">
        <v>128</v>
      </c>
      <c r="M1969" s="2" t="s">
        <v>129</v>
      </c>
      <c r="N1969" s="2" t="s">
        <v>857</v>
      </c>
      <c r="O1969" s="2" t="s">
        <v>100</v>
      </c>
      <c r="P1969" s="2" t="str">
        <f>"2170585656                    "</f>
        <v xml:space="preserve">2170585656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3.13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1</v>
      </c>
      <c r="BI1969" s="2">
        <v>2.9</v>
      </c>
      <c r="BJ1969" s="2">
        <v>1.4</v>
      </c>
      <c r="BK1969" s="2">
        <v>3</v>
      </c>
      <c r="BL1969" s="2">
        <v>32.380000000000003</v>
      </c>
      <c r="BM1969" s="2">
        <v>4.53</v>
      </c>
      <c r="BN1969" s="2">
        <v>36.909999999999997</v>
      </c>
      <c r="BO1969" s="2">
        <v>36.909999999999997</v>
      </c>
      <c r="BP1969" s="2"/>
      <c r="BQ1969" s="2" t="s">
        <v>288</v>
      </c>
      <c r="BR1969" s="2" t="s">
        <v>84</v>
      </c>
      <c r="BS1969" s="3">
        <v>42965</v>
      </c>
      <c r="BT1969" s="4">
        <v>0.38750000000000001</v>
      </c>
      <c r="BU1969" s="2" t="s">
        <v>858</v>
      </c>
      <c r="BV1969" s="2" t="s">
        <v>95</v>
      </c>
      <c r="BW1969" s="2"/>
      <c r="BX1969" s="2"/>
      <c r="BY1969" s="2">
        <v>7018.63</v>
      </c>
      <c r="BZ1969" s="2"/>
      <c r="CA1969" s="2"/>
      <c r="CB1969" s="2"/>
      <c r="CC1969" s="2" t="s">
        <v>129</v>
      </c>
      <c r="CD1969" s="2">
        <v>1709</v>
      </c>
      <c r="CE1969" s="2" t="s">
        <v>89</v>
      </c>
      <c r="CF1969" s="5">
        <v>42968</v>
      </c>
      <c r="CG1969" s="2"/>
      <c r="CH1969" s="2"/>
      <c r="CI1969" s="2">
        <v>1</v>
      </c>
      <c r="CJ1969" s="2">
        <v>1</v>
      </c>
      <c r="CK1969" s="2">
        <v>22</v>
      </c>
      <c r="CL1969" s="2" t="s">
        <v>86</v>
      </c>
      <c r="CM1969" s="2"/>
    </row>
    <row r="1970" spans="1:91">
      <c r="A1970" s="2" t="s">
        <v>71</v>
      </c>
      <c r="B1970" s="2" t="s">
        <v>72</v>
      </c>
      <c r="C1970" s="2" t="s">
        <v>73</v>
      </c>
      <c r="D1970" s="2"/>
      <c r="E1970" s="2" t="str">
        <f>"FES1162569682"</f>
        <v>FES1162569682</v>
      </c>
      <c r="F1970" s="3">
        <v>42964</v>
      </c>
      <c r="G1970" s="2">
        <v>201802</v>
      </c>
      <c r="H1970" s="2" t="s">
        <v>74</v>
      </c>
      <c r="I1970" s="2" t="s">
        <v>75</v>
      </c>
      <c r="J1970" s="2" t="s">
        <v>76</v>
      </c>
      <c r="K1970" s="2" t="s">
        <v>77</v>
      </c>
      <c r="L1970" s="2" t="s">
        <v>470</v>
      </c>
      <c r="M1970" s="2" t="s">
        <v>471</v>
      </c>
      <c r="N1970" s="2" t="s">
        <v>472</v>
      </c>
      <c r="O1970" s="2" t="s">
        <v>100</v>
      </c>
      <c r="P1970" s="2" t="str">
        <f>"2170585454                    "</f>
        <v xml:space="preserve">2170585454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4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1</v>
      </c>
      <c r="BI1970" s="2">
        <v>1</v>
      </c>
      <c r="BJ1970" s="2">
        <v>0.2</v>
      </c>
      <c r="BK1970" s="2">
        <v>1</v>
      </c>
      <c r="BL1970" s="2">
        <v>41.44</v>
      </c>
      <c r="BM1970" s="2">
        <v>5.8</v>
      </c>
      <c r="BN1970" s="2">
        <v>47.24</v>
      </c>
      <c r="BO1970" s="2">
        <v>47.24</v>
      </c>
      <c r="BP1970" s="2"/>
      <c r="BQ1970" s="2" t="s">
        <v>83</v>
      </c>
      <c r="BR1970" s="2" t="s">
        <v>84</v>
      </c>
      <c r="BS1970" s="3">
        <v>42965</v>
      </c>
      <c r="BT1970" s="4">
        <v>0.34166666666666662</v>
      </c>
      <c r="BU1970" s="2" t="s">
        <v>2572</v>
      </c>
      <c r="BV1970" s="2" t="s">
        <v>95</v>
      </c>
      <c r="BW1970" s="2"/>
      <c r="BX1970" s="2"/>
      <c r="BY1970" s="2">
        <v>1200</v>
      </c>
      <c r="BZ1970" s="2" t="s">
        <v>27</v>
      </c>
      <c r="CA1970" s="2" t="s">
        <v>703</v>
      </c>
      <c r="CB1970" s="2"/>
      <c r="CC1970" s="2" t="s">
        <v>471</v>
      </c>
      <c r="CD1970" s="2">
        <v>1911</v>
      </c>
      <c r="CE1970" s="2" t="s">
        <v>104</v>
      </c>
      <c r="CF1970" s="5">
        <v>42968</v>
      </c>
      <c r="CG1970" s="2"/>
      <c r="CH1970" s="2"/>
      <c r="CI1970" s="2">
        <v>1</v>
      </c>
      <c r="CJ1970" s="2">
        <v>1</v>
      </c>
      <c r="CK1970" s="2">
        <v>21</v>
      </c>
      <c r="CL1970" s="2" t="s">
        <v>86</v>
      </c>
      <c r="CM1970" s="2"/>
    </row>
    <row r="1971" spans="1:91">
      <c r="A1971" s="2" t="s">
        <v>71</v>
      </c>
      <c r="B1971" s="2" t="s">
        <v>72</v>
      </c>
      <c r="C1971" s="2" t="s">
        <v>73</v>
      </c>
      <c r="D1971" s="2"/>
      <c r="E1971" s="2" t="str">
        <f>"FES1162569737"</f>
        <v>FES1162569737</v>
      </c>
      <c r="F1971" s="3">
        <v>42964</v>
      </c>
      <c r="G1971" s="2">
        <v>201802</v>
      </c>
      <c r="H1971" s="2" t="s">
        <v>74</v>
      </c>
      <c r="I1971" s="2" t="s">
        <v>75</v>
      </c>
      <c r="J1971" s="2" t="s">
        <v>76</v>
      </c>
      <c r="K1971" s="2" t="s">
        <v>77</v>
      </c>
      <c r="L1971" s="2" t="s">
        <v>105</v>
      </c>
      <c r="M1971" s="2" t="s">
        <v>106</v>
      </c>
      <c r="N1971" s="2" t="s">
        <v>827</v>
      </c>
      <c r="O1971" s="2" t="s">
        <v>100</v>
      </c>
      <c r="P1971" s="2" t="str">
        <f>"2170583251                    "</f>
        <v xml:space="preserve">2170583251          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9.01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1</v>
      </c>
      <c r="BI1971" s="2">
        <v>2</v>
      </c>
      <c r="BJ1971" s="2">
        <v>4.0999999999999996</v>
      </c>
      <c r="BK1971" s="2">
        <v>4.5</v>
      </c>
      <c r="BL1971" s="2">
        <v>93.25</v>
      </c>
      <c r="BM1971" s="2">
        <v>13.06</v>
      </c>
      <c r="BN1971" s="2">
        <v>106.31</v>
      </c>
      <c r="BO1971" s="2">
        <v>106.31</v>
      </c>
      <c r="BP1971" s="2"/>
      <c r="BQ1971" s="2" t="s">
        <v>288</v>
      </c>
      <c r="BR1971" s="2" t="s">
        <v>84</v>
      </c>
      <c r="BS1971" s="3">
        <v>42965</v>
      </c>
      <c r="BT1971" s="4">
        <v>0.40277777777777773</v>
      </c>
      <c r="BU1971" s="2" t="s">
        <v>828</v>
      </c>
      <c r="BV1971" s="2" t="s">
        <v>95</v>
      </c>
      <c r="BW1971" s="2"/>
      <c r="BX1971" s="2"/>
      <c r="BY1971" s="2">
        <v>20262.82</v>
      </c>
      <c r="BZ1971" s="2"/>
      <c r="CA1971" s="2"/>
      <c r="CB1971" s="2"/>
      <c r="CC1971" s="2" t="s">
        <v>106</v>
      </c>
      <c r="CD1971" s="2">
        <v>7560</v>
      </c>
      <c r="CE1971" s="2" t="s">
        <v>89</v>
      </c>
      <c r="CF1971" s="5">
        <v>42968</v>
      </c>
      <c r="CG1971" s="2"/>
      <c r="CH1971" s="2"/>
      <c r="CI1971" s="2">
        <v>1</v>
      </c>
      <c r="CJ1971" s="2">
        <v>1</v>
      </c>
      <c r="CK1971" s="2">
        <v>21</v>
      </c>
      <c r="CL1971" s="2" t="s">
        <v>86</v>
      </c>
      <c r="CM1971" s="2"/>
    </row>
    <row r="1972" spans="1:91">
      <c r="A1972" s="2" t="s">
        <v>71</v>
      </c>
      <c r="B1972" s="2" t="s">
        <v>72</v>
      </c>
      <c r="C1972" s="2" t="s">
        <v>73</v>
      </c>
      <c r="D1972" s="2"/>
      <c r="E1972" s="2" t="str">
        <f>"FES1162569604"</f>
        <v>FES1162569604</v>
      </c>
      <c r="F1972" s="3">
        <v>42964</v>
      </c>
      <c r="G1972" s="2">
        <v>201802</v>
      </c>
      <c r="H1972" s="2" t="s">
        <v>74</v>
      </c>
      <c r="I1972" s="2" t="s">
        <v>75</v>
      </c>
      <c r="J1972" s="2" t="s">
        <v>76</v>
      </c>
      <c r="K1972" s="2" t="s">
        <v>77</v>
      </c>
      <c r="L1972" s="2" t="s">
        <v>306</v>
      </c>
      <c r="M1972" s="2" t="s">
        <v>307</v>
      </c>
      <c r="N1972" s="2" t="s">
        <v>2573</v>
      </c>
      <c r="O1972" s="2" t="s">
        <v>100</v>
      </c>
      <c r="P1972" s="2" t="str">
        <f>"2170585417                    "</f>
        <v xml:space="preserve">2170585417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4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1</v>
      </c>
      <c r="BI1972" s="2">
        <v>1</v>
      </c>
      <c r="BJ1972" s="2">
        <v>0.2</v>
      </c>
      <c r="BK1972" s="2">
        <v>1</v>
      </c>
      <c r="BL1972" s="2">
        <v>41.44</v>
      </c>
      <c r="BM1972" s="2">
        <v>5.8</v>
      </c>
      <c r="BN1972" s="2">
        <v>47.24</v>
      </c>
      <c r="BO1972" s="2">
        <v>47.24</v>
      </c>
      <c r="BP1972" s="2"/>
      <c r="BQ1972" s="2" t="s">
        <v>108</v>
      </c>
      <c r="BR1972" s="2" t="s">
        <v>84</v>
      </c>
      <c r="BS1972" s="3">
        <v>42965</v>
      </c>
      <c r="BT1972" s="4">
        <v>0.4291666666666667</v>
      </c>
      <c r="BU1972" s="2" t="s">
        <v>2574</v>
      </c>
      <c r="BV1972" s="2" t="s">
        <v>95</v>
      </c>
      <c r="BW1972" s="2"/>
      <c r="BX1972" s="2"/>
      <c r="BY1972" s="2">
        <v>1200</v>
      </c>
      <c r="BZ1972" s="2" t="s">
        <v>27</v>
      </c>
      <c r="CA1972" s="2" t="s">
        <v>2575</v>
      </c>
      <c r="CB1972" s="2"/>
      <c r="CC1972" s="2" t="s">
        <v>307</v>
      </c>
      <c r="CD1972" s="2">
        <v>1939</v>
      </c>
      <c r="CE1972" s="2" t="s">
        <v>104</v>
      </c>
      <c r="CF1972" s="5">
        <v>42968</v>
      </c>
      <c r="CG1972" s="2"/>
      <c r="CH1972" s="2"/>
      <c r="CI1972" s="2">
        <v>1</v>
      </c>
      <c r="CJ1972" s="2">
        <v>1</v>
      </c>
      <c r="CK1972" s="2">
        <v>21</v>
      </c>
      <c r="CL1972" s="2" t="s">
        <v>86</v>
      </c>
      <c r="CM1972" s="2"/>
    </row>
    <row r="1973" spans="1:91">
      <c r="A1973" s="2" t="s">
        <v>71</v>
      </c>
      <c r="B1973" s="2" t="s">
        <v>72</v>
      </c>
      <c r="C1973" s="2" t="s">
        <v>73</v>
      </c>
      <c r="D1973" s="2"/>
      <c r="E1973" s="2" t="str">
        <f>"FES1162569730"</f>
        <v>FES1162569730</v>
      </c>
      <c r="F1973" s="3">
        <v>42964</v>
      </c>
      <c r="G1973" s="2">
        <v>201802</v>
      </c>
      <c r="H1973" s="2" t="s">
        <v>74</v>
      </c>
      <c r="I1973" s="2" t="s">
        <v>75</v>
      </c>
      <c r="J1973" s="2" t="s">
        <v>76</v>
      </c>
      <c r="K1973" s="2" t="s">
        <v>77</v>
      </c>
      <c r="L1973" s="2" t="s">
        <v>604</v>
      </c>
      <c r="M1973" s="2" t="s">
        <v>605</v>
      </c>
      <c r="N1973" s="2" t="s">
        <v>391</v>
      </c>
      <c r="O1973" s="2" t="s">
        <v>100</v>
      </c>
      <c r="P1973" s="2" t="str">
        <f>"2170582955                    "</f>
        <v xml:space="preserve">2170582955  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9.01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4</v>
      </c>
      <c r="BJ1973" s="2">
        <v>4.0999999999999996</v>
      </c>
      <c r="BK1973" s="2">
        <v>4.5</v>
      </c>
      <c r="BL1973" s="2">
        <v>93.25</v>
      </c>
      <c r="BM1973" s="2">
        <v>13.06</v>
      </c>
      <c r="BN1973" s="2">
        <v>106.31</v>
      </c>
      <c r="BO1973" s="2">
        <v>106.31</v>
      </c>
      <c r="BP1973" s="2"/>
      <c r="BQ1973" s="2" t="s">
        <v>288</v>
      </c>
      <c r="BR1973" s="2" t="s">
        <v>84</v>
      </c>
      <c r="BS1973" s="3">
        <v>42965</v>
      </c>
      <c r="BT1973" s="4">
        <v>0.34027777777777773</v>
      </c>
      <c r="BU1973" s="2" t="s">
        <v>431</v>
      </c>
      <c r="BV1973" s="2" t="s">
        <v>95</v>
      </c>
      <c r="BW1973" s="2"/>
      <c r="BX1973" s="2"/>
      <c r="BY1973" s="2">
        <v>20358</v>
      </c>
      <c r="BZ1973" s="2"/>
      <c r="CA1973" s="2" t="s">
        <v>840</v>
      </c>
      <c r="CB1973" s="2"/>
      <c r="CC1973" s="2" t="s">
        <v>605</v>
      </c>
      <c r="CD1973" s="2">
        <v>4126</v>
      </c>
      <c r="CE1973" s="2" t="s">
        <v>89</v>
      </c>
      <c r="CF1973" s="5">
        <v>42968</v>
      </c>
      <c r="CG1973" s="2"/>
      <c r="CH1973" s="2"/>
      <c r="CI1973" s="2">
        <v>1</v>
      </c>
      <c r="CJ1973" s="2">
        <v>1</v>
      </c>
      <c r="CK1973" s="2">
        <v>21</v>
      </c>
      <c r="CL1973" s="2" t="s">
        <v>86</v>
      </c>
      <c r="CM1973" s="2"/>
    </row>
    <row r="1974" spans="1:91">
      <c r="A1974" s="2" t="s">
        <v>71</v>
      </c>
      <c r="B1974" s="2" t="s">
        <v>72</v>
      </c>
      <c r="C1974" s="2" t="s">
        <v>73</v>
      </c>
      <c r="D1974" s="2"/>
      <c r="E1974" s="2" t="str">
        <f>"FES1162569707"</f>
        <v>FES1162569707</v>
      </c>
      <c r="F1974" s="3">
        <v>42964</v>
      </c>
      <c r="G1974" s="2">
        <v>201802</v>
      </c>
      <c r="H1974" s="2" t="s">
        <v>74</v>
      </c>
      <c r="I1974" s="2" t="s">
        <v>75</v>
      </c>
      <c r="J1974" s="2" t="s">
        <v>76</v>
      </c>
      <c r="K1974" s="2" t="s">
        <v>77</v>
      </c>
      <c r="L1974" s="2" t="s">
        <v>446</v>
      </c>
      <c r="M1974" s="2" t="s">
        <v>447</v>
      </c>
      <c r="N1974" s="2" t="s">
        <v>897</v>
      </c>
      <c r="O1974" s="2" t="s">
        <v>100</v>
      </c>
      <c r="P1974" s="2" t="str">
        <f>"2170585481                    "</f>
        <v xml:space="preserve">2170585481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5.63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1</v>
      </c>
      <c r="BJ1974" s="2">
        <v>0.2</v>
      </c>
      <c r="BK1974" s="2">
        <v>1</v>
      </c>
      <c r="BL1974" s="2">
        <v>58.28</v>
      </c>
      <c r="BM1974" s="2">
        <v>8.16</v>
      </c>
      <c r="BN1974" s="2">
        <v>66.44</v>
      </c>
      <c r="BO1974" s="2">
        <v>66.44</v>
      </c>
      <c r="BP1974" s="2"/>
      <c r="BQ1974" s="2" t="s">
        <v>83</v>
      </c>
      <c r="BR1974" s="2" t="s">
        <v>84</v>
      </c>
      <c r="BS1974" s="3">
        <v>42965</v>
      </c>
      <c r="BT1974" s="4">
        <v>0.41666666666666669</v>
      </c>
      <c r="BU1974" s="2" t="s">
        <v>2576</v>
      </c>
      <c r="BV1974" s="2" t="s">
        <v>95</v>
      </c>
      <c r="BW1974" s="2"/>
      <c r="BX1974" s="2"/>
      <c r="BY1974" s="2">
        <v>1200</v>
      </c>
      <c r="BZ1974" s="2" t="s">
        <v>27</v>
      </c>
      <c r="CA1974" s="2"/>
      <c r="CB1974" s="2"/>
      <c r="CC1974" s="2" t="s">
        <v>447</v>
      </c>
      <c r="CD1974" s="2">
        <v>1759</v>
      </c>
      <c r="CE1974" s="2" t="s">
        <v>104</v>
      </c>
      <c r="CF1974" s="5">
        <v>42968</v>
      </c>
      <c r="CG1974" s="2"/>
      <c r="CH1974" s="2"/>
      <c r="CI1974" s="2">
        <v>1</v>
      </c>
      <c r="CJ1974" s="2">
        <v>1</v>
      </c>
      <c r="CK1974" s="2">
        <v>24</v>
      </c>
      <c r="CL1974" s="2" t="s">
        <v>86</v>
      </c>
      <c r="CM1974" s="2"/>
    </row>
    <row r="1975" spans="1:91">
      <c r="A1975" s="2" t="s">
        <v>71</v>
      </c>
      <c r="B1975" s="2" t="s">
        <v>72</v>
      </c>
      <c r="C1975" s="2" t="s">
        <v>73</v>
      </c>
      <c r="D1975" s="2"/>
      <c r="E1975" s="2" t="str">
        <f>"FES1162569708"</f>
        <v>FES1162569708</v>
      </c>
      <c r="F1975" s="3">
        <v>42964</v>
      </c>
      <c r="G1975" s="2">
        <v>201802</v>
      </c>
      <c r="H1975" s="2" t="s">
        <v>74</v>
      </c>
      <c r="I1975" s="2" t="s">
        <v>75</v>
      </c>
      <c r="J1975" s="2" t="s">
        <v>76</v>
      </c>
      <c r="K1975" s="2" t="s">
        <v>77</v>
      </c>
      <c r="L1975" s="2" t="s">
        <v>339</v>
      </c>
      <c r="M1975" s="2" t="s">
        <v>340</v>
      </c>
      <c r="N1975" s="2" t="s">
        <v>613</v>
      </c>
      <c r="O1975" s="2" t="s">
        <v>100</v>
      </c>
      <c r="P1975" s="2" t="str">
        <f>"2170585483                    "</f>
        <v xml:space="preserve">2170585483   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4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1</v>
      </c>
      <c r="BI1975" s="2">
        <v>1</v>
      </c>
      <c r="BJ1975" s="2">
        <v>0.2</v>
      </c>
      <c r="BK1975" s="2">
        <v>1</v>
      </c>
      <c r="BL1975" s="2">
        <v>41.44</v>
      </c>
      <c r="BM1975" s="2">
        <v>5.8</v>
      </c>
      <c r="BN1975" s="2">
        <v>47.24</v>
      </c>
      <c r="BO1975" s="2">
        <v>47.24</v>
      </c>
      <c r="BP1975" s="2"/>
      <c r="BQ1975" s="2" t="s">
        <v>108</v>
      </c>
      <c r="BR1975" s="2" t="s">
        <v>84</v>
      </c>
      <c r="BS1975" s="3">
        <v>42968</v>
      </c>
      <c r="BT1975" s="4">
        <v>0.41805555555555557</v>
      </c>
      <c r="BU1975" s="2" t="s">
        <v>2577</v>
      </c>
      <c r="BV1975" s="2" t="s">
        <v>86</v>
      </c>
      <c r="BW1975" s="2"/>
      <c r="BX1975" s="2"/>
      <c r="BY1975" s="2">
        <v>1200</v>
      </c>
      <c r="BZ1975" s="2" t="s">
        <v>27</v>
      </c>
      <c r="CA1975" s="2" t="s">
        <v>2236</v>
      </c>
      <c r="CB1975" s="2"/>
      <c r="CC1975" s="2" t="s">
        <v>340</v>
      </c>
      <c r="CD1975" s="2">
        <v>1947</v>
      </c>
      <c r="CE1975" s="2" t="s">
        <v>104</v>
      </c>
      <c r="CF1975" s="5">
        <v>42969</v>
      </c>
      <c r="CG1975" s="2"/>
      <c r="CH1975" s="2"/>
      <c r="CI1975" s="2">
        <v>1</v>
      </c>
      <c r="CJ1975" s="2">
        <v>2</v>
      </c>
      <c r="CK1975" s="2">
        <v>21</v>
      </c>
      <c r="CL1975" s="2" t="s">
        <v>86</v>
      </c>
      <c r="CM1975" s="2"/>
    </row>
    <row r="1976" spans="1:91">
      <c r="A1976" s="2" t="s">
        <v>71</v>
      </c>
      <c r="B1976" s="2" t="s">
        <v>72</v>
      </c>
      <c r="C1976" s="2" t="s">
        <v>73</v>
      </c>
      <c r="D1976" s="2"/>
      <c r="E1976" s="2" t="str">
        <f>"FES1162569576"</f>
        <v>FES1162569576</v>
      </c>
      <c r="F1976" s="3">
        <v>42964</v>
      </c>
      <c r="G1976" s="2">
        <v>201802</v>
      </c>
      <c r="H1976" s="2" t="s">
        <v>74</v>
      </c>
      <c r="I1976" s="2" t="s">
        <v>75</v>
      </c>
      <c r="J1976" s="2" t="s">
        <v>76</v>
      </c>
      <c r="K1976" s="2" t="s">
        <v>77</v>
      </c>
      <c r="L1976" s="2" t="s">
        <v>206</v>
      </c>
      <c r="M1976" s="2" t="s">
        <v>207</v>
      </c>
      <c r="N1976" s="2" t="s">
        <v>650</v>
      </c>
      <c r="O1976" s="2" t="s">
        <v>100</v>
      </c>
      <c r="P1976" s="2" t="str">
        <f>"2170583459                    "</f>
        <v xml:space="preserve">2170583459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5.63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1</v>
      </c>
      <c r="BJ1976" s="2">
        <v>0.2</v>
      </c>
      <c r="BK1976" s="2">
        <v>1</v>
      </c>
      <c r="BL1976" s="2">
        <v>58.28</v>
      </c>
      <c r="BM1976" s="2">
        <v>8.16</v>
      </c>
      <c r="BN1976" s="2">
        <v>66.44</v>
      </c>
      <c r="BO1976" s="2">
        <v>66.44</v>
      </c>
      <c r="BP1976" s="2"/>
      <c r="BQ1976" s="2" t="s">
        <v>108</v>
      </c>
      <c r="BR1976" s="2" t="s">
        <v>84</v>
      </c>
      <c r="BS1976" s="3">
        <v>42965</v>
      </c>
      <c r="BT1976" s="4">
        <v>0.56597222222222221</v>
      </c>
      <c r="BU1976" s="2" t="s">
        <v>2578</v>
      </c>
      <c r="BV1976" s="2" t="s">
        <v>95</v>
      </c>
      <c r="BW1976" s="2"/>
      <c r="BX1976" s="2"/>
      <c r="BY1976" s="2">
        <v>1200</v>
      </c>
      <c r="BZ1976" s="2" t="s">
        <v>27</v>
      </c>
      <c r="CA1976" s="2" t="s">
        <v>640</v>
      </c>
      <c r="CB1976" s="2"/>
      <c r="CC1976" s="2" t="s">
        <v>207</v>
      </c>
      <c r="CD1976" s="2">
        <v>250</v>
      </c>
      <c r="CE1976" s="2" t="s">
        <v>104</v>
      </c>
      <c r="CF1976" s="5">
        <v>42969</v>
      </c>
      <c r="CG1976" s="2"/>
      <c r="CH1976" s="2"/>
      <c r="CI1976" s="2">
        <v>1</v>
      </c>
      <c r="CJ1976" s="2">
        <v>1</v>
      </c>
      <c r="CK1976" s="2">
        <v>24</v>
      </c>
      <c r="CL1976" s="2" t="s">
        <v>86</v>
      </c>
      <c r="CM1976" s="2"/>
    </row>
    <row r="1977" spans="1:91">
      <c r="A1977" s="2" t="s">
        <v>71</v>
      </c>
      <c r="B1977" s="2" t="s">
        <v>72</v>
      </c>
      <c r="C1977" s="2" t="s">
        <v>73</v>
      </c>
      <c r="D1977" s="2"/>
      <c r="E1977" s="2" t="str">
        <f>"FES1162569699"</f>
        <v>FES1162569699</v>
      </c>
      <c r="F1977" s="3">
        <v>42964</v>
      </c>
      <c r="G1977" s="2">
        <v>201802</v>
      </c>
      <c r="H1977" s="2" t="s">
        <v>74</v>
      </c>
      <c r="I1977" s="2" t="s">
        <v>75</v>
      </c>
      <c r="J1977" s="2" t="s">
        <v>76</v>
      </c>
      <c r="K1977" s="2" t="s">
        <v>77</v>
      </c>
      <c r="L1977" s="2" t="s">
        <v>939</v>
      </c>
      <c r="M1977" s="2" t="s">
        <v>940</v>
      </c>
      <c r="N1977" s="2" t="s">
        <v>941</v>
      </c>
      <c r="O1977" s="2" t="s">
        <v>100</v>
      </c>
      <c r="P1977" s="2" t="str">
        <f>"2170585477                    "</f>
        <v xml:space="preserve">2170585477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5.63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1</v>
      </c>
      <c r="BJ1977" s="2">
        <v>0.2</v>
      </c>
      <c r="BK1977" s="2">
        <v>1</v>
      </c>
      <c r="BL1977" s="2">
        <v>58.28</v>
      </c>
      <c r="BM1977" s="2">
        <v>8.16</v>
      </c>
      <c r="BN1977" s="2">
        <v>66.44</v>
      </c>
      <c r="BO1977" s="2">
        <v>66.44</v>
      </c>
      <c r="BP1977" s="2"/>
      <c r="BQ1977" s="2" t="s">
        <v>108</v>
      </c>
      <c r="BR1977" s="2" t="s">
        <v>84</v>
      </c>
      <c r="BS1977" s="3">
        <v>42968</v>
      </c>
      <c r="BT1977" s="4">
        <v>0.61111111111111105</v>
      </c>
      <c r="BU1977" s="2" t="s">
        <v>1677</v>
      </c>
      <c r="BV1977" s="2" t="s">
        <v>95</v>
      </c>
      <c r="BW1977" s="2"/>
      <c r="BX1977" s="2"/>
      <c r="BY1977" s="2">
        <v>1200</v>
      </c>
      <c r="BZ1977" s="2" t="s">
        <v>27</v>
      </c>
      <c r="CA1977" s="2" t="s">
        <v>943</v>
      </c>
      <c r="CB1977" s="2"/>
      <c r="CC1977" s="2" t="s">
        <v>940</v>
      </c>
      <c r="CD1977" s="2">
        <v>1028</v>
      </c>
      <c r="CE1977" s="2" t="s">
        <v>104</v>
      </c>
      <c r="CF1977" s="5">
        <v>42969</v>
      </c>
      <c r="CG1977" s="2"/>
      <c r="CH1977" s="2"/>
      <c r="CI1977" s="2">
        <v>2</v>
      </c>
      <c r="CJ1977" s="2">
        <v>2</v>
      </c>
      <c r="CK1977" s="2">
        <v>24</v>
      </c>
      <c r="CL1977" s="2" t="s">
        <v>86</v>
      </c>
      <c r="CM1977" s="2"/>
    </row>
    <row r="1978" spans="1:91">
      <c r="A1978" s="2" t="s">
        <v>71</v>
      </c>
      <c r="B1978" s="2" t="s">
        <v>72</v>
      </c>
      <c r="C1978" s="2" t="s">
        <v>73</v>
      </c>
      <c r="D1978" s="2"/>
      <c r="E1978" s="2" t="str">
        <f>"FES1162569660"</f>
        <v>FES1162569660</v>
      </c>
      <c r="F1978" s="3">
        <v>42964</v>
      </c>
      <c r="G1978" s="2">
        <v>201802</v>
      </c>
      <c r="H1978" s="2" t="s">
        <v>74</v>
      </c>
      <c r="I1978" s="2" t="s">
        <v>75</v>
      </c>
      <c r="J1978" s="2" t="s">
        <v>76</v>
      </c>
      <c r="K1978" s="2" t="s">
        <v>77</v>
      </c>
      <c r="L1978" s="2" t="s">
        <v>997</v>
      </c>
      <c r="M1978" s="2" t="s">
        <v>998</v>
      </c>
      <c r="N1978" s="2" t="s">
        <v>999</v>
      </c>
      <c r="O1978" s="2" t="s">
        <v>100</v>
      </c>
      <c r="P1978" s="2" t="str">
        <f>"2170583387                    "</f>
        <v xml:space="preserve">2170583387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5.63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1</v>
      </c>
      <c r="BJ1978" s="2">
        <v>0.2</v>
      </c>
      <c r="BK1978" s="2">
        <v>1</v>
      </c>
      <c r="BL1978" s="2">
        <v>58.28</v>
      </c>
      <c r="BM1978" s="2">
        <v>8.16</v>
      </c>
      <c r="BN1978" s="2">
        <v>66.44</v>
      </c>
      <c r="BO1978" s="2">
        <v>66.44</v>
      </c>
      <c r="BP1978" s="2"/>
      <c r="BQ1978" s="2" t="s">
        <v>108</v>
      </c>
      <c r="BR1978" s="2" t="s">
        <v>84</v>
      </c>
      <c r="BS1978" s="3">
        <v>42965</v>
      </c>
      <c r="BT1978" s="4">
        <v>0.45208333333333334</v>
      </c>
      <c r="BU1978" s="2" t="s">
        <v>2579</v>
      </c>
      <c r="BV1978" s="2" t="s">
        <v>95</v>
      </c>
      <c r="BW1978" s="2"/>
      <c r="BX1978" s="2"/>
      <c r="BY1978" s="2">
        <v>1200</v>
      </c>
      <c r="BZ1978" s="2" t="s">
        <v>27</v>
      </c>
      <c r="CA1978" s="2" t="s">
        <v>2580</v>
      </c>
      <c r="CB1978" s="2"/>
      <c r="CC1978" s="2" t="s">
        <v>998</v>
      </c>
      <c r="CD1978" s="2">
        <v>324</v>
      </c>
      <c r="CE1978" s="2" t="s">
        <v>104</v>
      </c>
      <c r="CF1978" s="5">
        <v>42969</v>
      </c>
      <c r="CG1978" s="2"/>
      <c r="CH1978" s="2"/>
      <c r="CI1978" s="2">
        <v>1</v>
      </c>
      <c r="CJ1978" s="2">
        <v>1</v>
      </c>
      <c r="CK1978" s="2">
        <v>24</v>
      </c>
      <c r="CL1978" s="2" t="s">
        <v>86</v>
      </c>
      <c r="CM1978" s="2"/>
    </row>
    <row r="1979" spans="1:91">
      <c r="A1979" s="2" t="s">
        <v>71</v>
      </c>
      <c r="B1979" s="2" t="s">
        <v>72</v>
      </c>
      <c r="C1979" s="2" t="s">
        <v>73</v>
      </c>
      <c r="D1979" s="2"/>
      <c r="E1979" s="2" t="str">
        <f>"FES1162569705"</f>
        <v>FES1162569705</v>
      </c>
      <c r="F1979" s="3">
        <v>42964</v>
      </c>
      <c r="G1979" s="2">
        <v>201802</v>
      </c>
      <c r="H1979" s="2" t="s">
        <v>74</v>
      </c>
      <c r="I1979" s="2" t="s">
        <v>75</v>
      </c>
      <c r="J1979" s="2" t="s">
        <v>76</v>
      </c>
      <c r="K1979" s="2" t="s">
        <v>77</v>
      </c>
      <c r="L1979" s="2" t="s">
        <v>939</v>
      </c>
      <c r="M1979" s="2" t="s">
        <v>940</v>
      </c>
      <c r="N1979" s="2" t="s">
        <v>941</v>
      </c>
      <c r="O1979" s="2" t="s">
        <v>100</v>
      </c>
      <c r="P1979" s="2" t="str">
        <f>"2170585479                    "</f>
        <v xml:space="preserve">2170585479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5.63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2</v>
      </c>
      <c r="BJ1979" s="2">
        <v>0.2</v>
      </c>
      <c r="BK1979" s="2">
        <v>2</v>
      </c>
      <c r="BL1979" s="2">
        <v>58.28</v>
      </c>
      <c r="BM1979" s="2">
        <v>8.16</v>
      </c>
      <c r="BN1979" s="2">
        <v>66.44</v>
      </c>
      <c r="BO1979" s="2">
        <v>66.44</v>
      </c>
      <c r="BP1979" s="2"/>
      <c r="BQ1979" s="2" t="s">
        <v>108</v>
      </c>
      <c r="BR1979" s="2" t="s">
        <v>84</v>
      </c>
      <c r="BS1979" s="3">
        <v>42968</v>
      </c>
      <c r="BT1979" s="4">
        <v>0.61111111111111105</v>
      </c>
      <c r="BU1979" s="2" t="s">
        <v>1677</v>
      </c>
      <c r="BV1979" s="2" t="s">
        <v>95</v>
      </c>
      <c r="BW1979" s="2"/>
      <c r="BX1979" s="2"/>
      <c r="BY1979" s="2">
        <v>1200</v>
      </c>
      <c r="BZ1979" s="2" t="s">
        <v>27</v>
      </c>
      <c r="CA1979" s="2" t="s">
        <v>943</v>
      </c>
      <c r="CB1979" s="2"/>
      <c r="CC1979" s="2" t="s">
        <v>940</v>
      </c>
      <c r="CD1979" s="2">
        <v>1028</v>
      </c>
      <c r="CE1979" s="2" t="s">
        <v>104</v>
      </c>
      <c r="CF1979" s="5">
        <v>42969</v>
      </c>
      <c r="CG1979" s="2"/>
      <c r="CH1979" s="2"/>
      <c r="CI1979" s="2">
        <v>2</v>
      </c>
      <c r="CJ1979" s="2">
        <v>2</v>
      </c>
      <c r="CK1979" s="2">
        <v>24</v>
      </c>
      <c r="CL1979" s="2" t="s">
        <v>86</v>
      </c>
      <c r="CM1979" s="2"/>
    </row>
    <row r="1980" spans="1:91">
      <c r="A1980" s="2" t="s">
        <v>71</v>
      </c>
      <c r="B1980" s="2" t="s">
        <v>72</v>
      </c>
      <c r="C1980" s="2" t="s">
        <v>73</v>
      </c>
      <c r="D1980" s="2"/>
      <c r="E1980" s="2" t="str">
        <f>"FES1162569632"</f>
        <v>FES1162569632</v>
      </c>
      <c r="F1980" s="3">
        <v>42964</v>
      </c>
      <c r="G1980" s="2">
        <v>201802</v>
      </c>
      <c r="H1980" s="2" t="s">
        <v>74</v>
      </c>
      <c r="I1980" s="2" t="s">
        <v>75</v>
      </c>
      <c r="J1980" s="2" t="s">
        <v>76</v>
      </c>
      <c r="K1980" s="2" t="s">
        <v>77</v>
      </c>
      <c r="L1980" s="2" t="s">
        <v>105</v>
      </c>
      <c r="M1980" s="2" t="s">
        <v>106</v>
      </c>
      <c r="N1980" s="2" t="s">
        <v>870</v>
      </c>
      <c r="O1980" s="2" t="s">
        <v>100</v>
      </c>
      <c r="P1980" s="2" t="str">
        <f>"2170583322                    "</f>
        <v xml:space="preserve">2170583322 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7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1</v>
      </c>
      <c r="BI1980" s="2">
        <v>3.2</v>
      </c>
      <c r="BJ1980" s="2">
        <v>1.8</v>
      </c>
      <c r="BK1980" s="2">
        <v>3.5</v>
      </c>
      <c r="BL1980" s="2">
        <v>72.52</v>
      </c>
      <c r="BM1980" s="2">
        <v>10.15</v>
      </c>
      <c r="BN1980" s="2">
        <v>82.67</v>
      </c>
      <c r="BO1980" s="2">
        <v>82.67</v>
      </c>
      <c r="BP1980" s="2"/>
      <c r="BQ1980" s="2" t="s">
        <v>108</v>
      </c>
      <c r="BR1980" s="2" t="s">
        <v>84</v>
      </c>
      <c r="BS1980" s="3">
        <v>42965</v>
      </c>
      <c r="BT1980" s="4">
        <v>0.41666666666666669</v>
      </c>
      <c r="BU1980" s="2" t="s">
        <v>2581</v>
      </c>
      <c r="BV1980" s="2" t="s">
        <v>95</v>
      </c>
      <c r="BW1980" s="2"/>
      <c r="BX1980" s="2"/>
      <c r="BY1980" s="2">
        <v>8960.2199999999993</v>
      </c>
      <c r="BZ1980" s="2" t="s">
        <v>27</v>
      </c>
      <c r="CA1980" s="2"/>
      <c r="CB1980" s="2"/>
      <c r="CC1980" s="2" t="s">
        <v>106</v>
      </c>
      <c r="CD1980" s="2">
        <v>8000</v>
      </c>
      <c r="CE1980" s="2" t="s">
        <v>89</v>
      </c>
      <c r="CF1980" s="5">
        <v>42968</v>
      </c>
      <c r="CG1980" s="2"/>
      <c r="CH1980" s="2"/>
      <c r="CI1980" s="2">
        <v>1</v>
      </c>
      <c r="CJ1980" s="2">
        <v>1</v>
      </c>
      <c r="CK1980" s="2">
        <v>21</v>
      </c>
      <c r="CL1980" s="2" t="s">
        <v>86</v>
      </c>
      <c r="CM1980" s="2"/>
    </row>
    <row r="1981" spans="1:91">
      <c r="A1981" s="2" t="s">
        <v>71</v>
      </c>
      <c r="B1981" s="2" t="s">
        <v>72</v>
      </c>
      <c r="C1981" s="2" t="s">
        <v>73</v>
      </c>
      <c r="D1981" s="2"/>
      <c r="E1981" s="2" t="str">
        <f>"FES1162569634"</f>
        <v>FES1162569634</v>
      </c>
      <c r="F1981" s="3">
        <v>42964</v>
      </c>
      <c r="G1981" s="2">
        <v>201802</v>
      </c>
      <c r="H1981" s="2" t="s">
        <v>74</v>
      </c>
      <c r="I1981" s="2" t="s">
        <v>75</v>
      </c>
      <c r="J1981" s="2" t="s">
        <v>76</v>
      </c>
      <c r="K1981" s="2" t="s">
        <v>77</v>
      </c>
      <c r="L1981" s="2" t="s">
        <v>105</v>
      </c>
      <c r="M1981" s="2" t="s">
        <v>106</v>
      </c>
      <c r="N1981" s="2" t="s">
        <v>657</v>
      </c>
      <c r="O1981" s="2" t="s">
        <v>100</v>
      </c>
      <c r="P1981" s="2" t="str">
        <f>"2170583390                    "</f>
        <v xml:space="preserve">2170583390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6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1.9</v>
      </c>
      <c r="BJ1981" s="2">
        <v>2.9</v>
      </c>
      <c r="BK1981" s="2">
        <v>3</v>
      </c>
      <c r="BL1981" s="2">
        <v>62.16</v>
      </c>
      <c r="BM1981" s="2">
        <v>8.6999999999999993</v>
      </c>
      <c r="BN1981" s="2">
        <v>70.86</v>
      </c>
      <c r="BO1981" s="2">
        <v>70.86</v>
      </c>
      <c r="BP1981" s="2"/>
      <c r="BQ1981" s="2" t="s">
        <v>108</v>
      </c>
      <c r="BR1981" s="2" t="s">
        <v>84</v>
      </c>
      <c r="BS1981" s="3">
        <v>42965</v>
      </c>
      <c r="BT1981" s="4">
        <v>0.37777777777777777</v>
      </c>
      <c r="BU1981" s="2" t="s">
        <v>826</v>
      </c>
      <c r="BV1981" s="2" t="s">
        <v>95</v>
      </c>
      <c r="BW1981" s="2"/>
      <c r="BX1981" s="2"/>
      <c r="BY1981" s="2">
        <v>14611.35</v>
      </c>
      <c r="BZ1981" s="2" t="s">
        <v>27</v>
      </c>
      <c r="CA1981" s="2" t="s">
        <v>350</v>
      </c>
      <c r="CB1981" s="2"/>
      <c r="CC1981" s="2" t="s">
        <v>106</v>
      </c>
      <c r="CD1981" s="2">
        <v>7945</v>
      </c>
      <c r="CE1981" s="2" t="s">
        <v>135</v>
      </c>
      <c r="CF1981" s="5">
        <v>42968</v>
      </c>
      <c r="CG1981" s="2"/>
      <c r="CH1981" s="2"/>
      <c r="CI1981" s="2">
        <v>1</v>
      </c>
      <c r="CJ1981" s="2">
        <v>1</v>
      </c>
      <c r="CK1981" s="2">
        <v>21</v>
      </c>
      <c r="CL1981" s="2" t="s">
        <v>86</v>
      </c>
      <c r="CM1981" s="2"/>
    </row>
    <row r="1982" spans="1:91">
      <c r="A1982" s="2" t="s">
        <v>71</v>
      </c>
      <c r="B1982" s="2" t="s">
        <v>72</v>
      </c>
      <c r="C1982" s="2" t="s">
        <v>73</v>
      </c>
      <c r="D1982" s="2"/>
      <c r="E1982" s="2" t="str">
        <f>"FES1162569725"</f>
        <v>FES1162569725</v>
      </c>
      <c r="F1982" s="3">
        <v>42964</v>
      </c>
      <c r="G1982" s="2">
        <v>201802</v>
      </c>
      <c r="H1982" s="2" t="s">
        <v>74</v>
      </c>
      <c r="I1982" s="2" t="s">
        <v>75</v>
      </c>
      <c r="J1982" s="2" t="s">
        <v>76</v>
      </c>
      <c r="K1982" s="2" t="s">
        <v>77</v>
      </c>
      <c r="L1982" s="2" t="s">
        <v>105</v>
      </c>
      <c r="M1982" s="2" t="s">
        <v>106</v>
      </c>
      <c r="N1982" s="2" t="s">
        <v>2582</v>
      </c>
      <c r="O1982" s="2" t="s">
        <v>100</v>
      </c>
      <c r="P1982" s="2" t="str">
        <f>"2170585510                    "</f>
        <v xml:space="preserve">2170585510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8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2.9</v>
      </c>
      <c r="BJ1982" s="2">
        <v>4</v>
      </c>
      <c r="BK1982" s="2">
        <v>4</v>
      </c>
      <c r="BL1982" s="2">
        <v>82.88</v>
      </c>
      <c r="BM1982" s="2">
        <v>11.6</v>
      </c>
      <c r="BN1982" s="2">
        <v>94.48</v>
      </c>
      <c r="BO1982" s="2">
        <v>94.48</v>
      </c>
      <c r="BP1982" s="2"/>
      <c r="BQ1982" s="2" t="s">
        <v>288</v>
      </c>
      <c r="BR1982" s="2" t="s">
        <v>84</v>
      </c>
      <c r="BS1982" s="3">
        <v>42965</v>
      </c>
      <c r="BT1982" s="4">
        <v>0.37291666666666662</v>
      </c>
      <c r="BU1982" s="2" t="s">
        <v>2583</v>
      </c>
      <c r="BV1982" s="2" t="s">
        <v>95</v>
      </c>
      <c r="BW1982" s="2"/>
      <c r="BX1982" s="2"/>
      <c r="BY1982" s="2">
        <v>19964.8</v>
      </c>
      <c r="BZ1982" s="2" t="s">
        <v>27</v>
      </c>
      <c r="CA1982" s="2"/>
      <c r="CB1982" s="2"/>
      <c r="CC1982" s="2" t="s">
        <v>106</v>
      </c>
      <c r="CD1982" s="2">
        <v>7945</v>
      </c>
      <c r="CE1982" s="2" t="s">
        <v>89</v>
      </c>
      <c r="CF1982" s="5">
        <v>42968</v>
      </c>
      <c r="CG1982" s="2"/>
      <c r="CH1982" s="2"/>
      <c r="CI1982" s="2">
        <v>1</v>
      </c>
      <c r="CJ1982" s="2">
        <v>1</v>
      </c>
      <c r="CK1982" s="2">
        <v>21</v>
      </c>
      <c r="CL1982" s="2" t="s">
        <v>86</v>
      </c>
      <c r="CM1982" s="2"/>
    </row>
    <row r="1983" spans="1:91">
      <c r="A1983" s="2" t="s">
        <v>71</v>
      </c>
      <c r="B1983" s="2" t="s">
        <v>72</v>
      </c>
      <c r="C1983" s="2" t="s">
        <v>73</v>
      </c>
      <c r="D1983" s="2"/>
      <c r="E1983" s="2" t="str">
        <f>"FES1162569718"</f>
        <v>FES1162569718</v>
      </c>
      <c r="F1983" s="3">
        <v>42964</v>
      </c>
      <c r="G1983" s="2">
        <v>201802</v>
      </c>
      <c r="H1983" s="2" t="s">
        <v>74</v>
      </c>
      <c r="I1983" s="2" t="s">
        <v>75</v>
      </c>
      <c r="J1983" s="2" t="s">
        <v>76</v>
      </c>
      <c r="K1983" s="2" t="s">
        <v>77</v>
      </c>
      <c r="L1983" s="2" t="s">
        <v>137</v>
      </c>
      <c r="M1983" s="2" t="s">
        <v>138</v>
      </c>
      <c r="N1983" s="2" t="s">
        <v>2584</v>
      </c>
      <c r="O1983" s="2" t="s">
        <v>100</v>
      </c>
      <c r="P1983" s="2" t="str">
        <f>"2170585501                    "</f>
        <v xml:space="preserve">2170585501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5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1.8</v>
      </c>
      <c r="BJ1983" s="2">
        <v>2.2000000000000002</v>
      </c>
      <c r="BK1983" s="2">
        <v>2.5</v>
      </c>
      <c r="BL1983" s="2">
        <v>51.8</v>
      </c>
      <c r="BM1983" s="2">
        <v>7.25</v>
      </c>
      <c r="BN1983" s="2">
        <v>59.05</v>
      </c>
      <c r="BO1983" s="2">
        <v>59.05</v>
      </c>
      <c r="BP1983" s="2"/>
      <c r="BQ1983" s="2" t="s">
        <v>288</v>
      </c>
      <c r="BR1983" s="2" t="s">
        <v>84</v>
      </c>
      <c r="BS1983" s="3">
        <v>42965</v>
      </c>
      <c r="BT1983" s="4">
        <v>0.48749999999999999</v>
      </c>
      <c r="BU1983" s="2" t="s">
        <v>2585</v>
      </c>
      <c r="BV1983" s="2" t="s">
        <v>86</v>
      </c>
      <c r="BW1983" s="2" t="s">
        <v>110</v>
      </c>
      <c r="BX1983" s="2" t="s">
        <v>444</v>
      </c>
      <c r="BY1983" s="2">
        <v>10892.7</v>
      </c>
      <c r="BZ1983" s="2" t="s">
        <v>27</v>
      </c>
      <c r="CA1983" s="2" t="s">
        <v>2106</v>
      </c>
      <c r="CB1983" s="2"/>
      <c r="CC1983" s="2" t="s">
        <v>138</v>
      </c>
      <c r="CD1983" s="2">
        <v>157</v>
      </c>
      <c r="CE1983" s="2" t="s">
        <v>89</v>
      </c>
      <c r="CF1983" s="5">
        <v>42968</v>
      </c>
      <c r="CG1983" s="2"/>
      <c r="CH1983" s="2"/>
      <c r="CI1983" s="2">
        <v>1</v>
      </c>
      <c r="CJ1983" s="2">
        <v>1</v>
      </c>
      <c r="CK1983" s="2">
        <v>21</v>
      </c>
      <c r="CL1983" s="2" t="s">
        <v>86</v>
      </c>
      <c r="CM1983" s="2"/>
    </row>
    <row r="1984" spans="1:91">
      <c r="A1984" s="2" t="s">
        <v>71</v>
      </c>
      <c r="B1984" s="2" t="s">
        <v>72</v>
      </c>
      <c r="C1984" s="2" t="s">
        <v>73</v>
      </c>
      <c r="D1984" s="2"/>
      <c r="E1984" s="2" t="str">
        <f>"FES1162569693"</f>
        <v>FES1162569693</v>
      </c>
      <c r="F1984" s="3">
        <v>42964</v>
      </c>
      <c r="G1984" s="2">
        <v>201802</v>
      </c>
      <c r="H1984" s="2" t="s">
        <v>74</v>
      </c>
      <c r="I1984" s="2" t="s">
        <v>75</v>
      </c>
      <c r="J1984" s="2" t="s">
        <v>76</v>
      </c>
      <c r="K1984" s="2" t="s">
        <v>77</v>
      </c>
      <c r="L1984" s="2" t="s">
        <v>362</v>
      </c>
      <c r="M1984" s="2" t="s">
        <v>363</v>
      </c>
      <c r="N1984" s="2" t="s">
        <v>377</v>
      </c>
      <c r="O1984" s="2" t="s">
        <v>100</v>
      </c>
      <c r="P1984" s="2" t="str">
        <f>"2170582604                    "</f>
        <v xml:space="preserve">2170582604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4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1</v>
      </c>
      <c r="BJ1984" s="2">
        <v>0.2</v>
      </c>
      <c r="BK1984" s="2">
        <v>1</v>
      </c>
      <c r="BL1984" s="2">
        <v>41.44</v>
      </c>
      <c r="BM1984" s="2">
        <v>5.8</v>
      </c>
      <c r="BN1984" s="2">
        <v>47.24</v>
      </c>
      <c r="BO1984" s="2">
        <v>47.24</v>
      </c>
      <c r="BP1984" s="2"/>
      <c r="BQ1984" s="2" t="s">
        <v>209</v>
      </c>
      <c r="BR1984" s="2" t="s">
        <v>84</v>
      </c>
      <c r="BS1984" s="3">
        <v>42965</v>
      </c>
      <c r="BT1984" s="4">
        <v>0.41319444444444442</v>
      </c>
      <c r="BU1984" s="2" t="s">
        <v>378</v>
      </c>
      <c r="BV1984" s="2" t="s">
        <v>95</v>
      </c>
      <c r="BW1984" s="2"/>
      <c r="BX1984" s="2"/>
      <c r="BY1984" s="2">
        <v>1200</v>
      </c>
      <c r="BZ1984" s="2" t="s">
        <v>27</v>
      </c>
      <c r="CA1984" s="2" t="s">
        <v>379</v>
      </c>
      <c r="CB1984" s="2"/>
      <c r="CC1984" s="2" t="s">
        <v>363</v>
      </c>
      <c r="CD1984" s="2">
        <v>3201</v>
      </c>
      <c r="CE1984" s="2" t="s">
        <v>104</v>
      </c>
      <c r="CF1984" s="5">
        <v>42968</v>
      </c>
      <c r="CG1984" s="2"/>
      <c r="CH1984" s="2"/>
      <c r="CI1984" s="2">
        <v>1</v>
      </c>
      <c r="CJ1984" s="2">
        <v>1</v>
      </c>
      <c r="CK1984" s="2">
        <v>21</v>
      </c>
      <c r="CL1984" s="2" t="s">
        <v>86</v>
      </c>
      <c r="CM1984" s="2"/>
    </row>
    <row r="1985" spans="1:91">
      <c r="A1985" s="2" t="s">
        <v>71</v>
      </c>
      <c r="B1985" s="2" t="s">
        <v>72</v>
      </c>
      <c r="C1985" s="2" t="s">
        <v>73</v>
      </c>
      <c r="D1985" s="2"/>
      <c r="E1985" s="2" t="str">
        <f>"FES1162569584"</f>
        <v>FES1162569584</v>
      </c>
      <c r="F1985" s="3">
        <v>42964</v>
      </c>
      <c r="G1985" s="2">
        <v>201802</v>
      </c>
      <c r="H1985" s="2" t="s">
        <v>74</v>
      </c>
      <c r="I1985" s="2" t="s">
        <v>75</v>
      </c>
      <c r="J1985" s="2" t="s">
        <v>76</v>
      </c>
      <c r="K1985" s="2" t="s">
        <v>77</v>
      </c>
      <c r="L1985" s="2" t="s">
        <v>164</v>
      </c>
      <c r="M1985" s="2" t="s">
        <v>165</v>
      </c>
      <c r="N1985" s="2" t="s">
        <v>1191</v>
      </c>
      <c r="O1985" s="2" t="s">
        <v>100</v>
      </c>
      <c r="P1985" s="2" t="str">
        <f>"2170584784                    "</f>
        <v xml:space="preserve">2170584784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4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2</v>
      </c>
      <c r="BJ1985" s="2">
        <v>0.2</v>
      </c>
      <c r="BK1985" s="2">
        <v>2</v>
      </c>
      <c r="BL1985" s="2">
        <v>41.44</v>
      </c>
      <c r="BM1985" s="2">
        <v>5.8</v>
      </c>
      <c r="BN1985" s="2">
        <v>47.24</v>
      </c>
      <c r="BO1985" s="2">
        <v>47.24</v>
      </c>
      <c r="BP1985" s="2"/>
      <c r="BQ1985" s="2" t="s">
        <v>288</v>
      </c>
      <c r="BR1985" s="2" t="s">
        <v>84</v>
      </c>
      <c r="BS1985" s="3">
        <v>42965</v>
      </c>
      <c r="BT1985" s="4">
        <v>0.47500000000000003</v>
      </c>
      <c r="BU1985" s="2" t="s">
        <v>2586</v>
      </c>
      <c r="BV1985" s="2" t="s">
        <v>95</v>
      </c>
      <c r="BW1985" s="2"/>
      <c r="BX1985" s="2"/>
      <c r="BY1985" s="2">
        <v>1200</v>
      </c>
      <c r="BZ1985" s="2" t="s">
        <v>27</v>
      </c>
      <c r="CA1985" s="2" t="s">
        <v>1193</v>
      </c>
      <c r="CB1985" s="2"/>
      <c r="CC1985" s="2" t="s">
        <v>165</v>
      </c>
      <c r="CD1985" s="2">
        <v>6850</v>
      </c>
      <c r="CE1985" s="2" t="s">
        <v>104</v>
      </c>
      <c r="CF1985" s="5">
        <v>42968</v>
      </c>
      <c r="CG1985" s="2"/>
      <c r="CH1985" s="2"/>
      <c r="CI1985" s="2">
        <v>3</v>
      </c>
      <c r="CJ1985" s="2">
        <v>1</v>
      </c>
      <c r="CK1985" s="2">
        <v>21</v>
      </c>
      <c r="CL1985" s="2" t="s">
        <v>86</v>
      </c>
      <c r="CM1985" s="2"/>
    </row>
    <row r="1986" spans="1:91">
      <c r="A1986" s="2" t="s">
        <v>71</v>
      </c>
      <c r="B1986" s="2" t="s">
        <v>72</v>
      </c>
      <c r="C1986" s="2" t="s">
        <v>73</v>
      </c>
      <c r="D1986" s="2"/>
      <c r="E1986" s="2" t="str">
        <f>"FES1162569653"</f>
        <v>FES1162569653</v>
      </c>
      <c r="F1986" s="3">
        <v>42964</v>
      </c>
      <c r="G1986" s="2">
        <v>201802</v>
      </c>
      <c r="H1986" s="2" t="s">
        <v>74</v>
      </c>
      <c r="I1986" s="2" t="s">
        <v>75</v>
      </c>
      <c r="J1986" s="2" t="s">
        <v>76</v>
      </c>
      <c r="K1986" s="2" t="s">
        <v>77</v>
      </c>
      <c r="L1986" s="2" t="s">
        <v>105</v>
      </c>
      <c r="M1986" s="2" t="s">
        <v>106</v>
      </c>
      <c r="N1986" s="2" t="s">
        <v>486</v>
      </c>
      <c r="O1986" s="2" t="s">
        <v>100</v>
      </c>
      <c r="P1986" s="2" t="str">
        <f>"2170583116                    "</f>
        <v xml:space="preserve">2170583116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4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1</v>
      </c>
      <c r="BJ1986" s="2">
        <v>0.2</v>
      </c>
      <c r="BK1986" s="2">
        <v>1</v>
      </c>
      <c r="BL1986" s="2">
        <v>41.44</v>
      </c>
      <c r="BM1986" s="2">
        <v>5.8</v>
      </c>
      <c r="BN1986" s="2">
        <v>47.24</v>
      </c>
      <c r="BO1986" s="2">
        <v>47.24</v>
      </c>
      <c r="BP1986" s="2"/>
      <c r="BQ1986" s="2" t="s">
        <v>365</v>
      </c>
      <c r="BR1986" s="2" t="s">
        <v>84</v>
      </c>
      <c r="BS1986" s="3">
        <v>42965</v>
      </c>
      <c r="BT1986" s="4">
        <v>0.47916666666666669</v>
      </c>
      <c r="BU1986" s="2" t="s">
        <v>2524</v>
      </c>
      <c r="BV1986" s="2" t="s">
        <v>86</v>
      </c>
      <c r="BW1986" s="2" t="s">
        <v>110</v>
      </c>
      <c r="BX1986" s="2" t="s">
        <v>111</v>
      </c>
      <c r="BY1986" s="2">
        <v>1200</v>
      </c>
      <c r="BZ1986" s="2" t="s">
        <v>27</v>
      </c>
      <c r="CA1986" s="2" t="s">
        <v>291</v>
      </c>
      <c r="CB1986" s="2"/>
      <c r="CC1986" s="2" t="s">
        <v>106</v>
      </c>
      <c r="CD1986" s="2">
        <v>7441</v>
      </c>
      <c r="CE1986" s="2" t="s">
        <v>104</v>
      </c>
      <c r="CF1986" s="5">
        <v>42968</v>
      </c>
      <c r="CG1986" s="2"/>
      <c r="CH1986" s="2"/>
      <c r="CI1986" s="2">
        <v>1</v>
      </c>
      <c r="CJ1986" s="2">
        <v>1</v>
      </c>
      <c r="CK1986" s="2">
        <v>21</v>
      </c>
      <c r="CL1986" s="2" t="s">
        <v>86</v>
      </c>
      <c r="CM1986" s="2"/>
    </row>
    <row r="1987" spans="1:91">
      <c r="A1987" s="2" t="s">
        <v>71</v>
      </c>
      <c r="B1987" s="2" t="s">
        <v>72</v>
      </c>
      <c r="C1987" s="2" t="s">
        <v>73</v>
      </c>
      <c r="D1987" s="2"/>
      <c r="E1987" s="2" t="str">
        <f>"FES1162569607"</f>
        <v>FES1162569607</v>
      </c>
      <c r="F1987" s="3">
        <v>42964</v>
      </c>
      <c r="G1987" s="2">
        <v>201802</v>
      </c>
      <c r="H1987" s="2" t="s">
        <v>74</v>
      </c>
      <c r="I1987" s="2" t="s">
        <v>75</v>
      </c>
      <c r="J1987" s="2" t="s">
        <v>76</v>
      </c>
      <c r="K1987" s="2" t="s">
        <v>77</v>
      </c>
      <c r="L1987" s="2" t="s">
        <v>105</v>
      </c>
      <c r="M1987" s="2" t="s">
        <v>106</v>
      </c>
      <c r="N1987" s="2" t="s">
        <v>107</v>
      </c>
      <c r="O1987" s="2" t="s">
        <v>100</v>
      </c>
      <c r="P1987" s="2" t="str">
        <f>"2170585420                    "</f>
        <v xml:space="preserve">2170585420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4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1</v>
      </c>
      <c r="BJ1987" s="2">
        <v>0.2</v>
      </c>
      <c r="BK1987" s="2">
        <v>1</v>
      </c>
      <c r="BL1987" s="2">
        <v>41.44</v>
      </c>
      <c r="BM1987" s="2">
        <v>5.8</v>
      </c>
      <c r="BN1987" s="2">
        <v>47.24</v>
      </c>
      <c r="BO1987" s="2">
        <v>47.24</v>
      </c>
      <c r="BP1987" s="2"/>
      <c r="BQ1987" s="2" t="s">
        <v>108</v>
      </c>
      <c r="BR1987" s="2" t="s">
        <v>84</v>
      </c>
      <c r="BS1987" s="3">
        <v>42965</v>
      </c>
      <c r="BT1987" s="4">
        <v>0.41666666666666669</v>
      </c>
      <c r="BU1987" s="2" t="s">
        <v>830</v>
      </c>
      <c r="BV1987" s="2" t="s">
        <v>95</v>
      </c>
      <c r="BW1987" s="2"/>
      <c r="BX1987" s="2"/>
      <c r="BY1987" s="2">
        <v>1200</v>
      </c>
      <c r="BZ1987" s="2" t="s">
        <v>27</v>
      </c>
      <c r="CA1987" s="2"/>
      <c r="CB1987" s="2"/>
      <c r="CC1987" s="2" t="s">
        <v>106</v>
      </c>
      <c r="CD1987" s="2">
        <v>7405</v>
      </c>
      <c r="CE1987" s="2" t="s">
        <v>104</v>
      </c>
      <c r="CF1987" s="5">
        <v>42968</v>
      </c>
      <c r="CG1987" s="2"/>
      <c r="CH1987" s="2"/>
      <c r="CI1987" s="2">
        <v>1</v>
      </c>
      <c r="CJ1987" s="2">
        <v>1</v>
      </c>
      <c r="CK1987" s="2">
        <v>21</v>
      </c>
      <c r="CL1987" s="2" t="s">
        <v>86</v>
      </c>
      <c r="CM1987" s="2"/>
    </row>
    <row r="1988" spans="1:91">
      <c r="A1988" s="2" t="s">
        <v>71</v>
      </c>
      <c r="B1988" s="2" t="s">
        <v>72</v>
      </c>
      <c r="C1988" s="2" t="s">
        <v>73</v>
      </c>
      <c r="D1988" s="2"/>
      <c r="E1988" s="2" t="str">
        <f>"FES1162569594"</f>
        <v>FES1162569594</v>
      </c>
      <c r="F1988" s="3">
        <v>42964</v>
      </c>
      <c r="G1988" s="2">
        <v>201802</v>
      </c>
      <c r="H1988" s="2" t="s">
        <v>74</v>
      </c>
      <c r="I1988" s="2" t="s">
        <v>75</v>
      </c>
      <c r="J1988" s="2" t="s">
        <v>76</v>
      </c>
      <c r="K1988" s="2" t="s">
        <v>77</v>
      </c>
      <c r="L1988" s="2" t="s">
        <v>105</v>
      </c>
      <c r="M1988" s="2" t="s">
        <v>106</v>
      </c>
      <c r="N1988" s="2" t="s">
        <v>287</v>
      </c>
      <c r="O1988" s="2" t="s">
        <v>100</v>
      </c>
      <c r="P1988" s="2" t="str">
        <f>"2170585403                    "</f>
        <v xml:space="preserve">2170585403 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6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2.9</v>
      </c>
      <c r="BJ1988" s="2">
        <v>1.4</v>
      </c>
      <c r="BK1988" s="2">
        <v>3</v>
      </c>
      <c r="BL1988" s="2">
        <v>62.16</v>
      </c>
      <c r="BM1988" s="2">
        <v>8.6999999999999993</v>
      </c>
      <c r="BN1988" s="2">
        <v>70.86</v>
      </c>
      <c r="BO1988" s="2">
        <v>70.86</v>
      </c>
      <c r="BP1988" s="2"/>
      <c r="BQ1988" s="2" t="s">
        <v>288</v>
      </c>
      <c r="BR1988" s="2" t="s">
        <v>84</v>
      </c>
      <c r="BS1988" s="3">
        <v>42965</v>
      </c>
      <c r="BT1988" s="4">
        <v>0.43472222222222223</v>
      </c>
      <c r="BU1988" s="2" t="s">
        <v>1509</v>
      </c>
      <c r="BV1988" s="2" t="s">
        <v>95</v>
      </c>
      <c r="BW1988" s="2"/>
      <c r="BX1988" s="2"/>
      <c r="BY1988" s="2">
        <v>6897.24</v>
      </c>
      <c r="BZ1988" s="2" t="s">
        <v>27</v>
      </c>
      <c r="CA1988" s="2" t="s">
        <v>291</v>
      </c>
      <c r="CB1988" s="2"/>
      <c r="CC1988" s="2" t="s">
        <v>106</v>
      </c>
      <c r="CD1988" s="2">
        <v>7441</v>
      </c>
      <c r="CE1988" s="2" t="s">
        <v>89</v>
      </c>
      <c r="CF1988" s="5">
        <v>42968</v>
      </c>
      <c r="CG1988" s="2"/>
      <c r="CH1988" s="2"/>
      <c r="CI1988" s="2">
        <v>1</v>
      </c>
      <c r="CJ1988" s="2">
        <v>1</v>
      </c>
      <c r="CK1988" s="2">
        <v>21</v>
      </c>
      <c r="CL1988" s="2" t="s">
        <v>86</v>
      </c>
      <c r="CM1988" s="2"/>
    </row>
    <row r="1989" spans="1:91">
      <c r="A1989" s="2" t="s">
        <v>71</v>
      </c>
      <c r="B1989" s="2" t="s">
        <v>72</v>
      </c>
      <c r="C1989" s="2" t="s">
        <v>73</v>
      </c>
      <c r="D1989" s="2"/>
      <c r="E1989" s="2" t="str">
        <f>"FES1162569703"</f>
        <v>FES1162569703</v>
      </c>
      <c r="F1989" s="3">
        <v>42964</v>
      </c>
      <c r="G1989" s="2">
        <v>201802</v>
      </c>
      <c r="H1989" s="2" t="s">
        <v>74</v>
      </c>
      <c r="I1989" s="2" t="s">
        <v>75</v>
      </c>
      <c r="J1989" s="2" t="s">
        <v>76</v>
      </c>
      <c r="K1989" s="2" t="s">
        <v>77</v>
      </c>
      <c r="L1989" s="2" t="s">
        <v>97</v>
      </c>
      <c r="M1989" s="2" t="s">
        <v>98</v>
      </c>
      <c r="N1989" s="2" t="s">
        <v>119</v>
      </c>
      <c r="O1989" s="2" t="s">
        <v>100</v>
      </c>
      <c r="P1989" s="2" t="str">
        <f>"2170585303                    "</f>
        <v xml:space="preserve">2170585303            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4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1</v>
      </c>
      <c r="BI1989" s="2">
        <v>1</v>
      </c>
      <c r="BJ1989" s="2">
        <v>0.2</v>
      </c>
      <c r="BK1989" s="2">
        <v>1</v>
      </c>
      <c r="BL1989" s="2">
        <v>41.44</v>
      </c>
      <c r="BM1989" s="2">
        <v>5.8</v>
      </c>
      <c r="BN1989" s="2">
        <v>47.24</v>
      </c>
      <c r="BO1989" s="2">
        <v>47.24</v>
      </c>
      <c r="BP1989" s="2"/>
      <c r="BQ1989" s="2" t="s">
        <v>108</v>
      </c>
      <c r="BR1989" s="2" t="s">
        <v>84</v>
      </c>
      <c r="BS1989" s="3">
        <v>42965</v>
      </c>
      <c r="BT1989" s="4">
        <v>0.34375</v>
      </c>
      <c r="BU1989" s="2" t="s">
        <v>823</v>
      </c>
      <c r="BV1989" s="2" t="s">
        <v>95</v>
      </c>
      <c r="BW1989" s="2"/>
      <c r="BX1989" s="2"/>
      <c r="BY1989" s="2">
        <v>1200</v>
      </c>
      <c r="BZ1989" s="2" t="s">
        <v>27</v>
      </c>
      <c r="CA1989" s="2" t="s">
        <v>286</v>
      </c>
      <c r="CB1989" s="2"/>
      <c r="CC1989" s="2" t="s">
        <v>98</v>
      </c>
      <c r="CD1989" s="2">
        <v>6001</v>
      </c>
      <c r="CE1989" s="2" t="s">
        <v>104</v>
      </c>
      <c r="CF1989" s="5">
        <v>42968</v>
      </c>
      <c r="CG1989" s="2"/>
      <c r="CH1989" s="2"/>
      <c r="CI1989" s="2">
        <v>1</v>
      </c>
      <c r="CJ1989" s="2">
        <v>1</v>
      </c>
      <c r="CK1989" s="2">
        <v>21</v>
      </c>
      <c r="CL1989" s="2" t="s">
        <v>86</v>
      </c>
      <c r="CM1989" s="2"/>
    </row>
    <row r="1990" spans="1:91">
      <c r="A1990" s="2" t="s">
        <v>71</v>
      </c>
      <c r="B1990" s="2" t="s">
        <v>72</v>
      </c>
      <c r="C1990" s="2" t="s">
        <v>73</v>
      </c>
      <c r="D1990" s="2"/>
      <c r="E1990" s="2" t="str">
        <f>"FES1162569641"</f>
        <v>FES1162569641</v>
      </c>
      <c r="F1990" s="3">
        <v>42964</v>
      </c>
      <c r="G1990" s="2">
        <v>201802</v>
      </c>
      <c r="H1990" s="2" t="s">
        <v>74</v>
      </c>
      <c r="I1990" s="2" t="s">
        <v>75</v>
      </c>
      <c r="J1990" s="2" t="s">
        <v>76</v>
      </c>
      <c r="K1990" s="2" t="s">
        <v>77</v>
      </c>
      <c r="L1990" s="2" t="s">
        <v>105</v>
      </c>
      <c r="M1990" s="2" t="s">
        <v>106</v>
      </c>
      <c r="N1990" s="2" t="s">
        <v>253</v>
      </c>
      <c r="O1990" s="2" t="s">
        <v>100</v>
      </c>
      <c r="P1990" s="2" t="str">
        <f>"2170585440                    "</f>
        <v xml:space="preserve">2170585440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4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1</v>
      </c>
      <c r="BI1990" s="2">
        <v>1</v>
      </c>
      <c r="BJ1990" s="2">
        <v>0.2</v>
      </c>
      <c r="BK1990" s="2">
        <v>1</v>
      </c>
      <c r="BL1990" s="2">
        <v>41.44</v>
      </c>
      <c r="BM1990" s="2">
        <v>5.8</v>
      </c>
      <c r="BN1990" s="2">
        <v>47.24</v>
      </c>
      <c r="BO1990" s="2">
        <v>47.24</v>
      </c>
      <c r="BP1990" s="2"/>
      <c r="BQ1990" s="2" t="s">
        <v>108</v>
      </c>
      <c r="BR1990" s="2" t="s">
        <v>84</v>
      </c>
      <c r="BS1990" s="3">
        <v>42965</v>
      </c>
      <c r="BT1990" s="4">
        <v>0.4069444444444445</v>
      </c>
      <c r="BU1990" s="2" t="s">
        <v>2587</v>
      </c>
      <c r="BV1990" s="2" t="s">
        <v>95</v>
      </c>
      <c r="BW1990" s="2"/>
      <c r="BX1990" s="2"/>
      <c r="BY1990" s="2">
        <v>1200</v>
      </c>
      <c r="BZ1990" s="2" t="s">
        <v>27</v>
      </c>
      <c r="CA1990" s="2" t="s">
        <v>278</v>
      </c>
      <c r="CB1990" s="2"/>
      <c r="CC1990" s="2" t="s">
        <v>106</v>
      </c>
      <c r="CD1990" s="2">
        <v>7490</v>
      </c>
      <c r="CE1990" s="2" t="s">
        <v>104</v>
      </c>
      <c r="CF1990" s="5">
        <v>42968</v>
      </c>
      <c r="CG1990" s="2"/>
      <c r="CH1990" s="2"/>
      <c r="CI1990" s="2">
        <v>1</v>
      </c>
      <c r="CJ1990" s="2">
        <v>1</v>
      </c>
      <c r="CK1990" s="2">
        <v>21</v>
      </c>
      <c r="CL1990" s="2" t="s">
        <v>86</v>
      </c>
      <c r="CM1990" s="2"/>
    </row>
    <row r="1991" spans="1:91">
      <c r="A1991" s="2" t="s">
        <v>71</v>
      </c>
      <c r="B1991" s="2" t="s">
        <v>72</v>
      </c>
      <c r="C1991" s="2" t="s">
        <v>73</v>
      </c>
      <c r="D1991" s="2"/>
      <c r="E1991" s="2" t="str">
        <f>"FES1162569585"</f>
        <v>FES1162569585</v>
      </c>
      <c r="F1991" s="3">
        <v>42964</v>
      </c>
      <c r="G1991" s="2">
        <v>201802</v>
      </c>
      <c r="H1991" s="2" t="s">
        <v>74</v>
      </c>
      <c r="I1991" s="2" t="s">
        <v>75</v>
      </c>
      <c r="J1991" s="2" t="s">
        <v>76</v>
      </c>
      <c r="K1991" s="2" t="s">
        <v>77</v>
      </c>
      <c r="L1991" s="2" t="s">
        <v>164</v>
      </c>
      <c r="M1991" s="2" t="s">
        <v>165</v>
      </c>
      <c r="N1991" s="2" t="s">
        <v>1191</v>
      </c>
      <c r="O1991" s="2" t="s">
        <v>100</v>
      </c>
      <c r="P1991" s="2" t="str">
        <f>"2170584892                    "</f>
        <v xml:space="preserve">2170584892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4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41.44</v>
      </c>
      <c r="BM1991" s="2">
        <v>5.8</v>
      </c>
      <c r="BN1991" s="2">
        <v>47.24</v>
      </c>
      <c r="BO1991" s="2">
        <v>47.24</v>
      </c>
      <c r="BP1991" s="2"/>
      <c r="BQ1991" s="2" t="s">
        <v>288</v>
      </c>
      <c r="BR1991" s="2" t="s">
        <v>84</v>
      </c>
      <c r="BS1991" s="3">
        <v>42965</v>
      </c>
      <c r="BT1991" s="4">
        <v>0.47569444444444442</v>
      </c>
      <c r="BU1991" s="2" t="s">
        <v>2588</v>
      </c>
      <c r="BV1991" s="2" t="s">
        <v>95</v>
      </c>
      <c r="BW1991" s="2"/>
      <c r="BX1991" s="2"/>
      <c r="BY1991" s="2">
        <v>1200</v>
      </c>
      <c r="BZ1991" s="2" t="s">
        <v>27</v>
      </c>
      <c r="CA1991" s="2" t="s">
        <v>1193</v>
      </c>
      <c r="CB1991" s="2"/>
      <c r="CC1991" s="2" t="s">
        <v>165</v>
      </c>
      <c r="CD1991" s="2">
        <v>6850</v>
      </c>
      <c r="CE1991" s="2" t="s">
        <v>104</v>
      </c>
      <c r="CF1991" s="5">
        <v>42968</v>
      </c>
      <c r="CG1991" s="2"/>
      <c r="CH1991" s="2"/>
      <c r="CI1991" s="2">
        <v>3</v>
      </c>
      <c r="CJ1991" s="2">
        <v>1</v>
      </c>
      <c r="CK1991" s="2">
        <v>21</v>
      </c>
      <c r="CL1991" s="2" t="s">
        <v>86</v>
      </c>
      <c r="CM1991" s="2"/>
    </row>
    <row r="1992" spans="1:91">
      <c r="A1992" s="2" t="s">
        <v>71</v>
      </c>
      <c r="B1992" s="2" t="s">
        <v>72</v>
      </c>
      <c r="C1992" s="2" t="s">
        <v>73</v>
      </c>
      <c r="D1992" s="2"/>
      <c r="E1992" s="2" t="str">
        <f>"FES1162569774"</f>
        <v>FES1162569774</v>
      </c>
      <c r="F1992" s="3">
        <v>42964</v>
      </c>
      <c r="G1992" s="2">
        <v>201802</v>
      </c>
      <c r="H1992" s="2" t="s">
        <v>74</v>
      </c>
      <c r="I1992" s="2" t="s">
        <v>75</v>
      </c>
      <c r="J1992" s="2" t="s">
        <v>76</v>
      </c>
      <c r="K1992" s="2" t="s">
        <v>77</v>
      </c>
      <c r="L1992" s="2" t="s">
        <v>97</v>
      </c>
      <c r="M1992" s="2" t="s">
        <v>98</v>
      </c>
      <c r="N1992" s="2" t="s">
        <v>292</v>
      </c>
      <c r="O1992" s="2" t="s">
        <v>100</v>
      </c>
      <c r="P1992" s="2" t="str">
        <f>"2170582468                    "</f>
        <v xml:space="preserve">2170582468 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4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1</v>
      </c>
      <c r="BJ1992" s="2">
        <v>0.2</v>
      </c>
      <c r="BK1992" s="2">
        <v>1</v>
      </c>
      <c r="BL1992" s="2">
        <v>41.44</v>
      </c>
      <c r="BM1992" s="2">
        <v>5.8</v>
      </c>
      <c r="BN1992" s="2">
        <v>47.24</v>
      </c>
      <c r="BO1992" s="2">
        <v>47.24</v>
      </c>
      <c r="BP1992" s="2"/>
      <c r="BQ1992" s="2" t="s">
        <v>83</v>
      </c>
      <c r="BR1992" s="2" t="s">
        <v>84</v>
      </c>
      <c r="BS1992" s="3">
        <v>42965</v>
      </c>
      <c r="BT1992" s="4">
        <v>0.31666666666666665</v>
      </c>
      <c r="BU1992" s="2" t="s">
        <v>293</v>
      </c>
      <c r="BV1992" s="2" t="s">
        <v>95</v>
      </c>
      <c r="BW1992" s="2"/>
      <c r="BX1992" s="2"/>
      <c r="BY1992" s="2">
        <v>1200</v>
      </c>
      <c r="BZ1992" s="2" t="s">
        <v>27</v>
      </c>
      <c r="CA1992" s="2" t="s">
        <v>294</v>
      </c>
      <c r="CB1992" s="2"/>
      <c r="CC1992" s="2" t="s">
        <v>98</v>
      </c>
      <c r="CD1992" s="2">
        <v>6001</v>
      </c>
      <c r="CE1992" s="2" t="s">
        <v>104</v>
      </c>
      <c r="CF1992" s="5">
        <v>42968</v>
      </c>
      <c r="CG1992" s="2"/>
      <c r="CH1992" s="2"/>
      <c r="CI1992" s="2">
        <v>1</v>
      </c>
      <c r="CJ1992" s="2">
        <v>1</v>
      </c>
      <c r="CK1992" s="2">
        <v>21</v>
      </c>
      <c r="CL1992" s="2" t="s">
        <v>86</v>
      </c>
      <c r="CM1992" s="2"/>
    </row>
    <row r="1993" spans="1:91">
      <c r="A1993" s="2" t="s">
        <v>71</v>
      </c>
      <c r="B1993" s="2" t="s">
        <v>72</v>
      </c>
      <c r="C1993" s="2" t="s">
        <v>73</v>
      </c>
      <c r="D1993" s="2"/>
      <c r="E1993" s="2" t="str">
        <f>"FES1162569652"</f>
        <v>FES1162569652</v>
      </c>
      <c r="F1993" s="3">
        <v>42964</v>
      </c>
      <c r="G1993" s="2">
        <v>201802</v>
      </c>
      <c r="H1993" s="2" t="s">
        <v>74</v>
      </c>
      <c r="I1993" s="2" t="s">
        <v>75</v>
      </c>
      <c r="J1993" s="2" t="s">
        <v>76</v>
      </c>
      <c r="K1993" s="2" t="s">
        <v>77</v>
      </c>
      <c r="L1993" s="2" t="s">
        <v>105</v>
      </c>
      <c r="M1993" s="2" t="s">
        <v>106</v>
      </c>
      <c r="N1993" s="2" t="s">
        <v>655</v>
      </c>
      <c r="O1993" s="2" t="s">
        <v>100</v>
      </c>
      <c r="P1993" s="2" t="str">
        <f>"2170583092                    "</f>
        <v xml:space="preserve">2170583092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4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1</v>
      </c>
      <c r="BJ1993" s="2">
        <v>0.2</v>
      </c>
      <c r="BK1993" s="2">
        <v>1</v>
      </c>
      <c r="BL1993" s="2">
        <v>41.44</v>
      </c>
      <c r="BM1993" s="2">
        <v>5.8</v>
      </c>
      <c r="BN1993" s="2">
        <v>47.24</v>
      </c>
      <c r="BO1993" s="2">
        <v>47.24</v>
      </c>
      <c r="BP1993" s="2"/>
      <c r="BQ1993" s="2" t="s">
        <v>209</v>
      </c>
      <c r="BR1993" s="2" t="s">
        <v>84</v>
      </c>
      <c r="BS1993" s="3">
        <v>42965</v>
      </c>
      <c r="BT1993" s="4">
        <v>0.44791666666666669</v>
      </c>
      <c r="BU1993" s="2" t="s">
        <v>2589</v>
      </c>
      <c r="BV1993" s="2" t="s">
        <v>95</v>
      </c>
      <c r="BW1993" s="2"/>
      <c r="BX1993" s="2"/>
      <c r="BY1993" s="2">
        <v>1200</v>
      </c>
      <c r="BZ1993" s="2" t="s">
        <v>27</v>
      </c>
      <c r="CA1993" s="2" t="s">
        <v>350</v>
      </c>
      <c r="CB1993" s="2"/>
      <c r="CC1993" s="2" t="s">
        <v>106</v>
      </c>
      <c r="CD1993" s="2">
        <v>7945</v>
      </c>
      <c r="CE1993" s="2" t="s">
        <v>104</v>
      </c>
      <c r="CF1993" s="5">
        <v>42968</v>
      </c>
      <c r="CG1993" s="2"/>
      <c r="CH1993" s="2"/>
      <c r="CI1993" s="2">
        <v>1</v>
      </c>
      <c r="CJ1993" s="2">
        <v>1</v>
      </c>
      <c r="CK1993" s="2">
        <v>21</v>
      </c>
      <c r="CL1993" s="2" t="s">
        <v>86</v>
      </c>
      <c r="CM1993" s="2"/>
    </row>
    <row r="1994" spans="1:91">
      <c r="A1994" s="2" t="s">
        <v>71</v>
      </c>
      <c r="B1994" s="2" t="s">
        <v>72</v>
      </c>
      <c r="C1994" s="2" t="s">
        <v>73</v>
      </c>
      <c r="D1994" s="2"/>
      <c r="E1994" s="2" t="str">
        <f>"FES1162569605"</f>
        <v>FES1162569605</v>
      </c>
      <c r="F1994" s="3">
        <v>42964</v>
      </c>
      <c r="G1994" s="2">
        <v>201802</v>
      </c>
      <c r="H1994" s="2" t="s">
        <v>74</v>
      </c>
      <c r="I1994" s="2" t="s">
        <v>75</v>
      </c>
      <c r="J1994" s="2" t="s">
        <v>76</v>
      </c>
      <c r="K1994" s="2" t="s">
        <v>77</v>
      </c>
      <c r="L1994" s="2" t="s">
        <v>105</v>
      </c>
      <c r="M1994" s="2" t="s">
        <v>106</v>
      </c>
      <c r="N1994" s="2" t="s">
        <v>107</v>
      </c>
      <c r="O1994" s="2" t="s">
        <v>100</v>
      </c>
      <c r="P1994" s="2" t="str">
        <f>"2170585418                    "</f>
        <v xml:space="preserve">2170585418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4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1</v>
      </c>
      <c r="BJ1994" s="2">
        <v>0.2</v>
      </c>
      <c r="BK1994" s="2">
        <v>1</v>
      </c>
      <c r="BL1994" s="2">
        <v>41.44</v>
      </c>
      <c r="BM1994" s="2">
        <v>5.8</v>
      </c>
      <c r="BN1994" s="2">
        <v>47.24</v>
      </c>
      <c r="BO1994" s="2">
        <v>47.24</v>
      </c>
      <c r="BP1994" s="2"/>
      <c r="BQ1994" s="2" t="s">
        <v>108</v>
      </c>
      <c r="BR1994" s="2" t="s">
        <v>84</v>
      </c>
      <c r="BS1994" s="3">
        <v>42965</v>
      </c>
      <c r="BT1994" s="4">
        <v>0.52847222222222223</v>
      </c>
      <c r="BU1994" s="2" t="s">
        <v>855</v>
      </c>
      <c r="BV1994" s="2" t="s">
        <v>86</v>
      </c>
      <c r="BW1994" s="2" t="s">
        <v>110</v>
      </c>
      <c r="BX1994" s="2" t="s">
        <v>537</v>
      </c>
      <c r="BY1994" s="2">
        <v>1200</v>
      </c>
      <c r="BZ1994" s="2" t="s">
        <v>27</v>
      </c>
      <c r="CA1994" s="2" t="s">
        <v>856</v>
      </c>
      <c r="CB1994" s="2"/>
      <c r="CC1994" s="2" t="s">
        <v>106</v>
      </c>
      <c r="CD1994" s="2">
        <v>7405</v>
      </c>
      <c r="CE1994" s="2" t="s">
        <v>104</v>
      </c>
      <c r="CF1994" s="5">
        <v>42968</v>
      </c>
      <c r="CG1994" s="2"/>
      <c r="CH1994" s="2"/>
      <c r="CI1994" s="2">
        <v>1</v>
      </c>
      <c r="CJ1994" s="2">
        <v>1</v>
      </c>
      <c r="CK1994" s="2">
        <v>21</v>
      </c>
      <c r="CL1994" s="2" t="s">
        <v>86</v>
      </c>
      <c r="CM1994" s="2"/>
    </row>
    <row r="1995" spans="1:91">
      <c r="A1995" s="2" t="s">
        <v>71</v>
      </c>
      <c r="B1995" s="2" t="s">
        <v>72</v>
      </c>
      <c r="C1995" s="2" t="s">
        <v>73</v>
      </c>
      <c r="D1995" s="2"/>
      <c r="E1995" s="2" t="str">
        <f>"FES1162569581"</f>
        <v>FES1162569581</v>
      </c>
      <c r="F1995" s="3">
        <v>42964</v>
      </c>
      <c r="G1995" s="2">
        <v>201802</v>
      </c>
      <c r="H1995" s="2" t="s">
        <v>74</v>
      </c>
      <c r="I1995" s="2" t="s">
        <v>75</v>
      </c>
      <c r="J1995" s="2" t="s">
        <v>76</v>
      </c>
      <c r="K1995" s="2" t="s">
        <v>77</v>
      </c>
      <c r="L1995" s="2" t="s">
        <v>105</v>
      </c>
      <c r="M1995" s="2" t="s">
        <v>106</v>
      </c>
      <c r="N1995" s="2" t="s">
        <v>107</v>
      </c>
      <c r="O1995" s="2" t="s">
        <v>100</v>
      </c>
      <c r="P1995" s="2" t="str">
        <f>"2170583774                    "</f>
        <v xml:space="preserve">2170583774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4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1</v>
      </c>
      <c r="BI1995" s="2">
        <v>1</v>
      </c>
      <c r="BJ1995" s="2">
        <v>0.2</v>
      </c>
      <c r="BK1995" s="2">
        <v>1</v>
      </c>
      <c r="BL1995" s="2">
        <v>41.44</v>
      </c>
      <c r="BM1995" s="2">
        <v>5.8</v>
      </c>
      <c r="BN1995" s="2">
        <v>47.24</v>
      </c>
      <c r="BO1995" s="2">
        <v>47.24</v>
      </c>
      <c r="BP1995" s="2"/>
      <c r="BQ1995" s="2" t="s">
        <v>108</v>
      </c>
      <c r="BR1995" s="2" t="s">
        <v>84</v>
      </c>
      <c r="BS1995" s="3">
        <v>42965</v>
      </c>
      <c r="BT1995" s="4">
        <v>0.52777777777777779</v>
      </c>
      <c r="BU1995" s="2" t="s">
        <v>855</v>
      </c>
      <c r="BV1995" s="2" t="s">
        <v>86</v>
      </c>
      <c r="BW1995" s="2" t="s">
        <v>110</v>
      </c>
      <c r="BX1995" s="2" t="s">
        <v>537</v>
      </c>
      <c r="BY1995" s="2">
        <v>1200</v>
      </c>
      <c r="BZ1995" s="2" t="s">
        <v>27</v>
      </c>
      <c r="CA1995" s="2" t="s">
        <v>856</v>
      </c>
      <c r="CB1995" s="2"/>
      <c r="CC1995" s="2" t="s">
        <v>106</v>
      </c>
      <c r="CD1995" s="2">
        <v>7405</v>
      </c>
      <c r="CE1995" s="2" t="s">
        <v>104</v>
      </c>
      <c r="CF1995" s="5">
        <v>42968</v>
      </c>
      <c r="CG1995" s="2"/>
      <c r="CH1995" s="2"/>
      <c r="CI1995" s="2">
        <v>1</v>
      </c>
      <c r="CJ1995" s="2">
        <v>1</v>
      </c>
      <c r="CK1995" s="2">
        <v>21</v>
      </c>
      <c r="CL1995" s="2" t="s">
        <v>86</v>
      </c>
      <c r="CM1995" s="2"/>
    </row>
    <row r="1996" spans="1:91">
      <c r="A1996" s="2" t="s">
        <v>71</v>
      </c>
      <c r="B1996" s="2" t="s">
        <v>72</v>
      </c>
      <c r="C1996" s="2" t="s">
        <v>73</v>
      </c>
      <c r="D1996" s="2"/>
      <c r="E1996" s="2" t="str">
        <f>"FES1162569570"</f>
        <v>FES1162569570</v>
      </c>
      <c r="F1996" s="3">
        <v>42964</v>
      </c>
      <c r="G1996" s="2">
        <v>201802</v>
      </c>
      <c r="H1996" s="2" t="s">
        <v>74</v>
      </c>
      <c r="I1996" s="2" t="s">
        <v>75</v>
      </c>
      <c r="J1996" s="2" t="s">
        <v>76</v>
      </c>
      <c r="K1996" s="2" t="s">
        <v>77</v>
      </c>
      <c r="L1996" s="2" t="s">
        <v>105</v>
      </c>
      <c r="M1996" s="2" t="s">
        <v>106</v>
      </c>
      <c r="N1996" s="2" t="s">
        <v>107</v>
      </c>
      <c r="O1996" s="2" t="s">
        <v>100</v>
      </c>
      <c r="P1996" s="2" t="str">
        <f>"2170583339                    "</f>
        <v xml:space="preserve">2170583339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4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1</v>
      </c>
      <c r="BJ1996" s="2">
        <v>0.2</v>
      </c>
      <c r="BK1996" s="2">
        <v>1</v>
      </c>
      <c r="BL1996" s="2">
        <v>41.44</v>
      </c>
      <c r="BM1996" s="2">
        <v>5.8</v>
      </c>
      <c r="BN1996" s="2">
        <v>47.24</v>
      </c>
      <c r="BO1996" s="2">
        <v>47.24</v>
      </c>
      <c r="BP1996" s="2"/>
      <c r="BQ1996" s="2" t="s">
        <v>108</v>
      </c>
      <c r="BR1996" s="2" t="s">
        <v>84</v>
      </c>
      <c r="BS1996" s="3">
        <v>42965</v>
      </c>
      <c r="BT1996" s="4">
        <v>0.52708333333333335</v>
      </c>
      <c r="BU1996" s="2" t="s">
        <v>855</v>
      </c>
      <c r="BV1996" s="2" t="s">
        <v>86</v>
      </c>
      <c r="BW1996" s="2" t="s">
        <v>110</v>
      </c>
      <c r="BX1996" s="2" t="s">
        <v>537</v>
      </c>
      <c r="BY1996" s="2">
        <v>1200</v>
      </c>
      <c r="BZ1996" s="2" t="s">
        <v>27</v>
      </c>
      <c r="CA1996" s="2" t="s">
        <v>856</v>
      </c>
      <c r="CB1996" s="2"/>
      <c r="CC1996" s="2" t="s">
        <v>106</v>
      </c>
      <c r="CD1996" s="2">
        <v>7405</v>
      </c>
      <c r="CE1996" s="2" t="s">
        <v>104</v>
      </c>
      <c r="CF1996" s="5">
        <v>42968</v>
      </c>
      <c r="CG1996" s="2"/>
      <c r="CH1996" s="2"/>
      <c r="CI1996" s="2">
        <v>1</v>
      </c>
      <c r="CJ1996" s="2">
        <v>1</v>
      </c>
      <c r="CK1996" s="2">
        <v>21</v>
      </c>
      <c r="CL1996" s="2" t="s">
        <v>86</v>
      </c>
      <c r="CM1996" s="2"/>
    </row>
    <row r="1997" spans="1:91">
      <c r="A1997" s="2" t="s">
        <v>71</v>
      </c>
      <c r="B1997" s="2" t="s">
        <v>72</v>
      </c>
      <c r="C1997" s="2" t="s">
        <v>73</v>
      </c>
      <c r="D1997" s="2"/>
      <c r="E1997" s="2" t="str">
        <f>"FES1162569642"</f>
        <v>FES1162569642</v>
      </c>
      <c r="F1997" s="3">
        <v>42964</v>
      </c>
      <c r="G1997" s="2">
        <v>201802</v>
      </c>
      <c r="H1997" s="2" t="s">
        <v>74</v>
      </c>
      <c r="I1997" s="2" t="s">
        <v>75</v>
      </c>
      <c r="J1997" s="2" t="s">
        <v>76</v>
      </c>
      <c r="K1997" s="2" t="s">
        <v>77</v>
      </c>
      <c r="L1997" s="2" t="s">
        <v>144</v>
      </c>
      <c r="M1997" s="2" t="s">
        <v>145</v>
      </c>
      <c r="N1997" s="2" t="s">
        <v>146</v>
      </c>
      <c r="O1997" s="2" t="s">
        <v>100</v>
      </c>
      <c r="P1997" s="2" t="str">
        <f>"2170585441                    "</f>
        <v xml:space="preserve">2170585441 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3.13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4.4000000000000004</v>
      </c>
      <c r="BJ1997" s="2">
        <v>3.5</v>
      </c>
      <c r="BK1997" s="2">
        <v>5</v>
      </c>
      <c r="BL1997" s="2">
        <v>32.380000000000003</v>
      </c>
      <c r="BM1997" s="2">
        <v>4.53</v>
      </c>
      <c r="BN1997" s="2">
        <v>36.909999999999997</v>
      </c>
      <c r="BO1997" s="2">
        <v>36.909999999999997</v>
      </c>
      <c r="BP1997" s="2"/>
      <c r="BQ1997" s="2" t="s">
        <v>83</v>
      </c>
      <c r="BR1997" s="2" t="s">
        <v>84</v>
      </c>
      <c r="BS1997" s="3">
        <v>42965</v>
      </c>
      <c r="BT1997" s="4">
        <v>0.3888888888888889</v>
      </c>
      <c r="BU1997" s="2" t="s">
        <v>273</v>
      </c>
      <c r="BV1997" s="2" t="s">
        <v>95</v>
      </c>
      <c r="BW1997" s="2"/>
      <c r="BX1997" s="2"/>
      <c r="BY1997" s="2">
        <v>17425.099999999999</v>
      </c>
      <c r="BZ1997" s="2" t="s">
        <v>27</v>
      </c>
      <c r="CA1997" s="2" t="s">
        <v>274</v>
      </c>
      <c r="CB1997" s="2"/>
      <c r="CC1997" s="2" t="s">
        <v>145</v>
      </c>
      <c r="CD1997" s="2">
        <v>2094</v>
      </c>
      <c r="CE1997" s="2" t="s">
        <v>89</v>
      </c>
      <c r="CF1997" s="5">
        <v>42968</v>
      </c>
      <c r="CG1997" s="2"/>
      <c r="CH1997" s="2"/>
      <c r="CI1997" s="2">
        <v>1</v>
      </c>
      <c r="CJ1997" s="2">
        <v>1</v>
      </c>
      <c r="CK1997" s="2">
        <v>22</v>
      </c>
      <c r="CL1997" s="2" t="s">
        <v>86</v>
      </c>
      <c r="CM1997" s="2"/>
    </row>
    <row r="1998" spans="1:91">
      <c r="A1998" s="2" t="s">
        <v>71</v>
      </c>
      <c r="B1998" s="2" t="s">
        <v>72</v>
      </c>
      <c r="C1998" s="2" t="s">
        <v>73</v>
      </c>
      <c r="D1998" s="2"/>
      <c r="E1998" s="2" t="str">
        <f>"FES1162569722"</f>
        <v>FES1162569722</v>
      </c>
      <c r="F1998" s="3">
        <v>42964</v>
      </c>
      <c r="G1998" s="2">
        <v>201802</v>
      </c>
      <c r="H1998" s="2" t="s">
        <v>74</v>
      </c>
      <c r="I1998" s="2" t="s">
        <v>75</v>
      </c>
      <c r="J1998" s="2" t="s">
        <v>76</v>
      </c>
      <c r="K1998" s="2" t="s">
        <v>77</v>
      </c>
      <c r="L1998" s="2" t="s">
        <v>97</v>
      </c>
      <c r="M1998" s="2" t="s">
        <v>98</v>
      </c>
      <c r="N1998" s="2" t="s">
        <v>2590</v>
      </c>
      <c r="O1998" s="2" t="s">
        <v>100</v>
      </c>
      <c r="P1998" s="2" t="str">
        <f>"2170585503                    "</f>
        <v xml:space="preserve">2170585503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12.01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6</v>
      </c>
      <c r="BJ1998" s="2">
        <v>2.2000000000000002</v>
      </c>
      <c r="BK1998" s="2">
        <v>6</v>
      </c>
      <c r="BL1998" s="2">
        <v>124.33</v>
      </c>
      <c r="BM1998" s="2">
        <v>17.41</v>
      </c>
      <c r="BN1998" s="2">
        <v>141.74</v>
      </c>
      <c r="BO1998" s="2">
        <v>141.74</v>
      </c>
      <c r="BP1998" s="2"/>
      <c r="BQ1998" s="2" t="s">
        <v>288</v>
      </c>
      <c r="BR1998" s="2" t="s">
        <v>84</v>
      </c>
      <c r="BS1998" s="3">
        <v>42965</v>
      </c>
      <c r="BT1998" s="4">
        <v>0.34027777777777773</v>
      </c>
      <c r="BU1998" s="2" t="s">
        <v>2591</v>
      </c>
      <c r="BV1998" s="2" t="s">
        <v>95</v>
      </c>
      <c r="BW1998" s="2"/>
      <c r="BX1998" s="2"/>
      <c r="BY1998" s="2">
        <v>10920</v>
      </c>
      <c r="BZ1998" s="2" t="s">
        <v>27</v>
      </c>
      <c r="CA1998" s="2" t="s">
        <v>627</v>
      </c>
      <c r="CB1998" s="2"/>
      <c r="CC1998" s="2" t="s">
        <v>98</v>
      </c>
      <c r="CD1998" s="2">
        <v>6000</v>
      </c>
      <c r="CE1998" s="2" t="s">
        <v>89</v>
      </c>
      <c r="CF1998" s="5">
        <v>42968</v>
      </c>
      <c r="CG1998" s="2"/>
      <c r="CH1998" s="2"/>
      <c r="CI1998" s="2">
        <v>1</v>
      </c>
      <c r="CJ1998" s="2">
        <v>1</v>
      </c>
      <c r="CK1998" s="2">
        <v>21</v>
      </c>
      <c r="CL1998" s="2" t="s">
        <v>86</v>
      </c>
      <c r="CM1998" s="2"/>
    </row>
    <row r="1999" spans="1:91">
      <c r="A1999" s="2" t="s">
        <v>71</v>
      </c>
      <c r="B1999" s="2" t="s">
        <v>72</v>
      </c>
      <c r="C1999" s="2" t="s">
        <v>73</v>
      </c>
      <c r="D1999" s="2"/>
      <c r="E1999" s="2" t="str">
        <f>"FES1162569628"</f>
        <v>FES1162569628</v>
      </c>
      <c r="F1999" s="3">
        <v>42964</v>
      </c>
      <c r="G1999" s="2">
        <v>201802</v>
      </c>
      <c r="H1999" s="2" t="s">
        <v>74</v>
      </c>
      <c r="I1999" s="2" t="s">
        <v>75</v>
      </c>
      <c r="J1999" s="2" t="s">
        <v>76</v>
      </c>
      <c r="K1999" s="2" t="s">
        <v>77</v>
      </c>
      <c r="L1999" s="2" t="s">
        <v>105</v>
      </c>
      <c r="M1999" s="2" t="s">
        <v>106</v>
      </c>
      <c r="N1999" s="2" t="s">
        <v>851</v>
      </c>
      <c r="O1999" s="2" t="s">
        <v>100</v>
      </c>
      <c r="P1999" s="2" t="str">
        <f>"2170583112                    "</f>
        <v xml:space="preserve">2170583112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4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1</v>
      </c>
      <c r="BJ1999" s="2">
        <v>0.2</v>
      </c>
      <c r="BK1999" s="2">
        <v>1</v>
      </c>
      <c r="BL1999" s="2">
        <v>41.44</v>
      </c>
      <c r="BM1999" s="2">
        <v>5.8</v>
      </c>
      <c r="BN1999" s="2">
        <v>47.24</v>
      </c>
      <c r="BO1999" s="2">
        <v>47.24</v>
      </c>
      <c r="BP1999" s="2"/>
      <c r="BQ1999" s="2" t="s">
        <v>288</v>
      </c>
      <c r="BR1999" s="2" t="s">
        <v>84</v>
      </c>
      <c r="BS1999" s="3">
        <v>42965</v>
      </c>
      <c r="BT1999" s="4">
        <v>0.5229166666666667</v>
      </c>
      <c r="BU1999" s="2" t="s">
        <v>852</v>
      </c>
      <c r="BV1999" s="2" t="s">
        <v>86</v>
      </c>
      <c r="BW1999" s="2" t="s">
        <v>124</v>
      </c>
      <c r="BX1999" s="2" t="s">
        <v>853</v>
      </c>
      <c r="BY1999" s="2">
        <v>1200</v>
      </c>
      <c r="BZ1999" s="2" t="s">
        <v>27</v>
      </c>
      <c r="CA1999" s="2" t="s">
        <v>854</v>
      </c>
      <c r="CB1999" s="2"/>
      <c r="CC1999" s="2" t="s">
        <v>106</v>
      </c>
      <c r="CD1999" s="2">
        <v>7800</v>
      </c>
      <c r="CE1999" s="2" t="s">
        <v>104</v>
      </c>
      <c r="CF1999" s="5">
        <v>42968</v>
      </c>
      <c r="CG1999" s="2"/>
      <c r="CH1999" s="2"/>
      <c r="CI1999" s="2">
        <v>1</v>
      </c>
      <c r="CJ1999" s="2">
        <v>1</v>
      </c>
      <c r="CK1999" s="2">
        <v>21</v>
      </c>
      <c r="CL1999" s="2" t="s">
        <v>86</v>
      </c>
      <c r="CM1999" s="2"/>
    </row>
    <row r="2000" spans="1:91">
      <c r="A2000" s="2" t="s">
        <v>71</v>
      </c>
      <c r="B2000" s="2" t="s">
        <v>72</v>
      </c>
      <c r="C2000" s="2" t="s">
        <v>73</v>
      </c>
      <c r="D2000" s="2"/>
      <c r="E2000" s="2" t="str">
        <f>"FES1162569679"</f>
        <v>FES1162569679</v>
      </c>
      <c r="F2000" s="3">
        <v>42964</v>
      </c>
      <c r="G2000" s="2">
        <v>201802</v>
      </c>
      <c r="H2000" s="2" t="s">
        <v>74</v>
      </c>
      <c r="I2000" s="2" t="s">
        <v>75</v>
      </c>
      <c r="J2000" s="2" t="s">
        <v>76</v>
      </c>
      <c r="K2000" s="2" t="s">
        <v>77</v>
      </c>
      <c r="L2000" s="2" t="s">
        <v>846</v>
      </c>
      <c r="M2000" s="2" t="s">
        <v>847</v>
      </c>
      <c r="N2000" s="2" t="s">
        <v>848</v>
      </c>
      <c r="O2000" s="2" t="s">
        <v>100</v>
      </c>
      <c r="P2000" s="2" t="str">
        <f>"2170583784                    "</f>
        <v xml:space="preserve">2170583784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7.75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1</v>
      </c>
      <c r="BJ2000" s="2">
        <v>0.2</v>
      </c>
      <c r="BK2000" s="2">
        <v>1</v>
      </c>
      <c r="BL2000" s="2">
        <v>80.290000000000006</v>
      </c>
      <c r="BM2000" s="2">
        <v>11.24</v>
      </c>
      <c r="BN2000" s="2">
        <v>91.53</v>
      </c>
      <c r="BO2000" s="2">
        <v>91.53</v>
      </c>
      <c r="BP2000" s="2"/>
      <c r="BQ2000" s="2" t="s">
        <v>108</v>
      </c>
      <c r="BR2000" s="2" t="s">
        <v>84</v>
      </c>
      <c r="BS2000" s="3">
        <v>42965</v>
      </c>
      <c r="BT2000" s="4">
        <v>0.49444444444444446</v>
      </c>
      <c r="BU2000" s="2" t="s">
        <v>849</v>
      </c>
      <c r="BV2000" s="2" t="s">
        <v>95</v>
      </c>
      <c r="BW2000" s="2"/>
      <c r="BX2000" s="2"/>
      <c r="BY2000" s="2">
        <v>1200</v>
      </c>
      <c r="BZ2000" s="2" t="s">
        <v>27</v>
      </c>
      <c r="CA2000" s="2" t="s">
        <v>850</v>
      </c>
      <c r="CB2000" s="2"/>
      <c r="CC2000" s="2" t="s">
        <v>847</v>
      </c>
      <c r="CD2000" s="2">
        <v>7349</v>
      </c>
      <c r="CE2000" s="2" t="s">
        <v>104</v>
      </c>
      <c r="CF2000" s="5">
        <v>42968</v>
      </c>
      <c r="CG2000" s="2"/>
      <c r="CH2000" s="2"/>
      <c r="CI2000" s="2">
        <v>1</v>
      </c>
      <c r="CJ2000" s="2">
        <v>1</v>
      </c>
      <c r="CK2000" s="2">
        <v>23</v>
      </c>
      <c r="CL2000" s="2" t="s">
        <v>86</v>
      </c>
      <c r="CM2000" s="2"/>
    </row>
    <row r="2001" spans="1:91">
      <c r="A2001" s="2" t="s">
        <v>71</v>
      </c>
      <c r="B2001" s="2" t="s">
        <v>72</v>
      </c>
      <c r="C2001" s="2" t="s">
        <v>73</v>
      </c>
      <c r="D2001" s="2"/>
      <c r="E2001" s="2" t="str">
        <f>"FES1162569692"</f>
        <v>FES1162569692</v>
      </c>
      <c r="F2001" s="3">
        <v>42964</v>
      </c>
      <c r="G2001" s="2">
        <v>201802</v>
      </c>
      <c r="H2001" s="2" t="s">
        <v>74</v>
      </c>
      <c r="I2001" s="2" t="s">
        <v>75</v>
      </c>
      <c r="J2001" s="2" t="s">
        <v>76</v>
      </c>
      <c r="K2001" s="2" t="s">
        <v>77</v>
      </c>
      <c r="L2001" s="2" t="s">
        <v>417</v>
      </c>
      <c r="M2001" s="2" t="s">
        <v>417</v>
      </c>
      <c r="N2001" s="2" t="s">
        <v>1414</v>
      </c>
      <c r="O2001" s="2" t="s">
        <v>100</v>
      </c>
      <c r="P2001" s="2" t="str">
        <f>"2170582530                    "</f>
        <v xml:space="preserve">2170582530                    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4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1</v>
      </c>
      <c r="BJ2001" s="2">
        <v>0.2</v>
      </c>
      <c r="BK2001" s="2">
        <v>1</v>
      </c>
      <c r="BL2001" s="2">
        <v>41.44</v>
      </c>
      <c r="BM2001" s="2">
        <v>5.8</v>
      </c>
      <c r="BN2001" s="2">
        <v>47.24</v>
      </c>
      <c r="BO2001" s="2">
        <v>47.24</v>
      </c>
      <c r="BP2001" s="2"/>
      <c r="BQ2001" s="2" t="s">
        <v>108</v>
      </c>
      <c r="BR2001" s="2" t="s">
        <v>84</v>
      </c>
      <c r="BS2001" s="3">
        <v>42965</v>
      </c>
      <c r="BT2001" s="4">
        <v>0.52777777777777779</v>
      </c>
      <c r="BU2001" s="2" t="s">
        <v>699</v>
      </c>
      <c r="BV2001" s="2" t="s">
        <v>95</v>
      </c>
      <c r="BW2001" s="2"/>
      <c r="BX2001" s="2"/>
      <c r="BY2001" s="2">
        <v>1200</v>
      </c>
      <c r="BZ2001" s="2" t="s">
        <v>27</v>
      </c>
      <c r="CA2001" s="2" t="s">
        <v>460</v>
      </c>
      <c r="CB2001" s="2"/>
      <c r="CC2001" s="2" t="s">
        <v>417</v>
      </c>
      <c r="CD2001" s="2">
        <v>7646</v>
      </c>
      <c r="CE2001" s="2" t="s">
        <v>104</v>
      </c>
      <c r="CF2001" s="5">
        <v>42968</v>
      </c>
      <c r="CG2001" s="2"/>
      <c r="CH2001" s="2"/>
      <c r="CI2001" s="2">
        <v>1</v>
      </c>
      <c r="CJ2001" s="2">
        <v>1</v>
      </c>
      <c r="CK2001" s="2">
        <v>21</v>
      </c>
      <c r="CL2001" s="2" t="s">
        <v>86</v>
      </c>
      <c r="CM2001" s="2"/>
    </row>
    <row r="2002" spans="1:91">
      <c r="A2002" s="2" t="s">
        <v>71</v>
      </c>
      <c r="B2002" s="2" t="s">
        <v>72</v>
      </c>
      <c r="C2002" s="2" t="s">
        <v>73</v>
      </c>
      <c r="D2002" s="2"/>
      <c r="E2002" s="2" t="str">
        <f>"FES1162569623"</f>
        <v>FES1162569623</v>
      </c>
      <c r="F2002" s="3">
        <v>42964</v>
      </c>
      <c r="G2002" s="2">
        <v>201802</v>
      </c>
      <c r="H2002" s="2" t="s">
        <v>74</v>
      </c>
      <c r="I2002" s="2" t="s">
        <v>75</v>
      </c>
      <c r="J2002" s="2" t="s">
        <v>76</v>
      </c>
      <c r="K2002" s="2" t="s">
        <v>77</v>
      </c>
      <c r="L2002" s="2" t="s">
        <v>105</v>
      </c>
      <c r="M2002" s="2" t="s">
        <v>106</v>
      </c>
      <c r="N2002" s="2" t="s">
        <v>851</v>
      </c>
      <c r="O2002" s="2" t="s">
        <v>100</v>
      </c>
      <c r="P2002" s="2" t="str">
        <f>"2170582787                    "</f>
        <v xml:space="preserve">2170582787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4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1</v>
      </c>
      <c r="BI2002" s="2">
        <v>1</v>
      </c>
      <c r="BJ2002" s="2">
        <v>0.2</v>
      </c>
      <c r="BK2002" s="2">
        <v>1</v>
      </c>
      <c r="BL2002" s="2">
        <v>41.44</v>
      </c>
      <c r="BM2002" s="2">
        <v>5.8</v>
      </c>
      <c r="BN2002" s="2">
        <v>47.24</v>
      </c>
      <c r="BO2002" s="2">
        <v>47.24</v>
      </c>
      <c r="BP2002" s="2"/>
      <c r="BQ2002" s="2" t="s">
        <v>288</v>
      </c>
      <c r="BR2002" s="2" t="s">
        <v>84</v>
      </c>
      <c r="BS2002" s="3">
        <v>42965</v>
      </c>
      <c r="BT2002" s="4">
        <v>0.5229166666666667</v>
      </c>
      <c r="BU2002" s="2" t="s">
        <v>852</v>
      </c>
      <c r="BV2002" s="2" t="s">
        <v>86</v>
      </c>
      <c r="BW2002" s="2" t="s">
        <v>124</v>
      </c>
      <c r="BX2002" s="2" t="s">
        <v>853</v>
      </c>
      <c r="BY2002" s="2">
        <v>1200</v>
      </c>
      <c r="BZ2002" s="2" t="s">
        <v>27</v>
      </c>
      <c r="CA2002" s="2" t="s">
        <v>854</v>
      </c>
      <c r="CB2002" s="2"/>
      <c r="CC2002" s="2" t="s">
        <v>106</v>
      </c>
      <c r="CD2002" s="2">
        <v>7800</v>
      </c>
      <c r="CE2002" s="2" t="s">
        <v>104</v>
      </c>
      <c r="CF2002" s="5">
        <v>42968</v>
      </c>
      <c r="CG2002" s="2"/>
      <c r="CH2002" s="2"/>
      <c r="CI2002" s="2">
        <v>1</v>
      </c>
      <c r="CJ2002" s="2">
        <v>1</v>
      </c>
      <c r="CK2002" s="2">
        <v>21</v>
      </c>
      <c r="CL2002" s="2" t="s">
        <v>86</v>
      </c>
      <c r="CM2002" s="2"/>
    </row>
    <row r="2003" spans="1:91">
      <c r="A2003" s="2" t="s">
        <v>71</v>
      </c>
      <c r="B2003" s="2" t="s">
        <v>72</v>
      </c>
      <c r="C2003" s="2" t="s">
        <v>73</v>
      </c>
      <c r="D2003" s="2"/>
      <c r="E2003" s="2" t="str">
        <f>"FES1162569729"</f>
        <v>FES1162569729</v>
      </c>
      <c r="F2003" s="3">
        <v>42964</v>
      </c>
      <c r="G2003" s="2">
        <v>201802</v>
      </c>
      <c r="H2003" s="2" t="s">
        <v>74</v>
      </c>
      <c r="I2003" s="2" t="s">
        <v>75</v>
      </c>
      <c r="J2003" s="2" t="s">
        <v>76</v>
      </c>
      <c r="K2003" s="2" t="s">
        <v>77</v>
      </c>
      <c r="L2003" s="2" t="s">
        <v>105</v>
      </c>
      <c r="M2003" s="2" t="s">
        <v>106</v>
      </c>
      <c r="N2003" s="2" t="s">
        <v>486</v>
      </c>
      <c r="O2003" s="2" t="s">
        <v>100</v>
      </c>
      <c r="P2003" s="2" t="str">
        <f>"2170582611                    "</f>
        <v xml:space="preserve">2170582611    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4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1</v>
      </c>
      <c r="BJ2003" s="2">
        <v>0.2</v>
      </c>
      <c r="BK2003" s="2">
        <v>1</v>
      </c>
      <c r="BL2003" s="2">
        <v>41.44</v>
      </c>
      <c r="BM2003" s="2">
        <v>5.8</v>
      </c>
      <c r="BN2003" s="2">
        <v>47.24</v>
      </c>
      <c r="BO2003" s="2">
        <v>47.24</v>
      </c>
      <c r="BP2003" s="2"/>
      <c r="BQ2003" s="2" t="s">
        <v>365</v>
      </c>
      <c r="BR2003" s="2" t="s">
        <v>84</v>
      </c>
      <c r="BS2003" s="3">
        <v>42965</v>
      </c>
      <c r="BT2003" s="4">
        <v>0.47916666666666669</v>
      </c>
      <c r="BU2003" s="2" t="s">
        <v>2524</v>
      </c>
      <c r="BV2003" s="2" t="s">
        <v>86</v>
      </c>
      <c r="BW2003" s="2" t="s">
        <v>110</v>
      </c>
      <c r="BX2003" s="2" t="s">
        <v>111</v>
      </c>
      <c r="BY2003" s="2">
        <v>1200</v>
      </c>
      <c r="BZ2003" s="2" t="s">
        <v>27</v>
      </c>
      <c r="CA2003" s="2" t="s">
        <v>291</v>
      </c>
      <c r="CB2003" s="2"/>
      <c r="CC2003" s="2" t="s">
        <v>106</v>
      </c>
      <c r="CD2003" s="2">
        <v>7441</v>
      </c>
      <c r="CE2003" s="2" t="s">
        <v>104</v>
      </c>
      <c r="CF2003" s="5">
        <v>42968</v>
      </c>
      <c r="CG2003" s="2"/>
      <c r="CH2003" s="2"/>
      <c r="CI2003" s="2">
        <v>1</v>
      </c>
      <c r="CJ2003" s="2">
        <v>1</v>
      </c>
      <c r="CK2003" s="2">
        <v>21</v>
      </c>
      <c r="CL2003" s="2" t="s">
        <v>86</v>
      </c>
      <c r="CM2003" s="2"/>
    </row>
    <row r="2004" spans="1:91">
      <c r="A2004" s="2" t="s">
        <v>71</v>
      </c>
      <c r="B2004" s="2" t="s">
        <v>72</v>
      </c>
      <c r="C2004" s="2" t="s">
        <v>73</v>
      </c>
      <c r="D2004" s="2"/>
      <c r="E2004" s="2" t="str">
        <f>"FES1162569606"</f>
        <v>FES1162569606</v>
      </c>
      <c r="F2004" s="3">
        <v>42964</v>
      </c>
      <c r="G2004" s="2">
        <v>201802</v>
      </c>
      <c r="H2004" s="2" t="s">
        <v>74</v>
      </c>
      <c r="I2004" s="2" t="s">
        <v>75</v>
      </c>
      <c r="J2004" s="2" t="s">
        <v>76</v>
      </c>
      <c r="K2004" s="2" t="s">
        <v>77</v>
      </c>
      <c r="L2004" s="2" t="s">
        <v>105</v>
      </c>
      <c r="M2004" s="2" t="s">
        <v>106</v>
      </c>
      <c r="N2004" s="2" t="s">
        <v>107</v>
      </c>
      <c r="O2004" s="2" t="s">
        <v>100</v>
      </c>
      <c r="P2004" s="2" t="str">
        <f>"2170585419                    "</f>
        <v xml:space="preserve">2170585419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4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1.7</v>
      </c>
      <c r="BJ2004" s="2">
        <v>1.3</v>
      </c>
      <c r="BK2004" s="2">
        <v>2</v>
      </c>
      <c r="BL2004" s="2">
        <v>41.44</v>
      </c>
      <c r="BM2004" s="2">
        <v>5.8</v>
      </c>
      <c r="BN2004" s="2">
        <v>47.24</v>
      </c>
      <c r="BO2004" s="2">
        <v>47.24</v>
      </c>
      <c r="BP2004" s="2"/>
      <c r="BQ2004" s="2" t="s">
        <v>108</v>
      </c>
      <c r="BR2004" s="2" t="s">
        <v>84</v>
      </c>
      <c r="BS2004" s="3">
        <v>42965</v>
      </c>
      <c r="BT2004" s="4">
        <v>0.52777777777777779</v>
      </c>
      <c r="BU2004" s="2" t="s">
        <v>855</v>
      </c>
      <c r="BV2004" s="2" t="s">
        <v>86</v>
      </c>
      <c r="BW2004" s="2" t="s">
        <v>110</v>
      </c>
      <c r="BX2004" s="2" t="s">
        <v>537</v>
      </c>
      <c r="BY2004" s="2">
        <v>6737.5</v>
      </c>
      <c r="BZ2004" s="2" t="s">
        <v>27</v>
      </c>
      <c r="CA2004" s="2" t="s">
        <v>856</v>
      </c>
      <c r="CB2004" s="2"/>
      <c r="CC2004" s="2" t="s">
        <v>106</v>
      </c>
      <c r="CD2004" s="2">
        <v>7405</v>
      </c>
      <c r="CE2004" s="2" t="s">
        <v>89</v>
      </c>
      <c r="CF2004" s="5">
        <v>42968</v>
      </c>
      <c r="CG2004" s="2"/>
      <c r="CH2004" s="2"/>
      <c r="CI2004" s="2">
        <v>1</v>
      </c>
      <c r="CJ2004" s="2">
        <v>1</v>
      </c>
      <c r="CK2004" s="2">
        <v>21</v>
      </c>
      <c r="CL2004" s="2" t="s">
        <v>86</v>
      </c>
      <c r="CM2004" s="2"/>
    </row>
    <row r="2005" spans="1:91">
      <c r="A2005" s="2" t="s">
        <v>71</v>
      </c>
      <c r="B2005" s="2" t="s">
        <v>72</v>
      </c>
      <c r="C2005" s="2" t="s">
        <v>73</v>
      </c>
      <c r="D2005" s="2"/>
      <c r="E2005" s="2" t="str">
        <f>"FES1162569600"</f>
        <v>FES1162569600</v>
      </c>
      <c r="F2005" s="3">
        <v>42964</v>
      </c>
      <c r="G2005" s="2">
        <v>201802</v>
      </c>
      <c r="H2005" s="2" t="s">
        <v>74</v>
      </c>
      <c r="I2005" s="2" t="s">
        <v>75</v>
      </c>
      <c r="J2005" s="2" t="s">
        <v>76</v>
      </c>
      <c r="K2005" s="2" t="s">
        <v>77</v>
      </c>
      <c r="L2005" s="2" t="s">
        <v>105</v>
      </c>
      <c r="M2005" s="2" t="s">
        <v>106</v>
      </c>
      <c r="N2005" s="2" t="s">
        <v>2429</v>
      </c>
      <c r="O2005" s="2" t="s">
        <v>100</v>
      </c>
      <c r="P2005" s="2" t="str">
        <f>"2170585413                    "</f>
        <v xml:space="preserve">2170585413  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6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1.4</v>
      </c>
      <c r="BJ2005" s="2">
        <v>3</v>
      </c>
      <c r="BK2005" s="2">
        <v>3</v>
      </c>
      <c r="BL2005" s="2">
        <v>62.16</v>
      </c>
      <c r="BM2005" s="2">
        <v>8.6999999999999993</v>
      </c>
      <c r="BN2005" s="2">
        <v>70.86</v>
      </c>
      <c r="BO2005" s="2">
        <v>70.86</v>
      </c>
      <c r="BP2005" s="2"/>
      <c r="BQ2005" s="2" t="s">
        <v>108</v>
      </c>
      <c r="BR2005" s="2" t="s">
        <v>84</v>
      </c>
      <c r="BS2005" s="3">
        <v>42965</v>
      </c>
      <c r="BT2005" s="4">
        <v>0.33958333333333335</v>
      </c>
      <c r="BU2005" s="2" t="s">
        <v>2430</v>
      </c>
      <c r="BV2005" s="2" t="s">
        <v>95</v>
      </c>
      <c r="BW2005" s="2"/>
      <c r="BX2005" s="2"/>
      <c r="BY2005" s="2">
        <v>15147.26</v>
      </c>
      <c r="BZ2005" s="2" t="s">
        <v>27</v>
      </c>
      <c r="CA2005" s="2"/>
      <c r="CB2005" s="2"/>
      <c r="CC2005" s="2" t="s">
        <v>106</v>
      </c>
      <c r="CD2005" s="2">
        <v>7530</v>
      </c>
      <c r="CE2005" s="2" t="s">
        <v>89</v>
      </c>
      <c r="CF2005" s="5">
        <v>42968</v>
      </c>
      <c r="CG2005" s="2"/>
      <c r="CH2005" s="2"/>
      <c r="CI2005" s="2">
        <v>1</v>
      </c>
      <c r="CJ2005" s="2">
        <v>1</v>
      </c>
      <c r="CK2005" s="2">
        <v>21</v>
      </c>
      <c r="CL2005" s="2" t="s">
        <v>86</v>
      </c>
      <c r="CM2005" s="2"/>
    </row>
    <row r="2006" spans="1:91">
      <c r="A2006" s="2" t="s">
        <v>71</v>
      </c>
      <c r="B2006" s="2" t="s">
        <v>72</v>
      </c>
      <c r="C2006" s="2" t="s">
        <v>73</v>
      </c>
      <c r="D2006" s="2"/>
      <c r="E2006" s="2" t="str">
        <f>"FES1162569647"</f>
        <v>FES1162569647</v>
      </c>
      <c r="F2006" s="3">
        <v>42964</v>
      </c>
      <c r="G2006" s="2">
        <v>201802</v>
      </c>
      <c r="H2006" s="2" t="s">
        <v>74</v>
      </c>
      <c r="I2006" s="2" t="s">
        <v>75</v>
      </c>
      <c r="J2006" s="2" t="s">
        <v>76</v>
      </c>
      <c r="K2006" s="2" t="s">
        <v>77</v>
      </c>
      <c r="L2006" s="2" t="s">
        <v>170</v>
      </c>
      <c r="M2006" s="2" t="s">
        <v>171</v>
      </c>
      <c r="N2006" s="2" t="s">
        <v>2592</v>
      </c>
      <c r="O2006" s="2" t="s">
        <v>100</v>
      </c>
      <c r="P2006" s="2" t="str">
        <f>"2170582297                    "</f>
        <v xml:space="preserve">2170582297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3.5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8.1999999999999993</v>
      </c>
      <c r="BJ2006" s="2">
        <v>3.7</v>
      </c>
      <c r="BK2006" s="2">
        <v>9</v>
      </c>
      <c r="BL2006" s="2">
        <v>36.26</v>
      </c>
      <c r="BM2006" s="2">
        <v>5.08</v>
      </c>
      <c r="BN2006" s="2">
        <v>41.34</v>
      </c>
      <c r="BO2006" s="2">
        <v>41.34</v>
      </c>
      <c r="BP2006" s="2"/>
      <c r="BQ2006" s="2" t="s">
        <v>288</v>
      </c>
      <c r="BR2006" s="2" t="s">
        <v>84</v>
      </c>
      <c r="BS2006" s="3">
        <v>42965</v>
      </c>
      <c r="BT2006" s="4">
        <v>0.3923611111111111</v>
      </c>
      <c r="BU2006" s="2" t="s">
        <v>1205</v>
      </c>
      <c r="BV2006" s="2" t="s">
        <v>95</v>
      </c>
      <c r="BW2006" s="2"/>
      <c r="BX2006" s="2"/>
      <c r="BY2006" s="2">
        <v>18365.62</v>
      </c>
      <c r="BZ2006" s="2" t="s">
        <v>27</v>
      </c>
      <c r="CA2006" s="2" t="s">
        <v>1718</v>
      </c>
      <c r="CB2006" s="2"/>
      <c r="CC2006" s="2" t="s">
        <v>171</v>
      </c>
      <c r="CD2006" s="2">
        <v>1401</v>
      </c>
      <c r="CE2006" s="2" t="s">
        <v>89</v>
      </c>
      <c r="CF2006" s="5">
        <v>42968</v>
      </c>
      <c r="CG2006" s="2"/>
      <c r="CH2006" s="2"/>
      <c r="CI2006" s="2">
        <v>1</v>
      </c>
      <c r="CJ2006" s="2">
        <v>1</v>
      </c>
      <c r="CK2006" s="2">
        <v>22</v>
      </c>
      <c r="CL2006" s="2" t="s">
        <v>86</v>
      </c>
      <c r="CM2006" s="2"/>
    </row>
    <row r="2007" spans="1:91">
      <c r="A2007" s="2" t="s">
        <v>71</v>
      </c>
      <c r="B2007" s="2" t="s">
        <v>72</v>
      </c>
      <c r="C2007" s="2" t="s">
        <v>73</v>
      </c>
      <c r="D2007" s="2"/>
      <c r="E2007" s="2" t="str">
        <f>"FES1162569566"</f>
        <v>FES1162569566</v>
      </c>
      <c r="F2007" s="3">
        <v>42964</v>
      </c>
      <c r="G2007" s="2">
        <v>201802</v>
      </c>
      <c r="H2007" s="2" t="s">
        <v>74</v>
      </c>
      <c r="I2007" s="2" t="s">
        <v>75</v>
      </c>
      <c r="J2007" s="2" t="s">
        <v>76</v>
      </c>
      <c r="K2007" s="2" t="s">
        <v>77</v>
      </c>
      <c r="L2007" s="2" t="s">
        <v>74</v>
      </c>
      <c r="M2007" s="2" t="s">
        <v>75</v>
      </c>
      <c r="N2007" s="2" t="s">
        <v>2593</v>
      </c>
      <c r="O2007" s="2" t="s">
        <v>100</v>
      </c>
      <c r="P2007" s="2" t="str">
        <f>"2170579941                    "</f>
        <v xml:space="preserve">2170579941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3.13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1</v>
      </c>
      <c r="BI2007" s="2">
        <v>1</v>
      </c>
      <c r="BJ2007" s="2">
        <v>0.2</v>
      </c>
      <c r="BK2007" s="2">
        <v>1</v>
      </c>
      <c r="BL2007" s="2">
        <v>32.380000000000003</v>
      </c>
      <c r="BM2007" s="2">
        <v>4.53</v>
      </c>
      <c r="BN2007" s="2">
        <v>36.909999999999997</v>
      </c>
      <c r="BO2007" s="2">
        <v>36.909999999999997</v>
      </c>
      <c r="BP2007" s="2"/>
      <c r="BQ2007" s="2" t="s">
        <v>288</v>
      </c>
      <c r="BR2007" s="2" t="s">
        <v>84</v>
      </c>
      <c r="BS2007" s="3">
        <v>42965</v>
      </c>
      <c r="BT2007" s="4">
        <v>0.34097222222222223</v>
      </c>
      <c r="BU2007" s="2" t="s">
        <v>1551</v>
      </c>
      <c r="BV2007" s="2" t="s">
        <v>95</v>
      </c>
      <c r="BW2007" s="2"/>
      <c r="BX2007" s="2"/>
      <c r="BY2007" s="2">
        <v>1200</v>
      </c>
      <c r="BZ2007" s="2" t="s">
        <v>27</v>
      </c>
      <c r="CA2007" s="2" t="s">
        <v>1441</v>
      </c>
      <c r="CB2007" s="2"/>
      <c r="CC2007" s="2" t="s">
        <v>75</v>
      </c>
      <c r="CD2007" s="2">
        <v>1614</v>
      </c>
      <c r="CE2007" s="2" t="s">
        <v>104</v>
      </c>
      <c r="CF2007" s="5">
        <v>42968</v>
      </c>
      <c r="CG2007" s="2"/>
      <c r="CH2007" s="2"/>
      <c r="CI2007" s="2">
        <v>1</v>
      </c>
      <c r="CJ2007" s="2">
        <v>1</v>
      </c>
      <c r="CK2007" s="2">
        <v>22</v>
      </c>
      <c r="CL2007" s="2" t="s">
        <v>86</v>
      </c>
      <c r="CM2007" s="2"/>
    </row>
    <row r="2008" spans="1:91">
      <c r="A2008" s="2" t="s">
        <v>71</v>
      </c>
      <c r="B2008" s="2" t="s">
        <v>72</v>
      </c>
      <c r="C2008" s="2" t="s">
        <v>73</v>
      </c>
      <c r="D2008" s="2"/>
      <c r="E2008" s="2" t="str">
        <f>"FES1162569696"</f>
        <v>FES1162569696</v>
      </c>
      <c r="F2008" s="3">
        <v>42964</v>
      </c>
      <c r="G2008" s="2">
        <v>201802</v>
      </c>
      <c r="H2008" s="2" t="s">
        <v>74</v>
      </c>
      <c r="I2008" s="2" t="s">
        <v>75</v>
      </c>
      <c r="J2008" s="2" t="s">
        <v>76</v>
      </c>
      <c r="K2008" s="2" t="s">
        <v>77</v>
      </c>
      <c r="L2008" s="2" t="s">
        <v>144</v>
      </c>
      <c r="M2008" s="2" t="s">
        <v>145</v>
      </c>
      <c r="N2008" s="2" t="s">
        <v>146</v>
      </c>
      <c r="O2008" s="2" t="s">
        <v>100</v>
      </c>
      <c r="P2008" s="2" t="str">
        <f>"2170583725                    "</f>
        <v xml:space="preserve">2170583725 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3.13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1</v>
      </c>
      <c r="BI2008" s="2">
        <v>1</v>
      </c>
      <c r="BJ2008" s="2">
        <v>0.2</v>
      </c>
      <c r="BK2008" s="2">
        <v>1</v>
      </c>
      <c r="BL2008" s="2">
        <v>32.380000000000003</v>
      </c>
      <c r="BM2008" s="2">
        <v>4.53</v>
      </c>
      <c r="BN2008" s="2">
        <v>36.909999999999997</v>
      </c>
      <c r="BO2008" s="2">
        <v>36.909999999999997</v>
      </c>
      <c r="BP2008" s="2"/>
      <c r="BQ2008" s="2" t="s">
        <v>83</v>
      </c>
      <c r="BR2008" s="2" t="s">
        <v>84</v>
      </c>
      <c r="BS2008" s="3">
        <v>42965</v>
      </c>
      <c r="BT2008" s="4">
        <v>0.39027777777777778</v>
      </c>
      <c r="BU2008" s="2" t="s">
        <v>273</v>
      </c>
      <c r="BV2008" s="2" t="s">
        <v>95</v>
      </c>
      <c r="BW2008" s="2"/>
      <c r="BX2008" s="2"/>
      <c r="BY2008" s="2">
        <v>1200</v>
      </c>
      <c r="BZ2008" s="2" t="s">
        <v>27</v>
      </c>
      <c r="CA2008" s="2" t="s">
        <v>274</v>
      </c>
      <c r="CB2008" s="2"/>
      <c r="CC2008" s="2" t="s">
        <v>145</v>
      </c>
      <c r="CD2008" s="2">
        <v>2094</v>
      </c>
      <c r="CE2008" s="2" t="s">
        <v>104</v>
      </c>
      <c r="CF2008" s="5">
        <v>42968</v>
      </c>
      <c r="CG2008" s="2"/>
      <c r="CH2008" s="2"/>
      <c r="CI2008" s="2">
        <v>1</v>
      </c>
      <c r="CJ2008" s="2">
        <v>1</v>
      </c>
      <c r="CK2008" s="2">
        <v>22</v>
      </c>
      <c r="CL2008" s="2" t="s">
        <v>86</v>
      </c>
      <c r="CM2008" s="2"/>
    </row>
    <row r="2009" spans="1:91">
      <c r="A2009" s="2" t="s">
        <v>71</v>
      </c>
      <c r="B2009" s="2" t="s">
        <v>72</v>
      </c>
      <c r="C2009" s="2" t="s">
        <v>73</v>
      </c>
      <c r="D2009" s="2"/>
      <c r="E2009" s="2" t="str">
        <f>"FES1162569633"</f>
        <v>FES1162569633</v>
      </c>
      <c r="F2009" s="3">
        <v>42964</v>
      </c>
      <c r="G2009" s="2">
        <v>201802</v>
      </c>
      <c r="H2009" s="2" t="s">
        <v>74</v>
      </c>
      <c r="I2009" s="2" t="s">
        <v>75</v>
      </c>
      <c r="J2009" s="2" t="s">
        <v>76</v>
      </c>
      <c r="K2009" s="2" t="s">
        <v>77</v>
      </c>
      <c r="L2009" s="2" t="s">
        <v>144</v>
      </c>
      <c r="M2009" s="2" t="s">
        <v>145</v>
      </c>
      <c r="N2009" s="2" t="s">
        <v>2594</v>
      </c>
      <c r="O2009" s="2" t="s">
        <v>100</v>
      </c>
      <c r="P2009" s="2" t="str">
        <f>"2170583354                    "</f>
        <v xml:space="preserve">2170583354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3.13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1</v>
      </c>
      <c r="BI2009" s="2">
        <v>1</v>
      </c>
      <c r="BJ2009" s="2">
        <v>0.2</v>
      </c>
      <c r="BK2009" s="2">
        <v>1</v>
      </c>
      <c r="BL2009" s="2">
        <v>32.380000000000003</v>
      </c>
      <c r="BM2009" s="2">
        <v>4.53</v>
      </c>
      <c r="BN2009" s="2">
        <v>36.909999999999997</v>
      </c>
      <c r="BO2009" s="2">
        <v>36.909999999999997</v>
      </c>
      <c r="BP2009" s="2"/>
      <c r="BQ2009" s="2" t="s">
        <v>108</v>
      </c>
      <c r="BR2009" s="2" t="s">
        <v>84</v>
      </c>
      <c r="BS2009" s="3">
        <v>42965</v>
      </c>
      <c r="BT2009" s="4">
        <v>0.35972222222222222</v>
      </c>
      <c r="BU2009" s="2" t="s">
        <v>2595</v>
      </c>
      <c r="BV2009" s="2" t="s">
        <v>95</v>
      </c>
      <c r="BW2009" s="2"/>
      <c r="BX2009" s="2"/>
      <c r="BY2009" s="2">
        <v>1200</v>
      </c>
      <c r="BZ2009" s="2" t="s">
        <v>27</v>
      </c>
      <c r="CA2009" s="2"/>
      <c r="CB2009" s="2"/>
      <c r="CC2009" s="2" t="s">
        <v>145</v>
      </c>
      <c r="CD2009" s="2">
        <v>2042</v>
      </c>
      <c r="CE2009" s="2" t="s">
        <v>104</v>
      </c>
      <c r="CF2009" s="5">
        <v>42968</v>
      </c>
      <c r="CG2009" s="2"/>
      <c r="CH2009" s="2"/>
      <c r="CI2009" s="2">
        <v>1</v>
      </c>
      <c r="CJ2009" s="2">
        <v>1</v>
      </c>
      <c r="CK2009" s="2">
        <v>22</v>
      </c>
      <c r="CL2009" s="2" t="s">
        <v>86</v>
      </c>
      <c r="CM2009" s="2"/>
    </row>
    <row r="2010" spans="1:91">
      <c r="A2010" s="2" t="s">
        <v>71</v>
      </c>
      <c r="B2010" s="2" t="s">
        <v>72</v>
      </c>
      <c r="C2010" s="2" t="s">
        <v>73</v>
      </c>
      <c r="D2010" s="2"/>
      <c r="E2010" s="2" t="str">
        <f>"FES1162569639"</f>
        <v>FES1162569639</v>
      </c>
      <c r="F2010" s="3">
        <v>42964</v>
      </c>
      <c r="G2010" s="2">
        <v>201802</v>
      </c>
      <c r="H2010" s="2" t="s">
        <v>74</v>
      </c>
      <c r="I2010" s="2" t="s">
        <v>75</v>
      </c>
      <c r="J2010" s="2" t="s">
        <v>76</v>
      </c>
      <c r="K2010" s="2" t="s">
        <v>77</v>
      </c>
      <c r="L2010" s="2" t="s">
        <v>539</v>
      </c>
      <c r="M2010" s="2" t="s">
        <v>540</v>
      </c>
      <c r="N2010" s="2" t="s">
        <v>541</v>
      </c>
      <c r="O2010" s="2" t="s">
        <v>100</v>
      </c>
      <c r="P2010" s="2" t="str">
        <f>"2170584792                    "</f>
        <v xml:space="preserve">2170584792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3.13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1</v>
      </c>
      <c r="BI2010" s="2">
        <v>1</v>
      </c>
      <c r="BJ2010" s="2">
        <v>0.2</v>
      </c>
      <c r="BK2010" s="2">
        <v>1</v>
      </c>
      <c r="BL2010" s="2">
        <v>32.380000000000003</v>
      </c>
      <c r="BM2010" s="2">
        <v>4.53</v>
      </c>
      <c r="BN2010" s="2">
        <v>36.909999999999997</v>
      </c>
      <c r="BO2010" s="2">
        <v>36.909999999999997</v>
      </c>
      <c r="BP2010" s="2"/>
      <c r="BQ2010" s="2" t="s">
        <v>288</v>
      </c>
      <c r="BR2010" s="2" t="s">
        <v>84</v>
      </c>
      <c r="BS2010" s="3">
        <v>42965</v>
      </c>
      <c r="BT2010" s="4">
        <v>0.3888888888888889</v>
      </c>
      <c r="BU2010" s="2" t="s">
        <v>2596</v>
      </c>
      <c r="BV2010" s="2" t="s">
        <v>95</v>
      </c>
      <c r="BW2010" s="2"/>
      <c r="BX2010" s="2"/>
      <c r="BY2010" s="2">
        <v>1200</v>
      </c>
      <c r="BZ2010" s="2" t="s">
        <v>27</v>
      </c>
      <c r="CA2010" s="2" t="s">
        <v>200</v>
      </c>
      <c r="CB2010" s="2"/>
      <c r="CC2010" s="2" t="s">
        <v>540</v>
      </c>
      <c r="CD2010" s="2">
        <v>2162</v>
      </c>
      <c r="CE2010" s="2" t="s">
        <v>104</v>
      </c>
      <c r="CF2010" s="5">
        <v>42968</v>
      </c>
      <c r="CG2010" s="2"/>
      <c r="CH2010" s="2"/>
      <c r="CI2010" s="2">
        <v>1</v>
      </c>
      <c r="CJ2010" s="2">
        <v>1</v>
      </c>
      <c r="CK2010" s="2">
        <v>22</v>
      </c>
      <c r="CL2010" s="2" t="s">
        <v>86</v>
      </c>
      <c r="CM2010" s="2"/>
    </row>
    <row r="2011" spans="1:91">
      <c r="A2011" s="2" t="s">
        <v>71</v>
      </c>
      <c r="B2011" s="2" t="s">
        <v>72</v>
      </c>
      <c r="C2011" s="2" t="s">
        <v>73</v>
      </c>
      <c r="D2011" s="2"/>
      <c r="E2011" s="2" t="str">
        <f>"FES1162569637"</f>
        <v>FES1162569637</v>
      </c>
      <c r="F2011" s="3">
        <v>42964</v>
      </c>
      <c r="G2011" s="2">
        <v>201802</v>
      </c>
      <c r="H2011" s="2" t="s">
        <v>74</v>
      </c>
      <c r="I2011" s="2" t="s">
        <v>75</v>
      </c>
      <c r="J2011" s="2" t="s">
        <v>76</v>
      </c>
      <c r="K2011" s="2" t="s">
        <v>77</v>
      </c>
      <c r="L2011" s="2" t="s">
        <v>74</v>
      </c>
      <c r="M2011" s="2" t="s">
        <v>75</v>
      </c>
      <c r="N2011" s="2" t="s">
        <v>329</v>
      </c>
      <c r="O2011" s="2" t="s">
        <v>100</v>
      </c>
      <c r="P2011" s="2" t="str">
        <f>"2170583502                    "</f>
        <v xml:space="preserve">2170583502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3.13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1</v>
      </c>
      <c r="BI2011" s="2">
        <v>1</v>
      </c>
      <c r="BJ2011" s="2">
        <v>0.2</v>
      </c>
      <c r="BK2011" s="2">
        <v>1</v>
      </c>
      <c r="BL2011" s="2">
        <v>32.380000000000003</v>
      </c>
      <c r="BM2011" s="2">
        <v>4.53</v>
      </c>
      <c r="BN2011" s="2">
        <v>36.909999999999997</v>
      </c>
      <c r="BO2011" s="2">
        <v>36.909999999999997</v>
      </c>
      <c r="BP2011" s="2"/>
      <c r="BQ2011" s="2" t="s">
        <v>83</v>
      </c>
      <c r="BR2011" s="2" t="s">
        <v>84</v>
      </c>
      <c r="BS2011" s="3">
        <v>42965</v>
      </c>
      <c r="BT2011" s="4">
        <v>0.3979166666666667</v>
      </c>
      <c r="BU2011" s="2" t="s">
        <v>2182</v>
      </c>
      <c r="BV2011" s="2" t="s">
        <v>95</v>
      </c>
      <c r="BW2011" s="2"/>
      <c r="BX2011" s="2"/>
      <c r="BY2011" s="2">
        <v>1200</v>
      </c>
      <c r="BZ2011" s="2" t="s">
        <v>27</v>
      </c>
      <c r="CA2011" s="2" t="s">
        <v>2527</v>
      </c>
      <c r="CB2011" s="2"/>
      <c r="CC2011" s="2" t="s">
        <v>75</v>
      </c>
      <c r="CD2011" s="2">
        <v>1600</v>
      </c>
      <c r="CE2011" s="2" t="s">
        <v>104</v>
      </c>
      <c r="CF2011" s="5">
        <v>42968</v>
      </c>
      <c r="CG2011" s="2"/>
      <c r="CH2011" s="2"/>
      <c r="CI2011" s="2">
        <v>1</v>
      </c>
      <c r="CJ2011" s="2">
        <v>1</v>
      </c>
      <c r="CK2011" s="2">
        <v>22</v>
      </c>
      <c r="CL2011" s="2" t="s">
        <v>86</v>
      </c>
      <c r="CM2011" s="2"/>
    </row>
    <row r="2012" spans="1:91">
      <c r="A2012" s="2" t="s">
        <v>71</v>
      </c>
      <c r="B2012" s="2" t="s">
        <v>72</v>
      </c>
      <c r="C2012" s="2" t="s">
        <v>73</v>
      </c>
      <c r="D2012" s="2"/>
      <c r="E2012" s="2" t="str">
        <f>"FES1162569618"</f>
        <v>FES1162569618</v>
      </c>
      <c r="F2012" s="3">
        <v>42964</v>
      </c>
      <c r="G2012" s="2">
        <v>201802</v>
      </c>
      <c r="H2012" s="2" t="s">
        <v>74</v>
      </c>
      <c r="I2012" s="2" t="s">
        <v>75</v>
      </c>
      <c r="J2012" s="2" t="s">
        <v>76</v>
      </c>
      <c r="K2012" s="2" t="s">
        <v>77</v>
      </c>
      <c r="L2012" s="2" t="s">
        <v>97</v>
      </c>
      <c r="M2012" s="2" t="s">
        <v>98</v>
      </c>
      <c r="N2012" s="2" t="s">
        <v>2597</v>
      </c>
      <c r="O2012" s="2" t="s">
        <v>100</v>
      </c>
      <c r="P2012" s="2" t="str">
        <f>"2170585437                    "</f>
        <v xml:space="preserve">2170585437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4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1.1000000000000001</v>
      </c>
      <c r="BJ2012" s="2">
        <v>1.9</v>
      </c>
      <c r="BK2012" s="2">
        <v>2</v>
      </c>
      <c r="BL2012" s="2">
        <v>41.44</v>
      </c>
      <c r="BM2012" s="2">
        <v>5.8</v>
      </c>
      <c r="BN2012" s="2">
        <v>47.24</v>
      </c>
      <c r="BO2012" s="2">
        <v>47.24</v>
      </c>
      <c r="BP2012" s="2"/>
      <c r="BQ2012" s="2" t="s">
        <v>288</v>
      </c>
      <c r="BR2012" s="2" t="s">
        <v>84</v>
      </c>
      <c r="BS2012" s="3">
        <v>42965</v>
      </c>
      <c r="BT2012" s="4">
        <v>0.29166666666666669</v>
      </c>
      <c r="BU2012" s="2" t="s">
        <v>2598</v>
      </c>
      <c r="BV2012" s="2" t="s">
        <v>95</v>
      </c>
      <c r="BW2012" s="2"/>
      <c r="BX2012" s="2"/>
      <c r="BY2012" s="2">
        <v>9569.2000000000007</v>
      </c>
      <c r="BZ2012" s="2" t="s">
        <v>27</v>
      </c>
      <c r="CA2012" s="2" t="s">
        <v>294</v>
      </c>
      <c r="CB2012" s="2"/>
      <c r="CC2012" s="2" t="s">
        <v>98</v>
      </c>
      <c r="CD2012" s="2">
        <v>6012</v>
      </c>
      <c r="CE2012" s="2" t="s">
        <v>89</v>
      </c>
      <c r="CF2012" s="5">
        <v>42968</v>
      </c>
      <c r="CG2012" s="2"/>
      <c r="CH2012" s="2"/>
      <c r="CI2012" s="2">
        <v>1</v>
      </c>
      <c r="CJ2012" s="2">
        <v>1</v>
      </c>
      <c r="CK2012" s="2">
        <v>21</v>
      </c>
      <c r="CL2012" s="2" t="s">
        <v>86</v>
      </c>
      <c r="CM2012" s="2"/>
    </row>
    <row r="2013" spans="1:91">
      <c r="A2013" s="2" t="s">
        <v>71</v>
      </c>
      <c r="B2013" s="2" t="s">
        <v>72</v>
      </c>
      <c r="C2013" s="2" t="s">
        <v>73</v>
      </c>
      <c r="D2013" s="2"/>
      <c r="E2013" s="2" t="str">
        <f>"FES1162569668"</f>
        <v>FES1162569668</v>
      </c>
      <c r="F2013" s="3">
        <v>42964</v>
      </c>
      <c r="G2013" s="2">
        <v>201802</v>
      </c>
      <c r="H2013" s="2" t="s">
        <v>74</v>
      </c>
      <c r="I2013" s="2" t="s">
        <v>75</v>
      </c>
      <c r="J2013" s="2" t="s">
        <v>76</v>
      </c>
      <c r="K2013" s="2" t="s">
        <v>77</v>
      </c>
      <c r="L2013" s="2" t="s">
        <v>174</v>
      </c>
      <c r="M2013" s="2" t="s">
        <v>175</v>
      </c>
      <c r="N2013" s="2" t="s">
        <v>930</v>
      </c>
      <c r="O2013" s="2" t="s">
        <v>100</v>
      </c>
      <c r="P2013" s="2" t="str">
        <f>"2170585458                    "</f>
        <v xml:space="preserve">2170585458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9.01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2.4</v>
      </c>
      <c r="BJ2013" s="2">
        <v>4.2</v>
      </c>
      <c r="BK2013" s="2">
        <v>4.5</v>
      </c>
      <c r="BL2013" s="2">
        <v>93.25</v>
      </c>
      <c r="BM2013" s="2">
        <v>13.06</v>
      </c>
      <c r="BN2013" s="2">
        <v>106.31</v>
      </c>
      <c r="BO2013" s="2">
        <v>106.31</v>
      </c>
      <c r="BP2013" s="2"/>
      <c r="BQ2013" s="2" t="s">
        <v>83</v>
      </c>
      <c r="BR2013" s="2" t="s">
        <v>84</v>
      </c>
      <c r="BS2013" s="3">
        <v>42965</v>
      </c>
      <c r="BT2013" s="4">
        <v>0.42777777777777781</v>
      </c>
      <c r="BU2013" s="2" t="s">
        <v>1372</v>
      </c>
      <c r="BV2013" s="2" t="s">
        <v>95</v>
      </c>
      <c r="BW2013" s="2"/>
      <c r="BX2013" s="2"/>
      <c r="BY2013" s="2">
        <v>20865.79</v>
      </c>
      <c r="BZ2013" s="2" t="s">
        <v>27</v>
      </c>
      <c r="CA2013" s="2" t="s">
        <v>1373</v>
      </c>
      <c r="CB2013" s="2"/>
      <c r="CC2013" s="2" t="s">
        <v>175</v>
      </c>
      <c r="CD2013" s="2">
        <v>5201</v>
      </c>
      <c r="CE2013" s="2" t="s">
        <v>89</v>
      </c>
      <c r="CF2013" s="5">
        <v>42968</v>
      </c>
      <c r="CG2013" s="2"/>
      <c r="CH2013" s="2"/>
      <c r="CI2013" s="2">
        <v>1</v>
      </c>
      <c r="CJ2013" s="2">
        <v>1</v>
      </c>
      <c r="CK2013" s="2">
        <v>21</v>
      </c>
      <c r="CL2013" s="2" t="s">
        <v>86</v>
      </c>
      <c r="CM2013" s="2"/>
    </row>
    <row r="2014" spans="1:91">
      <c r="A2014" s="2" t="s">
        <v>71</v>
      </c>
      <c r="B2014" s="2" t="s">
        <v>72</v>
      </c>
      <c r="C2014" s="2" t="s">
        <v>73</v>
      </c>
      <c r="D2014" s="2"/>
      <c r="E2014" s="2" t="str">
        <f>"FES1162569687"</f>
        <v>FES1162569687</v>
      </c>
      <c r="F2014" s="3">
        <v>42964</v>
      </c>
      <c r="G2014" s="2">
        <v>201802</v>
      </c>
      <c r="H2014" s="2" t="s">
        <v>74</v>
      </c>
      <c r="I2014" s="2" t="s">
        <v>75</v>
      </c>
      <c r="J2014" s="2" t="s">
        <v>76</v>
      </c>
      <c r="K2014" s="2" t="s">
        <v>77</v>
      </c>
      <c r="L2014" s="2" t="s">
        <v>97</v>
      </c>
      <c r="M2014" s="2" t="s">
        <v>98</v>
      </c>
      <c r="N2014" s="2" t="s">
        <v>250</v>
      </c>
      <c r="O2014" s="2" t="s">
        <v>100</v>
      </c>
      <c r="P2014" s="2" t="str">
        <f>"2170585470                    "</f>
        <v xml:space="preserve">2170585470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5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1</v>
      </c>
      <c r="BI2014" s="2">
        <v>1.8</v>
      </c>
      <c r="BJ2014" s="2">
        <v>2.2999999999999998</v>
      </c>
      <c r="BK2014" s="2">
        <v>2.5</v>
      </c>
      <c r="BL2014" s="2">
        <v>51.8</v>
      </c>
      <c r="BM2014" s="2">
        <v>7.25</v>
      </c>
      <c r="BN2014" s="2">
        <v>59.05</v>
      </c>
      <c r="BO2014" s="2">
        <v>59.05</v>
      </c>
      <c r="BP2014" s="2"/>
      <c r="BQ2014" s="2" t="s">
        <v>288</v>
      </c>
      <c r="BR2014" s="2" t="s">
        <v>84</v>
      </c>
      <c r="BS2014" s="3">
        <v>42965</v>
      </c>
      <c r="BT2014" s="4">
        <v>0.4236111111111111</v>
      </c>
      <c r="BU2014" s="2" t="s">
        <v>251</v>
      </c>
      <c r="BV2014" s="2" t="s">
        <v>95</v>
      </c>
      <c r="BW2014" s="2"/>
      <c r="BX2014" s="2"/>
      <c r="BY2014" s="2">
        <v>11360.57</v>
      </c>
      <c r="BZ2014" s="2" t="s">
        <v>27</v>
      </c>
      <c r="CA2014" s="2" t="s">
        <v>294</v>
      </c>
      <c r="CB2014" s="2"/>
      <c r="CC2014" s="2" t="s">
        <v>98</v>
      </c>
      <c r="CD2014" s="2">
        <v>6012</v>
      </c>
      <c r="CE2014" s="2" t="s">
        <v>89</v>
      </c>
      <c r="CF2014" s="5">
        <v>42968</v>
      </c>
      <c r="CG2014" s="2"/>
      <c r="CH2014" s="2"/>
      <c r="CI2014" s="2">
        <v>1</v>
      </c>
      <c r="CJ2014" s="2">
        <v>1</v>
      </c>
      <c r="CK2014" s="2">
        <v>21</v>
      </c>
      <c r="CL2014" s="2" t="s">
        <v>86</v>
      </c>
      <c r="CM2014" s="2"/>
    </row>
    <row r="2015" spans="1:91">
      <c r="A2015" s="2" t="s">
        <v>71</v>
      </c>
      <c r="B2015" s="2" t="s">
        <v>72</v>
      </c>
      <c r="C2015" s="2" t="s">
        <v>73</v>
      </c>
      <c r="D2015" s="2"/>
      <c r="E2015" s="2" t="str">
        <f>"FES1162561016"</f>
        <v>FES1162561016</v>
      </c>
      <c r="F2015" s="3">
        <v>42964</v>
      </c>
      <c r="G2015" s="2">
        <v>201802</v>
      </c>
      <c r="H2015" s="2" t="s">
        <v>74</v>
      </c>
      <c r="I2015" s="2" t="s">
        <v>75</v>
      </c>
      <c r="J2015" s="2" t="s">
        <v>76</v>
      </c>
      <c r="K2015" s="2" t="s">
        <v>77</v>
      </c>
      <c r="L2015" s="2" t="s">
        <v>149</v>
      </c>
      <c r="M2015" s="2" t="s">
        <v>150</v>
      </c>
      <c r="N2015" s="2" t="s">
        <v>758</v>
      </c>
      <c r="O2015" s="2" t="s">
        <v>100</v>
      </c>
      <c r="P2015" s="2" t="str">
        <f>"2170577814                    "</f>
        <v xml:space="preserve">2170577814 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32.020000000000003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16</v>
      </c>
      <c r="BJ2015" s="2">
        <v>7.4</v>
      </c>
      <c r="BK2015" s="2">
        <v>16</v>
      </c>
      <c r="BL2015" s="2">
        <v>331.54</v>
      </c>
      <c r="BM2015" s="2">
        <v>46.42</v>
      </c>
      <c r="BN2015" s="2">
        <v>377.96</v>
      </c>
      <c r="BO2015" s="2">
        <v>377.96</v>
      </c>
      <c r="BP2015" s="2"/>
      <c r="BQ2015" s="2" t="s">
        <v>209</v>
      </c>
      <c r="BR2015" s="2" t="s">
        <v>84</v>
      </c>
      <c r="BS2015" s="3">
        <v>42965</v>
      </c>
      <c r="BT2015" s="4">
        <v>0.3833333333333333</v>
      </c>
      <c r="BU2015" s="2" t="s">
        <v>2599</v>
      </c>
      <c r="BV2015" s="2" t="s">
        <v>95</v>
      </c>
      <c r="BW2015" s="2"/>
      <c r="BX2015" s="2"/>
      <c r="BY2015" s="2">
        <v>36900</v>
      </c>
      <c r="BZ2015" s="2" t="s">
        <v>27</v>
      </c>
      <c r="CA2015" s="2" t="s">
        <v>1163</v>
      </c>
      <c r="CB2015" s="2"/>
      <c r="CC2015" s="2" t="s">
        <v>150</v>
      </c>
      <c r="CD2015" s="2">
        <v>4052</v>
      </c>
      <c r="CE2015" s="2" t="s">
        <v>89</v>
      </c>
      <c r="CF2015" s="5">
        <v>42968</v>
      </c>
      <c r="CG2015" s="2"/>
      <c r="CH2015" s="2"/>
      <c r="CI2015" s="2">
        <v>1</v>
      </c>
      <c r="CJ2015" s="2">
        <v>1</v>
      </c>
      <c r="CK2015" s="2">
        <v>21</v>
      </c>
      <c r="CL2015" s="2" t="s">
        <v>86</v>
      </c>
      <c r="CM2015" s="2"/>
    </row>
    <row r="2016" spans="1:91">
      <c r="A2016" s="2" t="s">
        <v>71</v>
      </c>
      <c r="B2016" s="2" t="s">
        <v>72</v>
      </c>
      <c r="C2016" s="2" t="s">
        <v>73</v>
      </c>
      <c r="D2016" s="2"/>
      <c r="E2016" s="2" t="str">
        <f>"FES1162563683"</f>
        <v>FES1162563683</v>
      </c>
      <c r="F2016" s="3">
        <v>42964</v>
      </c>
      <c r="G2016" s="2">
        <v>201802</v>
      </c>
      <c r="H2016" s="2" t="s">
        <v>74</v>
      </c>
      <c r="I2016" s="2" t="s">
        <v>75</v>
      </c>
      <c r="J2016" s="2" t="s">
        <v>76</v>
      </c>
      <c r="K2016" s="2" t="s">
        <v>77</v>
      </c>
      <c r="L2016" s="2" t="s">
        <v>362</v>
      </c>
      <c r="M2016" s="2" t="s">
        <v>363</v>
      </c>
      <c r="N2016" s="2" t="s">
        <v>2600</v>
      </c>
      <c r="O2016" s="2" t="s">
        <v>100</v>
      </c>
      <c r="P2016" s="2" t="str">
        <f>"2170568632                    "</f>
        <v xml:space="preserve">2170568632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30.02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14.7</v>
      </c>
      <c r="BJ2016" s="2">
        <v>8.9</v>
      </c>
      <c r="BK2016" s="2">
        <v>15</v>
      </c>
      <c r="BL2016" s="2">
        <v>310.82</v>
      </c>
      <c r="BM2016" s="2">
        <v>43.51</v>
      </c>
      <c r="BN2016" s="2">
        <v>354.33</v>
      </c>
      <c r="BO2016" s="2">
        <v>354.33</v>
      </c>
      <c r="BP2016" s="2"/>
      <c r="BQ2016" s="2" t="s">
        <v>83</v>
      </c>
      <c r="BR2016" s="2" t="s">
        <v>84</v>
      </c>
      <c r="BS2016" s="3">
        <v>42965</v>
      </c>
      <c r="BT2016" s="4">
        <v>0.3888888888888889</v>
      </c>
      <c r="BU2016" s="2" t="s">
        <v>2601</v>
      </c>
      <c r="BV2016" s="2" t="s">
        <v>95</v>
      </c>
      <c r="BW2016" s="2"/>
      <c r="BX2016" s="2"/>
      <c r="BY2016" s="2">
        <v>44372.71</v>
      </c>
      <c r="BZ2016" s="2" t="s">
        <v>27</v>
      </c>
      <c r="CA2016" s="2" t="s">
        <v>367</v>
      </c>
      <c r="CB2016" s="2"/>
      <c r="CC2016" s="2" t="s">
        <v>363</v>
      </c>
      <c r="CD2016" s="2">
        <v>3201</v>
      </c>
      <c r="CE2016" s="2" t="s">
        <v>89</v>
      </c>
      <c r="CF2016" s="5">
        <v>42968</v>
      </c>
      <c r="CG2016" s="2"/>
      <c r="CH2016" s="2"/>
      <c r="CI2016" s="2">
        <v>1</v>
      </c>
      <c r="CJ2016" s="2">
        <v>1</v>
      </c>
      <c r="CK2016" s="2">
        <v>21</v>
      </c>
      <c r="CL2016" s="2" t="s">
        <v>86</v>
      </c>
      <c r="CM2016" s="2"/>
    </row>
    <row r="2017" spans="1:91">
      <c r="A2017" s="2" t="s">
        <v>71</v>
      </c>
      <c r="B2017" s="2" t="s">
        <v>72</v>
      </c>
      <c r="C2017" s="2" t="s">
        <v>73</v>
      </c>
      <c r="D2017" s="2"/>
      <c r="E2017" s="2" t="str">
        <f>"FES1162569680"</f>
        <v>FES1162569680</v>
      </c>
      <c r="F2017" s="3">
        <v>42964</v>
      </c>
      <c r="G2017" s="2">
        <v>201802</v>
      </c>
      <c r="H2017" s="2" t="s">
        <v>74</v>
      </c>
      <c r="I2017" s="2" t="s">
        <v>75</v>
      </c>
      <c r="J2017" s="2" t="s">
        <v>76</v>
      </c>
      <c r="K2017" s="2" t="s">
        <v>77</v>
      </c>
      <c r="L2017" s="2" t="s">
        <v>97</v>
      </c>
      <c r="M2017" s="2" t="s">
        <v>98</v>
      </c>
      <c r="N2017" s="2" t="s">
        <v>2203</v>
      </c>
      <c r="O2017" s="2" t="s">
        <v>100</v>
      </c>
      <c r="P2017" s="2" t="str">
        <f>"2170585336                    "</f>
        <v xml:space="preserve">2170585336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4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1</v>
      </c>
      <c r="BJ2017" s="2">
        <v>0.2</v>
      </c>
      <c r="BK2017" s="2">
        <v>1</v>
      </c>
      <c r="BL2017" s="2">
        <v>41.44</v>
      </c>
      <c r="BM2017" s="2">
        <v>5.8</v>
      </c>
      <c r="BN2017" s="2">
        <v>47.24</v>
      </c>
      <c r="BO2017" s="2">
        <v>47.24</v>
      </c>
      <c r="BP2017" s="2"/>
      <c r="BQ2017" s="2" t="s">
        <v>288</v>
      </c>
      <c r="BR2017" s="2" t="s">
        <v>84</v>
      </c>
      <c r="BS2017" s="3">
        <v>42965</v>
      </c>
      <c r="BT2017" s="4">
        <v>0.33194444444444443</v>
      </c>
      <c r="BU2017" s="2" t="s">
        <v>2602</v>
      </c>
      <c r="BV2017" s="2" t="s">
        <v>95</v>
      </c>
      <c r="BW2017" s="2"/>
      <c r="BX2017" s="2"/>
      <c r="BY2017" s="2">
        <v>1200</v>
      </c>
      <c r="BZ2017" s="2" t="s">
        <v>27</v>
      </c>
      <c r="CA2017" s="2" t="s">
        <v>294</v>
      </c>
      <c r="CB2017" s="2"/>
      <c r="CC2017" s="2" t="s">
        <v>98</v>
      </c>
      <c r="CD2017" s="2">
        <v>6001</v>
      </c>
      <c r="CE2017" s="2" t="s">
        <v>104</v>
      </c>
      <c r="CF2017" s="5">
        <v>42968</v>
      </c>
      <c r="CG2017" s="2"/>
      <c r="CH2017" s="2"/>
      <c r="CI2017" s="2">
        <v>1</v>
      </c>
      <c r="CJ2017" s="2">
        <v>1</v>
      </c>
      <c r="CK2017" s="2">
        <v>21</v>
      </c>
      <c r="CL2017" s="2" t="s">
        <v>86</v>
      </c>
      <c r="CM2017" s="2"/>
    </row>
    <row r="2018" spans="1:91">
      <c r="A2018" s="2" t="s">
        <v>71</v>
      </c>
      <c r="B2018" s="2" t="s">
        <v>72</v>
      </c>
      <c r="C2018" s="2" t="s">
        <v>73</v>
      </c>
      <c r="D2018" s="2"/>
      <c r="E2018" s="2" t="str">
        <f>"FES1162569748"</f>
        <v>FES1162569748</v>
      </c>
      <c r="F2018" s="3">
        <v>42964</v>
      </c>
      <c r="G2018" s="2">
        <v>201802</v>
      </c>
      <c r="H2018" s="2" t="s">
        <v>74</v>
      </c>
      <c r="I2018" s="2" t="s">
        <v>75</v>
      </c>
      <c r="J2018" s="2" t="s">
        <v>76</v>
      </c>
      <c r="K2018" s="2" t="s">
        <v>77</v>
      </c>
      <c r="L2018" s="2" t="s">
        <v>510</v>
      </c>
      <c r="M2018" s="2" t="s">
        <v>511</v>
      </c>
      <c r="N2018" s="2" t="s">
        <v>1504</v>
      </c>
      <c r="O2018" s="2" t="s">
        <v>100</v>
      </c>
      <c r="P2018" s="2" t="str">
        <f>"2170585507                    "</f>
        <v xml:space="preserve">2170585507 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4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1</v>
      </c>
      <c r="BJ2018" s="2">
        <v>0.2</v>
      </c>
      <c r="BK2018" s="2">
        <v>1</v>
      </c>
      <c r="BL2018" s="2">
        <v>41.44</v>
      </c>
      <c r="BM2018" s="2">
        <v>5.8</v>
      </c>
      <c r="BN2018" s="2">
        <v>47.24</v>
      </c>
      <c r="BO2018" s="2">
        <v>47.24</v>
      </c>
      <c r="BP2018" s="2"/>
      <c r="BQ2018" s="2" t="s">
        <v>108</v>
      </c>
      <c r="BR2018" s="2" t="s">
        <v>84</v>
      </c>
      <c r="BS2018" s="3">
        <v>42965</v>
      </c>
      <c r="BT2018" s="4">
        <v>0.31597222222222221</v>
      </c>
      <c r="BU2018" s="2" t="s">
        <v>2603</v>
      </c>
      <c r="BV2018" s="2" t="s">
        <v>95</v>
      </c>
      <c r="BW2018" s="2"/>
      <c r="BX2018" s="2"/>
      <c r="BY2018" s="2">
        <v>1200</v>
      </c>
      <c r="BZ2018" s="2" t="s">
        <v>27</v>
      </c>
      <c r="CA2018" s="2" t="s">
        <v>872</v>
      </c>
      <c r="CB2018" s="2"/>
      <c r="CC2018" s="2" t="s">
        <v>511</v>
      </c>
      <c r="CD2018" s="2">
        <v>6230</v>
      </c>
      <c r="CE2018" s="2" t="s">
        <v>104</v>
      </c>
      <c r="CF2018" s="5">
        <v>42968</v>
      </c>
      <c r="CG2018" s="2"/>
      <c r="CH2018" s="2"/>
      <c r="CI2018" s="2">
        <v>1</v>
      </c>
      <c r="CJ2018" s="2">
        <v>1</v>
      </c>
      <c r="CK2018" s="2">
        <v>21</v>
      </c>
      <c r="CL2018" s="2" t="s">
        <v>86</v>
      </c>
      <c r="CM2018" s="2"/>
    </row>
    <row r="2019" spans="1:91">
      <c r="A2019" s="2" t="s">
        <v>71</v>
      </c>
      <c r="B2019" s="2" t="s">
        <v>72</v>
      </c>
      <c r="C2019" s="2" t="s">
        <v>73</v>
      </c>
      <c r="D2019" s="2"/>
      <c r="E2019" s="2" t="str">
        <f>"FES1162569756"</f>
        <v>FES1162569756</v>
      </c>
      <c r="F2019" s="3">
        <v>42964</v>
      </c>
      <c r="G2019" s="2">
        <v>201802</v>
      </c>
      <c r="H2019" s="2" t="s">
        <v>74</v>
      </c>
      <c r="I2019" s="2" t="s">
        <v>75</v>
      </c>
      <c r="J2019" s="2" t="s">
        <v>76</v>
      </c>
      <c r="K2019" s="2" t="s">
        <v>77</v>
      </c>
      <c r="L2019" s="2" t="s">
        <v>174</v>
      </c>
      <c r="M2019" s="2" t="s">
        <v>175</v>
      </c>
      <c r="N2019" s="2" t="s">
        <v>920</v>
      </c>
      <c r="O2019" s="2" t="s">
        <v>100</v>
      </c>
      <c r="P2019" s="2" t="str">
        <f>"2170585522                    "</f>
        <v xml:space="preserve">2170585522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8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3.8</v>
      </c>
      <c r="BJ2019" s="2">
        <v>1.4</v>
      </c>
      <c r="BK2019" s="2">
        <v>4</v>
      </c>
      <c r="BL2019" s="2">
        <v>82.88</v>
      </c>
      <c r="BM2019" s="2">
        <v>11.6</v>
      </c>
      <c r="BN2019" s="2">
        <v>94.48</v>
      </c>
      <c r="BO2019" s="2">
        <v>94.48</v>
      </c>
      <c r="BP2019" s="2"/>
      <c r="BQ2019" s="2" t="s">
        <v>108</v>
      </c>
      <c r="BR2019" s="2" t="s">
        <v>84</v>
      </c>
      <c r="BS2019" s="3">
        <v>42965</v>
      </c>
      <c r="BT2019" s="4">
        <v>0.41666666666666669</v>
      </c>
      <c r="BU2019" s="2" t="s">
        <v>2571</v>
      </c>
      <c r="BV2019" s="2" t="s">
        <v>95</v>
      </c>
      <c r="BW2019" s="2"/>
      <c r="BX2019" s="2"/>
      <c r="BY2019" s="2">
        <v>6852.77</v>
      </c>
      <c r="BZ2019" s="2" t="s">
        <v>27</v>
      </c>
      <c r="CA2019" s="2"/>
      <c r="CB2019" s="2"/>
      <c r="CC2019" s="2" t="s">
        <v>175</v>
      </c>
      <c r="CD2019" s="2">
        <v>5201</v>
      </c>
      <c r="CE2019" s="2" t="s">
        <v>89</v>
      </c>
      <c r="CF2019" s="5">
        <v>42968</v>
      </c>
      <c r="CG2019" s="2"/>
      <c r="CH2019" s="2"/>
      <c r="CI2019" s="2">
        <v>1</v>
      </c>
      <c r="CJ2019" s="2">
        <v>1</v>
      </c>
      <c r="CK2019" s="2">
        <v>21</v>
      </c>
      <c r="CL2019" s="2" t="s">
        <v>86</v>
      </c>
      <c r="CM2019" s="2"/>
    </row>
    <row r="2020" spans="1:91">
      <c r="A2020" s="2" t="s">
        <v>71</v>
      </c>
      <c r="B2020" s="2" t="s">
        <v>72</v>
      </c>
      <c r="C2020" s="2" t="s">
        <v>73</v>
      </c>
      <c r="D2020" s="2"/>
      <c r="E2020" s="2" t="str">
        <f>"FES1162569675"</f>
        <v>FES1162569675</v>
      </c>
      <c r="F2020" s="3">
        <v>42964</v>
      </c>
      <c r="G2020" s="2">
        <v>201802</v>
      </c>
      <c r="H2020" s="2" t="s">
        <v>74</v>
      </c>
      <c r="I2020" s="2" t="s">
        <v>75</v>
      </c>
      <c r="J2020" s="2" t="s">
        <v>76</v>
      </c>
      <c r="K2020" s="2" t="s">
        <v>77</v>
      </c>
      <c r="L2020" s="2" t="s">
        <v>97</v>
      </c>
      <c r="M2020" s="2" t="s">
        <v>98</v>
      </c>
      <c r="N2020" s="2" t="s">
        <v>1044</v>
      </c>
      <c r="O2020" s="2" t="s">
        <v>100</v>
      </c>
      <c r="P2020" s="2" t="str">
        <f>"2170581244                    "</f>
        <v xml:space="preserve">2170581244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4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1</v>
      </c>
      <c r="BJ2020" s="2">
        <v>0.2</v>
      </c>
      <c r="BK2020" s="2">
        <v>1</v>
      </c>
      <c r="BL2020" s="2">
        <v>41.44</v>
      </c>
      <c r="BM2020" s="2">
        <v>5.8</v>
      </c>
      <c r="BN2020" s="2">
        <v>47.24</v>
      </c>
      <c r="BO2020" s="2">
        <v>47.24</v>
      </c>
      <c r="BP2020" s="2"/>
      <c r="BQ2020" s="2" t="s">
        <v>144</v>
      </c>
      <c r="BR2020" s="2" t="s">
        <v>84</v>
      </c>
      <c r="BS2020" s="3">
        <v>42965</v>
      </c>
      <c r="BT2020" s="4">
        <v>0.4069444444444445</v>
      </c>
      <c r="BU2020" s="2" t="s">
        <v>2604</v>
      </c>
      <c r="BV2020" s="2" t="s">
        <v>95</v>
      </c>
      <c r="BW2020" s="2"/>
      <c r="BX2020" s="2"/>
      <c r="BY2020" s="2">
        <v>1200</v>
      </c>
      <c r="BZ2020" s="2" t="s">
        <v>27</v>
      </c>
      <c r="CA2020" s="2" t="s">
        <v>1047</v>
      </c>
      <c r="CB2020" s="2"/>
      <c r="CC2020" s="2" t="s">
        <v>98</v>
      </c>
      <c r="CD2020" s="2">
        <v>6045</v>
      </c>
      <c r="CE2020" s="2" t="s">
        <v>104</v>
      </c>
      <c r="CF2020" s="5">
        <v>42968</v>
      </c>
      <c r="CG2020" s="2"/>
      <c r="CH2020" s="2"/>
      <c r="CI2020" s="2">
        <v>1</v>
      </c>
      <c r="CJ2020" s="2">
        <v>1</v>
      </c>
      <c r="CK2020" s="2">
        <v>21</v>
      </c>
      <c r="CL2020" s="2" t="s">
        <v>86</v>
      </c>
      <c r="CM2020" s="2"/>
    </row>
    <row r="2021" spans="1:91">
      <c r="A2021" s="2" t="s">
        <v>71</v>
      </c>
      <c r="B2021" s="2" t="s">
        <v>72</v>
      </c>
      <c r="C2021" s="2" t="s">
        <v>73</v>
      </c>
      <c r="D2021" s="2"/>
      <c r="E2021" s="2" t="str">
        <f>"FES1162569586"</f>
        <v>FES1162569586</v>
      </c>
      <c r="F2021" s="3">
        <v>42964</v>
      </c>
      <c r="G2021" s="2">
        <v>201802</v>
      </c>
      <c r="H2021" s="2" t="s">
        <v>74</v>
      </c>
      <c r="I2021" s="2" t="s">
        <v>75</v>
      </c>
      <c r="J2021" s="2" t="s">
        <v>76</v>
      </c>
      <c r="K2021" s="2" t="s">
        <v>77</v>
      </c>
      <c r="L2021" s="2" t="s">
        <v>144</v>
      </c>
      <c r="M2021" s="2" t="s">
        <v>145</v>
      </c>
      <c r="N2021" s="2" t="s">
        <v>2605</v>
      </c>
      <c r="O2021" s="2" t="s">
        <v>100</v>
      </c>
      <c r="P2021" s="2" t="str">
        <f>"2170584910                    "</f>
        <v xml:space="preserve">2170584910 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3.13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1</v>
      </c>
      <c r="BJ2021" s="2">
        <v>0.2</v>
      </c>
      <c r="BK2021" s="2">
        <v>1</v>
      </c>
      <c r="BL2021" s="2">
        <v>32.380000000000003</v>
      </c>
      <c r="BM2021" s="2">
        <v>4.53</v>
      </c>
      <c r="BN2021" s="2">
        <v>36.909999999999997</v>
      </c>
      <c r="BO2021" s="2">
        <v>36.909999999999997</v>
      </c>
      <c r="BP2021" s="2"/>
      <c r="BQ2021" s="2" t="s">
        <v>83</v>
      </c>
      <c r="BR2021" s="2" t="s">
        <v>84</v>
      </c>
      <c r="BS2021" s="3">
        <v>42965</v>
      </c>
      <c r="BT2021" s="4">
        <v>0.4284722222222222</v>
      </c>
      <c r="BU2021" s="2" t="s">
        <v>1793</v>
      </c>
      <c r="BV2021" s="2" t="s">
        <v>95</v>
      </c>
      <c r="BW2021" s="2"/>
      <c r="BX2021" s="2"/>
      <c r="BY2021" s="2">
        <v>1200</v>
      </c>
      <c r="BZ2021" s="2" t="s">
        <v>27</v>
      </c>
      <c r="CA2021" s="2" t="s">
        <v>709</v>
      </c>
      <c r="CB2021" s="2"/>
      <c r="CC2021" s="2" t="s">
        <v>145</v>
      </c>
      <c r="CD2021" s="2">
        <v>2065</v>
      </c>
      <c r="CE2021" s="2" t="s">
        <v>104</v>
      </c>
      <c r="CF2021" s="5">
        <v>42968</v>
      </c>
      <c r="CG2021" s="2"/>
      <c r="CH2021" s="2"/>
      <c r="CI2021" s="2">
        <v>1</v>
      </c>
      <c r="CJ2021" s="2">
        <v>1</v>
      </c>
      <c r="CK2021" s="2">
        <v>22</v>
      </c>
      <c r="CL2021" s="2" t="s">
        <v>86</v>
      </c>
      <c r="CM2021" s="2"/>
    </row>
    <row r="2022" spans="1:91">
      <c r="A2022" s="2" t="s">
        <v>71</v>
      </c>
      <c r="B2022" s="2" t="s">
        <v>72</v>
      </c>
      <c r="C2022" s="2" t="s">
        <v>73</v>
      </c>
      <c r="D2022" s="2"/>
      <c r="E2022" s="2" t="str">
        <f>"FES1162569614"</f>
        <v>FES1162569614</v>
      </c>
      <c r="F2022" s="3">
        <v>42964</v>
      </c>
      <c r="G2022" s="2">
        <v>201802</v>
      </c>
      <c r="H2022" s="2" t="s">
        <v>74</v>
      </c>
      <c r="I2022" s="2" t="s">
        <v>75</v>
      </c>
      <c r="J2022" s="2" t="s">
        <v>76</v>
      </c>
      <c r="K2022" s="2" t="s">
        <v>77</v>
      </c>
      <c r="L2022" s="2" t="s">
        <v>144</v>
      </c>
      <c r="M2022" s="2" t="s">
        <v>145</v>
      </c>
      <c r="N2022" s="2" t="s">
        <v>402</v>
      </c>
      <c r="O2022" s="2" t="s">
        <v>100</v>
      </c>
      <c r="P2022" s="2" t="str">
        <f>"2170585430                    "</f>
        <v xml:space="preserve">2170585430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3.13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1</v>
      </c>
      <c r="BJ2022" s="2">
        <v>0.2</v>
      </c>
      <c r="BK2022" s="2">
        <v>1</v>
      </c>
      <c r="BL2022" s="2">
        <v>32.380000000000003</v>
      </c>
      <c r="BM2022" s="2">
        <v>4.53</v>
      </c>
      <c r="BN2022" s="2">
        <v>36.909999999999997</v>
      </c>
      <c r="BO2022" s="2">
        <v>36.909999999999997</v>
      </c>
      <c r="BP2022" s="2"/>
      <c r="BQ2022" s="2" t="s">
        <v>83</v>
      </c>
      <c r="BR2022" s="2" t="s">
        <v>84</v>
      </c>
      <c r="BS2022" s="3">
        <v>42965</v>
      </c>
      <c r="BT2022" s="4">
        <v>0.41666666666666669</v>
      </c>
      <c r="BU2022" s="2" t="s">
        <v>2606</v>
      </c>
      <c r="BV2022" s="2" t="s">
        <v>95</v>
      </c>
      <c r="BW2022" s="2"/>
      <c r="BX2022" s="2"/>
      <c r="BY2022" s="2">
        <v>1200</v>
      </c>
      <c r="BZ2022" s="2" t="s">
        <v>27</v>
      </c>
      <c r="CA2022" s="2"/>
      <c r="CB2022" s="2"/>
      <c r="CC2022" s="2" t="s">
        <v>145</v>
      </c>
      <c r="CD2022" s="2">
        <v>1832</v>
      </c>
      <c r="CE2022" s="2" t="s">
        <v>104</v>
      </c>
      <c r="CF2022" s="5">
        <v>42968</v>
      </c>
      <c r="CG2022" s="2"/>
      <c r="CH2022" s="2"/>
      <c r="CI2022" s="2">
        <v>1</v>
      </c>
      <c r="CJ2022" s="2">
        <v>1</v>
      </c>
      <c r="CK2022" s="2">
        <v>22</v>
      </c>
      <c r="CL2022" s="2" t="s">
        <v>86</v>
      </c>
      <c r="CM2022" s="2"/>
    </row>
    <row r="2023" spans="1:91">
      <c r="A2023" s="2" t="s">
        <v>71</v>
      </c>
      <c r="B2023" s="2" t="s">
        <v>72</v>
      </c>
      <c r="C2023" s="2" t="s">
        <v>73</v>
      </c>
      <c r="D2023" s="2"/>
      <c r="E2023" s="2" t="str">
        <f>"FES1162569620"</f>
        <v>FES1162569620</v>
      </c>
      <c r="F2023" s="3">
        <v>42964</v>
      </c>
      <c r="G2023" s="2">
        <v>201802</v>
      </c>
      <c r="H2023" s="2" t="s">
        <v>74</v>
      </c>
      <c r="I2023" s="2" t="s">
        <v>75</v>
      </c>
      <c r="J2023" s="2" t="s">
        <v>76</v>
      </c>
      <c r="K2023" s="2" t="s">
        <v>77</v>
      </c>
      <c r="L2023" s="2" t="s">
        <v>170</v>
      </c>
      <c r="M2023" s="2" t="s">
        <v>171</v>
      </c>
      <c r="N2023" s="2" t="s">
        <v>2222</v>
      </c>
      <c r="O2023" s="2" t="s">
        <v>100</v>
      </c>
      <c r="P2023" s="2" t="str">
        <f>"2170585439                    "</f>
        <v xml:space="preserve">2170585439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3.13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1</v>
      </c>
      <c r="BJ2023" s="2">
        <v>0.2</v>
      </c>
      <c r="BK2023" s="2">
        <v>1</v>
      </c>
      <c r="BL2023" s="2">
        <v>32.380000000000003</v>
      </c>
      <c r="BM2023" s="2">
        <v>4.53</v>
      </c>
      <c r="BN2023" s="2">
        <v>36.909999999999997</v>
      </c>
      <c r="BO2023" s="2">
        <v>36.909999999999997</v>
      </c>
      <c r="BP2023" s="2"/>
      <c r="BQ2023" s="2" t="s">
        <v>83</v>
      </c>
      <c r="BR2023" s="2" t="s">
        <v>84</v>
      </c>
      <c r="BS2023" s="3">
        <v>42965</v>
      </c>
      <c r="BT2023" s="4">
        <v>0.33333333333333331</v>
      </c>
      <c r="BU2023" s="2" t="s">
        <v>2607</v>
      </c>
      <c r="BV2023" s="2" t="s">
        <v>95</v>
      </c>
      <c r="BW2023" s="2"/>
      <c r="BX2023" s="2"/>
      <c r="BY2023" s="2">
        <v>1200</v>
      </c>
      <c r="BZ2023" s="2" t="s">
        <v>27</v>
      </c>
      <c r="CA2023" s="2" t="s">
        <v>1733</v>
      </c>
      <c r="CB2023" s="2"/>
      <c r="CC2023" s="2" t="s">
        <v>171</v>
      </c>
      <c r="CD2023" s="2">
        <v>1401</v>
      </c>
      <c r="CE2023" s="2" t="s">
        <v>104</v>
      </c>
      <c r="CF2023" s="5">
        <v>42968</v>
      </c>
      <c r="CG2023" s="2"/>
      <c r="CH2023" s="2"/>
      <c r="CI2023" s="2">
        <v>1</v>
      </c>
      <c r="CJ2023" s="2">
        <v>1</v>
      </c>
      <c r="CK2023" s="2">
        <v>22</v>
      </c>
      <c r="CL2023" s="2" t="s">
        <v>86</v>
      </c>
      <c r="CM2023" s="2"/>
    </row>
    <row r="2024" spans="1:91">
      <c r="A2024" s="2" t="s">
        <v>71</v>
      </c>
      <c r="B2024" s="2" t="s">
        <v>72</v>
      </c>
      <c r="C2024" s="2" t="s">
        <v>73</v>
      </c>
      <c r="D2024" s="2"/>
      <c r="E2024" s="2" t="str">
        <f>"FES1162569613"</f>
        <v>FES1162569613</v>
      </c>
      <c r="F2024" s="3">
        <v>42964</v>
      </c>
      <c r="G2024" s="2">
        <v>201802</v>
      </c>
      <c r="H2024" s="2" t="s">
        <v>74</v>
      </c>
      <c r="I2024" s="2" t="s">
        <v>75</v>
      </c>
      <c r="J2024" s="2" t="s">
        <v>76</v>
      </c>
      <c r="K2024" s="2" t="s">
        <v>77</v>
      </c>
      <c r="L2024" s="2" t="s">
        <v>128</v>
      </c>
      <c r="M2024" s="2" t="s">
        <v>129</v>
      </c>
      <c r="N2024" s="2" t="s">
        <v>412</v>
      </c>
      <c r="O2024" s="2" t="s">
        <v>100</v>
      </c>
      <c r="P2024" s="2" t="str">
        <f>"2170585429                    "</f>
        <v xml:space="preserve">2170585429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3.13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1</v>
      </c>
      <c r="BJ2024" s="2">
        <v>0.2</v>
      </c>
      <c r="BK2024" s="2">
        <v>1</v>
      </c>
      <c r="BL2024" s="2">
        <v>32.380000000000003</v>
      </c>
      <c r="BM2024" s="2">
        <v>4.53</v>
      </c>
      <c r="BN2024" s="2">
        <v>36.909999999999997</v>
      </c>
      <c r="BO2024" s="2">
        <v>36.909999999999997</v>
      </c>
      <c r="BP2024" s="2"/>
      <c r="BQ2024" s="2" t="s">
        <v>209</v>
      </c>
      <c r="BR2024" s="2" t="s">
        <v>84</v>
      </c>
      <c r="BS2024" s="3">
        <v>42965</v>
      </c>
      <c r="BT2024" s="4">
        <v>0.3444444444444445</v>
      </c>
      <c r="BU2024" s="2" t="s">
        <v>330</v>
      </c>
      <c r="BV2024" s="2" t="s">
        <v>95</v>
      </c>
      <c r="BW2024" s="2"/>
      <c r="BX2024" s="2"/>
      <c r="BY2024" s="2">
        <v>1200</v>
      </c>
      <c r="BZ2024" s="2" t="s">
        <v>27</v>
      </c>
      <c r="CA2024" s="2"/>
      <c r="CB2024" s="2"/>
      <c r="CC2024" s="2" t="s">
        <v>129</v>
      </c>
      <c r="CD2024" s="2">
        <v>1709</v>
      </c>
      <c r="CE2024" s="2" t="s">
        <v>104</v>
      </c>
      <c r="CF2024" s="5">
        <v>42968</v>
      </c>
      <c r="CG2024" s="2"/>
      <c r="CH2024" s="2"/>
      <c r="CI2024" s="2">
        <v>1</v>
      </c>
      <c r="CJ2024" s="2">
        <v>1</v>
      </c>
      <c r="CK2024" s="2">
        <v>22</v>
      </c>
      <c r="CL2024" s="2" t="s">
        <v>86</v>
      </c>
      <c r="CM2024" s="2"/>
    </row>
    <row r="2025" spans="1:91">
      <c r="A2025" s="2" t="s">
        <v>71</v>
      </c>
      <c r="B2025" s="2" t="s">
        <v>72</v>
      </c>
      <c r="C2025" s="2" t="s">
        <v>73</v>
      </c>
      <c r="D2025" s="2"/>
      <c r="E2025" s="2" t="str">
        <f>"FES11625685421"</f>
        <v>FES11625685421</v>
      </c>
      <c r="F2025" s="3">
        <v>42964</v>
      </c>
      <c r="G2025" s="2">
        <v>201802</v>
      </c>
      <c r="H2025" s="2" t="s">
        <v>74</v>
      </c>
      <c r="I2025" s="2" t="s">
        <v>75</v>
      </c>
      <c r="J2025" s="2" t="s">
        <v>76</v>
      </c>
      <c r="K2025" s="2" t="s">
        <v>77</v>
      </c>
      <c r="L2025" s="2" t="s">
        <v>170</v>
      </c>
      <c r="M2025" s="2" t="s">
        <v>171</v>
      </c>
      <c r="N2025" s="2" t="s">
        <v>2044</v>
      </c>
      <c r="O2025" s="2" t="s">
        <v>100</v>
      </c>
      <c r="P2025" s="2" t="str">
        <f>"2170585421                    "</f>
        <v xml:space="preserve">2170585421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3.13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1</v>
      </c>
      <c r="BJ2025" s="2">
        <v>0.2</v>
      </c>
      <c r="BK2025" s="2">
        <v>1</v>
      </c>
      <c r="BL2025" s="2">
        <v>32.380000000000003</v>
      </c>
      <c r="BM2025" s="2">
        <v>4.53</v>
      </c>
      <c r="BN2025" s="2">
        <v>36.909999999999997</v>
      </c>
      <c r="BO2025" s="2">
        <v>36.909999999999997</v>
      </c>
      <c r="BP2025" s="2"/>
      <c r="BQ2025" s="2" t="s">
        <v>83</v>
      </c>
      <c r="BR2025" s="2" t="s">
        <v>84</v>
      </c>
      <c r="BS2025" s="3">
        <v>42965</v>
      </c>
      <c r="BT2025" s="4">
        <v>0.41666666666666669</v>
      </c>
      <c r="BU2025" s="2" t="s">
        <v>1412</v>
      </c>
      <c r="BV2025" s="2" t="s">
        <v>95</v>
      </c>
      <c r="BW2025" s="2"/>
      <c r="BX2025" s="2"/>
      <c r="BY2025" s="2">
        <v>1200</v>
      </c>
      <c r="BZ2025" s="2" t="s">
        <v>27</v>
      </c>
      <c r="CA2025" s="2"/>
      <c r="CB2025" s="2"/>
      <c r="CC2025" s="2" t="s">
        <v>171</v>
      </c>
      <c r="CD2025" s="2">
        <v>1428</v>
      </c>
      <c r="CE2025" s="2" t="s">
        <v>104</v>
      </c>
      <c r="CF2025" s="2"/>
      <c r="CG2025" s="2"/>
      <c r="CH2025" s="2"/>
      <c r="CI2025" s="2">
        <v>1</v>
      </c>
      <c r="CJ2025" s="2">
        <v>1</v>
      </c>
      <c r="CK2025" s="2">
        <v>22</v>
      </c>
      <c r="CL2025" s="2" t="s">
        <v>86</v>
      </c>
      <c r="CM2025" s="2"/>
    </row>
    <row r="2026" spans="1:91">
      <c r="A2026" s="2" t="s">
        <v>71</v>
      </c>
      <c r="B2026" s="2" t="s">
        <v>72</v>
      </c>
      <c r="C2026" s="2" t="s">
        <v>73</v>
      </c>
      <c r="D2026" s="2"/>
      <c r="E2026" s="2" t="str">
        <f>"FES116259610"</f>
        <v>FES116259610</v>
      </c>
      <c r="F2026" s="3">
        <v>42964</v>
      </c>
      <c r="G2026" s="2">
        <v>201802</v>
      </c>
      <c r="H2026" s="2" t="s">
        <v>74</v>
      </c>
      <c r="I2026" s="2" t="s">
        <v>75</v>
      </c>
      <c r="J2026" s="2" t="s">
        <v>76</v>
      </c>
      <c r="K2026" s="2" t="s">
        <v>77</v>
      </c>
      <c r="L2026" s="2" t="s">
        <v>715</v>
      </c>
      <c r="M2026" s="2" t="s">
        <v>716</v>
      </c>
      <c r="N2026" s="2" t="s">
        <v>717</v>
      </c>
      <c r="O2026" s="2" t="s">
        <v>100</v>
      </c>
      <c r="P2026" s="2" t="str">
        <f>"2170585425                    "</f>
        <v xml:space="preserve">2170585425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4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1</v>
      </c>
      <c r="BJ2026" s="2">
        <v>0.2</v>
      </c>
      <c r="BK2026" s="2">
        <v>1</v>
      </c>
      <c r="BL2026" s="2">
        <v>41.44</v>
      </c>
      <c r="BM2026" s="2">
        <v>5.8</v>
      </c>
      <c r="BN2026" s="2">
        <v>47.24</v>
      </c>
      <c r="BO2026" s="2">
        <v>47.24</v>
      </c>
      <c r="BP2026" s="2"/>
      <c r="BQ2026" s="2" t="s">
        <v>108</v>
      </c>
      <c r="BR2026" s="2" t="s">
        <v>84</v>
      </c>
      <c r="BS2026" s="3">
        <v>42965</v>
      </c>
      <c r="BT2026" s="4">
        <v>0.41250000000000003</v>
      </c>
      <c r="BU2026" s="2" t="s">
        <v>2608</v>
      </c>
      <c r="BV2026" s="2" t="s">
        <v>95</v>
      </c>
      <c r="BW2026" s="2"/>
      <c r="BX2026" s="2"/>
      <c r="BY2026" s="2">
        <v>1200</v>
      </c>
      <c r="BZ2026" s="2" t="s">
        <v>27</v>
      </c>
      <c r="CA2026" s="2" t="s">
        <v>566</v>
      </c>
      <c r="CB2026" s="2"/>
      <c r="CC2026" s="2" t="s">
        <v>716</v>
      </c>
      <c r="CD2026" s="2">
        <v>3290</v>
      </c>
      <c r="CE2026" s="2" t="s">
        <v>104</v>
      </c>
      <c r="CF2026" s="5">
        <v>42965</v>
      </c>
      <c r="CG2026" s="2"/>
      <c r="CH2026" s="2"/>
      <c r="CI2026" s="2">
        <v>1</v>
      </c>
      <c r="CJ2026" s="2">
        <v>1</v>
      </c>
      <c r="CK2026" s="2">
        <v>21</v>
      </c>
      <c r="CL2026" s="2" t="s">
        <v>86</v>
      </c>
      <c r="CM2026" s="2"/>
    </row>
    <row r="2027" spans="1:91">
      <c r="A2027" s="2" t="s">
        <v>71</v>
      </c>
      <c r="B2027" s="2" t="s">
        <v>72</v>
      </c>
      <c r="C2027" s="2" t="s">
        <v>73</v>
      </c>
      <c r="D2027" s="2"/>
      <c r="E2027" s="2" t="str">
        <f>"FES1162569611"</f>
        <v>FES1162569611</v>
      </c>
      <c r="F2027" s="3">
        <v>42964</v>
      </c>
      <c r="G2027" s="2">
        <v>201802</v>
      </c>
      <c r="H2027" s="2" t="s">
        <v>74</v>
      </c>
      <c r="I2027" s="2" t="s">
        <v>75</v>
      </c>
      <c r="J2027" s="2" t="s">
        <v>76</v>
      </c>
      <c r="K2027" s="2" t="s">
        <v>77</v>
      </c>
      <c r="L2027" s="2" t="s">
        <v>144</v>
      </c>
      <c r="M2027" s="2" t="s">
        <v>145</v>
      </c>
      <c r="N2027" s="2" t="s">
        <v>402</v>
      </c>
      <c r="O2027" s="2" t="s">
        <v>100</v>
      </c>
      <c r="P2027" s="2" t="str">
        <f>"2170585426                    "</f>
        <v xml:space="preserve">2170585426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3.13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1</v>
      </c>
      <c r="BJ2027" s="2">
        <v>0.2</v>
      </c>
      <c r="BK2027" s="2">
        <v>1</v>
      </c>
      <c r="BL2027" s="2">
        <v>32.380000000000003</v>
      </c>
      <c r="BM2027" s="2">
        <v>4.53</v>
      </c>
      <c r="BN2027" s="2">
        <v>36.909999999999997</v>
      </c>
      <c r="BO2027" s="2">
        <v>36.909999999999997</v>
      </c>
      <c r="BP2027" s="2"/>
      <c r="BQ2027" s="2" t="s">
        <v>108</v>
      </c>
      <c r="BR2027" s="2" t="s">
        <v>84</v>
      </c>
      <c r="BS2027" s="3">
        <v>42965</v>
      </c>
      <c r="BT2027" s="4">
        <v>0.41666666666666669</v>
      </c>
      <c r="BU2027" s="2" t="s">
        <v>2609</v>
      </c>
      <c r="BV2027" s="2" t="s">
        <v>95</v>
      </c>
      <c r="BW2027" s="2"/>
      <c r="BX2027" s="2"/>
      <c r="BY2027" s="2">
        <v>1200</v>
      </c>
      <c r="BZ2027" s="2" t="s">
        <v>27</v>
      </c>
      <c r="CA2027" s="2"/>
      <c r="CB2027" s="2"/>
      <c r="CC2027" s="2" t="s">
        <v>145</v>
      </c>
      <c r="CD2027" s="2">
        <v>1832</v>
      </c>
      <c r="CE2027" s="2" t="s">
        <v>104</v>
      </c>
      <c r="CF2027" s="5">
        <v>42968</v>
      </c>
      <c r="CG2027" s="2"/>
      <c r="CH2027" s="2"/>
      <c r="CI2027" s="2">
        <v>1</v>
      </c>
      <c r="CJ2027" s="2">
        <v>1</v>
      </c>
      <c r="CK2027" s="2">
        <v>22</v>
      </c>
      <c r="CL2027" s="2" t="s">
        <v>86</v>
      </c>
      <c r="CM2027" s="2"/>
    </row>
    <row r="2028" spans="1:91">
      <c r="A2028" s="2" t="s">
        <v>71</v>
      </c>
      <c r="B2028" s="2" t="s">
        <v>72</v>
      </c>
      <c r="C2028" s="2" t="s">
        <v>73</v>
      </c>
      <c r="D2028" s="2"/>
      <c r="E2028" s="2" t="str">
        <f>"FES1162569615"</f>
        <v>FES1162569615</v>
      </c>
      <c r="F2028" s="3">
        <v>42964</v>
      </c>
      <c r="G2028" s="2">
        <v>201802</v>
      </c>
      <c r="H2028" s="2" t="s">
        <v>74</v>
      </c>
      <c r="I2028" s="2" t="s">
        <v>75</v>
      </c>
      <c r="J2028" s="2" t="s">
        <v>76</v>
      </c>
      <c r="K2028" s="2" t="s">
        <v>77</v>
      </c>
      <c r="L2028" s="2" t="s">
        <v>170</v>
      </c>
      <c r="M2028" s="2" t="s">
        <v>171</v>
      </c>
      <c r="N2028" s="2" t="s">
        <v>730</v>
      </c>
      <c r="O2028" s="2" t="s">
        <v>100</v>
      </c>
      <c r="P2028" s="2" t="str">
        <f>"2170585431                    "</f>
        <v xml:space="preserve">2170585431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3.13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1</v>
      </c>
      <c r="BJ2028" s="2">
        <v>0.2</v>
      </c>
      <c r="BK2028" s="2">
        <v>1</v>
      </c>
      <c r="BL2028" s="2">
        <v>32.380000000000003</v>
      </c>
      <c r="BM2028" s="2">
        <v>4.53</v>
      </c>
      <c r="BN2028" s="2">
        <v>36.909999999999997</v>
      </c>
      <c r="BO2028" s="2">
        <v>36.909999999999997</v>
      </c>
      <c r="BP2028" s="2"/>
      <c r="BQ2028" s="2" t="s">
        <v>108</v>
      </c>
      <c r="BR2028" s="2" t="s">
        <v>84</v>
      </c>
      <c r="BS2028" s="3">
        <v>42965</v>
      </c>
      <c r="BT2028" s="4">
        <v>0.41666666666666669</v>
      </c>
      <c r="BU2028" s="2" t="s">
        <v>2610</v>
      </c>
      <c r="BV2028" s="2" t="s">
        <v>95</v>
      </c>
      <c r="BW2028" s="2"/>
      <c r="BX2028" s="2"/>
      <c r="BY2028" s="2">
        <v>1200</v>
      </c>
      <c r="BZ2028" s="2" t="s">
        <v>27</v>
      </c>
      <c r="CA2028" s="2"/>
      <c r="CB2028" s="2"/>
      <c r="CC2028" s="2" t="s">
        <v>171</v>
      </c>
      <c r="CD2028" s="2">
        <v>1428</v>
      </c>
      <c r="CE2028" s="2" t="s">
        <v>104</v>
      </c>
      <c r="CF2028" s="5">
        <v>42968</v>
      </c>
      <c r="CG2028" s="2"/>
      <c r="CH2028" s="2"/>
      <c r="CI2028" s="2">
        <v>1</v>
      </c>
      <c r="CJ2028" s="2">
        <v>1</v>
      </c>
      <c r="CK2028" s="2">
        <v>22</v>
      </c>
      <c r="CL2028" s="2" t="s">
        <v>86</v>
      </c>
      <c r="CM2028" s="2"/>
    </row>
    <row r="2029" spans="1:91">
      <c r="A2029" s="2" t="s">
        <v>71</v>
      </c>
      <c r="B2029" s="2" t="s">
        <v>72</v>
      </c>
      <c r="C2029" s="2" t="s">
        <v>73</v>
      </c>
      <c r="D2029" s="2"/>
      <c r="E2029" s="2" t="str">
        <f>"FES1162569621"</f>
        <v>FES1162569621</v>
      </c>
      <c r="F2029" s="3">
        <v>42964</v>
      </c>
      <c r="G2029" s="2">
        <v>201802</v>
      </c>
      <c r="H2029" s="2" t="s">
        <v>74</v>
      </c>
      <c r="I2029" s="2" t="s">
        <v>75</v>
      </c>
      <c r="J2029" s="2" t="s">
        <v>76</v>
      </c>
      <c r="K2029" s="2" t="s">
        <v>77</v>
      </c>
      <c r="L2029" s="2" t="s">
        <v>170</v>
      </c>
      <c r="M2029" s="2" t="s">
        <v>171</v>
      </c>
      <c r="N2029" s="2" t="s">
        <v>489</v>
      </c>
      <c r="O2029" s="2" t="s">
        <v>100</v>
      </c>
      <c r="P2029" s="2" t="str">
        <f>"2170580894                    "</f>
        <v xml:space="preserve">2170580894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3.13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1</v>
      </c>
      <c r="BJ2029" s="2">
        <v>0.2</v>
      </c>
      <c r="BK2029" s="2">
        <v>1</v>
      </c>
      <c r="BL2029" s="2">
        <v>32.380000000000003</v>
      </c>
      <c r="BM2029" s="2">
        <v>4.53</v>
      </c>
      <c r="BN2029" s="2">
        <v>36.909999999999997</v>
      </c>
      <c r="BO2029" s="2">
        <v>36.909999999999997</v>
      </c>
      <c r="BP2029" s="2"/>
      <c r="BQ2029" s="2" t="s">
        <v>288</v>
      </c>
      <c r="BR2029" s="2" t="s">
        <v>84</v>
      </c>
      <c r="BS2029" s="3">
        <v>42965</v>
      </c>
      <c r="BT2029" s="4">
        <v>0.375</v>
      </c>
      <c r="BU2029" s="2" t="s">
        <v>829</v>
      </c>
      <c r="BV2029" s="2" t="s">
        <v>95</v>
      </c>
      <c r="BW2029" s="2"/>
      <c r="BX2029" s="2"/>
      <c r="BY2029" s="2">
        <v>1200</v>
      </c>
      <c r="BZ2029" s="2" t="s">
        <v>27</v>
      </c>
      <c r="CA2029" s="2"/>
      <c r="CB2029" s="2"/>
      <c r="CC2029" s="2" t="s">
        <v>171</v>
      </c>
      <c r="CD2029" s="2">
        <v>1401</v>
      </c>
      <c r="CE2029" s="2" t="s">
        <v>104</v>
      </c>
      <c r="CF2029" s="5">
        <v>42968</v>
      </c>
      <c r="CG2029" s="2"/>
      <c r="CH2029" s="2"/>
      <c r="CI2029" s="2">
        <v>1</v>
      </c>
      <c r="CJ2029" s="2">
        <v>1</v>
      </c>
      <c r="CK2029" s="2">
        <v>22</v>
      </c>
      <c r="CL2029" s="2" t="s">
        <v>86</v>
      </c>
      <c r="CM2029" s="2"/>
    </row>
    <row r="2030" spans="1:91">
      <c r="A2030" s="2" t="s">
        <v>71</v>
      </c>
      <c r="B2030" s="2" t="s">
        <v>72</v>
      </c>
      <c r="C2030" s="2" t="s">
        <v>73</v>
      </c>
      <c r="D2030" s="2"/>
      <c r="E2030" s="2" t="str">
        <f>"FES1162569549"</f>
        <v>FES1162569549</v>
      </c>
      <c r="F2030" s="3">
        <v>42964</v>
      </c>
      <c r="G2030" s="2">
        <v>201802</v>
      </c>
      <c r="H2030" s="2" t="s">
        <v>74</v>
      </c>
      <c r="I2030" s="2" t="s">
        <v>75</v>
      </c>
      <c r="J2030" s="2" t="s">
        <v>76</v>
      </c>
      <c r="K2030" s="2" t="s">
        <v>77</v>
      </c>
      <c r="L2030" s="2" t="s">
        <v>170</v>
      </c>
      <c r="M2030" s="2" t="s">
        <v>171</v>
      </c>
      <c r="N2030" s="2" t="s">
        <v>730</v>
      </c>
      <c r="O2030" s="2" t="s">
        <v>100</v>
      </c>
      <c r="P2030" s="2" t="str">
        <f>"2170585392                    "</f>
        <v xml:space="preserve">2170585392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3.13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1</v>
      </c>
      <c r="BJ2030" s="2">
        <v>0.2</v>
      </c>
      <c r="BK2030" s="2">
        <v>1</v>
      </c>
      <c r="BL2030" s="2">
        <v>32.380000000000003</v>
      </c>
      <c r="BM2030" s="2">
        <v>4.53</v>
      </c>
      <c r="BN2030" s="2">
        <v>36.909999999999997</v>
      </c>
      <c r="BO2030" s="2">
        <v>36.909999999999997</v>
      </c>
      <c r="BP2030" s="2"/>
      <c r="BQ2030" s="2" t="s">
        <v>108</v>
      </c>
      <c r="BR2030" s="2" t="s">
        <v>84</v>
      </c>
      <c r="BS2030" s="3">
        <v>42965</v>
      </c>
      <c r="BT2030" s="4">
        <v>0.41666666666666669</v>
      </c>
      <c r="BU2030" s="2" t="s">
        <v>2611</v>
      </c>
      <c r="BV2030" s="2" t="s">
        <v>95</v>
      </c>
      <c r="BW2030" s="2"/>
      <c r="BX2030" s="2"/>
      <c r="BY2030" s="2">
        <v>1200</v>
      </c>
      <c r="BZ2030" s="2" t="s">
        <v>27</v>
      </c>
      <c r="CA2030" s="2"/>
      <c r="CB2030" s="2"/>
      <c r="CC2030" s="2" t="s">
        <v>171</v>
      </c>
      <c r="CD2030" s="2">
        <v>1428</v>
      </c>
      <c r="CE2030" s="2" t="s">
        <v>104</v>
      </c>
      <c r="CF2030" s="5">
        <v>42968</v>
      </c>
      <c r="CG2030" s="2"/>
      <c r="CH2030" s="2"/>
      <c r="CI2030" s="2">
        <v>1</v>
      </c>
      <c r="CJ2030" s="2">
        <v>1</v>
      </c>
      <c r="CK2030" s="2">
        <v>22</v>
      </c>
      <c r="CL2030" s="2" t="s">
        <v>86</v>
      </c>
      <c r="CM2030" s="2"/>
    </row>
    <row r="2031" spans="1:91">
      <c r="A2031" s="2" t="s">
        <v>71</v>
      </c>
      <c r="B2031" s="2" t="s">
        <v>72</v>
      </c>
      <c r="C2031" s="2" t="s">
        <v>73</v>
      </c>
      <c r="D2031" s="2"/>
      <c r="E2031" s="2" t="str">
        <f>"FES1162569503"</f>
        <v>FES1162569503</v>
      </c>
      <c r="F2031" s="3">
        <v>42964</v>
      </c>
      <c r="G2031" s="2">
        <v>201802</v>
      </c>
      <c r="H2031" s="2" t="s">
        <v>74</v>
      </c>
      <c r="I2031" s="2" t="s">
        <v>75</v>
      </c>
      <c r="J2031" s="2" t="s">
        <v>76</v>
      </c>
      <c r="K2031" s="2" t="s">
        <v>77</v>
      </c>
      <c r="L2031" s="2" t="s">
        <v>144</v>
      </c>
      <c r="M2031" s="2" t="s">
        <v>145</v>
      </c>
      <c r="N2031" s="2" t="s">
        <v>146</v>
      </c>
      <c r="O2031" s="2" t="s">
        <v>100</v>
      </c>
      <c r="P2031" s="2" t="str">
        <f>"2170585126                    "</f>
        <v xml:space="preserve">2170585126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3.13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4</v>
      </c>
      <c r="BJ2031" s="2">
        <v>2.2999999999999998</v>
      </c>
      <c r="BK2031" s="2">
        <v>4</v>
      </c>
      <c r="BL2031" s="2">
        <v>32.380000000000003</v>
      </c>
      <c r="BM2031" s="2">
        <v>4.53</v>
      </c>
      <c r="BN2031" s="2">
        <v>36.909999999999997</v>
      </c>
      <c r="BO2031" s="2">
        <v>36.909999999999997</v>
      </c>
      <c r="BP2031" s="2"/>
      <c r="BQ2031" s="2" t="s">
        <v>83</v>
      </c>
      <c r="BR2031" s="2" t="s">
        <v>84</v>
      </c>
      <c r="BS2031" s="3">
        <v>42965</v>
      </c>
      <c r="BT2031" s="4">
        <v>0.38819444444444445</v>
      </c>
      <c r="BU2031" s="2" t="s">
        <v>273</v>
      </c>
      <c r="BV2031" s="2" t="s">
        <v>95</v>
      </c>
      <c r="BW2031" s="2"/>
      <c r="BX2031" s="2"/>
      <c r="BY2031" s="2">
        <v>11566.8</v>
      </c>
      <c r="BZ2031" s="2" t="s">
        <v>27</v>
      </c>
      <c r="CA2031" s="2" t="s">
        <v>274</v>
      </c>
      <c r="CB2031" s="2"/>
      <c r="CC2031" s="2" t="s">
        <v>145</v>
      </c>
      <c r="CD2031" s="2">
        <v>2094</v>
      </c>
      <c r="CE2031" s="2" t="s">
        <v>89</v>
      </c>
      <c r="CF2031" s="5">
        <v>42968</v>
      </c>
      <c r="CG2031" s="2"/>
      <c r="CH2031" s="2"/>
      <c r="CI2031" s="2">
        <v>1</v>
      </c>
      <c r="CJ2031" s="2">
        <v>1</v>
      </c>
      <c r="CK2031" s="2">
        <v>22</v>
      </c>
      <c r="CL2031" s="2" t="s">
        <v>86</v>
      </c>
      <c r="CM2031" s="2"/>
    </row>
    <row r="2032" spans="1:91">
      <c r="A2032" s="2" t="s">
        <v>71</v>
      </c>
      <c r="B2032" s="2" t="s">
        <v>72</v>
      </c>
      <c r="C2032" s="2" t="s">
        <v>73</v>
      </c>
      <c r="D2032" s="2"/>
      <c r="E2032" s="2" t="str">
        <f>"FES1162569559"</f>
        <v>FES1162569559</v>
      </c>
      <c r="F2032" s="3">
        <v>42964</v>
      </c>
      <c r="G2032" s="2">
        <v>201802</v>
      </c>
      <c r="H2032" s="2" t="s">
        <v>74</v>
      </c>
      <c r="I2032" s="2" t="s">
        <v>75</v>
      </c>
      <c r="J2032" s="2" t="s">
        <v>76</v>
      </c>
      <c r="K2032" s="2" t="s">
        <v>77</v>
      </c>
      <c r="L2032" s="2" t="s">
        <v>144</v>
      </c>
      <c r="M2032" s="2" t="s">
        <v>145</v>
      </c>
      <c r="N2032" s="2" t="s">
        <v>1578</v>
      </c>
      <c r="O2032" s="2" t="s">
        <v>100</v>
      </c>
      <c r="P2032" s="2" t="str">
        <f>"2170585294                    "</f>
        <v xml:space="preserve">2170585294  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3.13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6.9</v>
      </c>
      <c r="BJ2032" s="2">
        <v>3.3</v>
      </c>
      <c r="BK2032" s="2">
        <v>7</v>
      </c>
      <c r="BL2032" s="2">
        <v>32.380000000000003</v>
      </c>
      <c r="BM2032" s="2">
        <v>4.53</v>
      </c>
      <c r="BN2032" s="2">
        <v>36.909999999999997</v>
      </c>
      <c r="BO2032" s="2">
        <v>36.909999999999997</v>
      </c>
      <c r="BP2032" s="2"/>
      <c r="BQ2032" s="2" t="s">
        <v>108</v>
      </c>
      <c r="BR2032" s="2" t="s">
        <v>84</v>
      </c>
      <c r="BS2032" s="3">
        <v>42965</v>
      </c>
      <c r="BT2032" s="4">
        <v>0.44166666666666665</v>
      </c>
      <c r="BU2032" s="2" t="s">
        <v>1579</v>
      </c>
      <c r="BV2032" s="2" t="s">
        <v>95</v>
      </c>
      <c r="BW2032" s="2"/>
      <c r="BX2032" s="2"/>
      <c r="BY2032" s="2">
        <v>16385.7</v>
      </c>
      <c r="BZ2032" s="2" t="s">
        <v>27</v>
      </c>
      <c r="CA2032" s="2" t="s">
        <v>729</v>
      </c>
      <c r="CB2032" s="2"/>
      <c r="CC2032" s="2" t="s">
        <v>145</v>
      </c>
      <c r="CD2032" s="2">
        <v>2197</v>
      </c>
      <c r="CE2032" s="2" t="s">
        <v>89</v>
      </c>
      <c r="CF2032" s="5">
        <v>42968</v>
      </c>
      <c r="CG2032" s="2"/>
      <c r="CH2032" s="2"/>
      <c r="CI2032" s="2">
        <v>1</v>
      </c>
      <c r="CJ2032" s="2">
        <v>1</v>
      </c>
      <c r="CK2032" s="2">
        <v>22</v>
      </c>
      <c r="CL2032" s="2" t="s">
        <v>86</v>
      </c>
      <c r="CM2032" s="2"/>
    </row>
    <row r="2033" spans="1:91">
      <c r="A2033" s="2" t="s">
        <v>71</v>
      </c>
      <c r="B2033" s="2" t="s">
        <v>72</v>
      </c>
      <c r="C2033" s="2" t="s">
        <v>73</v>
      </c>
      <c r="D2033" s="2"/>
      <c r="E2033" s="2" t="str">
        <f>"FES1162569542"</f>
        <v>FES1162569542</v>
      </c>
      <c r="F2033" s="3">
        <v>42964</v>
      </c>
      <c r="G2033" s="2">
        <v>201802</v>
      </c>
      <c r="H2033" s="2" t="s">
        <v>74</v>
      </c>
      <c r="I2033" s="2" t="s">
        <v>75</v>
      </c>
      <c r="J2033" s="2" t="s">
        <v>76</v>
      </c>
      <c r="K2033" s="2" t="s">
        <v>77</v>
      </c>
      <c r="L2033" s="2" t="s">
        <v>170</v>
      </c>
      <c r="M2033" s="2" t="s">
        <v>171</v>
      </c>
      <c r="N2033" s="2" t="s">
        <v>489</v>
      </c>
      <c r="O2033" s="2" t="s">
        <v>100</v>
      </c>
      <c r="P2033" s="2" t="str">
        <f>"2170585385                    "</f>
        <v xml:space="preserve">2170585385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3.13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3.7</v>
      </c>
      <c r="BJ2033" s="2">
        <v>1.4</v>
      </c>
      <c r="BK2033" s="2">
        <v>4</v>
      </c>
      <c r="BL2033" s="2">
        <v>32.380000000000003</v>
      </c>
      <c r="BM2033" s="2">
        <v>4.53</v>
      </c>
      <c r="BN2033" s="2">
        <v>36.909999999999997</v>
      </c>
      <c r="BO2033" s="2">
        <v>36.909999999999997</v>
      </c>
      <c r="BP2033" s="2"/>
      <c r="BQ2033" s="2" t="s">
        <v>288</v>
      </c>
      <c r="BR2033" s="2" t="s">
        <v>84</v>
      </c>
      <c r="BS2033" s="3">
        <v>42965</v>
      </c>
      <c r="BT2033" s="4">
        <v>0.41666666666666669</v>
      </c>
      <c r="BU2033" s="2" t="s">
        <v>829</v>
      </c>
      <c r="BV2033" s="2" t="s">
        <v>95</v>
      </c>
      <c r="BW2033" s="2"/>
      <c r="BX2033" s="2"/>
      <c r="BY2033" s="2">
        <v>6916</v>
      </c>
      <c r="BZ2033" s="2" t="s">
        <v>27</v>
      </c>
      <c r="CA2033" s="2"/>
      <c r="CB2033" s="2"/>
      <c r="CC2033" s="2" t="s">
        <v>171</v>
      </c>
      <c r="CD2033" s="2">
        <v>1401</v>
      </c>
      <c r="CE2033" s="2" t="s">
        <v>89</v>
      </c>
      <c r="CF2033" s="5">
        <v>42968</v>
      </c>
      <c r="CG2033" s="2"/>
      <c r="CH2033" s="2"/>
      <c r="CI2033" s="2">
        <v>1</v>
      </c>
      <c r="CJ2033" s="2">
        <v>1</v>
      </c>
      <c r="CK2033" s="2">
        <v>22</v>
      </c>
      <c r="CL2033" s="2" t="s">
        <v>86</v>
      </c>
      <c r="CM2033" s="2"/>
    </row>
    <row r="2034" spans="1:91">
      <c r="A2034" s="2" t="s">
        <v>71</v>
      </c>
      <c r="B2034" s="2" t="s">
        <v>72</v>
      </c>
      <c r="C2034" s="2" t="s">
        <v>73</v>
      </c>
      <c r="D2034" s="2"/>
      <c r="E2034" s="2" t="str">
        <f>"FES1162569616"</f>
        <v>FES1162569616</v>
      </c>
      <c r="F2034" s="3">
        <v>42964</v>
      </c>
      <c r="G2034" s="2">
        <v>201802</v>
      </c>
      <c r="H2034" s="2" t="s">
        <v>74</v>
      </c>
      <c r="I2034" s="2" t="s">
        <v>75</v>
      </c>
      <c r="J2034" s="2" t="s">
        <v>76</v>
      </c>
      <c r="K2034" s="2" t="s">
        <v>77</v>
      </c>
      <c r="L2034" s="2" t="s">
        <v>97</v>
      </c>
      <c r="M2034" s="2" t="s">
        <v>98</v>
      </c>
      <c r="N2034" s="2" t="s">
        <v>250</v>
      </c>
      <c r="O2034" s="2" t="s">
        <v>100</v>
      </c>
      <c r="P2034" s="2" t="str">
        <f>"2170585433                    "</f>
        <v xml:space="preserve">2170585433  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7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3.3</v>
      </c>
      <c r="BJ2034" s="2">
        <v>1.7</v>
      </c>
      <c r="BK2034" s="2">
        <v>3.5</v>
      </c>
      <c r="BL2034" s="2">
        <v>72.52</v>
      </c>
      <c r="BM2034" s="2">
        <v>10.15</v>
      </c>
      <c r="BN2034" s="2">
        <v>82.67</v>
      </c>
      <c r="BO2034" s="2">
        <v>82.67</v>
      </c>
      <c r="BP2034" s="2"/>
      <c r="BQ2034" s="2" t="s">
        <v>288</v>
      </c>
      <c r="BR2034" s="2" t="s">
        <v>84</v>
      </c>
      <c r="BS2034" s="3">
        <v>42965</v>
      </c>
      <c r="BT2034" s="4">
        <v>0.4236111111111111</v>
      </c>
      <c r="BU2034" s="2" t="s">
        <v>251</v>
      </c>
      <c r="BV2034" s="2" t="s">
        <v>95</v>
      </c>
      <c r="BW2034" s="2"/>
      <c r="BX2034" s="2"/>
      <c r="BY2034" s="2">
        <v>8640.06</v>
      </c>
      <c r="BZ2034" s="2" t="s">
        <v>27</v>
      </c>
      <c r="CA2034" s="2" t="s">
        <v>294</v>
      </c>
      <c r="CB2034" s="2"/>
      <c r="CC2034" s="2" t="s">
        <v>98</v>
      </c>
      <c r="CD2034" s="2">
        <v>6012</v>
      </c>
      <c r="CE2034" s="2" t="s">
        <v>89</v>
      </c>
      <c r="CF2034" s="5">
        <v>42968</v>
      </c>
      <c r="CG2034" s="2"/>
      <c r="CH2034" s="2"/>
      <c r="CI2034" s="2">
        <v>1</v>
      </c>
      <c r="CJ2034" s="2">
        <v>1</v>
      </c>
      <c r="CK2034" s="2">
        <v>21</v>
      </c>
      <c r="CL2034" s="2" t="s">
        <v>86</v>
      </c>
      <c r="CM2034" s="2"/>
    </row>
    <row r="2035" spans="1:91">
      <c r="A2035" s="2" t="s">
        <v>71</v>
      </c>
      <c r="B2035" s="2" t="s">
        <v>72</v>
      </c>
      <c r="C2035" s="2" t="s">
        <v>73</v>
      </c>
      <c r="D2035" s="2"/>
      <c r="E2035" s="2" t="str">
        <f>"FES1162569579"</f>
        <v>FES1162569579</v>
      </c>
      <c r="F2035" s="3">
        <v>42964</v>
      </c>
      <c r="G2035" s="2">
        <v>201802</v>
      </c>
      <c r="H2035" s="2" t="s">
        <v>74</v>
      </c>
      <c r="I2035" s="2" t="s">
        <v>75</v>
      </c>
      <c r="J2035" s="2" t="s">
        <v>76</v>
      </c>
      <c r="K2035" s="2" t="s">
        <v>77</v>
      </c>
      <c r="L2035" s="2" t="s">
        <v>97</v>
      </c>
      <c r="M2035" s="2" t="s">
        <v>98</v>
      </c>
      <c r="N2035" s="2" t="s">
        <v>248</v>
      </c>
      <c r="O2035" s="2" t="s">
        <v>100</v>
      </c>
      <c r="P2035" s="2" t="str">
        <f>"2170583511                    "</f>
        <v xml:space="preserve">2170583511 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12.01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5.7</v>
      </c>
      <c r="BJ2035" s="2">
        <v>1.4</v>
      </c>
      <c r="BK2035" s="2">
        <v>6</v>
      </c>
      <c r="BL2035" s="2">
        <v>124.33</v>
      </c>
      <c r="BM2035" s="2">
        <v>17.41</v>
      </c>
      <c r="BN2035" s="2">
        <v>141.74</v>
      </c>
      <c r="BO2035" s="2">
        <v>141.74</v>
      </c>
      <c r="BP2035" s="2"/>
      <c r="BQ2035" s="2" t="s">
        <v>83</v>
      </c>
      <c r="BR2035" s="2" t="s">
        <v>84</v>
      </c>
      <c r="BS2035" s="3">
        <v>42965</v>
      </c>
      <c r="BT2035" s="4">
        <v>0.33333333333333331</v>
      </c>
      <c r="BU2035" s="2" t="s">
        <v>390</v>
      </c>
      <c r="BV2035" s="2" t="s">
        <v>95</v>
      </c>
      <c r="BW2035" s="2"/>
      <c r="BX2035" s="2"/>
      <c r="BY2035" s="2">
        <v>7067.01</v>
      </c>
      <c r="BZ2035" s="2" t="s">
        <v>27</v>
      </c>
      <c r="CA2035" s="2" t="s">
        <v>294</v>
      </c>
      <c r="CB2035" s="2"/>
      <c r="CC2035" s="2" t="s">
        <v>98</v>
      </c>
      <c r="CD2035" s="2">
        <v>6001</v>
      </c>
      <c r="CE2035" s="2" t="s">
        <v>89</v>
      </c>
      <c r="CF2035" s="5">
        <v>42968</v>
      </c>
      <c r="CG2035" s="2"/>
      <c r="CH2035" s="2"/>
      <c r="CI2035" s="2">
        <v>1</v>
      </c>
      <c r="CJ2035" s="2">
        <v>1</v>
      </c>
      <c r="CK2035" s="2">
        <v>21</v>
      </c>
      <c r="CL2035" s="2" t="s">
        <v>86</v>
      </c>
      <c r="CM2035" s="2"/>
    </row>
    <row r="2036" spans="1:91">
      <c r="A2036" s="2" t="s">
        <v>71</v>
      </c>
      <c r="B2036" s="2" t="s">
        <v>72</v>
      </c>
      <c r="C2036" s="2" t="s">
        <v>73</v>
      </c>
      <c r="D2036" s="2"/>
      <c r="E2036" s="2" t="str">
        <f>"FES1162569590"</f>
        <v>FES1162569590</v>
      </c>
      <c r="F2036" s="3">
        <v>42964</v>
      </c>
      <c r="G2036" s="2">
        <v>201802</v>
      </c>
      <c r="H2036" s="2" t="s">
        <v>74</v>
      </c>
      <c r="I2036" s="2" t="s">
        <v>75</v>
      </c>
      <c r="J2036" s="2" t="s">
        <v>76</v>
      </c>
      <c r="K2036" s="2" t="s">
        <v>77</v>
      </c>
      <c r="L2036" s="2" t="s">
        <v>174</v>
      </c>
      <c r="M2036" s="2" t="s">
        <v>175</v>
      </c>
      <c r="N2036" s="2" t="s">
        <v>1418</v>
      </c>
      <c r="O2036" s="2" t="s">
        <v>100</v>
      </c>
      <c r="P2036" s="2" t="str">
        <f>"2170585016                    "</f>
        <v xml:space="preserve">2170585016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5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0.7</v>
      </c>
      <c r="BJ2036" s="2">
        <v>2.1</v>
      </c>
      <c r="BK2036" s="2">
        <v>2.5</v>
      </c>
      <c r="BL2036" s="2">
        <v>51.8</v>
      </c>
      <c r="BM2036" s="2">
        <v>7.25</v>
      </c>
      <c r="BN2036" s="2">
        <v>59.05</v>
      </c>
      <c r="BO2036" s="2">
        <v>59.05</v>
      </c>
      <c r="BP2036" s="2"/>
      <c r="BQ2036" s="2" t="s">
        <v>108</v>
      </c>
      <c r="BR2036" s="2" t="s">
        <v>84</v>
      </c>
      <c r="BS2036" s="3">
        <v>42965</v>
      </c>
      <c r="BT2036" s="4">
        <v>0.39097222222222222</v>
      </c>
      <c r="BU2036" s="2" t="s">
        <v>2612</v>
      </c>
      <c r="BV2036" s="2" t="s">
        <v>95</v>
      </c>
      <c r="BW2036" s="2"/>
      <c r="BX2036" s="2"/>
      <c r="BY2036" s="2">
        <v>10704.6</v>
      </c>
      <c r="BZ2036" s="2" t="s">
        <v>27</v>
      </c>
      <c r="CA2036" s="2" t="s">
        <v>1420</v>
      </c>
      <c r="CB2036" s="2"/>
      <c r="CC2036" s="2" t="s">
        <v>175</v>
      </c>
      <c r="CD2036" s="2">
        <v>5201</v>
      </c>
      <c r="CE2036" s="2" t="s">
        <v>89</v>
      </c>
      <c r="CF2036" s="5">
        <v>42968</v>
      </c>
      <c r="CG2036" s="2"/>
      <c r="CH2036" s="2"/>
      <c r="CI2036" s="2">
        <v>1</v>
      </c>
      <c r="CJ2036" s="2">
        <v>1</v>
      </c>
      <c r="CK2036" s="2">
        <v>21</v>
      </c>
      <c r="CL2036" s="2" t="s">
        <v>86</v>
      </c>
      <c r="CM2036" s="2"/>
    </row>
    <row r="2037" spans="1:91">
      <c r="A2037" s="2" t="s">
        <v>71</v>
      </c>
      <c r="B2037" s="2" t="s">
        <v>72</v>
      </c>
      <c r="C2037" s="2" t="s">
        <v>73</v>
      </c>
      <c r="D2037" s="2"/>
      <c r="E2037" s="2" t="str">
        <f>"FES1162569436"</f>
        <v>FES1162569436</v>
      </c>
      <c r="F2037" s="3">
        <v>42964</v>
      </c>
      <c r="G2037" s="2">
        <v>201802</v>
      </c>
      <c r="H2037" s="2" t="s">
        <v>74</v>
      </c>
      <c r="I2037" s="2" t="s">
        <v>75</v>
      </c>
      <c r="J2037" s="2" t="s">
        <v>76</v>
      </c>
      <c r="K2037" s="2" t="s">
        <v>77</v>
      </c>
      <c r="L2037" s="2" t="s">
        <v>74</v>
      </c>
      <c r="M2037" s="2" t="s">
        <v>75</v>
      </c>
      <c r="N2037" s="2" t="s">
        <v>833</v>
      </c>
      <c r="O2037" s="2" t="s">
        <v>100</v>
      </c>
      <c r="P2037" s="2" t="str">
        <f>"2170567974                    "</f>
        <v xml:space="preserve">2170567974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3.13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1</v>
      </c>
      <c r="BI2037" s="2">
        <v>2</v>
      </c>
      <c r="BJ2037" s="2">
        <v>0.2</v>
      </c>
      <c r="BK2037" s="2">
        <v>2</v>
      </c>
      <c r="BL2037" s="2">
        <v>32.380000000000003</v>
      </c>
      <c r="BM2037" s="2">
        <v>4.53</v>
      </c>
      <c r="BN2037" s="2">
        <v>36.909999999999997</v>
      </c>
      <c r="BO2037" s="2">
        <v>36.909999999999997</v>
      </c>
      <c r="BP2037" s="2"/>
      <c r="BQ2037" s="2" t="s">
        <v>83</v>
      </c>
      <c r="BR2037" s="2" t="s">
        <v>84</v>
      </c>
      <c r="BS2037" s="3">
        <v>42965</v>
      </c>
      <c r="BT2037" s="4">
        <v>0.3263888888888889</v>
      </c>
      <c r="BU2037" s="2" t="s">
        <v>2613</v>
      </c>
      <c r="BV2037" s="2" t="s">
        <v>95</v>
      </c>
      <c r="BW2037" s="2"/>
      <c r="BX2037" s="2"/>
      <c r="BY2037" s="2">
        <v>1200</v>
      </c>
      <c r="BZ2037" s="2" t="s">
        <v>27</v>
      </c>
      <c r="CA2037" s="2" t="s">
        <v>194</v>
      </c>
      <c r="CB2037" s="2"/>
      <c r="CC2037" s="2" t="s">
        <v>75</v>
      </c>
      <c r="CD2037" s="2">
        <v>1666</v>
      </c>
      <c r="CE2037" s="2" t="s">
        <v>104</v>
      </c>
      <c r="CF2037" s="5">
        <v>42968</v>
      </c>
      <c r="CG2037" s="2"/>
      <c r="CH2037" s="2"/>
      <c r="CI2037" s="2">
        <v>1</v>
      </c>
      <c r="CJ2037" s="2">
        <v>1</v>
      </c>
      <c r="CK2037" s="2">
        <v>22</v>
      </c>
      <c r="CL2037" s="2" t="s">
        <v>86</v>
      </c>
      <c r="CM2037" s="2"/>
    </row>
    <row r="2038" spans="1:91">
      <c r="A2038" s="2" t="s">
        <v>71</v>
      </c>
      <c r="B2038" s="2" t="s">
        <v>72</v>
      </c>
      <c r="C2038" s="2" t="s">
        <v>73</v>
      </c>
      <c r="D2038" s="2"/>
      <c r="E2038" s="2" t="str">
        <f>"FES1162569375"</f>
        <v>FES1162569375</v>
      </c>
      <c r="F2038" s="3">
        <v>42964</v>
      </c>
      <c r="G2038" s="2">
        <v>201802</v>
      </c>
      <c r="H2038" s="2" t="s">
        <v>74</v>
      </c>
      <c r="I2038" s="2" t="s">
        <v>75</v>
      </c>
      <c r="J2038" s="2" t="s">
        <v>76</v>
      </c>
      <c r="K2038" s="2" t="s">
        <v>77</v>
      </c>
      <c r="L2038" s="2" t="s">
        <v>149</v>
      </c>
      <c r="M2038" s="2" t="s">
        <v>150</v>
      </c>
      <c r="N2038" s="2" t="s">
        <v>1947</v>
      </c>
      <c r="O2038" s="2" t="s">
        <v>100</v>
      </c>
      <c r="P2038" s="2" t="str">
        <f>"2170582035                    "</f>
        <v xml:space="preserve">2170582035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4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1</v>
      </c>
      <c r="BJ2038" s="2">
        <v>0.2</v>
      </c>
      <c r="BK2038" s="2">
        <v>1</v>
      </c>
      <c r="BL2038" s="2">
        <v>41.44</v>
      </c>
      <c r="BM2038" s="2">
        <v>5.8</v>
      </c>
      <c r="BN2038" s="2">
        <v>47.24</v>
      </c>
      <c r="BO2038" s="2">
        <v>47.24</v>
      </c>
      <c r="BP2038" s="2"/>
      <c r="BQ2038" s="2" t="s">
        <v>288</v>
      </c>
      <c r="BR2038" s="2" t="s">
        <v>84</v>
      </c>
      <c r="BS2038" s="3">
        <v>42965</v>
      </c>
      <c r="BT2038" s="4">
        <v>0.3263888888888889</v>
      </c>
      <c r="BU2038" s="2" t="s">
        <v>1948</v>
      </c>
      <c r="BV2038" s="2" t="s">
        <v>95</v>
      </c>
      <c r="BW2038" s="2"/>
      <c r="BX2038" s="2"/>
      <c r="BY2038" s="2">
        <v>1200</v>
      </c>
      <c r="BZ2038" s="2" t="s">
        <v>27</v>
      </c>
      <c r="CA2038" s="2" t="s">
        <v>1949</v>
      </c>
      <c r="CB2038" s="2"/>
      <c r="CC2038" s="2" t="s">
        <v>150</v>
      </c>
      <c r="CD2038" s="2">
        <v>4064</v>
      </c>
      <c r="CE2038" s="2" t="s">
        <v>104</v>
      </c>
      <c r="CF2038" s="5">
        <v>42968</v>
      </c>
      <c r="CG2038" s="2"/>
      <c r="CH2038" s="2"/>
      <c r="CI2038" s="2">
        <v>1</v>
      </c>
      <c r="CJ2038" s="2">
        <v>1</v>
      </c>
      <c r="CK2038" s="2">
        <v>21</v>
      </c>
      <c r="CL2038" s="2" t="s">
        <v>86</v>
      </c>
      <c r="CM2038" s="2"/>
    </row>
    <row r="2039" spans="1:91">
      <c r="A2039" s="2" t="s">
        <v>71</v>
      </c>
      <c r="B2039" s="2" t="s">
        <v>72</v>
      </c>
      <c r="C2039" s="2" t="s">
        <v>73</v>
      </c>
      <c r="D2039" s="2"/>
      <c r="E2039" s="2" t="str">
        <f>"FES1162569627"</f>
        <v>FES1162569627</v>
      </c>
      <c r="F2039" s="3">
        <v>42964</v>
      </c>
      <c r="G2039" s="2">
        <v>201802</v>
      </c>
      <c r="H2039" s="2" t="s">
        <v>74</v>
      </c>
      <c r="I2039" s="2" t="s">
        <v>75</v>
      </c>
      <c r="J2039" s="2" t="s">
        <v>76</v>
      </c>
      <c r="K2039" s="2" t="s">
        <v>77</v>
      </c>
      <c r="L2039" s="2" t="s">
        <v>97</v>
      </c>
      <c r="M2039" s="2" t="s">
        <v>98</v>
      </c>
      <c r="N2039" s="2" t="s">
        <v>119</v>
      </c>
      <c r="O2039" s="2" t="s">
        <v>100</v>
      </c>
      <c r="P2039" s="2" t="str">
        <f>"2170583075                    "</f>
        <v xml:space="preserve">2170583075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4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1</v>
      </c>
      <c r="BI2039" s="2">
        <v>1</v>
      </c>
      <c r="BJ2039" s="2">
        <v>0.2</v>
      </c>
      <c r="BK2039" s="2">
        <v>1</v>
      </c>
      <c r="BL2039" s="2">
        <v>41.44</v>
      </c>
      <c r="BM2039" s="2">
        <v>5.8</v>
      </c>
      <c r="BN2039" s="2">
        <v>47.24</v>
      </c>
      <c r="BO2039" s="2">
        <v>47.24</v>
      </c>
      <c r="BP2039" s="2"/>
      <c r="BQ2039" s="2" t="s">
        <v>108</v>
      </c>
      <c r="BR2039" s="2" t="s">
        <v>84</v>
      </c>
      <c r="BS2039" s="3">
        <v>42965</v>
      </c>
      <c r="BT2039" s="4">
        <v>0.35069444444444442</v>
      </c>
      <c r="BU2039" s="2" t="s">
        <v>392</v>
      </c>
      <c r="BV2039" s="2" t="s">
        <v>95</v>
      </c>
      <c r="BW2039" s="2"/>
      <c r="BX2039" s="2"/>
      <c r="BY2039" s="2">
        <v>1200</v>
      </c>
      <c r="BZ2039" s="2" t="s">
        <v>27</v>
      </c>
      <c r="CA2039" s="2" t="s">
        <v>213</v>
      </c>
      <c r="CB2039" s="2"/>
      <c r="CC2039" s="2" t="s">
        <v>98</v>
      </c>
      <c r="CD2039" s="2">
        <v>6001</v>
      </c>
      <c r="CE2039" s="2" t="s">
        <v>104</v>
      </c>
      <c r="CF2039" s="5">
        <v>42968</v>
      </c>
      <c r="CG2039" s="2"/>
      <c r="CH2039" s="2"/>
      <c r="CI2039" s="2">
        <v>1</v>
      </c>
      <c r="CJ2039" s="2">
        <v>1</v>
      </c>
      <c r="CK2039" s="2">
        <v>21</v>
      </c>
      <c r="CL2039" s="2" t="s">
        <v>86</v>
      </c>
      <c r="CM2039" s="2"/>
    </row>
    <row r="2040" spans="1:91">
      <c r="A2040" s="2" t="s">
        <v>71</v>
      </c>
      <c r="B2040" s="2" t="s">
        <v>72</v>
      </c>
      <c r="C2040" s="2" t="s">
        <v>73</v>
      </c>
      <c r="D2040" s="2"/>
      <c r="E2040" s="2" t="str">
        <f>"FES1162569619"</f>
        <v>FES1162569619</v>
      </c>
      <c r="F2040" s="3">
        <v>42964</v>
      </c>
      <c r="G2040" s="2">
        <v>201802</v>
      </c>
      <c r="H2040" s="2" t="s">
        <v>74</v>
      </c>
      <c r="I2040" s="2" t="s">
        <v>75</v>
      </c>
      <c r="J2040" s="2" t="s">
        <v>76</v>
      </c>
      <c r="K2040" s="2" t="s">
        <v>77</v>
      </c>
      <c r="L2040" s="2" t="s">
        <v>97</v>
      </c>
      <c r="M2040" s="2" t="s">
        <v>98</v>
      </c>
      <c r="N2040" s="2" t="s">
        <v>2597</v>
      </c>
      <c r="O2040" s="2" t="s">
        <v>100</v>
      </c>
      <c r="P2040" s="2" t="str">
        <f>"2170585438                    "</f>
        <v xml:space="preserve">2170585438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4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1</v>
      </c>
      <c r="BJ2040" s="2">
        <v>0.2</v>
      </c>
      <c r="BK2040" s="2">
        <v>1</v>
      </c>
      <c r="BL2040" s="2">
        <v>41.44</v>
      </c>
      <c r="BM2040" s="2">
        <v>5.8</v>
      </c>
      <c r="BN2040" s="2">
        <v>47.24</v>
      </c>
      <c r="BO2040" s="2">
        <v>47.24</v>
      </c>
      <c r="BP2040" s="2"/>
      <c r="BQ2040" s="2" t="s">
        <v>288</v>
      </c>
      <c r="BR2040" s="2" t="s">
        <v>84</v>
      </c>
      <c r="BS2040" s="3">
        <v>42965</v>
      </c>
      <c r="BT2040" s="4">
        <v>0.29166666666666669</v>
      </c>
      <c r="BU2040" s="2" t="s">
        <v>2598</v>
      </c>
      <c r="BV2040" s="2" t="s">
        <v>95</v>
      </c>
      <c r="BW2040" s="2"/>
      <c r="BX2040" s="2"/>
      <c r="BY2040" s="2">
        <v>1200</v>
      </c>
      <c r="BZ2040" s="2" t="s">
        <v>27</v>
      </c>
      <c r="CA2040" s="2" t="s">
        <v>294</v>
      </c>
      <c r="CB2040" s="2"/>
      <c r="CC2040" s="2" t="s">
        <v>98</v>
      </c>
      <c r="CD2040" s="2">
        <v>6012</v>
      </c>
      <c r="CE2040" s="2" t="s">
        <v>104</v>
      </c>
      <c r="CF2040" s="5">
        <v>42968</v>
      </c>
      <c r="CG2040" s="2"/>
      <c r="CH2040" s="2"/>
      <c r="CI2040" s="2">
        <v>1</v>
      </c>
      <c r="CJ2040" s="2">
        <v>1</v>
      </c>
      <c r="CK2040" s="2">
        <v>21</v>
      </c>
      <c r="CL2040" s="2" t="s">
        <v>86</v>
      </c>
      <c r="CM2040" s="2"/>
    </row>
    <row r="2041" spans="1:91">
      <c r="A2041" s="2" t="s">
        <v>71</v>
      </c>
      <c r="B2041" s="2" t="s">
        <v>72</v>
      </c>
      <c r="C2041" s="2" t="s">
        <v>73</v>
      </c>
      <c r="D2041" s="2"/>
      <c r="E2041" s="2" t="str">
        <f>"FES1162569589"</f>
        <v>FES1162569589</v>
      </c>
      <c r="F2041" s="3">
        <v>42964</v>
      </c>
      <c r="G2041" s="2">
        <v>201802</v>
      </c>
      <c r="H2041" s="2" t="s">
        <v>74</v>
      </c>
      <c r="I2041" s="2" t="s">
        <v>75</v>
      </c>
      <c r="J2041" s="2" t="s">
        <v>76</v>
      </c>
      <c r="K2041" s="2" t="s">
        <v>77</v>
      </c>
      <c r="L2041" s="2" t="s">
        <v>174</v>
      </c>
      <c r="M2041" s="2" t="s">
        <v>175</v>
      </c>
      <c r="N2041" s="2" t="s">
        <v>1418</v>
      </c>
      <c r="O2041" s="2" t="s">
        <v>100</v>
      </c>
      <c r="P2041" s="2" t="str">
        <f>"2170585015                    "</f>
        <v xml:space="preserve">2170585015 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4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1</v>
      </c>
      <c r="BJ2041" s="2">
        <v>0.2</v>
      </c>
      <c r="BK2041" s="2">
        <v>1</v>
      </c>
      <c r="BL2041" s="2">
        <v>41.44</v>
      </c>
      <c r="BM2041" s="2">
        <v>5.8</v>
      </c>
      <c r="BN2041" s="2">
        <v>47.24</v>
      </c>
      <c r="BO2041" s="2">
        <v>47.24</v>
      </c>
      <c r="BP2041" s="2"/>
      <c r="BQ2041" s="2" t="s">
        <v>108</v>
      </c>
      <c r="BR2041" s="2" t="s">
        <v>84</v>
      </c>
      <c r="BS2041" s="3">
        <v>42965</v>
      </c>
      <c r="BT2041" s="4">
        <v>0.39166666666666666</v>
      </c>
      <c r="BU2041" s="2" t="s">
        <v>2612</v>
      </c>
      <c r="BV2041" s="2" t="s">
        <v>95</v>
      </c>
      <c r="BW2041" s="2"/>
      <c r="BX2041" s="2"/>
      <c r="BY2041" s="2">
        <v>1200</v>
      </c>
      <c r="BZ2041" s="2" t="s">
        <v>27</v>
      </c>
      <c r="CA2041" s="2" t="s">
        <v>1420</v>
      </c>
      <c r="CB2041" s="2"/>
      <c r="CC2041" s="2" t="s">
        <v>175</v>
      </c>
      <c r="CD2041" s="2">
        <v>5201</v>
      </c>
      <c r="CE2041" s="2" t="s">
        <v>104</v>
      </c>
      <c r="CF2041" s="5">
        <v>42968</v>
      </c>
      <c r="CG2041" s="2"/>
      <c r="CH2041" s="2"/>
      <c r="CI2041" s="2">
        <v>1</v>
      </c>
      <c r="CJ2041" s="2">
        <v>1</v>
      </c>
      <c r="CK2041" s="2">
        <v>21</v>
      </c>
      <c r="CL2041" s="2" t="s">
        <v>86</v>
      </c>
      <c r="CM2041" s="2"/>
    </row>
    <row r="2042" spans="1:91">
      <c r="A2042" s="2" t="s">
        <v>71</v>
      </c>
      <c r="B2042" s="2" t="s">
        <v>72</v>
      </c>
      <c r="C2042" s="2" t="s">
        <v>73</v>
      </c>
      <c r="D2042" s="2"/>
      <c r="E2042" s="2" t="str">
        <f>"FES1162569588"</f>
        <v>FES1162569588</v>
      </c>
      <c r="F2042" s="3">
        <v>42964</v>
      </c>
      <c r="G2042" s="2">
        <v>201802</v>
      </c>
      <c r="H2042" s="2" t="s">
        <v>74</v>
      </c>
      <c r="I2042" s="2" t="s">
        <v>75</v>
      </c>
      <c r="J2042" s="2" t="s">
        <v>76</v>
      </c>
      <c r="K2042" s="2" t="s">
        <v>77</v>
      </c>
      <c r="L2042" s="2" t="s">
        <v>97</v>
      </c>
      <c r="M2042" s="2" t="s">
        <v>98</v>
      </c>
      <c r="N2042" s="2" t="s">
        <v>250</v>
      </c>
      <c r="O2042" s="2" t="s">
        <v>100</v>
      </c>
      <c r="P2042" s="2" t="str">
        <f>"2170584950                    "</f>
        <v xml:space="preserve">2170584950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4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1</v>
      </c>
      <c r="BJ2042" s="2">
        <v>0.2</v>
      </c>
      <c r="BK2042" s="2">
        <v>1</v>
      </c>
      <c r="BL2042" s="2">
        <v>41.44</v>
      </c>
      <c r="BM2042" s="2">
        <v>5.8</v>
      </c>
      <c r="BN2042" s="2">
        <v>47.24</v>
      </c>
      <c r="BO2042" s="2">
        <v>47.24</v>
      </c>
      <c r="BP2042" s="2"/>
      <c r="BQ2042" s="2" t="s">
        <v>288</v>
      </c>
      <c r="BR2042" s="2" t="s">
        <v>84</v>
      </c>
      <c r="BS2042" s="3">
        <v>42965</v>
      </c>
      <c r="BT2042" s="4">
        <v>0.4236111111111111</v>
      </c>
      <c r="BU2042" s="2" t="s">
        <v>251</v>
      </c>
      <c r="BV2042" s="2" t="s">
        <v>95</v>
      </c>
      <c r="BW2042" s="2"/>
      <c r="BX2042" s="2"/>
      <c r="BY2042" s="2">
        <v>1200</v>
      </c>
      <c r="BZ2042" s="2" t="s">
        <v>27</v>
      </c>
      <c r="CA2042" s="2" t="s">
        <v>294</v>
      </c>
      <c r="CB2042" s="2"/>
      <c r="CC2042" s="2" t="s">
        <v>98</v>
      </c>
      <c r="CD2042" s="2">
        <v>6012</v>
      </c>
      <c r="CE2042" s="2" t="s">
        <v>104</v>
      </c>
      <c r="CF2042" s="5">
        <v>42968</v>
      </c>
      <c r="CG2042" s="2"/>
      <c r="CH2042" s="2"/>
      <c r="CI2042" s="2">
        <v>1</v>
      </c>
      <c r="CJ2042" s="2">
        <v>1</v>
      </c>
      <c r="CK2042" s="2">
        <v>21</v>
      </c>
      <c r="CL2042" s="2" t="s">
        <v>86</v>
      </c>
      <c r="CM2042" s="2"/>
    </row>
    <row r="2043" spans="1:91">
      <c r="A2043" s="2" t="s">
        <v>71</v>
      </c>
      <c r="B2043" s="2" t="s">
        <v>72</v>
      </c>
      <c r="C2043" s="2" t="s">
        <v>73</v>
      </c>
      <c r="D2043" s="2"/>
      <c r="E2043" s="2" t="str">
        <f>"FES1162569591"</f>
        <v>FES1162569591</v>
      </c>
      <c r="F2043" s="3">
        <v>42964</v>
      </c>
      <c r="G2043" s="2">
        <v>201802</v>
      </c>
      <c r="H2043" s="2" t="s">
        <v>74</v>
      </c>
      <c r="I2043" s="2" t="s">
        <v>75</v>
      </c>
      <c r="J2043" s="2" t="s">
        <v>76</v>
      </c>
      <c r="K2043" s="2" t="s">
        <v>77</v>
      </c>
      <c r="L2043" s="2" t="s">
        <v>97</v>
      </c>
      <c r="M2043" s="2" t="s">
        <v>98</v>
      </c>
      <c r="N2043" s="2" t="s">
        <v>2203</v>
      </c>
      <c r="O2043" s="2" t="s">
        <v>100</v>
      </c>
      <c r="P2043" s="2" t="str">
        <f>"2170585336                    "</f>
        <v xml:space="preserve">2170585336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4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1</v>
      </c>
      <c r="BJ2043" s="2">
        <v>0.2</v>
      </c>
      <c r="BK2043" s="2">
        <v>1</v>
      </c>
      <c r="BL2043" s="2">
        <v>41.44</v>
      </c>
      <c r="BM2043" s="2">
        <v>5.8</v>
      </c>
      <c r="BN2043" s="2">
        <v>47.24</v>
      </c>
      <c r="BO2043" s="2">
        <v>47.24</v>
      </c>
      <c r="BP2043" s="2"/>
      <c r="BQ2043" s="2" t="s">
        <v>288</v>
      </c>
      <c r="BR2043" s="2" t="s">
        <v>84</v>
      </c>
      <c r="BS2043" s="3">
        <v>42965</v>
      </c>
      <c r="BT2043" s="4">
        <v>0.33194444444444443</v>
      </c>
      <c r="BU2043" s="2" t="s">
        <v>2602</v>
      </c>
      <c r="BV2043" s="2" t="s">
        <v>95</v>
      </c>
      <c r="BW2043" s="2"/>
      <c r="BX2043" s="2"/>
      <c r="BY2043" s="2">
        <v>1200</v>
      </c>
      <c r="BZ2043" s="2" t="s">
        <v>27</v>
      </c>
      <c r="CA2043" s="2" t="s">
        <v>294</v>
      </c>
      <c r="CB2043" s="2"/>
      <c r="CC2043" s="2" t="s">
        <v>98</v>
      </c>
      <c r="CD2043" s="2">
        <v>6001</v>
      </c>
      <c r="CE2043" s="2" t="s">
        <v>104</v>
      </c>
      <c r="CF2043" s="5">
        <v>42968</v>
      </c>
      <c r="CG2043" s="2"/>
      <c r="CH2043" s="2"/>
      <c r="CI2043" s="2">
        <v>1</v>
      </c>
      <c r="CJ2043" s="2">
        <v>1</v>
      </c>
      <c r="CK2043" s="2">
        <v>21</v>
      </c>
      <c r="CL2043" s="2" t="s">
        <v>86</v>
      </c>
      <c r="CM2043" s="2"/>
    </row>
    <row r="2044" spans="1:91">
      <c r="A2044" s="2" t="s">
        <v>71</v>
      </c>
      <c r="B2044" s="2" t="s">
        <v>72</v>
      </c>
      <c r="C2044" s="2" t="s">
        <v>73</v>
      </c>
      <c r="D2044" s="2"/>
      <c r="E2044" s="2" t="str">
        <f>"FES1162569599"</f>
        <v>FES1162569599</v>
      </c>
      <c r="F2044" s="3">
        <v>42964</v>
      </c>
      <c r="G2044" s="2">
        <v>201802</v>
      </c>
      <c r="H2044" s="2" t="s">
        <v>74</v>
      </c>
      <c r="I2044" s="2" t="s">
        <v>75</v>
      </c>
      <c r="J2044" s="2" t="s">
        <v>76</v>
      </c>
      <c r="K2044" s="2" t="s">
        <v>77</v>
      </c>
      <c r="L2044" s="2" t="s">
        <v>97</v>
      </c>
      <c r="M2044" s="2" t="s">
        <v>98</v>
      </c>
      <c r="N2044" s="2" t="s">
        <v>397</v>
      </c>
      <c r="O2044" s="2" t="s">
        <v>100</v>
      </c>
      <c r="P2044" s="2" t="str">
        <f>"2170585412                    "</f>
        <v xml:space="preserve">2170585412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4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1</v>
      </c>
      <c r="BJ2044" s="2">
        <v>0.2</v>
      </c>
      <c r="BK2044" s="2">
        <v>1</v>
      </c>
      <c r="BL2044" s="2">
        <v>41.44</v>
      </c>
      <c r="BM2044" s="2">
        <v>5.8</v>
      </c>
      <c r="BN2044" s="2">
        <v>47.24</v>
      </c>
      <c r="BO2044" s="2">
        <v>47.24</v>
      </c>
      <c r="BP2044" s="2"/>
      <c r="BQ2044" s="2" t="s">
        <v>83</v>
      </c>
      <c r="BR2044" s="2" t="s">
        <v>84</v>
      </c>
      <c r="BS2044" s="3">
        <v>42965</v>
      </c>
      <c r="BT2044" s="4">
        <v>0.31111111111111112</v>
      </c>
      <c r="BU2044" s="2" t="s">
        <v>2614</v>
      </c>
      <c r="BV2044" s="2" t="s">
        <v>95</v>
      </c>
      <c r="BW2044" s="2"/>
      <c r="BX2044" s="2"/>
      <c r="BY2044" s="2">
        <v>1200</v>
      </c>
      <c r="BZ2044" s="2" t="s">
        <v>27</v>
      </c>
      <c r="CA2044" s="2" t="s">
        <v>213</v>
      </c>
      <c r="CB2044" s="2"/>
      <c r="CC2044" s="2" t="s">
        <v>98</v>
      </c>
      <c r="CD2044" s="2">
        <v>6020</v>
      </c>
      <c r="CE2044" s="2" t="s">
        <v>104</v>
      </c>
      <c r="CF2044" s="5">
        <v>42968</v>
      </c>
      <c r="CG2044" s="2"/>
      <c r="CH2044" s="2"/>
      <c r="CI2044" s="2">
        <v>1</v>
      </c>
      <c r="CJ2044" s="2">
        <v>1</v>
      </c>
      <c r="CK2044" s="2">
        <v>21</v>
      </c>
      <c r="CL2044" s="2" t="s">
        <v>86</v>
      </c>
      <c r="CM2044" s="2"/>
    </row>
    <row r="2045" spans="1:91">
      <c r="A2045" s="2" t="s">
        <v>71</v>
      </c>
      <c r="B2045" s="2" t="s">
        <v>72</v>
      </c>
      <c r="C2045" s="2" t="s">
        <v>73</v>
      </c>
      <c r="D2045" s="2"/>
      <c r="E2045" s="2" t="str">
        <f>"FES1162569603"</f>
        <v>FES1162569603</v>
      </c>
      <c r="F2045" s="3">
        <v>42964</v>
      </c>
      <c r="G2045" s="2">
        <v>201802</v>
      </c>
      <c r="H2045" s="2" t="s">
        <v>74</v>
      </c>
      <c r="I2045" s="2" t="s">
        <v>75</v>
      </c>
      <c r="J2045" s="2" t="s">
        <v>76</v>
      </c>
      <c r="K2045" s="2" t="s">
        <v>77</v>
      </c>
      <c r="L2045" s="2" t="s">
        <v>97</v>
      </c>
      <c r="M2045" s="2" t="s">
        <v>98</v>
      </c>
      <c r="N2045" s="2" t="s">
        <v>119</v>
      </c>
      <c r="O2045" s="2" t="s">
        <v>100</v>
      </c>
      <c r="P2045" s="2" t="str">
        <f>"2170585416                    "</f>
        <v xml:space="preserve">2170585416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4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1</v>
      </c>
      <c r="BJ2045" s="2">
        <v>0.2</v>
      </c>
      <c r="BK2045" s="2">
        <v>1</v>
      </c>
      <c r="BL2045" s="2">
        <v>41.44</v>
      </c>
      <c r="BM2045" s="2">
        <v>5.8</v>
      </c>
      <c r="BN2045" s="2">
        <v>47.24</v>
      </c>
      <c r="BO2045" s="2">
        <v>47.24</v>
      </c>
      <c r="BP2045" s="2"/>
      <c r="BQ2045" s="2" t="s">
        <v>108</v>
      </c>
      <c r="BR2045" s="2" t="s">
        <v>84</v>
      </c>
      <c r="BS2045" s="3">
        <v>42965</v>
      </c>
      <c r="BT2045" s="4">
        <v>0.3430555555555555</v>
      </c>
      <c r="BU2045" s="2" t="s">
        <v>823</v>
      </c>
      <c r="BV2045" s="2" t="s">
        <v>95</v>
      </c>
      <c r="BW2045" s="2"/>
      <c r="BX2045" s="2"/>
      <c r="BY2045" s="2">
        <v>1200</v>
      </c>
      <c r="BZ2045" s="2" t="s">
        <v>27</v>
      </c>
      <c r="CA2045" s="2" t="s">
        <v>286</v>
      </c>
      <c r="CB2045" s="2"/>
      <c r="CC2045" s="2" t="s">
        <v>98</v>
      </c>
      <c r="CD2045" s="2">
        <v>6001</v>
      </c>
      <c r="CE2045" s="2" t="s">
        <v>104</v>
      </c>
      <c r="CF2045" s="5">
        <v>42968</v>
      </c>
      <c r="CG2045" s="2"/>
      <c r="CH2045" s="2"/>
      <c r="CI2045" s="2">
        <v>1</v>
      </c>
      <c r="CJ2045" s="2">
        <v>1</v>
      </c>
      <c r="CK2045" s="2">
        <v>21</v>
      </c>
      <c r="CL2045" s="2" t="s">
        <v>86</v>
      </c>
      <c r="CM2045" s="2"/>
    </row>
    <row r="2046" spans="1:91">
      <c r="A2046" s="2" t="s">
        <v>71</v>
      </c>
      <c r="B2046" s="2" t="s">
        <v>72</v>
      </c>
      <c r="C2046" s="2" t="s">
        <v>73</v>
      </c>
      <c r="D2046" s="2"/>
      <c r="E2046" s="2" t="str">
        <f>"FES1162569651"</f>
        <v>FES1162569651</v>
      </c>
      <c r="F2046" s="3">
        <v>42964</v>
      </c>
      <c r="G2046" s="2">
        <v>201802</v>
      </c>
      <c r="H2046" s="2" t="s">
        <v>74</v>
      </c>
      <c r="I2046" s="2" t="s">
        <v>75</v>
      </c>
      <c r="J2046" s="2" t="s">
        <v>76</v>
      </c>
      <c r="K2046" s="2" t="s">
        <v>77</v>
      </c>
      <c r="L2046" s="2" t="s">
        <v>688</v>
      </c>
      <c r="M2046" s="2" t="s">
        <v>689</v>
      </c>
      <c r="N2046" s="2" t="s">
        <v>690</v>
      </c>
      <c r="O2046" s="2" t="s">
        <v>100</v>
      </c>
      <c r="P2046" s="2" t="str">
        <f>"2170583022                    "</f>
        <v xml:space="preserve">2170583022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7.75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1</v>
      </c>
      <c r="BJ2046" s="2">
        <v>0.2</v>
      </c>
      <c r="BK2046" s="2">
        <v>1</v>
      </c>
      <c r="BL2046" s="2">
        <v>80.290000000000006</v>
      </c>
      <c r="BM2046" s="2">
        <v>11.24</v>
      </c>
      <c r="BN2046" s="2">
        <v>91.53</v>
      </c>
      <c r="BO2046" s="2">
        <v>91.53</v>
      </c>
      <c r="BP2046" s="2"/>
      <c r="BQ2046" s="2" t="s">
        <v>83</v>
      </c>
      <c r="BR2046" s="2" t="s">
        <v>84</v>
      </c>
      <c r="BS2046" s="3">
        <v>42965</v>
      </c>
      <c r="BT2046" s="4">
        <v>0.39583333333333331</v>
      </c>
      <c r="BU2046" s="2" t="s">
        <v>2615</v>
      </c>
      <c r="BV2046" s="2" t="s">
        <v>95</v>
      </c>
      <c r="BW2046" s="2"/>
      <c r="BX2046" s="2"/>
      <c r="BY2046" s="2">
        <v>1200</v>
      </c>
      <c r="BZ2046" s="2" t="s">
        <v>27</v>
      </c>
      <c r="CA2046" s="2" t="s">
        <v>692</v>
      </c>
      <c r="CB2046" s="2"/>
      <c r="CC2046" s="2" t="s">
        <v>689</v>
      </c>
      <c r="CD2046" s="2">
        <v>9880</v>
      </c>
      <c r="CE2046" s="2" t="s">
        <v>104</v>
      </c>
      <c r="CF2046" s="5">
        <v>42969</v>
      </c>
      <c r="CG2046" s="2"/>
      <c r="CH2046" s="2"/>
      <c r="CI2046" s="2">
        <v>1</v>
      </c>
      <c r="CJ2046" s="2">
        <v>1</v>
      </c>
      <c r="CK2046" s="2">
        <v>23</v>
      </c>
      <c r="CL2046" s="2" t="s">
        <v>86</v>
      </c>
      <c r="CM2046" s="2"/>
    </row>
    <row r="2047" spans="1:91">
      <c r="A2047" s="2" t="s">
        <v>71</v>
      </c>
      <c r="B2047" s="2" t="s">
        <v>72</v>
      </c>
      <c r="C2047" s="2" t="s">
        <v>73</v>
      </c>
      <c r="D2047" s="2"/>
      <c r="E2047" s="2" t="str">
        <f>"FES1162569736"</f>
        <v>FES1162569736</v>
      </c>
      <c r="F2047" s="3">
        <v>42964</v>
      </c>
      <c r="G2047" s="2">
        <v>201802</v>
      </c>
      <c r="H2047" s="2" t="s">
        <v>74</v>
      </c>
      <c r="I2047" s="2" t="s">
        <v>75</v>
      </c>
      <c r="J2047" s="2" t="s">
        <v>76</v>
      </c>
      <c r="K2047" s="2" t="s">
        <v>77</v>
      </c>
      <c r="L2047" s="2" t="s">
        <v>149</v>
      </c>
      <c r="M2047" s="2" t="s">
        <v>150</v>
      </c>
      <c r="N2047" s="2" t="s">
        <v>372</v>
      </c>
      <c r="O2047" s="2" t="s">
        <v>100</v>
      </c>
      <c r="P2047" s="2" t="str">
        <f>"2170583234                    "</f>
        <v xml:space="preserve">2170583234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4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1</v>
      </c>
      <c r="BJ2047" s="2">
        <v>0.2</v>
      </c>
      <c r="BK2047" s="2">
        <v>1</v>
      </c>
      <c r="BL2047" s="2">
        <v>41.44</v>
      </c>
      <c r="BM2047" s="2">
        <v>5.8</v>
      </c>
      <c r="BN2047" s="2">
        <v>47.24</v>
      </c>
      <c r="BO2047" s="2">
        <v>47.24</v>
      </c>
      <c r="BP2047" s="2"/>
      <c r="BQ2047" s="2" t="s">
        <v>83</v>
      </c>
      <c r="BR2047" s="2" t="s">
        <v>84</v>
      </c>
      <c r="BS2047" s="3">
        <v>42965</v>
      </c>
      <c r="BT2047" s="4">
        <v>0.31736111111111115</v>
      </c>
      <c r="BU2047" s="2" t="s">
        <v>2616</v>
      </c>
      <c r="BV2047" s="2" t="s">
        <v>95</v>
      </c>
      <c r="BW2047" s="2"/>
      <c r="BX2047" s="2"/>
      <c r="BY2047" s="2">
        <v>1200</v>
      </c>
      <c r="BZ2047" s="2" t="s">
        <v>27</v>
      </c>
      <c r="CA2047" s="2" t="s">
        <v>1352</v>
      </c>
      <c r="CB2047" s="2"/>
      <c r="CC2047" s="2" t="s">
        <v>150</v>
      </c>
      <c r="CD2047" s="2">
        <v>4052</v>
      </c>
      <c r="CE2047" s="2" t="s">
        <v>104</v>
      </c>
      <c r="CF2047" s="5">
        <v>42968</v>
      </c>
      <c r="CG2047" s="2"/>
      <c r="CH2047" s="2"/>
      <c r="CI2047" s="2">
        <v>1</v>
      </c>
      <c r="CJ2047" s="2">
        <v>1</v>
      </c>
      <c r="CK2047" s="2">
        <v>21</v>
      </c>
      <c r="CL2047" s="2" t="s">
        <v>86</v>
      </c>
      <c r="CM2047" s="2"/>
    </row>
    <row r="2048" spans="1:91">
      <c r="A2048" s="2" t="s">
        <v>71</v>
      </c>
      <c r="B2048" s="2" t="s">
        <v>72</v>
      </c>
      <c r="C2048" s="2" t="s">
        <v>73</v>
      </c>
      <c r="D2048" s="2"/>
      <c r="E2048" s="2" t="str">
        <f>"FES1162569655"</f>
        <v>FES1162569655</v>
      </c>
      <c r="F2048" s="3">
        <v>42964</v>
      </c>
      <c r="G2048" s="2">
        <v>201802</v>
      </c>
      <c r="H2048" s="2" t="s">
        <v>74</v>
      </c>
      <c r="I2048" s="2" t="s">
        <v>75</v>
      </c>
      <c r="J2048" s="2" t="s">
        <v>76</v>
      </c>
      <c r="K2048" s="2" t="s">
        <v>77</v>
      </c>
      <c r="L2048" s="2" t="s">
        <v>74</v>
      </c>
      <c r="M2048" s="2" t="s">
        <v>75</v>
      </c>
      <c r="N2048" s="2" t="s">
        <v>2617</v>
      </c>
      <c r="O2048" s="2" t="s">
        <v>100</v>
      </c>
      <c r="P2048" s="2" t="str">
        <f>"2170583230                    "</f>
        <v xml:space="preserve">2170583230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3.13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1</v>
      </c>
      <c r="BI2048" s="2">
        <v>1</v>
      </c>
      <c r="BJ2048" s="2">
        <v>0.2</v>
      </c>
      <c r="BK2048" s="2">
        <v>1</v>
      </c>
      <c r="BL2048" s="2">
        <v>32.380000000000003</v>
      </c>
      <c r="BM2048" s="2">
        <v>4.53</v>
      </c>
      <c r="BN2048" s="2">
        <v>36.909999999999997</v>
      </c>
      <c r="BO2048" s="2">
        <v>36.909999999999997</v>
      </c>
      <c r="BP2048" s="2"/>
      <c r="BQ2048" s="2" t="s">
        <v>83</v>
      </c>
      <c r="BR2048" s="2" t="s">
        <v>84</v>
      </c>
      <c r="BS2048" s="3">
        <v>42965</v>
      </c>
      <c r="BT2048" s="4">
        <v>0.32291666666666669</v>
      </c>
      <c r="BU2048" s="2" t="s">
        <v>2618</v>
      </c>
      <c r="BV2048" s="2" t="s">
        <v>95</v>
      </c>
      <c r="BW2048" s="2"/>
      <c r="BX2048" s="2"/>
      <c r="BY2048" s="2">
        <v>1200</v>
      </c>
      <c r="BZ2048" s="2" t="s">
        <v>27</v>
      </c>
      <c r="CA2048" s="2" t="s">
        <v>2527</v>
      </c>
      <c r="CB2048" s="2"/>
      <c r="CC2048" s="2" t="s">
        <v>75</v>
      </c>
      <c r="CD2048" s="2">
        <v>1624</v>
      </c>
      <c r="CE2048" s="2" t="s">
        <v>104</v>
      </c>
      <c r="CF2048" s="5">
        <v>42968</v>
      </c>
      <c r="CG2048" s="2"/>
      <c r="CH2048" s="2"/>
      <c r="CI2048" s="2">
        <v>1</v>
      </c>
      <c r="CJ2048" s="2">
        <v>1</v>
      </c>
      <c r="CK2048" s="2">
        <v>22</v>
      </c>
      <c r="CL2048" s="2" t="s">
        <v>86</v>
      </c>
      <c r="CM2048" s="2"/>
    </row>
    <row r="2049" spans="1:91">
      <c r="A2049" s="2" t="s">
        <v>71</v>
      </c>
      <c r="B2049" s="2" t="s">
        <v>72</v>
      </c>
      <c r="C2049" s="2" t="s">
        <v>73</v>
      </c>
      <c r="D2049" s="2"/>
      <c r="E2049" s="2" t="str">
        <f>"FES1162569587"</f>
        <v>FES1162569587</v>
      </c>
      <c r="F2049" s="3">
        <v>42964</v>
      </c>
      <c r="G2049" s="2">
        <v>201802</v>
      </c>
      <c r="H2049" s="2" t="s">
        <v>74</v>
      </c>
      <c r="I2049" s="2" t="s">
        <v>75</v>
      </c>
      <c r="J2049" s="2" t="s">
        <v>76</v>
      </c>
      <c r="K2049" s="2" t="s">
        <v>77</v>
      </c>
      <c r="L2049" s="2" t="s">
        <v>353</v>
      </c>
      <c r="M2049" s="2" t="s">
        <v>354</v>
      </c>
      <c r="N2049" s="2" t="s">
        <v>355</v>
      </c>
      <c r="O2049" s="2" t="s">
        <v>100</v>
      </c>
      <c r="P2049" s="2" t="str">
        <f>"2170584912                    "</f>
        <v xml:space="preserve">2170584912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4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1</v>
      </c>
      <c r="BJ2049" s="2">
        <v>0.2</v>
      </c>
      <c r="BK2049" s="2">
        <v>1</v>
      </c>
      <c r="BL2049" s="2">
        <v>41.44</v>
      </c>
      <c r="BM2049" s="2">
        <v>5.8</v>
      </c>
      <c r="BN2049" s="2">
        <v>47.24</v>
      </c>
      <c r="BO2049" s="2">
        <v>47.24</v>
      </c>
      <c r="BP2049" s="2"/>
      <c r="BQ2049" s="2" t="s">
        <v>108</v>
      </c>
      <c r="BR2049" s="2" t="s">
        <v>84</v>
      </c>
      <c r="BS2049" s="3">
        <v>42965</v>
      </c>
      <c r="BT2049" s="4">
        <v>0.4291666666666667</v>
      </c>
      <c r="BU2049" s="2" t="s">
        <v>1604</v>
      </c>
      <c r="BV2049" s="2" t="s">
        <v>95</v>
      </c>
      <c r="BW2049" s="2"/>
      <c r="BX2049" s="2"/>
      <c r="BY2049" s="2">
        <v>1200</v>
      </c>
      <c r="BZ2049" s="2" t="s">
        <v>27</v>
      </c>
      <c r="CA2049" s="2"/>
      <c r="CB2049" s="2"/>
      <c r="CC2049" s="2" t="s">
        <v>354</v>
      </c>
      <c r="CD2049" s="2">
        <v>3699</v>
      </c>
      <c r="CE2049" s="2" t="s">
        <v>104</v>
      </c>
      <c r="CF2049" s="5">
        <v>42968</v>
      </c>
      <c r="CG2049" s="2"/>
      <c r="CH2049" s="2"/>
      <c r="CI2049" s="2">
        <v>1</v>
      </c>
      <c r="CJ2049" s="2">
        <v>1</v>
      </c>
      <c r="CK2049" s="2">
        <v>21</v>
      </c>
      <c r="CL2049" s="2" t="s">
        <v>86</v>
      </c>
      <c r="CM2049" s="2"/>
    </row>
    <row r="2050" spans="1:91">
      <c r="A2050" s="2" t="s">
        <v>71</v>
      </c>
      <c r="B2050" s="2" t="s">
        <v>72</v>
      </c>
      <c r="C2050" s="2" t="s">
        <v>73</v>
      </c>
      <c r="D2050" s="2"/>
      <c r="E2050" s="2" t="str">
        <f>"FES1162569720"</f>
        <v>FES1162569720</v>
      </c>
      <c r="F2050" s="3">
        <v>42964</v>
      </c>
      <c r="G2050" s="2">
        <v>201802</v>
      </c>
      <c r="H2050" s="2" t="s">
        <v>74</v>
      </c>
      <c r="I2050" s="2" t="s">
        <v>75</v>
      </c>
      <c r="J2050" s="2" t="s">
        <v>76</v>
      </c>
      <c r="K2050" s="2" t="s">
        <v>77</v>
      </c>
      <c r="L2050" s="2" t="s">
        <v>149</v>
      </c>
      <c r="M2050" s="2" t="s">
        <v>150</v>
      </c>
      <c r="N2050" s="2" t="s">
        <v>1537</v>
      </c>
      <c r="O2050" s="2" t="s">
        <v>100</v>
      </c>
      <c r="P2050" s="2" t="str">
        <f>"2170585485                    "</f>
        <v xml:space="preserve">2170585485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13.01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2.2999999999999998</v>
      </c>
      <c r="BJ2050" s="2">
        <v>6.5</v>
      </c>
      <c r="BK2050" s="2">
        <v>6.5</v>
      </c>
      <c r="BL2050" s="2">
        <v>134.69</v>
      </c>
      <c r="BM2050" s="2">
        <v>18.86</v>
      </c>
      <c r="BN2050" s="2">
        <v>153.55000000000001</v>
      </c>
      <c r="BO2050" s="2">
        <v>153.55000000000001</v>
      </c>
      <c r="BP2050" s="2"/>
      <c r="BQ2050" s="2" t="s">
        <v>83</v>
      </c>
      <c r="BR2050" s="2" t="s">
        <v>84</v>
      </c>
      <c r="BS2050" s="3">
        <v>42965</v>
      </c>
      <c r="BT2050" s="4">
        <v>0.4375</v>
      </c>
      <c r="BU2050" s="2" t="s">
        <v>2561</v>
      </c>
      <c r="BV2050" s="2" t="s">
        <v>95</v>
      </c>
      <c r="BW2050" s="2"/>
      <c r="BX2050" s="2"/>
      <c r="BY2050" s="2">
        <v>32548.52</v>
      </c>
      <c r="BZ2050" s="2" t="s">
        <v>27</v>
      </c>
      <c r="CA2050" s="2" t="s">
        <v>347</v>
      </c>
      <c r="CB2050" s="2"/>
      <c r="CC2050" s="2" t="s">
        <v>150</v>
      </c>
      <c r="CD2050" s="2">
        <v>4001</v>
      </c>
      <c r="CE2050" s="2" t="s">
        <v>89</v>
      </c>
      <c r="CF2050" s="5">
        <v>42968</v>
      </c>
      <c r="CG2050" s="2"/>
      <c r="CH2050" s="2"/>
      <c r="CI2050" s="2">
        <v>1</v>
      </c>
      <c r="CJ2050" s="2">
        <v>1</v>
      </c>
      <c r="CK2050" s="2">
        <v>21</v>
      </c>
      <c r="CL2050" s="2" t="s">
        <v>86</v>
      </c>
      <c r="CM2050" s="2"/>
    </row>
    <row r="2051" spans="1:91">
      <c r="A2051" s="2" t="s">
        <v>71</v>
      </c>
      <c r="B2051" s="2" t="s">
        <v>72</v>
      </c>
      <c r="C2051" s="2" t="s">
        <v>73</v>
      </c>
      <c r="D2051" s="2"/>
      <c r="E2051" s="2" t="str">
        <f>"FES1162569742"</f>
        <v>FES1162569742</v>
      </c>
      <c r="F2051" s="3">
        <v>42964</v>
      </c>
      <c r="G2051" s="2">
        <v>201802</v>
      </c>
      <c r="H2051" s="2" t="s">
        <v>74</v>
      </c>
      <c r="I2051" s="2" t="s">
        <v>75</v>
      </c>
      <c r="J2051" s="2" t="s">
        <v>76</v>
      </c>
      <c r="K2051" s="2" t="s">
        <v>77</v>
      </c>
      <c r="L2051" s="2" t="s">
        <v>206</v>
      </c>
      <c r="M2051" s="2" t="s">
        <v>207</v>
      </c>
      <c r="N2051" s="2" t="s">
        <v>650</v>
      </c>
      <c r="O2051" s="2" t="s">
        <v>100</v>
      </c>
      <c r="P2051" s="2" t="str">
        <f>"2170583459                    "</f>
        <v xml:space="preserve">2170583459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5.63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1</v>
      </c>
      <c r="BJ2051" s="2">
        <v>0.2</v>
      </c>
      <c r="BK2051" s="2">
        <v>1</v>
      </c>
      <c r="BL2051" s="2">
        <v>58.28</v>
      </c>
      <c r="BM2051" s="2">
        <v>8.16</v>
      </c>
      <c r="BN2051" s="2">
        <v>66.44</v>
      </c>
      <c r="BO2051" s="2">
        <v>66.44</v>
      </c>
      <c r="BP2051" s="2"/>
      <c r="BQ2051" s="2" t="s">
        <v>108</v>
      </c>
      <c r="BR2051" s="2" t="s">
        <v>84</v>
      </c>
      <c r="BS2051" s="3">
        <v>42965</v>
      </c>
      <c r="BT2051" s="4">
        <v>0.5854166666666667</v>
      </c>
      <c r="BU2051" s="2" t="s">
        <v>2578</v>
      </c>
      <c r="BV2051" s="2" t="s">
        <v>86</v>
      </c>
      <c r="BW2051" s="2" t="s">
        <v>124</v>
      </c>
      <c r="BX2051" s="2" t="s">
        <v>1001</v>
      </c>
      <c r="BY2051" s="2">
        <v>1200</v>
      </c>
      <c r="BZ2051" s="2"/>
      <c r="CA2051" s="2" t="s">
        <v>640</v>
      </c>
      <c r="CB2051" s="2"/>
      <c r="CC2051" s="2" t="s">
        <v>207</v>
      </c>
      <c r="CD2051" s="2">
        <v>250</v>
      </c>
      <c r="CE2051" s="2" t="s">
        <v>104</v>
      </c>
      <c r="CF2051" s="5">
        <v>42969</v>
      </c>
      <c r="CG2051" s="2"/>
      <c r="CH2051" s="2"/>
      <c r="CI2051" s="2">
        <v>1</v>
      </c>
      <c r="CJ2051" s="2">
        <v>1</v>
      </c>
      <c r="CK2051" s="2">
        <v>24</v>
      </c>
      <c r="CL2051" s="2" t="s">
        <v>86</v>
      </c>
      <c r="CM2051" s="2"/>
    </row>
    <row r="2052" spans="1:91">
      <c r="A2052" s="2" t="s">
        <v>71</v>
      </c>
      <c r="B2052" s="2" t="s">
        <v>72</v>
      </c>
      <c r="C2052" s="2" t="s">
        <v>73</v>
      </c>
      <c r="D2052" s="2"/>
      <c r="E2052" s="2" t="str">
        <f>"FES1162569749"</f>
        <v>FES1162569749</v>
      </c>
      <c r="F2052" s="3">
        <v>42964</v>
      </c>
      <c r="G2052" s="2">
        <v>201802</v>
      </c>
      <c r="H2052" s="2" t="s">
        <v>74</v>
      </c>
      <c r="I2052" s="2" t="s">
        <v>75</v>
      </c>
      <c r="J2052" s="2" t="s">
        <v>76</v>
      </c>
      <c r="K2052" s="2" t="s">
        <v>77</v>
      </c>
      <c r="L2052" s="2" t="s">
        <v>437</v>
      </c>
      <c r="M2052" s="2" t="s">
        <v>438</v>
      </c>
      <c r="N2052" s="2" t="s">
        <v>749</v>
      </c>
      <c r="O2052" s="2" t="s">
        <v>100</v>
      </c>
      <c r="P2052" s="2" t="str">
        <f>"2170585511                    "</f>
        <v xml:space="preserve">2170585511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4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1</v>
      </c>
      <c r="BJ2052" s="2">
        <v>0.2</v>
      </c>
      <c r="BK2052" s="2">
        <v>1</v>
      </c>
      <c r="BL2052" s="2">
        <v>41.44</v>
      </c>
      <c r="BM2052" s="2">
        <v>5.8</v>
      </c>
      <c r="BN2052" s="2">
        <v>47.24</v>
      </c>
      <c r="BO2052" s="2">
        <v>47.24</v>
      </c>
      <c r="BP2052" s="2"/>
      <c r="BQ2052" s="2" t="s">
        <v>108</v>
      </c>
      <c r="BR2052" s="2" t="s">
        <v>84</v>
      </c>
      <c r="BS2052" s="3">
        <v>42965</v>
      </c>
      <c r="BT2052" s="4">
        <v>0.34027777777777773</v>
      </c>
      <c r="BU2052" s="2" t="s">
        <v>750</v>
      </c>
      <c r="BV2052" s="2" t="s">
        <v>95</v>
      </c>
      <c r="BW2052" s="2"/>
      <c r="BX2052" s="2"/>
      <c r="BY2052" s="2">
        <v>1200</v>
      </c>
      <c r="BZ2052" s="2"/>
      <c r="CA2052" s="2" t="s">
        <v>441</v>
      </c>
      <c r="CB2052" s="2"/>
      <c r="CC2052" s="2" t="s">
        <v>438</v>
      </c>
      <c r="CD2052" s="2">
        <v>6536</v>
      </c>
      <c r="CE2052" s="2" t="s">
        <v>104</v>
      </c>
      <c r="CF2052" s="5">
        <v>42968</v>
      </c>
      <c r="CG2052" s="2"/>
      <c r="CH2052" s="2"/>
      <c r="CI2052" s="2">
        <v>1</v>
      </c>
      <c r="CJ2052" s="2">
        <v>1</v>
      </c>
      <c r="CK2052" s="2">
        <v>21</v>
      </c>
      <c r="CL2052" s="2" t="s">
        <v>86</v>
      </c>
      <c r="CM2052" s="2"/>
    </row>
    <row r="2053" spans="1:91">
      <c r="A2053" s="2" t="s">
        <v>71</v>
      </c>
      <c r="B2053" s="2" t="s">
        <v>72</v>
      </c>
      <c r="C2053" s="2" t="s">
        <v>73</v>
      </c>
      <c r="D2053" s="2"/>
      <c r="E2053" s="2" t="str">
        <f>"FES1162569857"</f>
        <v>FES1162569857</v>
      </c>
      <c r="F2053" s="3">
        <v>42964</v>
      </c>
      <c r="G2053" s="2">
        <v>201802</v>
      </c>
      <c r="H2053" s="2" t="s">
        <v>74</v>
      </c>
      <c r="I2053" s="2" t="s">
        <v>75</v>
      </c>
      <c r="J2053" s="2" t="s">
        <v>76</v>
      </c>
      <c r="K2053" s="2" t="s">
        <v>77</v>
      </c>
      <c r="L2053" s="2" t="s">
        <v>723</v>
      </c>
      <c r="M2053" s="2" t="s">
        <v>724</v>
      </c>
      <c r="N2053" s="2" t="s">
        <v>351</v>
      </c>
      <c r="O2053" s="2" t="s">
        <v>81</v>
      </c>
      <c r="P2053" s="2" t="str">
        <f>"2170585657                    "</f>
        <v xml:space="preserve">2170585657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8.07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2</v>
      </c>
      <c r="BI2053" s="2">
        <v>22</v>
      </c>
      <c r="BJ2053" s="2">
        <v>28.1</v>
      </c>
      <c r="BK2053" s="2">
        <v>28</v>
      </c>
      <c r="BL2053" s="2">
        <v>88.6</v>
      </c>
      <c r="BM2053" s="2">
        <v>12.4</v>
      </c>
      <c r="BN2053" s="2">
        <v>101</v>
      </c>
      <c r="BO2053" s="2">
        <v>101</v>
      </c>
      <c r="BP2053" s="2"/>
      <c r="BQ2053" s="2" t="s">
        <v>288</v>
      </c>
      <c r="BR2053" s="2" t="s">
        <v>84</v>
      </c>
      <c r="BS2053" s="3">
        <v>42965</v>
      </c>
      <c r="BT2053" s="4">
        <v>0.47083333333333338</v>
      </c>
      <c r="BU2053" s="2" t="s">
        <v>2619</v>
      </c>
      <c r="BV2053" s="2" t="s">
        <v>95</v>
      </c>
      <c r="BW2053" s="2"/>
      <c r="BX2053" s="2"/>
      <c r="BY2053" s="2">
        <v>140350.18</v>
      </c>
      <c r="BZ2053" s="2"/>
      <c r="CA2053" s="2" t="s">
        <v>1261</v>
      </c>
      <c r="CB2053" s="2"/>
      <c r="CC2053" s="2" t="s">
        <v>724</v>
      </c>
      <c r="CD2053" s="2">
        <v>1754</v>
      </c>
      <c r="CE2053" s="2" t="s">
        <v>89</v>
      </c>
      <c r="CF2053" s="5">
        <v>42968</v>
      </c>
      <c r="CG2053" s="2"/>
      <c r="CH2053" s="2"/>
      <c r="CI2053" s="2">
        <v>1</v>
      </c>
      <c r="CJ2053" s="2">
        <v>1</v>
      </c>
      <c r="CK2053" s="2" t="s">
        <v>132</v>
      </c>
      <c r="CL2053" s="2" t="s">
        <v>86</v>
      </c>
      <c r="CM2053" s="2"/>
    </row>
    <row r="2054" spans="1:91">
      <c r="A2054" s="2" t="s">
        <v>71</v>
      </c>
      <c r="B2054" s="2" t="s">
        <v>72</v>
      </c>
      <c r="C2054" s="2" t="s">
        <v>73</v>
      </c>
      <c r="D2054" s="2"/>
      <c r="E2054" s="2" t="str">
        <f>"FES1162569944"</f>
        <v>FES1162569944</v>
      </c>
      <c r="F2054" s="3">
        <v>42965</v>
      </c>
      <c r="G2054" s="2">
        <v>201802</v>
      </c>
      <c r="H2054" s="2" t="s">
        <v>74</v>
      </c>
      <c r="I2054" s="2" t="s">
        <v>75</v>
      </c>
      <c r="J2054" s="2" t="s">
        <v>76</v>
      </c>
      <c r="K2054" s="2" t="s">
        <v>77</v>
      </c>
      <c r="L2054" s="2" t="s">
        <v>174</v>
      </c>
      <c r="M2054" s="2" t="s">
        <v>175</v>
      </c>
      <c r="N2054" s="2" t="s">
        <v>920</v>
      </c>
      <c r="O2054" s="2" t="s">
        <v>100</v>
      </c>
      <c r="P2054" s="2" t="str">
        <f>"2170585621                    "</f>
        <v xml:space="preserve">2170585621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4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1</v>
      </c>
      <c r="BI2054" s="2">
        <v>1</v>
      </c>
      <c r="BJ2054" s="2">
        <v>0.2</v>
      </c>
      <c r="BK2054" s="2">
        <v>1</v>
      </c>
      <c r="BL2054" s="2">
        <v>41.44</v>
      </c>
      <c r="BM2054" s="2">
        <v>5.8</v>
      </c>
      <c r="BN2054" s="2">
        <v>47.24</v>
      </c>
      <c r="BO2054" s="2">
        <v>47.24</v>
      </c>
      <c r="BP2054" s="2"/>
      <c r="BQ2054" s="2" t="s">
        <v>108</v>
      </c>
      <c r="BR2054" s="2" t="s">
        <v>84</v>
      </c>
      <c r="BS2054" s="3">
        <v>42968</v>
      </c>
      <c r="BT2054" s="4">
        <v>0.33333333333333331</v>
      </c>
      <c r="BU2054" s="2" t="s">
        <v>921</v>
      </c>
      <c r="BV2054" s="2" t="s">
        <v>95</v>
      </c>
      <c r="BW2054" s="2"/>
      <c r="BX2054" s="2"/>
      <c r="BY2054" s="2">
        <v>1200</v>
      </c>
      <c r="BZ2054" s="2" t="s">
        <v>27</v>
      </c>
      <c r="CA2054" s="2"/>
      <c r="CB2054" s="2"/>
      <c r="CC2054" s="2" t="s">
        <v>175</v>
      </c>
      <c r="CD2054" s="2">
        <v>5201</v>
      </c>
      <c r="CE2054" s="2" t="s">
        <v>104</v>
      </c>
      <c r="CF2054" s="5">
        <v>42969</v>
      </c>
      <c r="CG2054" s="2"/>
      <c r="CH2054" s="2"/>
      <c r="CI2054" s="2">
        <v>1</v>
      </c>
      <c r="CJ2054" s="2">
        <v>1</v>
      </c>
      <c r="CK2054" s="2">
        <v>21</v>
      </c>
      <c r="CL2054" s="2" t="s">
        <v>86</v>
      </c>
      <c r="CM2054" s="2"/>
    </row>
    <row r="2055" spans="1:91">
      <c r="A2055" s="2" t="s">
        <v>71</v>
      </c>
      <c r="B2055" s="2" t="s">
        <v>72</v>
      </c>
      <c r="C2055" s="2" t="s">
        <v>73</v>
      </c>
      <c r="D2055" s="2"/>
      <c r="E2055" s="2" t="str">
        <f>"FES1162570077"</f>
        <v>FES1162570077</v>
      </c>
      <c r="F2055" s="3">
        <v>42965</v>
      </c>
      <c r="G2055" s="2">
        <v>201802</v>
      </c>
      <c r="H2055" s="2" t="s">
        <v>74</v>
      </c>
      <c r="I2055" s="2" t="s">
        <v>75</v>
      </c>
      <c r="J2055" s="2" t="s">
        <v>76</v>
      </c>
      <c r="K2055" s="2" t="s">
        <v>77</v>
      </c>
      <c r="L2055" s="2" t="s">
        <v>362</v>
      </c>
      <c r="M2055" s="2" t="s">
        <v>363</v>
      </c>
      <c r="N2055" s="2" t="s">
        <v>683</v>
      </c>
      <c r="O2055" s="2" t="s">
        <v>100</v>
      </c>
      <c r="P2055" s="2" t="str">
        <f>"2170584232                    "</f>
        <v xml:space="preserve">2170584232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4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1</v>
      </c>
      <c r="BJ2055" s="2">
        <v>0.2</v>
      </c>
      <c r="BK2055" s="2">
        <v>1</v>
      </c>
      <c r="BL2055" s="2">
        <v>41.44</v>
      </c>
      <c r="BM2055" s="2">
        <v>5.8</v>
      </c>
      <c r="BN2055" s="2">
        <v>47.24</v>
      </c>
      <c r="BO2055" s="2">
        <v>47.24</v>
      </c>
      <c r="BP2055" s="2"/>
      <c r="BQ2055" s="2" t="s">
        <v>108</v>
      </c>
      <c r="BR2055" s="2" t="s">
        <v>84</v>
      </c>
      <c r="BS2055" s="3">
        <v>42968</v>
      </c>
      <c r="BT2055" s="4">
        <v>0.4375</v>
      </c>
      <c r="BU2055" s="2" t="s">
        <v>2620</v>
      </c>
      <c r="BV2055" s="2" t="s">
        <v>95</v>
      </c>
      <c r="BW2055" s="2"/>
      <c r="BX2055" s="2"/>
      <c r="BY2055" s="2">
        <v>1200</v>
      </c>
      <c r="BZ2055" s="2" t="s">
        <v>27</v>
      </c>
      <c r="CA2055" s="2" t="s">
        <v>367</v>
      </c>
      <c r="CB2055" s="2"/>
      <c r="CC2055" s="2" t="s">
        <v>363</v>
      </c>
      <c r="CD2055" s="2">
        <v>3201</v>
      </c>
      <c r="CE2055" s="2" t="s">
        <v>104</v>
      </c>
      <c r="CF2055" s="5">
        <v>42969</v>
      </c>
      <c r="CG2055" s="2"/>
      <c r="CH2055" s="2"/>
      <c r="CI2055" s="2">
        <v>1</v>
      </c>
      <c r="CJ2055" s="2">
        <v>1</v>
      </c>
      <c r="CK2055" s="2">
        <v>21</v>
      </c>
      <c r="CL2055" s="2" t="s">
        <v>86</v>
      </c>
      <c r="CM2055" s="2"/>
    </row>
    <row r="2056" spans="1:91">
      <c r="A2056" s="2" t="s">
        <v>71</v>
      </c>
      <c r="B2056" s="2" t="s">
        <v>72</v>
      </c>
      <c r="C2056" s="2" t="s">
        <v>73</v>
      </c>
      <c r="D2056" s="2"/>
      <c r="E2056" s="2" t="str">
        <f>"FES1162570151"</f>
        <v>FES1162570151</v>
      </c>
      <c r="F2056" s="3">
        <v>42965</v>
      </c>
      <c r="G2056" s="2">
        <v>201802</v>
      </c>
      <c r="H2056" s="2" t="s">
        <v>74</v>
      </c>
      <c r="I2056" s="2" t="s">
        <v>75</v>
      </c>
      <c r="J2056" s="2" t="s">
        <v>76</v>
      </c>
      <c r="K2056" s="2" t="s">
        <v>77</v>
      </c>
      <c r="L2056" s="2" t="s">
        <v>268</v>
      </c>
      <c r="M2056" s="2" t="s">
        <v>269</v>
      </c>
      <c r="N2056" s="2" t="s">
        <v>2621</v>
      </c>
      <c r="O2056" s="2" t="s">
        <v>100</v>
      </c>
      <c r="P2056" s="2" t="str">
        <f>"2170583492                    "</f>
        <v xml:space="preserve">2170583492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4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1</v>
      </c>
      <c r="BJ2056" s="2">
        <v>0.2</v>
      </c>
      <c r="BK2056" s="2">
        <v>1</v>
      </c>
      <c r="BL2056" s="2">
        <v>41.44</v>
      </c>
      <c r="BM2056" s="2">
        <v>5.8</v>
      </c>
      <c r="BN2056" s="2">
        <v>47.24</v>
      </c>
      <c r="BO2056" s="2">
        <v>47.24</v>
      </c>
      <c r="BP2056" s="2"/>
      <c r="BQ2056" s="2" t="s">
        <v>227</v>
      </c>
      <c r="BR2056" s="2" t="s">
        <v>84</v>
      </c>
      <c r="BS2056" s="3">
        <v>42968</v>
      </c>
      <c r="BT2056" s="4">
        <v>0.43055555555555558</v>
      </c>
      <c r="BU2056" s="2" t="s">
        <v>2622</v>
      </c>
      <c r="BV2056" s="2" t="s">
        <v>95</v>
      </c>
      <c r="BW2056" s="2"/>
      <c r="BX2056" s="2"/>
      <c r="BY2056" s="2">
        <v>1200</v>
      </c>
      <c r="BZ2056" s="2" t="s">
        <v>27</v>
      </c>
      <c r="CA2056" s="2"/>
      <c r="CB2056" s="2"/>
      <c r="CC2056" s="2" t="s">
        <v>269</v>
      </c>
      <c r="CD2056" s="2">
        <v>186</v>
      </c>
      <c r="CE2056" s="2" t="s">
        <v>104</v>
      </c>
      <c r="CF2056" s="5">
        <v>42969</v>
      </c>
      <c r="CG2056" s="2"/>
      <c r="CH2056" s="2"/>
      <c r="CI2056" s="2">
        <v>1</v>
      </c>
      <c r="CJ2056" s="2">
        <v>1</v>
      </c>
      <c r="CK2056" s="2">
        <v>21</v>
      </c>
      <c r="CL2056" s="2" t="s">
        <v>86</v>
      </c>
      <c r="CM2056" s="2"/>
    </row>
    <row r="2057" spans="1:91">
      <c r="A2057" s="2" t="s">
        <v>71</v>
      </c>
      <c r="B2057" s="2" t="s">
        <v>72</v>
      </c>
      <c r="C2057" s="2" t="s">
        <v>73</v>
      </c>
      <c r="D2057" s="2"/>
      <c r="E2057" s="2" t="str">
        <f>"FES11625670095"</f>
        <v>FES11625670095</v>
      </c>
      <c r="F2057" s="3">
        <v>42965</v>
      </c>
      <c r="G2057" s="2">
        <v>201802</v>
      </c>
      <c r="H2057" s="2" t="s">
        <v>74</v>
      </c>
      <c r="I2057" s="2" t="s">
        <v>75</v>
      </c>
      <c r="J2057" s="2" t="s">
        <v>76</v>
      </c>
      <c r="K2057" s="2" t="s">
        <v>77</v>
      </c>
      <c r="L2057" s="2" t="s">
        <v>244</v>
      </c>
      <c r="M2057" s="2" t="s">
        <v>245</v>
      </c>
      <c r="N2057" s="2" t="s">
        <v>246</v>
      </c>
      <c r="O2057" s="2" t="s">
        <v>100</v>
      </c>
      <c r="P2057" s="2" t="str">
        <f>"2170585882                    "</f>
        <v xml:space="preserve">2170585882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3.13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1</v>
      </c>
      <c r="BJ2057" s="2">
        <v>0.2</v>
      </c>
      <c r="BK2057" s="2">
        <v>1</v>
      </c>
      <c r="BL2057" s="2">
        <v>32.380000000000003</v>
      </c>
      <c r="BM2057" s="2">
        <v>4.53</v>
      </c>
      <c r="BN2057" s="2">
        <v>36.909999999999997</v>
      </c>
      <c r="BO2057" s="2">
        <v>36.909999999999997</v>
      </c>
      <c r="BP2057" s="2"/>
      <c r="BQ2057" s="2" t="s">
        <v>83</v>
      </c>
      <c r="BR2057" s="2" t="s">
        <v>84</v>
      </c>
      <c r="BS2057" s="3">
        <v>42968</v>
      </c>
      <c r="BT2057" s="4">
        <v>0.37847222222222227</v>
      </c>
      <c r="BU2057" s="2" t="s">
        <v>2623</v>
      </c>
      <c r="BV2057" s="2" t="s">
        <v>95</v>
      </c>
      <c r="BW2057" s="2"/>
      <c r="BX2057" s="2"/>
      <c r="BY2057" s="2">
        <v>1200</v>
      </c>
      <c r="BZ2057" s="2" t="s">
        <v>27</v>
      </c>
      <c r="CA2057" s="2"/>
      <c r="CB2057" s="2"/>
      <c r="CC2057" s="2" t="s">
        <v>245</v>
      </c>
      <c r="CD2057" s="2">
        <v>1459</v>
      </c>
      <c r="CE2057" s="2" t="s">
        <v>104</v>
      </c>
      <c r="CF2057" s="2"/>
      <c r="CG2057" s="2"/>
      <c r="CH2057" s="2"/>
      <c r="CI2057" s="2">
        <v>1</v>
      </c>
      <c r="CJ2057" s="2">
        <v>1</v>
      </c>
      <c r="CK2057" s="2">
        <v>22</v>
      </c>
      <c r="CL2057" s="2" t="s">
        <v>86</v>
      </c>
      <c r="CM2057" s="2"/>
    </row>
    <row r="2058" spans="1:91">
      <c r="A2058" s="2" t="s">
        <v>71</v>
      </c>
      <c r="B2058" s="2" t="s">
        <v>72</v>
      </c>
      <c r="C2058" s="2" t="s">
        <v>73</v>
      </c>
      <c r="D2058" s="2"/>
      <c r="E2058" s="2" t="str">
        <f>"FES1162570049"</f>
        <v>FES1162570049</v>
      </c>
      <c r="F2058" s="3">
        <v>42965</v>
      </c>
      <c r="G2058" s="2">
        <v>201802</v>
      </c>
      <c r="H2058" s="2" t="s">
        <v>74</v>
      </c>
      <c r="I2058" s="2" t="s">
        <v>75</v>
      </c>
      <c r="J2058" s="2" t="s">
        <v>76</v>
      </c>
      <c r="K2058" s="2" t="s">
        <v>77</v>
      </c>
      <c r="L2058" s="2" t="s">
        <v>144</v>
      </c>
      <c r="M2058" s="2" t="s">
        <v>145</v>
      </c>
      <c r="N2058" s="2" t="s">
        <v>146</v>
      </c>
      <c r="O2058" s="2" t="s">
        <v>100</v>
      </c>
      <c r="P2058" s="2" t="str">
        <f>"2170585838                    "</f>
        <v xml:space="preserve">2170585838  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3.13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1</v>
      </c>
      <c r="BI2058" s="2">
        <v>1</v>
      </c>
      <c r="BJ2058" s="2">
        <v>0.2</v>
      </c>
      <c r="BK2058" s="2">
        <v>1</v>
      </c>
      <c r="BL2058" s="2">
        <v>32.380000000000003</v>
      </c>
      <c r="BM2058" s="2">
        <v>4.53</v>
      </c>
      <c r="BN2058" s="2">
        <v>36.909999999999997</v>
      </c>
      <c r="BO2058" s="2">
        <v>36.909999999999997</v>
      </c>
      <c r="BP2058" s="2"/>
      <c r="BQ2058" s="2" t="s">
        <v>83</v>
      </c>
      <c r="BR2058" s="2" t="s">
        <v>84</v>
      </c>
      <c r="BS2058" s="3">
        <v>42968</v>
      </c>
      <c r="BT2058" s="4">
        <v>0.375</v>
      </c>
      <c r="BU2058" s="2" t="s">
        <v>2624</v>
      </c>
      <c r="BV2058" s="2" t="s">
        <v>95</v>
      </c>
      <c r="BW2058" s="2"/>
      <c r="BX2058" s="2"/>
      <c r="BY2058" s="2">
        <v>1200</v>
      </c>
      <c r="BZ2058" s="2" t="s">
        <v>27</v>
      </c>
      <c r="CA2058" s="2" t="s">
        <v>729</v>
      </c>
      <c r="CB2058" s="2"/>
      <c r="CC2058" s="2" t="s">
        <v>145</v>
      </c>
      <c r="CD2058" s="2">
        <v>2094</v>
      </c>
      <c r="CE2058" s="2" t="s">
        <v>104</v>
      </c>
      <c r="CF2058" s="5">
        <v>42969</v>
      </c>
      <c r="CG2058" s="2"/>
      <c r="CH2058" s="2"/>
      <c r="CI2058" s="2">
        <v>1</v>
      </c>
      <c r="CJ2058" s="2">
        <v>1</v>
      </c>
      <c r="CK2058" s="2">
        <v>22</v>
      </c>
      <c r="CL2058" s="2" t="s">
        <v>86</v>
      </c>
      <c r="CM2058" s="2"/>
    </row>
    <row r="2059" spans="1:91">
      <c r="A2059" s="2" t="s">
        <v>71</v>
      </c>
      <c r="B2059" s="2" t="s">
        <v>72</v>
      </c>
      <c r="C2059" s="2" t="s">
        <v>73</v>
      </c>
      <c r="D2059" s="2"/>
      <c r="E2059" s="2" t="str">
        <f>"FES1162569920"</f>
        <v>FES1162569920</v>
      </c>
      <c r="F2059" s="3">
        <v>42965</v>
      </c>
      <c r="G2059" s="2">
        <v>201802</v>
      </c>
      <c r="H2059" s="2" t="s">
        <v>74</v>
      </c>
      <c r="I2059" s="2" t="s">
        <v>75</v>
      </c>
      <c r="J2059" s="2" t="s">
        <v>76</v>
      </c>
      <c r="K2059" s="2" t="s">
        <v>77</v>
      </c>
      <c r="L2059" s="2" t="s">
        <v>105</v>
      </c>
      <c r="M2059" s="2" t="s">
        <v>106</v>
      </c>
      <c r="N2059" s="2" t="s">
        <v>486</v>
      </c>
      <c r="O2059" s="2" t="s">
        <v>100</v>
      </c>
      <c r="P2059" s="2" t="str">
        <f>"2170583663                    "</f>
        <v xml:space="preserve">2170583663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4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1</v>
      </c>
      <c r="BI2059" s="2">
        <v>1</v>
      </c>
      <c r="BJ2059" s="2">
        <v>0.2</v>
      </c>
      <c r="BK2059" s="2">
        <v>1</v>
      </c>
      <c r="BL2059" s="2">
        <v>41.44</v>
      </c>
      <c r="BM2059" s="2">
        <v>5.8</v>
      </c>
      <c r="BN2059" s="2">
        <v>47.24</v>
      </c>
      <c r="BO2059" s="2">
        <v>47.24</v>
      </c>
      <c r="BP2059" s="2"/>
      <c r="BQ2059" s="2" t="s">
        <v>365</v>
      </c>
      <c r="BR2059" s="2" t="s">
        <v>84</v>
      </c>
      <c r="BS2059" s="3">
        <v>42968</v>
      </c>
      <c r="BT2059" s="4">
        <v>0.4201388888888889</v>
      </c>
      <c r="BU2059" s="2" t="s">
        <v>2625</v>
      </c>
      <c r="BV2059" s="2" t="s">
        <v>95</v>
      </c>
      <c r="BW2059" s="2"/>
      <c r="BX2059" s="2"/>
      <c r="BY2059" s="2">
        <v>1200</v>
      </c>
      <c r="BZ2059" s="2" t="s">
        <v>27</v>
      </c>
      <c r="CA2059" s="2" t="s">
        <v>2626</v>
      </c>
      <c r="CB2059" s="2"/>
      <c r="CC2059" s="2" t="s">
        <v>106</v>
      </c>
      <c r="CD2059" s="2">
        <v>7441</v>
      </c>
      <c r="CE2059" s="2" t="s">
        <v>104</v>
      </c>
      <c r="CF2059" s="5">
        <v>42969</v>
      </c>
      <c r="CG2059" s="2"/>
      <c r="CH2059" s="2"/>
      <c r="CI2059" s="2">
        <v>1</v>
      </c>
      <c r="CJ2059" s="2">
        <v>1</v>
      </c>
      <c r="CK2059" s="2">
        <v>21</v>
      </c>
      <c r="CL2059" s="2" t="s">
        <v>86</v>
      </c>
      <c r="CM2059" s="2"/>
    </row>
    <row r="2060" spans="1:91">
      <c r="A2060" s="2" t="s">
        <v>71</v>
      </c>
      <c r="B2060" s="2" t="s">
        <v>72</v>
      </c>
      <c r="C2060" s="2" t="s">
        <v>73</v>
      </c>
      <c r="D2060" s="2"/>
      <c r="E2060" s="2" t="str">
        <f>"FES1162569922"</f>
        <v>FES1162569922</v>
      </c>
      <c r="F2060" s="3">
        <v>42965</v>
      </c>
      <c r="G2060" s="2">
        <v>201802</v>
      </c>
      <c r="H2060" s="2" t="s">
        <v>74</v>
      </c>
      <c r="I2060" s="2" t="s">
        <v>75</v>
      </c>
      <c r="J2060" s="2" t="s">
        <v>76</v>
      </c>
      <c r="K2060" s="2" t="s">
        <v>77</v>
      </c>
      <c r="L2060" s="2" t="s">
        <v>105</v>
      </c>
      <c r="M2060" s="2" t="s">
        <v>106</v>
      </c>
      <c r="N2060" s="2" t="s">
        <v>486</v>
      </c>
      <c r="O2060" s="2" t="s">
        <v>100</v>
      </c>
      <c r="P2060" s="2" t="str">
        <f>"2170583665                    "</f>
        <v xml:space="preserve">2170583665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4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1</v>
      </c>
      <c r="BJ2060" s="2">
        <v>0.2</v>
      </c>
      <c r="BK2060" s="2">
        <v>1</v>
      </c>
      <c r="BL2060" s="2">
        <v>41.44</v>
      </c>
      <c r="BM2060" s="2">
        <v>5.8</v>
      </c>
      <c r="BN2060" s="2">
        <v>47.24</v>
      </c>
      <c r="BO2060" s="2">
        <v>47.24</v>
      </c>
      <c r="BP2060" s="2"/>
      <c r="BQ2060" s="2" t="s">
        <v>365</v>
      </c>
      <c r="BR2060" s="2" t="s">
        <v>84</v>
      </c>
      <c r="BS2060" s="3">
        <v>42968</v>
      </c>
      <c r="BT2060" s="4">
        <v>0.4201388888888889</v>
      </c>
      <c r="BU2060" s="2" t="s">
        <v>2625</v>
      </c>
      <c r="BV2060" s="2" t="s">
        <v>95</v>
      </c>
      <c r="BW2060" s="2"/>
      <c r="BX2060" s="2"/>
      <c r="BY2060" s="2">
        <v>1200</v>
      </c>
      <c r="BZ2060" s="2" t="s">
        <v>27</v>
      </c>
      <c r="CA2060" s="2" t="s">
        <v>2626</v>
      </c>
      <c r="CB2060" s="2"/>
      <c r="CC2060" s="2" t="s">
        <v>106</v>
      </c>
      <c r="CD2060" s="2">
        <v>7441</v>
      </c>
      <c r="CE2060" s="2" t="s">
        <v>104</v>
      </c>
      <c r="CF2060" s="5">
        <v>42969</v>
      </c>
      <c r="CG2060" s="2"/>
      <c r="CH2060" s="2"/>
      <c r="CI2060" s="2">
        <v>1</v>
      </c>
      <c r="CJ2060" s="2">
        <v>1</v>
      </c>
      <c r="CK2060" s="2">
        <v>21</v>
      </c>
      <c r="CL2060" s="2" t="s">
        <v>86</v>
      </c>
      <c r="CM2060" s="2"/>
    </row>
    <row r="2061" spans="1:91">
      <c r="A2061" s="2" t="s">
        <v>71</v>
      </c>
      <c r="B2061" s="2" t="s">
        <v>72</v>
      </c>
      <c r="C2061" s="2" t="s">
        <v>73</v>
      </c>
      <c r="D2061" s="2"/>
      <c r="E2061" s="2" t="str">
        <f>"FES1162569937"</f>
        <v>FES1162569937</v>
      </c>
      <c r="F2061" s="3">
        <v>42965</v>
      </c>
      <c r="G2061" s="2">
        <v>201802</v>
      </c>
      <c r="H2061" s="2" t="s">
        <v>74</v>
      </c>
      <c r="I2061" s="2" t="s">
        <v>75</v>
      </c>
      <c r="J2061" s="2" t="s">
        <v>76</v>
      </c>
      <c r="K2061" s="2" t="s">
        <v>77</v>
      </c>
      <c r="L2061" s="2" t="s">
        <v>105</v>
      </c>
      <c r="M2061" s="2" t="s">
        <v>106</v>
      </c>
      <c r="N2061" s="2" t="s">
        <v>364</v>
      </c>
      <c r="O2061" s="2" t="s">
        <v>100</v>
      </c>
      <c r="P2061" s="2" t="str">
        <f>"2170585140                    "</f>
        <v xml:space="preserve">2170585140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4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1</v>
      </c>
      <c r="BJ2061" s="2">
        <v>0.2</v>
      </c>
      <c r="BK2061" s="2">
        <v>1</v>
      </c>
      <c r="BL2061" s="2">
        <v>41.44</v>
      </c>
      <c r="BM2061" s="2">
        <v>5.8</v>
      </c>
      <c r="BN2061" s="2">
        <v>47.24</v>
      </c>
      <c r="BO2061" s="2">
        <v>47.24</v>
      </c>
      <c r="BP2061" s="2"/>
      <c r="BQ2061" s="2" t="s">
        <v>288</v>
      </c>
      <c r="BR2061" s="2" t="s">
        <v>84</v>
      </c>
      <c r="BS2061" s="3">
        <v>42968</v>
      </c>
      <c r="BT2061" s="4">
        <v>0.4069444444444445</v>
      </c>
      <c r="BU2061" s="2" t="s">
        <v>2627</v>
      </c>
      <c r="BV2061" s="2" t="s">
        <v>95</v>
      </c>
      <c r="BW2061" s="2"/>
      <c r="BX2061" s="2"/>
      <c r="BY2061" s="2">
        <v>1200</v>
      </c>
      <c r="BZ2061" s="2" t="s">
        <v>27</v>
      </c>
      <c r="CA2061" s="2" t="s">
        <v>148</v>
      </c>
      <c r="CB2061" s="2"/>
      <c r="CC2061" s="2" t="s">
        <v>106</v>
      </c>
      <c r="CD2061" s="2">
        <v>7560</v>
      </c>
      <c r="CE2061" s="2" t="s">
        <v>104</v>
      </c>
      <c r="CF2061" s="5">
        <v>42969</v>
      </c>
      <c r="CG2061" s="2"/>
      <c r="CH2061" s="2"/>
      <c r="CI2061" s="2">
        <v>1</v>
      </c>
      <c r="CJ2061" s="2">
        <v>1</v>
      </c>
      <c r="CK2061" s="2">
        <v>21</v>
      </c>
      <c r="CL2061" s="2" t="s">
        <v>86</v>
      </c>
      <c r="CM2061" s="2"/>
    </row>
    <row r="2062" spans="1:91">
      <c r="A2062" s="2" t="s">
        <v>71</v>
      </c>
      <c r="B2062" s="2" t="s">
        <v>72</v>
      </c>
      <c r="C2062" s="2" t="s">
        <v>73</v>
      </c>
      <c r="D2062" s="2"/>
      <c r="E2062" s="2" t="str">
        <f>"FES1162569933"</f>
        <v>FES1162569933</v>
      </c>
      <c r="F2062" s="3">
        <v>42965</v>
      </c>
      <c r="G2062" s="2">
        <v>201802</v>
      </c>
      <c r="H2062" s="2" t="s">
        <v>74</v>
      </c>
      <c r="I2062" s="2" t="s">
        <v>75</v>
      </c>
      <c r="J2062" s="2" t="s">
        <v>76</v>
      </c>
      <c r="K2062" s="2" t="s">
        <v>77</v>
      </c>
      <c r="L2062" s="2" t="s">
        <v>105</v>
      </c>
      <c r="M2062" s="2" t="s">
        <v>106</v>
      </c>
      <c r="N2062" s="2" t="s">
        <v>364</v>
      </c>
      <c r="O2062" s="2" t="s">
        <v>100</v>
      </c>
      <c r="P2062" s="2" t="str">
        <f>"2170584865                    "</f>
        <v xml:space="preserve">2170584865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4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1</v>
      </c>
      <c r="BJ2062" s="2">
        <v>0.2</v>
      </c>
      <c r="BK2062" s="2">
        <v>1</v>
      </c>
      <c r="BL2062" s="2">
        <v>41.44</v>
      </c>
      <c r="BM2062" s="2">
        <v>5.8</v>
      </c>
      <c r="BN2062" s="2">
        <v>47.24</v>
      </c>
      <c r="BO2062" s="2">
        <v>47.24</v>
      </c>
      <c r="BP2062" s="2"/>
      <c r="BQ2062" s="2" t="s">
        <v>288</v>
      </c>
      <c r="BR2062" s="2" t="s">
        <v>84</v>
      </c>
      <c r="BS2062" s="3">
        <v>42968</v>
      </c>
      <c r="BT2062" s="4">
        <v>0.40625</v>
      </c>
      <c r="BU2062" s="2" t="s">
        <v>2627</v>
      </c>
      <c r="BV2062" s="2" t="s">
        <v>95</v>
      </c>
      <c r="BW2062" s="2"/>
      <c r="BX2062" s="2"/>
      <c r="BY2062" s="2">
        <v>1200</v>
      </c>
      <c r="BZ2062" s="2" t="s">
        <v>27</v>
      </c>
      <c r="CA2062" s="2" t="s">
        <v>148</v>
      </c>
      <c r="CB2062" s="2"/>
      <c r="CC2062" s="2" t="s">
        <v>106</v>
      </c>
      <c r="CD2062" s="2">
        <v>7560</v>
      </c>
      <c r="CE2062" s="2" t="s">
        <v>104</v>
      </c>
      <c r="CF2062" s="5">
        <v>42969</v>
      </c>
      <c r="CG2062" s="2"/>
      <c r="CH2062" s="2"/>
      <c r="CI2062" s="2">
        <v>1</v>
      </c>
      <c r="CJ2062" s="2">
        <v>1</v>
      </c>
      <c r="CK2062" s="2">
        <v>21</v>
      </c>
      <c r="CL2062" s="2" t="s">
        <v>86</v>
      </c>
      <c r="CM2062" s="2"/>
    </row>
    <row r="2063" spans="1:91">
      <c r="A2063" s="2" t="s">
        <v>71</v>
      </c>
      <c r="B2063" s="2" t="s">
        <v>72</v>
      </c>
      <c r="C2063" s="2" t="s">
        <v>73</v>
      </c>
      <c r="D2063" s="2"/>
      <c r="E2063" s="2" t="str">
        <f>"FES1162569919"</f>
        <v>FES1162569919</v>
      </c>
      <c r="F2063" s="3">
        <v>42965</v>
      </c>
      <c r="G2063" s="2">
        <v>201802</v>
      </c>
      <c r="H2063" s="2" t="s">
        <v>74</v>
      </c>
      <c r="I2063" s="2" t="s">
        <v>75</v>
      </c>
      <c r="J2063" s="2" t="s">
        <v>76</v>
      </c>
      <c r="K2063" s="2" t="s">
        <v>77</v>
      </c>
      <c r="L2063" s="2" t="s">
        <v>105</v>
      </c>
      <c r="M2063" s="2" t="s">
        <v>106</v>
      </c>
      <c r="N2063" s="2" t="s">
        <v>2628</v>
      </c>
      <c r="O2063" s="2" t="s">
        <v>100</v>
      </c>
      <c r="P2063" s="2" t="str">
        <f>"2170583641                    "</f>
        <v xml:space="preserve">2170583641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4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1</v>
      </c>
      <c r="BJ2063" s="2">
        <v>0.2</v>
      </c>
      <c r="BK2063" s="2">
        <v>1</v>
      </c>
      <c r="BL2063" s="2">
        <v>41.44</v>
      </c>
      <c r="BM2063" s="2">
        <v>5.8</v>
      </c>
      <c r="BN2063" s="2">
        <v>47.24</v>
      </c>
      <c r="BO2063" s="2">
        <v>47.24</v>
      </c>
      <c r="BP2063" s="2"/>
      <c r="BQ2063" s="2" t="s">
        <v>288</v>
      </c>
      <c r="BR2063" s="2" t="s">
        <v>84</v>
      </c>
      <c r="BS2063" s="3">
        <v>42968</v>
      </c>
      <c r="BT2063" s="4">
        <v>0.34652777777777777</v>
      </c>
      <c r="BU2063" s="2" t="s">
        <v>2629</v>
      </c>
      <c r="BV2063" s="2" t="s">
        <v>95</v>
      </c>
      <c r="BW2063" s="2"/>
      <c r="BX2063" s="2"/>
      <c r="BY2063" s="2">
        <v>1200</v>
      </c>
      <c r="BZ2063" s="2" t="s">
        <v>27</v>
      </c>
      <c r="CA2063" s="2" t="s">
        <v>663</v>
      </c>
      <c r="CB2063" s="2"/>
      <c r="CC2063" s="2" t="s">
        <v>106</v>
      </c>
      <c r="CD2063" s="2">
        <v>7500</v>
      </c>
      <c r="CE2063" s="2" t="s">
        <v>104</v>
      </c>
      <c r="CF2063" s="5">
        <v>42969</v>
      </c>
      <c r="CG2063" s="2"/>
      <c r="CH2063" s="2"/>
      <c r="CI2063" s="2">
        <v>1</v>
      </c>
      <c r="CJ2063" s="2">
        <v>1</v>
      </c>
      <c r="CK2063" s="2">
        <v>21</v>
      </c>
      <c r="CL2063" s="2" t="s">
        <v>86</v>
      </c>
      <c r="CM2063" s="2"/>
    </row>
    <row r="2064" spans="1:91">
      <c r="A2064" s="2" t="s">
        <v>71</v>
      </c>
      <c r="B2064" s="2" t="s">
        <v>72</v>
      </c>
      <c r="C2064" s="2" t="s">
        <v>73</v>
      </c>
      <c r="D2064" s="2"/>
      <c r="E2064" s="2" t="str">
        <f>"FES1162569956"</f>
        <v>FES1162569956</v>
      </c>
      <c r="F2064" s="3">
        <v>42965</v>
      </c>
      <c r="G2064" s="2">
        <v>201802</v>
      </c>
      <c r="H2064" s="2" t="s">
        <v>74</v>
      </c>
      <c r="I2064" s="2" t="s">
        <v>75</v>
      </c>
      <c r="J2064" s="2" t="s">
        <v>76</v>
      </c>
      <c r="K2064" s="2" t="s">
        <v>77</v>
      </c>
      <c r="L2064" s="2" t="s">
        <v>164</v>
      </c>
      <c r="M2064" s="2" t="s">
        <v>165</v>
      </c>
      <c r="N2064" s="2" t="s">
        <v>1191</v>
      </c>
      <c r="O2064" s="2" t="s">
        <v>100</v>
      </c>
      <c r="P2064" s="2" t="str">
        <f>"2170585737                    "</f>
        <v xml:space="preserve">2170585737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4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1</v>
      </c>
      <c r="BJ2064" s="2">
        <v>0.2</v>
      </c>
      <c r="BK2064" s="2">
        <v>1</v>
      </c>
      <c r="BL2064" s="2">
        <v>41.44</v>
      </c>
      <c r="BM2064" s="2">
        <v>5.8</v>
      </c>
      <c r="BN2064" s="2">
        <v>47.24</v>
      </c>
      <c r="BO2064" s="2">
        <v>47.24</v>
      </c>
      <c r="BP2064" s="2"/>
      <c r="BQ2064" s="2" t="s">
        <v>288</v>
      </c>
      <c r="BR2064" s="2" t="s">
        <v>84</v>
      </c>
      <c r="BS2064" s="3">
        <v>42968</v>
      </c>
      <c r="BT2064" s="4">
        <v>0.39652777777777781</v>
      </c>
      <c r="BU2064" s="2" t="s">
        <v>2630</v>
      </c>
      <c r="BV2064" s="2" t="s">
        <v>95</v>
      </c>
      <c r="BW2064" s="2"/>
      <c r="BX2064" s="2"/>
      <c r="BY2064" s="2">
        <v>1200</v>
      </c>
      <c r="BZ2064" s="2" t="s">
        <v>27</v>
      </c>
      <c r="CA2064" s="2" t="s">
        <v>2114</v>
      </c>
      <c r="CB2064" s="2"/>
      <c r="CC2064" s="2" t="s">
        <v>165</v>
      </c>
      <c r="CD2064" s="2">
        <v>6850</v>
      </c>
      <c r="CE2064" s="2" t="s">
        <v>104</v>
      </c>
      <c r="CF2064" s="5">
        <v>42970</v>
      </c>
      <c r="CG2064" s="2"/>
      <c r="CH2064" s="2"/>
      <c r="CI2064" s="2">
        <v>3</v>
      </c>
      <c r="CJ2064" s="2">
        <v>1</v>
      </c>
      <c r="CK2064" s="2">
        <v>21</v>
      </c>
      <c r="CL2064" s="2" t="s">
        <v>86</v>
      </c>
      <c r="CM2064" s="2"/>
    </row>
    <row r="2065" spans="1:91">
      <c r="A2065" s="2" t="s">
        <v>71</v>
      </c>
      <c r="B2065" s="2" t="s">
        <v>72</v>
      </c>
      <c r="C2065" s="2" t="s">
        <v>73</v>
      </c>
      <c r="D2065" s="2"/>
      <c r="E2065" s="2" t="str">
        <f>"FES1162570101"</f>
        <v>FES1162570101</v>
      </c>
      <c r="F2065" s="3">
        <v>42965</v>
      </c>
      <c r="G2065" s="2">
        <v>201802</v>
      </c>
      <c r="H2065" s="2" t="s">
        <v>74</v>
      </c>
      <c r="I2065" s="2" t="s">
        <v>75</v>
      </c>
      <c r="J2065" s="2" t="s">
        <v>76</v>
      </c>
      <c r="K2065" s="2" t="s">
        <v>77</v>
      </c>
      <c r="L2065" s="2" t="s">
        <v>237</v>
      </c>
      <c r="M2065" s="2" t="s">
        <v>238</v>
      </c>
      <c r="N2065" s="2" t="s">
        <v>239</v>
      </c>
      <c r="O2065" s="2" t="s">
        <v>100</v>
      </c>
      <c r="P2065" s="2" t="str">
        <f>"2170585891                    "</f>
        <v xml:space="preserve">2170585891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4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1</v>
      </c>
      <c r="BJ2065" s="2">
        <v>0.2</v>
      </c>
      <c r="BK2065" s="2">
        <v>1</v>
      </c>
      <c r="BL2065" s="2">
        <v>41.44</v>
      </c>
      <c r="BM2065" s="2">
        <v>5.8</v>
      </c>
      <c r="BN2065" s="2">
        <v>47.24</v>
      </c>
      <c r="BO2065" s="2">
        <v>47.24</v>
      </c>
      <c r="BP2065" s="2"/>
      <c r="BQ2065" s="2" t="s">
        <v>83</v>
      </c>
      <c r="BR2065" s="2" t="s">
        <v>84</v>
      </c>
      <c r="BS2065" s="3">
        <v>42968</v>
      </c>
      <c r="BT2065" s="4">
        <v>0.43263888888888885</v>
      </c>
      <c r="BU2065" s="2" t="s">
        <v>2631</v>
      </c>
      <c r="BV2065" s="2" t="s">
        <v>95</v>
      </c>
      <c r="BW2065" s="2"/>
      <c r="BX2065" s="2"/>
      <c r="BY2065" s="2">
        <v>1200</v>
      </c>
      <c r="BZ2065" s="2" t="s">
        <v>27</v>
      </c>
      <c r="CA2065" s="2" t="s">
        <v>672</v>
      </c>
      <c r="CB2065" s="2"/>
      <c r="CC2065" s="2" t="s">
        <v>238</v>
      </c>
      <c r="CD2065" s="2">
        <v>3610</v>
      </c>
      <c r="CE2065" s="2" t="s">
        <v>104</v>
      </c>
      <c r="CF2065" s="5">
        <v>42969</v>
      </c>
      <c r="CG2065" s="2"/>
      <c r="CH2065" s="2"/>
      <c r="CI2065" s="2">
        <v>1</v>
      </c>
      <c r="CJ2065" s="2">
        <v>1</v>
      </c>
      <c r="CK2065" s="2">
        <v>21</v>
      </c>
      <c r="CL2065" s="2" t="s">
        <v>86</v>
      </c>
      <c r="CM2065" s="2"/>
    </row>
    <row r="2066" spans="1:91">
      <c r="A2066" s="2" t="s">
        <v>71</v>
      </c>
      <c r="B2066" s="2" t="s">
        <v>72</v>
      </c>
      <c r="C2066" s="2" t="s">
        <v>73</v>
      </c>
      <c r="D2066" s="2"/>
      <c r="E2066" s="2" t="str">
        <f>"FES1162569908"</f>
        <v>FES1162569908</v>
      </c>
      <c r="F2066" s="3">
        <v>42965</v>
      </c>
      <c r="G2066" s="2">
        <v>201802</v>
      </c>
      <c r="H2066" s="2" t="s">
        <v>74</v>
      </c>
      <c r="I2066" s="2" t="s">
        <v>75</v>
      </c>
      <c r="J2066" s="2" t="s">
        <v>76</v>
      </c>
      <c r="K2066" s="2" t="s">
        <v>77</v>
      </c>
      <c r="L2066" s="2" t="s">
        <v>105</v>
      </c>
      <c r="M2066" s="2" t="s">
        <v>106</v>
      </c>
      <c r="N2066" s="2" t="s">
        <v>107</v>
      </c>
      <c r="O2066" s="2" t="s">
        <v>100</v>
      </c>
      <c r="P2066" s="2" t="str">
        <f>"2170583339                    "</f>
        <v xml:space="preserve">2170583339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4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1</v>
      </c>
      <c r="BJ2066" s="2">
        <v>0.2</v>
      </c>
      <c r="BK2066" s="2">
        <v>1</v>
      </c>
      <c r="BL2066" s="2">
        <v>41.44</v>
      </c>
      <c r="BM2066" s="2">
        <v>5.8</v>
      </c>
      <c r="BN2066" s="2">
        <v>47.24</v>
      </c>
      <c r="BO2066" s="2">
        <v>47.24</v>
      </c>
      <c r="BP2066" s="2"/>
      <c r="BQ2066" s="2" t="s">
        <v>108</v>
      </c>
      <c r="BR2066" s="2" t="s">
        <v>84</v>
      </c>
      <c r="BS2066" s="3">
        <v>42968</v>
      </c>
      <c r="BT2066" s="4">
        <v>0.40069444444444446</v>
      </c>
      <c r="BU2066" s="2" t="s">
        <v>2632</v>
      </c>
      <c r="BV2066" s="2" t="s">
        <v>95</v>
      </c>
      <c r="BW2066" s="2"/>
      <c r="BX2066" s="2"/>
      <c r="BY2066" s="2">
        <v>1200</v>
      </c>
      <c r="BZ2066" s="2" t="s">
        <v>27</v>
      </c>
      <c r="CA2066" s="2" t="s">
        <v>112</v>
      </c>
      <c r="CB2066" s="2"/>
      <c r="CC2066" s="2" t="s">
        <v>106</v>
      </c>
      <c r="CD2066" s="2">
        <v>7405</v>
      </c>
      <c r="CE2066" s="2" t="s">
        <v>104</v>
      </c>
      <c r="CF2066" s="5">
        <v>42969</v>
      </c>
      <c r="CG2066" s="2"/>
      <c r="CH2066" s="2"/>
      <c r="CI2066" s="2">
        <v>1</v>
      </c>
      <c r="CJ2066" s="2">
        <v>1</v>
      </c>
      <c r="CK2066" s="2">
        <v>21</v>
      </c>
      <c r="CL2066" s="2" t="s">
        <v>86</v>
      </c>
      <c r="CM2066" s="2"/>
    </row>
    <row r="2067" spans="1:91">
      <c r="A2067" s="2" t="s">
        <v>71</v>
      </c>
      <c r="B2067" s="2" t="s">
        <v>72</v>
      </c>
      <c r="C2067" s="2" t="s">
        <v>73</v>
      </c>
      <c r="D2067" s="2"/>
      <c r="E2067" s="2" t="str">
        <f>"FES1162570058"</f>
        <v>FES1162570058</v>
      </c>
      <c r="F2067" s="3">
        <v>42965</v>
      </c>
      <c r="G2067" s="2">
        <v>201802</v>
      </c>
      <c r="H2067" s="2" t="s">
        <v>74</v>
      </c>
      <c r="I2067" s="2" t="s">
        <v>75</v>
      </c>
      <c r="J2067" s="2" t="s">
        <v>76</v>
      </c>
      <c r="K2067" s="2" t="s">
        <v>77</v>
      </c>
      <c r="L2067" s="2" t="s">
        <v>539</v>
      </c>
      <c r="M2067" s="2" t="s">
        <v>540</v>
      </c>
      <c r="N2067" s="2" t="s">
        <v>1753</v>
      </c>
      <c r="O2067" s="2" t="s">
        <v>100</v>
      </c>
      <c r="P2067" s="2" t="str">
        <f>"2170585850                    "</f>
        <v xml:space="preserve">2170585850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3.13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1</v>
      </c>
      <c r="BI2067" s="2">
        <v>1</v>
      </c>
      <c r="BJ2067" s="2">
        <v>0.2</v>
      </c>
      <c r="BK2067" s="2">
        <v>1</v>
      </c>
      <c r="BL2067" s="2">
        <v>32.380000000000003</v>
      </c>
      <c r="BM2067" s="2">
        <v>4.53</v>
      </c>
      <c r="BN2067" s="2">
        <v>36.909999999999997</v>
      </c>
      <c r="BO2067" s="2">
        <v>36.909999999999997</v>
      </c>
      <c r="BP2067" s="2"/>
      <c r="BQ2067" s="2" t="s">
        <v>83</v>
      </c>
      <c r="BR2067" s="2" t="s">
        <v>84</v>
      </c>
      <c r="BS2067" s="3">
        <v>42968</v>
      </c>
      <c r="BT2067" s="4">
        <v>0.41666666666666669</v>
      </c>
      <c r="BU2067" s="2" t="s">
        <v>1754</v>
      </c>
      <c r="BV2067" s="2" t="s">
        <v>95</v>
      </c>
      <c r="BW2067" s="2"/>
      <c r="BX2067" s="2"/>
      <c r="BY2067" s="2">
        <v>1200</v>
      </c>
      <c r="BZ2067" s="2" t="s">
        <v>27</v>
      </c>
      <c r="CA2067" s="2" t="s">
        <v>722</v>
      </c>
      <c r="CB2067" s="2"/>
      <c r="CC2067" s="2" t="s">
        <v>540</v>
      </c>
      <c r="CD2067" s="2">
        <v>2163</v>
      </c>
      <c r="CE2067" s="2" t="s">
        <v>104</v>
      </c>
      <c r="CF2067" s="5">
        <v>42969</v>
      </c>
      <c r="CG2067" s="2"/>
      <c r="CH2067" s="2"/>
      <c r="CI2067" s="2">
        <v>1</v>
      </c>
      <c r="CJ2067" s="2">
        <v>1</v>
      </c>
      <c r="CK2067" s="2">
        <v>22</v>
      </c>
      <c r="CL2067" s="2" t="s">
        <v>86</v>
      </c>
      <c r="CM2067" s="2"/>
    </row>
    <row r="2068" spans="1:91">
      <c r="A2068" s="2" t="s">
        <v>71</v>
      </c>
      <c r="B2068" s="2" t="s">
        <v>72</v>
      </c>
      <c r="C2068" s="2" t="s">
        <v>73</v>
      </c>
      <c r="D2068" s="2"/>
      <c r="E2068" s="2" t="str">
        <f>"FES11625683690"</f>
        <v>FES11625683690</v>
      </c>
      <c r="F2068" s="3">
        <v>42965</v>
      </c>
      <c r="G2068" s="2">
        <v>201802</v>
      </c>
      <c r="H2068" s="2" t="s">
        <v>74</v>
      </c>
      <c r="I2068" s="2" t="s">
        <v>75</v>
      </c>
      <c r="J2068" s="2" t="s">
        <v>76</v>
      </c>
      <c r="K2068" s="2" t="s">
        <v>77</v>
      </c>
      <c r="L2068" s="2" t="s">
        <v>144</v>
      </c>
      <c r="M2068" s="2" t="s">
        <v>145</v>
      </c>
      <c r="N2068" s="2" t="s">
        <v>295</v>
      </c>
      <c r="O2068" s="2" t="s">
        <v>100</v>
      </c>
      <c r="P2068" s="2" t="str">
        <f>"2170583690                    "</f>
        <v xml:space="preserve">2170583690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3.13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1</v>
      </c>
      <c r="BJ2068" s="2">
        <v>0.2</v>
      </c>
      <c r="BK2068" s="2">
        <v>1</v>
      </c>
      <c r="BL2068" s="2">
        <v>32.380000000000003</v>
      </c>
      <c r="BM2068" s="2">
        <v>4.53</v>
      </c>
      <c r="BN2068" s="2">
        <v>36.909999999999997</v>
      </c>
      <c r="BO2068" s="2">
        <v>36.909999999999997</v>
      </c>
      <c r="BP2068" s="2"/>
      <c r="BQ2068" s="2" t="s">
        <v>83</v>
      </c>
      <c r="BR2068" s="2" t="s">
        <v>84</v>
      </c>
      <c r="BS2068" s="3">
        <v>42968</v>
      </c>
      <c r="BT2068" s="4">
        <v>0.4375</v>
      </c>
      <c r="BU2068" s="2" t="s">
        <v>2633</v>
      </c>
      <c r="BV2068" s="2" t="s">
        <v>95</v>
      </c>
      <c r="BW2068" s="2"/>
      <c r="BX2068" s="2"/>
      <c r="BY2068" s="2">
        <v>1200</v>
      </c>
      <c r="BZ2068" s="2" t="s">
        <v>27</v>
      </c>
      <c r="CA2068" s="2"/>
      <c r="CB2068" s="2"/>
      <c r="CC2068" s="2" t="s">
        <v>145</v>
      </c>
      <c r="CD2068" s="2">
        <v>2013</v>
      </c>
      <c r="CE2068" s="2" t="s">
        <v>104</v>
      </c>
      <c r="CF2068" s="5">
        <v>42968</v>
      </c>
      <c r="CG2068" s="2"/>
      <c r="CH2068" s="2"/>
      <c r="CI2068" s="2">
        <v>1</v>
      </c>
      <c r="CJ2068" s="2">
        <v>1</v>
      </c>
      <c r="CK2068" s="2">
        <v>22</v>
      </c>
      <c r="CL2068" s="2" t="s">
        <v>86</v>
      </c>
      <c r="CM2068" s="2"/>
    </row>
    <row r="2069" spans="1:91">
      <c r="A2069" s="2" t="s">
        <v>71</v>
      </c>
      <c r="B2069" s="2" t="s">
        <v>72</v>
      </c>
      <c r="C2069" s="2" t="s">
        <v>73</v>
      </c>
      <c r="D2069" s="2"/>
      <c r="E2069" s="2" t="str">
        <f>"FES1162569936"</f>
        <v>FES1162569936</v>
      </c>
      <c r="F2069" s="3">
        <v>42965</v>
      </c>
      <c r="G2069" s="2">
        <v>201802</v>
      </c>
      <c r="H2069" s="2" t="s">
        <v>74</v>
      </c>
      <c r="I2069" s="2" t="s">
        <v>75</v>
      </c>
      <c r="J2069" s="2" t="s">
        <v>76</v>
      </c>
      <c r="K2069" s="2" t="s">
        <v>77</v>
      </c>
      <c r="L2069" s="2" t="s">
        <v>105</v>
      </c>
      <c r="M2069" s="2" t="s">
        <v>106</v>
      </c>
      <c r="N2069" s="2" t="s">
        <v>364</v>
      </c>
      <c r="O2069" s="2" t="s">
        <v>100</v>
      </c>
      <c r="P2069" s="2" t="str">
        <f>"2170585139                    "</f>
        <v xml:space="preserve">2170585139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4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1</v>
      </c>
      <c r="BJ2069" s="2">
        <v>0.2</v>
      </c>
      <c r="BK2069" s="2">
        <v>1</v>
      </c>
      <c r="BL2069" s="2">
        <v>41.44</v>
      </c>
      <c r="BM2069" s="2">
        <v>5.8</v>
      </c>
      <c r="BN2069" s="2">
        <v>47.24</v>
      </c>
      <c r="BO2069" s="2">
        <v>47.24</v>
      </c>
      <c r="BP2069" s="2"/>
      <c r="BQ2069" s="2" t="s">
        <v>288</v>
      </c>
      <c r="BR2069" s="2" t="s">
        <v>84</v>
      </c>
      <c r="BS2069" s="3">
        <v>42968</v>
      </c>
      <c r="BT2069" s="4">
        <v>0.40625</v>
      </c>
      <c r="BU2069" s="2" t="s">
        <v>2627</v>
      </c>
      <c r="BV2069" s="2" t="s">
        <v>95</v>
      </c>
      <c r="BW2069" s="2"/>
      <c r="BX2069" s="2"/>
      <c r="BY2069" s="2">
        <v>1200</v>
      </c>
      <c r="BZ2069" s="2" t="s">
        <v>27</v>
      </c>
      <c r="CA2069" s="2" t="s">
        <v>148</v>
      </c>
      <c r="CB2069" s="2"/>
      <c r="CC2069" s="2" t="s">
        <v>106</v>
      </c>
      <c r="CD2069" s="2">
        <v>7560</v>
      </c>
      <c r="CE2069" s="2" t="s">
        <v>104</v>
      </c>
      <c r="CF2069" s="5">
        <v>42969</v>
      </c>
      <c r="CG2069" s="2"/>
      <c r="CH2069" s="2"/>
      <c r="CI2069" s="2">
        <v>1</v>
      </c>
      <c r="CJ2069" s="2">
        <v>1</v>
      </c>
      <c r="CK2069" s="2">
        <v>21</v>
      </c>
      <c r="CL2069" s="2" t="s">
        <v>86</v>
      </c>
      <c r="CM2069" s="2"/>
    </row>
    <row r="2070" spans="1:91">
      <c r="A2070" s="2" t="s">
        <v>71</v>
      </c>
      <c r="B2070" s="2" t="s">
        <v>72</v>
      </c>
      <c r="C2070" s="2" t="s">
        <v>73</v>
      </c>
      <c r="D2070" s="2"/>
      <c r="E2070" s="2" t="str">
        <f>"FES1162569969"</f>
        <v>FES1162569969</v>
      </c>
      <c r="F2070" s="3">
        <v>42965</v>
      </c>
      <c r="G2070" s="2">
        <v>201802</v>
      </c>
      <c r="H2070" s="2" t="s">
        <v>74</v>
      </c>
      <c r="I2070" s="2" t="s">
        <v>75</v>
      </c>
      <c r="J2070" s="2" t="s">
        <v>76</v>
      </c>
      <c r="K2070" s="2" t="s">
        <v>77</v>
      </c>
      <c r="L2070" s="2" t="s">
        <v>105</v>
      </c>
      <c r="M2070" s="2" t="s">
        <v>106</v>
      </c>
      <c r="N2070" s="2" t="s">
        <v>873</v>
      </c>
      <c r="O2070" s="2" t="s">
        <v>100</v>
      </c>
      <c r="P2070" s="2" t="str">
        <f>"2170585755                    "</f>
        <v xml:space="preserve">2170585755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4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1</v>
      </c>
      <c r="BI2070" s="2">
        <v>1</v>
      </c>
      <c r="BJ2070" s="2">
        <v>0.2</v>
      </c>
      <c r="BK2070" s="2">
        <v>1</v>
      </c>
      <c r="BL2070" s="2">
        <v>41.44</v>
      </c>
      <c r="BM2070" s="2">
        <v>5.8</v>
      </c>
      <c r="BN2070" s="2">
        <v>47.24</v>
      </c>
      <c r="BO2070" s="2">
        <v>47.24</v>
      </c>
      <c r="BP2070" s="2"/>
      <c r="BQ2070" s="2" t="s">
        <v>83</v>
      </c>
      <c r="BR2070" s="2" t="s">
        <v>84</v>
      </c>
      <c r="BS2070" s="3">
        <v>42968</v>
      </c>
      <c r="BT2070" s="4">
        <v>0.38819444444444445</v>
      </c>
      <c r="BU2070" s="2" t="s">
        <v>874</v>
      </c>
      <c r="BV2070" s="2" t="s">
        <v>95</v>
      </c>
      <c r="BW2070" s="2"/>
      <c r="BX2070" s="2"/>
      <c r="BY2070" s="2">
        <v>1200</v>
      </c>
      <c r="BZ2070" s="2" t="s">
        <v>27</v>
      </c>
      <c r="CA2070" s="2" t="s">
        <v>869</v>
      </c>
      <c r="CB2070" s="2"/>
      <c r="CC2070" s="2" t="s">
        <v>106</v>
      </c>
      <c r="CD2070" s="2">
        <v>7460</v>
      </c>
      <c r="CE2070" s="2" t="s">
        <v>104</v>
      </c>
      <c r="CF2070" s="5">
        <v>42969</v>
      </c>
      <c r="CG2070" s="2"/>
      <c r="CH2070" s="2"/>
      <c r="CI2070" s="2">
        <v>1</v>
      </c>
      <c r="CJ2070" s="2">
        <v>1</v>
      </c>
      <c r="CK2070" s="2">
        <v>21</v>
      </c>
      <c r="CL2070" s="2" t="s">
        <v>86</v>
      </c>
      <c r="CM2070" s="2"/>
    </row>
    <row r="2071" spans="1:91">
      <c r="A2071" s="2" t="s">
        <v>71</v>
      </c>
      <c r="B2071" s="2" t="s">
        <v>72</v>
      </c>
      <c r="C2071" s="2" t="s">
        <v>73</v>
      </c>
      <c r="D2071" s="2"/>
      <c r="E2071" s="2" t="str">
        <f>"FES1162569961"</f>
        <v>FES1162569961</v>
      </c>
      <c r="F2071" s="3">
        <v>42965</v>
      </c>
      <c r="G2071" s="2">
        <v>201802</v>
      </c>
      <c r="H2071" s="2" t="s">
        <v>74</v>
      </c>
      <c r="I2071" s="2" t="s">
        <v>75</v>
      </c>
      <c r="J2071" s="2" t="s">
        <v>76</v>
      </c>
      <c r="K2071" s="2" t="s">
        <v>77</v>
      </c>
      <c r="L2071" s="2" t="s">
        <v>268</v>
      </c>
      <c r="M2071" s="2" t="s">
        <v>269</v>
      </c>
      <c r="N2071" s="2" t="s">
        <v>1166</v>
      </c>
      <c r="O2071" s="2" t="s">
        <v>100</v>
      </c>
      <c r="P2071" s="2" t="str">
        <f>"2170585748                    "</f>
        <v xml:space="preserve">2170585748 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4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1</v>
      </c>
      <c r="BJ2071" s="2">
        <v>0.2</v>
      </c>
      <c r="BK2071" s="2">
        <v>1</v>
      </c>
      <c r="BL2071" s="2">
        <v>41.44</v>
      </c>
      <c r="BM2071" s="2">
        <v>5.8</v>
      </c>
      <c r="BN2071" s="2">
        <v>47.24</v>
      </c>
      <c r="BO2071" s="2">
        <v>47.24</v>
      </c>
      <c r="BP2071" s="2"/>
      <c r="BQ2071" s="2" t="s">
        <v>108</v>
      </c>
      <c r="BR2071" s="2" t="s">
        <v>84</v>
      </c>
      <c r="BS2071" s="3">
        <v>42968</v>
      </c>
      <c r="BT2071" s="4">
        <v>0.4548611111111111</v>
      </c>
      <c r="BU2071" s="2" t="s">
        <v>1167</v>
      </c>
      <c r="BV2071" s="2" t="s">
        <v>95</v>
      </c>
      <c r="BW2071" s="2"/>
      <c r="BX2071" s="2"/>
      <c r="BY2071" s="2">
        <v>1200</v>
      </c>
      <c r="BZ2071" s="2" t="s">
        <v>27</v>
      </c>
      <c r="CA2071" s="2"/>
      <c r="CB2071" s="2"/>
      <c r="CC2071" s="2" t="s">
        <v>269</v>
      </c>
      <c r="CD2071" s="2">
        <v>200</v>
      </c>
      <c r="CE2071" s="2" t="s">
        <v>104</v>
      </c>
      <c r="CF2071" s="5">
        <v>42969</v>
      </c>
      <c r="CG2071" s="2"/>
      <c r="CH2071" s="2"/>
      <c r="CI2071" s="2">
        <v>1</v>
      </c>
      <c r="CJ2071" s="2">
        <v>1</v>
      </c>
      <c r="CK2071" s="2">
        <v>21</v>
      </c>
      <c r="CL2071" s="2" t="s">
        <v>86</v>
      </c>
      <c r="CM2071" s="2"/>
    </row>
    <row r="2072" spans="1:91">
      <c r="A2072" s="2" t="s">
        <v>71</v>
      </c>
      <c r="B2072" s="2" t="s">
        <v>72</v>
      </c>
      <c r="C2072" s="2" t="s">
        <v>73</v>
      </c>
      <c r="D2072" s="2"/>
      <c r="E2072" s="2" t="str">
        <f>"FES1162569963"</f>
        <v>FES1162569963</v>
      </c>
      <c r="F2072" s="3">
        <v>42965</v>
      </c>
      <c r="G2072" s="2">
        <v>201802</v>
      </c>
      <c r="H2072" s="2" t="s">
        <v>74</v>
      </c>
      <c r="I2072" s="2" t="s">
        <v>75</v>
      </c>
      <c r="J2072" s="2" t="s">
        <v>76</v>
      </c>
      <c r="K2072" s="2" t="s">
        <v>77</v>
      </c>
      <c r="L2072" s="2" t="s">
        <v>268</v>
      </c>
      <c r="M2072" s="2" t="s">
        <v>269</v>
      </c>
      <c r="N2072" s="2" t="s">
        <v>1166</v>
      </c>
      <c r="O2072" s="2" t="s">
        <v>100</v>
      </c>
      <c r="P2072" s="2" t="str">
        <f>"2170585750                    "</f>
        <v xml:space="preserve">2170585750             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4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1</v>
      </c>
      <c r="BI2072" s="2">
        <v>1</v>
      </c>
      <c r="BJ2072" s="2">
        <v>0.2</v>
      </c>
      <c r="BK2072" s="2">
        <v>1</v>
      </c>
      <c r="BL2072" s="2">
        <v>41.44</v>
      </c>
      <c r="BM2072" s="2">
        <v>5.8</v>
      </c>
      <c r="BN2072" s="2">
        <v>47.24</v>
      </c>
      <c r="BO2072" s="2">
        <v>47.24</v>
      </c>
      <c r="BP2072" s="2"/>
      <c r="BQ2072" s="2" t="s">
        <v>108</v>
      </c>
      <c r="BR2072" s="2" t="s">
        <v>84</v>
      </c>
      <c r="BS2072" s="3">
        <v>42968</v>
      </c>
      <c r="BT2072" s="4">
        <v>0.4548611111111111</v>
      </c>
      <c r="BU2072" s="2" t="s">
        <v>1167</v>
      </c>
      <c r="BV2072" s="2" t="s">
        <v>95</v>
      </c>
      <c r="BW2072" s="2"/>
      <c r="BX2072" s="2"/>
      <c r="BY2072" s="2">
        <v>1200</v>
      </c>
      <c r="BZ2072" s="2" t="s">
        <v>27</v>
      </c>
      <c r="CA2072" s="2"/>
      <c r="CB2072" s="2"/>
      <c r="CC2072" s="2" t="s">
        <v>269</v>
      </c>
      <c r="CD2072" s="2">
        <v>200</v>
      </c>
      <c r="CE2072" s="2" t="s">
        <v>104</v>
      </c>
      <c r="CF2072" s="5">
        <v>42969</v>
      </c>
      <c r="CG2072" s="2"/>
      <c r="CH2072" s="2"/>
      <c r="CI2072" s="2">
        <v>1</v>
      </c>
      <c r="CJ2072" s="2">
        <v>1</v>
      </c>
      <c r="CK2072" s="2">
        <v>21</v>
      </c>
      <c r="CL2072" s="2" t="s">
        <v>86</v>
      </c>
      <c r="CM2072" s="2"/>
    </row>
    <row r="2073" spans="1:91">
      <c r="A2073" s="2" t="s">
        <v>71</v>
      </c>
      <c r="B2073" s="2" t="s">
        <v>72</v>
      </c>
      <c r="C2073" s="2" t="s">
        <v>73</v>
      </c>
      <c r="D2073" s="2"/>
      <c r="E2073" s="2" t="str">
        <f>"FES1162569912"</f>
        <v>FES1162569912</v>
      </c>
      <c r="F2073" s="3">
        <v>42965</v>
      </c>
      <c r="G2073" s="2">
        <v>201802</v>
      </c>
      <c r="H2073" s="2" t="s">
        <v>74</v>
      </c>
      <c r="I2073" s="2" t="s">
        <v>75</v>
      </c>
      <c r="J2073" s="2" t="s">
        <v>76</v>
      </c>
      <c r="K2073" s="2" t="s">
        <v>77</v>
      </c>
      <c r="L2073" s="2" t="s">
        <v>268</v>
      </c>
      <c r="M2073" s="2" t="s">
        <v>269</v>
      </c>
      <c r="N2073" s="2" t="s">
        <v>2634</v>
      </c>
      <c r="O2073" s="2" t="s">
        <v>100</v>
      </c>
      <c r="P2073" s="2" t="str">
        <f>"2170583586                    "</f>
        <v xml:space="preserve">2170583586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4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1</v>
      </c>
      <c r="BI2073" s="2">
        <v>1</v>
      </c>
      <c r="BJ2073" s="2">
        <v>0.2</v>
      </c>
      <c r="BK2073" s="2">
        <v>1</v>
      </c>
      <c r="BL2073" s="2">
        <v>41.44</v>
      </c>
      <c r="BM2073" s="2">
        <v>5.8</v>
      </c>
      <c r="BN2073" s="2">
        <v>47.24</v>
      </c>
      <c r="BO2073" s="2">
        <v>47.24</v>
      </c>
      <c r="BP2073" s="2"/>
      <c r="BQ2073" s="2" t="s">
        <v>288</v>
      </c>
      <c r="BR2073" s="2" t="s">
        <v>84</v>
      </c>
      <c r="BS2073" s="3">
        <v>42975</v>
      </c>
      <c r="BT2073" s="4">
        <v>0.59861111111111109</v>
      </c>
      <c r="BU2073" s="2" t="s">
        <v>2635</v>
      </c>
      <c r="BV2073" s="2" t="s">
        <v>86</v>
      </c>
      <c r="BW2073" s="2" t="s">
        <v>1050</v>
      </c>
      <c r="BX2073" s="2" t="s">
        <v>623</v>
      </c>
      <c r="BY2073" s="2">
        <v>1200</v>
      </c>
      <c r="BZ2073" s="2" t="s">
        <v>27</v>
      </c>
      <c r="CA2073" s="2"/>
      <c r="CB2073" s="2"/>
      <c r="CC2073" s="2" t="s">
        <v>269</v>
      </c>
      <c r="CD2073" s="2">
        <v>154</v>
      </c>
      <c r="CE2073" s="2" t="s">
        <v>104</v>
      </c>
      <c r="CF2073" s="5">
        <v>42976</v>
      </c>
      <c r="CG2073" s="2"/>
      <c r="CH2073" s="2"/>
      <c r="CI2073" s="2">
        <v>1</v>
      </c>
      <c r="CJ2073" s="2">
        <v>6</v>
      </c>
      <c r="CK2073" s="2">
        <v>21</v>
      </c>
      <c r="CL2073" s="2" t="s">
        <v>86</v>
      </c>
      <c r="CM2073" s="2"/>
    </row>
    <row r="2074" spans="1:91">
      <c r="A2074" s="2" t="s">
        <v>71</v>
      </c>
      <c r="B2074" s="2" t="s">
        <v>72</v>
      </c>
      <c r="C2074" s="2" t="s">
        <v>73</v>
      </c>
      <c r="D2074" s="2"/>
      <c r="E2074" s="2" t="str">
        <f>"FES1162569917"</f>
        <v>FES1162569917</v>
      </c>
      <c r="F2074" s="3">
        <v>42965</v>
      </c>
      <c r="G2074" s="2">
        <v>201802</v>
      </c>
      <c r="H2074" s="2" t="s">
        <v>74</v>
      </c>
      <c r="I2074" s="2" t="s">
        <v>75</v>
      </c>
      <c r="J2074" s="2" t="s">
        <v>76</v>
      </c>
      <c r="K2074" s="2" t="s">
        <v>77</v>
      </c>
      <c r="L2074" s="2" t="s">
        <v>206</v>
      </c>
      <c r="M2074" s="2" t="s">
        <v>207</v>
      </c>
      <c r="N2074" s="2" t="s">
        <v>2636</v>
      </c>
      <c r="O2074" s="2" t="s">
        <v>100</v>
      </c>
      <c r="P2074" s="2" t="str">
        <f>"2170583630                    "</f>
        <v xml:space="preserve">2170583630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5.63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1</v>
      </c>
      <c r="BJ2074" s="2">
        <v>0.2</v>
      </c>
      <c r="BK2074" s="2">
        <v>1</v>
      </c>
      <c r="BL2074" s="2">
        <v>58.28</v>
      </c>
      <c r="BM2074" s="2">
        <v>8.16</v>
      </c>
      <c r="BN2074" s="2">
        <v>66.44</v>
      </c>
      <c r="BO2074" s="2">
        <v>66.44</v>
      </c>
      <c r="BP2074" s="2"/>
      <c r="BQ2074" s="2" t="s">
        <v>209</v>
      </c>
      <c r="BR2074" s="2" t="s">
        <v>84</v>
      </c>
      <c r="BS2074" s="3">
        <v>42968</v>
      </c>
      <c r="BT2074" s="4">
        <v>0.44097222222222227</v>
      </c>
      <c r="BU2074" s="2" t="s">
        <v>1941</v>
      </c>
      <c r="BV2074" s="2" t="s">
        <v>95</v>
      </c>
      <c r="BW2074" s="2"/>
      <c r="BX2074" s="2"/>
      <c r="BY2074" s="2">
        <v>1200</v>
      </c>
      <c r="BZ2074" s="2" t="s">
        <v>27</v>
      </c>
      <c r="CA2074" s="2" t="s">
        <v>640</v>
      </c>
      <c r="CB2074" s="2"/>
      <c r="CC2074" s="2" t="s">
        <v>207</v>
      </c>
      <c r="CD2074" s="2">
        <v>250</v>
      </c>
      <c r="CE2074" s="2" t="s">
        <v>104</v>
      </c>
      <c r="CF2074" s="5">
        <v>42970</v>
      </c>
      <c r="CG2074" s="2"/>
      <c r="CH2074" s="2"/>
      <c r="CI2074" s="2">
        <v>1</v>
      </c>
      <c r="CJ2074" s="2">
        <v>1</v>
      </c>
      <c r="CK2074" s="2">
        <v>24</v>
      </c>
      <c r="CL2074" s="2" t="s">
        <v>86</v>
      </c>
      <c r="CM2074" s="2"/>
    </row>
    <row r="2075" spans="1:91">
      <c r="A2075" s="2" t="s">
        <v>71</v>
      </c>
      <c r="B2075" s="2" t="s">
        <v>72</v>
      </c>
      <c r="C2075" s="2" t="s">
        <v>73</v>
      </c>
      <c r="D2075" s="2"/>
      <c r="E2075" s="2" t="str">
        <f>"FES1162569942"</f>
        <v>FES1162569942</v>
      </c>
      <c r="F2075" s="3">
        <v>42965</v>
      </c>
      <c r="G2075" s="2">
        <v>201802</v>
      </c>
      <c r="H2075" s="2" t="s">
        <v>74</v>
      </c>
      <c r="I2075" s="2" t="s">
        <v>75</v>
      </c>
      <c r="J2075" s="2" t="s">
        <v>76</v>
      </c>
      <c r="K2075" s="2" t="s">
        <v>77</v>
      </c>
      <c r="L2075" s="2" t="s">
        <v>174</v>
      </c>
      <c r="M2075" s="2" t="s">
        <v>175</v>
      </c>
      <c r="N2075" s="2" t="s">
        <v>920</v>
      </c>
      <c r="O2075" s="2" t="s">
        <v>100</v>
      </c>
      <c r="P2075" s="2" t="str">
        <f>"2170585612                    "</f>
        <v xml:space="preserve">2170585612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4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1</v>
      </c>
      <c r="BI2075" s="2">
        <v>1</v>
      </c>
      <c r="BJ2075" s="2">
        <v>0.2</v>
      </c>
      <c r="BK2075" s="2">
        <v>1</v>
      </c>
      <c r="BL2075" s="2">
        <v>41.44</v>
      </c>
      <c r="BM2075" s="2">
        <v>5.8</v>
      </c>
      <c r="BN2075" s="2">
        <v>47.24</v>
      </c>
      <c r="BO2075" s="2">
        <v>47.24</v>
      </c>
      <c r="BP2075" s="2"/>
      <c r="BQ2075" s="2" t="s">
        <v>108</v>
      </c>
      <c r="BR2075" s="2" t="s">
        <v>84</v>
      </c>
      <c r="BS2075" s="3">
        <v>42968</v>
      </c>
      <c r="BT2075" s="4">
        <v>0.33333333333333331</v>
      </c>
      <c r="BU2075" s="2" t="s">
        <v>921</v>
      </c>
      <c r="BV2075" s="2" t="s">
        <v>95</v>
      </c>
      <c r="BW2075" s="2"/>
      <c r="BX2075" s="2"/>
      <c r="BY2075" s="2">
        <v>1200</v>
      </c>
      <c r="BZ2075" s="2" t="s">
        <v>27</v>
      </c>
      <c r="CA2075" s="2"/>
      <c r="CB2075" s="2"/>
      <c r="CC2075" s="2" t="s">
        <v>175</v>
      </c>
      <c r="CD2075" s="2">
        <v>5201</v>
      </c>
      <c r="CE2075" s="2" t="s">
        <v>104</v>
      </c>
      <c r="CF2075" s="5">
        <v>42969</v>
      </c>
      <c r="CG2075" s="2"/>
      <c r="CH2075" s="2"/>
      <c r="CI2075" s="2">
        <v>1</v>
      </c>
      <c r="CJ2075" s="2">
        <v>1</v>
      </c>
      <c r="CK2075" s="2">
        <v>21</v>
      </c>
      <c r="CL2075" s="2" t="s">
        <v>86</v>
      </c>
      <c r="CM2075" s="2"/>
    </row>
    <row r="2076" spans="1:91">
      <c r="A2076" s="2" t="s">
        <v>71</v>
      </c>
      <c r="B2076" s="2" t="s">
        <v>72</v>
      </c>
      <c r="C2076" s="2" t="s">
        <v>73</v>
      </c>
      <c r="D2076" s="2"/>
      <c r="E2076" s="2" t="str">
        <f>"FES11625670125"</f>
        <v>FES11625670125</v>
      </c>
      <c r="F2076" s="3">
        <v>42965</v>
      </c>
      <c r="G2076" s="2">
        <v>201802</v>
      </c>
      <c r="H2076" s="2" t="s">
        <v>74</v>
      </c>
      <c r="I2076" s="2" t="s">
        <v>75</v>
      </c>
      <c r="J2076" s="2" t="s">
        <v>76</v>
      </c>
      <c r="K2076" s="2" t="s">
        <v>77</v>
      </c>
      <c r="L2076" s="2" t="s">
        <v>74</v>
      </c>
      <c r="M2076" s="2" t="s">
        <v>75</v>
      </c>
      <c r="N2076" s="2" t="s">
        <v>407</v>
      </c>
      <c r="O2076" s="2" t="s">
        <v>100</v>
      </c>
      <c r="P2076" s="2" t="str">
        <f>"2170585910                    "</f>
        <v xml:space="preserve">2170585910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3.13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1</v>
      </c>
      <c r="BJ2076" s="2">
        <v>0.2</v>
      </c>
      <c r="BK2076" s="2">
        <v>1</v>
      </c>
      <c r="BL2076" s="2">
        <v>32.380000000000003</v>
      </c>
      <c r="BM2076" s="2">
        <v>4.53</v>
      </c>
      <c r="BN2076" s="2">
        <v>36.909999999999997</v>
      </c>
      <c r="BO2076" s="2">
        <v>36.909999999999997</v>
      </c>
      <c r="BP2076" s="2"/>
      <c r="BQ2076" s="2" t="s">
        <v>108</v>
      </c>
      <c r="BR2076" s="2" t="s">
        <v>84</v>
      </c>
      <c r="BS2076" s="3">
        <v>42968</v>
      </c>
      <c r="BT2076" s="4">
        <v>0.33333333333333331</v>
      </c>
      <c r="BU2076" s="2" t="s">
        <v>935</v>
      </c>
      <c r="BV2076" s="2" t="s">
        <v>95</v>
      </c>
      <c r="BW2076" s="2"/>
      <c r="BX2076" s="2"/>
      <c r="BY2076" s="2">
        <v>1200</v>
      </c>
      <c r="BZ2076" s="2" t="s">
        <v>27</v>
      </c>
      <c r="CA2076" s="2"/>
      <c r="CB2076" s="2"/>
      <c r="CC2076" s="2" t="s">
        <v>75</v>
      </c>
      <c r="CD2076" s="2">
        <v>1645</v>
      </c>
      <c r="CE2076" s="2" t="s">
        <v>104</v>
      </c>
      <c r="CF2076" s="2"/>
      <c r="CG2076" s="2"/>
      <c r="CH2076" s="2"/>
      <c r="CI2076" s="2">
        <v>1</v>
      </c>
      <c r="CJ2076" s="2">
        <v>1</v>
      </c>
      <c r="CK2076" s="2">
        <v>22</v>
      </c>
      <c r="CL2076" s="2" t="s">
        <v>86</v>
      </c>
      <c r="CM2076" s="2"/>
    </row>
    <row r="2077" spans="1:91">
      <c r="A2077" s="2" t="s">
        <v>71</v>
      </c>
      <c r="B2077" s="2" t="s">
        <v>72</v>
      </c>
      <c r="C2077" s="2" t="s">
        <v>73</v>
      </c>
      <c r="D2077" s="2"/>
      <c r="E2077" s="2" t="str">
        <f>"FES1162569952"</f>
        <v>FES1162569952</v>
      </c>
      <c r="F2077" s="3">
        <v>42965</v>
      </c>
      <c r="G2077" s="2">
        <v>201802</v>
      </c>
      <c r="H2077" s="2" t="s">
        <v>74</v>
      </c>
      <c r="I2077" s="2" t="s">
        <v>75</v>
      </c>
      <c r="J2077" s="2" t="s">
        <v>76</v>
      </c>
      <c r="K2077" s="2" t="s">
        <v>77</v>
      </c>
      <c r="L2077" s="2" t="s">
        <v>237</v>
      </c>
      <c r="M2077" s="2" t="s">
        <v>238</v>
      </c>
      <c r="N2077" s="2" t="s">
        <v>837</v>
      </c>
      <c r="O2077" s="2" t="s">
        <v>100</v>
      </c>
      <c r="P2077" s="2" t="str">
        <f>"2170585723                    "</f>
        <v xml:space="preserve">2170585723  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4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1</v>
      </c>
      <c r="BI2077" s="2">
        <v>1</v>
      </c>
      <c r="BJ2077" s="2">
        <v>0.2</v>
      </c>
      <c r="BK2077" s="2">
        <v>1</v>
      </c>
      <c r="BL2077" s="2">
        <v>41.44</v>
      </c>
      <c r="BM2077" s="2">
        <v>5.8</v>
      </c>
      <c r="BN2077" s="2">
        <v>47.24</v>
      </c>
      <c r="BO2077" s="2">
        <v>47.24</v>
      </c>
      <c r="BP2077" s="2"/>
      <c r="BQ2077" s="2" t="s">
        <v>288</v>
      </c>
      <c r="BR2077" s="2" t="s">
        <v>84</v>
      </c>
      <c r="BS2077" s="3">
        <v>42968</v>
      </c>
      <c r="BT2077" s="4">
        <v>0.41597222222222219</v>
      </c>
      <c r="BU2077" s="2" t="s">
        <v>2637</v>
      </c>
      <c r="BV2077" s="2" t="s">
        <v>95</v>
      </c>
      <c r="BW2077" s="2"/>
      <c r="BX2077" s="2"/>
      <c r="BY2077" s="2">
        <v>1200</v>
      </c>
      <c r="BZ2077" s="2" t="s">
        <v>27</v>
      </c>
      <c r="CA2077" s="2" t="s">
        <v>2638</v>
      </c>
      <c r="CB2077" s="2"/>
      <c r="CC2077" s="2" t="s">
        <v>238</v>
      </c>
      <c r="CD2077" s="2">
        <v>4037</v>
      </c>
      <c r="CE2077" s="2" t="s">
        <v>104</v>
      </c>
      <c r="CF2077" s="5">
        <v>42969</v>
      </c>
      <c r="CG2077" s="2"/>
      <c r="CH2077" s="2"/>
      <c r="CI2077" s="2">
        <v>1</v>
      </c>
      <c r="CJ2077" s="2">
        <v>1</v>
      </c>
      <c r="CK2077" s="2">
        <v>21</v>
      </c>
      <c r="CL2077" s="2" t="s">
        <v>86</v>
      </c>
      <c r="CM2077" s="2"/>
    </row>
    <row r="2078" spans="1:91">
      <c r="A2078" s="2" t="s">
        <v>71</v>
      </c>
      <c r="B2078" s="2" t="s">
        <v>72</v>
      </c>
      <c r="C2078" s="2" t="s">
        <v>73</v>
      </c>
      <c r="D2078" s="2"/>
      <c r="E2078" s="2" t="str">
        <f>"FES1162569987"</f>
        <v>FES1162569987</v>
      </c>
      <c r="F2078" s="3">
        <v>42965</v>
      </c>
      <c r="G2078" s="2">
        <v>201802</v>
      </c>
      <c r="H2078" s="2" t="s">
        <v>74</v>
      </c>
      <c r="I2078" s="2" t="s">
        <v>75</v>
      </c>
      <c r="J2078" s="2" t="s">
        <v>76</v>
      </c>
      <c r="K2078" s="2" t="s">
        <v>77</v>
      </c>
      <c r="L2078" s="2" t="s">
        <v>362</v>
      </c>
      <c r="M2078" s="2" t="s">
        <v>363</v>
      </c>
      <c r="N2078" s="2" t="s">
        <v>1786</v>
      </c>
      <c r="O2078" s="2" t="s">
        <v>100</v>
      </c>
      <c r="P2078" s="2" t="str">
        <f>"2170585771                    "</f>
        <v xml:space="preserve">2170585771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4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</v>
      </c>
      <c r="BJ2078" s="2">
        <v>0.2</v>
      </c>
      <c r="BK2078" s="2">
        <v>1</v>
      </c>
      <c r="BL2078" s="2">
        <v>41.44</v>
      </c>
      <c r="BM2078" s="2">
        <v>5.8</v>
      </c>
      <c r="BN2078" s="2">
        <v>47.24</v>
      </c>
      <c r="BO2078" s="2">
        <v>47.24</v>
      </c>
      <c r="BP2078" s="2"/>
      <c r="BQ2078" s="2" t="s">
        <v>288</v>
      </c>
      <c r="BR2078" s="2" t="s">
        <v>84</v>
      </c>
      <c r="BS2078" s="3">
        <v>42968</v>
      </c>
      <c r="BT2078" s="4">
        <v>0.40277777777777773</v>
      </c>
      <c r="BU2078" s="2" t="s">
        <v>2639</v>
      </c>
      <c r="BV2078" s="2" t="s">
        <v>95</v>
      </c>
      <c r="BW2078" s="2"/>
      <c r="BX2078" s="2"/>
      <c r="BY2078" s="2">
        <v>1200</v>
      </c>
      <c r="BZ2078" s="2" t="s">
        <v>27</v>
      </c>
      <c r="CA2078" s="2" t="s">
        <v>379</v>
      </c>
      <c r="CB2078" s="2"/>
      <c r="CC2078" s="2" t="s">
        <v>363</v>
      </c>
      <c r="CD2078" s="2">
        <v>3201</v>
      </c>
      <c r="CE2078" s="2" t="s">
        <v>104</v>
      </c>
      <c r="CF2078" s="5">
        <v>42969</v>
      </c>
      <c r="CG2078" s="2"/>
      <c r="CH2078" s="2"/>
      <c r="CI2078" s="2">
        <v>1</v>
      </c>
      <c r="CJ2078" s="2">
        <v>1</v>
      </c>
      <c r="CK2078" s="2">
        <v>21</v>
      </c>
      <c r="CL2078" s="2" t="s">
        <v>86</v>
      </c>
      <c r="CM2078" s="2"/>
    </row>
    <row r="2079" spans="1:91">
      <c r="A2079" s="2" t="s">
        <v>71</v>
      </c>
      <c r="B2079" s="2" t="s">
        <v>72</v>
      </c>
      <c r="C2079" s="2" t="s">
        <v>73</v>
      </c>
      <c r="D2079" s="2"/>
      <c r="E2079" s="2" t="str">
        <f>"FES1162569983"</f>
        <v>FES1162569983</v>
      </c>
      <c r="F2079" s="3">
        <v>42965</v>
      </c>
      <c r="G2079" s="2">
        <v>201802</v>
      </c>
      <c r="H2079" s="2" t="s">
        <v>74</v>
      </c>
      <c r="I2079" s="2" t="s">
        <v>75</v>
      </c>
      <c r="J2079" s="2" t="s">
        <v>76</v>
      </c>
      <c r="K2079" s="2" t="s">
        <v>77</v>
      </c>
      <c r="L2079" s="2" t="s">
        <v>237</v>
      </c>
      <c r="M2079" s="2" t="s">
        <v>238</v>
      </c>
      <c r="N2079" s="2" t="s">
        <v>571</v>
      </c>
      <c r="O2079" s="2" t="s">
        <v>100</v>
      </c>
      <c r="P2079" s="2" t="str">
        <f>"2170585765                    "</f>
        <v xml:space="preserve">2170585765 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4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1</v>
      </c>
      <c r="BJ2079" s="2">
        <v>0.2</v>
      </c>
      <c r="BK2079" s="2">
        <v>1</v>
      </c>
      <c r="BL2079" s="2">
        <v>41.44</v>
      </c>
      <c r="BM2079" s="2">
        <v>5.8</v>
      </c>
      <c r="BN2079" s="2">
        <v>47.24</v>
      </c>
      <c r="BO2079" s="2">
        <v>47.24</v>
      </c>
      <c r="BP2079" s="2"/>
      <c r="BQ2079" s="2" t="s">
        <v>572</v>
      </c>
      <c r="BR2079" s="2" t="s">
        <v>84</v>
      </c>
      <c r="BS2079" s="3">
        <v>42968</v>
      </c>
      <c r="BT2079" s="4">
        <v>0.35972222222222222</v>
      </c>
      <c r="BU2079" s="2" t="s">
        <v>2640</v>
      </c>
      <c r="BV2079" s="2" t="s">
        <v>95</v>
      </c>
      <c r="BW2079" s="2"/>
      <c r="BX2079" s="2"/>
      <c r="BY2079" s="2">
        <v>1200</v>
      </c>
      <c r="BZ2079" s="2" t="s">
        <v>27</v>
      </c>
      <c r="CA2079" s="2" t="s">
        <v>2641</v>
      </c>
      <c r="CB2079" s="2"/>
      <c r="CC2079" s="2" t="s">
        <v>238</v>
      </c>
      <c r="CD2079" s="2">
        <v>3610</v>
      </c>
      <c r="CE2079" s="2" t="s">
        <v>104</v>
      </c>
      <c r="CF2079" s="5">
        <v>42969</v>
      </c>
      <c r="CG2079" s="2"/>
      <c r="CH2079" s="2"/>
      <c r="CI2079" s="2">
        <v>1</v>
      </c>
      <c r="CJ2079" s="2">
        <v>1</v>
      </c>
      <c r="CK2079" s="2">
        <v>21</v>
      </c>
      <c r="CL2079" s="2" t="s">
        <v>86</v>
      </c>
      <c r="CM2079" s="2"/>
    </row>
    <row r="2080" spans="1:91">
      <c r="A2080" s="2" t="s">
        <v>71</v>
      </c>
      <c r="B2080" s="2" t="s">
        <v>72</v>
      </c>
      <c r="C2080" s="2" t="s">
        <v>73</v>
      </c>
      <c r="D2080" s="2"/>
      <c r="E2080" s="2" t="str">
        <f>"FES1162570110"</f>
        <v>FES1162570110</v>
      </c>
      <c r="F2080" s="3">
        <v>42965</v>
      </c>
      <c r="G2080" s="2">
        <v>201802</v>
      </c>
      <c r="H2080" s="2" t="s">
        <v>74</v>
      </c>
      <c r="I2080" s="2" t="s">
        <v>75</v>
      </c>
      <c r="J2080" s="2" t="s">
        <v>76</v>
      </c>
      <c r="K2080" s="2" t="s">
        <v>77</v>
      </c>
      <c r="L2080" s="2" t="s">
        <v>268</v>
      </c>
      <c r="M2080" s="2" t="s">
        <v>269</v>
      </c>
      <c r="N2080" s="2" t="s">
        <v>1166</v>
      </c>
      <c r="O2080" s="2" t="s">
        <v>100</v>
      </c>
      <c r="P2080" s="2" t="str">
        <f>"2170585894                    "</f>
        <v xml:space="preserve">2170585894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6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3</v>
      </c>
      <c r="BJ2080" s="2">
        <v>0.2</v>
      </c>
      <c r="BK2080" s="2">
        <v>3</v>
      </c>
      <c r="BL2080" s="2">
        <v>62.16</v>
      </c>
      <c r="BM2080" s="2">
        <v>8.6999999999999993</v>
      </c>
      <c r="BN2080" s="2">
        <v>70.86</v>
      </c>
      <c r="BO2080" s="2">
        <v>70.86</v>
      </c>
      <c r="BP2080" s="2"/>
      <c r="BQ2080" s="2" t="s">
        <v>108</v>
      </c>
      <c r="BR2080" s="2" t="s">
        <v>84</v>
      </c>
      <c r="BS2080" s="3">
        <v>42968</v>
      </c>
      <c r="BT2080" s="4">
        <v>0.4548611111111111</v>
      </c>
      <c r="BU2080" s="2" t="s">
        <v>1167</v>
      </c>
      <c r="BV2080" s="2" t="s">
        <v>95</v>
      </c>
      <c r="BW2080" s="2"/>
      <c r="BX2080" s="2"/>
      <c r="BY2080" s="2">
        <v>1200</v>
      </c>
      <c r="BZ2080" s="2" t="s">
        <v>27</v>
      </c>
      <c r="CA2080" s="2"/>
      <c r="CB2080" s="2"/>
      <c r="CC2080" s="2" t="s">
        <v>269</v>
      </c>
      <c r="CD2080" s="2">
        <v>200</v>
      </c>
      <c r="CE2080" s="2" t="s">
        <v>104</v>
      </c>
      <c r="CF2080" s="5">
        <v>42969</v>
      </c>
      <c r="CG2080" s="2"/>
      <c r="CH2080" s="2"/>
      <c r="CI2080" s="2">
        <v>1</v>
      </c>
      <c r="CJ2080" s="2">
        <v>1</v>
      </c>
      <c r="CK2080" s="2">
        <v>21</v>
      </c>
      <c r="CL2080" s="2" t="s">
        <v>86</v>
      </c>
      <c r="CM2080" s="2"/>
    </row>
    <row r="2081" spans="1:91">
      <c r="A2081" s="2" t="s">
        <v>71</v>
      </c>
      <c r="B2081" s="2" t="s">
        <v>72</v>
      </c>
      <c r="C2081" s="2" t="s">
        <v>73</v>
      </c>
      <c r="D2081" s="2"/>
      <c r="E2081" s="2" t="str">
        <f>"FES1162563314"</f>
        <v>FES1162563314</v>
      </c>
      <c r="F2081" s="3">
        <v>42965</v>
      </c>
      <c r="G2081" s="2">
        <v>201802</v>
      </c>
      <c r="H2081" s="2" t="s">
        <v>74</v>
      </c>
      <c r="I2081" s="2" t="s">
        <v>75</v>
      </c>
      <c r="J2081" s="2" t="s">
        <v>76</v>
      </c>
      <c r="K2081" s="2" t="s">
        <v>77</v>
      </c>
      <c r="L2081" s="2" t="s">
        <v>268</v>
      </c>
      <c r="M2081" s="2" t="s">
        <v>269</v>
      </c>
      <c r="N2081" s="2" t="s">
        <v>2642</v>
      </c>
      <c r="O2081" s="2" t="s">
        <v>100</v>
      </c>
      <c r="P2081" s="2" t="str">
        <f>"2170579372                    "</f>
        <v xml:space="preserve">2170579372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4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1</v>
      </c>
      <c r="BJ2081" s="2">
        <v>0.2</v>
      </c>
      <c r="BK2081" s="2">
        <v>1</v>
      </c>
      <c r="BL2081" s="2">
        <v>41.44</v>
      </c>
      <c r="BM2081" s="2">
        <v>5.8</v>
      </c>
      <c r="BN2081" s="2">
        <v>47.24</v>
      </c>
      <c r="BO2081" s="2">
        <v>47.24</v>
      </c>
      <c r="BP2081" s="2"/>
      <c r="BQ2081" s="2" t="s">
        <v>209</v>
      </c>
      <c r="BR2081" s="2" t="s">
        <v>84</v>
      </c>
      <c r="BS2081" s="3">
        <v>42968</v>
      </c>
      <c r="BT2081" s="4">
        <v>0.50902777777777775</v>
      </c>
      <c r="BU2081" s="2" t="s">
        <v>2643</v>
      </c>
      <c r="BV2081" s="2" t="s">
        <v>86</v>
      </c>
      <c r="BW2081" s="2" t="s">
        <v>110</v>
      </c>
      <c r="BX2081" s="2" t="s">
        <v>623</v>
      </c>
      <c r="BY2081" s="2">
        <v>1200</v>
      </c>
      <c r="BZ2081" s="2" t="s">
        <v>27</v>
      </c>
      <c r="CA2081" s="2"/>
      <c r="CB2081" s="2"/>
      <c r="CC2081" s="2" t="s">
        <v>269</v>
      </c>
      <c r="CD2081" s="2">
        <v>84</v>
      </c>
      <c r="CE2081" s="2" t="s">
        <v>104</v>
      </c>
      <c r="CF2081" s="5">
        <v>42969</v>
      </c>
      <c r="CG2081" s="2"/>
      <c r="CH2081" s="2"/>
      <c r="CI2081" s="2">
        <v>1</v>
      </c>
      <c r="CJ2081" s="2">
        <v>1</v>
      </c>
      <c r="CK2081" s="2">
        <v>21</v>
      </c>
      <c r="CL2081" s="2" t="s">
        <v>86</v>
      </c>
      <c r="CM2081" s="2"/>
    </row>
    <row r="2082" spans="1:91">
      <c r="A2082" s="2" t="s">
        <v>71</v>
      </c>
      <c r="B2082" s="2" t="s">
        <v>72</v>
      </c>
      <c r="C2082" s="2" t="s">
        <v>73</v>
      </c>
      <c r="D2082" s="2"/>
      <c r="E2082" s="2" t="str">
        <f>"FES1162570137"</f>
        <v>FES1162570137</v>
      </c>
      <c r="F2082" s="3">
        <v>42965</v>
      </c>
      <c r="G2082" s="2">
        <v>201802</v>
      </c>
      <c r="H2082" s="2" t="s">
        <v>74</v>
      </c>
      <c r="I2082" s="2" t="s">
        <v>75</v>
      </c>
      <c r="J2082" s="2" t="s">
        <v>76</v>
      </c>
      <c r="K2082" s="2" t="s">
        <v>77</v>
      </c>
      <c r="L2082" s="2" t="s">
        <v>137</v>
      </c>
      <c r="M2082" s="2" t="s">
        <v>138</v>
      </c>
      <c r="N2082" s="2" t="s">
        <v>544</v>
      </c>
      <c r="O2082" s="2" t="s">
        <v>100</v>
      </c>
      <c r="P2082" s="2" t="str">
        <f>"2170583777                    "</f>
        <v xml:space="preserve">2170583777 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4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41.44</v>
      </c>
      <c r="BM2082" s="2">
        <v>5.8</v>
      </c>
      <c r="BN2082" s="2">
        <v>47.24</v>
      </c>
      <c r="BO2082" s="2">
        <v>47.24</v>
      </c>
      <c r="BP2082" s="2"/>
      <c r="BQ2082" s="2" t="s">
        <v>227</v>
      </c>
      <c r="BR2082" s="2" t="s">
        <v>84</v>
      </c>
      <c r="BS2082" s="3">
        <v>42968</v>
      </c>
      <c r="BT2082" s="4">
        <v>0.3833333333333333</v>
      </c>
      <c r="BU2082" s="2" t="s">
        <v>392</v>
      </c>
      <c r="BV2082" s="2" t="s">
        <v>95</v>
      </c>
      <c r="BW2082" s="2"/>
      <c r="BX2082" s="2"/>
      <c r="BY2082" s="2">
        <v>1200</v>
      </c>
      <c r="BZ2082" s="2" t="s">
        <v>27</v>
      </c>
      <c r="CA2082" s="2"/>
      <c r="CB2082" s="2"/>
      <c r="CC2082" s="2" t="s">
        <v>138</v>
      </c>
      <c r="CD2082" s="2">
        <v>157</v>
      </c>
      <c r="CE2082" s="2" t="s">
        <v>104</v>
      </c>
      <c r="CF2082" s="5">
        <v>42969</v>
      </c>
      <c r="CG2082" s="2"/>
      <c r="CH2082" s="2"/>
      <c r="CI2082" s="2">
        <v>1</v>
      </c>
      <c r="CJ2082" s="2">
        <v>1</v>
      </c>
      <c r="CK2082" s="2">
        <v>21</v>
      </c>
      <c r="CL2082" s="2" t="s">
        <v>86</v>
      </c>
      <c r="CM2082" s="2"/>
    </row>
    <row r="2083" spans="1:91">
      <c r="A2083" s="2" t="s">
        <v>71</v>
      </c>
      <c r="B2083" s="2" t="s">
        <v>72</v>
      </c>
      <c r="C2083" s="2" t="s">
        <v>73</v>
      </c>
      <c r="D2083" s="2"/>
      <c r="E2083" s="2" t="str">
        <f>"FES1162570098"</f>
        <v>FES1162570098</v>
      </c>
      <c r="F2083" s="3">
        <v>42965</v>
      </c>
      <c r="G2083" s="2">
        <v>201802</v>
      </c>
      <c r="H2083" s="2" t="s">
        <v>74</v>
      </c>
      <c r="I2083" s="2" t="s">
        <v>75</v>
      </c>
      <c r="J2083" s="2" t="s">
        <v>76</v>
      </c>
      <c r="K2083" s="2" t="s">
        <v>77</v>
      </c>
      <c r="L2083" s="2" t="s">
        <v>306</v>
      </c>
      <c r="M2083" s="2" t="s">
        <v>307</v>
      </c>
      <c r="N2083" s="2" t="s">
        <v>2644</v>
      </c>
      <c r="O2083" s="2" t="s">
        <v>100</v>
      </c>
      <c r="P2083" s="2" t="str">
        <f>"2170585887                    "</f>
        <v xml:space="preserve">2170585887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4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1</v>
      </c>
      <c r="BJ2083" s="2">
        <v>0.2</v>
      </c>
      <c r="BK2083" s="2">
        <v>1</v>
      </c>
      <c r="BL2083" s="2">
        <v>41.44</v>
      </c>
      <c r="BM2083" s="2">
        <v>5.8</v>
      </c>
      <c r="BN2083" s="2">
        <v>47.24</v>
      </c>
      <c r="BO2083" s="2">
        <v>47.24</v>
      </c>
      <c r="BP2083" s="2"/>
      <c r="BQ2083" s="2" t="s">
        <v>227</v>
      </c>
      <c r="BR2083" s="2" t="s">
        <v>84</v>
      </c>
      <c r="BS2083" s="3">
        <v>42968</v>
      </c>
      <c r="BT2083" s="4">
        <v>0.50694444444444442</v>
      </c>
      <c r="BU2083" s="2" t="s">
        <v>2645</v>
      </c>
      <c r="BV2083" s="2" t="s">
        <v>86</v>
      </c>
      <c r="BW2083" s="2"/>
      <c r="BX2083" s="2"/>
      <c r="BY2083" s="2">
        <v>1200</v>
      </c>
      <c r="BZ2083" s="2" t="s">
        <v>27</v>
      </c>
      <c r="CA2083" s="2"/>
      <c r="CB2083" s="2"/>
      <c r="CC2083" s="2" t="s">
        <v>307</v>
      </c>
      <c r="CD2083" s="2">
        <v>1871</v>
      </c>
      <c r="CE2083" s="2" t="s">
        <v>104</v>
      </c>
      <c r="CF2083" s="5">
        <v>42969</v>
      </c>
      <c r="CG2083" s="2"/>
      <c r="CH2083" s="2"/>
      <c r="CI2083" s="2">
        <v>1</v>
      </c>
      <c r="CJ2083" s="2">
        <v>1</v>
      </c>
      <c r="CK2083" s="2">
        <v>21</v>
      </c>
      <c r="CL2083" s="2" t="s">
        <v>86</v>
      </c>
      <c r="CM2083" s="2"/>
    </row>
    <row r="2084" spans="1:91">
      <c r="A2084" s="2" t="s">
        <v>71</v>
      </c>
      <c r="B2084" s="2" t="s">
        <v>72</v>
      </c>
      <c r="C2084" s="2" t="s">
        <v>73</v>
      </c>
      <c r="D2084" s="2"/>
      <c r="E2084" s="2" t="str">
        <f>"FES1162570093"</f>
        <v>FES1162570093</v>
      </c>
      <c r="F2084" s="3">
        <v>42965</v>
      </c>
      <c r="G2084" s="2">
        <v>201802</v>
      </c>
      <c r="H2084" s="2" t="s">
        <v>74</v>
      </c>
      <c r="I2084" s="2" t="s">
        <v>75</v>
      </c>
      <c r="J2084" s="2" t="s">
        <v>76</v>
      </c>
      <c r="K2084" s="2" t="s">
        <v>77</v>
      </c>
      <c r="L2084" s="2" t="s">
        <v>137</v>
      </c>
      <c r="M2084" s="2" t="s">
        <v>138</v>
      </c>
      <c r="N2084" s="2" t="s">
        <v>976</v>
      </c>
      <c r="O2084" s="2" t="s">
        <v>100</v>
      </c>
      <c r="P2084" s="2" t="str">
        <f>"2170585879                    "</f>
        <v xml:space="preserve">2170585879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4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1</v>
      </c>
      <c r="BJ2084" s="2">
        <v>0.2</v>
      </c>
      <c r="BK2084" s="2">
        <v>1</v>
      </c>
      <c r="BL2084" s="2">
        <v>41.44</v>
      </c>
      <c r="BM2084" s="2">
        <v>5.8</v>
      </c>
      <c r="BN2084" s="2">
        <v>47.24</v>
      </c>
      <c r="BO2084" s="2">
        <v>47.24</v>
      </c>
      <c r="BP2084" s="2"/>
      <c r="BQ2084" s="2" t="s">
        <v>227</v>
      </c>
      <c r="BR2084" s="2" t="s">
        <v>84</v>
      </c>
      <c r="BS2084" s="3">
        <v>42970</v>
      </c>
      <c r="BT2084" s="4">
        <v>0.59722222222222221</v>
      </c>
      <c r="BU2084" s="2" t="s">
        <v>491</v>
      </c>
      <c r="BV2084" s="2" t="s">
        <v>86</v>
      </c>
      <c r="BW2084" s="2"/>
      <c r="BX2084" s="2"/>
      <c r="BY2084" s="2">
        <v>1200</v>
      </c>
      <c r="BZ2084" s="2" t="s">
        <v>27</v>
      </c>
      <c r="CA2084" s="2"/>
      <c r="CB2084" s="2"/>
      <c r="CC2084" s="2" t="s">
        <v>138</v>
      </c>
      <c r="CD2084" s="2">
        <v>157</v>
      </c>
      <c r="CE2084" s="2" t="s">
        <v>104</v>
      </c>
      <c r="CF2084" s="5">
        <v>42971</v>
      </c>
      <c r="CG2084" s="2"/>
      <c r="CH2084" s="2"/>
      <c r="CI2084" s="2">
        <v>1</v>
      </c>
      <c r="CJ2084" s="2">
        <v>3</v>
      </c>
      <c r="CK2084" s="2">
        <v>21</v>
      </c>
      <c r="CL2084" s="2" t="s">
        <v>86</v>
      </c>
      <c r="CM2084" s="2"/>
    </row>
    <row r="2085" spans="1:91">
      <c r="A2085" s="2" t="s">
        <v>71</v>
      </c>
      <c r="B2085" s="2" t="s">
        <v>72</v>
      </c>
      <c r="C2085" s="2" t="s">
        <v>73</v>
      </c>
      <c r="D2085" s="2"/>
      <c r="E2085" s="2" t="str">
        <f>"FES1162570024"</f>
        <v>FES1162570024</v>
      </c>
      <c r="F2085" s="3">
        <v>42965</v>
      </c>
      <c r="G2085" s="2">
        <v>201802</v>
      </c>
      <c r="H2085" s="2" t="s">
        <v>74</v>
      </c>
      <c r="I2085" s="2" t="s">
        <v>75</v>
      </c>
      <c r="J2085" s="2" t="s">
        <v>76</v>
      </c>
      <c r="K2085" s="2" t="s">
        <v>77</v>
      </c>
      <c r="L2085" s="2" t="s">
        <v>417</v>
      </c>
      <c r="M2085" s="2" t="s">
        <v>417</v>
      </c>
      <c r="N2085" s="2" t="s">
        <v>475</v>
      </c>
      <c r="O2085" s="2" t="s">
        <v>100</v>
      </c>
      <c r="P2085" s="2" t="str">
        <f>"2170585808                    "</f>
        <v xml:space="preserve">2170585808  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4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1</v>
      </c>
      <c r="BJ2085" s="2">
        <v>0.2</v>
      </c>
      <c r="BK2085" s="2">
        <v>1</v>
      </c>
      <c r="BL2085" s="2">
        <v>41.44</v>
      </c>
      <c r="BM2085" s="2">
        <v>5.8</v>
      </c>
      <c r="BN2085" s="2">
        <v>47.24</v>
      </c>
      <c r="BO2085" s="2">
        <v>47.24</v>
      </c>
      <c r="BP2085" s="2"/>
      <c r="BQ2085" s="2" t="s">
        <v>108</v>
      </c>
      <c r="BR2085" s="2" t="s">
        <v>84</v>
      </c>
      <c r="BS2085" s="3">
        <v>42968</v>
      </c>
      <c r="BT2085" s="4">
        <v>0.48958333333333331</v>
      </c>
      <c r="BU2085" s="2" t="s">
        <v>866</v>
      </c>
      <c r="BV2085" s="2" t="s">
        <v>95</v>
      </c>
      <c r="BW2085" s="2"/>
      <c r="BX2085" s="2"/>
      <c r="BY2085" s="2">
        <v>1200</v>
      </c>
      <c r="BZ2085" s="2" t="s">
        <v>27</v>
      </c>
      <c r="CA2085" s="2" t="s">
        <v>420</v>
      </c>
      <c r="CB2085" s="2"/>
      <c r="CC2085" s="2" t="s">
        <v>417</v>
      </c>
      <c r="CD2085" s="2">
        <v>7646</v>
      </c>
      <c r="CE2085" s="2" t="s">
        <v>104</v>
      </c>
      <c r="CF2085" s="5">
        <v>42969</v>
      </c>
      <c r="CG2085" s="2"/>
      <c r="CH2085" s="2"/>
      <c r="CI2085" s="2">
        <v>1</v>
      </c>
      <c r="CJ2085" s="2">
        <v>1</v>
      </c>
      <c r="CK2085" s="2">
        <v>21</v>
      </c>
      <c r="CL2085" s="2" t="s">
        <v>86</v>
      </c>
      <c r="CM2085" s="2"/>
    </row>
    <row r="2086" spans="1:91">
      <c r="A2086" s="2" t="s">
        <v>71</v>
      </c>
      <c r="B2086" s="2" t="s">
        <v>72</v>
      </c>
      <c r="C2086" s="2" t="s">
        <v>73</v>
      </c>
      <c r="D2086" s="2"/>
      <c r="E2086" s="2" t="str">
        <f>"FES1162570052"</f>
        <v>FES1162570052</v>
      </c>
      <c r="F2086" s="3">
        <v>42965</v>
      </c>
      <c r="G2086" s="2">
        <v>201802</v>
      </c>
      <c r="H2086" s="2" t="s">
        <v>74</v>
      </c>
      <c r="I2086" s="2" t="s">
        <v>75</v>
      </c>
      <c r="J2086" s="2" t="s">
        <v>76</v>
      </c>
      <c r="K2086" s="2" t="s">
        <v>77</v>
      </c>
      <c r="L2086" s="2" t="s">
        <v>105</v>
      </c>
      <c r="M2086" s="2" t="s">
        <v>106</v>
      </c>
      <c r="N2086" s="2" t="s">
        <v>107</v>
      </c>
      <c r="O2086" s="2" t="s">
        <v>100</v>
      </c>
      <c r="P2086" s="2" t="str">
        <f>"2170585845                    "</f>
        <v xml:space="preserve">2170585845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4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1</v>
      </c>
      <c r="BJ2086" s="2">
        <v>0.2</v>
      </c>
      <c r="BK2086" s="2">
        <v>1</v>
      </c>
      <c r="BL2086" s="2">
        <v>41.44</v>
      </c>
      <c r="BM2086" s="2">
        <v>5.8</v>
      </c>
      <c r="BN2086" s="2">
        <v>47.24</v>
      </c>
      <c r="BO2086" s="2">
        <v>47.24</v>
      </c>
      <c r="BP2086" s="2"/>
      <c r="BQ2086" s="2" t="s">
        <v>108</v>
      </c>
      <c r="BR2086" s="2" t="s">
        <v>84</v>
      </c>
      <c r="BS2086" s="3">
        <v>42968</v>
      </c>
      <c r="BT2086" s="4">
        <v>0.39999999999999997</v>
      </c>
      <c r="BU2086" s="2" t="s">
        <v>2646</v>
      </c>
      <c r="BV2086" s="2" t="s">
        <v>95</v>
      </c>
      <c r="BW2086" s="2"/>
      <c r="BX2086" s="2"/>
      <c r="BY2086" s="2">
        <v>1200</v>
      </c>
      <c r="BZ2086" s="2" t="s">
        <v>27</v>
      </c>
      <c r="CA2086" s="2" t="s">
        <v>112</v>
      </c>
      <c r="CB2086" s="2"/>
      <c r="CC2086" s="2" t="s">
        <v>106</v>
      </c>
      <c r="CD2086" s="2">
        <v>7405</v>
      </c>
      <c r="CE2086" s="2" t="s">
        <v>104</v>
      </c>
      <c r="CF2086" s="5">
        <v>42969</v>
      </c>
      <c r="CG2086" s="2"/>
      <c r="CH2086" s="2"/>
      <c r="CI2086" s="2">
        <v>1</v>
      </c>
      <c r="CJ2086" s="2">
        <v>1</v>
      </c>
      <c r="CK2086" s="2">
        <v>21</v>
      </c>
      <c r="CL2086" s="2" t="s">
        <v>86</v>
      </c>
      <c r="CM2086" s="2"/>
    </row>
    <row r="2087" spans="1:91">
      <c r="A2087" s="2" t="s">
        <v>71</v>
      </c>
      <c r="B2087" s="2" t="s">
        <v>72</v>
      </c>
      <c r="C2087" s="2" t="s">
        <v>73</v>
      </c>
      <c r="D2087" s="2"/>
      <c r="E2087" s="2" t="str">
        <f>"FES1162569901"</f>
        <v>FES1162569901</v>
      </c>
      <c r="F2087" s="3">
        <v>42965</v>
      </c>
      <c r="G2087" s="2">
        <v>201802</v>
      </c>
      <c r="H2087" s="2" t="s">
        <v>74</v>
      </c>
      <c r="I2087" s="2" t="s">
        <v>75</v>
      </c>
      <c r="J2087" s="2" t="s">
        <v>76</v>
      </c>
      <c r="K2087" s="2" t="s">
        <v>77</v>
      </c>
      <c r="L2087" s="2" t="s">
        <v>268</v>
      </c>
      <c r="M2087" s="2" t="s">
        <v>269</v>
      </c>
      <c r="N2087" s="2" t="s">
        <v>351</v>
      </c>
      <c r="O2087" s="2" t="s">
        <v>100</v>
      </c>
      <c r="P2087" s="2" t="str">
        <f>"2170585692                    "</f>
        <v xml:space="preserve">2170585692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4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2</v>
      </c>
      <c r="BJ2087" s="2">
        <v>0.2</v>
      </c>
      <c r="BK2087" s="2">
        <v>2</v>
      </c>
      <c r="BL2087" s="2">
        <v>41.44</v>
      </c>
      <c r="BM2087" s="2">
        <v>5.8</v>
      </c>
      <c r="BN2087" s="2">
        <v>47.24</v>
      </c>
      <c r="BO2087" s="2">
        <v>47.24</v>
      </c>
      <c r="BP2087" s="2"/>
      <c r="BQ2087" s="2" t="s">
        <v>108</v>
      </c>
      <c r="BR2087" s="2" t="s">
        <v>84</v>
      </c>
      <c r="BS2087" s="3">
        <v>42968</v>
      </c>
      <c r="BT2087" s="4">
        <v>0.45555555555555555</v>
      </c>
      <c r="BU2087" s="2" t="s">
        <v>1136</v>
      </c>
      <c r="BV2087" s="2" t="s">
        <v>95</v>
      </c>
      <c r="BW2087" s="2"/>
      <c r="BX2087" s="2"/>
      <c r="BY2087" s="2">
        <v>1200</v>
      </c>
      <c r="BZ2087" s="2" t="s">
        <v>27</v>
      </c>
      <c r="CA2087" s="2" t="s">
        <v>272</v>
      </c>
      <c r="CB2087" s="2"/>
      <c r="CC2087" s="2" t="s">
        <v>269</v>
      </c>
      <c r="CD2087" s="2">
        <v>200</v>
      </c>
      <c r="CE2087" s="2" t="s">
        <v>104</v>
      </c>
      <c r="CF2087" s="5">
        <v>42969</v>
      </c>
      <c r="CG2087" s="2"/>
      <c r="CH2087" s="2"/>
      <c r="CI2087" s="2">
        <v>1</v>
      </c>
      <c r="CJ2087" s="2">
        <v>1</v>
      </c>
      <c r="CK2087" s="2">
        <v>21</v>
      </c>
      <c r="CL2087" s="2" t="s">
        <v>86</v>
      </c>
      <c r="CM2087" s="2"/>
    </row>
    <row r="2088" spans="1:91">
      <c r="A2088" s="2" t="s">
        <v>71</v>
      </c>
      <c r="B2088" s="2" t="s">
        <v>72</v>
      </c>
      <c r="C2088" s="2" t="s">
        <v>73</v>
      </c>
      <c r="D2088" s="2"/>
      <c r="E2088" s="2" t="str">
        <f>"FES1162570109"</f>
        <v>FES1162570109</v>
      </c>
      <c r="F2088" s="3">
        <v>42965</v>
      </c>
      <c r="G2088" s="2">
        <v>201802</v>
      </c>
      <c r="H2088" s="2" t="s">
        <v>74</v>
      </c>
      <c r="I2088" s="2" t="s">
        <v>75</v>
      </c>
      <c r="J2088" s="2" t="s">
        <v>76</v>
      </c>
      <c r="K2088" s="2" t="s">
        <v>77</v>
      </c>
      <c r="L2088" s="2" t="s">
        <v>237</v>
      </c>
      <c r="M2088" s="2" t="s">
        <v>238</v>
      </c>
      <c r="N2088" s="2" t="s">
        <v>2510</v>
      </c>
      <c r="O2088" s="2" t="s">
        <v>100</v>
      </c>
      <c r="P2088" s="2" t="str">
        <f>"2170585893                    "</f>
        <v xml:space="preserve">2170585893 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4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1</v>
      </c>
      <c r="BJ2088" s="2">
        <v>0.2</v>
      </c>
      <c r="BK2088" s="2">
        <v>1</v>
      </c>
      <c r="BL2088" s="2">
        <v>41.44</v>
      </c>
      <c r="BM2088" s="2">
        <v>5.8</v>
      </c>
      <c r="BN2088" s="2">
        <v>47.24</v>
      </c>
      <c r="BO2088" s="2">
        <v>47.24</v>
      </c>
      <c r="BP2088" s="2"/>
      <c r="BQ2088" s="2" t="s">
        <v>83</v>
      </c>
      <c r="BR2088" s="2" t="s">
        <v>84</v>
      </c>
      <c r="BS2088" s="3">
        <v>42968</v>
      </c>
      <c r="BT2088" s="4">
        <v>0.3756944444444445</v>
      </c>
      <c r="BU2088" s="2" t="s">
        <v>2647</v>
      </c>
      <c r="BV2088" s="2" t="s">
        <v>95</v>
      </c>
      <c r="BW2088" s="2"/>
      <c r="BX2088" s="2"/>
      <c r="BY2088" s="2">
        <v>1200</v>
      </c>
      <c r="BZ2088" s="2" t="s">
        <v>27</v>
      </c>
      <c r="CA2088" s="2" t="s">
        <v>2641</v>
      </c>
      <c r="CB2088" s="2"/>
      <c r="CC2088" s="2" t="s">
        <v>238</v>
      </c>
      <c r="CD2088" s="2">
        <v>3610</v>
      </c>
      <c r="CE2088" s="2" t="s">
        <v>104</v>
      </c>
      <c r="CF2088" s="5">
        <v>42969</v>
      </c>
      <c r="CG2088" s="2"/>
      <c r="CH2088" s="2"/>
      <c r="CI2088" s="2">
        <v>1</v>
      </c>
      <c r="CJ2088" s="2">
        <v>1</v>
      </c>
      <c r="CK2088" s="2">
        <v>21</v>
      </c>
      <c r="CL2088" s="2" t="s">
        <v>86</v>
      </c>
      <c r="CM2088" s="2"/>
    </row>
    <row r="2089" spans="1:91">
      <c r="A2089" s="2" t="s">
        <v>71</v>
      </c>
      <c r="B2089" s="2" t="s">
        <v>72</v>
      </c>
      <c r="C2089" s="2" t="s">
        <v>73</v>
      </c>
      <c r="D2089" s="2"/>
      <c r="E2089" s="2" t="str">
        <f>"FES1162570149"</f>
        <v>FES1162570149</v>
      </c>
      <c r="F2089" s="3">
        <v>42965</v>
      </c>
      <c r="G2089" s="2">
        <v>201802</v>
      </c>
      <c r="H2089" s="2" t="s">
        <v>74</v>
      </c>
      <c r="I2089" s="2" t="s">
        <v>75</v>
      </c>
      <c r="J2089" s="2" t="s">
        <v>76</v>
      </c>
      <c r="K2089" s="2" t="s">
        <v>77</v>
      </c>
      <c r="L2089" s="2" t="s">
        <v>105</v>
      </c>
      <c r="M2089" s="2" t="s">
        <v>106</v>
      </c>
      <c r="N2089" s="2" t="s">
        <v>348</v>
      </c>
      <c r="O2089" s="2" t="s">
        <v>100</v>
      </c>
      <c r="P2089" s="2" t="str">
        <f>"2170585570                    "</f>
        <v xml:space="preserve">2170585570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4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1</v>
      </c>
      <c r="BJ2089" s="2">
        <v>0.2</v>
      </c>
      <c r="BK2089" s="2">
        <v>1</v>
      </c>
      <c r="BL2089" s="2">
        <v>41.44</v>
      </c>
      <c r="BM2089" s="2">
        <v>5.8</v>
      </c>
      <c r="BN2089" s="2">
        <v>47.24</v>
      </c>
      <c r="BO2089" s="2">
        <v>47.24</v>
      </c>
      <c r="BP2089" s="2"/>
      <c r="BQ2089" s="2" t="s">
        <v>108</v>
      </c>
      <c r="BR2089" s="2" t="s">
        <v>84</v>
      </c>
      <c r="BS2089" s="3">
        <v>42968</v>
      </c>
      <c r="BT2089" s="4">
        <v>0.41666666666666669</v>
      </c>
      <c r="BU2089" s="2" t="s">
        <v>2648</v>
      </c>
      <c r="BV2089" s="2" t="s">
        <v>95</v>
      </c>
      <c r="BW2089" s="2"/>
      <c r="BX2089" s="2"/>
      <c r="BY2089" s="2">
        <v>1200</v>
      </c>
      <c r="BZ2089" s="2" t="s">
        <v>27</v>
      </c>
      <c r="CA2089" s="2"/>
      <c r="CB2089" s="2"/>
      <c r="CC2089" s="2" t="s">
        <v>106</v>
      </c>
      <c r="CD2089" s="2">
        <v>7945</v>
      </c>
      <c r="CE2089" s="2" t="s">
        <v>104</v>
      </c>
      <c r="CF2089" s="5">
        <v>42969</v>
      </c>
      <c r="CG2089" s="2"/>
      <c r="CH2089" s="2"/>
      <c r="CI2089" s="2">
        <v>1</v>
      </c>
      <c r="CJ2089" s="2">
        <v>1</v>
      </c>
      <c r="CK2089" s="2">
        <v>21</v>
      </c>
      <c r="CL2089" s="2" t="s">
        <v>86</v>
      </c>
      <c r="CM2089" s="2"/>
    </row>
    <row r="2090" spans="1:91">
      <c r="A2090" s="2" t="s">
        <v>71</v>
      </c>
      <c r="B2090" s="2" t="s">
        <v>72</v>
      </c>
      <c r="C2090" s="2" t="s">
        <v>73</v>
      </c>
      <c r="D2090" s="2"/>
      <c r="E2090" s="2" t="str">
        <f>"FES11625670057"</f>
        <v>FES11625670057</v>
      </c>
      <c r="F2090" s="3">
        <v>42965</v>
      </c>
      <c r="G2090" s="2">
        <v>201802</v>
      </c>
      <c r="H2090" s="2" t="s">
        <v>74</v>
      </c>
      <c r="I2090" s="2" t="s">
        <v>75</v>
      </c>
      <c r="J2090" s="2" t="s">
        <v>76</v>
      </c>
      <c r="K2090" s="2" t="s">
        <v>77</v>
      </c>
      <c r="L2090" s="2" t="s">
        <v>539</v>
      </c>
      <c r="M2090" s="2" t="s">
        <v>540</v>
      </c>
      <c r="N2090" s="2" t="s">
        <v>1753</v>
      </c>
      <c r="O2090" s="2" t="s">
        <v>100</v>
      </c>
      <c r="P2090" s="2" t="str">
        <f>"2170585849                    "</f>
        <v xml:space="preserve">2170585849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3.13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1</v>
      </c>
      <c r="BJ2090" s="2">
        <v>0.2</v>
      </c>
      <c r="BK2090" s="2">
        <v>1</v>
      </c>
      <c r="BL2090" s="2">
        <v>32.380000000000003</v>
      </c>
      <c r="BM2090" s="2">
        <v>4.53</v>
      </c>
      <c r="BN2090" s="2">
        <v>36.909999999999997</v>
      </c>
      <c r="BO2090" s="2">
        <v>36.909999999999997</v>
      </c>
      <c r="BP2090" s="2"/>
      <c r="BQ2090" s="2" t="s">
        <v>83</v>
      </c>
      <c r="BR2090" s="2" t="s">
        <v>84</v>
      </c>
      <c r="BS2090" s="3">
        <v>42968</v>
      </c>
      <c r="BT2090" s="4">
        <v>0.42291666666666666</v>
      </c>
      <c r="BU2090" s="2" t="s">
        <v>1754</v>
      </c>
      <c r="BV2090" s="2" t="s">
        <v>95</v>
      </c>
      <c r="BW2090" s="2"/>
      <c r="BX2090" s="2"/>
      <c r="BY2090" s="2">
        <v>1200</v>
      </c>
      <c r="BZ2090" s="2" t="s">
        <v>27</v>
      </c>
      <c r="CA2090" s="2" t="s">
        <v>722</v>
      </c>
      <c r="CB2090" s="2"/>
      <c r="CC2090" s="2" t="s">
        <v>540</v>
      </c>
      <c r="CD2090" s="2">
        <v>2163</v>
      </c>
      <c r="CE2090" s="2" t="s">
        <v>104</v>
      </c>
      <c r="CF2090" s="2"/>
      <c r="CG2090" s="2"/>
      <c r="CH2090" s="2"/>
      <c r="CI2090" s="2">
        <v>1</v>
      </c>
      <c r="CJ2090" s="2">
        <v>1</v>
      </c>
      <c r="CK2090" s="2">
        <v>22</v>
      </c>
      <c r="CL2090" s="2" t="s">
        <v>86</v>
      </c>
      <c r="CM2090" s="2"/>
    </row>
    <row r="2091" spans="1:91">
      <c r="A2091" s="2" t="s">
        <v>71</v>
      </c>
      <c r="B2091" s="2" t="s">
        <v>72</v>
      </c>
      <c r="C2091" s="2" t="s">
        <v>73</v>
      </c>
      <c r="D2091" s="2"/>
      <c r="E2091" s="2" t="str">
        <f>"FES1162569978"</f>
        <v>FES1162569978</v>
      </c>
      <c r="F2091" s="3">
        <v>42965</v>
      </c>
      <c r="G2091" s="2">
        <v>201802</v>
      </c>
      <c r="H2091" s="2" t="s">
        <v>74</v>
      </c>
      <c r="I2091" s="2" t="s">
        <v>75</v>
      </c>
      <c r="J2091" s="2" t="s">
        <v>76</v>
      </c>
      <c r="K2091" s="2" t="s">
        <v>77</v>
      </c>
      <c r="L2091" s="2" t="s">
        <v>174</v>
      </c>
      <c r="M2091" s="2" t="s">
        <v>175</v>
      </c>
      <c r="N2091" s="2" t="s">
        <v>920</v>
      </c>
      <c r="O2091" s="2" t="s">
        <v>100</v>
      </c>
      <c r="P2091" s="2" t="str">
        <f>"2170585731                    "</f>
        <v xml:space="preserve">2170585731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4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1</v>
      </c>
      <c r="BJ2091" s="2">
        <v>0.2</v>
      </c>
      <c r="BK2091" s="2">
        <v>1</v>
      </c>
      <c r="BL2091" s="2">
        <v>41.44</v>
      </c>
      <c r="BM2091" s="2">
        <v>5.8</v>
      </c>
      <c r="BN2091" s="2">
        <v>47.24</v>
      </c>
      <c r="BO2091" s="2">
        <v>47.24</v>
      </c>
      <c r="BP2091" s="2"/>
      <c r="BQ2091" s="2" t="s">
        <v>108</v>
      </c>
      <c r="BR2091" s="2" t="s">
        <v>84</v>
      </c>
      <c r="BS2091" s="3">
        <v>42968</v>
      </c>
      <c r="BT2091" s="4">
        <v>0.33333333333333331</v>
      </c>
      <c r="BU2091" s="2" t="s">
        <v>921</v>
      </c>
      <c r="BV2091" s="2" t="s">
        <v>95</v>
      </c>
      <c r="BW2091" s="2"/>
      <c r="BX2091" s="2"/>
      <c r="BY2091" s="2">
        <v>1200</v>
      </c>
      <c r="BZ2091" s="2" t="s">
        <v>27</v>
      </c>
      <c r="CA2091" s="2"/>
      <c r="CB2091" s="2"/>
      <c r="CC2091" s="2" t="s">
        <v>175</v>
      </c>
      <c r="CD2091" s="2">
        <v>5201</v>
      </c>
      <c r="CE2091" s="2" t="s">
        <v>104</v>
      </c>
      <c r="CF2091" s="5">
        <v>42969</v>
      </c>
      <c r="CG2091" s="2"/>
      <c r="CH2091" s="2"/>
      <c r="CI2091" s="2">
        <v>1</v>
      </c>
      <c r="CJ2091" s="2">
        <v>1</v>
      </c>
      <c r="CK2091" s="2">
        <v>21</v>
      </c>
      <c r="CL2091" s="2" t="s">
        <v>86</v>
      </c>
      <c r="CM2091" s="2"/>
    </row>
    <row r="2092" spans="1:91">
      <c r="A2092" s="2" t="s">
        <v>71</v>
      </c>
      <c r="B2092" s="2" t="s">
        <v>72</v>
      </c>
      <c r="C2092" s="2" t="s">
        <v>73</v>
      </c>
      <c r="D2092" s="2"/>
      <c r="E2092" s="2" t="str">
        <f>"FES1162569967"</f>
        <v>FES1162569967</v>
      </c>
      <c r="F2092" s="3">
        <v>42965</v>
      </c>
      <c r="G2092" s="2">
        <v>201802</v>
      </c>
      <c r="H2092" s="2" t="s">
        <v>74</v>
      </c>
      <c r="I2092" s="2" t="s">
        <v>75</v>
      </c>
      <c r="J2092" s="2" t="s">
        <v>76</v>
      </c>
      <c r="K2092" s="2" t="s">
        <v>77</v>
      </c>
      <c r="L2092" s="2" t="s">
        <v>174</v>
      </c>
      <c r="M2092" s="2" t="s">
        <v>175</v>
      </c>
      <c r="N2092" s="2" t="s">
        <v>920</v>
      </c>
      <c r="O2092" s="2" t="s">
        <v>100</v>
      </c>
      <c r="P2092" s="2" t="str">
        <f>"2170585666                    "</f>
        <v xml:space="preserve">2170585666 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4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1</v>
      </c>
      <c r="BJ2092" s="2">
        <v>0.2</v>
      </c>
      <c r="BK2092" s="2">
        <v>1</v>
      </c>
      <c r="BL2092" s="2">
        <v>41.44</v>
      </c>
      <c r="BM2092" s="2">
        <v>5.8</v>
      </c>
      <c r="BN2092" s="2">
        <v>47.24</v>
      </c>
      <c r="BO2092" s="2">
        <v>47.24</v>
      </c>
      <c r="BP2092" s="2"/>
      <c r="BQ2092" s="2" t="s">
        <v>108</v>
      </c>
      <c r="BR2092" s="2" t="s">
        <v>84</v>
      </c>
      <c r="BS2092" s="3">
        <v>42968</v>
      </c>
      <c r="BT2092" s="4">
        <v>0.33333333333333331</v>
      </c>
      <c r="BU2092" s="2" t="s">
        <v>921</v>
      </c>
      <c r="BV2092" s="2" t="s">
        <v>95</v>
      </c>
      <c r="BW2092" s="2"/>
      <c r="BX2092" s="2"/>
      <c r="BY2092" s="2">
        <v>1200</v>
      </c>
      <c r="BZ2092" s="2" t="s">
        <v>27</v>
      </c>
      <c r="CA2092" s="2"/>
      <c r="CB2092" s="2"/>
      <c r="CC2092" s="2" t="s">
        <v>175</v>
      </c>
      <c r="CD2092" s="2">
        <v>5201</v>
      </c>
      <c r="CE2092" s="2" t="s">
        <v>104</v>
      </c>
      <c r="CF2092" s="2"/>
      <c r="CG2092" s="2"/>
      <c r="CH2092" s="2"/>
      <c r="CI2092" s="2">
        <v>1</v>
      </c>
      <c r="CJ2092" s="2">
        <v>1</v>
      </c>
      <c r="CK2092" s="2">
        <v>21</v>
      </c>
      <c r="CL2092" s="2" t="s">
        <v>86</v>
      </c>
      <c r="CM2092" s="2"/>
    </row>
    <row r="2093" spans="1:91">
      <c r="A2093" s="2" t="s">
        <v>71</v>
      </c>
      <c r="B2093" s="2" t="s">
        <v>72</v>
      </c>
      <c r="C2093" s="2" t="s">
        <v>73</v>
      </c>
      <c r="D2093" s="2"/>
      <c r="E2093" s="2" t="str">
        <f>"FES1162569966"</f>
        <v>FES1162569966</v>
      </c>
      <c r="F2093" s="3">
        <v>42965</v>
      </c>
      <c r="G2093" s="2">
        <v>201802</v>
      </c>
      <c r="H2093" s="2" t="s">
        <v>74</v>
      </c>
      <c r="I2093" s="2" t="s">
        <v>75</v>
      </c>
      <c r="J2093" s="2" t="s">
        <v>76</v>
      </c>
      <c r="K2093" s="2" t="s">
        <v>77</v>
      </c>
      <c r="L2093" s="2" t="s">
        <v>174</v>
      </c>
      <c r="M2093" s="2" t="s">
        <v>175</v>
      </c>
      <c r="N2093" s="2" t="s">
        <v>920</v>
      </c>
      <c r="O2093" s="2" t="s">
        <v>100</v>
      </c>
      <c r="P2093" s="2" t="str">
        <f>"2170585632                    "</f>
        <v xml:space="preserve">2170585632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4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1</v>
      </c>
      <c r="BJ2093" s="2">
        <v>0.2</v>
      </c>
      <c r="BK2093" s="2">
        <v>1</v>
      </c>
      <c r="BL2093" s="2">
        <v>41.44</v>
      </c>
      <c r="BM2093" s="2">
        <v>5.8</v>
      </c>
      <c r="BN2093" s="2">
        <v>47.24</v>
      </c>
      <c r="BO2093" s="2">
        <v>47.24</v>
      </c>
      <c r="BP2093" s="2"/>
      <c r="BQ2093" s="2" t="s">
        <v>108</v>
      </c>
      <c r="BR2093" s="2" t="s">
        <v>84</v>
      </c>
      <c r="BS2093" s="3">
        <v>42968</v>
      </c>
      <c r="BT2093" s="4">
        <v>0.33333333333333331</v>
      </c>
      <c r="BU2093" s="2" t="s">
        <v>921</v>
      </c>
      <c r="BV2093" s="2" t="s">
        <v>95</v>
      </c>
      <c r="BW2093" s="2"/>
      <c r="BX2093" s="2"/>
      <c r="BY2093" s="2">
        <v>1200</v>
      </c>
      <c r="BZ2093" s="2" t="s">
        <v>27</v>
      </c>
      <c r="CA2093" s="2"/>
      <c r="CB2093" s="2"/>
      <c r="CC2093" s="2" t="s">
        <v>175</v>
      </c>
      <c r="CD2093" s="2">
        <v>5201</v>
      </c>
      <c r="CE2093" s="2" t="s">
        <v>104</v>
      </c>
      <c r="CF2093" s="5">
        <v>42969</v>
      </c>
      <c r="CG2093" s="2"/>
      <c r="CH2093" s="2"/>
      <c r="CI2093" s="2">
        <v>1</v>
      </c>
      <c r="CJ2093" s="2">
        <v>1</v>
      </c>
      <c r="CK2093" s="2">
        <v>21</v>
      </c>
      <c r="CL2093" s="2" t="s">
        <v>86</v>
      </c>
      <c r="CM2093" s="2"/>
    </row>
    <row r="2094" spans="1:91">
      <c r="A2094" s="2" t="s">
        <v>71</v>
      </c>
      <c r="B2094" s="2" t="s">
        <v>72</v>
      </c>
      <c r="C2094" s="2" t="s">
        <v>73</v>
      </c>
      <c r="D2094" s="2"/>
      <c r="E2094" s="2" t="str">
        <f>"FES1162569970"</f>
        <v>FES1162569970</v>
      </c>
      <c r="F2094" s="3">
        <v>42965</v>
      </c>
      <c r="G2094" s="2">
        <v>201802</v>
      </c>
      <c r="H2094" s="2" t="s">
        <v>74</v>
      </c>
      <c r="I2094" s="2" t="s">
        <v>75</v>
      </c>
      <c r="J2094" s="2" t="s">
        <v>76</v>
      </c>
      <c r="K2094" s="2" t="s">
        <v>77</v>
      </c>
      <c r="L2094" s="2" t="s">
        <v>174</v>
      </c>
      <c r="M2094" s="2" t="s">
        <v>175</v>
      </c>
      <c r="N2094" s="2" t="s">
        <v>920</v>
      </c>
      <c r="O2094" s="2" t="s">
        <v>100</v>
      </c>
      <c r="P2094" s="2" t="str">
        <f>"2170585669                    "</f>
        <v xml:space="preserve">2170585669 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4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1</v>
      </c>
      <c r="BJ2094" s="2">
        <v>0.2</v>
      </c>
      <c r="BK2094" s="2">
        <v>1</v>
      </c>
      <c r="BL2094" s="2">
        <v>41.44</v>
      </c>
      <c r="BM2094" s="2">
        <v>5.8</v>
      </c>
      <c r="BN2094" s="2">
        <v>47.24</v>
      </c>
      <c r="BO2094" s="2">
        <v>47.24</v>
      </c>
      <c r="BP2094" s="2"/>
      <c r="BQ2094" s="2" t="s">
        <v>108</v>
      </c>
      <c r="BR2094" s="2" t="s">
        <v>84</v>
      </c>
      <c r="BS2094" s="3">
        <v>42968</v>
      </c>
      <c r="BT2094" s="4">
        <v>0.33333333333333331</v>
      </c>
      <c r="BU2094" s="2" t="s">
        <v>921</v>
      </c>
      <c r="BV2094" s="2" t="s">
        <v>95</v>
      </c>
      <c r="BW2094" s="2"/>
      <c r="BX2094" s="2"/>
      <c r="BY2094" s="2">
        <v>1200</v>
      </c>
      <c r="BZ2094" s="2" t="s">
        <v>27</v>
      </c>
      <c r="CA2094" s="2"/>
      <c r="CB2094" s="2"/>
      <c r="CC2094" s="2" t="s">
        <v>175</v>
      </c>
      <c r="CD2094" s="2">
        <v>5201</v>
      </c>
      <c r="CE2094" s="2" t="s">
        <v>104</v>
      </c>
      <c r="CF2094" s="5">
        <v>42969</v>
      </c>
      <c r="CG2094" s="2"/>
      <c r="CH2094" s="2"/>
      <c r="CI2094" s="2">
        <v>1</v>
      </c>
      <c r="CJ2094" s="2">
        <v>1</v>
      </c>
      <c r="CK2094" s="2">
        <v>21</v>
      </c>
      <c r="CL2094" s="2" t="s">
        <v>86</v>
      </c>
      <c r="CM2094" s="2"/>
    </row>
    <row r="2095" spans="1:91">
      <c r="A2095" s="2" t="s">
        <v>71</v>
      </c>
      <c r="B2095" s="2" t="s">
        <v>72</v>
      </c>
      <c r="C2095" s="2" t="s">
        <v>73</v>
      </c>
      <c r="D2095" s="2"/>
      <c r="E2095" s="2" t="str">
        <f>"FES1162569946"</f>
        <v>FES1162569946</v>
      </c>
      <c r="F2095" s="3">
        <v>42965</v>
      </c>
      <c r="G2095" s="2">
        <v>201802</v>
      </c>
      <c r="H2095" s="2" t="s">
        <v>74</v>
      </c>
      <c r="I2095" s="2" t="s">
        <v>75</v>
      </c>
      <c r="J2095" s="2" t="s">
        <v>76</v>
      </c>
      <c r="K2095" s="2" t="s">
        <v>77</v>
      </c>
      <c r="L2095" s="2" t="s">
        <v>174</v>
      </c>
      <c r="M2095" s="2" t="s">
        <v>175</v>
      </c>
      <c r="N2095" s="2" t="s">
        <v>920</v>
      </c>
      <c r="O2095" s="2" t="s">
        <v>100</v>
      </c>
      <c r="P2095" s="2" t="str">
        <f>"2170585631                    "</f>
        <v xml:space="preserve">2170585631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4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1</v>
      </c>
      <c r="BJ2095" s="2">
        <v>0.2</v>
      </c>
      <c r="BK2095" s="2">
        <v>1</v>
      </c>
      <c r="BL2095" s="2">
        <v>41.44</v>
      </c>
      <c r="BM2095" s="2">
        <v>5.8</v>
      </c>
      <c r="BN2095" s="2">
        <v>47.24</v>
      </c>
      <c r="BO2095" s="2">
        <v>47.24</v>
      </c>
      <c r="BP2095" s="2"/>
      <c r="BQ2095" s="2" t="s">
        <v>108</v>
      </c>
      <c r="BR2095" s="2" t="s">
        <v>84</v>
      </c>
      <c r="BS2095" s="3">
        <v>42968</v>
      </c>
      <c r="BT2095" s="4">
        <v>0.33333333333333331</v>
      </c>
      <c r="BU2095" s="2" t="s">
        <v>921</v>
      </c>
      <c r="BV2095" s="2" t="s">
        <v>95</v>
      </c>
      <c r="BW2095" s="2"/>
      <c r="BX2095" s="2"/>
      <c r="BY2095" s="2">
        <v>1200</v>
      </c>
      <c r="BZ2095" s="2" t="s">
        <v>27</v>
      </c>
      <c r="CA2095" s="2"/>
      <c r="CB2095" s="2"/>
      <c r="CC2095" s="2" t="s">
        <v>175</v>
      </c>
      <c r="CD2095" s="2">
        <v>5201</v>
      </c>
      <c r="CE2095" s="2" t="s">
        <v>104</v>
      </c>
      <c r="CF2095" s="5">
        <v>42969</v>
      </c>
      <c r="CG2095" s="2"/>
      <c r="CH2095" s="2"/>
      <c r="CI2095" s="2">
        <v>1</v>
      </c>
      <c r="CJ2095" s="2">
        <v>1</v>
      </c>
      <c r="CK2095" s="2">
        <v>21</v>
      </c>
      <c r="CL2095" s="2" t="s">
        <v>86</v>
      </c>
      <c r="CM2095" s="2"/>
    </row>
    <row r="2096" spans="1:91">
      <c r="A2096" s="2" t="s">
        <v>71</v>
      </c>
      <c r="B2096" s="2" t="s">
        <v>72</v>
      </c>
      <c r="C2096" s="2" t="s">
        <v>73</v>
      </c>
      <c r="D2096" s="2"/>
      <c r="E2096" s="2" t="str">
        <f>"FES1162569940"</f>
        <v>FES1162569940</v>
      </c>
      <c r="F2096" s="3">
        <v>42965</v>
      </c>
      <c r="G2096" s="2">
        <v>201802</v>
      </c>
      <c r="H2096" s="2" t="s">
        <v>74</v>
      </c>
      <c r="I2096" s="2" t="s">
        <v>75</v>
      </c>
      <c r="J2096" s="2" t="s">
        <v>76</v>
      </c>
      <c r="K2096" s="2" t="s">
        <v>77</v>
      </c>
      <c r="L2096" s="2" t="s">
        <v>174</v>
      </c>
      <c r="M2096" s="2" t="s">
        <v>175</v>
      </c>
      <c r="N2096" s="2" t="s">
        <v>920</v>
      </c>
      <c r="O2096" s="2" t="s">
        <v>100</v>
      </c>
      <c r="P2096" s="2" t="str">
        <f>"2170585535                    "</f>
        <v xml:space="preserve">2170585535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4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1</v>
      </c>
      <c r="BJ2096" s="2">
        <v>0.2</v>
      </c>
      <c r="BK2096" s="2">
        <v>1</v>
      </c>
      <c r="BL2096" s="2">
        <v>41.44</v>
      </c>
      <c r="BM2096" s="2">
        <v>5.8</v>
      </c>
      <c r="BN2096" s="2">
        <v>47.24</v>
      </c>
      <c r="BO2096" s="2">
        <v>47.24</v>
      </c>
      <c r="BP2096" s="2"/>
      <c r="BQ2096" s="2" t="s">
        <v>108</v>
      </c>
      <c r="BR2096" s="2" t="s">
        <v>84</v>
      </c>
      <c r="BS2096" s="3">
        <v>42968</v>
      </c>
      <c r="BT2096" s="4">
        <v>0.33333333333333331</v>
      </c>
      <c r="BU2096" s="2" t="s">
        <v>921</v>
      </c>
      <c r="BV2096" s="2" t="s">
        <v>95</v>
      </c>
      <c r="BW2096" s="2"/>
      <c r="BX2096" s="2"/>
      <c r="BY2096" s="2">
        <v>1200</v>
      </c>
      <c r="BZ2096" s="2" t="s">
        <v>27</v>
      </c>
      <c r="CA2096" s="2"/>
      <c r="CB2096" s="2"/>
      <c r="CC2096" s="2" t="s">
        <v>175</v>
      </c>
      <c r="CD2096" s="2">
        <v>5201</v>
      </c>
      <c r="CE2096" s="2" t="s">
        <v>104</v>
      </c>
      <c r="CF2096" s="5">
        <v>42969</v>
      </c>
      <c r="CG2096" s="2"/>
      <c r="CH2096" s="2"/>
      <c r="CI2096" s="2">
        <v>1</v>
      </c>
      <c r="CJ2096" s="2">
        <v>1</v>
      </c>
      <c r="CK2096" s="2">
        <v>21</v>
      </c>
      <c r="CL2096" s="2" t="s">
        <v>86</v>
      </c>
      <c r="CM2096" s="2"/>
    </row>
    <row r="2097" spans="1:91">
      <c r="A2097" s="2" t="s">
        <v>71</v>
      </c>
      <c r="B2097" s="2" t="s">
        <v>72</v>
      </c>
      <c r="C2097" s="2" t="s">
        <v>73</v>
      </c>
      <c r="D2097" s="2"/>
      <c r="E2097" s="2" t="str">
        <f>"FES1162569927"</f>
        <v>FES1162569927</v>
      </c>
      <c r="F2097" s="3">
        <v>42965</v>
      </c>
      <c r="G2097" s="2">
        <v>201802</v>
      </c>
      <c r="H2097" s="2" t="s">
        <v>74</v>
      </c>
      <c r="I2097" s="2" t="s">
        <v>75</v>
      </c>
      <c r="J2097" s="2" t="s">
        <v>76</v>
      </c>
      <c r="K2097" s="2" t="s">
        <v>77</v>
      </c>
      <c r="L2097" s="2" t="s">
        <v>97</v>
      </c>
      <c r="M2097" s="2" t="s">
        <v>98</v>
      </c>
      <c r="N2097" s="2" t="s">
        <v>119</v>
      </c>
      <c r="O2097" s="2" t="s">
        <v>100</v>
      </c>
      <c r="P2097" s="2" t="str">
        <f>"2170583758                    "</f>
        <v xml:space="preserve">2170583758 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4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1</v>
      </c>
      <c r="BJ2097" s="2">
        <v>0.2</v>
      </c>
      <c r="BK2097" s="2">
        <v>1</v>
      </c>
      <c r="BL2097" s="2">
        <v>41.44</v>
      </c>
      <c r="BM2097" s="2">
        <v>5.8</v>
      </c>
      <c r="BN2097" s="2">
        <v>47.24</v>
      </c>
      <c r="BO2097" s="2">
        <v>47.24</v>
      </c>
      <c r="BP2097" s="2"/>
      <c r="BQ2097" s="2" t="s">
        <v>108</v>
      </c>
      <c r="BR2097" s="2" t="s">
        <v>84</v>
      </c>
      <c r="BS2097" s="3">
        <v>42968</v>
      </c>
      <c r="BT2097" s="4">
        <v>0.36736111111111108</v>
      </c>
      <c r="BU2097" s="2" t="s">
        <v>2428</v>
      </c>
      <c r="BV2097" s="2" t="s">
        <v>95</v>
      </c>
      <c r="BW2097" s="2"/>
      <c r="BX2097" s="2"/>
      <c r="BY2097" s="2">
        <v>1200</v>
      </c>
      <c r="BZ2097" s="2" t="s">
        <v>27</v>
      </c>
      <c r="CA2097" s="2" t="s">
        <v>213</v>
      </c>
      <c r="CB2097" s="2"/>
      <c r="CC2097" s="2" t="s">
        <v>98</v>
      </c>
      <c r="CD2097" s="2">
        <v>6001</v>
      </c>
      <c r="CE2097" s="2" t="s">
        <v>104</v>
      </c>
      <c r="CF2097" s="5">
        <v>42969</v>
      </c>
      <c r="CG2097" s="2"/>
      <c r="CH2097" s="2"/>
      <c r="CI2097" s="2">
        <v>1</v>
      </c>
      <c r="CJ2097" s="2">
        <v>1</v>
      </c>
      <c r="CK2097" s="2">
        <v>21</v>
      </c>
      <c r="CL2097" s="2" t="s">
        <v>86</v>
      </c>
      <c r="CM2097" s="2"/>
    </row>
    <row r="2098" spans="1:91">
      <c r="A2098" s="2" t="s">
        <v>71</v>
      </c>
      <c r="B2098" s="2" t="s">
        <v>72</v>
      </c>
      <c r="C2098" s="2" t="s">
        <v>73</v>
      </c>
      <c r="D2098" s="2"/>
      <c r="E2098" s="2" t="str">
        <f>"FES1162569945"</f>
        <v>FES1162569945</v>
      </c>
      <c r="F2098" s="3">
        <v>42965</v>
      </c>
      <c r="G2098" s="2">
        <v>201802</v>
      </c>
      <c r="H2098" s="2" t="s">
        <v>74</v>
      </c>
      <c r="I2098" s="2" t="s">
        <v>75</v>
      </c>
      <c r="J2098" s="2" t="s">
        <v>76</v>
      </c>
      <c r="K2098" s="2" t="s">
        <v>77</v>
      </c>
      <c r="L2098" s="2" t="s">
        <v>174</v>
      </c>
      <c r="M2098" s="2" t="s">
        <v>175</v>
      </c>
      <c r="N2098" s="2" t="s">
        <v>920</v>
      </c>
      <c r="O2098" s="2" t="s">
        <v>100</v>
      </c>
      <c r="P2098" s="2" t="str">
        <f>"2170585629                    "</f>
        <v xml:space="preserve">2170585629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4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1</v>
      </c>
      <c r="BJ2098" s="2">
        <v>0.2</v>
      </c>
      <c r="BK2098" s="2">
        <v>1</v>
      </c>
      <c r="BL2098" s="2">
        <v>41.44</v>
      </c>
      <c r="BM2098" s="2">
        <v>5.8</v>
      </c>
      <c r="BN2098" s="2">
        <v>47.24</v>
      </c>
      <c r="BO2098" s="2">
        <v>47.24</v>
      </c>
      <c r="BP2098" s="2"/>
      <c r="BQ2098" s="2" t="s">
        <v>108</v>
      </c>
      <c r="BR2098" s="2" t="s">
        <v>84</v>
      </c>
      <c r="BS2098" s="3">
        <v>42968</v>
      </c>
      <c r="BT2098" s="4">
        <v>0.33333333333333331</v>
      </c>
      <c r="BU2098" s="2" t="s">
        <v>921</v>
      </c>
      <c r="BV2098" s="2" t="s">
        <v>95</v>
      </c>
      <c r="BW2098" s="2"/>
      <c r="BX2098" s="2"/>
      <c r="BY2098" s="2">
        <v>1200</v>
      </c>
      <c r="BZ2098" s="2" t="s">
        <v>27</v>
      </c>
      <c r="CA2098" s="2"/>
      <c r="CB2098" s="2"/>
      <c r="CC2098" s="2" t="s">
        <v>175</v>
      </c>
      <c r="CD2098" s="2">
        <v>5201</v>
      </c>
      <c r="CE2098" s="2" t="s">
        <v>104</v>
      </c>
      <c r="CF2098" s="5">
        <v>42969</v>
      </c>
      <c r="CG2098" s="2"/>
      <c r="CH2098" s="2"/>
      <c r="CI2098" s="2">
        <v>1</v>
      </c>
      <c r="CJ2098" s="2">
        <v>1</v>
      </c>
      <c r="CK2098" s="2">
        <v>21</v>
      </c>
      <c r="CL2098" s="2" t="s">
        <v>86</v>
      </c>
      <c r="CM2098" s="2"/>
    </row>
    <row r="2099" spans="1:91">
      <c r="A2099" s="2" t="s">
        <v>71</v>
      </c>
      <c r="B2099" s="2" t="s">
        <v>72</v>
      </c>
      <c r="C2099" s="2" t="s">
        <v>73</v>
      </c>
      <c r="D2099" s="2"/>
      <c r="E2099" s="2" t="str">
        <f>"FES1162570148"</f>
        <v>FES1162570148</v>
      </c>
      <c r="F2099" s="3">
        <v>42965</v>
      </c>
      <c r="G2099" s="2">
        <v>201802</v>
      </c>
      <c r="H2099" s="2" t="s">
        <v>74</v>
      </c>
      <c r="I2099" s="2" t="s">
        <v>75</v>
      </c>
      <c r="J2099" s="2" t="s">
        <v>76</v>
      </c>
      <c r="K2099" s="2" t="s">
        <v>77</v>
      </c>
      <c r="L2099" s="2" t="s">
        <v>268</v>
      </c>
      <c r="M2099" s="2" t="s">
        <v>269</v>
      </c>
      <c r="N2099" s="2" t="s">
        <v>270</v>
      </c>
      <c r="O2099" s="2" t="s">
        <v>100</v>
      </c>
      <c r="P2099" s="2" t="str">
        <f>"2170581757                    "</f>
        <v xml:space="preserve">2170581757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4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1</v>
      </c>
      <c r="BJ2099" s="2">
        <v>0.2</v>
      </c>
      <c r="BK2099" s="2">
        <v>1</v>
      </c>
      <c r="BL2099" s="2">
        <v>41.44</v>
      </c>
      <c r="BM2099" s="2">
        <v>5.8</v>
      </c>
      <c r="BN2099" s="2">
        <v>47.24</v>
      </c>
      <c r="BO2099" s="2">
        <v>47.24</v>
      </c>
      <c r="BP2099" s="2"/>
      <c r="BQ2099" s="2" t="s">
        <v>227</v>
      </c>
      <c r="BR2099" s="2" t="s">
        <v>84</v>
      </c>
      <c r="BS2099" s="3">
        <v>42968</v>
      </c>
      <c r="BT2099" s="4">
        <v>0.40625</v>
      </c>
      <c r="BU2099" s="2" t="s">
        <v>2649</v>
      </c>
      <c r="BV2099" s="2" t="s">
        <v>95</v>
      </c>
      <c r="BW2099" s="2"/>
      <c r="BX2099" s="2"/>
      <c r="BY2099" s="2">
        <v>1200</v>
      </c>
      <c r="BZ2099" s="2" t="s">
        <v>27</v>
      </c>
      <c r="CA2099" s="2" t="s">
        <v>272</v>
      </c>
      <c r="CB2099" s="2"/>
      <c r="CC2099" s="2" t="s">
        <v>269</v>
      </c>
      <c r="CD2099" s="2">
        <v>200</v>
      </c>
      <c r="CE2099" s="2" t="s">
        <v>104</v>
      </c>
      <c r="CF2099" s="5">
        <v>42969</v>
      </c>
      <c r="CG2099" s="2"/>
      <c r="CH2099" s="2"/>
      <c r="CI2099" s="2">
        <v>1</v>
      </c>
      <c r="CJ2099" s="2">
        <v>1</v>
      </c>
      <c r="CK2099" s="2">
        <v>21</v>
      </c>
      <c r="CL2099" s="2" t="s">
        <v>86</v>
      </c>
      <c r="CM2099" s="2"/>
    </row>
    <row r="2100" spans="1:91">
      <c r="A2100" s="2" t="s">
        <v>71</v>
      </c>
      <c r="B2100" s="2" t="s">
        <v>72</v>
      </c>
      <c r="C2100" s="2" t="s">
        <v>73</v>
      </c>
      <c r="D2100" s="2"/>
      <c r="E2100" s="2" t="str">
        <f>"FES1162570105"</f>
        <v>FES1162570105</v>
      </c>
      <c r="F2100" s="3">
        <v>42965</v>
      </c>
      <c r="G2100" s="2">
        <v>201802</v>
      </c>
      <c r="H2100" s="2" t="s">
        <v>74</v>
      </c>
      <c r="I2100" s="2" t="s">
        <v>75</v>
      </c>
      <c r="J2100" s="2" t="s">
        <v>76</v>
      </c>
      <c r="K2100" s="2" t="s">
        <v>77</v>
      </c>
      <c r="L2100" s="2" t="s">
        <v>306</v>
      </c>
      <c r="M2100" s="2" t="s">
        <v>307</v>
      </c>
      <c r="N2100" s="2" t="s">
        <v>2650</v>
      </c>
      <c r="O2100" s="2" t="s">
        <v>100</v>
      </c>
      <c r="P2100" s="2" t="str">
        <f>"2170584925                    "</f>
        <v xml:space="preserve">2170584925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4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1</v>
      </c>
      <c r="BI2100" s="2">
        <v>1</v>
      </c>
      <c r="BJ2100" s="2">
        <v>0.2</v>
      </c>
      <c r="BK2100" s="2">
        <v>1</v>
      </c>
      <c r="BL2100" s="2">
        <v>41.44</v>
      </c>
      <c r="BM2100" s="2">
        <v>5.8</v>
      </c>
      <c r="BN2100" s="2">
        <v>47.24</v>
      </c>
      <c r="BO2100" s="2">
        <v>47.24</v>
      </c>
      <c r="BP2100" s="2"/>
      <c r="BQ2100" s="2" t="s">
        <v>83</v>
      </c>
      <c r="BR2100" s="2" t="s">
        <v>84</v>
      </c>
      <c r="BS2100" s="3">
        <v>42968</v>
      </c>
      <c r="BT2100" s="4">
        <v>0.50694444444444442</v>
      </c>
      <c r="BU2100" s="2" t="s">
        <v>974</v>
      </c>
      <c r="BV2100" s="2" t="s">
        <v>86</v>
      </c>
      <c r="BW2100" s="2"/>
      <c r="BX2100" s="2"/>
      <c r="BY2100" s="2">
        <v>1200</v>
      </c>
      <c r="BZ2100" s="2" t="s">
        <v>27</v>
      </c>
      <c r="CA2100" s="2"/>
      <c r="CB2100" s="2"/>
      <c r="CC2100" s="2" t="s">
        <v>307</v>
      </c>
      <c r="CD2100" s="2">
        <v>1939</v>
      </c>
      <c r="CE2100" s="2" t="s">
        <v>104</v>
      </c>
      <c r="CF2100" s="5">
        <v>42969</v>
      </c>
      <c r="CG2100" s="2"/>
      <c r="CH2100" s="2"/>
      <c r="CI2100" s="2">
        <v>1</v>
      </c>
      <c r="CJ2100" s="2">
        <v>1</v>
      </c>
      <c r="CK2100" s="2">
        <v>21</v>
      </c>
      <c r="CL2100" s="2" t="s">
        <v>86</v>
      </c>
      <c r="CM2100" s="2"/>
    </row>
    <row r="2101" spans="1:91">
      <c r="A2101" s="2" t="s">
        <v>71</v>
      </c>
      <c r="B2101" s="2" t="s">
        <v>72</v>
      </c>
      <c r="C2101" s="2" t="s">
        <v>73</v>
      </c>
      <c r="D2101" s="2"/>
      <c r="E2101" s="2" t="str">
        <f>"FES1162570042"</f>
        <v>FES1162570042</v>
      </c>
      <c r="F2101" s="3">
        <v>42965</v>
      </c>
      <c r="G2101" s="2">
        <v>201802</v>
      </c>
      <c r="H2101" s="2" t="s">
        <v>74</v>
      </c>
      <c r="I2101" s="2" t="s">
        <v>75</v>
      </c>
      <c r="J2101" s="2" t="s">
        <v>76</v>
      </c>
      <c r="K2101" s="2" t="s">
        <v>77</v>
      </c>
      <c r="L2101" s="2" t="s">
        <v>2227</v>
      </c>
      <c r="M2101" s="2" t="s">
        <v>2228</v>
      </c>
      <c r="N2101" s="2" t="s">
        <v>2651</v>
      </c>
      <c r="O2101" s="2" t="s">
        <v>100</v>
      </c>
      <c r="P2101" s="2" t="str">
        <f>"2170585834                    "</f>
        <v xml:space="preserve">2170585834      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7.75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2</v>
      </c>
      <c r="BJ2101" s="2">
        <v>0.2</v>
      </c>
      <c r="BK2101" s="2">
        <v>2</v>
      </c>
      <c r="BL2101" s="2">
        <v>80.290000000000006</v>
      </c>
      <c r="BM2101" s="2">
        <v>11.24</v>
      </c>
      <c r="BN2101" s="2">
        <v>91.53</v>
      </c>
      <c r="BO2101" s="2">
        <v>91.53</v>
      </c>
      <c r="BP2101" s="2"/>
      <c r="BQ2101" s="2" t="s">
        <v>288</v>
      </c>
      <c r="BR2101" s="2" t="s">
        <v>84</v>
      </c>
      <c r="BS2101" s="3">
        <v>42968</v>
      </c>
      <c r="BT2101" s="4">
        <v>0.40763888888888888</v>
      </c>
      <c r="BU2101" s="2" t="s">
        <v>2652</v>
      </c>
      <c r="BV2101" s="2" t="s">
        <v>95</v>
      </c>
      <c r="BW2101" s="2"/>
      <c r="BX2101" s="2"/>
      <c r="BY2101" s="2">
        <v>1200</v>
      </c>
      <c r="BZ2101" s="2" t="s">
        <v>27</v>
      </c>
      <c r="CA2101" s="2" t="s">
        <v>2231</v>
      </c>
      <c r="CB2101" s="2"/>
      <c r="CC2101" s="2" t="s">
        <v>2228</v>
      </c>
      <c r="CD2101" s="2">
        <v>4170</v>
      </c>
      <c r="CE2101" s="2" t="s">
        <v>104</v>
      </c>
      <c r="CF2101" s="5">
        <v>42969</v>
      </c>
      <c r="CG2101" s="2"/>
      <c r="CH2101" s="2"/>
      <c r="CI2101" s="2">
        <v>1</v>
      </c>
      <c r="CJ2101" s="2">
        <v>1</v>
      </c>
      <c r="CK2101" s="2">
        <v>23</v>
      </c>
      <c r="CL2101" s="2" t="s">
        <v>86</v>
      </c>
      <c r="CM2101" s="2"/>
    </row>
    <row r="2102" spans="1:91">
      <c r="A2102" s="2" t="s">
        <v>71</v>
      </c>
      <c r="B2102" s="2" t="s">
        <v>72</v>
      </c>
      <c r="C2102" s="2" t="s">
        <v>73</v>
      </c>
      <c r="D2102" s="2"/>
      <c r="E2102" s="2" t="str">
        <f>"FES1162570114"</f>
        <v>FES1162570114</v>
      </c>
      <c r="F2102" s="3">
        <v>42965</v>
      </c>
      <c r="G2102" s="2">
        <v>201802</v>
      </c>
      <c r="H2102" s="2" t="s">
        <v>74</v>
      </c>
      <c r="I2102" s="2" t="s">
        <v>75</v>
      </c>
      <c r="J2102" s="2" t="s">
        <v>76</v>
      </c>
      <c r="K2102" s="2" t="s">
        <v>77</v>
      </c>
      <c r="L2102" s="2" t="s">
        <v>206</v>
      </c>
      <c r="M2102" s="2" t="s">
        <v>207</v>
      </c>
      <c r="N2102" s="2" t="s">
        <v>262</v>
      </c>
      <c r="O2102" s="2" t="s">
        <v>100</v>
      </c>
      <c r="P2102" s="2" t="str">
        <f>"2170585899                    "</f>
        <v xml:space="preserve">2170585899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5.63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2</v>
      </c>
      <c r="BJ2102" s="2">
        <v>0.2</v>
      </c>
      <c r="BK2102" s="2">
        <v>2</v>
      </c>
      <c r="BL2102" s="2">
        <v>58.28</v>
      </c>
      <c r="BM2102" s="2">
        <v>8.16</v>
      </c>
      <c r="BN2102" s="2">
        <v>66.44</v>
      </c>
      <c r="BO2102" s="2">
        <v>66.44</v>
      </c>
      <c r="BP2102" s="2"/>
      <c r="BQ2102" s="2" t="s">
        <v>83</v>
      </c>
      <c r="BR2102" s="2" t="s">
        <v>84</v>
      </c>
      <c r="BS2102" s="3">
        <v>42968</v>
      </c>
      <c r="BT2102" s="4">
        <v>0.43055555555555558</v>
      </c>
      <c r="BU2102" s="2" t="s">
        <v>639</v>
      </c>
      <c r="BV2102" s="2" t="s">
        <v>95</v>
      </c>
      <c r="BW2102" s="2"/>
      <c r="BX2102" s="2"/>
      <c r="BY2102" s="2">
        <v>1200</v>
      </c>
      <c r="BZ2102" s="2" t="s">
        <v>27</v>
      </c>
      <c r="CA2102" s="2" t="s">
        <v>640</v>
      </c>
      <c r="CB2102" s="2"/>
      <c r="CC2102" s="2" t="s">
        <v>207</v>
      </c>
      <c r="CD2102" s="2">
        <v>250</v>
      </c>
      <c r="CE2102" s="2" t="s">
        <v>104</v>
      </c>
      <c r="CF2102" s="5">
        <v>42970</v>
      </c>
      <c r="CG2102" s="2"/>
      <c r="CH2102" s="2"/>
      <c r="CI2102" s="2">
        <v>1</v>
      </c>
      <c r="CJ2102" s="2">
        <v>1</v>
      </c>
      <c r="CK2102" s="2">
        <v>24</v>
      </c>
      <c r="CL2102" s="2" t="s">
        <v>86</v>
      </c>
      <c r="CM2102" s="2"/>
    </row>
    <row r="2103" spans="1:91">
      <c r="A2103" s="2" t="s">
        <v>71</v>
      </c>
      <c r="B2103" s="2" t="s">
        <v>72</v>
      </c>
      <c r="C2103" s="2" t="s">
        <v>73</v>
      </c>
      <c r="D2103" s="2"/>
      <c r="E2103" s="2" t="str">
        <f>"FES1162570096"</f>
        <v>FES1162570096</v>
      </c>
      <c r="F2103" s="3">
        <v>42965</v>
      </c>
      <c r="G2103" s="2">
        <v>201802</v>
      </c>
      <c r="H2103" s="2" t="s">
        <v>74</v>
      </c>
      <c r="I2103" s="2" t="s">
        <v>75</v>
      </c>
      <c r="J2103" s="2" t="s">
        <v>76</v>
      </c>
      <c r="K2103" s="2" t="s">
        <v>77</v>
      </c>
      <c r="L2103" s="2" t="s">
        <v>144</v>
      </c>
      <c r="M2103" s="2" t="s">
        <v>145</v>
      </c>
      <c r="N2103" s="2" t="s">
        <v>146</v>
      </c>
      <c r="O2103" s="2" t="s">
        <v>100</v>
      </c>
      <c r="P2103" s="2" t="str">
        <f>"2170585884                    "</f>
        <v xml:space="preserve">2170585884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3.13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1</v>
      </c>
      <c r="BI2103" s="2">
        <v>1</v>
      </c>
      <c r="BJ2103" s="2">
        <v>0.2</v>
      </c>
      <c r="BK2103" s="2">
        <v>1</v>
      </c>
      <c r="BL2103" s="2">
        <v>32.380000000000003</v>
      </c>
      <c r="BM2103" s="2">
        <v>4.53</v>
      </c>
      <c r="BN2103" s="2">
        <v>36.909999999999997</v>
      </c>
      <c r="BO2103" s="2">
        <v>36.909999999999997</v>
      </c>
      <c r="BP2103" s="2"/>
      <c r="BQ2103" s="2" t="s">
        <v>83</v>
      </c>
      <c r="BR2103" s="2" t="s">
        <v>84</v>
      </c>
      <c r="BS2103" s="3">
        <v>42968</v>
      </c>
      <c r="BT2103" s="4">
        <v>0.375</v>
      </c>
      <c r="BU2103" s="2" t="s">
        <v>2624</v>
      </c>
      <c r="BV2103" s="2" t="s">
        <v>95</v>
      </c>
      <c r="BW2103" s="2"/>
      <c r="BX2103" s="2"/>
      <c r="BY2103" s="2">
        <v>1200</v>
      </c>
      <c r="BZ2103" s="2" t="s">
        <v>27</v>
      </c>
      <c r="CA2103" s="2" t="s">
        <v>729</v>
      </c>
      <c r="CB2103" s="2"/>
      <c r="CC2103" s="2" t="s">
        <v>145</v>
      </c>
      <c r="CD2103" s="2">
        <v>2094</v>
      </c>
      <c r="CE2103" s="2" t="s">
        <v>104</v>
      </c>
      <c r="CF2103" s="5">
        <v>42969</v>
      </c>
      <c r="CG2103" s="2"/>
      <c r="CH2103" s="2"/>
      <c r="CI2103" s="2">
        <v>1</v>
      </c>
      <c r="CJ2103" s="2">
        <v>1</v>
      </c>
      <c r="CK2103" s="2">
        <v>22</v>
      </c>
      <c r="CL2103" s="2" t="s">
        <v>86</v>
      </c>
      <c r="CM2103" s="2"/>
    </row>
    <row r="2104" spans="1:91">
      <c r="A2104" s="2" t="s">
        <v>71</v>
      </c>
      <c r="B2104" s="2" t="s">
        <v>72</v>
      </c>
      <c r="C2104" s="2" t="s">
        <v>73</v>
      </c>
      <c r="D2104" s="2"/>
      <c r="E2104" s="2" t="str">
        <f>"FES1162570133"</f>
        <v>FES1162570133</v>
      </c>
      <c r="F2104" s="3">
        <v>42965</v>
      </c>
      <c r="G2104" s="2">
        <v>201802</v>
      </c>
      <c r="H2104" s="2" t="s">
        <v>74</v>
      </c>
      <c r="I2104" s="2" t="s">
        <v>75</v>
      </c>
      <c r="J2104" s="2" t="s">
        <v>76</v>
      </c>
      <c r="K2104" s="2" t="s">
        <v>77</v>
      </c>
      <c r="L2104" s="2" t="s">
        <v>268</v>
      </c>
      <c r="M2104" s="2" t="s">
        <v>269</v>
      </c>
      <c r="N2104" s="2" t="s">
        <v>635</v>
      </c>
      <c r="O2104" s="2" t="s">
        <v>100</v>
      </c>
      <c r="P2104" s="2" t="str">
        <f>"2170582030                    "</f>
        <v xml:space="preserve">2170582030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4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1</v>
      </c>
      <c r="BI2104" s="2">
        <v>1</v>
      </c>
      <c r="BJ2104" s="2">
        <v>0.2</v>
      </c>
      <c r="BK2104" s="2">
        <v>1</v>
      </c>
      <c r="BL2104" s="2">
        <v>41.44</v>
      </c>
      <c r="BM2104" s="2">
        <v>5.8</v>
      </c>
      <c r="BN2104" s="2">
        <v>47.24</v>
      </c>
      <c r="BO2104" s="2">
        <v>47.24</v>
      </c>
      <c r="BP2104" s="2"/>
      <c r="BQ2104" s="2" t="s">
        <v>83</v>
      </c>
      <c r="BR2104" s="2" t="s">
        <v>84</v>
      </c>
      <c r="BS2104" s="3">
        <v>42968</v>
      </c>
      <c r="BT2104" s="4">
        <v>0.3576388888888889</v>
      </c>
      <c r="BU2104" s="2" t="s">
        <v>637</v>
      </c>
      <c r="BV2104" s="2" t="s">
        <v>95</v>
      </c>
      <c r="BW2104" s="2"/>
      <c r="BX2104" s="2"/>
      <c r="BY2104" s="2">
        <v>1200</v>
      </c>
      <c r="BZ2104" s="2" t="s">
        <v>27</v>
      </c>
      <c r="CA2104" s="2" t="s">
        <v>638</v>
      </c>
      <c r="CB2104" s="2"/>
      <c r="CC2104" s="2" t="s">
        <v>269</v>
      </c>
      <c r="CD2104" s="2">
        <v>184</v>
      </c>
      <c r="CE2104" s="2" t="s">
        <v>104</v>
      </c>
      <c r="CF2104" s="5">
        <v>42969</v>
      </c>
      <c r="CG2104" s="2"/>
      <c r="CH2104" s="2"/>
      <c r="CI2104" s="2">
        <v>1</v>
      </c>
      <c r="CJ2104" s="2">
        <v>1</v>
      </c>
      <c r="CK2104" s="2">
        <v>21</v>
      </c>
      <c r="CL2104" s="2" t="s">
        <v>86</v>
      </c>
      <c r="CM2104" s="2"/>
    </row>
    <row r="2105" spans="1:91">
      <c r="A2105" s="2" t="s">
        <v>71</v>
      </c>
      <c r="B2105" s="2" t="s">
        <v>72</v>
      </c>
      <c r="C2105" s="2" t="s">
        <v>73</v>
      </c>
      <c r="D2105" s="2"/>
      <c r="E2105" s="2" t="str">
        <f>"FES1162570142"</f>
        <v>FES1162570142</v>
      </c>
      <c r="F2105" s="3">
        <v>42965</v>
      </c>
      <c r="G2105" s="2">
        <v>201802</v>
      </c>
      <c r="H2105" s="2" t="s">
        <v>74</v>
      </c>
      <c r="I2105" s="2" t="s">
        <v>75</v>
      </c>
      <c r="J2105" s="2" t="s">
        <v>76</v>
      </c>
      <c r="K2105" s="2" t="s">
        <v>77</v>
      </c>
      <c r="L2105" s="2" t="s">
        <v>105</v>
      </c>
      <c r="M2105" s="2" t="s">
        <v>106</v>
      </c>
      <c r="N2105" s="2" t="s">
        <v>1325</v>
      </c>
      <c r="O2105" s="2" t="s">
        <v>100</v>
      </c>
      <c r="P2105" s="2" t="str">
        <f>"2170585925                    "</f>
        <v xml:space="preserve">2170585925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4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1</v>
      </c>
      <c r="BI2105" s="2">
        <v>1</v>
      </c>
      <c r="BJ2105" s="2">
        <v>0.2</v>
      </c>
      <c r="BK2105" s="2">
        <v>1</v>
      </c>
      <c r="BL2105" s="2">
        <v>41.44</v>
      </c>
      <c r="BM2105" s="2">
        <v>5.8</v>
      </c>
      <c r="BN2105" s="2">
        <v>47.24</v>
      </c>
      <c r="BO2105" s="2">
        <v>47.24</v>
      </c>
      <c r="BP2105" s="2"/>
      <c r="BQ2105" s="2" t="s">
        <v>227</v>
      </c>
      <c r="BR2105" s="2" t="s">
        <v>84</v>
      </c>
      <c r="BS2105" s="3">
        <v>42968</v>
      </c>
      <c r="BT2105" s="4">
        <v>0.41111111111111115</v>
      </c>
      <c r="BU2105" s="2" t="s">
        <v>2653</v>
      </c>
      <c r="BV2105" s="2" t="s">
        <v>95</v>
      </c>
      <c r="BW2105" s="2"/>
      <c r="BX2105" s="2"/>
      <c r="BY2105" s="2">
        <v>1200</v>
      </c>
      <c r="BZ2105" s="2" t="s">
        <v>27</v>
      </c>
      <c r="CA2105" s="2" t="s">
        <v>1867</v>
      </c>
      <c r="CB2105" s="2"/>
      <c r="CC2105" s="2" t="s">
        <v>106</v>
      </c>
      <c r="CD2105" s="2">
        <v>7405</v>
      </c>
      <c r="CE2105" s="2" t="s">
        <v>104</v>
      </c>
      <c r="CF2105" s="5">
        <v>42969</v>
      </c>
      <c r="CG2105" s="2"/>
      <c r="CH2105" s="2"/>
      <c r="CI2105" s="2">
        <v>1</v>
      </c>
      <c r="CJ2105" s="2">
        <v>1</v>
      </c>
      <c r="CK2105" s="2">
        <v>21</v>
      </c>
      <c r="CL2105" s="2" t="s">
        <v>86</v>
      </c>
      <c r="CM2105" s="2"/>
    </row>
    <row r="2106" spans="1:91">
      <c r="A2106" s="2" t="s">
        <v>71</v>
      </c>
      <c r="B2106" s="2" t="s">
        <v>72</v>
      </c>
      <c r="C2106" s="2" t="s">
        <v>73</v>
      </c>
      <c r="D2106" s="2"/>
      <c r="E2106" s="2" t="str">
        <f>"FES1162570113"</f>
        <v>FES1162570113</v>
      </c>
      <c r="F2106" s="3">
        <v>42965</v>
      </c>
      <c r="G2106" s="2">
        <v>201802</v>
      </c>
      <c r="H2106" s="2" t="s">
        <v>74</v>
      </c>
      <c r="I2106" s="2" t="s">
        <v>75</v>
      </c>
      <c r="J2106" s="2" t="s">
        <v>76</v>
      </c>
      <c r="K2106" s="2" t="s">
        <v>77</v>
      </c>
      <c r="L2106" s="2" t="s">
        <v>105</v>
      </c>
      <c r="M2106" s="2" t="s">
        <v>106</v>
      </c>
      <c r="N2106" s="2" t="s">
        <v>2654</v>
      </c>
      <c r="O2106" s="2" t="s">
        <v>100</v>
      </c>
      <c r="P2106" s="2" t="str">
        <f>"2170585898                    "</f>
        <v xml:space="preserve">2170585898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4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1</v>
      </c>
      <c r="BJ2106" s="2">
        <v>0.2</v>
      </c>
      <c r="BK2106" s="2">
        <v>1</v>
      </c>
      <c r="BL2106" s="2">
        <v>41.44</v>
      </c>
      <c r="BM2106" s="2">
        <v>5.8</v>
      </c>
      <c r="BN2106" s="2">
        <v>47.24</v>
      </c>
      <c r="BO2106" s="2">
        <v>47.24</v>
      </c>
      <c r="BP2106" s="2"/>
      <c r="BQ2106" s="2" t="s">
        <v>83</v>
      </c>
      <c r="BR2106" s="2" t="s">
        <v>84</v>
      </c>
      <c r="BS2106" s="3">
        <v>42968</v>
      </c>
      <c r="BT2106" s="4">
        <v>0.35833333333333334</v>
      </c>
      <c r="BU2106" s="2" t="s">
        <v>2655</v>
      </c>
      <c r="BV2106" s="2" t="s">
        <v>95</v>
      </c>
      <c r="BW2106" s="2"/>
      <c r="BX2106" s="2"/>
      <c r="BY2106" s="2">
        <v>1200</v>
      </c>
      <c r="BZ2106" s="2" t="s">
        <v>27</v>
      </c>
      <c r="CA2106" s="2" t="s">
        <v>869</v>
      </c>
      <c r="CB2106" s="2"/>
      <c r="CC2106" s="2" t="s">
        <v>106</v>
      </c>
      <c r="CD2106" s="2">
        <v>7460</v>
      </c>
      <c r="CE2106" s="2" t="s">
        <v>104</v>
      </c>
      <c r="CF2106" s="5">
        <v>42969</v>
      </c>
      <c r="CG2106" s="2"/>
      <c r="CH2106" s="2"/>
      <c r="CI2106" s="2">
        <v>1</v>
      </c>
      <c r="CJ2106" s="2">
        <v>1</v>
      </c>
      <c r="CK2106" s="2">
        <v>21</v>
      </c>
      <c r="CL2106" s="2" t="s">
        <v>86</v>
      </c>
      <c r="CM2106" s="2"/>
    </row>
    <row r="2107" spans="1:91">
      <c r="A2107" s="2" t="s">
        <v>71</v>
      </c>
      <c r="B2107" s="2" t="s">
        <v>72</v>
      </c>
      <c r="C2107" s="2" t="s">
        <v>73</v>
      </c>
      <c r="D2107" s="2"/>
      <c r="E2107" s="2" t="str">
        <f>"FES1162570092"</f>
        <v>FES1162570092</v>
      </c>
      <c r="F2107" s="3">
        <v>42965</v>
      </c>
      <c r="G2107" s="2">
        <v>201802</v>
      </c>
      <c r="H2107" s="2" t="s">
        <v>74</v>
      </c>
      <c r="I2107" s="2" t="s">
        <v>75</v>
      </c>
      <c r="J2107" s="2" t="s">
        <v>76</v>
      </c>
      <c r="K2107" s="2" t="s">
        <v>77</v>
      </c>
      <c r="L2107" s="2" t="s">
        <v>417</v>
      </c>
      <c r="M2107" s="2" t="s">
        <v>417</v>
      </c>
      <c r="N2107" s="2" t="s">
        <v>1414</v>
      </c>
      <c r="O2107" s="2" t="s">
        <v>100</v>
      </c>
      <c r="P2107" s="2" t="str">
        <f>"2170585877                    "</f>
        <v xml:space="preserve">2170585877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4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1</v>
      </c>
      <c r="BJ2107" s="2">
        <v>0.2</v>
      </c>
      <c r="BK2107" s="2">
        <v>1</v>
      </c>
      <c r="BL2107" s="2">
        <v>41.44</v>
      </c>
      <c r="BM2107" s="2">
        <v>5.8</v>
      </c>
      <c r="BN2107" s="2">
        <v>47.24</v>
      </c>
      <c r="BO2107" s="2">
        <v>47.24</v>
      </c>
      <c r="BP2107" s="2"/>
      <c r="BQ2107" s="2" t="s">
        <v>108</v>
      </c>
      <c r="BR2107" s="2" t="s">
        <v>84</v>
      </c>
      <c r="BS2107" s="3">
        <v>42968</v>
      </c>
      <c r="BT2107" s="4">
        <v>0.52777777777777779</v>
      </c>
      <c r="BU2107" s="2" t="s">
        <v>2656</v>
      </c>
      <c r="BV2107" s="2" t="s">
        <v>95</v>
      </c>
      <c r="BW2107" s="2"/>
      <c r="BX2107" s="2"/>
      <c r="BY2107" s="2">
        <v>1200</v>
      </c>
      <c r="BZ2107" s="2" t="s">
        <v>27</v>
      </c>
      <c r="CA2107" s="2" t="s">
        <v>420</v>
      </c>
      <c r="CB2107" s="2"/>
      <c r="CC2107" s="2" t="s">
        <v>417</v>
      </c>
      <c r="CD2107" s="2">
        <v>7646</v>
      </c>
      <c r="CE2107" s="2" t="s">
        <v>104</v>
      </c>
      <c r="CF2107" s="5">
        <v>42968</v>
      </c>
      <c r="CG2107" s="2"/>
      <c r="CH2107" s="2"/>
      <c r="CI2107" s="2">
        <v>1</v>
      </c>
      <c r="CJ2107" s="2">
        <v>1</v>
      </c>
      <c r="CK2107" s="2">
        <v>21</v>
      </c>
      <c r="CL2107" s="2" t="s">
        <v>86</v>
      </c>
      <c r="CM2107" s="2"/>
    </row>
    <row r="2108" spans="1:91">
      <c r="A2108" s="2" t="s">
        <v>71</v>
      </c>
      <c r="B2108" s="2" t="s">
        <v>72</v>
      </c>
      <c r="C2108" s="2" t="s">
        <v>73</v>
      </c>
      <c r="D2108" s="2"/>
      <c r="E2108" s="2" t="str">
        <f>"FES1162570122"</f>
        <v>FES1162570122</v>
      </c>
      <c r="F2108" s="3">
        <v>42965</v>
      </c>
      <c r="G2108" s="2">
        <v>201802</v>
      </c>
      <c r="H2108" s="2" t="s">
        <v>74</v>
      </c>
      <c r="I2108" s="2" t="s">
        <v>75</v>
      </c>
      <c r="J2108" s="2" t="s">
        <v>76</v>
      </c>
      <c r="K2108" s="2" t="s">
        <v>77</v>
      </c>
      <c r="L2108" s="2" t="s">
        <v>201</v>
      </c>
      <c r="M2108" s="2" t="s">
        <v>202</v>
      </c>
      <c r="N2108" s="2" t="s">
        <v>203</v>
      </c>
      <c r="O2108" s="2" t="s">
        <v>100</v>
      </c>
      <c r="P2108" s="2" t="str">
        <f>"2170585913                    "</f>
        <v xml:space="preserve">2170585913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4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1</v>
      </c>
      <c r="BJ2108" s="2">
        <v>0.2</v>
      </c>
      <c r="BK2108" s="2">
        <v>1</v>
      </c>
      <c r="BL2108" s="2">
        <v>41.44</v>
      </c>
      <c r="BM2108" s="2">
        <v>5.8</v>
      </c>
      <c r="BN2108" s="2">
        <v>47.24</v>
      </c>
      <c r="BO2108" s="2">
        <v>47.24</v>
      </c>
      <c r="BP2108" s="2"/>
      <c r="BQ2108" s="2" t="s">
        <v>83</v>
      </c>
      <c r="BR2108" s="2" t="s">
        <v>84</v>
      </c>
      <c r="BS2108" s="3">
        <v>42968</v>
      </c>
      <c r="BT2108" s="4">
        <v>0.41666666666666669</v>
      </c>
      <c r="BU2108" s="2" t="s">
        <v>2657</v>
      </c>
      <c r="BV2108" s="2" t="s">
        <v>95</v>
      </c>
      <c r="BW2108" s="2"/>
      <c r="BX2108" s="2"/>
      <c r="BY2108" s="2">
        <v>1200</v>
      </c>
      <c r="BZ2108" s="2" t="s">
        <v>27</v>
      </c>
      <c r="CA2108" s="2" t="s">
        <v>148</v>
      </c>
      <c r="CB2108" s="2"/>
      <c r="CC2108" s="2" t="s">
        <v>202</v>
      </c>
      <c r="CD2108" s="2">
        <v>7130</v>
      </c>
      <c r="CE2108" s="2" t="s">
        <v>104</v>
      </c>
      <c r="CF2108" s="5">
        <v>42970</v>
      </c>
      <c r="CG2108" s="2"/>
      <c r="CH2108" s="2"/>
      <c r="CI2108" s="2">
        <v>1</v>
      </c>
      <c r="CJ2108" s="2">
        <v>1</v>
      </c>
      <c r="CK2108" s="2">
        <v>21</v>
      </c>
      <c r="CL2108" s="2" t="s">
        <v>86</v>
      </c>
      <c r="CM2108" s="2"/>
    </row>
    <row r="2109" spans="1:91">
      <c r="A2109" s="2" t="s">
        <v>71</v>
      </c>
      <c r="B2109" s="2" t="s">
        <v>72</v>
      </c>
      <c r="C2109" s="2" t="s">
        <v>73</v>
      </c>
      <c r="D2109" s="2"/>
      <c r="E2109" s="2" t="str">
        <f>"FES1162570119"</f>
        <v>FES1162570119</v>
      </c>
      <c r="F2109" s="3">
        <v>42965</v>
      </c>
      <c r="G2109" s="2">
        <v>201802</v>
      </c>
      <c r="H2109" s="2" t="s">
        <v>74</v>
      </c>
      <c r="I2109" s="2" t="s">
        <v>75</v>
      </c>
      <c r="J2109" s="2" t="s">
        <v>76</v>
      </c>
      <c r="K2109" s="2" t="s">
        <v>77</v>
      </c>
      <c r="L2109" s="2" t="s">
        <v>105</v>
      </c>
      <c r="M2109" s="2" t="s">
        <v>106</v>
      </c>
      <c r="N2109" s="2" t="s">
        <v>397</v>
      </c>
      <c r="O2109" s="2" t="s">
        <v>100</v>
      </c>
      <c r="P2109" s="2" t="str">
        <f>"2170585906                    "</f>
        <v xml:space="preserve">2170585906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4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1</v>
      </c>
      <c r="BJ2109" s="2">
        <v>0.2</v>
      </c>
      <c r="BK2109" s="2">
        <v>1</v>
      </c>
      <c r="BL2109" s="2">
        <v>41.44</v>
      </c>
      <c r="BM2109" s="2">
        <v>5.8</v>
      </c>
      <c r="BN2109" s="2">
        <v>47.24</v>
      </c>
      <c r="BO2109" s="2">
        <v>47.24</v>
      </c>
      <c r="BP2109" s="2"/>
      <c r="BQ2109" s="2" t="s">
        <v>108</v>
      </c>
      <c r="BR2109" s="2" t="s">
        <v>84</v>
      </c>
      <c r="BS2109" s="3">
        <v>42968</v>
      </c>
      <c r="BT2109" s="4">
        <v>0.41875000000000001</v>
      </c>
      <c r="BU2109" s="2" t="s">
        <v>2658</v>
      </c>
      <c r="BV2109" s="2" t="s">
        <v>95</v>
      </c>
      <c r="BW2109" s="2"/>
      <c r="BX2109" s="2"/>
      <c r="BY2109" s="2">
        <v>1200</v>
      </c>
      <c r="BZ2109" s="2" t="s">
        <v>27</v>
      </c>
      <c r="CA2109" s="2" t="s">
        <v>1424</v>
      </c>
      <c r="CB2109" s="2"/>
      <c r="CC2109" s="2" t="s">
        <v>106</v>
      </c>
      <c r="CD2109" s="2">
        <v>7530</v>
      </c>
      <c r="CE2109" s="2" t="s">
        <v>104</v>
      </c>
      <c r="CF2109" s="5">
        <v>42969</v>
      </c>
      <c r="CG2109" s="2"/>
      <c r="CH2109" s="2"/>
      <c r="CI2109" s="2">
        <v>1</v>
      </c>
      <c r="CJ2109" s="2">
        <v>1</v>
      </c>
      <c r="CK2109" s="2">
        <v>21</v>
      </c>
      <c r="CL2109" s="2" t="s">
        <v>86</v>
      </c>
      <c r="CM2109" s="2"/>
    </row>
    <row r="2110" spans="1:91">
      <c r="A2110" s="2" t="s">
        <v>71</v>
      </c>
      <c r="B2110" s="2" t="s">
        <v>72</v>
      </c>
      <c r="C2110" s="2" t="s">
        <v>73</v>
      </c>
      <c r="D2110" s="2"/>
      <c r="E2110" s="2" t="str">
        <f>"FES1162570091"</f>
        <v>FES1162570091</v>
      </c>
      <c r="F2110" s="3">
        <v>42965</v>
      </c>
      <c r="G2110" s="2">
        <v>201802</v>
      </c>
      <c r="H2110" s="2" t="s">
        <v>74</v>
      </c>
      <c r="I2110" s="2" t="s">
        <v>75</v>
      </c>
      <c r="J2110" s="2" t="s">
        <v>76</v>
      </c>
      <c r="K2110" s="2" t="s">
        <v>77</v>
      </c>
      <c r="L2110" s="2" t="s">
        <v>1229</v>
      </c>
      <c r="M2110" s="2" t="s">
        <v>1230</v>
      </c>
      <c r="N2110" s="2" t="s">
        <v>1231</v>
      </c>
      <c r="O2110" s="2" t="s">
        <v>100</v>
      </c>
      <c r="P2110" s="2" t="str">
        <f>"2170585871                    "</f>
        <v xml:space="preserve">2170585871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3.13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1</v>
      </c>
      <c r="BJ2110" s="2">
        <v>0.2</v>
      </c>
      <c r="BK2110" s="2">
        <v>1</v>
      </c>
      <c r="BL2110" s="2">
        <v>32.380000000000003</v>
      </c>
      <c r="BM2110" s="2">
        <v>4.53</v>
      </c>
      <c r="BN2110" s="2">
        <v>36.909999999999997</v>
      </c>
      <c r="BO2110" s="2">
        <v>36.909999999999997</v>
      </c>
      <c r="BP2110" s="2"/>
      <c r="BQ2110" s="2" t="s">
        <v>83</v>
      </c>
      <c r="BR2110" s="2" t="s">
        <v>84</v>
      </c>
      <c r="BS2110" s="3">
        <v>42968</v>
      </c>
      <c r="BT2110" s="4">
        <v>0.4375</v>
      </c>
      <c r="BU2110" s="2" t="s">
        <v>1232</v>
      </c>
      <c r="BV2110" s="2" t="s">
        <v>95</v>
      </c>
      <c r="BW2110" s="2"/>
      <c r="BX2110" s="2"/>
      <c r="BY2110" s="2">
        <v>1200</v>
      </c>
      <c r="BZ2110" s="2" t="s">
        <v>27</v>
      </c>
      <c r="CA2110" s="2"/>
      <c r="CB2110" s="2"/>
      <c r="CC2110" s="2" t="s">
        <v>1230</v>
      </c>
      <c r="CD2110" s="2">
        <v>1449</v>
      </c>
      <c r="CE2110" s="2" t="s">
        <v>104</v>
      </c>
      <c r="CF2110" s="5">
        <v>42969</v>
      </c>
      <c r="CG2110" s="2"/>
      <c r="CH2110" s="2"/>
      <c r="CI2110" s="2">
        <v>1</v>
      </c>
      <c r="CJ2110" s="2">
        <v>1</v>
      </c>
      <c r="CK2110" s="2">
        <v>22</v>
      </c>
      <c r="CL2110" s="2" t="s">
        <v>86</v>
      </c>
      <c r="CM2110" s="2"/>
    </row>
    <row r="2111" spans="1:91">
      <c r="A2111" s="2" t="s">
        <v>71</v>
      </c>
      <c r="B2111" s="2" t="s">
        <v>72</v>
      </c>
      <c r="C2111" s="2" t="s">
        <v>73</v>
      </c>
      <c r="D2111" s="2"/>
      <c r="E2111" s="2" t="str">
        <f>"FES1162570081"</f>
        <v>FES1162570081</v>
      </c>
      <c r="F2111" s="3">
        <v>42965</v>
      </c>
      <c r="G2111" s="2">
        <v>201802</v>
      </c>
      <c r="H2111" s="2" t="s">
        <v>74</v>
      </c>
      <c r="I2111" s="2" t="s">
        <v>75</v>
      </c>
      <c r="J2111" s="2" t="s">
        <v>76</v>
      </c>
      <c r="K2111" s="2" t="s">
        <v>77</v>
      </c>
      <c r="L2111" s="2" t="s">
        <v>170</v>
      </c>
      <c r="M2111" s="2" t="s">
        <v>171</v>
      </c>
      <c r="N2111" s="2" t="s">
        <v>2252</v>
      </c>
      <c r="O2111" s="2" t="s">
        <v>100</v>
      </c>
      <c r="P2111" s="2" t="str">
        <f>"2170585870                    "</f>
        <v xml:space="preserve">2170585870 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3.13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1</v>
      </c>
      <c r="BJ2111" s="2">
        <v>0.2</v>
      </c>
      <c r="BK2111" s="2">
        <v>1</v>
      </c>
      <c r="BL2111" s="2">
        <v>32.380000000000003</v>
      </c>
      <c r="BM2111" s="2">
        <v>4.53</v>
      </c>
      <c r="BN2111" s="2">
        <v>36.909999999999997</v>
      </c>
      <c r="BO2111" s="2">
        <v>36.909999999999997</v>
      </c>
      <c r="BP2111" s="2"/>
      <c r="BQ2111" s="2" t="s">
        <v>83</v>
      </c>
      <c r="BR2111" s="2" t="s">
        <v>84</v>
      </c>
      <c r="BS2111" s="3">
        <v>42968</v>
      </c>
      <c r="BT2111" s="4">
        <v>0.41666666666666669</v>
      </c>
      <c r="BU2111" s="2" t="s">
        <v>2253</v>
      </c>
      <c r="BV2111" s="2" t="s">
        <v>95</v>
      </c>
      <c r="BW2111" s="2"/>
      <c r="BX2111" s="2"/>
      <c r="BY2111" s="2">
        <v>1200</v>
      </c>
      <c r="BZ2111" s="2" t="s">
        <v>27</v>
      </c>
      <c r="CA2111" s="2" t="s">
        <v>492</v>
      </c>
      <c r="CB2111" s="2"/>
      <c r="CC2111" s="2" t="s">
        <v>171</v>
      </c>
      <c r="CD2111" s="2">
        <v>1428</v>
      </c>
      <c r="CE2111" s="2" t="s">
        <v>104</v>
      </c>
      <c r="CF2111" s="5">
        <v>42972</v>
      </c>
      <c r="CG2111" s="2"/>
      <c r="CH2111" s="2"/>
      <c r="CI2111" s="2">
        <v>1</v>
      </c>
      <c r="CJ2111" s="2">
        <v>1</v>
      </c>
      <c r="CK2111" s="2">
        <v>22</v>
      </c>
      <c r="CL2111" s="2" t="s">
        <v>86</v>
      </c>
      <c r="CM2111" s="2"/>
    </row>
    <row r="2112" spans="1:91">
      <c r="A2112" s="2" t="s">
        <v>71</v>
      </c>
      <c r="B2112" s="2" t="s">
        <v>72</v>
      </c>
      <c r="C2112" s="2" t="s">
        <v>73</v>
      </c>
      <c r="D2112" s="2"/>
      <c r="E2112" s="2" t="str">
        <f>"FES1162570044"</f>
        <v>FES1162570044</v>
      </c>
      <c r="F2112" s="3">
        <v>42965</v>
      </c>
      <c r="G2112" s="2">
        <v>201802</v>
      </c>
      <c r="H2112" s="2" t="s">
        <v>74</v>
      </c>
      <c r="I2112" s="2" t="s">
        <v>75</v>
      </c>
      <c r="J2112" s="2" t="s">
        <v>76</v>
      </c>
      <c r="K2112" s="2" t="s">
        <v>77</v>
      </c>
      <c r="L2112" s="2" t="s">
        <v>221</v>
      </c>
      <c r="M2112" s="2" t="s">
        <v>222</v>
      </c>
      <c r="N2112" s="2" t="s">
        <v>1275</v>
      </c>
      <c r="O2112" s="2" t="s">
        <v>100</v>
      </c>
      <c r="P2112" s="2" t="str">
        <f>"2170585836                    "</f>
        <v xml:space="preserve">2170585836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4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1</v>
      </c>
      <c r="BJ2112" s="2">
        <v>0.2</v>
      </c>
      <c r="BK2112" s="2">
        <v>1</v>
      </c>
      <c r="BL2112" s="2">
        <v>41.44</v>
      </c>
      <c r="BM2112" s="2">
        <v>5.8</v>
      </c>
      <c r="BN2112" s="2">
        <v>47.24</v>
      </c>
      <c r="BO2112" s="2">
        <v>47.24</v>
      </c>
      <c r="BP2112" s="2"/>
      <c r="BQ2112" s="2" t="s">
        <v>227</v>
      </c>
      <c r="BR2112" s="2" t="s">
        <v>84</v>
      </c>
      <c r="BS2112" s="3">
        <v>42968</v>
      </c>
      <c r="BT2112" s="4">
        <v>0.39930555555555558</v>
      </c>
      <c r="BU2112" s="2" t="s">
        <v>2659</v>
      </c>
      <c r="BV2112" s="2" t="s">
        <v>95</v>
      </c>
      <c r="BW2112" s="2"/>
      <c r="BX2112" s="2"/>
      <c r="BY2112" s="2">
        <v>1200</v>
      </c>
      <c r="BZ2112" s="2" t="s">
        <v>27</v>
      </c>
      <c r="CA2112" s="2" t="s">
        <v>1536</v>
      </c>
      <c r="CB2112" s="2"/>
      <c r="CC2112" s="2" t="s">
        <v>222</v>
      </c>
      <c r="CD2112" s="2">
        <v>4300</v>
      </c>
      <c r="CE2112" s="2" t="s">
        <v>104</v>
      </c>
      <c r="CF2112" s="5">
        <v>42969</v>
      </c>
      <c r="CG2112" s="2"/>
      <c r="CH2112" s="2"/>
      <c r="CI2112" s="2">
        <v>1</v>
      </c>
      <c r="CJ2112" s="2">
        <v>1</v>
      </c>
      <c r="CK2112" s="2">
        <v>21</v>
      </c>
      <c r="CL2112" s="2" t="s">
        <v>86</v>
      </c>
      <c r="CM2112" s="2"/>
    </row>
    <row r="2113" spans="1:91">
      <c r="A2113" s="2" t="s">
        <v>71</v>
      </c>
      <c r="B2113" s="2" t="s">
        <v>72</v>
      </c>
      <c r="C2113" s="2" t="s">
        <v>73</v>
      </c>
      <c r="D2113" s="2"/>
      <c r="E2113" s="2" t="str">
        <f>"FES1162570073"</f>
        <v>FES1162570073</v>
      </c>
      <c r="F2113" s="3">
        <v>42965</v>
      </c>
      <c r="G2113" s="2">
        <v>201802</v>
      </c>
      <c r="H2113" s="2" t="s">
        <v>74</v>
      </c>
      <c r="I2113" s="2" t="s">
        <v>75</v>
      </c>
      <c r="J2113" s="2" t="s">
        <v>76</v>
      </c>
      <c r="K2113" s="2" t="s">
        <v>77</v>
      </c>
      <c r="L2113" s="2" t="s">
        <v>97</v>
      </c>
      <c r="M2113" s="2" t="s">
        <v>98</v>
      </c>
      <c r="N2113" s="2" t="s">
        <v>119</v>
      </c>
      <c r="O2113" s="2" t="s">
        <v>100</v>
      </c>
      <c r="P2113" s="2" t="str">
        <f>"2170580298                    "</f>
        <v xml:space="preserve">2170580298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4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1</v>
      </c>
      <c r="BJ2113" s="2">
        <v>0.2</v>
      </c>
      <c r="BK2113" s="2">
        <v>1</v>
      </c>
      <c r="BL2113" s="2">
        <v>41.44</v>
      </c>
      <c r="BM2113" s="2">
        <v>5.8</v>
      </c>
      <c r="BN2113" s="2">
        <v>47.24</v>
      </c>
      <c r="BO2113" s="2">
        <v>47.24</v>
      </c>
      <c r="BP2113" s="2"/>
      <c r="BQ2113" s="2" t="s">
        <v>108</v>
      </c>
      <c r="BR2113" s="2" t="s">
        <v>84</v>
      </c>
      <c r="BS2113" s="3">
        <v>42968</v>
      </c>
      <c r="BT2113" s="4">
        <v>0.36736111111111108</v>
      </c>
      <c r="BU2113" s="2" t="s">
        <v>2660</v>
      </c>
      <c r="BV2113" s="2" t="s">
        <v>95</v>
      </c>
      <c r="BW2113" s="2"/>
      <c r="BX2113" s="2"/>
      <c r="BY2113" s="2">
        <v>1200</v>
      </c>
      <c r="BZ2113" s="2" t="s">
        <v>27</v>
      </c>
      <c r="CA2113" s="2" t="s">
        <v>286</v>
      </c>
      <c r="CB2113" s="2"/>
      <c r="CC2113" s="2" t="s">
        <v>98</v>
      </c>
      <c r="CD2113" s="2">
        <v>6001</v>
      </c>
      <c r="CE2113" s="2" t="s">
        <v>104</v>
      </c>
      <c r="CF2113" s="5">
        <v>42969</v>
      </c>
      <c r="CG2113" s="2"/>
      <c r="CH2113" s="2"/>
      <c r="CI2113" s="2">
        <v>1</v>
      </c>
      <c r="CJ2113" s="2">
        <v>1</v>
      </c>
      <c r="CK2113" s="2">
        <v>21</v>
      </c>
      <c r="CL2113" s="2" t="s">
        <v>86</v>
      </c>
      <c r="CM2113" s="2"/>
    </row>
    <row r="2114" spans="1:91">
      <c r="A2114" s="2" t="s">
        <v>71</v>
      </c>
      <c r="B2114" s="2" t="s">
        <v>72</v>
      </c>
      <c r="C2114" s="2" t="s">
        <v>73</v>
      </c>
      <c r="D2114" s="2"/>
      <c r="E2114" s="2" t="str">
        <f>"FES1162570082"</f>
        <v>FES1162570082</v>
      </c>
      <c r="F2114" s="3">
        <v>42965</v>
      </c>
      <c r="G2114" s="2">
        <v>201802</v>
      </c>
      <c r="H2114" s="2" t="s">
        <v>74</v>
      </c>
      <c r="I2114" s="2" t="s">
        <v>75</v>
      </c>
      <c r="J2114" s="2" t="s">
        <v>76</v>
      </c>
      <c r="K2114" s="2" t="s">
        <v>77</v>
      </c>
      <c r="L2114" s="2" t="s">
        <v>841</v>
      </c>
      <c r="M2114" s="2" t="s">
        <v>842</v>
      </c>
      <c r="N2114" s="2" t="s">
        <v>843</v>
      </c>
      <c r="O2114" s="2" t="s">
        <v>100</v>
      </c>
      <c r="P2114" s="2" t="str">
        <f>"2170585872                    "</f>
        <v xml:space="preserve">2170585872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7.75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1</v>
      </c>
      <c r="BI2114" s="2">
        <v>1</v>
      </c>
      <c r="BJ2114" s="2">
        <v>0.2</v>
      </c>
      <c r="BK2114" s="2">
        <v>1</v>
      </c>
      <c r="BL2114" s="2">
        <v>80.290000000000006</v>
      </c>
      <c r="BM2114" s="2">
        <v>11.24</v>
      </c>
      <c r="BN2114" s="2">
        <v>91.53</v>
      </c>
      <c r="BO2114" s="2">
        <v>91.53</v>
      </c>
      <c r="BP2114" s="2"/>
      <c r="BQ2114" s="2" t="s">
        <v>83</v>
      </c>
      <c r="BR2114" s="2" t="s">
        <v>84</v>
      </c>
      <c r="BS2114" s="3">
        <v>42968</v>
      </c>
      <c r="BT2114" s="4">
        <v>0.45833333333333331</v>
      </c>
      <c r="BU2114" s="2" t="s">
        <v>844</v>
      </c>
      <c r="BV2114" s="2" t="s">
        <v>95</v>
      </c>
      <c r="BW2114" s="2"/>
      <c r="BX2114" s="2"/>
      <c r="BY2114" s="2">
        <v>1200</v>
      </c>
      <c r="BZ2114" s="2" t="s">
        <v>27</v>
      </c>
      <c r="CA2114" s="2"/>
      <c r="CB2114" s="2"/>
      <c r="CC2114" s="2" t="s">
        <v>842</v>
      </c>
      <c r="CD2114" s="2">
        <v>3370</v>
      </c>
      <c r="CE2114" s="2" t="s">
        <v>104</v>
      </c>
      <c r="CF2114" s="5">
        <v>42970</v>
      </c>
      <c r="CG2114" s="2"/>
      <c r="CH2114" s="2"/>
      <c r="CI2114" s="2">
        <v>3</v>
      </c>
      <c r="CJ2114" s="2">
        <v>1</v>
      </c>
      <c r="CK2114" s="2">
        <v>23</v>
      </c>
      <c r="CL2114" s="2" t="s">
        <v>86</v>
      </c>
      <c r="CM2114" s="2"/>
    </row>
    <row r="2115" spans="1:91">
      <c r="A2115" s="2" t="s">
        <v>71</v>
      </c>
      <c r="B2115" s="2" t="s">
        <v>72</v>
      </c>
      <c r="C2115" s="2" t="s">
        <v>73</v>
      </c>
      <c r="D2115" s="2"/>
      <c r="E2115" s="2" t="str">
        <f>"FES11625670124"</f>
        <v>FES11625670124</v>
      </c>
      <c r="F2115" s="3">
        <v>42965</v>
      </c>
      <c r="G2115" s="2">
        <v>201802</v>
      </c>
      <c r="H2115" s="2" t="s">
        <v>74</v>
      </c>
      <c r="I2115" s="2" t="s">
        <v>75</v>
      </c>
      <c r="J2115" s="2" t="s">
        <v>76</v>
      </c>
      <c r="K2115" s="2" t="s">
        <v>77</v>
      </c>
      <c r="L2115" s="2" t="s">
        <v>510</v>
      </c>
      <c r="M2115" s="2" t="s">
        <v>511</v>
      </c>
      <c r="N2115" s="2" t="s">
        <v>1504</v>
      </c>
      <c r="O2115" s="2" t="s">
        <v>100</v>
      </c>
      <c r="P2115" s="2" t="str">
        <f>"2170585904                    "</f>
        <v xml:space="preserve">2170585904 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4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1</v>
      </c>
      <c r="BI2115" s="2">
        <v>1</v>
      </c>
      <c r="BJ2115" s="2">
        <v>0.2</v>
      </c>
      <c r="BK2115" s="2">
        <v>1</v>
      </c>
      <c r="BL2115" s="2">
        <v>41.44</v>
      </c>
      <c r="BM2115" s="2">
        <v>5.8</v>
      </c>
      <c r="BN2115" s="2">
        <v>47.24</v>
      </c>
      <c r="BO2115" s="2">
        <v>47.24</v>
      </c>
      <c r="BP2115" s="2"/>
      <c r="BQ2115" s="2" t="s">
        <v>108</v>
      </c>
      <c r="BR2115" s="2" t="s">
        <v>84</v>
      </c>
      <c r="BS2115" s="3">
        <v>42968</v>
      </c>
      <c r="BT2115" s="4">
        <v>0.31597222222222221</v>
      </c>
      <c r="BU2115" s="2" t="s">
        <v>2603</v>
      </c>
      <c r="BV2115" s="2" t="s">
        <v>95</v>
      </c>
      <c r="BW2115" s="2"/>
      <c r="BX2115" s="2"/>
      <c r="BY2115" s="2">
        <v>1200</v>
      </c>
      <c r="BZ2115" s="2" t="s">
        <v>27</v>
      </c>
      <c r="CA2115" s="2" t="s">
        <v>872</v>
      </c>
      <c r="CB2115" s="2"/>
      <c r="CC2115" s="2" t="s">
        <v>511</v>
      </c>
      <c r="CD2115" s="2">
        <v>6230</v>
      </c>
      <c r="CE2115" s="2" t="s">
        <v>104</v>
      </c>
      <c r="CF2115" s="2"/>
      <c r="CG2115" s="2"/>
      <c r="CH2115" s="2"/>
      <c r="CI2115" s="2">
        <v>1</v>
      </c>
      <c r="CJ2115" s="2">
        <v>1</v>
      </c>
      <c r="CK2115" s="2">
        <v>21</v>
      </c>
      <c r="CL2115" s="2" t="s">
        <v>86</v>
      </c>
      <c r="CM2115" s="2"/>
    </row>
    <row r="2116" spans="1:91">
      <c r="A2116" s="2" t="s">
        <v>71</v>
      </c>
      <c r="B2116" s="2" t="s">
        <v>72</v>
      </c>
      <c r="C2116" s="2" t="s">
        <v>73</v>
      </c>
      <c r="D2116" s="2"/>
      <c r="E2116" s="2" t="str">
        <f>"FES11625670112"</f>
        <v>FES11625670112</v>
      </c>
      <c r="F2116" s="3">
        <v>42965</v>
      </c>
      <c r="G2116" s="2">
        <v>201802</v>
      </c>
      <c r="H2116" s="2" t="s">
        <v>74</v>
      </c>
      <c r="I2116" s="2" t="s">
        <v>75</v>
      </c>
      <c r="J2116" s="2" t="s">
        <v>76</v>
      </c>
      <c r="K2116" s="2" t="s">
        <v>77</v>
      </c>
      <c r="L2116" s="2" t="s">
        <v>97</v>
      </c>
      <c r="M2116" s="2" t="s">
        <v>98</v>
      </c>
      <c r="N2116" s="2" t="s">
        <v>500</v>
      </c>
      <c r="O2116" s="2" t="s">
        <v>100</v>
      </c>
      <c r="P2116" s="2" t="str">
        <f>"2170585897                    "</f>
        <v xml:space="preserve">2170585897 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4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1</v>
      </c>
      <c r="BJ2116" s="2">
        <v>0.2</v>
      </c>
      <c r="BK2116" s="2">
        <v>1</v>
      </c>
      <c r="BL2116" s="2">
        <v>41.44</v>
      </c>
      <c r="BM2116" s="2">
        <v>5.8</v>
      </c>
      <c r="BN2116" s="2">
        <v>47.24</v>
      </c>
      <c r="BO2116" s="2">
        <v>47.24</v>
      </c>
      <c r="BP2116" s="2"/>
      <c r="BQ2116" s="2" t="s">
        <v>108</v>
      </c>
      <c r="BR2116" s="2" t="s">
        <v>84</v>
      </c>
      <c r="BS2116" s="3">
        <v>42968</v>
      </c>
      <c r="BT2116" s="4">
        <v>0.3576388888888889</v>
      </c>
      <c r="BU2116" s="2" t="s">
        <v>803</v>
      </c>
      <c r="BV2116" s="2" t="s">
        <v>95</v>
      </c>
      <c r="BW2116" s="2"/>
      <c r="BX2116" s="2"/>
      <c r="BY2116" s="2">
        <v>1200</v>
      </c>
      <c r="BZ2116" s="2" t="s">
        <v>27</v>
      </c>
      <c r="CA2116" s="2" t="s">
        <v>804</v>
      </c>
      <c r="CB2116" s="2"/>
      <c r="CC2116" s="2" t="s">
        <v>98</v>
      </c>
      <c r="CD2116" s="2">
        <v>6001</v>
      </c>
      <c r="CE2116" s="2" t="s">
        <v>104</v>
      </c>
      <c r="CF2116" s="5">
        <v>42968</v>
      </c>
      <c r="CG2116" s="2"/>
      <c r="CH2116" s="2"/>
      <c r="CI2116" s="2">
        <v>1</v>
      </c>
      <c r="CJ2116" s="2">
        <v>1</v>
      </c>
      <c r="CK2116" s="2">
        <v>21</v>
      </c>
      <c r="CL2116" s="2" t="s">
        <v>86</v>
      </c>
      <c r="CM2116" s="2"/>
    </row>
    <row r="2117" spans="1:91">
      <c r="A2117" s="2" t="s">
        <v>71</v>
      </c>
      <c r="B2117" s="2" t="s">
        <v>72</v>
      </c>
      <c r="C2117" s="2" t="s">
        <v>73</v>
      </c>
      <c r="D2117" s="2"/>
      <c r="E2117" s="2" t="str">
        <f>"FES1162570053"</f>
        <v>FES1162570053</v>
      </c>
      <c r="F2117" s="3">
        <v>42965</v>
      </c>
      <c r="G2117" s="2">
        <v>201802</v>
      </c>
      <c r="H2117" s="2" t="s">
        <v>74</v>
      </c>
      <c r="I2117" s="2" t="s">
        <v>75</v>
      </c>
      <c r="J2117" s="2" t="s">
        <v>76</v>
      </c>
      <c r="K2117" s="2" t="s">
        <v>77</v>
      </c>
      <c r="L2117" s="2" t="s">
        <v>216</v>
      </c>
      <c r="M2117" s="2" t="s">
        <v>217</v>
      </c>
      <c r="N2117" s="2" t="s">
        <v>351</v>
      </c>
      <c r="O2117" s="2" t="s">
        <v>100</v>
      </c>
      <c r="P2117" s="2" t="str">
        <f>"2170585846                    "</f>
        <v xml:space="preserve">2170585846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3.13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1</v>
      </c>
      <c r="BI2117" s="2">
        <v>1</v>
      </c>
      <c r="BJ2117" s="2">
        <v>0.2</v>
      </c>
      <c r="BK2117" s="2">
        <v>1</v>
      </c>
      <c r="BL2117" s="2">
        <v>32.380000000000003</v>
      </c>
      <c r="BM2117" s="2">
        <v>4.53</v>
      </c>
      <c r="BN2117" s="2">
        <v>36.909999999999997</v>
      </c>
      <c r="BO2117" s="2">
        <v>36.909999999999997</v>
      </c>
      <c r="BP2117" s="2"/>
      <c r="BQ2117" s="2" t="s">
        <v>288</v>
      </c>
      <c r="BR2117" s="2" t="s">
        <v>84</v>
      </c>
      <c r="BS2117" s="3">
        <v>42969</v>
      </c>
      <c r="BT2117" s="4">
        <v>0.41666666666666669</v>
      </c>
      <c r="BU2117" s="2" t="s">
        <v>2661</v>
      </c>
      <c r="BV2117" s="2" t="s">
        <v>86</v>
      </c>
      <c r="BW2117" s="2" t="s">
        <v>548</v>
      </c>
      <c r="BX2117" s="2" t="s">
        <v>1452</v>
      </c>
      <c r="BY2117" s="2">
        <v>1200</v>
      </c>
      <c r="BZ2117" s="2" t="s">
        <v>27</v>
      </c>
      <c r="CA2117" s="2" t="s">
        <v>550</v>
      </c>
      <c r="CB2117" s="2"/>
      <c r="CC2117" s="2" t="s">
        <v>217</v>
      </c>
      <c r="CD2117" s="2">
        <v>1451</v>
      </c>
      <c r="CE2117" s="2" t="s">
        <v>104</v>
      </c>
      <c r="CF2117" s="5">
        <v>42971</v>
      </c>
      <c r="CG2117" s="2"/>
      <c r="CH2117" s="2"/>
      <c r="CI2117" s="2">
        <v>1</v>
      </c>
      <c r="CJ2117" s="2">
        <v>2</v>
      </c>
      <c r="CK2117" s="2">
        <v>22</v>
      </c>
      <c r="CL2117" s="2" t="s">
        <v>86</v>
      </c>
      <c r="CM2117" s="2"/>
    </row>
    <row r="2118" spans="1:91">
      <c r="A2118" s="2" t="s">
        <v>71</v>
      </c>
      <c r="B2118" s="2" t="s">
        <v>72</v>
      </c>
      <c r="C2118" s="2" t="s">
        <v>73</v>
      </c>
      <c r="D2118" s="2"/>
      <c r="E2118" s="2" t="str">
        <f>"FES1162570050"</f>
        <v>FES1162570050</v>
      </c>
      <c r="F2118" s="3">
        <v>42965</v>
      </c>
      <c r="G2118" s="2">
        <v>201802</v>
      </c>
      <c r="H2118" s="2" t="s">
        <v>74</v>
      </c>
      <c r="I2118" s="2" t="s">
        <v>75</v>
      </c>
      <c r="J2118" s="2" t="s">
        <v>76</v>
      </c>
      <c r="K2118" s="2" t="s">
        <v>77</v>
      </c>
      <c r="L2118" s="2" t="s">
        <v>144</v>
      </c>
      <c r="M2118" s="2" t="s">
        <v>145</v>
      </c>
      <c r="N2118" s="2" t="s">
        <v>146</v>
      </c>
      <c r="O2118" s="2" t="s">
        <v>100</v>
      </c>
      <c r="P2118" s="2" t="str">
        <f>"2170585841                    "</f>
        <v xml:space="preserve">2170585841 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3.13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3</v>
      </c>
      <c r="BJ2118" s="2">
        <v>0.6</v>
      </c>
      <c r="BK2118" s="2">
        <v>3</v>
      </c>
      <c r="BL2118" s="2">
        <v>32.380000000000003</v>
      </c>
      <c r="BM2118" s="2">
        <v>4.53</v>
      </c>
      <c r="BN2118" s="2">
        <v>36.909999999999997</v>
      </c>
      <c r="BO2118" s="2">
        <v>36.909999999999997</v>
      </c>
      <c r="BP2118" s="2"/>
      <c r="BQ2118" s="2" t="s">
        <v>83</v>
      </c>
      <c r="BR2118" s="2" t="s">
        <v>84</v>
      </c>
      <c r="BS2118" s="3">
        <v>42968</v>
      </c>
      <c r="BT2118" s="4">
        <v>0.375</v>
      </c>
      <c r="BU2118" s="2" t="s">
        <v>2624</v>
      </c>
      <c r="BV2118" s="2" t="s">
        <v>95</v>
      </c>
      <c r="BW2118" s="2"/>
      <c r="BX2118" s="2"/>
      <c r="BY2118" s="2">
        <v>3159</v>
      </c>
      <c r="BZ2118" s="2" t="s">
        <v>27</v>
      </c>
      <c r="CA2118" s="2" t="s">
        <v>729</v>
      </c>
      <c r="CB2118" s="2"/>
      <c r="CC2118" s="2" t="s">
        <v>145</v>
      </c>
      <c r="CD2118" s="2">
        <v>2094</v>
      </c>
      <c r="CE2118" s="2" t="s">
        <v>89</v>
      </c>
      <c r="CF2118" s="5">
        <v>42969</v>
      </c>
      <c r="CG2118" s="2"/>
      <c r="CH2118" s="2"/>
      <c r="CI2118" s="2">
        <v>1</v>
      </c>
      <c r="CJ2118" s="2">
        <v>1</v>
      </c>
      <c r="CK2118" s="2">
        <v>22</v>
      </c>
      <c r="CL2118" s="2" t="s">
        <v>86</v>
      </c>
      <c r="CM2118" s="2"/>
    </row>
    <row r="2119" spans="1:91">
      <c r="A2119" s="2" t="s">
        <v>71</v>
      </c>
      <c r="B2119" s="2" t="s">
        <v>72</v>
      </c>
      <c r="C2119" s="2" t="s">
        <v>73</v>
      </c>
      <c r="D2119" s="2"/>
      <c r="E2119" s="2" t="str">
        <f>"FES1162569915"</f>
        <v>FES1162569915</v>
      </c>
      <c r="F2119" s="3">
        <v>42965</v>
      </c>
      <c r="G2119" s="2">
        <v>201802</v>
      </c>
      <c r="H2119" s="2" t="s">
        <v>74</v>
      </c>
      <c r="I2119" s="2" t="s">
        <v>75</v>
      </c>
      <c r="J2119" s="2" t="s">
        <v>76</v>
      </c>
      <c r="K2119" s="2" t="s">
        <v>77</v>
      </c>
      <c r="L2119" s="2" t="s">
        <v>144</v>
      </c>
      <c r="M2119" s="2" t="s">
        <v>145</v>
      </c>
      <c r="N2119" s="2" t="s">
        <v>2662</v>
      </c>
      <c r="O2119" s="2" t="s">
        <v>100</v>
      </c>
      <c r="P2119" s="2" t="str">
        <f>"2170583617                    "</f>
        <v xml:space="preserve">2170583617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3.13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1</v>
      </c>
      <c r="BJ2119" s="2">
        <v>0.2</v>
      </c>
      <c r="BK2119" s="2">
        <v>1</v>
      </c>
      <c r="BL2119" s="2">
        <v>32.380000000000003</v>
      </c>
      <c r="BM2119" s="2">
        <v>4.53</v>
      </c>
      <c r="BN2119" s="2">
        <v>36.909999999999997</v>
      </c>
      <c r="BO2119" s="2">
        <v>36.909999999999997</v>
      </c>
      <c r="BP2119" s="2"/>
      <c r="BQ2119" s="2" t="s">
        <v>288</v>
      </c>
      <c r="BR2119" s="2" t="s">
        <v>84</v>
      </c>
      <c r="BS2119" s="3">
        <v>42968</v>
      </c>
      <c r="BT2119" s="4">
        <v>0.35416666666666669</v>
      </c>
      <c r="BU2119" s="2" t="s">
        <v>2663</v>
      </c>
      <c r="BV2119" s="2" t="s">
        <v>95</v>
      </c>
      <c r="BW2119" s="2"/>
      <c r="BX2119" s="2"/>
      <c r="BY2119" s="2">
        <v>1200</v>
      </c>
      <c r="BZ2119" s="2" t="s">
        <v>27</v>
      </c>
      <c r="CA2119" s="2" t="s">
        <v>1952</v>
      </c>
      <c r="CB2119" s="2"/>
      <c r="CC2119" s="2" t="s">
        <v>145</v>
      </c>
      <c r="CD2119" s="2">
        <v>2090</v>
      </c>
      <c r="CE2119" s="2" t="s">
        <v>104</v>
      </c>
      <c r="CF2119" s="5">
        <v>42969</v>
      </c>
      <c r="CG2119" s="2"/>
      <c r="CH2119" s="2"/>
      <c r="CI2119" s="2">
        <v>1</v>
      </c>
      <c r="CJ2119" s="2">
        <v>1</v>
      </c>
      <c r="CK2119" s="2">
        <v>22</v>
      </c>
      <c r="CL2119" s="2" t="s">
        <v>86</v>
      </c>
      <c r="CM2119" s="2"/>
    </row>
    <row r="2120" spans="1:91">
      <c r="A2120" s="2" t="s">
        <v>71</v>
      </c>
      <c r="B2120" s="2" t="s">
        <v>72</v>
      </c>
      <c r="C2120" s="2" t="s">
        <v>73</v>
      </c>
      <c r="D2120" s="2"/>
      <c r="E2120" s="2" t="str">
        <f>"FES1162569955"</f>
        <v>FES1162569955</v>
      </c>
      <c r="F2120" s="3">
        <v>42965</v>
      </c>
      <c r="G2120" s="2">
        <v>201802</v>
      </c>
      <c r="H2120" s="2" t="s">
        <v>74</v>
      </c>
      <c r="I2120" s="2" t="s">
        <v>75</v>
      </c>
      <c r="J2120" s="2" t="s">
        <v>76</v>
      </c>
      <c r="K2120" s="2" t="s">
        <v>77</v>
      </c>
      <c r="L2120" s="2" t="s">
        <v>216</v>
      </c>
      <c r="M2120" s="2" t="s">
        <v>217</v>
      </c>
      <c r="N2120" s="2" t="s">
        <v>2664</v>
      </c>
      <c r="O2120" s="2" t="s">
        <v>100</v>
      </c>
      <c r="P2120" s="2" t="str">
        <f>"2170585732                    "</f>
        <v xml:space="preserve">2170585732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3.13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1</v>
      </c>
      <c r="BJ2120" s="2">
        <v>0.2</v>
      </c>
      <c r="BK2120" s="2">
        <v>1</v>
      </c>
      <c r="BL2120" s="2">
        <v>32.380000000000003</v>
      </c>
      <c r="BM2120" s="2">
        <v>4.53</v>
      </c>
      <c r="BN2120" s="2">
        <v>36.909999999999997</v>
      </c>
      <c r="BO2120" s="2">
        <v>36.909999999999997</v>
      </c>
      <c r="BP2120" s="2"/>
      <c r="BQ2120" s="2" t="s">
        <v>288</v>
      </c>
      <c r="BR2120" s="2" t="s">
        <v>84</v>
      </c>
      <c r="BS2120" s="3">
        <v>42968</v>
      </c>
      <c r="BT2120" s="4">
        <v>0.4375</v>
      </c>
      <c r="BU2120" s="2" t="s">
        <v>2665</v>
      </c>
      <c r="BV2120" s="2" t="s">
        <v>95</v>
      </c>
      <c r="BW2120" s="2"/>
      <c r="BX2120" s="2"/>
      <c r="BY2120" s="2">
        <v>1200</v>
      </c>
      <c r="BZ2120" s="2" t="s">
        <v>27</v>
      </c>
      <c r="CA2120" s="2" t="s">
        <v>220</v>
      </c>
      <c r="CB2120" s="2"/>
      <c r="CC2120" s="2" t="s">
        <v>217</v>
      </c>
      <c r="CD2120" s="2">
        <v>1451</v>
      </c>
      <c r="CE2120" s="2" t="s">
        <v>104</v>
      </c>
      <c r="CF2120" s="5">
        <v>42969</v>
      </c>
      <c r="CG2120" s="2"/>
      <c r="CH2120" s="2"/>
      <c r="CI2120" s="2">
        <v>1</v>
      </c>
      <c r="CJ2120" s="2">
        <v>1</v>
      </c>
      <c r="CK2120" s="2">
        <v>22</v>
      </c>
      <c r="CL2120" s="2" t="s">
        <v>86</v>
      </c>
      <c r="CM2120" s="2"/>
    </row>
    <row r="2121" spans="1:91">
      <c r="A2121" s="2" t="s">
        <v>71</v>
      </c>
      <c r="B2121" s="2" t="s">
        <v>72</v>
      </c>
      <c r="C2121" s="2" t="s">
        <v>73</v>
      </c>
      <c r="D2121" s="2"/>
      <c r="E2121" s="2" t="str">
        <f>"FES1162570056"</f>
        <v>FES1162570056</v>
      </c>
      <c r="F2121" s="3">
        <v>42965</v>
      </c>
      <c r="G2121" s="2">
        <v>201802</v>
      </c>
      <c r="H2121" s="2" t="s">
        <v>74</v>
      </c>
      <c r="I2121" s="2" t="s">
        <v>75</v>
      </c>
      <c r="J2121" s="2" t="s">
        <v>76</v>
      </c>
      <c r="K2121" s="2" t="s">
        <v>77</v>
      </c>
      <c r="L2121" s="2" t="s">
        <v>137</v>
      </c>
      <c r="M2121" s="2" t="s">
        <v>138</v>
      </c>
      <c r="N2121" s="2" t="s">
        <v>964</v>
      </c>
      <c r="O2121" s="2" t="s">
        <v>100</v>
      </c>
      <c r="P2121" s="2" t="str">
        <f>"2170585848                    "</f>
        <v xml:space="preserve">2170585848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6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3</v>
      </c>
      <c r="BJ2121" s="2">
        <v>0.2</v>
      </c>
      <c r="BK2121" s="2">
        <v>3</v>
      </c>
      <c r="BL2121" s="2">
        <v>62.16</v>
      </c>
      <c r="BM2121" s="2">
        <v>8.6999999999999993</v>
      </c>
      <c r="BN2121" s="2">
        <v>70.86</v>
      </c>
      <c r="BO2121" s="2">
        <v>70.86</v>
      </c>
      <c r="BP2121" s="2"/>
      <c r="BQ2121" s="2" t="s">
        <v>288</v>
      </c>
      <c r="BR2121" s="2" t="s">
        <v>84</v>
      </c>
      <c r="BS2121" s="1" t="s">
        <v>1200</v>
      </c>
      <c r="BT2121" s="2"/>
      <c r="BU2121" s="2"/>
      <c r="BV2121" s="2"/>
      <c r="BW2121" s="2"/>
      <c r="BX2121" s="2"/>
      <c r="BY2121" s="2">
        <v>1200</v>
      </c>
      <c r="BZ2121" s="2" t="s">
        <v>27</v>
      </c>
      <c r="CA2121" s="2"/>
      <c r="CB2121" s="2"/>
      <c r="CC2121" s="2" t="s">
        <v>138</v>
      </c>
      <c r="CD2121" s="2">
        <v>157</v>
      </c>
      <c r="CE2121" s="2" t="s">
        <v>104</v>
      </c>
      <c r="CF2121" s="2"/>
      <c r="CG2121" s="2"/>
      <c r="CH2121" s="2"/>
      <c r="CI2121" s="2">
        <v>1</v>
      </c>
      <c r="CJ2121" s="2" t="s">
        <v>1200</v>
      </c>
      <c r="CK2121" s="2">
        <v>21</v>
      </c>
      <c r="CL2121" s="2" t="s">
        <v>86</v>
      </c>
      <c r="CM2121" s="2"/>
    </row>
    <row r="2122" spans="1:91">
      <c r="A2122" s="2" t="s">
        <v>71</v>
      </c>
      <c r="B2122" s="2" t="s">
        <v>72</v>
      </c>
      <c r="C2122" s="2" t="s">
        <v>73</v>
      </c>
      <c r="D2122" s="2"/>
      <c r="E2122" s="2" t="str">
        <f>"FES1162570079"</f>
        <v>FES1162570079</v>
      </c>
      <c r="F2122" s="3">
        <v>42965</v>
      </c>
      <c r="G2122" s="2">
        <v>201802</v>
      </c>
      <c r="H2122" s="2" t="s">
        <v>74</v>
      </c>
      <c r="I2122" s="2" t="s">
        <v>75</v>
      </c>
      <c r="J2122" s="2" t="s">
        <v>76</v>
      </c>
      <c r="K2122" s="2" t="s">
        <v>77</v>
      </c>
      <c r="L2122" s="2" t="s">
        <v>97</v>
      </c>
      <c r="M2122" s="2" t="s">
        <v>98</v>
      </c>
      <c r="N2122" s="2" t="s">
        <v>1210</v>
      </c>
      <c r="O2122" s="2" t="s">
        <v>100</v>
      </c>
      <c r="P2122" s="2" t="str">
        <f>"2170585868                    "</f>
        <v xml:space="preserve">2170585868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4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1</v>
      </c>
      <c r="BJ2122" s="2">
        <v>0.2</v>
      </c>
      <c r="BK2122" s="2">
        <v>1</v>
      </c>
      <c r="BL2122" s="2">
        <v>41.44</v>
      </c>
      <c r="BM2122" s="2">
        <v>5.8</v>
      </c>
      <c r="BN2122" s="2">
        <v>47.24</v>
      </c>
      <c r="BO2122" s="2">
        <v>47.24</v>
      </c>
      <c r="BP2122" s="2"/>
      <c r="BQ2122" s="2" t="s">
        <v>108</v>
      </c>
      <c r="BR2122" s="2" t="s">
        <v>84</v>
      </c>
      <c r="BS2122" s="3">
        <v>42968</v>
      </c>
      <c r="BT2122" s="4">
        <v>0.4284722222222222</v>
      </c>
      <c r="BU2122" s="2" t="s">
        <v>2666</v>
      </c>
      <c r="BV2122" s="2" t="s">
        <v>95</v>
      </c>
      <c r="BW2122" s="2"/>
      <c r="BX2122" s="2"/>
      <c r="BY2122" s="2">
        <v>1200</v>
      </c>
      <c r="BZ2122" s="2" t="s">
        <v>27</v>
      </c>
      <c r="CA2122" s="2" t="s">
        <v>618</v>
      </c>
      <c r="CB2122" s="2"/>
      <c r="CC2122" s="2" t="s">
        <v>98</v>
      </c>
      <c r="CD2122" s="2">
        <v>6012</v>
      </c>
      <c r="CE2122" s="2" t="s">
        <v>104</v>
      </c>
      <c r="CF2122" s="5">
        <v>42969</v>
      </c>
      <c r="CG2122" s="2"/>
      <c r="CH2122" s="2"/>
      <c r="CI2122" s="2">
        <v>1</v>
      </c>
      <c r="CJ2122" s="2">
        <v>1</v>
      </c>
      <c r="CK2122" s="2">
        <v>21</v>
      </c>
      <c r="CL2122" s="2" t="s">
        <v>86</v>
      </c>
      <c r="CM2122" s="2"/>
    </row>
    <row r="2123" spans="1:91">
      <c r="A2123" s="2" t="s">
        <v>71</v>
      </c>
      <c r="B2123" s="2" t="s">
        <v>72</v>
      </c>
      <c r="C2123" s="2" t="s">
        <v>73</v>
      </c>
      <c r="D2123" s="2"/>
      <c r="E2123" s="2" t="str">
        <f>"FES1162569924"</f>
        <v>FES1162569924</v>
      </c>
      <c r="F2123" s="3">
        <v>42965</v>
      </c>
      <c r="G2123" s="2">
        <v>201802</v>
      </c>
      <c r="H2123" s="2" t="s">
        <v>74</v>
      </c>
      <c r="I2123" s="2" t="s">
        <v>75</v>
      </c>
      <c r="J2123" s="2" t="s">
        <v>76</v>
      </c>
      <c r="K2123" s="2" t="s">
        <v>77</v>
      </c>
      <c r="L2123" s="2" t="s">
        <v>539</v>
      </c>
      <c r="M2123" s="2" t="s">
        <v>540</v>
      </c>
      <c r="N2123" s="2" t="s">
        <v>541</v>
      </c>
      <c r="O2123" s="2" t="s">
        <v>100</v>
      </c>
      <c r="P2123" s="2" t="str">
        <f>"2170583721                    "</f>
        <v xml:space="preserve">2170583721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3.13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2</v>
      </c>
      <c r="BJ2123" s="2">
        <v>0.2</v>
      </c>
      <c r="BK2123" s="2">
        <v>2</v>
      </c>
      <c r="BL2123" s="2">
        <v>32.380000000000003</v>
      </c>
      <c r="BM2123" s="2">
        <v>4.53</v>
      </c>
      <c r="BN2123" s="2">
        <v>36.909999999999997</v>
      </c>
      <c r="BO2123" s="2">
        <v>36.909999999999997</v>
      </c>
      <c r="BP2123" s="2"/>
      <c r="BQ2123" s="2" t="s">
        <v>288</v>
      </c>
      <c r="BR2123" s="2" t="s">
        <v>84</v>
      </c>
      <c r="BS2123" s="3">
        <v>42968</v>
      </c>
      <c r="BT2123" s="4">
        <v>0.4055555555555555</v>
      </c>
      <c r="BU2123" s="2" t="s">
        <v>2667</v>
      </c>
      <c r="BV2123" s="2" t="s">
        <v>95</v>
      </c>
      <c r="BW2123" s="2"/>
      <c r="BX2123" s="2"/>
      <c r="BY2123" s="2">
        <v>1200</v>
      </c>
      <c r="BZ2123" s="2" t="s">
        <v>27</v>
      </c>
      <c r="CA2123" s="2" t="s">
        <v>722</v>
      </c>
      <c r="CB2123" s="2"/>
      <c r="CC2123" s="2" t="s">
        <v>540</v>
      </c>
      <c r="CD2123" s="2">
        <v>2162</v>
      </c>
      <c r="CE2123" s="2" t="s">
        <v>104</v>
      </c>
      <c r="CF2123" s="5">
        <v>42969</v>
      </c>
      <c r="CG2123" s="2"/>
      <c r="CH2123" s="2"/>
      <c r="CI2123" s="2">
        <v>1</v>
      </c>
      <c r="CJ2123" s="2">
        <v>1</v>
      </c>
      <c r="CK2123" s="2">
        <v>22</v>
      </c>
      <c r="CL2123" s="2" t="s">
        <v>86</v>
      </c>
      <c r="CM2123" s="2"/>
    </row>
    <row r="2124" spans="1:91">
      <c r="A2124" s="2" t="s">
        <v>71</v>
      </c>
      <c r="B2124" s="2" t="s">
        <v>72</v>
      </c>
      <c r="C2124" s="2" t="s">
        <v>73</v>
      </c>
      <c r="D2124" s="2"/>
      <c r="E2124" s="2" t="str">
        <f>"FES1162569980"</f>
        <v>FES1162569980</v>
      </c>
      <c r="F2124" s="3">
        <v>42965</v>
      </c>
      <c r="G2124" s="2">
        <v>201802</v>
      </c>
      <c r="H2124" s="2" t="s">
        <v>74</v>
      </c>
      <c r="I2124" s="2" t="s">
        <v>75</v>
      </c>
      <c r="J2124" s="2" t="s">
        <v>76</v>
      </c>
      <c r="K2124" s="2" t="s">
        <v>77</v>
      </c>
      <c r="L2124" s="2" t="s">
        <v>944</v>
      </c>
      <c r="M2124" s="2" t="s">
        <v>944</v>
      </c>
      <c r="N2124" s="2" t="s">
        <v>1096</v>
      </c>
      <c r="O2124" s="2" t="s">
        <v>100</v>
      </c>
      <c r="P2124" s="2" t="str">
        <f>"2170585761                    "</f>
        <v xml:space="preserve">2170585761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5.63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2</v>
      </c>
      <c r="BJ2124" s="2">
        <v>0.2</v>
      </c>
      <c r="BK2124" s="2">
        <v>2</v>
      </c>
      <c r="BL2124" s="2">
        <v>58.28</v>
      </c>
      <c r="BM2124" s="2">
        <v>8.16</v>
      </c>
      <c r="BN2124" s="2">
        <v>66.44</v>
      </c>
      <c r="BO2124" s="2">
        <v>66.44</v>
      </c>
      <c r="BP2124" s="2"/>
      <c r="BQ2124" s="2" t="s">
        <v>108</v>
      </c>
      <c r="BR2124" s="2" t="s">
        <v>84</v>
      </c>
      <c r="BS2124" s="3">
        <v>42968</v>
      </c>
      <c r="BT2124" s="4">
        <v>0.39652777777777781</v>
      </c>
      <c r="BU2124" s="2" t="s">
        <v>2668</v>
      </c>
      <c r="BV2124" s="2" t="s">
        <v>95</v>
      </c>
      <c r="BW2124" s="2"/>
      <c r="BX2124" s="2"/>
      <c r="BY2124" s="2">
        <v>1200</v>
      </c>
      <c r="BZ2124" s="2" t="s">
        <v>27</v>
      </c>
      <c r="CA2124" s="2" t="s">
        <v>1098</v>
      </c>
      <c r="CB2124" s="2"/>
      <c r="CC2124" s="2" t="s">
        <v>944</v>
      </c>
      <c r="CD2124" s="2">
        <v>1490</v>
      </c>
      <c r="CE2124" s="2" t="s">
        <v>104</v>
      </c>
      <c r="CF2124" s="5">
        <v>42969</v>
      </c>
      <c r="CG2124" s="2"/>
      <c r="CH2124" s="2"/>
      <c r="CI2124" s="2">
        <v>1</v>
      </c>
      <c r="CJ2124" s="2">
        <v>1</v>
      </c>
      <c r="CK2124" s="2">
        <v>24</v>
      </c>
      <c r="CL2124" s="2" t="s">
        <v>86</v>
      </c>
      <c r="CM2124" s="2"/>
    </row>
    <row r="2125" spans="1:91">
      <c r="A2125" s="2" t="s">
        <v>71</v>
      </c>
      <c r="B2125" s="2" t="s">
        <v>72</v>
      </c>
      <c r="C2125" s="2" t="s">
        <v>73</v>
      </c>
      <c r="D2125" s="2"/>
      <c r="E2125" s="2" t="str">
        <f>"FES1162570033"</f>
        <v>FES1162570033</v>
      </c>
      <c r="F2125" s="3">
        <v>42965</v>
      </c>
      <c r="G2125" s="2">
        <v>201802</v>
      </c>
      <c r="H2125" s="2" t="s">
        <v>74</v>
      </c>
      <c r="I2125" s="2" t="s">
        <v>75</v>
      </c>
      <c r="J2125" s="2" t="s">
        <v>76</v>
      </c>
      <c r="K2125" s="2" t="s">
        <v>77</v>
      </c>
      <c r="L2125" s="2" t="s">
        <v>105</v>
      </c>
      <c r="M2125" s="2" t="s">
        <v>106</v>
      </c>
      <c r="N2125" s="2" t="s">
        <v>644</v>
      </c>
      <c r="O2125" s="2" t="s">
        <v>100</v>
      </c>
      <c r="P2125" s="2" t="str">
        <f>"2170585822                    "</f>
        <v xml:space="preserve">2170585822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4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1</v>
      </c>
      <c r="BJ2125" s="2">
        <v>0.2</v>
      </c>
      <c r="BK2125" s="2">
        <v>1</v>
      </c>
      <c r="BL2125" s="2">
        <v>41.44</v>
      </c>
      <c r="BM2125" s="2">
        <v>5.8</v>
      </c>
      <c r="BN2125" s="2">
        <v>47.24</v>
      </c>
      <c r="BO2125" s="2">
        <v>47.24</v>
      </c>
      <c r="BP2125" s="2"/>
      <c r="BQ2125" s="2" t="s">
        <v>108</v>
      </c>
      <c r="BR2125" s="2" t="s">
        <v>84</v>
      </c>
      <c r="BS2125" s="3">
        <v>42968</v>
      </c>
      <c r="BT2125" s="4">
        <v>0.4465277777777778</v>
      </c>
      <c r="BU2125" s="2" t="s">
        <v>1369</v>
      </c>
      <c r="BV2125" s="2" t="s">
        <v>95</v>
      </c>
      <c r="BW2125" s="2"/>
      <c r="BX2125" s="2"/>
      <c r="BY2125" s="2">
        <v>1200</v>
      </c>
      <c r="BZ2125" s="2" t="s">
        <v>27</v>
      </c>
      <c r="CA2125" s="2" t="s">
        <v>112</v>
      </c>
      <c r="CB2125" s="2"/>
      <c r="CC2125" s="2" t="s">
        <v>106</v>
      </c>
      <c r="CD2125" s="2">
        <v>7441</v>
      </c>
      <c r="CE2125" s="2" t="s">
        <v>104</v>
      </c>
      <c r="CF2125" s="5">
        <v>42969</v>
      </c>
      <c r="CG2125" s="2"/>
      <c r="CH2125" s="2"/>
      <c r="CI2125" s="2">
        <v>1</v>
      </c>
      <c r="CJ2125" s="2">
        <v>1</v>
      </c>
      <c r="CK2125" s="2">
        <v>21</v>
      </c>
      <c r="CL2125" s="2" t="s">
        <v>86</v>
      </c>
      <c r="CM2125" s="2"/>
    </row>
    <row r="2126" spans="1:91">
      <c r="A2126" s="2" t="s">
        <v>71</v>
      </c>
      <c r="B2126" s="2" t="s">
        <v>72</v>
      </c>
      <c r="C2126" s="2" t="s">
        <v>73</v>
      </c>
      <c r="D2126" s="2"/>
      <c r="E2126" s="2" t="str">
        <f>"FES1162570004"</f>
        <v>FES1162570004</v>
      </c>
      <c r="F2126" s="3">
        <v>42965</v>
      </c>
      <c r="G2126" s="2">
        <v>201802</v>
      </c>
      <c r="H2126" s="2" t="s">
        <v>74</v>
      </c>
      <c r="I2126" s="2" t="s">
        <v>75</v>
      </c>
      <c r="J2126" s="2" t="s">
        <v>76</v>
      </c>
      <c r="K2126" s="2" t="s">
        <v>77</v>
      </c>
      <c r="L2126" s="2" t="s">
        <v>237</v>
      </c>
      <c r="M2126" s="2" t="s">
        <v>238</v>
      </c>
      <c r="N2126" s="2" t="s">
        <v>669</v>
      </c>
      <c r="O2126" s="2" t="s">
        <v>100</v>
      </c>
      <c r="P2126" s="2" t="str">
        <f>"2170585793                    "</f>
        <v xml:space="preserve">2170585793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4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1</v>
      </c>
      <c r="BI2126" s="2">
        <v>1</v>
      </c>
      <c r="BJ2126" s="2">
        <v>0.2</v>
      </c>
      <c r="BK2126" s="2">
        <v>1</v>
      </c>
      <c r="BL2126" s="2">
        <v>41.44</v>
      </c>
      <c r="BM2126" s="2">
        <v>5.8</v>
      </c>
      <c r="BN2126" s="2">
        <v>47.24</v>
      </c>
      <c r="BO2126" s="2">
        <v>47.24</v>
      </c>
      <c r="BP2126" s="2"/>
      <c r="BQ2126" s="2" t="s">
        <v>288</v>
      </c>
      <c r="BR2126" s="2" t="s">
        <v>84</v>
      </c>
      <c r="BS2126" s="3">
        <v>42968</v>
      </c>
      <c r="BT2126" s="4">
        <v>0.38194444444444442</v>
      </c>
      <c r="BU2126" s="2" t="s">
        <v>902</v>
      </c>
      <c r="BV2126" s="2" t="s">
        <v>95</v>
      </c>
      <c r="BW2126" s="2"/>
      <c r="BX2126" s="2"/>
      <c r="BY2126" s="2">
        <v>1200</v>
      </c>
      <c r="BZ2126" s="2" t="s">
        <v>27</v>
      </c>
      <c r="CA2126" s="2" t="s">
        <v>672</v>
      </c>
      <c r="CB2126" s="2"/>
      <c r="CC2126" s="2" t="s">
        <v>238</v>
      </c>
      <c r="CD2126" s="2">
        <v>3610</v>
      </c>
      <c r="CE2126" s="2" t="s">
        <v>104</v>
      </c>
      <c r="CF2126" s="5">
        <v>42969</v>
      </c>
      <c r="CG2126" s="2"/>
      <c r="CH2126" s="2"/>
      <c r="CI2126" s="2">
        <v>1</v>
      </c>
      <c r="CJ2126" s="2">
        <v>1</v>
      </c>
      <c r="CK2126" s="2">
        <v>21</v>
      </c>
      <c r="CL2126" s="2" t="s">
        <v>86</v>
      </c>
      <c r="CM2126" s="2"/>
    </row>
    <row r="2127" spans="1:91">
      <c r="A2127" s="2" t="s">
        <v>71</v>
      </c>
      <c r="B2127" s="2" t="s">
        <v>72</v>
      </c>
      <c r="C2127" s="2" t="s">
        <v>73</v>
      </c>
      <c r="D2127" s="2"/>
      <c r="E2127" s="2" t="str">
        <f>"FES1162569996"</f>
        <v>FES1162569996</v>
      </c>
      <c r="F2127" s="3">
        <v>42965</v>
      </c>
      <c r="G2127" s="2">
        <v>201802</v>
      </c>
      <c r="H2127" s="2" t="s">
        <v>74</v>
      </c>
      <c r="I2127" s="2" t="s">
        <v>75</v>
      </c>
      <c r="J2127" s="2" t="s">
        <v>76</v>
      </c>
      <c r="K2127" s="2" t="s">
        <v>77</v>
      </c>
      <c r="L2127" s="2" t="s">
        <v>231</v>
      </c>
      <c r="M2127" s="2" t="s">
        <v>232</v>
      </c>
      <c r="N2127" s="2" t="s">
        <v>1519</v>
      </c>
      <c r="O2127" s="2" t="s">
        <v>100</v>
      </c>
      <c r="P2127" s="2" t="str">
        <f>"2170585781                    "</f>
        <v xml:space="preserve">2170585781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4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1</v>
      </c>
      <c r="BJ2127" s="2">
        <v>0.2</v>
      </c>
      <c r="BK2127" s="2">
        <v>1</v>
      </c>
      <c r="BL2127" s="2">
        <v>41.44</v>
      </c>
      <c r="BM2127" s="2">
        <v>5.8</v>
      </c>
      <c r="BN2127" s="2">
        <v>47.24</v>
      </c>
      <c r="BO2127" s="2">
        <v>47.24</v>
      </c>
      <c r="BP2127" s="2"/>
      <c r="BQ2127" s="2" t="s">
        <v>288</v>
      </c>
      <c r="BR2127" s="2" t="s">
        <v>84</v>
      </c>
      <c r="BS2127" s="3">
        <v>42968</v>
      </c>
      <c r="BT2127" s="4">
        <v>0.38194444444444442</v>
      </c>
      <c r="BU2127" s="2" t="s">
        <v>1521</v>
      </c>
      <c r="BV2127" s="2" t="s">
        <v>95</v>
      </c>
      <c r="BW2127" s="2"/>
      <c r="BX2127" s="2"/>
      <c r="BY2127" s="2">
        <v>1200</v>
      </c>
      <c r="BZ2127" s="2" t="s">
        <v>27</v>
      </c>
      <c r="CA2127" s="2" t="s">
        <v>235</v>
      </c>
      <c r="CB2127" s="2"/>
      <c r="CC2127" s="2" t="s">
        <v>232</v>
      </c>
      <c r="CD2127" s="2">
        <v>4026</v>
      </c>
      <c r="CE2127" s="2" t="s">
        <v>104</v>
      </c>
      <c r="CF2127" s="5">
        <v>42969</v>
      </c>
      <c r="CG2127" s="2"/>
      <c r="CH2127" s="2"/>
      <c r="CI2127" s="2">
        <v>1</v>
      </c>
      <c r="CJ2127" s="2">
        <v>1</v>
      </c>
      <c r="CK2127" s="2">
        <v>21</v>
      </c>
      <c r="CL2127" s="2" t="s">
        <v>86</v>
      </c>
      <c r="CM2127" s="2"/>
    </row>
    <row r="2128" spans="1:91">
      <c r="A2128" s="2" t="s">
        <v>71</v>
      </c>
      <c r="B2128" s="2" t="s">
        <v>72</v>
      </c>
      <c r="C2128" s="2" t="s">
        <v>73</v>
      </c>
      <c r="D2128" s="2"/>
      <c r="E2128" s="2" t="str">
        <f>"FES1162569918"</f>
        <v>FES1162569918</v>
      </c>
      <c r="F2128" s="3">
        <v>42965</v>
      </c>
      <c r="G2128" s="2">
        <v>201802</v>
      </c>
      <c r="H2128" s="2" t="s">
        <v>74</v>
      </c>
      <c r="I2128" s="2" t="s">
        <v>75</v>
      </c>
      <c r="J2128" s="2" t="s">
        <v>76</v>
      </c>
      <c r="K2128" s="2" t="s">
        <v>77</v>
      </c>
      <c r="L2128" s="2" t="s">
        <v>237</v>
      </c>
      <c r="M2128" s="2" t="s">
        <v>238</v>
      </c>
      <c r="N2128" s="2" t="s">
        <v>669</v>
      </c>
      <c r="O2128" s="2" t="s">
        <v>100</v>
      </c>
      <c r="P2128" s="2" t="str">
        <f>"2170583631                    "</f>
        <v xml:space="preserve">2170583631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4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1</v>
      </c>
      <c r="BJ2128" s="2">
        <v>0.2</v>
      </c>
      <c r="BK2128" s="2">
        <v>1</v>
      </c>
      <c r="BL2128" s="2">
        <v>41.44</v>
      </c>
      <c r="BM2128" s="2">
        <v>5.8</v>
      </c>
      <c r="BN2128" s="2">
        <v>47.24</v>
      </c>
      <c r="BO2128" s="2">
        <v>47.24</v>
      </c>
      <c r="BP2128" s="2"/>
      <c r="BQ2128" s="2" t="s">
        <v>288</v>
      </c>
      <c r="BR2128" s="2" t="s">
        <v>84</v>
      </c>
      <c r="BS2128" s="3">
        <v>42968</v>
      </c>
      <c r="BT2128" s="4">
        <v>0.38263888888888892</v>
      </c>
      <c r="BU2128" s="2" t="s">
        <v>902</v>
      </c>
      <c r="BV2128" s="2" t="s">
        <v>95</v>
      </c>
      <c r="BW2128" s="2"/>
      <c r="BX2128" s="2"/>
      <c r="BY2128" s="2">
        <v>1200</v>
      </c>
      <c r="BZ2128" s="2" t="s">
        <v>27</v>
      </c>
      <c r="CA2128" s="2" t="s">
        <v>672</v>
      </c>
      <c r="CB2128" s="2"/>
      <c r="CC2128" s="2" t="s">
        <v>238</v>
      </c>
      <c r="CD2128" s="2">
        <v>3610</v>
      </c>
      <c r="CE2128" s="2" t="s">
        <v>104</v>
      </c>
      <c r="CF2128" s="5">
        <v>42969</v>
      </c>
      <c r="CG2128" s="2"/>
      <c r="CH2128" s="2"/>
      <c r="CI2128" s="2">
        <v>1</v>
      </c>
      <c r="CJ2128" s="2">
        <v>1</v>
      </c>
      <c r="CK2128" s="2">
        <v>21</v>
      </c>
      <c r="CL2128" s="2" t="s">
        <v>86</v>
      </c>
      <c r="CM2128" s="2"/>
    </row>
    <row r="2129" spans="1:91">
      <c r="A2129" s="2" t="s">
        <v>71</v>
      </c>
      <c r="B2129" s="2" t="s">
        <v>72</v>
      </c>
      <c r="C2129" s="2" t="s">
        <v>73</v>
      </c>
      <c r="D2129" s="2"/>
      <c r="E2129" s="2" t="str">
        <f>"FES1162569985"</f>
        <v>FES1162569985</v>
      </c>
      <c r="F2129" s="3">
        <v>42965</v>
      </c>
      <c r="G2129" s="2">
        <v>201802</v>
      </c>
      <c r="H2129" s="2" t="s">
        <v>74</v>
      </c>
      <c r="I2129" s="2" t="s">
        <v>75</v>
      </c>
      <c r="J2129" s="2" t="s">
        <v>76</v>
      </c>
      <c r="K2129" s="2" t="s">
        <v>77</v>
      </c>
      <c r="L2129" s="2" t="s">
        <v>268</v>
      </c>
      <c r="M2129" s="2" t="s">
        <v>269</v>
      </c>
      <c r="N2129" s="2" t="s">
        <v>876</v>
      </c>
      <c r="O2129" s="2" t="s">
        <v>100</v>
      </c>
      <c r="P2129" s="2" t="str">
        <f>"2170585766                    "</f>
        <v xml:space="preserve">2170585766  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4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</v>
      </c>
      <c r="BJ2129" s="2">
        <v>0.2</v>
      </c>
      <c r="BK2129" s="2">
        <v>1</v>
      </c>
      <c r="BL2129" s="2">
        <v>41.44</v>
      </c>
      <c r="BM2129" s="2">
        <v>5.8</v>
      </c>
      <c r="BN2129" s="2">
        <v>47.24</v>
      </c>
      <c r="BO2129" s="2">
        <v>47.24</v>
      </c>
      <c r="BP2129" s="2"/>
      <c r="BQ2129" s="2" t="s">
        <v>209</v>
      </c>
      <c r="BR2129" s="2" t="s">
        <v>84</v>
      </c>
      <c r="BS2129" s="3">
        <v>42968</v>
      </c>
      <c r="BT2129" s="4">
        <v>0.45763888888888887</v>
      </c>
      <c r="BU2129" s="2" t="s">
        <v>2669</v>
      </c>
      <c r="BV2129" s="2" t="s">
        <v>95</v>
      </c>
      <c r="BW2129" s="2"/>
      <c r="BX2129" s="2"/>
      <c r="BY2129" s="2">
        <v>1200</v>
      </c>
      <c r="BZ2129" s="2" t="s">
        <v>27</v>
      </c>
      <c r="CA2129" s="2" t="s">
        <v>638</v>
      </c>
      <c r="CB2129" s="2"/>
      <c r="CC2129" s="2" t="s">
        <v>269</v>
      </c>
      <c r="CD2129" s="2">
        <v>186</v>
      </c>
      <c r="CE2129" s="2" t="s">
        <v>104</v>
      </c>
      <c r="CF2129" s="5">
        <v>42968</v>
      </c>
      <c r="CG2129" s="2"/>
      <c r="CH2129" s="2"/>
      <c r="CI2129" s="2">
        <v>1</v>
      </c>
      <c r="CJ2129" s="2">
        <v>1</v>
      </c>
      <c r="CK2129" s="2">
        <v>21</v>
      </c>
      <c r="CL2129" s="2" t="s">
        <v>86</v>
      </c>
      <c r="CM2129" s="2"/>
    </row>
    <row r="2130" spans="1:91">
      <c r="A2130" s="2" t="s">
        <v>71</v>
      </c>
      <c r="B2130" s="2" t="s">
        <v>72</v>
      </c>
      <c r="C2130" s="2" t="s">
        <v>73</v>
      </c>
      <c r="D2130" s="2"/>
      <c r="E2130" s="2" t="str">
        <f>"FES1162570023"</f>
        <v>FES1162570023</v>
      </c>
      <c r="F2130" s="3">
        <v>42965</v>
      </c>
      <c r="G2130" s="2">
        <v>201802</v>
      </c>
      <c r="H2130" s="2" t="s">
        <v>74</v>
      </c>
      <c r="I2130" s="2" t="s">
        <v>75</v>
      </c>
      <c r="J2130" s="2" t="s">
        <v>76</v>
      </c>
      <c r="K2130" s="2" t="s">
        <v>77</v>
      </c>
      <c r="L2130" s="2" t="s">
        <v>105</v>
      </c>
      <c r="M2130" s="2" t="s">
        <v>106</v>
      </c>
      <c r="N2130" s="2" t="s">
        <v>2670</v>
      </c>
      <c r="O2130" s="2" t="s">
        <v>100</v>
      </c>
      <c r="P2130" s="2" t="str">
        <f>"2170585807                    "</f>
        <v xml:space="preserve">2170585807                   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4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1</v>
      </c>
      <c r="BJ2130" s="2">
        <v>0.2</v>
      </c>
      <c r="BK2130" s="2">
        <v>1</v>
      </c>
      <c r="BL2130" s="2">
        <v>41.44</v>
      </c>
      <c r="BM2130" s="2">
        <v>5.8</v>
      </c>
      <c r="BN2130" s="2">
        <v>47.24</v>
      </c>
      <c r="BO2130" s="2">
        <v>47.24</v>
      </c>
      <c r="BP2130" s="2"/>
      <c r="BQ2130" s="2" t="s">
        <v>83</v>
      </c>
      <c r="BR2130" s="2" t="s">
        <v>84</v>
      </c>
      <c r="BS2130" s="3">
        <v>42968</v>
      </c>
      <c r="BT2130" s="4">
        <v>0.41319444444444442</v>
      </c>
      <c r="BU2130" s="2" t="s">
        <v>2671</v>
      </c>
      <c r="BV2130" s="2" t="s">
        <v>95</v>
      </c>
      <c r="BW2130" s="2"/>
      <c r="BX2130" s="2"/>
      <c r="BY2130" s="2">
        <v>1200</v>
      </c>
      <c r="BZ2130" s="2" t="s">
        <v>27</v>
      </c>
      <c r="CA2130" s="2" t="s">
        <v>654</v>
      </c>
      <c r="CB2130" s="2"/>
      <c r="CC2130" s="2" t="s">
        <v>106</v>
      </c>
      <c r="CD2130" s="2">
        <v>7490</v>
      </c>
      <c r="CE2130" s="2" t="s">
        <v>104</v>
      </c>
      <c r="CF2130" s="5">
        <v>42969</v>
      </c>
      <c r="CG2130" s="2"/>
      <c r="CH2130" s="2"/>
      <c r="CI2130" s="2">
        <v>1</v>
      </c>
      <c r="CJ2130" s="2">
        <v>1</v>
      </c>
      <c r="CK2130" s="2">
        <v>21</v>
      </c>
      <c r="CL2130" s="2" t="s">
        <v>86</v>
      </c>
      <c r="CM2130" s="2"/>
    </row>
    <row r="2131" spans="1:91">
      <c r="A2131" s="2" t="s">
        <v>71</v>
      </c>
      <c r="B2131" s="2" t="s">
        <v>72</v>
      </c>
      <c r="C2131" s="2" t="s">
        <v>73</v>
      </c>
      <c r="D2131" s="2"/>
      <c r="E2131" s="2" t="str">
        <f>"FES1162570032"</f>
        <v>FES1162570032</v>
      </c>
      <c r="F2131" s="3">
        <v>42965</v>
      </c>
      <c r="G2131" s="2">
        <v>201802</v>
      </c>
      <c r="H2131" s="2" t="s">
        <v>74</v>
      </c>
      <c r="I2131" s="2" t="s">
        <v>75</v>
      </c>
      <c r="J2131" s="2" t="s">
        <v>76</v>
      </c>
      <c r="K2131" s="2" t="s">
        <v>77</v>
      </c>
      <c r="L2131" s="2" t="s">
        <v>105</v>
      </c>
      <c r="M2131" s="2" t="s">
        <v>106</v>
      </c>
      <c r="N2131" s="2" t="s">
        <v>107</v>
      </c>
      <c r="O2131" s="2" t="s">
        <v>100</v>
      </c>
      <c r="P2131" s="2" t="str">
        <f>"2170585820                    "</f>
        <v xml:space="preserve">2170585820  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4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1</v>
      </c>
      <c r="BJ2131" s="2">
        <v>0.2</v>
      </c>
      <c r="BK2131" s="2">
        <v>1</v>
      </c>
      <c r="BL2131" s="2">
        <v>41.44</v>
      </c>
      <c r="BM2131" s="2">
        <v>5.8</v>
      </c>
      <c r="BN2131" s="2">
        <v>47.24</v>
      </c>
      <c r="BO2131" s="2">
        <v>47.24</v>
      </c>
      <c r="BP2131" s="2"/>
      <c r="BQ2131" s="2" t="s">
        <v>108</v>
      </c>
      <c r="BR2131" s="2" t="s">
        <v>84</v>
      </c>
      <c r="BS2131" s="3">
        <v>42968</v>
      </c>
      <c r="BT2131" s="4">
        <v>0.40069444444444446</v>
      </c>
      <c r="BU2131" s="2" t="s">
        <v>2632</v>
      </c>
      <c r="BV2131" s="2" t="s">
        <v>95</v>
      </c>
      <c r="BW2131" s="2"/>
      <c r="BX2131" s="2"/>
      <c r="BY2131" s="2">
        <v>1200</v>
      </c>
      <c r="BZ2131" s="2" t="s">
        <v>27</v>
      </c>
      <c r="CA2131" s="2" t="s">
        <v>112</v>
      </c>
      <c r="CB2131" s="2"/>
      <c r="CC2131" s="2" t="s">
        <v>106</v>
      </c>
      <c r="CD2131" s="2">
        <v>7405</v>
      </c>
      <c r="CE2131" s="2" t="s">
        <v>104</v>
      </c>
      <c r="CF2131" s="5">
        <v>42969</v>
      </c>
      <c r="CG2131" s="2"/>
      <c r="CH2131" s="2"/>
      <c r="CI2131" s="2">
        <v>1</v>
      </c>
      <c r="CJ2131" s="2">
        <v>1</v>
      </c>
      <c r="CK2131" s="2">
        <v>21</v>
      </c>
      <c r="CL2131" s="2" t="s">
        <v>86</v>
      </c>
      <c r="CM2131" s="2"/>
    </row>
    <row r="2132" spans="1:91">
      <c r="A2132" s="2" t="s">
        <v>71</v>
      </c>
      <c r="B2132" s="2" t="s">
        <v>72</v>
      </c>
      <c r="C2132" s="2" t="s">
        <v>73</v>
      </c>
      <c r="D2132" s="2"/>
      <c r="E2132" s="2" t="str">
        <f>"FES1162569958"</f>
        <v>FES1162569958</v>
      </c>
      <c r="F2132" s="3">
        <v>42965</v>
      </c>
      <c r="G2132" s="2">
        <v>201802</v>
      </c>
      <c r="H2132" s="2" t="s">
        <v>74</v>
      </c>
      <c r="I2132" s="2" t="s">
        <v>75</v>
      </c>
      <c r="J2132" s="2" t="s">
        <v>76</v>
      </c>
      <c r="K2132" s="2" t="s">
        <v>77</v>
      </c>
      <c r="L2132" s="2" t="s">
        <v>137</v>
      </c>
      <c r="M2132" s="2" t="s">
        <v>138</v>
      </c>
      <c r="N2132" s="2" t="s">
        <v>544</v>
      </c>
      <c r="O2132" s="2" t="s">
        <v>100</v>
      </c>
      <c r="P2132" s="2" t="str">
        <f>"2170585743                    "</f>
        <v xml:space="preserve">2170585743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4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1</v>
      </c>
      <c r="BJ2132" s="2">
        <v>0.2</v>
      </c>
      <c r="BK2132" s="2">
        <v>1</v>
      </c>
      <c r="BL2132" s="2">
        <v>41.44</v>
      </c>
      <c r="BM2132" s="2">
        <v>5.8</v>
      </c>
      <c r="BN2132" s="2">
        <v>47.24</v>
      </c>
      <c r="BO2132" s="2">
        <v>47.24</v>
      </c>
      <c r="BP2132" s="2"/>
      <c r="BQ2132" s="2" t="s">
        <v>288</v>
      </c>
      <c r="BR2132" s="2" t="s">
        <v>84</v>
      </c>
      <c r="BS2132" s="3">
        <v>42968</v>
      </c>
      <c r="BT2132" s="4">
        <v>0.3833333333333333</v>
      </c>
      <c r="BU2132" s="2" t="s">
        <v>2672</v>
      </c>
      <c r="BV2132" s="2" t="s">
        <v>95</v>
      </c>
      <c r="BW2132" s="2"/>
      <c r="BX2132" s="2"/>
      <c r="BY2132" s="2">
        <v>1200</v>
      </c>
      <c r="BZ2132" s="2" t="s">
        <v>27</v>
      </c>
      <c r="CA2132" s="2"/>
      <c r="CB2132" s="2"/>
      <c r="CC2132" s="2" t="s">
        <v>138</v>
      </c>
      <c r="CD2132" s="2">
        <v>157</v>
      </c>
      <c r="CE2132" s="2" t="s">
        <v>104</v>
      </c>
      <c r="CF2132" s="5">
        <v>42969</v>
      </c>
      <c r="CG2132" s="2"/>
      <c r="CH2132" s="2"/>
      <c r="CI2132" s="2">
        <v>1</v>
      </c>
      <c r="CJ2132" s="2">
        <v>1</v>
      </c>
      <c r="CK2132" s="2">
        <v>21</v>
      </c>
      <c r="CL2132" s="2" t="s">
        <v>86</v>
      </c>
      <c r="CM2132" s="2"/>
    </row>
    <row r="2133" spans="1:91">
      <c r="A2133" s="2" t="s">
        <v>71</v>
      </c>
      <c r="B2133" s="2" t="s">
        <v>72</v>
      </c>
      <c r="C2133" s="2" t="s">
        <v>73</v>
      </c>
      <c r="D2133" s="2"/>
      <c r="E2133" s="2" t="str">
        <f>"FES1162569973"</f>
        <v>FES1162569973</v>
      </c>
      <c r="F2133" s="3">
        <v>42965</v>
      </c>
      <c r="G2133" s="2">
        <v>201802</v>
      </c>
      <c r="H2133" s="2" t="s">
        <v>74</v>
      </c>
      <c r="I2133" s="2" t="s">
        <v>75</v>
      </c>
      <c r="J2133" s="2" t="s">
        <v>76</v>
      </c>
      <c r="K2133" s="2" t="s">
        <v>77</v>
      </c>
      <c r="L2133" s="2" t="s">
        <v>715</v>
      </c>
      <c r="M2133" s="2" t="s">
        <v>716</v>
      </c>
      <c r="N2133" s="2" t="s">
        <v>762</v>
      </c>
      <c r="O2133" s="2" t="s">
        <v>100</v>
      </c>
      <c r="P2133" s="2" t="str">
        <f>"2170585758                    "</f>
        <v xml:space="preserve">2170585758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4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1</v>
      </c>
      <c r="BJ2133" s="2">
        <v>0.2</v>
      </c>
      <c r="BK2133" s="2">
        <v>1</v>
      </c>
      <c r="BL2133" s="2">
        <v>41.44</v>
      </c>
      <c r="BM2133" s="2">
        <v>5.8</v>
      </c>
      <c r="BN2133" s="2">
        <v>47.24</v>
      </c>
      <c r="BO2133" s="2">
        <v>47.24</v>
      </c>
      <c r="BP2133" s="2"/>
      <c r="BQ2133" s="2" t="s">
        <v>365</v>
      </c>
      <c r="BR2133" s="2" t="s">
        <v>84</v>
      </c>
      <c r="BS2133" s="3">
        <v>42968</v>
      </c>
      <c r="BT2133" s="4">
        <v>0.4375</v>
      </c>
      <c r="BU2133" s="2" t="s">
        <v>767</v>
      </c>
      <c r="BV2133" s="2" t="s">
        <v>95</v>
      </c>
      <c r="BW2133" s="2"/>
      <c r="BX2133" s="2"/>
      <c r="BY2133" s="2">
        <v>1200</v>
      </c>
      <c r="BZ2133" s="2" t="s">
        <v>27</v>
      </c>
      <c r="CA2133" s="2"/>
      <c r="CB2133" s="2"/>
      <c r="CC2133" s="2" t="s">
        <v>716</v>
      </c>
      <c r="CD2133" s="2">
        <v>3290</v>
      </c>
      <c r="CE2133" s="2" t="s">
        <v>104</v>
      </c>
      <c r="CF2133" s="5">
        <v>42969</v>
      </c>
      <c r="CG2133" s="2"/>
      <c r="CH2133" s="2"/>
      <c r="CI2133" s="2">
        <v>1</v>
      </c>
      <c r="CJ2133" s="2">
        <v>1</v>
      </c>
      <c r="CK2133" s="2">
        <v>21</v>
      </c>
      <c r="CL2133" s="2" t="s">
        <v>86</v>
      </c>
      <c r="CM2133" s="2"/>
    </row>
    <row r="2134" spans="1:91">
      <c r="A2134" s="2" t="s">
        <v>71</v>
      </c>
      <c r="B2134" s="2" t="s">
        <v>72</v>
      </c>
      <c r="C2134" s="2" t="s">
        <v>73</v>
      </c>
      <c r="D2134" s="2"/>
      <c r="E2134" s="2" t="str">
        <f>"FES1162570041"</f>
        <v>FES1162570041</v>
      </c>
      <c r="F2134" s="3">
        <v>42965</v>
      </c>
      <c r="G2134" s="2">
        <v>201802</v>
      </c>
      <c r="H2134" s="2" t="s">
        <v>74</v>
      </c>
      <c r="I2134" s="2" t="s">
        <v>75</v>
      </c>
      <c r="J2134" s="2" t="s">
        <v>76</v>
      </c>
      <c r="K2134" s="2" t="s">
        <v>77</v>
      </c>
      <c r="L2134" s="2" t="s">
        <v>221</v>
      </c>
      <c r="M2134" s="2" t="s">
        <v>222</v>
      </c>
      <c r="N2134" s="2" t="s">
        <v>1275</v>
      </c>
      <c r="O2134" s="2" t="s">
        <v>100</v>
      </c>
      <c r="P2134" s="2" t="str">
        <f>"2170585832                    "</f>
        <v xml:space="preserve">2170585832 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4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1</v>
      </c>
      <c r="BJ2134" s="2">
        <v>0.2</v>
      </c>
      <c r="BK2134" s="2">
        <v>1</v>
      </c>
      <c r="BL2134" s="2">
        <v>41.44</v>
      </c>
      <c r="BM2134" s="2">
        <v>5.8</v>
      </c>
      <c r="BN2134" s="2">
        <v>47.24</v>
      </c>
      <c r="BO2134" s="2">
        <v>47.24</v>
      </c>
      <c r="BP2134" s="2"/>
      <c r="BQ2134" s="2" t="s">
        <v>227</v>
      </c>
      <c r="BR2134" s="2" t="s">
        <v>84</v>
      </c>
      <c r="BS2134" s="3">
        <v>42968</v>
      </c>
      <c r="BT2134" s="4">
        <v>0.39930555555555558</v>
      </c>
      <c r="BU2134" s="2" t="s">
        <v>2659</v>
      </c>
      <c r="BV2134" s="2" t="s">
        <v>95</v>
      </c>
      <c r="BW2134" s="2"/>
      <c r="BX2134" s="2"/>
      <c r="BY2134" s="2">
        <v>1200</v>
      </c>
      <c r="BZ2134" s="2" t="s">
        <v>27</v>
      </c>
      <c r="CA2134" s="2" t="s">
        <v>1536</v>
      </c>
      <c r="CB2134" s="2"/>
      <c r="CC2134" s="2" t="s">
        <v>222</v>
      </c>
      <c r="CD2134" s="2">
        <v>4300</v>
      </c>
      <c r="CE2134" s="2" t="s">
        <v>104</v>
      </c>
      <c r="CF2134" s="5">
        <v>42969</v>
      </c>
      <c r="CG2134" s="2"/>
      <c r="CH2134" s="2"/>
      <c r="CI2134" s="2">
        <v>1</v>
      </c>
      <c r="CJ2134" s="2">
        <v>1</v>
      </c>
      <c r="CK2134" s="2">
        <v>21</v>
      </c>
      <c r="CL2134" s="2" t="s">
        <v>86</v>
      </c>
      <c r="CM2134" s="2"/>
    </row>
    <row r="2135" spans="1:91">
      <c r="A2135" s="2" t="s">
        <v>71</v>
      </c>
      <c r="B2135" s="2" t="s">
        <v>72</v>
      </c>
      <c r="C2135" s="2" t="s">
        <v>73</v>
      </c>
      <c r="D2135" s="2"/>
      <c r="E2135" s="2" t="str">
        <f>"FES1162569993"</f>
        <v>FES1162569993</v>
      </c>
      <c r="F2135" s="3">
        <v>42965</v>
      </c>
      <c r="G2135" s="2">
        <v>201802</v>
      </c>
      <c r="H2135" s="2" t="s">
        <v>74</v>
      </c>
      <c r="I2135" s="2" t="s">
        <v>75</v>
      </c>
      <c r="J2135" s="2" t="s">
        <v>76</v>
      </c>
      <c r="K2135" s="2" t="s">
        <v>77</v>
      </c>
      <c r="L2135" s="2" t="s">
        <v>924</v>
      </c>
      <c r="M2135" s="2" t="s">
        <v>925</v>
      </c>
      <c r="N2135" s="2" t="s">
        <v>2673</v>
      </c>
      <c r="O2135" s="2" t="s">
        <v>100</v>
      </c>
      <c r="P2135" s="2" t="str">
        <f>"2170585772                    "</f>
        <v xml:space="preserve">2170585772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4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1</v>
      </c>
      <c r="BJ2135" s="2">
        <v>0.2</v>
      </c>
      <c r="BK2135" s="2">
        <v>1</v>
      </c>
      <c r="BL2135" s="2">
        <v>41.44</v>
      </c>
      <c r="BM2135" s="2">
        <v>5.8</v>
      </c>
      <c r="BN2135" s="2">
        <v>47.24</v>
      </c>
      <c r="BO2135" s="2">
        <v>47.24</v>
      </c>
      <c r="BP2135" s="2"/>
      <c r="BQ2135" s="2" t="s">
        <v>288</v>
      </c>
      <c r="BR2135" s="2" t="s">
        <v>84</v>
      </c>
      <c r="BS2135" s="3">
        <v>42968</v>
      </c>
      <c r="BT2135" s="4">
        <v>0.53333333333333333</v>
      </c>
      <c r="BU2135" s="2" t="s">
        <v>927</v>
      </c>
      <c r="BV2135" s="2" t="s">
        <v>95</v>
      </c>
      <c r="BW2135" s="2"/>
      <c r="BX2135" s="2"/>
      <c r="BY2135" s="2">
        <v>1200</v>
      </c>
      <c r="BZ2135" s="2" t="s">
        <v>27</v>
      </c>
      <c r="CA2135" s="2" t="s">
        <v>928</v>
      </c>
      <c r="CB2135" s="2"/>
      <c r="CC2135" s="2" t="s">
        <v>925</v>
      </c>
      <c r="CD2135" s="2">
        <v>7600</v>
      </c>
      <c r="CE2135" s="2" t="s">
        <v>104</v>
      </c>
      <c r="CF2135" s="5">
        <v>42968</v>
      </c>
      <c r="CG2135" s="2"/>
      <c r="CH2135" s="2"/>
      <c r="CI2135" s="2">
        <v>1</v>
      </c>
      <c r="CJ2135" s="2">
        <v>1</v>
      </c>
      <c r="CK2135" s="2">
        <v>21</v>
      </c>
      <c r="CL2135" s="2" t="s">
        <v>86</v>
      </c>
      <c r="CM2135" s="2"/>
    </row>
    <row r="2136" spans="1:91">
      <c r="A2136" s="2" t="s">
        <v>71</v>
      </c>
      <c r="B2136" s="2" t="s">
        <v>72</v>
      </c>
      <c r="C2136" s="2" t="s">
        <v>73</v>
      </c>
      <c r="D2136" s="2"/>
      <c r="E2136" s="2" t="str">
        <f>"FES1162570055"</f>
        <v>FES1162570055</v>
      </c>
      <c r="F2136" s="3">
        <v>42965</v>
      </c>
      <c r="G2136" s="2">
        <v>201802</v>
      </c>
      <c r="H2136" s="2" t="s">
        <v>74</v>
      </c>
      <c r="I2136" s="2" t="s">
        <v>75</v>
      </c>
      <c r="J2136" s="2" t="s">
        <v>76</v>
      </c>
      <c r="K2136" s="2" t="s">
        <v>77</v>
      </c>
      <c r="L2136" s="2" t="s">
        <v>510</v>
      </c>
      <c r="M2136" s="2" t="s">
        <v>511</v>
      </c>
      <c r="N2136" s="2" t="s">
        <v>1504</v>
      </c>
      <c r="O2136" s="2" t="s">
        <v>100</v>
      </c>
      <c r="P2136" s="2" t="str">
        <f>"2170585507                    "</f>
        <v xml:space="preserve">2170585507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4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2</v>
      </c>
      <c r="BJ2136" s="2">
        <v>0.2</v>
      </c>
      <c r="BK2136" s="2">
        <v>2</v>
      </c>
      <c r="BL2136" s="2">
        <v>41.44</v>
      </c>
      <c r="BM2136" s="2">
        <v>5.8</v>
      </c>
      <c r="BN2136" s="2">
        <v>47.24</v>
      </c>
      <c r="BO2136" s="2">
        <v>47.24</v>
      </c>
      <c r="BP2136" s="2"/>
      <c r="BQ2136" s="2" t="s">
        <v>108</v>
      </c>
      <c r="BR2136" s="2" t="s">
        <v>84</v>
      </c>
      <c r="BS2136" s="3">
        <v>42968</v>
      </c>
      <c r="BT2136" s="4">
        <v>0.31597222222222221</v>
      </c>
      <c r="BU2136" s="2" t="s">
        <v>2603</v>
      </c>
      <c r="BV2136" s="2" t="s">
        <v>95</v>
      </c>
      <c r="BW2136" s="2"/>
      <c r="BX2136" s="2"/>
      <c r="BY2136" s="2">
        <v>1200</v>
      </c>
      <c r="BZ2136" s="2" t="s">
        <v>27</v>
      </c>
      <c r="CA2136" s="2" t="s">
        <v>872</v>
      </c>
      <c r="CB2136" s="2"/>
      <c r="CC2136" s="2" t="s">
        <v>511</v>
      </c>
      <c r="CD2136" s="2">
        <v>6230</v>
      </c>
      <c r="CE2136" s="2" t="s">
        <v>104</v>
      </c>
      <c r="CF2136" s="5">
        <v>42969</v>
      </c>
      <c r="CG2136" s="2"/>
      <c r="CH2136" s="2"/>
      <c r="CI2136" s="2">
        <v>1</v>
      </c>
      <c r="CJ2136" s="2">
        <v>1</v>
      </c>
      <c r="CK2136" s="2">
        <v>21</v>
      </c>
      <c r="CL2136" s="2" t="s">
        <v>86</v>
      </c>
      <c r="CM2136" s="2"/>
    </row>
    <row r="2137" spans="1:91">
      <c r="A2137" s="2" t="s">
        <v>71</v>
      </c>
      <c r="B2137" s="2" t="s">
        <v>72</v>
      </c>
      <c r="C2137" s="2" t="s">
        <v>73</v>
      </c>
      <c r="D2137" s="2"/>
      <c r="E2137" s="2" t="str">
        <f>"FES1162569926"</f>
        <v>FES1162569926</v>
      </c>
      <c r="F2137" s="3">
        <v>42965</v>
      </c>
      <c r="G2137" s="2">
        <v>201802</v>
      </c>
      <c r="H2137" s="2" t="s">
        <v>74</v>
      </c>
      <c r="I2137" s="2" t="s">
        <v>75</v>
      </c>
      <c r="J2137" s="2" t="s">
        <v>76</v>
      </c>
      <c r="K2137" s="2" t="s">
        <v>77</v>
      </c>
      <c r="L2137" s="2" t="s">
        <v>144</v>
      </c>
      <c r="M2137" s="2" t="s">
        <v>145</v>
      </c>
      <c r="N2137" s="2" t="s">
        <v>295</v>
      </c>
      <c r="O2137" s="2" t="s">
        <v>100</v>
      </c>
      <c r="P2137" s="2" t="str">
        <f>"2170583751                    "</f>
        <v xml:space="preserve">2170583751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3.13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1</v>
      </c>
      <c r="BJ2137" s="2">
        <v>0.2</v>
      </c>
      <c r="BK2137" s="2">
        <v>1</v>
      </c>
      <c r="BL2137" s="2">
        <v>32.380000000000003</v>
      </c>
      <c r="BM2137" s="2">
        <v>4.53</v>
      </c>
      <c r="BN2137" s="2">
        <v>36.909999999999997</v>
      </c>
      <c r="BO2137" s="2">
        <v>36.909999999999997</v>
      </c>
      <c r="BP2137" s="2"/>
      <c r="BQ2137" s="2" t="s">
        <v>288</v>
      </c>
      <c r="BR2137" s="2" t="s">
        <v>84</v>
      </c>
      <c r="BS2137" s="3">
        <v>42968</v>
      </c>
      <c r="BT2137" s="4">
        <v>0.4375</v>
      </c>
      <c r="BU2137" s="2" t="s">
        <v>2633</v>
      </c>
      <c r="BV2137" s="2" t="s">
        <v>95</v>
      </c>
      <c r="BW2137" s="2"/>
      <c r="BX2137" s="2"/>
      <c r="BY2137" s="2">
        <v>1200</v>
      </c>
      <c r="BZ2137" s="2" t="s">
        <v>27</v>
      </c>
      <c r="CA2137" s="2"/>
      <c r="CB2137" s="2"/>
      <c r="CC2137" s="2" t="s">
        <v>145</v>
      </c>
      <c r="CD2137" s="2">
        <v>2013</v>
      </c>
      <c r="CE2137" s="2" t="s">
        <v>104</v>
      </c>
      <c r="CF2137" s="5">
        <v>42969</v>
      </c>
      <c r="CG2137" s="2"/>
      <c r="CH2137" s="2"/>
      <c r="CI2137" s="2">
        <v>1</v>
      </c>
      <c r="CJ2137" s="2">
        <v>1</v>
      </c>
      <c r="CK2137" s="2">
        <v>22</v>
      </c>
      <c r="CL2137" s="2" t="s">
        <v>86</v>
      </c>
      <c r="CM2137" s="2"/>
    </row>
    <row r="2138" spans="1:91">
      <c r="A2138" s="2" t="s">
        <v>71</v>
      </c>
      <c r="B2138" s="2" t="s">
        <v>72</v>
      </c>
      <c r="C2138" s="2" t="s">
        <v>73</v>
      </c>
      <c r="D2138" s="2"/>
      <c r="E2138" s="2" t="str">
        <f>"FES1162569870"</f>
        <v>FES1162569870</v>
      </c>
      <c r="F2138" s="3">
        <v>42965</v>
      </c>
      <c r="G2138" s="2">
        <v>201802</v>
      </c>
      <c r="H2138" s="2" t="s">
        <v>74</v>
      </c>
      <c r="I2138" s="2" t="s">
        <v>75</v>
      </c>
      <c r="J2138" s="2" t="s">
        <v>76</v>
      </c>
      <c r="K2138" s="2" t="s">
        <v>77</v>
      </c>
      <c r="L2138" s="2" t="s">
        <v>137</v>
      </c>
      <c r="M2138" s="2" t="s">
        <v>138</v>
      </c>
      <c r="N2138" s="2" t="s">
        <v>2674</v>
      </c>
      <c r="O2138" s="2" t="s">
        <v>100</v>
      </c>
      <c r="P2138" s="2" t="str">
        <f>"2170585675                    "</f>
        <v xml:space="preserve">2170585675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4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1</v>
      </c>
      <c r="BJ2138" s="2">
        <v>0.2</v>
      </c>
      <c r="BK2138" s="2">
        <v>1</v>
      </c>
      <c r="BL2138" s="2">
        <v>41.44</v>
      </c>
      <c r="BM2138" s="2">
        <v>5.8</v>
      </c>
      <c r="BN2138" s="2">
        <v>47.24</v>
      </c>
      <c r="BO2138" s="2">
        <v>47.24</v>
      </c>
      <c r="BP2138" s="2"/>
      <c r="BQ2138" s="2" t="s">
        <v>288</v>
      </c>
      <c r="BR2138" s="2" t="s">
        <v>84</v>
      </c>
      <c r="BS2138" s="3">
        <v>42968</v>
      </c>
      <c r="BT2138" s="4">
        <v>0.39930555555555558</v>
      </c>
      <c r="BU2138" s="2" t="s">
        <v>2675</v>
      </c>
      <c r="BV2138" s="2" t="s">
        <v>95</v>
      </c>
      <c r="BW2138" s="2"/>
      <c r="BX2138" s="2"/>
      <c r="BY2138" s="2">
        <v>1200</v>
      </c>
      <c r="BZ2138" s="2" t="s">
        <v>27</v>
      </c>
      <c r="CA2138" s="2" t="s">
        <v>2676</v>
      </c>
      <c r="CB2138" s="2"/>
      <c r="CC2138" s="2" t="s">
        <v>138</v>
      </c>
      <c r="CD2138" s="2">
        <v>157</v>
      </c>
      <c r="CE2138" s="2" t="s">
        <v>104</v>
      </c>
      <c r="CF2138" s="5">
        <v>42968</v>
      </c>
      <c r="CG2138" s="2"/>
      <c r="CH2138" s="2"/>
      <c r="CI2138" s="2">
        <v>1</v>
      </c>
      <c r="CJ2138" s="2">
        <v>1</v>
      </c>
      <c r="CK2138" s="2">
        <v>21</v>
      </c>
      <c r="CL2138" s="2" t="s">
        <v>86</v>
      </c>
      <c r="CM2138" s="2"/>
    </row>
    <row r="2139" spans="1:91">
      <c r="A2139" s="2" t="s">
        <v>71</v>
      </c>
      <c r="B2139" s="2" t="s">
        <v>72</v>
      </c>
      <c r="C2139" s="2" t="s">
        <v>73</v>
      </c>
      <c r="D2139" s="2"/>
      <c r="E2139" s="2" t="str">
        <f>"FES1162569962"</f>
        <v>FES1162569962</v>
      </c>
      <c r="F2139" s="3">
        <v>42965</v>
      </c>
      <c r="G2139" s="2">
        <v>201802</v>
      </c>
      <c r="H2139" s="2" t="s">
        <v>74</v>
      </c>
      <c r="I2139" s="2" t="s">
        <v>75</v>
      </c>
      <c r="J2139" s="2" t="s">
        <v>76</v>
      </c>
      <c r="K2139" s="2" t="s">
        <v>77</v>
      </c>
      <c r="L2139" s="2" t="s">
        <v>268</v>
      </c>
      <c r="M2139" s="2" t="s">
        <v>269</v>
      </c>
      <c r="N2139" s="2" t="s">
        <v>1166</v>
      </c>
      <c r="O2139" s="2" t="s">
        <v>100</v>
      </c>
      <c r="P2139" s="2" t="str">
        <f>"2170585749                    "</f>
        <v xml:space="preserve">2170585749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4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1</v>
      </c>
      <c r="BJ2139" s="2">
        <v>0.2</v>
      </c>
      <c r="BK2139" s="2">
        <v>1</v>
      </c>
      <c r="BL2139" s="2">
        <v>41.44</v>
      </c>
      <c r="BM2139" s="2">
        <v>5.8</v>
      </c>
      <c r="BN2139" s="2">
        <v>47.24</v>
      </c>
      <c r="BO2139" s="2">
        <v>47.24</v>
      </c>
      <c r="BP2139" s="2"/>
      <c r="BQ2139" s="2" t="s">
        <v>108</v>
      </c>
      <c r="BR2139" s="2" t="s">
        <v>84</v>
      </c>
      <c r="BS2139" s="3">
        <v>42968</v>
      </c>
      <c r="BT2139" s="4">
        <v>0.4548611111111111</v>
      </c>
      <c r="BU2139" s="2" t="s">
        <v>1167</v>
      </c>
      <c r="BV2139" s="2" t="s">
        <v>95</v>
      </c>
      <c r="BW2139" s="2"/>
      <c r="BX2139" s="2"/>
      <c r="BY2139" s="2">
        <v>1200</v>
      </c>
      <c r="BZ2139" s="2" t="s">
        <v>27</v>
      </c>
      <c r="CA2139" s="2"/>
      <c r="CB2139" s="2"/>
      <c r="CC2139" s="2" t="s">
        <v>269</v>
      </c>
      <c r="CD2139" s="2">
        <v>200</v>
      </c>
      <c r="CE2139" s="2" t="s">
        <v>104</v>
      </c>
      <c r="CF2139" s="5">
        <v>42969</v>
      </c>
      <c r="CG2139" s="2"/>
      <c r="CH2139" s="2"/>
      <c r="CI2139" s="2">
        <v>1</v>
      </c>
      <c r="CJ2139" s="2">
        <v>1</v>
      </c>
      <c r="CK2139" s="2">
        <v>21</v>
      </c>
      <c r="CL2139" s="2" t="s">
        <v>86</v>
      </c>
      <c r="CM2139" s="2"/>
    </row>
    <row r="2140" spans="1:91">
      <c r="A2140" s="2" t="s">
        <v>71</v>
      </c>
      <c r="B2140" s="2" t="s">
        <v>72</v>
      </c>
      <c r="C2140" s="2" t="s">
        <v>73</v>
      </c>
      <c r="D2140" s="2"/>
      <c r="E2140" s="2" t="str">
        <f>"FES1162569934"</f>
        <v>FES1162569934</v>
      </c>
      <c r="F2140" s="3">
        <v>42965</v>
      </c>
      <c r="G2140" s="2">
        <v>201802</v>
      </c>
      <c r="H2140" s="2" t="s">
        <v>74</v>
      </c>
      <c r="I2140" s="2" t="s">
        <v>75</v>
      </c>
      <c r="J2140" s="2" t="s">
        <v>76</v>
      </c>
      <c r="K2140" s="2" t="s">
        <v>77</v>
      </c>
      <c r="L2140" s="2" t="s">
        <v>446</v>
      </c>
      <c r="M2140" s="2" t="s">
        <v>447</v>
      </c>
      <c r="N2140" s="2" t="s">
        <v>448</v>
      </c>
      <c r="O2140" s="2" t="s">
        <v>100</v>
      </c>
      <c r="P2140" s="2" t="str">
        <f>"2170584894                    "</f>
        <v xml:space="preserve">2170584894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5.63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1</v>
      </c>
      <c r="BJ2140" s="2">
        <v>0.2</v>
      </c>
      <c r="BK2140" s="2">
        <v>1</v>
      </c>
      <c r="BL2140" s="2">
        <v>58.28</v>
      </c>
      <c r="BM2140" s="2">
        <v>8.16</v>
      </c>
      <c r="BN2140" s="2">
        <v>66.44</v>
      </c>
      <c r="BO2140" s="2">
        <v>66.44</v>
      </c>
      <c r="BP2140" s="2"/>
      <c r="BQ2140" s="2" t="s">
        <v>83</v>
      </c>
      <c r="BR2140" s="2" t="s">
        <v>84</v>
      </c>
      <c r="BS2140" s="3">
        <v>42968</v>
      </c>
      <c r="BT2140" s="4">
        <v>0.61944444444444446</v>
      </c>
      <c r="BU2140" s="2" t="s">
        <v>1610</v>
      </c>
      <c r="BV2140" s="2" t="s">
        <v>95</v>
      </c>
      <c r="BW2140" s="2"/>
      <c r="BX2140" s="2"/>
      <c r="BY2140" s="2">
        <v>1200</v>
      </c>
      <c r="BZ2140" s="2" t="s">
        <v>27</v>
      </c>
      <c r="CA2140" s="2"/>
      <c r="CB2140" s="2"/>
      <c r="CC2140" s="2" t="s">
        <v>447</v>
      </c>
      <c r="CD2140" s="2">
        <v>1759</v>
      </c>
      <c r="CE2140" s="2" t="s">
        <v>104</v>
      </c>
      <c r="CF2140" s="5">
        <v>42969</v>
      </c>
      <c r="CG2140" s="2"/>
      <c r="CH2140" s="2"/>
      <c r="CI2140" s="2">
        <v>1</v>
      </c>
      <c r="CJ2140" s="2">
        <v>1</v>
      </c>
      <c r="CK2140" s="2">
        <v>24</v>
      </c>
      <c r="CL2140" s="2" t="s">
        <v>86</v>
      </c>
      <c r="CM2140" s="2"/>
    </row>
    <row r="2141" spans="1:91">
      <c r="A2141" s="2" t="s">
        <v>71</v>
      </c>
      <c r="B2141" s="2" t="s">
        <v>72</v>
      </c>
      <c r="C2141" s="2" t="s">
        <v>73</v>
      </c>
      <c r="D2141" s="2"/>
      <c r="E2141" s="2" t="str">
        <f>"FES1162570051"</f>
        <v>FES1162570051</v>
      </c>
      <c r="F2141" s="3">
        <v>42965</v>
      </c>
      <c r="G2141" s="2">
        <v>201802</v>
      </c>
      <c r="H2141" s="2" t="s">
        <v>74</v>
      </c>
      <c r="I2141" s="2" t="s">
        <v>75</v>
      </c>
      <c r="J2141" s="2" t="s">
        <v>76</v>
      </c>
      <c r="K2141" s="2" t="s">
        <v>77</v>
      </c>
      <c r="L2141" s="2" t="s">
        <v>78</v>
      </c>
      <c r="M2141" s="2" t="s">
        <v>79</v>
      </c>
      <c r="N2141" s="2" t="s">
        <v>450</v>
      </c>
      <c r="O2141" s="2" t="s">
        <v>100</v>
      </c>
      <c r="P2141" s="2" t="str">
        <f>"2170585843                    "</f>
        <v xml:space="preserve">2170585843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4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1</v>
      </c>
      <c r="BI2141" s="2">
        <v>1</v>
      </c>
      <c r="BJ2141" s="2">
        <v>0.2</v>
      </c>
      <c r="BK2141" s="2">
        <v>1</v>
      </c>
      <c r="BL2141" s="2">
        <v>41.44</v>
      </c>
      <c r="BM2141" s="2">
        <v>5.8</v>
      </c>
      <c r="BN2141" s="2">
        <v>47.24</v>
      </c>
      <c r="BO2141" s="2">
        <v>47.24</v>
      </c>
      <c r="BP2141" s="2"/>
      <c r="BQ2141" s="2" t="s">
        <v>288</v>
      </c>
      <c r="BR2141" s="2" t="s">
        <v>84</v>
      </c>
      <c r="BS2141" s="3">
        <v>42968</v>
      </c>
      <c r="BT2141" s="4">
        <v>0.36041666666666666</v>
      </c>
      <c r="BU2141" s="2" t="s">
        <v>2677</v>
      </c>
      <c r="BV2141" s="2" t="s">
        <v>95</v>
      </c>
      <c r="BW2141" s="2"/>
      <c r="BX2141" s="2"/>
      <c r="BY2141" s="2">
        <v>1200</v>
      </c>
      <c r="BZ2141" s="2" t="s">
        <v>27</v>
      </c>
      <c r="CA2141" s="2" t="s">
        <v>2678</v>
      </c>
      <c r="CB2141" s="2"/>
      <c r="CC2141" s="2" t="s">
        <v>79</v>
      </c>
      <c r="CD2141" s="2">
        <v>9300</v>
      </c>
      <c r="CE2141" s="2" t="s">
        <v>104</v>
      </c>
      <c r="CF2141" s="5">
        <v>42969</v>
      </c>
      <c r="CG2141" s="2"/>
      <c r="CH2141" s="2"/>
      <c r="CI2141" s="2">
        <v>1</v>
      </c>
      <c r="CJ2141" s="2">
        <v>1</v>
      </c>
      <c r="CK2141" s="2">
        <v>21</v>
      </c>
      <c r="CL2141" s="2" t="s">
        <v>86</v>
      </c>
      <c r="CM2141" s="2"/>
    </row>
    <row r="2142" spans="1:91">
      <c r="A2142" s="2" t="s">
        <v>71</v>
      </c>
      <c r="B2142" s="2" t="s">
        <v>72</v>
      </c>
      <c r="C2142" s="2" t="s">
        <v>73</v>
      </c>
      <c r="D2142" s="2"/>
      <c r="E2142" s="2" t="str">
        <f>"FES1162569939"</f>
        <v>FES1162569939</v>
      </c>
      <c r="F2142" s="3">
        <v>42965</v>
      </c>
      <c r="G2142" s="2">
        <v>201802</v>
      </c>
      <c r="H2142" s="2" t="s">
        <v>74</v>
      </c>
      <c r="I2142" s="2" t="s">
        <v>75</v>
      </c>
      <c r="J2142" s="2" t="s">
        <v>76</v>
      </c>
      <c r="K2142" s="2" t="s">
        <v>77</v>
      </c>
      <c r="L2142" s="2" t="s">
        <v>164</v>
      </c>
      <c r="M2142" s="2" t="s">
        <v>165</v>
      </c>
      <c r="N2142" s="2" t="s">
        <v>1191</v>
      </c>
      <c r="O2142" s="2" t="s">
        <v>100</v>
      </c>
      <c r="P2142" s="2" t="str">
        <f>"2170585531                    "</f>
        <v xml:space="preserve">2170585531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4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1</v>
      </c>
      <c r="BJ2142" s="2">
        <v>0.2</v>
      </c>
      <c r="BK2142" s="2">
        <v>1</v>
      </c>
      <c r="BL2142" s="2">
        <v>41.44</v>
      </c>
      <c r="BM2142" s="2">
        <v>5.8</v>
      </c>
      <c r="BN2142" s="2">
        <v>47.24</v>
      </c>
      <c r="BO2142" s="2">
        <v>47.24</v>
      </c>
      <c r="BP2142" s="2"/>
      <c r="BQ2142" s="2" t="s">
        <v>288</v>
      </c>
      <c r="BR2142" s="2" t="s">
        <v>84</v>
      </c>
      <c r="BS2142" s="3">
        <v>42968</v>
      </c>
      <c r="BT2142" s="4">
        <v>0.39652777777777781</v>
      </c>
      <c r="BU2142" s="2" t="s">
        <v>2630</v>
      </c>
      <c r="BV2142" s="2" t="s">
        <v>95</v>
      </c>
      <c r="BW2142" s="2"/>
      <c r="BX2142" s="2"/>
      <c r="BY2142" s="2">
        <v>1200</v>
      </c>
      <c r="BZ2142" s="2" t="s">
        <v>27</v>
      </c>
      <c r="CA2142" s="2" t="s">
        <v>2114</v>
      </c>
      <c r="CB2142" s="2"/>
      <c r="CC2142" s="2" t="s">
        <v>165</v>
      </c>
      <c r="CD2142" s="2">
        <v>6850</v>
      </c>
      <c r="CE2142" s="2" t="s">
        <v>104</v>
      </c>
      <c r="CF2142" s="5">
        <v>42970</v>
      </c>
      <c r="CG2142" s="2"/>
      <c r="CH2142" s="2"/>
      <c r="CI2142" s="2">
        <v>3</v>
      </c>
      <c r="CJ2142" s="2">
        <v>1</v>
      </c>
      <c r="CK2142" s="2">
        <v>21</v>
      </c>
      <c r="CL2142" s="2" t="s">
        <v>86</v>
      </c>
      <c r="CM2142" s="2"/>
    </row>
    <row r="2143" spans="1:91">
      <c r="A2143" s="2" t="s">
        <v>71</v>
      </c>
      <c r="B2143" s="2" t="s">
        <v>72</v>
      </c>
      <c r="C2143" s="2" t="s">
        <v>73</v>
      </c>
      <c r="D2143" s="2"/>
      <c r="E2143" s="2" t="str">
        <f>"FES1162569906"</f>
        <v>FES1162569906</v>
      </c>
      <c r="F2143" s="3">
        <v>42965</v>
      </c>
      <c r="G2143" s="2">
        <v>201802</v>
      </c>
      <c r="H2143" s="2" t="s">
        <v>74</v>
      </c>
      <c r="I2143" s="2" t="s">
        <v>75</v>
      </c>
      <c r="J2143" s="2" t="s">
        <v>76</v>
      </c>
      <c r="K2143" s="2" t="s">
        <v>77</v>
      </c>
      <c r="L2143" s="2" t="s">
        <v>74</v>
      </c>
      <c r="M2143" s="2" t="s">
        <v>75</v>
      </c>
      <c r="N2143" s="2" t="s">
        <v>2679</v>
      </c>
      <c r="O2143" s="2" t="s">
        <v>100</v>
      </c>
      <c r="P2143" s="2" t="str">
        <f>"2170579138                    "</f>
        <v xml:space="preserve">2170579138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3.13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1</v>
      </c>
      <c r="BJ2143" s="2">
        <v>0.2</v>
      </c>
      <c r="BK2143" s="2">
        <v>1</v>
      </c>
      <c r="BL2143" s="2">
        <v>32.380000000000003</v>
      </c>
      <c r="BM2143" s="2">
        <v>4.53</v>
      </c>
      <c r="BN2143" s="2">
        <v>36.909999999999997</v>
      </c>
      <c r="BO2143" s="2">
        <v>36.909999999999997</v>
      </c>
      <c r="BP2143" s="2"/>
      <c r="BQ2143" s="2" t="s">
        <v>83</v>
      </c>
      <c r="BR2143" s="2" t="s">
        <v>84</v>
      </c>
      <c r="BS2143" s="3">
        <v>42968</v>
      </c>
      <c r="BT2143" s="4">
        <v>0.36458333333333331</v>
      </c>
      <c r="BU2143" s="2" t="s">
        <v>2680</v>
      </c>
      <c r="BV2143" s="2" t="s">
        <v>95</v>
      </c>
      <c r="BW2143" s="2"/>
      <c r="BX2143" s="2"/>
      <c r="BY2143" s="2">
        <v>1200</v>
      </c>
      <c r="BZ2143" s="2" t="s">
        <v>27</v>
      </c>
      <c r="CA2143" s="2" t="s">
        <v>194</v>
      </c>
      <c r="CB2143" s="2"/>
      <c r="CC2143" s="2" t="s">
        <v>75</v>
      </c>
      <c r="CD2143" s="2">
        <v>1666</v>
      </c>
      <c r="CE2143" s="2" t="s">
        <v>104</v>
      </c>
      <c r="CF2143" s="5">
        <v>42969</v>
      </c>
      <c r="CG2143" s="2"/>
      <c r="CH2143" s="2"/>
      <c r="CI2143" s="2">
        <v>1</v>
      </c>
      <c r="CJ2143" s="2">
        <v>1</v>
      </c>
      <c r="CK2143" s="2">
        <v>22</v>
      </c>
      <c r="CL2143" s="2" t="s">
        <v>86</v>
      </c>
      <c r="CM2143" s="2"/>
    </row>
    <row r="2144" spans="1:91">
      <c r="A2144" s="2" t="s">
        <v>71</v>
      </c>
      <c r="B2144" s="2" t="s">
        <v>72</v>
      </c>
      <c r="C2144" s="2" t="s">
        <v>73</v>
      </c>
      <c r="D2144" s="2"/>
      <c r="E2144" s="2" t="str">
        <f>"FES1462570003"</f>
        <v>FES1462570003</v>
      </c>
      <c r="F2144" s="3">
        <v>42965</v>
      </c>
      <c r="G2144" s="2">
        <v>201802</v>
      </c>
      <c r="H2144" s="2" t="s">
        <v>74</v>
      </c>
      <c r="I2144" s="2" t="s">
        <v>75</v>
      </c>
      <c r="J2144" s="2" t="s">
        <v>76</v>
      </c>
      <c r="K2144" s="2" t="s">
        <v>77</v>
      </c>
      <c r="L2144" s="2" t="s">
        <v>97</v>
      </c>
      <c r="M2144" s="2" t="s">
        <v>98</v>
      </c>
      <c r="N2144" s="2" t="s">
        <v>248</v>
      </c>
      <c r="O2144" s="2" t="s">
        <v>100</v>
      </c>
      <c r="P2144" s="2" t="str">
        <f>"2170585790                    "</f>
        <v xml:space="preserve">2170585790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4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1</v>
      </c>
      <c r="BJ2144" s="2">
        <v>0.2</v>
      </c>
      <c r="BK2144" s="2">
        <v>1</v>
      </c>
      <c r="BL2144" s="2">
        <v>41.44</v>
      </c>
      <c r="BM2144" s="2">
        <v>5.8</v>
      </c>
      <c r="BN2144" s="2">
        <v>47.24</v>
      </c>
      <c r="BO2144" s="2">
        <v>47.24</v>
      </c>
      <c r="BP2144" s="2"/>
      <c r="BQ2144" s="2" t="s">
        <v>83</v>
      </c>
      <c r="BR2144" s="2" t="s">
        <v>84</v>
      </c>
      <c r="BS2144" s="3">
        <v>42968</v>
      </c>
      <c r="BT2144" s="4">
        <v>0.3298611111111111</v>
      </c>
      <c r="BU2144" s="2" t="s">
        <v>2060</v>
      </c>
      <c r="BV2144" s="2" t="s">
        <v>95</v>
      </c>
      <c r="BW2144" s="2"/>
      <c r="BX2144" s="2"/>
      <c r="BY2144" s="2">
        <v>1200</v>
      </c>
      <c r="BZ2144" s="2" t="s">
        <v>27</v>
      </c>
      <c r="CA2144" s="2" t="s">
        <v>294</v>
      </c>
      <c r="CB2144" s="2"/>
      <c r="CC2144" s="2" t="s">
        <v>98</v>
      </c>
      <c r="CD2144" s="2">
        <v>6001</v>
      </c>
      <c r="CE2144" s="2" t="s">
        <v>104</v>
      </c>
      <c r="CF2144" s="5">
        <v>42969</v>
      </c>
      <c r="CG2144" s="2"/>
      <c r="CH2144" s="2"/>
      <c r="CI2144" s="2">
        <v>1</v>
      </c>
      <c r="CJ2144" s="2">
        <v>1</v>
      </c>
      <c r="CK2144" s="2">
        <v>21</v>
      </c>
      <c r="CL2144" s="2" t="s">
        <v>86</v>
      </c>
      <c r="CM2144" s="2"/>
    </row>
    <row r="2145" spans="1:91">
      <c r="A2145" s="2" t="s">
        <v>71</v>
      </c>
      <c r="B2145" s="2" t="s">
        <v>72</v>
      </c>
      <c r="C2145" s="2" t="s">
        <v>73</v>
      </c>
      <c r="D2145" s="2"/>
      <c r="E2145" s="2" t="str">
        <f>"FES1162569931"</f>
        <v>FES1162569931</v>
      </c>
      <c r="F2145" s="3">
        <v>42965</v>
      </c>
      <c r="G2145" s="2">
        <v>201802</v>
      </c>
      <c r="H2145" s="2" t="s">
        <v>74</v>
      </c>
      <c r="I2145" s="2" t="s">
        <v>75</v>
      </c>
      <c r="J2145" s="2" t="s">
        <v>76</v>
      </c>
      <c r="K2145" s="2" t="s">
        <v>77</v>
      </c>
      <c r="L2145" s="2" t="s">
        <v>105</v>
      </c>
      <c r="M2145" s="2" t="s">
        <v>106</v>
      </c>
      <c r="N2145" s="2" t="s">
        <v>364</v>
      </c>
      <c r="O2145" s="2" t="s">
        <v>100</v>
      </c>
      <c r="P2145" s="2" t="str">
        <f>"2170584667                    "</f>
        <v xml:space="preserve">2170584667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4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1</v>
      </c>
      <c r="BJ2145" s="2">
        <v>0.2</v>
      </c>
      <c r="BK2145" s="2">
        <v>1</v>
      </c>
      <c r="BL2145" s="2">
        <v>41.44</v>
      </c>
      <c r="BM2145" s="2">
        <v>5.8</v>
      </c>
      <c r="BN2145" s="2">
        <v>47.24</v>
      </c>
      <c r="BO2145" s="2">
        <v>47.24</v>
      </c>
      <c r="BP2145" s="2"/>
      <c r="BQ2145" s="2" t="s">
        <v>288</v>
      </c>
      <c r="BR2145" s="2" t="s">
        <v>84</v>
      </c>
      <c r="BS2145" s="3">
        <v>42968</v>
      </c>
      <c r="BT2145" s="4">
        <v>0.40625</v>
      </c>
      <c r="BU2145" s="2" t="s">
        <v>2627</v>
      </c>
      <c r="BV2145" s="2" t="s">
        <v>95</v>
      </c>
      <c r="BW2145" s="2"/>
      <c r="BX2145" s="2"/>
      <c r="BY2145" s="2">
        <v>1200</v>
      </c>
      <c r="BZ2145" s="2" t="s">
        <v>27</v>
      </c>
      <c r="CA2145" s="2" t="s">
        <v>148</v>
      </c>
      <c r="CB2145" s="2"/>
      <c r="CC2145" s="2" t="s">
        <v>106</v>
      </c>
      <c r="CD2145" s="2">
        <v>7560</v>
      </c>
      <c r="CE2145" s="2" t="s">
        <v>104</v>
      </c>
      <c r="CF2145" s="5">
        <v>42969</v>
      </c>
      <c r="CG2145" s="2"/>
      <c r="CH2145" s="2"/>
      <c r="CI2145" s="2">
        <v>1</v>
      </c>
      <c r="CJ2145" s="2">
        <v>1</v>
      </c>
      <c r="CK2145" s="2">
        <v>21</v>
      </c>
      <c r="CL2145" s="2" t="s">
        <v>86</v>
      </c>
      <c r="CM2145" s="2"/>
    </row>
    <row r="2146" spans="1:91">
      <c r="A2146" s="2" t="s">
        <v>71</v>
      </c>
      <c r="B2146" s="2" t="s">
        <v>72</v>
      </c>
      <c r="C2146" s="2" t="s">
        <v>73</v>
      </c>
      <c r="D2146" s="2"/>
      <c r="E2146" s="2" t="str">
        <f>"FES1162569885"</f>
        <v>FES1162569885</v>
      </c>
      <c r="F2146" s="3">
        <v>42965</v>
      </c>
      <c r="G2146" s="2">
        <v>201802</v>
      </c>
      <c r="H2146" s="2" t="s">
        <v>74</v>
      </c>
      <c r="I2146" s="2" t="s">
        <v>75</v>
      </c>
      <c r="J2146" s="2" t="s">
        <v>76</v>
      </c>
      <c r="K2146" s="2" t="s">
        <v>77</v>
      </c>
      <c r="L2146" s="2" t="s">
        <v>170</v>
      </c>
      <c r="M2146" s="2" t="s">
        <v>171</v>
      </c>
      <c r="N2146" s="2" t="s">
        <v>730</v>
      </c>
      <c r="O2146" s="2" t="s">
        <v>100</v>
      </c>
      <c r="P2146" s="2" t="str">
        <f>"217058                        "</f>
        <v xml:space="preserve">217058    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3.13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1</v>
      </c>
      <c r="BJ2146" s="2">
        <v>0.2</v>
      </c>
      <c r="BK2146" s="2">
        <v>1</v>
      </c>
      <c r="BL2146" s="2">
        <v>32.380000000000003</v>
      </c>
      <c r="BM2146" s="2">
        <v>4.53</v>
      </c>
      <c r="BN2146" s="2">
        <v>36.909999999999997</v>
      </c>
      <c r="BO2146" s="2">
        <v>36.909999999999997</v>
      </c>
      <c r="BP2146" s="2"/>
      <c r="BQ2146" s="2" t="s">
        <v>108</v>
      </c>
      <c r="BR2146" s="2" t="s">
        <v>84</v>
      </c>
      <c r="BS2146" s="3">
        <v>42968</v>
      </c>
      <c r="BT2146" s="4">
        <v>0.41666666666666669</v>
      </c>
      <c r="BU2146" s="2" t="s">
        <v>2681</v>
      </c>
      <c r="BV2146" s="2" t="s">
        <v>95</v>
      </c>
      <c r="BW2146" s="2"/>
      <c r="BX2146" s="2"/>
      <c r="BY2146" s="2">
        <v>1200</v>
      </c>
      <c r="BZ2146" s="2" t="s">
        <v>27</v>
      </c>
      <c r="CA2146" s="2" t="s">
        <v>492</v>
      </c>
      <c r="CB2146" s="2"/>
      <c r="CC2146" s="2" t="s">
        <v>171</v>
      </c>
      <c r="CD2146" s="2">
        <v>1428</v>
      </c>
      <c r="CE2146" s="2" t="s">
        <v>104</v>
      </c>
      <c r="CF2146" s="5">
        <v>42969</v>
      </c>
      <c r="CG2146" s="2"/>
      <c r="CH2146" s="2"/>
      <c r="CI2146" s="2">
        <v>1</v>
      </c>
      <c r="CJ2146" s="2">
        <v>1</v>
      </c>
      <c r="CK2146" s="2">
        <v>22</v>
      </c>
      <c r="CL2146" s="2" t="s">
        <v>86</v>
      </c>
      <c r="CM2146" s="2"/>
    </row>
    <row r="2147" spans="1:91">
      <c r="A2147" s="2" t="s">
        <v>71</v>
      </c>
      <c r="B2147" s="2" t="s">
        <v>72</v>
      </c>
      <c r="C2147" s="2" t="s">
        <v>73</v>
      </c>
      <c r="D2147" s="2"/>
      <c r="E2147" s="2" t="str">
        <f>"FES1162569949"</f>
        <v>FES1162569949</v>
      </c>
      <c r="F2147" s="3">
        <v>42965</v>
      </c>
      <c r="G2147" s="2">
        <v>201802</v>
      </c>
      <c r="H2147" s="2" t="s">
        <v>74</v>
      </c>
      <c r="I2147" s="2" t="s">
        <v>75</v>
      </c>
      <c r="J2147" s="2" t="s">
        <v>76</v>
      </c>
      <c r="K2147" s="2" t="s">
        <v>77</v>
      </c>
      <c r="L2147" s="2" t="s">
        <v>237</v>
      </c>
      <c r="M2147" s="2" t="s">
        <v>238</v>
      </c>
      <c r="N2147" s="2" t="s">
        <v>2002</v>
      </c>
      <c r="O2147" s="2" t="s">
        <v>100</v>
      </c>
      <c r="P2147" s="2" t="str">
        <f>"2170585718                    "</f>
        <v xml:space="preserve">2170585718  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4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1</v>
      </c>
      <c r="BJ2147" s="2">
        <v>0.2</v>
      </c>
      <c r="BK2147" s="2">
        <v>1</v>
      </c>
      <c r="BL2147" s="2">
        <v>41.44</v>
      </c>
      <c r="BM2147" s="2">
        <v>5.8</v>
      </c>
      <c r="BN2147" s="2">
        <v>47.24</v>
      </c>
      <c r="BO2147" s="2">
        <v>47.24</v>
      </c>
      <c r="BP2147" s="2"/>
      <c r="BQ2147" s="2" t="s">
        <v>365</v>
      </c>
      <c r="BR2147" s="2" t="s">
        <v>84</v>
      </c>
      <c r="BS2147" s="3">
        <v>42968</v>
      </c>
      <c r="BT2147" s="4">
        <v>0.39444444444444443</v>
      </c>
      <c r="BU2147" s="2" t="s">
        <v>2682</v>
      </c>
      <c r="BV2147" s="2" t="s">
        <v>95</v>
      </c>
      <c r="BW2147" s="2"/>
      <c r="BX2147" s="2"/>
      <c r="BY2147" s="2">
        <v>1200</v>
      </c>
      <c r="BZ2147" s="2" t="s">
        <v>27</v>
      </c>
      <c r="CA2147" s="2" t="s">
        <v>672</v>
      </c>
      <c r="CB2147" s="2"/>
      <c r="CC2147" s="2" t="s">
        <v>238</v>
      </c>
      <c r="CD2147" s="2">
        <v>3610</v>
      </c>
      <c r="CE2147" s="2" t="s">
        <v>104</v>
      </c>
      <c r="CF2147" s="5">
        <v>42969</v>
      </c>
      <c r="CG2147" s="2"/>
      <c r="CH2147" s="2"/>
      <c r="CI2147" s="2">
        <v>1</v>
      </c>
      <c r="CJ2147" s="2">
        <v>1</v>
      </c>
      <c r="CK2147" s="2">
        <v>21</v>
      </c>
      <c r="CL2147" s="2" t="s">
        <v>86</v>
      </c>
      <c r="CM2147" s="2"/>
    </row>
    <row r="2148" spans="1:91">
      <c r="A2148" s="2" t="s">
        <v>71</v>
      </c>
      <c r="B2148" s="2" t="s">
        <v>72</v>
      </c>
      <c r="C2148" s="2" t="s">
        <v>73</v>
      </c>
      <c r="D2148" s="2"/>
      <c r="E2148" s="2" t="str">
        <f>"FES1162569930"</f>
        <v>FES1162569930</v>
      </c>
      <c r="F2148" s="3">
        <v>42965</v>
      </c>
      <c r="G2148" s="2">
        <v>201802</v>
      </c>
      <c r="H2148" s="2" t="s">
        <v>74</v>
      </c>
      <c r="I2148" s="2" t="s">
        <v>75</v>
      </c>
      <c r="J2148" s="2" t="s">
        <v>76</v>
      </c>
      <c r="K2148" s="2" t="s">
        <v>77</v>
      </c>
      <c r="L2148" s="2" t="s">
        <v>97</v>
      </c>
      <c r="M2148" s="2" t="s">
        <v>98</v>
      </c>
      <c r="N2148" s="2" t="s">
        <v>99</v>
      </c>
      <c r="O2148" s="2" t="s">
        <v>100</v>
      </c>
      <c r="P2148" s="2" t="str">
        <f>"2170583763                    "</f>
        <v xml:space="preserve">2170583763  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4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1</v>
      </c>
      <c r="BJ2148" s="2">
        <v>0.2</v>
      </c>
      <c r="BK2148" s="2">
        <v>1</v>
      </c>
      <c r="BL2148" s="2">
        <v>41.44</v>
      </c>
      <c r="BM2148" s="2">
        <v>5.8</v>
      </c>
      <c r="BN2148" s="2">
        <v>47.24</v>
      </c>
      <c r="BO2148" s="2">
        <v>47.24</v>
      </c>
      <c r="BP2148" s="2"/>
      <c r="BQ2148" s="2" t="s">
        <v>83</v>
      </c>
      <c r="BR2148" s="2" t="s">
        <v>84</v>
      </c>
      <c r="BS2148" s="3">
        <v>42968</v>
      </c>
      <c r="BT2148" s="4">
        <v>0.36805555555555558</v>
      </c>
      <c r="BU2148" s="2" t="s">
        <v>2683</v>
      </c>
      <c r="BV2148" s="2" t="s">
        <v>95</v>
      </c>
      <c r="BW2148" s="2"/>
      <c r="BX2148" s="2"/>
      <c r="BY2148" s="2">
        <v>1200</v>
      </c>
      <c r="BZ2148" s="2" t="s">
        <v>27</v>
      </c>
      <c r="CA2148" s="2" t="s">
        <v>627</v>
      </c>
      <c r="CB2148" s="2"/>
      <c r="CC2148" s="2" t="s">
        <v>98</v>
      </c>
      <c r="CD2148" s="2">
        <v>6210</v>
      </c>
      <c r="CE2148" s="2" t="s">
        <v>104</v>
      </c>
      <c r="CF2148" s="5">
        <v>42969</v>
      </c>
      <c r="CG2148" s="2"/>
      <c r="CH2148" s="2"/>
      <c r="CI2148" s="2">
        <v>1</v>
      </c>
      <c r="CJ2148" s="2">
        <v>1</v>
      </c>
      <c r="CK2148" s="2">
        <v>21</v>
      </c>
      <c r="CL2148" s="2" t="s">
        <v>86</v>
      </c>
      <c r="CM2148" s="2"/>
    </row>
    <row r="2149" spans="1:91">
      <c r="A2149" s="2" t="s">
        <v>71</v>
      </c>
      <c r="B2149" s="2" t="s">
        <v>72</v>
      </c>
      <c r="C2149" s="2" t="s">
        <v>73</v>
      </c>
      <c r="D2149" s="2"/>
      <c r="E2149" s="2" t="str">
        <f>"FES1162569928"</f>
        <v>FES1162569928</v>
      </c>
      <c r="F2149" s="3">
        <v>42965</v>
      </c>
      <c r="G2149" s="2">
        <v>201802</v>
      </c>
      <c r="H2149" s="2" t="s">
        <v>74</v>
      </c>
      <c r="I2149" s="2" t="s">
        <v>75</v>
      </c>
      <c r="J2149" s="2" t="s">
        <v>76</v>
      </c>
      <c r="K2149" s="2" t="s">
        <v>77</v>
      </c>
      <c r="L2149" s="2" t="s">
        <v>97</v>
      </c>
      <c r="M2149" s="2" t="s">
        <v>98</v>
      </c>
      <c r="N2149" s="2" t="s">
        <v>99</v>
      </c>
      <c r="O2149" s="2" t="s">
        <v>100</v>
      </c>
      <c r="P2149" s="2" t="str">
        <f>"2170583759                    "</f>
        <v xml:space="preserve">2170583759   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4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1</v>
      </c>
      <c r="BJ2149" s="2">
        <v>0.2</v>
      </c>
      <c r="BK2149" s="2">
        <v>1</v>
      </c>
      <c r="BL2149" s="2">
        <v>41.44</v>
      </c>
      <c r="BM2149" s="2">
        <v>5.8</v>
      </c>
      <c r="BN2149" s="2">
        <v>47.24</v>
      </c>
      <c r="BO2149" s="2">
        <v>47.24</v>
      </c>
      <c r="BP2149" s="2"/>
      <c r="BQ2149" s="2" t="s">
        <v>83</v>
      </c>
      <c r="BR2149" s="2" t="s">
        <v>84</v>
      </c>
      <c r="BS2149" s="3">
        <v>42968</v>
      </c>
      <c r="BT2149" s="4">
        <v>0.36736111111111108</v>
      </c>
      <c r="BU2149" s="2" t="s">
        <v>2683</v>
      </c>
      <c r="BV2149" s="2" t="s">
        <v>95</v>
      </c>
      <c r="BW2149" s="2"/>
      <c r="BX2149" s="2"/>
      <c r="BY2149" s="2">
        <v>1200</v>
      </c>
      <c r="BZ2149" s="2" t="s">
        <v>27</v>
      </c>
      <c r="CA2149" s="2" t="s">
        <v>627</v>
      </c>
      <c r="CB2149" s="2"/>
      <c r="CC2149" s="2" t="s">
        <v>98</v>
      </c>
      <c r="CD2149" s="2">
        <v>6210</v>
      </c>
      <c r="CE2149" s="2" t="s">
        <v>104</v>
      </c>
      <c r="CF2149" s="5">
        <v>42969</v>
      </c>
      <c r="CG2149" s="2"/>
      <c r="CH2149" s="2"/>
      <c r="CI2149" s="2">
        <v>1</v>
      </c>
      <c r="CJ2149" s="2">
        <v>1</v>
      </c>
      <c r="CK2149" s="2">
        <v>21</v>
      </c>
      <c r="CL2149" s="2" t="s">
        <v>86</v>
      </c>
      <c r="CM2149" s="2"/>
    </row>
    <row r="2150" spans="1:91">
      <c r="A2150" s="2" t="s">
        <v>71</v>
      </c>
      <c r="B2150" s="2" t="s">
        <v>72</v>
      </c>
      <c r="C2150" s="2" t="s">
        <v>73</v>
      </c>
      <c r="D2150" s="2"/>
      <c r="E2150" s="2" t="str">
        <f>"FES1162569929"</f>
        <v>FES1162569929</v>
      </c>
      <c r="F2150" s="3">
        <v>42965</v>
      </c>
      <c r="G2150" s="2">
        <v>201802</v>
      </c>
      <c r="H2150" s="2" t="s">
        <v>74</v>
      </c>
      <c r="I2150" s="2" t="s">
        <v>75</v>
      </c>
      <c r="J2150" s="2" t="s">
        <v>76</v>
      </c>
      <c r="K2150" s="2" t="s">
        <v>77</v>
      </c>
      <c r="L2150" s="2" t="s">
        <v>97</v>
      </c>
      <c r="M2150" s="2" t="s">
        <v>98</v>
      </c>
      <c r="N2150" s="2" t="s">
        <v>99</v>
      </c>
      <c r="O2150" s="2" t="s">
        <v>100</v>
      </c>
      <c r="P2150" s="2" t="str">
        <f>"2170583761                    "</f>
        <v xml:space="preserve">2170583761  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4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1</v>
      </c>
      <c r="BI2150" s="2">
        <v>1</v>
      </c>
      <c r="BJ2150" s="2">
        <v>0.2</v>
      </c>
      <c r="BK2150" s="2">
        <v>1</v>
      </c>
      <c r="BL2150" s="2">
        <v>41.44</v>
      </c>
      <c r="BM2150" s="2">
        <v>5.8</v>
      </c>
      <c r="BN2150" s="2">
        <v>47.24</v>
      </c>
      <c r="BO2150" s="2">
        <v>47.24</v>
      </c>
      <c r="BP2150" s="2"/>
      <c r="BQ2150" s="2" t="s">
        <v>83</v>
      </c>
      <c r="BR2150" s="2" t="s">
        <v>84</v>
      </c>
      <c r="BS2150" s="3">
        <v>42968</v>
      </c>
      <c r="BT2150" s="4">
        <v>0.3666666666666667</v>
      </c>
      <c r="BU2150" s="2" t="s">
        <v>2683</v>
      </c>
      <c r="BV2150" s="2" t="s">
        <v>95</v>
      </c>
      <c r="BW2150" s="2"/>
      <c r="BX2150" s="2"/>
      <c r="BY2150" s="2">
        <v>1200</v>
      </c>
      <c r="BZ2150" s="2" t="s">
        <v>27</v>
      </c>
      <c r="CA2150" s="2" t="s">
        <v>627</v>
      </c>
      <c r="CB2150" s="2"/>
      <c r="CC2150" s="2" t="s">
        <v>98</v>
      </c>
      <c r="CD2150" s="2">
        <v>6210</v>
      </c>
      <c r="CE2150" s="2" t="s">
        <v>104</v>
      </c>
      <c r="CF2150" s="5">
        <v>42969</v>
      </c>
      <c r="CG2150" s="2"/>
      <c r="CH2150" s="2"/>
      <c r="CI2150" s="2">
        <v>1</v>
      </c>
      <c r="CJ2150" s="2">
        <v>1</v>
      </c>
      <c r="CK2150" s="2">
        <v>21</v>
      </c>
      <c r="CL2150" s="2" t="s">
        <v>86</v>
      </c>
      <c r="CM2150" s="2"/>
    </row>
    <row r="2151" spans="1:91">
      <c r="A2151" s="2" t="s">
        <v>71</v>
      </c>
      <c r="B2151" s="2" t="s">
        <v>72</v>
      </c>
      <c r="C2151" s="2" t="s">
        <v>73</v>
      </c>
      <c r="D2151" s="2"/>
      <c r="E2151" s="2" t="str">
        <f>"FES1162569957"</f>
        <v>FES1162569957</v>
      </c>
      <c r="F2151" s="3">
        <v>42965</v>
      </c>
      <c r="G2151" s="2">
        <v>201802</v>
      </c>
      <c r="H2151" s="2" t="s">
        <v>74</v>
      </c>
      <c r="I2151" s="2" t="s">
        <v>75</v>
      </c>
      <c r="J2151" s="2" t="s">
        <v>76</v>
      </c>
      <c r="K2151" s="2" t="s">
        <v>77</v>
      </c>
      <c r="L2151" s="2" t="s">
        <v>105</v>
      </c>
      <c r="M2151" s="2" t="s">
        <v>106</v>
      </c>
      <c r="N2151" s="2" t="s">
        <v>107</v>
      </c>
      <c r="O2151" s="2" t="s">
        <v>100</v>
      </c>
      <c r="P2151" s="2" t="str">
        <f>"2170585739                    "</f>
        <v xml:space="preserve">2170585739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4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1</v>
      </c>
      <c r="BJ2151" s="2">
        <v>0.2</v>
      </c>
      <c r="BK2151" s="2">
        <v>1</v>
      </c>
      <c r="BL2151" s="2">
        <v>41.44</v>
      </c>
      <c r="BM2151" s="2">
        <v>5.8</v>
      </c>
      <c r="BN2151" s="2">
        <v>47.24</v>
      </c>
      <c r="BO2151" s="2">
        <v>47.24</v>
      </c>
      <c r="BP2151" s="2"/>
      <c r="BQ2151" s="2" t="s">
        <v>108</v>
      </c>
      <c r="BR2151" s="2" t="s">
        <v>84</v>
      </c>
      <c r="BS2151" s="3">
        <v>42968</v>
      </c>
      <c r="BT2151" s="4">
        <v>0.40069444444444446</v>
      </c>
      <c r="BU2151" s="2" t="s">
        <v>2684</v>
      </c>
      <c r="BV2151" s="2" t="s">
        <v>95</v>
      </c>
      <c r="BW2151" s="2"/>
      <c r="BX2151" s="2"/>
      <c r="BY2151" s="2">
        <v>1200</v>
      </c>
      <c r="BZ2151" s="2" t="s">
        <v>27</v>
      </c>
      <c r="CA2151" s="2" t="s">
        <v>112</v>
      </c>
      <c r="CB2151" s="2"/>
      <c r="CC2151" s="2" t="s">
        <v>106</v>
      </c>
      <c r="CD2151" s="2">
        <v>7405</v>
      </c>
      <c r="CE2151" s="2" t="s">
        <v>104</v>
      </c>
      <c r="CF2151" s="5">
        <v>42969</v>
      </c>
      <c r="CG2151" s="2"/>
      <c r="CH2151" s="2"/>
      <c r="CI2151" s="2">
        <v>1</v>
      </c>
      <c r="CJ2151" s="2">
        <v>1</v>
      </c>
      <c r="CK2151" s="2">
        <v>21</v>
      </c>
      <c r="CL2151" s="2" t="s">
        <v>86</v>
      </c>
      <c r="CM2151" s="2"/>
    </row>
    <row r="2152" spans="1:91">
      <c r="A2152" s="2" t="s">
        <v>71</v>
      </c>
      <c r="B2152" s="2" t="s">
        <v>72</v>
      </c>
      <c r="C2152" s="2" t="s">
        <v>73</v>
      </c>
      <c r="D2152" s="2"/>
      <c r="E2152" s="2" t="str">
        <f>"FES1162569911"</f>
        <v>FES1162569911</v>
      </c>
      <c r="F2152" s="3">
        <v>42965</v>
      </c>
      <c r="G2152" s="2">
        <v>201802</v>
      </c>
      <c r="H2152" s="2" t="s">
        <v>74</v>
      </c>
      <c r="I2152" s="2" t="s">
        <v>75</v>
      </c>
      <c r="J2152" s="2" t="s">
        <v>76</v>
      </c>
      <c r="K2152" s="2" t="s">
        <v>77</v>
      </c>
      <c r="L2152" s="2" t="s">
        <v>97</v>
      </c>
      <c r="M2152" s="2" t="s">
        <v>98</v>
      </c>
      <c r="N2152" s="2" t="s">
        <v>214</v>
      </c>
      <c r="O2152" s="2" t="s">
        <v>100</v>
      </c>
      <c r="P2152" s="2" t="str">
        <f>"2170583581                    "</f>
        <v xml:space="preserve">2170583581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4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1</v>
      </c>
      <c r="BJ2152" s="2">
        <v>0.2</v>
      </c>
      <c r="BK2152" s="2">
        <v>1</v>
      </c>
      <c r="BL2152" s="2">
        <v>41.44</v>
      </c>
      <c r="BM2152" s="2">
        <v>5.8</v>
      </c>
      <c r="BN2152" s="2">
        <v>47.24</v>
      </c>
      <c r="BO2152" s="2">
        <v>47.24</v>
      </c>
      <c r="BP2152" s="2"/>
      <c r="BQ2152" s="2" t="s">
        <v>108</v>
      </c>
      <c r="BR2152" s="2" t="s">
        <v>84</v>
      </c>
      <c r="BS2152" s="3">
        <v>42968</v>
      </c>
      <c r="BT2152" s="4">
        <v>0.3444444444444445</v>
      </c>
      <c r="BU2152" s="2" t="s">
        <v>2685</v>
      </c>
      <c r="BV2152" s="2" t="s">
        <v>95</v>
      </c>
      <c r="BW2152" s="2"/>
      <c r="BX2152" s="2"/>
      <c r="BY2152" s="2">
        <v>1200</v>
      </c>
      <c r="BZ2152" s="2" t="s">
        <v>27</v>
      </c>
      <c r="CA2152" s="2" t="s">
        <v>286</v>
      </c>
      <c r="CB2152" s="2"/>
      <c r="CC2152" s="2" t="s">
        <v>98</v>
      </c>
      <c r="CD2152" s="2">
        <v>6001</v>
      </c>
      <c r="CE2152" s="2" t="s">
        <v>104</v>
      </c>
      <c r="CF2152" s="5">
        <v>42969</v>
      </c>
      <c r="CG2152" s="2"/>
      <c r="CH2152" s="2"/>
      <c r="CI2152" s="2">
        <v>1</v>
      </c>
      <c r="CJ2152" s="2">
        <v>1</v>
      </c>
      <c r="CK2152" s="2">
        <v>21</v>
      </c>
      <c r="CL2152" s="2" t="s">
        <v>86</v>
      </c>
      <c r="CM2152" s="2"/>
    </row>
    <row r="2153" spans="1:91">
      <c r="A2153" s="2" t="s">
        <v>71</v>
      </c>
      <c r="B2153" s="2" t="s">
        <v>72</v>
      </c>
      <c r="C2153" s="2" t="s">
        <v>73</v>
      </c>
      <c r="D2153" s="2"/>
      <c r="E2153" s="2" t="str">
        <f>"FES1162569976"</f>
        <v>FES1162569976</v>
      </c>
      <c r="F2153" s="3">
        <v>42965</v>
      </c>
      <c r="G2153" s="2">
        <v>201802</v>
      </c>
      <c r="H2153" s="2" t="s">
        <v>74</v>
      </c>
      <c r="I2153" s="2" t="s">
        <v>75</v>
      </c>
      <c r="J2153" s="2" t="s">
        <v>76</v>
      </c>
      <c r="K2153" s="2" t="s">
        <v>77</v>
      </c>
      <c r="L2153" s="2" t="s">
        <v>174</v>
      </c>
      <c r="M2153" s="2" t="s">
        <v>175</v>
      </c>
      <c r="N2153" s="2" t="s">
        <v>920</v>
      </c>
      <c r="O2153" s="2" t="s">
        <v>100</v>
      </c>
      <c r="P2153" s="2" t="str">
        <f>"2170585426                    "</f>
        <v xml:space="preserve">2170585426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4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</v>
      </c>
      <c r="BJ2153" s="2">
        <v>0.2</v>
      </c>
      <c r="BK2153" s="2">
        <v>1</v>
      </c>
      <c r="BL2153" s="2">
        <v>41.44</v>
      </c>
      <c r="BM2153" s="2">
        <v>5.8</v>
      </c>
      <c r="BN2153" s="2">
        <v>47.24</v>
      </c>
      <c r="BO2153" s="2">
        <v>47.24</v>
      </c>
      <c r="BP2153" s="2"/>
      <c r="BQ2153" s="2" t="s">
        <v>108</v>
      </c>
      <c r="BR2153" s="2" t="s">
        <v>84</v>
      </c>
      <c r="BS2153" s="3">
        <v>42968</v>
      </c>
      <c r="BT2153" s="4">
        <v>0.33333333333333331</v>
      </c>
      <c r="BU2153" s="2" t="s">
        <v>921</v>
      </c>
      <c r="BV2153" s="2" t="s">
        <v>95</v>
      </c>
      <c r="BW2153" s="2"/>
      <c r="BX2153" s="2"/>
      <c r="BY2153" s="2">
        <v>1200</v>
      </c>
      <c r="BZ2153" s="2" t="s">
        <v>27</v>
      </c>
      <c r="CA2153" s="2"/>
      <c r="CB2153" s="2"/>
      <c r="CC2153" s="2" t="s">
        <v>175</v>
      </c>
      <c r="CD2153" s="2">
        <v>5201</v>
      </c>
      <c r="CE2153" s="2" t="s">
        <v>104</v>
      </c>
      <c r="CF2153" s="5">
        <v>42969</v>
      </c>
      <c r="CG2153" s="2"/>
      <c r="CH2153" s="2"/>
      <c r="CI2153" s="2">
        <v>1</v>
      </c>
      <c r="CJ2153" s="2">
        <v>1</v>
      </c>
      <c r="CK2153" s="2">
        <v>21</v>
      </c>
      <c r="CL2153" s="2" t="s">
        <v>86</v>
      </c>
      <c r="CM2153" s="2"/>
    </row>
    <row r="2154" spans="1:91">
      <c r="A2154" s="2" t="s">
        <v>71</v>
      </c>
      <c r="B2154" s="2" t="s">
        <v>72</v>
      </c>
      <c r="C2154" s="2" t="s">
        <v>73</v>
      </c>
      <c r="D2154" s="2"/>
      <c r="E2154" s="2" t="str">
        <f>"FES1162570040"</f>
        <v>FES1162570040</v>
      </c>
      <c r="F2154" s="3">
        <v>42965</v>
      </c>
      <c r="G2154" s="2">
        <v>201802</v>
      </c>
      <c r="H2154" s="2" t="s">
        <v>74</v>
      </c>
      <c r="I2154" s="2" t="s">
        <v>75</v>
      </c>
      <c r="J2154" s="2" t="s">
        <v>76</v>
      </c>
      <c r="K2154" s="2" t="s">
        <v>77</v>
      </c>
      <c r="L2154" s="2" t="s">
        <v>97</v>
      </c>
      <c r="M2154" s="2" t="s">
        <v>98</v>
      </c>
      <c r="N2154" s="2" t="s">
        <v>597</v>
      </c>
      <c r="O2154" s="2" t="s">
        <v>100</v>
      </c>
      <c r="P2154" s="2" t="str">
        <f>"2170585830                    "</f>
        <v xml:space="preserve">2170585830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4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1</v>
      </c>
      <c r="BJ2154" s="2">
        <v>0.2</v>
      </c>
      <c r="BK2154" s="2">
        <v>1</v>
      </c>
      <c r="BL2154" s="2">
        <v>41.44</v>
      </c>
      <c r="BM2154" s="2">
        <v>5.8</v>
      </c>
      <c r="BN2154" s="2">
        <v>47.24</v>
      </c>
      <c r="BO2154" s="2">
        <v>47.24</v>
      </c>
      <c r="BP2154" s="2"/>
      <c r="BQ2154" s="2" t="s">
        <v>288</v>
      </c>
      <c r="BR2154" s="2" t="s">
        <v>84</v>
      </c>
      <c r="BS2154" s="3">
        <v>42968</v>
      </c>
      <c r="BT2154" s="4">
        <v>0.43611111111111112</v>
      </c>
      <c r="BU2154" s="2" t="s">
        <v>599</v>
      </c>
      <c r="BV2154" s="2" t="s">
        <v>95</v>
      </c>
      <c r="BW2154" s="2"/>
      <c r="BX2154" s="2"/>
      <c r="BY2154" s="2">
        <v>1200</v>
      </c>
      <c r="BZ2154" s="2" t="s">
        <v>27</v>
      </c>
      <c r="CA2154" s="2" t="s">
        <v>600</v>
      </c>
      <c r="CB2154" s="2"/>
      <c r="CC2154" s="2" t="s">
        <v>98</v>
      </c>
      <c r="CD2154" s="2">
        <v>6070</v>
      </c>
      <c r="CE2154" s="2" t="s">
        <v>104</v>
      </c>
      <c r="CF2154" s="5">
        <v>42969</v>
      </c>
      <c r="CG2154" s="2"/>
      <c r="CH2154" s="2"/>
      <c r="CI2154" s="2">
        <v>1</v>
      </c>
      <c r="CJ2154" s="2">
        <v>1</v>
      </c>
      <c r="CK2154" s="2">
        <v>21</v>
      </c>
      <c r="CL2154" s="2" t="s">
        <v>86</v>
      </c>
      <c r="CM2154" s="2"/>
    </row>
    <row r="2155" spans="1:91">
      <c r="A2155" s="2" t="s">
        <v>71</v>
      </c>
      <c r="B2155" s="2" t="s">
        <v>72</v>
      </c>
      <c r="C2155" s="2" t="s">
        <v>73</v>
      </c>
      <c r="D2155" s="2"/>
      <c r="E2155" s="2" t="str">
        <f>"FES1162569971"</f>
        <v>FES1162569971</v>
      </c>
      <c r="F2155" s="3">
        <v>42965</v>
      </c>
      <c r="G2155" s="2">
        <v>201802</v>
      </c>
      <c r="H2155" s="2" t="s">
        <v>74</v>
      </c>
      <c r="I2155" s="2" t="s">
        <v>75</v>
      </c>
      <c r="J2155" s="2" t="s">
        <v>76</v>
      </c>
      <c r="K2155" s="2" t="s">
        <v>77</v>
      </c>
      <c r="L2155" s="2" t="s">
        <v>174</v>
      </c>
      <c r="M2155" s="2" t="s">
        <v>175</v>
      </c>
      <c r="N2155" s="2" t="s">
        <v>920</v>
      </c>
      <c r="O2155" s="2" t="s">
        <v>100</v>
      </c>
      <c r="P2155" s="2" t="str">
        <f>"2170585671                    "</f>
        <v xml:space="preserve">2170585671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4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1</v>
      </c>
      <c r="BJ2155" s="2">
        <v>0.2</v>
      </c>
      <c r="BK2155" s="2">
        <v>1</v>
      </c>
      <c r="BL2155" s="2">
        <v>41.44</v>
      </c>
      <c r="BM2155" s="2">
        <v>5.8</v>
      </c>
      <c r="BN2155" s="2">
        <v>47.24</v>
      </c>
      <c r="BO2155" s="2">
        <v>47.24</v>
      </c>
      <c r="BP2155" s="2"/>
      <c r="BQ2155" s="2" t="s">
        <v>108</v>
      </c>
      <c r="BR2155" s="2" t="s">
        <v>84</v>
      </c>
      <c r="BS2155" s="3">
        <v>42968</v>
      </c>
      <c r="BT2155" s="4">
        <v>0.33333333333333331</v>
      </c>
      <c r="BU2155" s="2" t="s">
        <v>921</v>
      </c>
      <c r="BV2155" s="2" t="s">
        <v>95</v>
      </c>
      <c r="BW2155" s="2"/>
      <c r="BX2155" s="2"/>
      <c r="BY2155" s="2">
        <v>1200</v>
      </c>
      <c r="BZ2155" s="2" t="s">
        <v>27</v>
      </c>
      <c r="CA2155" s="2"/>
      <c r="CB2155" s="2"/>
      <c r="CC2155" s="2" t="s">
        <v>175</v>
      </c>
      <c r="CD2155" s="2">
        <v>5201</v>
      </c>
      <c r="CE2155" s="2" t="s">
        <v>104</v>
      </c>
      <c r="CF2155" s="5">
        <v>42969</v>
      </c>
      <c r="CG2155" s="2"/>
      <c r="CH2155" s="2"/>
      <c r="CI2155" s="2">
        <v>1</v>
      </c>
      <c r="CJ2155" s="2">
        <v>1</v>
      </c>
      <c r="CK2155" s="2">
        <v>21</v>
      </c>
      <c r="CL2155" s="2" t="s">
        <v>86</v>
      </c>
      <c r="CM2155" s="2"/>
    </row>
    <row r="2156" spans="1:91">
      <c r="A2156" s="2" t="s">
        <v>71</v>
      </c>
      <c r="B2156" s="2" t="s">
        <v>72</v>
      </c>
      <c r="C2156" s="2" t="s">
        <v>73</v>
      </c>
      <c r="D2156" s="2"/>
      <c r="E2156" s="2" t="str">
        <f>"FES1162569935"</f>
        <v>FES1162569935</v>
      </c>
      <c r="F2156" s="3">
        <v>42965</v>
      </c>
      <c r="G2156" s="2">
        <v>201802</v>
      </c>
      <c r="H2156" s="2" t="s">
        <v>74</v>
      </c>
      <c r="I2156" s="2" t="s">
        <v>75</v>
      </c>
      <c r="J2156" s="2" t="s">
        <v>76</v>
      </c>
      <c r="K2156" s="2" t="s">
        <v>77</v>
      </c>
      <c r="L2156" s="2" t="s">
        <v>353</v>
      </c>
      <c r="M2156" s="2" t="s">
        <v>354</v>
      </c>
      <c r="N2156" s="2" t="s">
        <v>1603</v>
      </c>
      <c r="O2156" s="2" t="s">
        <v>100</v>
      </c>
      <c r="P2156" s="2" t="str">
        <f>"2170584982                    "</f>
        <v xml:space="preserve">2170584982  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4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1</v>
      </c>
      <c r="BJ2156" s="2">
        <v>0.2</v>
      </c>
      <c r="BK2156" s="2">
        <v>1</v>
      </c>
      <c r="BL2156" s="2">
        <v>41.44</v>
      </c>
      <c r="BM2156" s="2">
        <v>5.8</v>
      </c>
      <c r="BN2156" s="2">
        <v>47.24</v>
      </c>
      <c r="BO2156" s="2">
        <v>47.24</v>
      </c>
      <c r="BP2156" s="2"/>
      <c r="BQ2156" s="2" t="s">
        <v>288</v>
      </c>
      <c r="BR2156" s="2" t="s">
        <v>84</v>
      </c>
      <c r="BS2156" s="3">
        <v>42968</v>
      </c>
      <c r="BT2156" s="4">
        <v>0.4291666666666667</v>
      </c>
      <c r="BU2156" s="2" t="s">
        <v>2686</v>
      </c>
      <c r="BV2156" s="2" t="s">
        <v>95</v>
      </c>
      <c r="BW2156" s="2"/>
      <c r="BX2156" s="2"/>
      <c r="BY2156" s="2">
        <v>1200</v>
      </c>
      <c r="BZ2156" s="2" t="s">
        <v>27</v>
      </c>
      <c r="CA2156" s="2" t="s">
        <v>2305</v>
      </c>
      <c r="CB2156" s="2"/>
      <c r="CC2156" s="2" t="s">
        <v>354</v>
      </c>
      <c r="CD2156" s="2">
        <v>3700</v>
      </c>
      <c r="CE2156" s="2" t="s">
        <v>104</v>
      </c>
      <c r="CF2156" s="5">
        <v>42970</v>
      </c>
      <c r="CG2156" s="2"/>
      <c r="CH2156" s="2"/>
      <c r="CI2156" s="2">
        <v>1</v>
      </c>
      <c r="CJ2156" s="2">
        <v>1</v>
      </c>
      <c r="CK2156" s="2">
        <v>21</v>
      </c>
      <c r="CL2156" s="2" t="s">
        <v>86</v>
      </c>
      <c r="CM2156" s="2"/>
    </row>
    <row r="2157" spans="1:91">
      <c r="A2157" s="2" t="s">
        <v>71</v>
      </c>
      <c r="B2157" s="2" t="s">
        <v>72</v>
      </c>
      <c r="C2157" s="2" t="s">
        <v>73</v>
      </c>
      <c r="D2157" s="2"/>
      <c r="E2157" s="2" t="str">
        <f>"FES1162569895"</f>
        <v>FES1162569895</v>
      </c>
      <c r="F2157" s="3">
        <v>42965</v>
      </c>
      <c r="G2157" s="2">
        <v>201802</v>
      </c>
      <c r="H2157" s="2" t="s">
        <v>74</v>
      </c>
      <c r="I2157" s="2" t="s">
        <v>75</v>
      </c>
      <c r="J2157" s="2" t="s">
        <v>76</v>
      </c>
      <c r="K2157" s="2" t="s">
        <v>77</v>
      </c>
      <c r="L2157" s="2" t="s">
        <v>619</v>
      </c>
      <c r="M2157" s="2" t="s">
        <v>620</v>
      </c>
      <c r="N2157" s="2" t="s">
        <v>621</v>
      </c>
      <c r="O2157" s="2" t="s">
        <v>100</v>
      </c>
      <c r="P2157" s="2" t="str">
        <f>"2170585706                    "</f>
        <v xml:space="preserve">2170585706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5.63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1</v>
      </c>
      <c r="BI2157" s="2">
        <v>1</v>
      </c>
      <c r="BJ2157" s="2">
        <v>0.2</v>
      </c>
      <c r="BK2157" s="2">
        <v>1</v>
      </c>
      <c r="BL2157" s="2">
        <v>58.28</v>
      </c>
      <c r="BM2157" s="2">
        <v>8.16</v>
      </c>
      <c r="BN2157" s="2">
        <v>66.44</v>
      </c>
      <c r="BO2157" s="2">
        <v>66.44</v>
      </c>
      <c r="BP2157" s="2"/>
      <c r="BQ2157" s="2" t="s">
        <v>288</v>
      </c>
      <c r="BR2157" s="2" t="s">
        <v>84</v>
      </c>
      <c r="BS2157" s="3">
        <v>42969</v>
      </c>
      <c r="BT2157" s="4">
        <v>0.55694444444444446</v>
      </c>
      <c r="BU2157" s="2" t="s">
        <v>85</v>
      </c>
      <c r="BV2157" s="2" t="s">
        <v>86</v>
      </c>
      <c r="BW2157" s="2" t="s">
        <v>110</v>
      </c>
      <c r="BX2157" s="2" t="s">
        <v>623</v>
      </c>
      <c r="BY2157" s="2">
        <v>1200</v>
      </c>
      <c r="BZ2157" s="2" t="s">
        <v>27</v>
      </c>
      <c r="CA2157" s="2" t="s">
        <v>956</v>
      </c>
      <c r="CB2157" s="2"/>
      <c r="CC2157" s="2" t="s">
        <v>620</v>
      </c>
      <c r="CD2157" s="2">
        <v>1000</v>
      </c>
      <c r="CE2157" s="2" t="s">
        <v>104</v>
      </c>
      <c r="CF2157" s="5">
        <v>42970</v>
      </c>
      <c r="CG2157" s="2"/>
      <c r="CH2157" s="2"/>
      <c r="CI2157" s="2">
        <v>1</v>
      </c>
      <c r="CJ2157" s="2">
        <v>2</v>
      </c>
      <c r="CK2157" s="2">
        <v>24</v>
      </c>
      <c r="CL2157" s="2" t="s">
        <v>86</v>
      </c>
      <c r="CM2157" s="2"/>
    </row>
    <row r="2158" spans="1:91">
      <c r="A2158" s="2" t="s">
        <v>71</v>
      </c>
      <c r="B2158" s="2" t="s">
        <v>72</v>
      </c>
      <c r="C2158" s="2" t="s">
        <v>73</v>
      </c>
      <c r="D2158" s="2"/>
      <c r="E2158" s="2" t="str">
        <f>"FES1162569975"</f>
        <v>FES1162569975</v>
      </c>
      <c r="F2158" s="3">
        <v>42965</v>
      </c>
      <c r="G2158" s="2">
        <v>201802</v>
      </c>
      <c r="H2158" s="2" t="s">
        <v>74</v>
      </c>
      <c r="I2158" s="2" t="s">
        <v>75</v>
      </c>
      <c r="J2158" s="2" t="s">
        <v>76</v>
      </c>
      <c r="K2158" s="2" t="s">
        <v>77</v>
      </c>
      <c r="L2158" s="2" t="s">
        <v>174</v>
      </c>
      <c r="M2158" s="2" t="s">
        <v>175</v>
      </c>
      <c r="N2158" s="2" t="s">
        <v>920</v>
      </c>
      <c r="O2158" s="2" t="s">
        <v>100</v>
      </c>
      <c r="P2158" s="2" t="str">
        <f>"2170585674                    "</f>
        <v xml:space="preserve">2170585674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4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1</v>
      </c>
      <c r="BJ2158" s="2">
        <v>0.2</v>
      </c>
      <c r="BK2158" s="2">
        <v>1</v>
      </c>
      <c r="BL2158" s="2">
        <v>41.44</v>
      </c>
      <c r="BM2158" s="2">
        <v>5.8</v>
      </c>
      <c r="BN2158" s="2">
        <v>47.24</v>
      </c>
      <c r="BO2158" s="2">
        <v>47.24</v>
      </c>
      <c r="BP2158" s="2"/>
      <c r="BQ2158" s="2" t="s">
        <v>108</v>
      </c>
      <c r="BR2158" s="2" t="s">
        <v>84</v>
      </c>
      <c r="BS2158" s="3">
        <v>42968</v>
      </c>
      <c r="BT2158" s="4">
        <v>0.33333333333333331</v>
      </c>
      <c r="BU2158" s="2" t="s">
        <v>921</v>
      </c>
      <c r="BV2158" s="2" t="s">
        <v>95</v>
      </c>
      <c r="BW2158" s="2"/>
      <c r="BX2158" s="2"/>
      <c r="BY2158" s="2">
        <v>1200</v>
      </c>
      <c r="BZ2158" s="2" t="s">
        <v>27</v>
      </c>
      <c r="CA2158" s="2"/>
      <c r="CB2158" s="2"/>
      <c r="CC2158" s="2" t="s">
        <v>175</v>
      </c>
      <c r="CD2158" s="2">
        <v>5201</v>
      </c>
      <c r="CE2158" s="2" t="s">
        <v>104</v>
      </c>
      <c r="CF2158" s="5">
        <v>42969</v>
      </c>
      <c r="CG2158" s="2"/>
      <c r="CH2158" s="2"/>
      <c r="CI2158" s="2">
        <v>1</v>
      </c>
      <c r="CJ2158" s="2">
        <v>1</v>
      </c>
      <c r="CK2158" s="2">
        <v>21</v>
      </c>
      <c r="CL2158" s="2" t="s">
        <v>86</v>
      </c>
      <c r="CM2158" s="2"/>
    </row>
    <row r="2159" spans="1:91">
      <c r="A2159" s="2" t="s">
        <v>71</v>
      </c>
      <c r="B2159" s="2" t="s">
        <v>72</v>
      </c>
      <c r="C2159" s="2" t="s">
        <v>73</v>
      </c>
      <c r="D2159" s="2"/>
      <c r="E2159" s="2" t="str">
        <f>"FES1162569921"</f>
        <v>FES1162569921</v>
      </c>
      <c r="F2159" s="3">
        <v>42965</v>
      </c>
      <c r="G2159" s="2">
        <v>201802</v>
      </c>
      <c r="H2159" s="2" t="s">
        <v>74</v>
      </c>
      <c r="I2159" s="2" t="s">
        <v>75</v>
      </c>
      <c r="J2159" s="2" t="s">
        <v>76</v>
      </c>
      <c r="K2159" s="2" t="s">
        <v>77</v>
      </c>
      <c r="L2159" s="2" t="s">
        <v>321</v>
      </c>
      <c r="M2159" s="2" t="s">
        <v>322</v>
      </c>
      <c r="N2159" s="2" t="s">
        <v>323</v>
      </c>
      <c r="O2159" s="2" t="s">
        <v>100</v>
      </c>
      <c r="P2159" s="2" t="str">
        <f>"2170583664                    "</f>
        <v xml:space="preserve">2170583664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4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</v>
      </c>
      <c r="BJ2159" s="2">
        <v>0.2</v>
      </c>
      <c r="BK2159" s="2">
        <v>1</v>
      </c>
      <c r="BL2159" s="2">
        <v>41.44</v>
      </c>
      <c r="BM2159" s="2">
        <v>5.8</v>
      </c>
      <c r="BN2159" s="2">
        <v>47.24</v>
      </c>
      <c r="BO2159" s="2">
        <v>47.24</v>
      </c>
      <c r="BP2159" s="2"/>
      <c r="BQ2159" s="2" t="s">
        <v>83</v>
      </c>
      <c r="BR2159" s="2" t="s">
        <v>84</v>
      </c>
      <c r="BS2159" s="3">
        <v>42968</v>
      </c>
      <c r="BT2159" s="4">
        <v>0.39444444444444443</v>
      </c>
      <c r="BU2159" s="2" t="s">
        <v>2687</v>
      </c>
      <c r="BV2159" s="2" t="s">
        <v>95</v>
      </c>
      <c r="BW2159" s="2"/>
      <c r="BX2159" s="2"/>
      <c r="BY2159" s="2">
        <v>1200</v>
      </c>
      <c r="BZ2159" s="2" t="s">
        <v>27</v>
      </c>
      <c r="CA2159" s="2" t="s">
        <v>627</v>
      </c>
      <c r="CB2159" s="2"/>
      <c r="CC2159" s="2" t="s">
        <v>322</v>
      </c>
      <c r="CD2159" s="2">
        <v>6220</v>
      </c>
      <c r="CE2159" s="2" t="s">
        <v>104</v>
      </c>
      <c r="CF2159" s="5">
        <v>42969</v>
      </c>
      <c r="CG2159" s="2"/>
      <c r="CH2159" s="2"/>
      <c r="CI2159" s="2">
        <v>1</v>
      </c>
      <c r="CJ2159" s="2">
        <v>1</v>
      </c>
      <c r="CK2159" s="2">
        <v>21</v>
      </c>
      <c r="CL2159" s="2" t="s">
        <v>86</v>
      </c>
      <c r="CM2159" s="2"/>
    </row>
    <row r="2160" spans="1:91">
      <c r="A2160" s="2" t="s">
        <v>71</v>
      </c>
      <c r="B2160" s="2" t="s">
        <v>72</v>
      </c>
      <c r="C2160" s="2" t="s">
        <v>73</v>
      </c>
      <c r="D2160" s="2"/>
      <c r="E2160" s="2" t="str">
        <f>"FES1162569943"</f>
        <v>FES1162569943</v>
      </c>
      <c r="F2160" s="3">
        <v>42965</v>
      </c>
      <c r="G2160" s="2">
        <v>201802</v>
      </c>
      <c r="H2160" s="2" t="s">
        <v>74</v>
      </c>
      <c r="I2160" s="2" t="s">
        <v>75</v>
      </c>
      <c r="J2160" s="2" t="s">
        <v>76</v>
      </c>
      <c r="K2160" s="2" t="s">
        <v>77</v>
      </c>
      <c r="L2160" s="2" t="s">
        <v>174</v>
      </c>
      <c r="M2160" s="2" t="s">
        <v>175</v>
      </c>
      <c r="N2160" s="2" t="s">
        <v>920</v>
      </c>
      <c r="O2160" s="2" t="s">
        <v>100</v>
      </c>
      <c r="P2160" s="2" t="str">
        <f>"2170585617                    "</f>
        <v xml:space="preserve">2170585617             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4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1</v>
      </c>
      <c r="BJ2160" s="2">
        <v>0.2</v>
      </c>
      <c r="BK2160" s="2">
        <v>1</v>
      </c>
      <c r="BL2160" s="2">
        <v>41.44</v>
      </c>
      <c r="BM2160" s="2">
        <v>5.8</v>
      </c>
      <c r="BN2160" s="2">
        <v>47.24</v>
      </c>
      <c r="BO2160" s="2">
        <v>47.24</v>
      </c>
      <c r="BP2160" s="2"/>
      <c r="BQ2160" s="2" t="s">
        <v>108</v>
      </c>
      <c r="BR2160" s="2" t="s">
        <v>84</v>
      </c>
      <c r="BS2160" s="3">
        <v>42968</v>
      </c>
      <c r="BT2160" s="4">
        <v>0.33333333333333331</v>
      </c>
      <c r="BU2160" s="2" t="s">
        <v>921</v>
      </c>
      <c r="BV2160" s="2" t="s">
        <v>95</v>
      </c>
      <c r="BW2160" s="2"/>
      <c r="BX2160" s="2"/>
      <c r="BY2160" s="2">
        <v>1200</v>
      </c>
      <c r="BZ2160" s="2" t="s">
        <v>27</v>
      </c>
      <c r="CA2160" s="2"/>
      <c r="CB2160" s="2"/>
      <c r="CC2160" s="2" t="s">
        <v>175</v>
      </c>
      <c r="CD2160" s="2">
        <v>5201</v>
      </c>
      <c r="CE2160" s="2" t="s">
        <v>104</v>
      </c>
      <c r="CF2160" s="5">
        <v>42969</v>
      </c>
      <c r="CG2160" s="2"/>
      <c r="CH2160" s="2"/>
      <c r="CI2160" s="2">
        <v>1</v>
      </c>
      <c r="CJ2160" s="2">
        <v>1</v>
      </c>
      <c r="CK2160" s="2">
        <v>21</v>
      </c>
      <c r="CL2160" s="2" t="s">
        <v>86</v>
      </c>
      <c r="CM2160" s="2"/>
    </row>
    <row r="2161" spans="1:91">
      <c r="A2161" s="2" t="s">
        <v>71</v>
      </c>
      <c r="B2161" s="2" t="s">
        <v>72</v>
      </c>
      <c r="C2161" s="2" t="s">
        <v>73</v>
      </c>
      <c r="D2161" s="2"/>
      <c r="E2161" s="2" t="str">
        <f>"FES1162569932"</f>
        <v>FES1162569932</v>
      </c>
      <c r="F2161" s="3">
        <v>42965</v>
      </c>
      <c r="G2161" s="2">
        <v>201802</v>
      </c>
      <c r="H2161" s="2" t="s">
        <v>74</v>
      </c>
      <c r="I2161" s="2" t="s">
        <v>75</v>
      </c>
      <c r="J2161" s="2" t="s">
        <v>76</v>
      </c>
      <c r="K2161" s="2" t="s">
        <v>77</v>
      </c>
      <c r="L2161" s="2" t="s">
        <v>510</v>
      </c>
      <c r="M2161" s="2" t="s">
        <v>511</v>
      </c>
      <c r="N2161" s="2" t="s">
        <v>2234</v>
      </c>
      <c r="O2161" s="2" t="s">
        <v>100</v>
      </c>
      <c r="P2161" s="2" t="str">
        <f>"2170584673                    "</f>
        <v xml:space="preserve">2170584673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4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2</v>
      </c>
      <c r="BJ2161" s="2">
        <v>0.2</v>
      </c>
      <c r="BK2161" s="2">
        <v>2</v>
      </c>
      <c r="BL2161" s="2">
        <v>41.44</v>
      </c>
      <c r="BM2161" s="2">
        <v>5.8</v>
      </c>
      <c r="BN2161" s="2">
        <v>47.24</v>
      </c>
      <c r="BO2161" s="2">
        <v>47.24</v>
      </c>
      <c r="BP2161" s="2"/>
      <c r="BQ2161" s="2" t="s">
        <v>288</v>
      </c>
      <c r="BR2161" s="2" t="s">
        <v>84</v>
      </c>
      <c r="BS2161" s="3">
        <v>42968</v>
      </c>
      <c r="BT2161" s="4">
        <v>0.3215277777777778</v>
      </c>
      <c r="BU2161" s="2" t="s">
        <v>2688</v>
      </c>
      <c r="BV2161" s="2" t="s">
        <v>95</v>
      </c>
      <c r="BW2161" s="2"/>
      <c r="BX2161" s="2"/>
      <c r="BY2161" s="2">
        <v>1200</v>
      </c>
      <c r="BZ2161" s="2" t="s">
        <v>27</v>
      </c>
      <c r="CA2161" s="2" t="s">
        <v>872</v>
      </c>
      <c r="CB2161" s="2"/>
      <c r="CC2161" s="2" t="s">
        <v>511</v>
      </c>
      <c r="CD2161" s="2">
        <v>6229</v>
      </c>
      <c r="CE2161" s="2" t="s">
        <v>104</v>
      </c>
      <c r="CF2161" s="5">
        <v>42969</v>
      </c>
      <c r="CG2161" s="2"/>
      <c r="CH2161" s="2"/>
      <c r="CI2161" s="2">
        <v>1</v>
      </c>
      <c r="CJ2161" s="2">
        <v>1</v>
      </c>
      <c r="CK2161" s="2">
        <v>21</v>
      </c>
      <c r="CL2161" s="2" t="s">
        <v>86</v>
      </c>
      <c r="CM2161" s="2"/>
    </row>
    <row r="2162" spans="1:91">
      <c r="A2162" s="2" t="s">
        <v>71</v>
      </c>
      <c r="B2162" s="2" t="s">
        <v>72</v>
      </c>
      <c r="C2162" s="2" t="s">
        <v>73</v>
      </c>
      <c r="D2162" s="2"/>
      <c r="E2162" s="2" t="str">
        <f>"FES1162569977"</f>
        <v>FES1162569977</v>
      </c>
      <c r="F2162" s="3">
        <v>42965</v>
      </c>
      <c r="G2162" s="2">
        <v>201802</v>
      </c>
      <c r="H2162" s="2" t="s">
        <v>74</v>
      </c>
      <c r="I2162" s="2" t="s">
        <v>75</v>
      </c>
      <c r="J2162" s="2" t="s">
        <v>76</v>
      </c>
      <c r="K2162" s="2" t="s">
        <v>77</v>
      </c>
      <c r="L2162" s="2" t="s">
        <v>174</v>
      </c>
      <c r="M2162" s="2" t="s">
        <v>175</v>
      </c>
      <c r="N2162" s="2" t="s">
        <v>920</v>
      </c>
      <c r="O2162" s="2" t="s">
        <v>100</v>
      </c>
      <c r="P2162" s="2" t="str">
        <f>"2170585728                    "</f>
        <v xml:space="preserve">2170585728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4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1</v>
      </c>
      <c r="BI2162" s="2">
        <v>1</v>
      </c>
      <c r="BJ2162" s="2">
        <v>0.2</v>
      </c>
      <c r="BK2162" s="2">
        <v>1</v>
      </c>
      <c r="BL2162" s="2">
        <v>41.44</v>
      </c>
      <c r="BM2162" s="2">
        <v>5.8</v>
      </c>
      <c r="BN2162" s="2">
        <v>47.24</v>
      </c>
      <c r="BO2162" s="2">
        <v>47.24</v>
      </c>
      <c r="BP2162" s="2"/>
      <c r="BQ2162" s="2" t="s">
        <v>108</v>
      </c>
      <c r="BR2162" s="2" t="s">
        <v>84</v>
      </c>
      <c r="BS2162" s="3">
        <v>42968</v>
      </c>
      <c r="BT2162" s="4">
        <v>0.33333333333333331</v>
      </c>
      <c r="BU2162" s="2" t="s">
        <v>921</v>
      </c>
      <c r="BV2162" s="2" t="s">
        <v>95</v>
      </c>
      <c r="BW2162" s="2"/>
      <c r="BX2162" s="2"/>
      <c r="BY2162" s="2">
        <v>1200</v>
      </c>
      <c r="BZ2162" s="2" t="s">
        <v>27</v>
      </c>
      <c r="CA2162" s="2"/>
      <c r="CB2162" s="2"/>
      <c r="CC2162" s="2" t="s">
        <v>175</v>
      </c>
      <c r="CD2162" s="2">
        <v>5201</v>
      </c>
      <c r="CE2162" s="2" t="s">
        <v>104</v>
      </c>
      <c r="CF2162" s="5">
        <v>42969</v>
      </c>
      <c r="CG2162" s="2"/>
      <c r="CH2162" s="2"/>
      <c r="CI2162" s="2">
        <v>1</v>
      </c>
      <c r="CJ2162" s="2">
        <v>1</v>
      </c>
      <c r="CK2162" s="2">
        <v>21</v>
      </c>
      <c r="CL2162" s="2" t="s">
        <v>86</v>
      </c>
      <c r="CM2162" s="2"/>
    </row>
    <row r="2163" spans="1:91">
      <c r="A2163" s="2" t="s">
        <v>71</v>
      </c>
      <c r="B2163" s="2" t="s">
        <v>72</v>
      </c>
      <c r="C2163" s="2" t="s">
        <v>73</v>
      </c>
      <c r="D2163" s="2"/>
      <c r="E2163" s="2" t="str">
        <f>"FES1162569824"</f>
        <v>FES1162569824</v>
      </c>
      <c r="F2163" s="3">
        <v>42965</v>
      </c>
      <c r="G2163" s="2">
        <v>201802</v>
      </c>
      <c r="H2163" s="2" t="s">
        <v>74</v>
      </c>
      <c r="I2163" s="2" t="s">
        <v>75</v>
      </c>
      <c r="J2163" s="2" t="s">
        <v>76</v>
      </c>
      <c r="K2163" s="2" t="s">
        <v>77</v>
      </c>
      <c r="L2163" s="2" t="s">
        <v>539</v>
      </c>
      <c r="M2163" s="2" t="s">
        <v>540</v>
      </c>
      <c r="N2163" s="2" t="s">
        <v>541</v>
      </c>
      <c r="O2163" s="2" t="s">
        <v>100</v>
      </c>
      <c r="P2163" s="2" t="str">
        <f>"2170585615                    "</f>
        <v xml:space="preserve">2170585615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3.13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1</v>
      </c>
      <c r="BJ2163" s="2">
        <v>0.2</v>
      </c>
      <c r="BK2163" s="2">
        <v>1</v>
      </c>
      <c r="BL2163" s="2">
        <v>32.380000000000003</v>
      </c>
      <c r="BM2163" s="2">
        <v>4.53</v>
      </c>
      <c r="BN2163" s="2">
        <v>36.909999999999997</v>
      </c>
      <c r="BO2163" s="2">
        <v>36.909999999999997</v>
      </c>
      <c r="BP2163" s="2"/>
      <c r="BQ2163" s="2" t="s">
        <v>288</v>
      </c>
      <c r="BR2163" s="2" t="s">
        <v>84</v>
      </c>
      <c r="BS2163" s="3">
        <v>42968</v>
      </c>
      <c r="BT2163" s="4">
        <v>0.4055555555555555</v>
      </c>
      <c r="BU2163" s="2" t="s">
        <v>2667</v>
      </c>
      <c r="BV2163" s="2" t="s">
        <v>95</v>
      </c>
      <c r="BW2163" s="2"/>
      <c r="BX2163" s="2"/>
      <c r="BY2163" s="2">
        <v>1200</v>
      </c>
      <c r="BZ2163" s="2" t="s">
        <v>27</v>
      </c>
      <c r="CA2163" s="2" t="s">
        <v>722</v>
      </c>
      <c r="CB2163" s="2"/>
      <c r="CC2163" s="2" t="s">
        <v>540</v>
      </c>
      <c r="CD2163" s="2">
        <v>2162</v>
      </c>
      <c r="CE2163" s="2" t="s">
        <v>104</v>
      </c>
      <c r="CF2163" s="5">
        <v>42969</v>
      </c>
      <c r="CG2163" s="2"/>
      <c r="CH2163" s="2"/>
      <c r="CI2163" s="2">
        <v>1</v>
      </c>
      <c r="CJ2163" s="2">
        <v>1</v>
      </c>
      <c r="CK2163" s="2">
        <v>22</v>
      </c>
      <c r="CL2163" s="2" t="s">
        <v>86</v>
      </c>
      <c r="CM2163" s="2"/>
    </row>
    <row r="2164" spans="1:91">
      <c r="A2164" s="2" t="s">
        <v>71</v>
      </c>
      <c r="B2164" s="2" t="s">
        <v>72</v>
      </c>
      <c r="C2164" s="2" t="s">
        <v>73</v>
      </c>
      <c r="D2164" s="2"/>
      <c r="E2164" s="2" t="str">
        <f>"FES1162569796"</f>
        <v>FES1162569796</v>
      </c>
      <c r="F2164" s="3">
        <v>42965</v>
      </c>
      <c r="G2164" s="2">
        <v>201802</v>
      </c>
      <c r="H2164" s="2" t="s">
        <v>74</v>
      </c>
      <c r="I2164" s="2" t="s">
        <v>75</v>
      </c>
      <c r="J2164" s="2" t="s">
        <v>76</v>
      </c>
      <c r="K2164" s="2" t="s">
        <v>77</v>
      </c>
      <c r="L2164" s="2" t="s">
        <v>144</v>
      </c>
      <c r="M2164" s="2" t="s">
        <v>145</v>
      </c>
      <c r="N2164" s="2" t="s">
        <v>146</v>
      </c>
      <c r="O2164" s="2" t="s">
        <v>100</v>
      </c>
      <c r="P2164" s="2" t="str">
        <f>"2170585582                    "</f>
        <v xml:space="preserve">2170585582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3.13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</v>
      </c>
      <c r="BJ2164" s="2">
        <v>0.2</v>
      </c>
      <c r="BK2164" s="2">
        <v>1</v>
      </c>
      <c r="BL2164" s="2">
        <v>32.380000000000003</v>
      </c>
      <c r="BM2164" s="2">
        <v>4.53</v>
      </c>
      <c r="BN2164" s="2">
        <v>36.909999999999997</v>
      </c>
      <c r="BO2164" s="2">
        <v>36.909999999999997</v>
      </c>
      <c r="BP2164" s="2"/>
      <c r="BQ2164" s="2" t="s">
        <v>83</v>
      </c>
      <c r="BR2164" s="2" t="s">
        <v>84</v>
      </c>
      <c r="BS2164" s="3">
        <v>42968</v>
      </c>
      <c r="BT2164" s="4">
        <v>0.375</v>
      </c>
      <c r="BU2164" s="2" t="s">
        <v>2624</v>
      </c>
      <c r="BV2164" s="2" t="s">
        <v>95</v>
      </c>
      <c r="BW2164" s="2"/>
      <c r="BX2164" s="2"/>
      <c r="BY2164" s="2">
        <v>1200</v>
      </c>
      <c r="BZ2164" s="2" t="s">
        <v>27</v>
      </c>
      <c r="CA2164" s="2" t="s">
        <v>729</v>
      </c>
      <c r="CB2164" s="2"/>
      <c r="CC2164" s="2" t="s">
        <v>145</v>
      </c>
      <c r="CD2164" s="2">
        <v>2094</v>
      </c>
      <c r="CE2164" s="2" t="s">
        <v>104</v>
      </c>
      <c r="CF2164" s="5">
        <v>42969</v>
      </c>
      <c r="CG2164" s="2"/>
      <c r="CH2164" s="2"/>
      <c r="CI2164" s="2">
        <v>1</v>
      </c>
      <c r="CJ2164" s="2">
        <v>1</v>
      </c>
      <c r="CK2164" s="2">
        <v>22</v>
      </c>
      <c r="CL2164" s="2" t="s">
        <v>86</v>
      </c>
      <c r="CM2164" s="2"/>
    </row>
    <row r="2165" spans="1:91">
      <c r="A2165" s="2" t="s">
        <v>71</v>
      </c>
      <c r="B2165" s="2" t="s">
        <v>72</v>
      </c>
      <c r="C2165" s="2" t="s">
        <v>73</v>
      </c>
      <c r="D2165" s="2"/>
      <c r="E2165" s="2" t="str">
        <f>"FES1162570143"</f>
        <v>FES1162570143</v>
      </c>
      <c r="F2165" s="3">
        <v>42965</v>
      </c>
      <c r="G2165" s="2">
        <v>201802</v>
      </c>
      <c r="H2165" s="2" t="s">
        <v>74</v>
      </c>
      <c r="I2165" s="2" t="s">
        <v>75</v>
      </c>
      <c r="J2165" s="2" t="s">
        <v>76</v>
      </c>
      <c r="K2165" s="2" t="s">
        <v>77</v>
      </c>
      <c r="L2165" s="2" t="s">
        <v>144</v>
      </c>
      <c r="M2165" s="2" t="s">
        <v>145</v>
      </c>
      <c r="N2165" s="2" t="s">
        <v>146</v>
      </c>
      <c r="O2165" s="2" t="s">
        <v>100</v>
      </c>
      <c r="P2165" s="2" t="str">
        <f>"2170585928                    "</f>
        <v xml:space="preserve">2170585928 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3.13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1</v>
      </c>
      <c r="BJ2165" s="2">
        <v>0.2</v>
      </c>
      <c r="BK2165" s="2">
        <v>1</v>
      </c>
      <c r="BL2165" s="2">
        <v>32.380000000000003</v>
      </c>
      <c r="BM2165" s="2">
        <v>4.53</v>
      </c>
      <c r="BN2165" s="2">
        <v>36.909999999999997</v>
      </c>
      <c r="BO2165" s="2">
        <v>36.909999999999997</v>
      </c>
      <c r="BP2165" s="2"/>
      <c r="BQ2165" s="2" t="s">
        <v>83</v>
      </c>
      <c r="BR2165" s="2" t="s">
        <v>84</v>
      </c>
      <c r="BS2165" s="3">
        <v>42968</v>
      </c>
      <c r="BT2165" s="4">
        <v>0.375</v>
      </c>
      <c r="BU2165" s="2" t="s">
        <v>2624</v>
      </c>
      <c r="BV2165" s="2" t="s">
        <v>95</v>
      </c>
      <c r="BW2165" s="2"/>
      <c r="BX2165" s="2"/>
      <c r="BY2165" s="2">
        <v>1200</v>
      </c>
      <c r="BZ2165" s="2"/>
      <c r="CA2165" s="2" t="s">
        <v>729</v>
      </c>
      <c r="CB2165" s="2"/>
      <c r="CC2165" s="2" t="s">
        <v>145</v>
      </c>
      <c r="CD2165" s="2">
        <v>2094</v>
      </c>
      <c r="CE2165" s="2" t="s">
        <v>104</v>
      </c>
      <c r="CF2165" s="5">
        <v>42969</v>
      </c>
      <c r="CG2165" s="2"/>
      <c r="CH2165" s="2"/>
      <c r="CI2165" s="2">
        <v>1</v>
      </c>
      <c r="CJ2165" s="2">
        <v>1</v>
      </c>
      <c r="CK2165" s="2">
        <v>22</v>
      </c>
      <c r="CL2165" s="2" t="s">
        <v>86</v>
      </c>
      <c r="CM2165" s="2"/>
    </row>
    <row r="2166" spans="1:91">
      <c r="A2166" s="2" t="s">
        <v>71</v>
      </c>
      <c r="B2166" s="2" t="s">
        <v>72</v>
      </c>
      <c r="C2166" s="2" t="s">
        <v>73</v>
      </c>
      <c r="D2166" s="2"/>
      <c r="E2166" s="2" t="str">
        <f>"FES1162570153"</f>
        <v>FES1162570153</v>
      </c>
      <c r="F2166" s="3">
        <v>42965</v>
      </c>
      <c r="G2166" s="2">
        <v>201802</v>
      </c>
      <c r="H2166" s="2" t="s">
        <v>74</v>
      </c>
      <c r="I2166" s="2" t="s">
        <v>75</v>
      </c>
      <c r="J2166" s="2" t="s">
        <v>76</v>
      </c>
      <c r="K2166" s="2" t="s">
        <v>77</v>
      </c>
      <c r="L2166" s="2" t="s">
        <v>539</v>
      </c>
      <c r="M2166" s="2" t="s">
        <v>540</v>
      </c>
      <c r="N2166" s="2" t="s">
        <v>2689</v>
      </c>
      <c r="O2166" s="2" t="s">
        <v>100</v>
      </c>
      <c r="P2166" s="2" t="str">
        <f>"2170582699                    "</f>
        <v xml:space="preserve">2170582699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3.13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1</v>
      </c>
      <c r="BJ2166" s="2">
        <v>0.2</v>
      </c>
      <c r="BK2166" s="2">
        <v>1</v>
      </c>
      <c r="BL2166" s="2">
        <v>32.380000000000003</v>
      </c>
      <c r="BM2166" s="2">
        <v>4.53</v>
      </c>
      <c r="BN2166" s="2">
        <v>36.909999999999997</v>
      </c>
      <c r="BO2166" s="2">
        <v>36.909999999999997</v>
      </c>
      <c r="BP2166" s="2"/>
      <c r="BQ2166" s="2" t="s">
        <v>288</v>
      </c>
      <c r="BR2166" s="2" t="s">
        <v>84</v>
      </c>
      <c r="BS2166" s="3">
        <v>42968</v>
      </c>
      <c r="BT2166" s="4">
        <v>0.33680555555555558</v>
      </c>
      <c r="BU2166" s="2" t="s">
        <v>2690</v>
      </c>
      <c r="BV2166" s="2" t="s">
        <v>95</v>
      </c>
      <c r="BW2166" s="2"/>
      <c r="BX2166" s="2"/>
      <c r="BY2166" s="2">
        <v>1200</v>
      </c>
      <c r="BZ2166" s="2"/>
      <c r="CA2166" s="2" t="s">
        <v>1368</v>
      </c>
      <c r="CB2166" s="2"/>
      <c r="CC2166" s="2" t="s">
        <v>540</v>
      </c>
      <c r="CD2166" s="2">
        <v>2169</v>
      </c>
      <c r="CE2166" s="2" t="s">
        <v>104</v>
      </c>
      <c r="CF2166" s="5">
        <v>42969</v>
      </c>
      <c r="CG2166" s="2"/>
      <c r="CH2166" s="2"/>
      <c r="CI2166" s="2">
        <v>1</v>
      </c>
      <c r="CJ2166" s="2">
        <v>1</v>
      </c>
      <c r="CK2166" s="2">
        <v>22</v>
      </c>
      <c r="CL2166" s="2" t="s">
        <v>86</v>
      </c>
      <c r="CM2166" s="2"/>
    </row>
    <row r="2167" spans="1:91">
      <c r="A2167" s="2" t="s">
        <v>71</v>
      </c>
      <c r="B2167" s="2" t="s">
        <v>72</v>
      </c>
      <c r="C2167" s="2" t="s">
        <v>73</v>
      </c>
      <c r="D2167" s="2"/>
      <c r="E2167" s="2" t="str">
        <f>"FES1162569950"</f>
        <v>FES1162569950</v>
      </c>
      <c r="F2167" s="3">
        <v>42965</v>
      </c>
      <c r="G2167" s="2">
        <v>201802</v>
      </c>
      <c r="H2167" s="2" t="s">
        <v>74</v>
      </c>
      <c r="I2167" s="2" t="s">
        <v>75</v>
      </c>
      <c r="J2167" s="2" t="s">
        <v>76</v>
      </c>
      <c r="K2167" s="2" t="s">
        <v>77</v>
      </c>
      <c r="L2167" s="2" t="s">
        <v>244</v>
      </c>
      <c r="M2167" s="2" t="s">
        <v>245</v>
      </c>
      <c r="N2167" s="2" t="s">
        <v>246</v>
      </c>
      <c r="O2167" s="2" t="s">
        <v>100</v>
      </c>
      <c r="P2167" s="2" t="str">
        <f>"2170585719                    "</f>
        <v xml:space="preserve">2170585719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3.13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1</v>
      </c>
      <c r="BJ2167" s="2">
        <v>0.2</v>
      </c>
      <c r="BK2167" s="2">
        <v>1</v>
      </c>
      <c r="BL2167" s="2">
        <v>32.380000000000003</v>
      </c>
      <c r="BM2167" s="2">
        <v>4.53</v>
      </c>
      <c r="BN2167" s="2">
        <v>36.909999999999997</v>
      </c>
      <c r="BO2167" s="2">
        <v>36.909999999999997</v>
      </c>
      <c r="BP2167" s="2"/>
      <c r="BQ2167" s="2" t="s">
        <v>209</v>
      </c>
      <c r="BR2167" s="2" t="s">
        <v>84</v>
      </c>
      <c r="BS2167" s="3">
        <v>42968</v>
      </c>
      <c r="BT2167" s="4">
        <v>0.3888888888888889</v>
      </c>
      <c r="BU2167" s="2" t="s">
        <v>740</v>
      </c>
      <c r="BV2167" s="2" t="s">
        <v>95</v>
      </c>
      <c r="BW2167" s="2"/>
      <c r="BX2167" s="2"/>
      <c r="BY2167" s="2">
        <v>1200</v>
      </c>
      <c r="BZ2167" s="2"/>
      <c r="CA2167" s="2" t="s">
        <v>499</v>
      </c>
      <c r="CB2167" s="2"/>
      <c r="CC2167" s="2" t="s">
        <v>245</v>
      </c>
      <c r="CD2167" s="2">
        <v>1459</v>
      </c>
      <c r="CE2167" s="2" t="s">
        <v>104</v>
      </c>
      <c r="CF2167" s="5">
        <v>42969</v>
      </c>
      <c r="CG2167" s="2"/>
      <c r="CH2167" s="2"/>
      <c r="CI2167" s="2">
        <v>1</v>
      </c>
      <c r="CJ2167" s="2">
        <v>1</v>
      </c>
      <c r="CK2167" s="2">
        <v>22</v>
      </c>
      <c r="CL2167" s="2" t="s">
        <v>86</v>
      </c>
      <c r="CM2167" s="2"/>
    </row>
    <row r="2168" spans="1:91">
      <c r="A2168" s="2" t="s">
        <v>71</v>
      </c>
      <c r="B2168" s="2" t="s">
        <v>72</v>
      </c>
      <c r="C2168" s="2" t="s">
        <v>73</v>
      </c>
      <c r="D2168" s="2"/>
      <c r="E2168" s="2" t="str">
        <f>"FES1162570088"</f>
        <v>FES1162570088</v>
      </c>
      <c r="F2168" s="3">
        <v>42965</v>
      </c>
      <c r="G2168" s="2">
        <v>201802</v>
      </c>
      <c r="H2168" s="2" t="s">
        <v>74</v>
      </c>
      <c r="I2168" s="2" t="s">
        <v>75</v>
      </c>
      <c r="J2168" s="2" t="s">
        <v>76</v>
      </c>
      <c r="K2168" s="2" t="s">
        <v>77</v>
      </c>
      <c r="L2168" s="2" t="s">
        <v>144</v>
      </c>
      <c r="M2168" s="2" t="s">
        <v>145</v>
      </c>
      <c r="N2168" s="2" t="s">
        <v>2691</v>
      </c>
      <c r="O2168" s="2" t="s">
        <v>100</v>
      </c>
      <c r="P2168" s="2" t="str">
        <f>"2170581151                    "</f>
        <v xml:space="preserve">2170581151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3.13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1</v>
      </c>
      <c r="BJ2168" s="2">
        <v>0.2</v>
      </c>
      <c r="BK2168" s="2">
        <v>1</v>
      </c>
      <c r="BL2168" s="2">
        <v>32.380000000000003</v>
      </c>
      <c r="BM2168" s="2">
        <v>4.53</v>
      </c>
      <c r="BN2168" s="2">
        <v>36.909999999999997</v>
      </c>
      <c r="BO2168" s="2">
        <v>36.909999999999997</v>
      </c>
      <c r="BP2168" s="2"/>
      <c r="BQ2168" s="2" t="s">
        <v>288</v>
      </c>
      <c r="BR2168" s="2" t="s">
        <v>84</v>
      </c>
      <c r="BS2168" s="3">
        <v>42968</v>
      </c>
      <c r="BT2168" s="4">
        <v>0.43402777777777773</v>
      </c>
      <c r="BU2168" s="2" t="s">
        <v>2692</v>
      </c>
      <c r="BV2168" s="2" t="s">
        <v>95</v>
      </c>
      <c r="BW2168" s="2"/>
      <c r="BX2168" s="2"/>
      <c r="BY2168" s="2">
        <v>1200</v>
      </c>
      <c r="BZ2168" s="2"/>
      <c r="CA2168" s="2" t="s">
        <v>1952</v>
      </c>
      <c r="CB2168" s="2"/>
      <c r="CC2168" s="2" t="s">
        <v>145</v>
      </c>
      <c r="CD2168" s="2">
        <v>2090</v>
      </c>
      <c r="CE2168" s="2" t="s">
        <v>104</v>
      </c>
      <c r="CF2168" s="5">
        <v>42969</v>
      </c>
      <c r="CG2168" s="2"/>
      <c r="CH2168" s="2"/>
      <c r="CI2168" s="2">
        <v>1</v>
      </c>
      <c r="CJ2168" s="2">
        <v>1</v>
      </c>
      <c r="CK2168" s="2">
        <v>22</v>
      </c>
      <c r="CL2168" s="2" t="s">
        <v>86</v>
      </c>
      <c r="CM2168" s="2"/>
    </row>
    <row r="2169" spans="1:91">
      <c r="A2169" s="2" t="s">
        <v>71</v>
      </c>
      <c r="B2169" s="2" t="s">
        <v>72</v>
      </c>
      <c r="C2169" s="2" t="s">
        <v>73</v>
      </c>
      <c r="D2169" s="2"/>
      <c r="E2169" s="2" t="str">
        <f>"FES1162570086"</f>
        <v>FES1162570086</v>
      </c>
      <c r="F2169" s="3">
        <v>42965</v>
      </c>
      <c r="G2169" s="2">
        <v>201802</v>
      </c>
      <c r="H2169" s="2" t="s">
        <v>74</v>
      </c>
      <c r="I2169" s="2" t="s">
        <v>75</v>
      </c>
      <c r="J2169" s="2" t="s">
        <v>76</v>
      </c>
      <c r="K2169" s="2" t="s">
        <v>77</v>
      </c>
      <c r="L2169" s="2" t="s">
        <v>144</v>
      </c>
      <c r="M2169" s="2" t="s">
        <v>145</v>
      </c>
      <c r="N2169" s="2" t="s">
        <v>2691</v>
      </c>
      <c r="O2169" s="2" t="s">
        <v>100</v>
      </c>
      <c r="P2169" s="2" t="str">
        <f>"2170584775                    "</f>
        <v xml:space="preserve">2170584775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3.13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1</v>
      </c>
      <c r="BJ2169" s="2">
        <v>0.2</v>
      </c>
      <c r="BK2169" s="2">
        <v>1</v>
      </c>
      <c r="BL2169" s="2">
        <v>32.380000000000003</v>
      </c>
      <c r="BM2169" s="2">
        <v>4.53</v>
      </c>
      <c r="BN2169" s="2">
        <v>36.909999999999997</v>
      </c>
      <c r="BO2169" s="2">
        <v>36.909999999999997</v>
      </c>
      <c r="BP2169" s="2"/>
      <c r="BQ2169" s="2" t="s">
        <v>288</v>
      </c>
      <c r="BR2169" s="2" t="s">
        <v>84</v>
      </c>
      <c r="BS2169" s="3">
        <v>42968</v>
      </c>
      <c r="BT2169" s="4">
        <v>0.43402777777777773</v>
      </c>
      <c r="BU2169" s="2" t="s">
        <v>2692</v>
      </c>
      <c r="BV2169" s="2" t="s">
        <v>95</v>
      </c>
      <c r="BW2169" s="2"/>
      <c r="BX2169" s="2"/>
      <c r="BY2169" s="2">
        <v>1200</v>
      </c>
      <c r="BZ2169" s="2"/>
      <c r="CA2169" s="2" t="s">
        <v>1952</v>
      </c>
      <c r="CB2169" s="2"/>
      <c r="CC2169" s="2" t="s">
        <v>145</v>
      </c>
      <c r="CD2169" s="2">
        <v>2090</v>
      </c>
      <c r="CE2169" s="2" t="s">
        <v>104</v>
      </c>
      <c r="CF2169" s="5">
        <v>42969</v>
      </c>
      <c r="CG2169" s="2"/>
      <c r="CH2169" s="2"/>
      <c r="CI2169" s="2">
        <v>1</v>
      </c>
      <c r="CJ2169" s="2">
        <v>1</v>
      </c>
      <c r="CK2169" s="2">
        <v>22</v>
      </c>
      <c r="CL2169" s="2" t="s">
        <v>86</v>
      </c>
      <c r="CM2169" s="2"/>
    </row>
    <row r="2170" spans="1:91">
      <c r="A2170" s="2" t="s">
        <v>71</v>
      </c>
      <c r="B2170" s="2" t="s">
        <v>72</v>
      </c>
      <c r="C2170" s="2" t="s">
        <v>73</v>
      </c>
      <c r="D2170" s="2"/>
      <c r="E2170" s="2" t="str">
        <f>"FES1162570141"</f>
        <v>FES1162570141</v>
      </c>
      <c r="F2170" s="3">
        <v>42965</v>
      </c>
      <c r="G2170" s="2">
        <v>201802</v>
      </c>
      <c r="H2170" s="2" t="s">
        <v>74</v>
      </c>
      <c r="I2170" s="2" t="s">
        <v>75</v>
      </c>
      <c r="J2170" s="2" t="s">
        <v>76</v>
      </c>
      <c r="K2170" s="2" t="s">
        <v>77</v>
      </c>
      <c r="L2170" s="2" t="s">
        <v>74</v>
      </c>
      <c r="M2170" s="2" t="s">
        <v>75</v>
      </c>
      <c r="N2170" s="2" t="s">
        <v>1967</v>
      </c>
      <c r="O2170" s="2" t="s">
        <v>100</v>
      </c>
      <c r="P2170" s="2" t="str">
        <f>"2170579103                    "</f>
        <v xml:space="preserve">2170579103  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3.13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1</v>
      </c>
      <c r="BJ2170" s="2">
        <v>0.2</v>
      </c>
      <c r="BK2170" s="2">
        <v>1</v>
      </c>
      <c r="BL2170" s="2">
        <v>32.380000000000003</v>
      </c>
      <c r="BM2170" s="2">
        <v>4.53</v>
      </c>
      <c r="BN2170" s="2">
        <v>36.909999999999997</v>
      </c>
      <c r="BO2170" s="2">
        <v>36.909999999999997</v>
      </c>
      <c r="BP2170" s="2"/>
      <c r="BQ2170" s="2" t="s">
        <v>288</v>
      </c>
      <c r="BR2170" s="2" t="s">
        <v>84</v>
      </c>
      <c r="BS2170" s="3">
        <v>42968</v>
      </c>
      <c r="BT2170" s="4">
        <v>0.38680555555555557</v>
      </c>
      <c r="BU2170" s="2" t="s">
        <v>1754</v>
      </c>
      <c r="BV2170" s="2" t="s">
        <v>95</v>
      </c>
      <c r="BW2170" s="2"/>
      <c r="BX2170" s="2"/>
      <c r="BY2170" s="2">
        <v>1200</v>
      </c>
      <c r="BZ2170" s="2"/>
      <c r="CA2170" s="2" t="s">
        <v>2693</v>
      </c>
      <c r="CB2170" s="2"/>
      <c r="CC2170" s="2" t="s">
        <v>75</v>
      </c>
      <c r="CD2170" s="2">
        <v>1682</v>
      </c>
      <c r="CE2170" s="2" t="s">
        <v>104</v>
      </c>
      <c r="CF2170" s="5">
        <v>42969</v>
      </c>
      <c r="CG2170" s="2"/>
      <c r="CH2170" s="2"/>
      <c r="CI2170" s="2">
        <v>1</v>
      </c>
      <c r="CJ2170" s="2">
        <v>1</v>
      </c>
      <c r="CK2170" s="2">
        <v>22</v>
      </c>
      <c r="CL2170" s="2" t="s">
        <v>86</v>
      </c>
      <c r="CM2170" s="2"/>
    </row>
    <row r="2171" spans="1:91">
      <c r="A2171" s="2" t="s">
        <v>71</v>
      </c>
      <c r="B2171" s="2" t="s">
        <v>72</v>
      </c>
      <c r="C2171" s="2" t="s">
        <v>73</v>
      </c>
      <c r="D2171" s="2"/>
      <c r="E2171" s="2" t="str">
        <f>"FES1162569900"</f>
        <v>FES1162569900</v>
      </c>
      <c r="F2171" s="3">
        <v>42965</v>
      </c>
      <c r="G2171" s="2">
        <v>201802</v>
      </c>
      <c r="H2171" s="2" t="s">
        <v>74</v>
      </c>
      <c r="I2171" s="2" t="s">
        <v>75</v>
      </c>
      <c r="J2171" s="2" t="s">
        <v>76</v>
      </c>
      <c r="K2171" s="2" t="s">
        <v>77</v>
      </c>
      <c r="L2171" s="2" t="s">
        <v>144</v>
      </c>
      <c r="M2171" s="2" t="s">
        <v>145</v>
      </c>
      <c r="N2171" s="2" t="s">
        <v>2694</v>
      </c>
      <c r="O2171" s="2" t="s">
        <v>100</v>
      </c>
      <c r="P2171" s="2" t="str">
        <f>"2170585019                    "</f>
        <v xml:space="preserve">2170585019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3.13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1</v>
      </c>
      <c r="BI2171" s="2">
        <v>1</v>
      </c>
      <c r="BJ2171" s="2">
        <v>0.2</v>
      </c>
      <c r="BK2171" s="2">
        <v>1</v>
      </c>
      <c r="BL2171" s="2">
        <v>32.380000000000003</v>
      </c>
      <c r="BM2171" s="2">
        <v>4.53</v>
      </c>
      <c r="BN2171" s="2">
        <v>36.909999999999997</v>
      </c>
      <c r="BO2171" s="2">
        <v>36.909999999999997</v>
      </c>
      <c r="BP2171" s="2"/>
      <c r="BQ2171" s="2" t="s">
        <v>288</v>
      </c>
      <c r="BR2171" s="2" t="s">
        <v>84</v>
      </c>
      <c r="BS2171" s="3">
        <v>42968</v>
      </c>
      <c r="BT2171" s="4">
        <v>0.34097222222222223</v>
      </c>
      <c r="BU2171" s="2" t="s">
        <v>2695</v>
      </c>
      <c r="BV2171" s="2" t="s">
        <v>95</v>
      </c>
      <c r="BW2171" s="2"/>
      <c r="BX2171" s="2"/>
      <c r="BY2171" s="2">
        <v>1200</v>
      </c>
      <c r="BZ2171" s="2"/>
      <c r="CA2171" s="2" t="s">
        <v>2696</v>
      </c>
      <c r="CB2171" s="2"/>
      <c r="CC2171" s="2" t="s">
        <v>145</v>
      </c>
      <c r="CD2171" s="2">
        <v>2001</v>
      </c>
      <c r="CE2171" s="2" t="s">
        <v>104</v>
      </c>
      <c r="CF2171" s="5">
        <v>42969</v>
      </c>
      <c r="CG2171" s="2"/>
      <c r="CH2171" s="2"/>
      <c r="CI2171" s="2">
        <v>1</v>
      </c>
      <c r="CJ2171" s="2">
        <v>1</v>
      </c>
      <c r="CK2171" s="2">
        <v>22</v>
      </c>
      <c r="CL2171" s="2" t="s">
        <v>86</v>
      </c>
      <c r="CM2171" s="2"/>
    </row>
    <row r="2172" spans="1:91">
      <c r="A2172" s="2" t="s">
        <v>71</v>
      </c>
      <c r="B2172" s="2" t="s">
        <v>72</v>
      </c>
      <c r="C2172" s="2" t="s">
        <v>73</v>
      </c>
      <c r="D2172" s="2"/>
      <c r="E2172" s="2" t="str">
        <f>"FES1162568407"</f>
        <v>FES1162568407</v>
      </c>
      <c r="F2172" s="3">
        <v>42965</v>
      </c>
      <c r="G2172" s="2">
        <v>201802</v>
      </c>
      <c r="H2172" s="2" t="s">
        <v>74</v>
      </c>
      <c r="I2172" s="2" t="s">
        <v>75</v>
      </c>
      <c r="J2172" s="2" t="s">
        <v>76</v>
      </c>
      <c r="K2172" s="2" t="s">
        <v>77</v>
      </c>
      <c r="L2172" s="2" t="s">
        <v>306</v>
      </c>
      <c r="M2172" s="2" t="s">
        <v>307</v>
      </c>
      <c r="N2172" s="2" t="s">
        <v>2697</v>
      </c>
      <c r="O2172" s="2" t="s">
        <v>100</v>
      </c>
      <c r="P2172" s="2" t="str">
        <f>"2170582358                    "</f>
        <v xml:space="preserve">2170582358 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4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1</v>
      </c>
      <c r="BJ2172" s="2">
        <v>0.2</v>
      </c>
      <c r="BK2172" s="2">
        <v>1</v>
      </c>
      <c r="BL2172" s="2">
        <v>41.44</v>
      </c>
      <c r="BM2172" s="2">
        <v>5.8</v>
      </c>
      <c r="BN2172" s="2">
        <v>47.24</v>
      </c>
      <c r="BO2172" s="2">
        <v>47.24</v>
      </c>
      <c r="BP2172" s="2"/>
      <c r="BQ2172" s="2" t="s">
        <v>288</v>
      </c>
      <c r="BR2172" s="2" t="s">
        <v>84</v>
      </c>
      <c r="BS2172" s="3">
        <v>42968</v>
      </c>
      <c r="BT2172" s="4">
        <v>0.58333333333333337</v>
      </c>
      <c r="BU2172" s="2" t="s">
        <v>2698</v>
      </c>
      <c r="BV2172" s="2" t="s">
        <v>86</v>
      </c>
      <c r="BW2172" s="2"/>
      <c r="BX2172" s="2"/>
      <c r="BY2172" s="2">
        <v>1200</v>
      </c>
      <c r="BZ2172" s="2"/>
      <c r="CA2172" s="2"/>
      <c r="CB2172" s="2"/>
      <c r="CC2172" s="2" t="s">
        <v>307</v>
      </c>
      <c r="CD2172" s="2">
        <v>1876</v>
      </c>
      <c r="CE2172" s="2" t="s">
        <v>104</v>
      </c>
      <c r="CF2172" s="5">
        <v>42969</v>
      </c>
      <c r="CG2172" s="2"/>
      <c r="CH2172" s="2"/>
      <c r="CI2172" s="2">
        <v>1</v>
      </c>
      <c r="CJ2172" s="2">
        <v>1</v>
      </c>
      <c r="CK2172" s="2">
        <v>21</v>
      </c>
      <c r="CL2172" s="2" t="s">
        <v>86</v>
      </c>
      <c r="CM2172" s="2"/>
    </row>
    <row r="2173" spans="1:91">
      <c r="A2173" s="2" t="s">
        <v>71</v>
      </c>
      <c r="B2173" s="2" t="s">
        <v>72</v>
      </c>
      <c r="C2173" s="2" t="s">
        <v>73</v>
      </c>
      <c r="D2173" s="2"/>
      <c r="E2173" s="2" t="str">
        <f>"FES1162570154"</f>
        <v>FES1162570154</v>
      </c>
      <c r="F2173" s="3">
        <v>42965</v>
      </c>
      <c r="G2173" s="2">
        <v>201802</v>
      </c>
      <c r="H2173" s="2" t="s">
        <v>74</v>
      </c>
      <c r="I2173" s="2" t="s">
        <v>75</v>
      </c>
      <c r="J2173" s="2" t="s">
        <v>76</v>
      </c>
      <c r="K2173" s="2" t="s">
        <v>77</v>
      </c>
      <c r="L2173" s="2" t="s">
        <v>97</v>
      </c>
      <c r="M2173" s="2" t="s">
        <v>98</v>
      </c>
      <c r="N2173" s="2" t="s">
        <v>248</v>
      </c>
      <c r="O2173" s="2" t="s">
        <v>100</v>
      </c>
      <c r="P2173" s="2" t="str">
        <f>"2170580184                    "</f>
        <v xml:space="preserve">2170580184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4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2</v>
      </c>
      <c r="BJ2173" s="2">
        <v>0.2</v>
      </c>
      <c r="BK2173" s="2">
        <v>2</v>
      </c>
      <c r="BL2173" s="2">
        <v>41.44</v>
      </c>
      <c r="BM2173" s="2">
        <v>5.8</v>
      </c>
      <c r="BN2173" s="2">
        <v>47.24</v>
      </c>
      <c r="BO2173" s="2">
        <v>47.24</v>
      </c>
      <c r="BP2173" s="2"/>
      <c r="BQ2173" s="2" t="s">
        <v>83</v>
      </c>
      <c r="BR2173" s="2" t="s">
        <v>84</v>
      </c>
      <c r="BS2173" s="3">
        <v>42968</v>
      </c>
      <c r="BT2173" s="4">
        <v>0.3298611111111111</v>
      </c>
      <c r="BU2173" s="2" t="s">
        <v>2060</v>
      </c>
      <c r="BV2173" s="2" t="s">
        <v>95</v>
      </c>
      <c r="BW2173" s="2"/>
      <c r="BX2173" s="2"/>
      <c r="BY2173" s="2">
        <v>1200</v>
      </c>
      <c r="BZ2173" s="2"/>
      <c r="CA2173" s="2" t="s">
        <v>294</v>
      </c>
      <c r="CB2173" s="2"/>
      <c r="CC2173" s="2" t="s">
        <v>98</v>
      </c>
      <c r="CD2173" s="2">
        <v>6001</v>
      </c>
      <c r="CE2173" s="2" t="s">
        <v>104</v>
      </c>
      <c r="CF2173" s="5">
        <v>42968</v>
      </c>
      <c r="CG2173" s="2"/>
      <c r="CH2173" s="2"/>
      <c r="CI2173" s="2">
        <v>1</v>
      </c>
      <c r="CJ2173" s="2">
        <v>1</v>
      </c>
      <c r="CK2173" s="2">
        <v>21</v>
      </c>
      <c r="CL2173" s="2" t="s">
        <v>86</v>
      </c>
      <c r="CM2173" s="2"/>
    </row>
    <row r="2174" spans="1:91">
      <c r="A2174" s="2" t="s">
        <v>71</v>
      </c>
      <c r="B2174" s="2" t="s">
        <v>72</v>
      </c>
      <c r="C2174" s="2" t="s">
        <v>73</v>
      </c>
      <c r="D2174" s="2"/>
      <c r="E2174" s="2" t="str">
        <f>"009935791638"</f>
        <v>009935791638</v>
      </c>
      <c r="F2174" s="3">
        <v>42965</v>
      </c>
      <c r="G2174" s="2">
        <v>201802</v>
      </c>
      <c r="H2174" s="2" t="s">
        <v>74</v>
      </c>
      <c r="I2174" s="2" t="s">
        <v>75</v>
      </c>
      <c r="J2174" s="2" t="s">
        <v>76</v>
      </c>
      <c r="K2174" s="2" t="s">
        <v>77</v>
      </c>
      <c r="L2174" s="2" t="s">
        <v>237</v>
      </c>
      <c r="M2174" s="2" t="s">
        <v>238</v>
      </c>
      <c r="N2174" s="2" t="s">
        <v>239</v>
      </c>
      <c r="O2174" s="2" t="s">
        <v>100</v>
      </c>
      <c r="P2174" s="2" t="str">
        <f>"2170582897 1162569361         "</f>
        <v xml:space="preserve">2170582897 1162569361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4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2</v>
      </c>
      <c r="BJ2174" s="2">
        <v>0.2</v>
      </c>
      <c r="BK2174" s="2">
        <v>2</v>
      </c>
      <c r="BL2174" s="2">
        <v>41.44</v>
      </c>
      <c r="BM2174" s="2">
        <v>5.8</v>
      </c>
      <c r="BN2174" s="2">
        <v>47.24</v>
      </c>
      <c r="BO2174" s="2">
        <v>47.24</v>
      </c>
      <c r="BP2174" s="2" t="s">
        <v>2699</v>
      </c>
      <c r="BQ2174" s="2" t="s">
        <v>83</v>
      </c>
      <c r="BR2174" s="2" t="s">
        <v>84</v>
      </c>
      <c r="BS2174" s="3">
        <v>42968</v>
      </c>
      <c r="BT2174" s="4">
        <v>0.43472222222222223</v>
      </c>
      <c r="BU2174" s="2" t="s">
        <v>2631</v>
      </c>
      <c r="BV2174" s="2" t="s">
        <v>95</v>
      </c>
      <c r="BW2174" s="2"/>
      <c r="BX2174" s="2"/>
      <c r="BY2174" s="2">
        <v>1200</v>
      </c>
      <c r="BZ2174" s="2"/>
      <c r="CA2174" s="2" t="s">
        <v>672</v>
      </c>
      <c r="CB2174" s="2"/>
      <c r="CC2174" s="2" t="s">
        <v>238</v>
      </c>
      <c r="CD2174" s="2">
        <v>3610</v>
      </c>
      <c r="CE2174" s="2" t="s">
        <v>104</v>
      </c>
      <c r="CF2174" s="2"/>
      <c r="CG2174" s="2"/>
      <c r="CH2174" s="2"/>
      <c r="CI2174" s="2">
        <v>1</v>
      </c>
      <c r="CJ2174" s="2">
        <v>1</v>
      </c>
      <c r="CK2174" s="2">
        <v>21</v>
      </c>
      <c r="CL2174" s="2" t="s">
        <v>86</v>
      </c>
      <c r="CM2174" s="2"/>
    </row>
    <row r="2175" spans="1:91">
      <c r="A2175" s="2" t="s">
        <v>71</v>
      </c>
      <c r="B2175" s="2" t="s">
        <v>72</v>
      </c>
      <c r="C2175" s="2" t="s">
        <v>73</v>
      </c>
      <c r="D2175" s="2"/>
      <c r="E2175" s="2" t="str">
        <f>"FES1162570085"</f>
        <v>FES1162570085</v>
      </c>
      <c r="F2175" s="3">
        <v>42965</v>
      </c>
      <c r="G2175" s="2">
        <v>201802</v>
      </c>
      <c r="H2175" s="2" t="s">
        <v>74</v>
      </c>
      <c r="I2175" s="2" t="s">
        <v>75</v>
      </c>
      <c r="J2175" s="2" t="s">
        <v>76</v>
      </c>
      <c r="K2175" s="2" t="s">
        <v>77</v>
      </c>
      <c r="L2175" s="2" t="s">
        <v>144</v>
      </c>
      <c r="M2175" s="2" t="s">
        <v>145</v>
      </c>
      <c r="N2175" s="2" t="s">
        <v>2691</v>
      </c>
      <c r="O2175" s="2" t="s">
        <v>100</v>
      </c>
      <c r="P2175" s="2" t="str">
        <f>"2170583753                    "</f>
        <v xml:space="preserve">2170583753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3.13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1</v>
      </c>
      <c r="BI2175" s="2">
        <v>1</v>
      </c>
      <c r="BJ2175" s="2">
        <v>0.2</v>
      </c>
      <c r="BK2175" s="2">
        <v>1</v>
      </c>
      <c r="BL2175" s="2">
        <v>32.380000000000003</v>
      </c>
      <c r="BM2175" s="2">
        <v>4.53</v>
      </c>
      <c r="BN2175" s="2">
        <v>36.909999999999997</v>
      </c>
      <c r="BO2175" s="2">
        <v>36.909999999999997</v>
      </c>
      <c r="BP2175" s="2"/>
      <c r="BQ2175" s="2" t="s">
        <v>288</v>
      </c>
      <c r="BR2175" s="2" t="s">
        <v>84</v>
      </c>
      <c r="BS2175" s="3">
        <v>42968</v>
      </c>
      <c r="BT2175" s="4">
        <v>0.43402777777777773</v>
      </c>
      <c r="BU2175" s="2" t="s">
        <v>2692</v>
      </c>
      <c r="BV2175" s="2" t="s">
        <v>95</v>
      </c>
      <c r="BW2175" s="2"/>
      <c r="BX2175" s="2"/>
      <c r="BY2175" s="2">
        <v>1200</v>
      </c>
      <c r="BZ2175" s="2"/>
      <c r="CA2175" s="2" t="s">
        <v>1952</v>
      </c>
      <c r="CB2175" s="2"/>
      <c r="CC2175" s="2" t="s">
        <v>145</v>
      </c>
      <c r="CD2175" s="2">
        <v>2090</v>
      </c>
      <c r="CE2175" s="2" t="s">
        <v>104</v>
      </c>
      <c r="CF2175" s="5">
        <v>42969</v>
      </c>
      <c r="CG2175" s="2"/>
      <c r="CH2175" s="2"/>
      <c r="CI2175" s="2">
        <v>1</v>
      </c>
      <c r="CJ2175" s="2">
        <v>1</v>
      </c>
      <c r="CK2175" s="2">
        <v>22</v>
      </c>
      <c r="CL2175" s="2" t="s">
        <v>86</v>
      </c>
      <c r="CM2175" s="2"/>
    </row>
    <row r="2176" spans="1:91">
      <c r="A2176" s="2" t="s">
        <v>71</v>
      </c>
      <c r="B2176" s="2" t="s">
        <v>72</v>
      </c>
      <c r="C2176" s="2" t="s">
        <v>73</v>
      </c>
      <c r="D2176" s="2"/>
      <c r="E2176" s="2" t="str">
        <f>"FES1162569500"</f>
        <v>FES1162569500</v>
      </c>
      <c r="F2176" s="3">
        <v>42965</v>
      </c>
      <c r="G2176" s="2">
        <v>201802</v>
      </c>
      <c r="H2176" s="2" t="s">
        <v>74</v>
      </c>
      <c r="I2176" s="2" t="s">
        <v>75</v>
      </c>
      <c r="J2176" s="2" t="s">
        <v>76</v>
      </c>
      <c r="K2176" s="2" t="s">
        <v>77</v>
      </c>
      <c r="L2176" s="2" t="s">
        <v>105</v>
      </c>
      <c r="M2176" s="2" t="s">
        <v>106</v>
      </c>
      <c r="N2176" s="2" t="s">
        <v>827</v>
      </c>
      <c r="O2176" s="2" t="s">
        <v>100</v>
      </c>
      <c r="P2176" s="2" t="str">
        <f>"2170583251                    "</f>
        <v xml:space="preserve">2170583251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4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1</v>
      </c>
      <c r="BI2176" s="2">
        <v>1</v>
      </c>
      <c r="BJ2176" s="2">
        <v>0.2</v>
      </c>
      <c r="BK2176" s="2">
        <v>1</v>
      </c>
      <c r="BL2176" s="2">
        <v>41.44</v>
      </c>
      <c r="BM2176" s="2">
        <v>5.8</v>
      </c>
      <c r="BN2176" s="2">
        <v>47.24</v>
      </c>
      <c r="BO2176" s="2">
        <v>47.24</v>
      </c>
      <c r="BP2176" s="2"/>
      <c r="BQ2176" s="2" t="s">
        <v>288</v>
      </c>
      <c r="BR2176" s="2" t="s">
        <v>84</v>
      </c>
      <c r="BS2176" s="3">
        <v>42968</v>
      </c>
      <c r="BT2176" s="4">
        <v>0.40902777777777777</v>
      </c>
      <c r="BU2176" s="2" t="s">
        <v>2700</v>
      </c>
      <c r="BV2176" s="2" t="s">
        <v>95</v>
      </c>
      <c r="BW2176" s="2"/>
      <c r="BX2176" s="2"/>
      <c r="BY2176" s="2">
        <v>1200</v>
      </c>
      <c r="BZ2176" s="2"/>
      <c r="CA2176" s="2" t="s">
        <v>148</v>
      </c>
      <c r="CB2176" s="2"/>
      <c r="CC2176" s="2" t="s">
        <v>106</v>
      </c>
      <c r="CD2176" s="2">
        <v>7560</v>
      </c>
      <c r="CE2176" s="2" t="s">
        <v>104</v>
      </c>
      <c r="CF2176" s="5">
        <v>42969</v>
      </c>
      <c r="CG2176" s="2"/>
      <c r="CH2176" s="2"/>
      <c r="CI2176" s="2">
        <v>1</v>
      </c>
      <c r="CJ2176" s="2">
        <v>1</v>
      </c>
      <c r="CK2176" s="2">
        <v>21</v>
      </c>
      <c r="CL2176" s="2" t="s">
        <v>86</v>
      </c>
      <c r="CM2176" s="2"/>
    </row>
    <row r="2177" spans="1:91">
      <c r="A2177" s="2" t="s">
        <v>71</v>
      </c>
      <c r="B2177" s="2" t="s">
        <v>72</v>
      </c>
      <c r="C2177" s="2" t="s">
        <v>73</v>
      </c>
      <c r="D2177" s="2"/>
      <c r="E2177" s="2" t="str">
        <f>"FES1162570146"</f>
        <v>FES1162570146</v>
      </c>
      <c r="F2177" s="3">
        <v>42965</v>
      </c>
      <c r="G2177" s="2">
        <v>201802</v>
      </c>
      <c r="H2177" s="2" t="s">
        <v>74</v>
      </c>
      <c r="I2177" s="2" t="s">
        <v>75</v>
      </c>
      <c r="J2177" s="2" t="s">
        <v>76</v>
      </c>
      <c r="K2177" s="2" t="s">
        <v>77</v>
      </c>
      <c r="L2177" s="2" t="s">
        <v>128</v>
      </c>
      <c r="M2177" s="2" t="s">
        <v>129</v>
      </c>
      <c r="N2177" s="2" t="s">
        <v>1331</v>
      </c>
      <c r="O2177" s="2" t="s">
        <v>100</v>
      </c>
      <c r="P2177" s="2" t="str">
        <f>"2170585513                    "</f>
        <v xml:space="preserve">2170585513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3.13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1</v>
      </c>
      <c r="BJ2177" s="2">
        <v>0.2</v>
      </c>
      <c r="BK2177" s="2">
        <v>1</v>
      </c>
      <c r="BL2177" s="2">
        <v>32.380000000000003</v>
      </c>
      <c r="BM2177" s="2">
        <v>4.53</v>
      </c>
      <c r="BN2177" s="2">
        <v>36.909999999999997</v>
      </c>
      <c r="BO2177" s="2">
        <v>36.909999999999997</v>
      </c>
      <c r="BP2177" s="2"/>
      <c r="BQ2177" s="2" t="s">
        <v>288</v>
      </c>
      <c r="BR2177" s="2" t="s">
        <v>84</v>
      </c>
      <c r="BS2177" s="3">
        <v>42968</v>
      </c>
      <c r="BT2177" s="4">
        <v>0.40833333333333338</v>
      </c>
      <c r="BU2177" s="2" t="s">
        <v>2701</v>
      </c>
      <c r="BV2177" s="2" t="s">
        <v>95</v>
      </c>
      <c r="BW2177" s="2"/>
      <c r="BX2177" s="2"/>
      <c r="BY2177" s="2">
        <v>1200</v>
      </c>
      <c r="BZ2177" s="2"/>
      <c r="CA2177" s="2" t="s">
        <v>1333</v>
      </c>
      <c r="CB2177" s="2"/>
      <c r="CC2177" s="2" t="s">
        <v>129</v>
      </c>
      <c r="CD2177" s="2">
        <v>1724</v>
      </c>
      <c r="CE2177" s="2" t="s">
        <v>104</v>
      </c>
      <c r="CF2177" s="5">
        <v>42969</v>
      </c>
      <c r="CG2177" s="2"/>
      <c r="CH2177" s="2"/>
      <c r="CI2177" s="2">
        <v>1</v>
      </c>
      <c r="CJ2177" s="2">
        <v>1</v>
      </c>
      <c r="CK2177" s="2">
        <v>22</v>
      </c>
      <c r="CL2177" s="2" t="s">
        <v>86</v>
      </c>
      <c r="CM2177" s="2"/>
    </row>
    <row r="2178" spans="1:91">
      <c r="A2178" s="2" t="s">
        <v>71</v>
      </c>
      <c r="B2178" s="2" t="s">
        <v>72</v>
      </c>
      <c r="C2178" s="2" t="s">
        <v>73</v>
      </c>
      <c r="D2178" s="2"/>
      <c r="E2178" s="2" t="str">
        <f>"FES1162568441"</f>
        <v>FES1162568441</v>
      </c>
      <c r="F2178" s="3">
        <v>42965</v>
      </c>
      <c r="G2178" s="2">
        <v>201802</v>
      </c>
      <c r="H2178" s="2" t="s">
        <v>74</v>
      </c>
      <c r="I2178" s="2" t="s">
        <v>75</v>
      </c>
      <c r="J2178" s="2" t="s">
        <v>76</v>
      </c>
      <c r="K2178" s="2" t="s">
        <v>77</v>
      </c>
      <c r="L2178" s="2" t="s">
        <v>144</v>
      </c>
      <c r="M2178" s="2" t="s">
        <v>145</v>
      </c>
      <c r="N2178" s="2" t="s">
        <v>393</v>
      </c>
      <c r="O2178" s="2" t="s">
        <v>100</v>
      </c>
      <c r="P2178" s="2" t="str">
        <f>"2170582351                    "</f>
        <v xml:space="preserve">2170582351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3.13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1</v>
      </c>
      <c r="BI2178" s="2">
        <v>1</v>
      </c>
      <c r="BJ2178" s="2">
        <v>0.2</v>
      </c>
      <c r="BK2178" s="2">
        <v>1</v>
      </c>
      <c r="BL2178" s="2">
        <v>32.380000000000003</v>
      </c>
      <c r="BM2178" s="2">
        <v>4.53</v>
      </c>
      <c r="BN2178" s="2">
        <v>36.909999999999997</v>
      </c>
      <c r="BO2178" s="2">
        <v>36.909999999999997</v>
      </c>
      <c r="BP2178" s="2"/>
      <c r="BQ2178" s="2" t="s">
        <v>288</v>
      </c>
      <c r="BR2178" s="2" t="s">
        <v>84</v>
      </c>
      <c r="BS2178" s="3">
        <v>42968</v>
      </c>
      <c r="BT2178" s="4">
        <v>0.3444444444444445</v>
      </c>
      <c r="BU2178" s="2" t="s">
        <v>2702</v>
      </c>
      <c r="BV2178" s="2" t="s">
        <v>95</v>
      </c>
      <c r="BW2178" s="2"/>
      <c r="BX2178" s="2"/>
      <c r="BY2178" s="2">
        <v>1200</v>
      </c>
      <c r="BZ2178" s="2"/>
      <c r="CA2178" s="2" t="s">
        <v>1296</v>
      </c>
      <c r="CB2178" s="2"/>
      <c r="CC2178" s="2" t="s">
        <v>145</v>
      </c>
      <c r="CD2178" s="2">
        <v>2001</v>
      </c>
      <c r="CE2178" s="2" t="s">
        <v>104</v>
      </c>
      <c r="CF2178" s="5">
        <v>42969</v>
      </c>
      <c r="CG2178" s="2"/>
      <c r="CH2178" s="2"/>
      <c r="CI2178" s="2">
        <v>1</v>
      </c>
      <c r="CJ2178" s="2">
        <v>1</v>
      </c>
      <c r="CK2178" s="2">
        <v>22</v>
      </c>
      <c r="CL2178" s="2" t="s">
        <v>86</v>
      </c>
      <c r="CM2178" s="2"/>
    </row>
    <row r="2179" spans="1:91">
      <c r="A2179" s="2" t="s">
        <v>71</v>
      </c>
      <c r="B2179" s="2" t="s">
        <v>72</v>
      </c>
      <c r="C2179" s="2" t="s">
        <v>73</v>
      </c>
      <c r="D2179" s="2"/>
      <c r="E2179" s="2" t="str">
        <f>"009935791636"</f>
        <v>009935791636</v>
      </c>
      <c r="F2179" s="3">
        <v>42965</v>
      </c>
      <c r="G2179" s="2">
        <v>201802</v>
      </c>
      <c r="H2179" s="2" t="s">
        <v>74</v>
      </c>
      <c r="I2179" s="2" t="s">
        <v>75</v>
      </c>
      <c r="J2179" s="2" t="s">
        <v>76</v>
      </c>
      <c r="K2179" s="2" t="s">
        <v>77</v>
      </c>
      <c r="L2179" s="2" t="s">
        <v>510</v>
      </c>
      <c r="M2179" s="2" t="s">
        <v>511</v>
      </c>
      <c r="N2179" s="2" t="s">
        <v>512</v>
      </c>
      <c r="O2179" s="2" t="s">
        <v>81</v>
      </c>
      <c r="P2179" s="2" t="str">
        <f>"2170562046 1162551283         "</f>
        <v xml:space="preserve">2170562046 1162551283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26.43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27</v>
      </c>
      <c r="BJ2179" s="2">
        <v>66.3</v>
      </c>
      <c r="BK2179" s="2">
        <v>67</v>
      </c>
      <c r="BL2179" s="2">
        <v>278.63</v>
      </c>
      <c r="BM2179" s="2">
        <v>39.01</v>
      </c>
      <c r="BN2179" s="2">
        <v>317.64</v>
      </c>
      <c r="BO2179" s="2">
        <v>317.64</v>
      </c>
      <c r="BP2179" s="2" t="s">
        <v>2703</v>
      </c>
      <c r="BQ2179" s="2" t="s">
        <v>288</v>
      </c>
      <c r="BR2179" s="2" t="s">
        <v>84</v>
      </c>
      <c r="BS2179" s="3">
        <v>42968</v>
      </c>
      <c r="BT2179" s="4">
        <v>0.59722222222222221</v>
      </c>
      <c r="BU2179" s="2" t="s">
        <v>2704</v>
      </c>
      <c r="BV2179" s="2" t="s">
        <v>95</v>
      </c>
      <c r="BW2179" s="2"/>
      <c r="BX2179" s="2"/>
      <c r="BY2179" s="2">
        <v>331452</v>
      </c>
      <c r="BZ2179" s="2"/>
      <c r="CA2179" s="2" t="s">
        <v>2705</v>
      </c>
      <c r="CB2179" s="2"/>
      <c r="CC2179" s="2" t="s">
        <v>511</v>
      </c>
      <c r="CD2179" s="2">
        <v>6229</v>
      </c>
      <c r="CE2179" s="2" t="s">
        <v>89</v>
      </c>
      <c r="CF2179" s="5">
        <v>42969</v>
      </c>
      <c r="CG2179" s="2"/>
      <c r="CH2179" s="2"/>
      <c r="CI2179" s="2">
        <v>2</v>
      </c>
      <c r="CJ2179" s="2">
        <v>1</v>
      </c>
      <c r="CK2179" s="2" t="s">
        <v>136</v>
      </c>
      <c r="CL2179" s="2" t="s">
        <v>86</v>
      </c>
      <c r="CM2179" s="2"/>
    </row>
    <row r="2180" spans="1:91">
      <c r="A2180" s="2" t="s">
        <v>71</v>
      </c>
      <c r="B2180" s="2" t="s">
        <v>72</v>
      </c>
      <c r="C2180" s="2" t="s">
        <v>73</v>
      </c>
      <c r="D2180" s="2"/>
      <c r="E2180" s="2" t="str">
        <f>"FES1162570068"</f>
        <v>FES1162570068</v>
      </c>
      <c r="F2180" s="3">
        <v>42965</v>
      </c>
      <c r="G2180" s="2">
        <v>201802</v>
      </c>
      <c r="H2180" s="2" t="s">
        <v>74</v>
      </c>
      <c r="I2180" s="2" t="s">
        <v>75</v>
      </c>
      <c r="J2180" s="2" t="s">
        <v>76</v>
      </c>
      <c r="K2180" s="2" t="s">
        <v>77</v>
      </c>
      <c r="L2180" s="2" t="s">
        <v>144</v>
      </c>
      <c r="M2180" s="2" t="s">
        <v>145</v>
      </c>
      <c r="N2180" s="2" t="s">
        <v>146</v>
      </c>
      <c r="O2180" s="2" t="s">
        <v>81</v>
      </c>
      <c r="P2180" s="2" t="str">
        <f>"2170584822                    "</f>
        <v xml:space="preserve">2170584822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37.61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145</v>
      </c>
      <c r="BJ2180" s="2">
        <v>185.1</v>
      </c>
      <c r="BK2180" s="2">
        <v>185</v>
      </c>
      <c r="BL2180" s="2">
        <v>394.46</v>
      </c>
      <c r="BM2180" s="2">
        <v>55.22</v>
      </c>
      <c r="BN2180" s="2">
        <v>449.68</v>
      </c>
      <c r="BO2180" s="2">
        <v>449.68</v>
      </c>
      <c r="BP2180" s="2"/>
      <c r="BQ2180" s="2" t="s">
        <v>83</v>
      </c>
      <c r="BR2180" s="2" t="s">
        <v>84</v>
      </c>
      <c r="BS2180" s="3">
        <v>42968</v>
      </c>
      <c r="BT2180" s="4">
        <v>0.36458333333333331</v>
      </c>
      <c r="BU2180" s="2" t="s">
        <v>1458</v>
      </c>
      <c r="BV2180" s="2" t="s">
        <v>95</v>
      </c>
      <c r="BW2180" s="2"/>
      <c r="BX2180" s="2"/>
      <c r="BY2180" s="2">
        <v>925288</v>
      </c>
      <c r="BZ2180" s="2"/>
      <c r="CA2180" s="2" t="s">
        <v>1154</v>
      </c>
      <c r="CB2180" s="2"/>
      <c r="CC2180" s="2" t="s">
        <v>145</v>
      </c>
      <c r="CD2180" s="2">
        <v>2094</v>
      </c>
      <c r="CE2180" s="2" t="s">
        <v>89</v>
      </c>
      <c r="CF2180" s="5">
        <v>42969</v>
      </c>
      <c r="CG2180" s="2"/>
      <c r="CH2180" s="2"/>
      <c r="CI2180" s="2">
        <v>1</v>
      </c>
      <c r="CJ2180" s="2">
        <v>1</v>
      </c>
      <c r="CK2180" s="2" t="s">
        <v>132</v>
      </c>
      <c r="CL2180" s="2" t="s">
        <v>86</v>
      </c>
      <c r="CM2180" s="2"/>
    </row>
    <row r="2181" spans="1:91">
      <c r="A2181" s="2" t="s">
        <v>71</v>
      </c>
      <c r="B2181" s="2" t="s">
        <v>72</v>
      </c>
      <c r="C2181" s="2" t="s">
        <v>73</v>
      </c>
      <c r="D2181" s="2"/>
      <c r="E2181" s="2" t="str">
        <f>"FES1162570005"</f>
        <v>FES1162570005</v>
      </c>
      <c r="F2181" s="3">
        <v>42965</v>
      </c>
      <c r="G2181" s="2">
        <v>201802</v>
      </c>
      <c r="H2181" s="2" t="s">
        <v>74</v>
      </c>
      <c r="I2181" s="2" t="s">
        <v>75</v>
      </c>
      <c r="J2181" s="2" t="s">
        <v>76</v>
      </c>
      <c r="K2181" s="2" t="s">
        <v>77</v>
      </c>
      <c r="L2181" s="2" t="s">
        <v>74</v>
      </c>
      <c r="M2181" s="2" t="s">
        <v>75</v>
      </c>
      <c r="N2181" s="2" t="s">
        <v>2706</v>
      </c>
      <c r="O2181" s="2" t="s">
        <v>81</v>
      </c>
      <c r="P2181" s="2" t="str">
        <f>"2170585794                    "</f>
        <v xml:space="preserve">2170585794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8.64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1</v>
      </c>
      <c r="BI2181" s="2">
        <v>23</v>
      </c>
      <c r="BJ2181" s="2">
        <v>30.1</v>
      </c>
      <c r="BK2181" s="2">
        <v>31</v>
      </c>
      <c r="BL2181" s="2">
        <v>94.45</v>
      </c>
      <c r="BM2181" s="2">
        <v>13.22</v>
      </c>
      <c r="BN2181" s="2">
        <v>107.67</v>
      </c>
      <c r="BO2181" s="2">
        <v>107.67</v>
      </c>
      <c r="BP2181" s="2"/>
      <c r="BQ2181" s="2" t="s">
        <v>108</v>
      </c>
      <c r="BR2181" s="2" t="s">
        <v>84</v>
      </c>
      <c r="BS2181" s="3">
        <v>42969</v>
      </c>
      <c r="BT2181" s="4">
        <v>0.49444444444444446</v>
      </c>
      <c r="BU2181" s="2" t="s">
        <v>2707</v>
      </c>
      <c r="BV2181" s="2" t="s">
        <v>86</v>
      </c>
      <c r="BW2181" s="2" t="s">
        <v>124</v>
      </c>
      <c r="BX2181" s="2" t="s">
        <v>2708</v>
      </c>
      <c r="BY2181" s="2">
        <v>150660</v>
      </c>
      <c r="BZ2181" s="2"/>
      <c r="CA2181" s="2"/>
      <c r="CB2181" s="2"/>
      <c r="CC2181" s="2" t="s">
        <v>75</v>
      </c>
      <c r="CD2181" s="2">
        <v>1601</v>
      </c>
      <c r="CE2181" s="2" t="s">
        <v>89</v>
      </c>
      <c r="CF2181" s="5">
        <v>42970</v>
      </c>
      <c r="CG2181" s="2"/>
      <c r="CH2181" s="2"/>
      <c r="CI2181" s="2">
        <v>1</v>
      </c>
      <c r="CJ2181" s="2">
        <v>2</v>
      </c>
      <c r="CK2181" s="2" t="s">
        <v>132</v>
      </c>
      <c r="CL2181" s="2" t="s">
        <v>86</v>
      </c>
      <c r="CM2181" s="2"/>
    </row>
    <row r="2182" spans="1:91">
      <c r="A2182" s="2" t="s">
        <v>71</v>
      </c>
      <c r="B2182" s="2" t="s">
        <v>72</v>
      </c>
      <c r="C2182" s="2" t="s">
        <v>73</v>
      </c>
      <c r="D2182" s="2"/>
      <c r="E2182" s="2" t="str">
        <f>"FES1162570106"</f>
        <v>FES1162570106</v>
      </c>
      <c r="F2182" s="3">
        <v>42965</v>
      </c>
      <c r="G2182" s="2">
        <v>201802</v>
      </c>
      <c r="H2182" s="2" t="s">
        <v>74</v>
      </c>
      <c r="I2182" s="2" t="s">
        <v>75</v>
      </c>
      <c r="J2182" s="2" t="s">
        <v>76</v>
      </c>
      <c r="K2182" s="2" t="s">
        <v>77</v>
      </c>
      <c r="L2182" s="2" t="s">
        <v>97</v>
      </c>
      <c r="M2182" s="2" t="s">
        <v>98</v>
      </c>
      <c r="N2182" s="2" t="s">
        <v>1029</v>
      </c>
      <c r="O2182" s="2" t="s">
        <v>81</v>
      </c>
      <c r="P2182" s="2" t="str">
        <f>"2170585145                    "</f>
        <v xml:space="preserve">2170585145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12.05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26</v>
      </c>
      <c r="BJ2182" s="2">
        <v>7.9</v>
      </c>
      <c r="BK2182" s="2">
        <v>26</v>
      </c>
      <c r="BL2182" s="2">
        <v>129.77000000000001</v>
      </c>
      <c r="BM2182" s="2">
        <v>18.170000000000002</v>
      </c>
      <c r="BN2182" s="2">
        <v>147.94</v>
      </c>
      <c r="BO2182" s="2">
        <v>147.94</v>
      </c>
      <c r="BP2182" s="2"/>
      <c r="BQ2182" s="2" t="s">
        <v>288</v>
      </c>
      <c r="BR2182" s="2" t="s">
        <v>84</v>
      </c>
      <c r="BS2182" s="3">
        <v>42968</v>
      </c>
      <c r="BT2182" s="4">
        <v>0.35347222222222219</v>
      </c>
      <c r="BU2182" s="2" t="s">
        <v>2709</v>
      </c>
      <c r="BV2182" s="2" t="s">
        <v>95</v>
      </c>
      <c r="BW2182" s="2"/>
      <c r="BX2182" s="2"/>
      <c r="BY2182" s="2">
        <v>39375</v>
      </c>
      <c r="BZ2182" s="2"/>
      <c r="CA2182" s="2" t="s">
        <v>286</v>
      </c>
      <c r="CB2182" s="2"/>
      <c r="CC2182" s="2" t="s">
        <v>98</v>
      </c>
      <c r="CD2182" s="2">
        <v>6001</v>
      </c>
      <c r="CE2182" s="2" t="s">
        <v>89</v>
      </c>
      <c r="CF2182" s="5">
        <v>42969</v>
      </c>
      <c r="CG2182" s="2"/>
      <c r="CH2182" s="2"/>
      <c r="CI2182" s="2">
        <v>2</v>
      </c>
      <c r="CJ2182" s="2">
        <v>1</v>
      </c>
      <c r="CK2182" s="2" t="s">
        <v>136</v>
      </c>
      <c r="CL2182" s="2" t="s">
        <v>86</v>
      </c>
      <c r="CM2182" s="2"/>
    </row>
    <row r="2183" spans="1:91">
      <c r="A2183" s="2" t="s">
        <v>71</v>
      </c>
      <c r="B2183" s="2" t="s">
        <v>72</v>
      </c>
      <c r="C2183" s="2" t="s">
        <v>73</v>
      </c>
      <c r="D2183" s="2"/>
      <c r="E2183" s="2" t="str">
        <f>"FES1162570100"</f>
        <v>FES1162570100</v>
      </c>
      <c r="F2183" s="3">
        <v>42965</v>
      </c>
      <c r="G2183" s="2">
        <v>201802</v>
      </c>
      <c r="H2183" s="2" t="s">
        <v>74</v>
      </c>
      <c r="I2183" s="2" t="s">
        <v>75</v>
      </c>
      <c r="J2183" s="2" t="s">
        <v>76</v>
      </c>
      <c r="K2183" s="2" t="s">
        <v>77</v>
      </c>
      <c r="L2183" s="2" t="s">
        <v>97</v>
      </c>
      <c r="M2183" s="2" t="s">
        <v>98</v>
      </c>
      <c r="N2183" s="2" t="s">
        <v>119</v>
      </c>
      <c r="O2183" s="2" t="s">
        <v>81</v>
      </c>
      <c r="P2183" s="2" t="str">
        <f>"2170585890                    "</f>
        <v xml:space="preserve">2170585890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9.6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1</v>
      </c>
      <c r="BI2183" s="2">
        <v>18.5</v>
      </c>
      <c r="BJ2183" s="2">
        <v>3.7</v>
      </c>
      <c r="BK2183" s="2">
        <v>19</v>
      </c>
      <c r="BL2183" s="2">
        <v>104.36</v>
      </c>
      <c r="BM2183" s="2">
        <v>14.61</v>
      </c>
      <c r="BN2183" s="2">
        <v>118.97</v>
      </c>
      <c r="BO2183" s="2">
        <v>118.97</v>
      </c>
      <c r="BP2183" s="2"/>
      <c r="BQ2183" s="2" t="s">
        <v>108</v>
      </c>
      <c r="BR2183" s="2" t="s">
        <v>84</v>
      </c>
      <c r="BS2183" s="3">
        <v>42968</v>
      </c>
      <c r="BT2183" s="4">
        <v>0.36874999999999997</v>
      </c>
      <c r="BU2183" s="2" t="s">
        <v>2710</v>
      </c>
      <c r="BV2183" s="2" t="s">
        <v>95</v>
      </c>
      <c r="BW2183" s="2"/>
      <c r="BX2183" s="2"/>
      <c r="BY2183" s="2">
        <v>18437.45</v>
      </c>
      <c r="BZ2183" s="2"/>
      <c r="CA2183" s="2" t="s">
        <v>286</v>
      </c>
      <c r="CB2183" s="2"/>
      <c r="CC2183" s="2" t="s">
        <v>98</v>
      </c>
      <c r="CD2183" s="2">
        <v>6001</v>
      </c>
      <c r="CE2183" s="2" t="s">
        <v>89</v>
      </c>
      <c r="CF2183" s="5">
        <v>42969</v>
      </c>
      <c r="CG2183" s="2"/>
      <c r="CH2183" s="2"/>
      <c r="CI2183" s="2">
        <v>2</v>
      </c>
      <c r="CJ2183" s="2">
        <v>1</v>
      </c>
      <c r="CK2183" s="2" t="s">
        <v>136</v>
      </c>
      <c r="CL2183" s="2" t="s">
        <v>86</v>
      </c>
      <c r="CM2183" s="2"/>
    </row>
    <row r="2184" spans="1:91">
      <c r="A2184" s="2" t="s">
        <v>71</v>
      </c>
      <c r="B2184" s="2" t="s">
        <v>72</v>
      </c>
      <c r="C2184" s="2" t="s">
        <v>73</v>
      </c>
      <c r="D2184" s="2"/>
      <c r="E2184" s="2" t="str">
        <f>"FES1162569877"</f>
        <v>FES1162569877</v>
      </c>
      <c r="F2184" s="3">
        <v>42965</v>
      </c>
      <c r="G2184" s="2">
        <v>201802</v>
      </c>
      <c r="H2184" s="2" t="s">
        <v>74</v>
      </c>
      <c r="I2184" s="2" t="s">
        <v>75</v>
      </c>
      <c r="J2184" s="2" t="s">
        <v>76</v>
      </c>
      <c r="K2184" s="2" t="s">
        <v>77</v>
      </c>
      <c r="L2184" s="2" t="s">
        <v>128</v>
      </c>
      <c r="M2184" s="2" t="s">
        <v>129</v>
      </c>
      <c r="N2184" s="2" t="s">
        <v>1331</v>
      </c>
      <c r="O2184" s="2" t="s">
        <v>81</v>
      </c>
      <c r="P2184" s="2" t="str">
        <f>"2170585513                    "</f>
        <v xml:space="preserve">2170585513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8.07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2</v>
      </c>
      <c r="BI2184" s="2">
        <v>28</v>
      </c>
      <c r="BJ2184" s="2">
        <v>11.1</v>
      </c>
      <c r="BK2184" s="2">
        <v>28</v>
      </c>
      <c r="BL2184" s="2">
        <v>88.6</v>
      </c>
      <c r="BM2184" s="2">
        <v>12.4</v>
      </c>
      <c r="BN2184" s="2">
        <v>101</v>
      </c>
      <c r="BO2184" s="2">
        <v>101</v>
      </c>
      <c r="BP2184" s="2"/>
      <c r="BQ2184" s="2" t="s">
        <v>288</v>
      </c>
      <c r="BR2184" s="2" t="s">
        <v>84</v>
      </c>
      <c r="BS2184" s="3">
        <v>42968</v>
      </c>
      <c r="BT2184" s="4">
        <v>0.57500000000000007</v>
      </c>
      <c r="BU2184" s="2" t="s">
        <v>1494</v>
      </c>
      <c r="BV2184" s="2" t="s">
        <v>95</v>
      </c>
      <c r="BW2184" s="2"/>
      <c r="BX2184" s="2"/>
      <c r="BY2184" s="2">
        <v>55716.43</v>
      </c>
      <c r="BZ2184" s="2"/>
      <c r="CA2184" s="2" t="s">
        <v>2711</v>
      </c>
      <c r="CB2184" s="2"/>
      <c r="CC2184" s="2" t="s">
        <v>129</v>
      </c>
      <c r="CD2184" s="2">
        <v>1724</v>
      </c>
      <c r="CE2184" s="2" t="s">
        <v>89</v>
      </c>
      <c r="CF2184" s="5">
        <v>42969</v>
      </c>
      <c r="CG2184" s="2"/>
      <c r="CH2184" s="2"/>
      <c r="CI2184" s="2">
        <v>1</v>
      </c>
      <c r="CJ2184" s="2">
        <v>1</v>
      </c>
      <c r="CK2184" s="2" t="s">
        <v>132</v>
      </c>
      <c r="CL2184" s="2" t="s">
        <v>86</v>
      </c>
      <c r="CM2184" s="2"/>
    </row>
    <row r="2185" spans="1:91">
      <c r="A2185" s="2" t="s">
        <v>71</v>
      </c>
      <c r="B2185" s="2" t="s">
        <v>72</v>
      </c>
      <c r="C2185" s="2" t="s">
        <v>73</v>
      </c>
      <c r="D2185" s="2"/>
      <c r="E2185" s="2" t="str">
        <f>"FES1162569904"</f>
        <v>FES1162569904</v>
      </c>
      <c r="F2185" s="3">
        <v>42965</v>
      </c>
      <c r="G2185" s="2">
        <v>201802</v>
      </c>
      <c r="H2185" s="2" t="s">
        <v>74</v>
      </c>
      <c r="I2185" s="2" t="s">
        <v>75</v>
      </c>
      <c r="J2185" s="2" t="s">
        <v>76</v>
      </c>
      <c r="K2185" s="2" t="s">
        <v>77</v>
      </c>
      <c r="L2185" s="2" t="s">
        <v>97</v>
      </c>
      <c r="M2185" s="2" t="s">
        <v>98</v>
      </c>
      <c r="N2185" s="2" t="s">
        <v>2712</v>
      </c>
      <c r="O2185" s="2" t="s">
        <v>100</v>
      </c>
      <c r="P2185" s="2" t="str">
        <f>"2170584226                    "</f>
        <v xml:space="preserve">2170584226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34.020000000000003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11</v>
      </c>
      <c r="BJ2185" s="2">
        <v>16.8</v>
      </c>
      <c r="BK2185" s="2">
        <v>17</v>
      </c>
      <c r="BL2185" s="2">
        <v>352.26</v>
      </c>
      <c r="BM2185" s="2">
        <v>49.32</v>
      </c>
      <c r="BN2185" s="2">
        <v>401.58</v>
      </c>
      <c r="BO2185" s="2">
        <v>401.58</v>
      </c>
      <c r="BP2185" s="2"/>
      <c r="BQ2185" s="2" t="s">
        <v>209</v>
      </c>
      <c r="BR2185" s="2" t="s">
        <v>84</v>
      </c>
      <c r="BS2185" s="3">
        <v>42968</v>
      </c>
      <c r="BT2185" s="4">
        <v>0.38125000000000003</v>
      </c>
      <c r="BU2185" s="2" t="s">
        <v>2713</v>
      </c>
      <c r="BV2185" s="2" t="s">
        <v>95</v>
      </c>
      <c r="BW2185" s="2"/>
      <c r="BX2185" s="2"/>
      <c r="BY2185" s="2">
        <v>84000</v>
      </c>
      <c r="BZ2185" s="2"/>
      <c r="CA2185" s="2" t="s">
        <v>600</v>
      </c>
      <c r="CB2185" s="2"/>
      <c r="CC2185" s="2" t="s">
        <v>98</v>
      </c>
      <c r="CD2185" s="2">
        <v>6001</v>
      </c>
      <c r="CE2185" s="2" t="s">
        <v>89</v>
      </c>
      <c r="CF2185" s="5">
        <v>42969</v>
      </c>
      <c r="CG2185" s="2"/>
      <c r="CH2185" s="2"/>
      <c r="CI2185" s="2">
        <v>1</v>
      </c>
      <c r="CJ2185" s="2">
        <v>1</v>
      </c>
      <c r="CK2185" s="2">
        <v>21</v>
      </c>
      <c r="CL2185" s="2" t="s">
        <v>86</v>
      </c>
      <c r="CM2185" s="2"/>
    </row>
    <row r="2186" spans="1:91">
      <c r="A2186" s="2" t="s">
        <v>71</v>
      </c>
      <c r="B2186" s="2" t="s">
        <v>72</v>
      </c>
      <c r="C2186" s="2" t="s">
        <v>73</v>
      </c>
      <c r="D2186" s="2"/>
      <c r="E2186" s="2" t="str">
        <f>"FES1162570097"</f>
        <v>FES1162570097</v>
      </c>
      <c r="F2186" s="3">
        <v>42965</v>
      </c>
      <c r="G2186" s="2">
        <v>201802</v>
      </c>
      <c r="H2186" s="2" t="s">
        <v>74</v>
      </c>
      <c r="I2186" s="2" t="s">
        <v>75</v>
      </c>
      <c r="J2186" s="2" t="s">
        <v>76</v>
      </c>
      <c r="K2186" s="2" t="s">
        <v>77</v>
      </c>
      <c r="L2186" s="2" t="s">
        <v>97</v>
      </c>
      <c r="M2186" s="2" t="s">
        <v>98</v>
      </c>
      <c r="N2186" s="2" t="s">
        <v>1029</v>
      </c>
      <c r="O2186" s="2" t="s">
        <v>100</v>
      </c>
      <c r="P2186" s="2" t="str">
        <f>"2170585885                    "</f>
        <v xml:space="preserve">2170585885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18.010000000000002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8.9</v>
      </c>
      <c r="BJ2186" s="2">
        <v>7.7</v>
      </c>
      <c r="BK2186" s="2">
        <v>9</v>
      </c>
      <c r="BL2186" s="2">
        <v>186.49</v>
      </c>
      <c r="BM2186" s="2">
        <v>26.11</v>
      </c>
      <c r="BN2186" s="2">
        <v>212.6</v>
      </c>
      <c r="BO2186" s="2">
        <v>212.6</v>
      </c>
      <c r="BP2186" s="2"/>
      <c r="BQ2186" s="2" t="s">
        <v>288</v>
      </c>
      <c r="BR2186" s="2" t="s">
        <v>84</v>
      </c>
      <c r="BS2186" s="3">
        <v>42968</v>
      </c>
      <c r="BT2186" s="4">
        <v>0.35347222222222219</v>
      </c>
      <c r="BU2186" s="2" t="s">
        <v>2714</v>
      </c>
      <c r="BV2186" s="2" t="s">
        <v>95</v>
      </c>
      <c r="BW2186" s="2"/>
      <c r="BX2186" s="2"/>
      <c r="BY2186" s="2">
        <v>38306.519999999997</v>
      </c>
      <c r="BZ2186" s="2"/>
      <c r="CA2186" s="2" t="s">
        <v>213</v>
      </c>
      <c r="CB2186" s="2"/>
      <c r="CC2186" s="2" t="s">
        <v>98</v>
      </c>
      <c r="CD2186" s="2">
        <v>6001</v>
      </c>
      <c r="CE2186" s="2" t="s">
        <v>89</v>
      </c>
      <c r="CF2186" s="5">
        <v>42969</v>
      </c>
      <c r="CG2186" s="2"/>
      <c r="CH2186" s="2"/>
      <c r="CI2186" s="2">
        <v>1</v>
      </c>
      <c r="CJ2186" s="2">
        <v>1</v>
      </c>
      <c r="CK2186" s="2">
        <v>21</v>
      </c>
      <c r="CL2186" s="2" t="s">
        <v>86</v>
      </c>
      <c r="CM2186" s="2"/>
    </row>
    <row r="2187" spans="1:91">
      <c r="A2187" s="2" t="s">
        <v>71</v>
      </c>
      <c r="B2187" s="2" t="s">
        <v>72</v>
      </c>
      <c r="C2187" s="2" t="s">
        <v>73</v>
      </c>
      <c r="D2187" s="2"/>
      <c r="E2187" s="2" t="str">
        <f>"RFES1162564226"</f>
        <v>RFES1162564226</v>
      </c>
      <c r="F2187" s="3">
        <v>42968</v>
      </c>
      <c r="G2187" s="2">
        <v>201802</v>
      </c>
      <c r="H2187" s="2" t="s">
        <v>306</v>
      </c>
      <c r="I2187" s="2" t="s">
        <v>307</v>
      </c>
      <c r="J2187" s="2" t="s">
        <v>2715</v>
      </c>
      <c r="K2187" s="2" t="s">
        <v>77</v>
      </c>
      <c r="L2187" s="2" t="s">
        <v>74</v>
      </c>
      <c r="M2187" s="2" t="s">
        <v>75</v>
      </c>
      <c r="N2187" s="2" t="s">
        <v>76</v>
      </c>
      <c r="O2187" s="2" t="s">
        <v>100</v>
      </c>
      <c r="P2187" s="2" t="str">
        <f>"217059907                     "</f>
        <v xml:space="preserve">217059907 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5.63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1</v>
      </c>
      <c r="BI2187" s="2">
        <v>1</v>
      </c>
      <c r="BJ2187" s="2">
        <v>0.2</v>
      </c>
      <c r="BK2187" s="2">
        <v>1</v>
      </c>
      <c r="BL2187" s="2">
        <v>58.28</v>
      </c>
      <c r="BM2187" s="2">
        <v>8.16</v>
      </c>
      <c r="BN2187" s="2">
        <v>66.44</v>
      </c>
      <c r="BO2187" s="2">
        <v>66.44</v>
      </c>
      <c r="BP2187" s="2"/>
      <c r="BQ2187" s="2" t="s">
        <v>84</v>
      </c>
      <c r="BR2187" s="2" t="s">
        <v>83</v>
      </c>
      <c r="BS2187" s="3">
        <v>42969</v>
      </c>
      <c r="BT2187" s="4">
        <v>0.52083333333333337</v>
      </c>
      <c r="BU2187" s="2" t="s">
        <v>814</v>
      </c>
      <c r="BV2187" s="2" t="s">
        <v>86</v>
      </c>
      <c r="BW2187" s="2" t="s">
        <v>124</v>
      </c>
      <c r="BX2187" s="2" t="s">
        <v>199</v>
      </c>
      <c r="BY2187" s="2">
        <v>1200</v>
      </c>
      <c r="BZ2187" s="2"/>
      <c r="CA2187" s="2"/>
      <c r="CB2187" s="2"/>
      <c r="CC2187" s="2" t="s">
        <v>75</v>
      </c>
      <c r="CD2187" s="2">
        <v>1600</v>
      </c>
      <c r="CE2187" s="2" t="s">
        <v>104</v>
      </c>
      <c r="CF2187" s="5">
        <v>42970</v>
      </c>
      <c r="CG2187" s="2"/>
      <c r="CH2187" s="2"/>
      <c r="CI2187" s="2">
        <v>1</v>
      </c>
      <c r="CJ2187" s="2">
        <v>1</v>
      </c>
      <c r="CK2187" s="2">
        <v>24</v>
      </c>
      <c r="CL2187" s="2" t="s">
        <v>86</v>
      </c>
      <c r="CM2187" s="2"/>
    </row>
    <row r="2188" spans="1:91">
      <c r="A2188" s="2" t="s">
        <v>71</v>
      </c>
      <c r="B2188" s="2" t="s">
        <v>72</v>
      </c>
      <c r="C2188" s="2" t="s">
        <v>73</v>
      </c>
      <c r="D2188" s="2"/>
      <c r="E2188" s="2" t="str">
        <f>"FES1162567867"</f>
        <v>FES1162567867</v>
      </c>
      <c r="F2188" s="3">
        <v>42957</v>
      </c>
      <c r="G2188" s="2">
        <v>201802</v>
      </c>
      <c r="H2188" s="2" t="s">
        <v>74</v>
      </c>
      <c r="I2188" s="2" t="s">
        <v>75</v>
      </c>
      <c r="J2188" s="2" t="s">
        <v>118</v>
      </c>
      <c r="K2188" s="2" t="s">
        <v>77</v>
      </c>
      <c r="L2188" s="2" t="s">
        <v>128</v>
      </c>
      <c r="M2188" s="2" t="s">
        <v>129</v>
      </c>
      <c r="N2188" s="2" t="s">
        <v>2256</v>
      </c>
      <c r="O2188" s="2" t="s">
        <v>81</v>
      </c>
      <c r="P2188" s="2" t="str">
        <f>"2170581148                    "</f>
        <v xml:space="preserve">2170581148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13.53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46</v>
      </c>
      <c r="BJ2188" s="2">
        <v>56.2</v>
      </c>
      <c r="BK2188" s="2">
        <v>57</v>
      </c>
      <c r="BL2188" s="2">
        <v>145.1</v>
      </c>
      <c r="BM2188" s="2">
        <v>20.309999999999999</v>
      </c>
      <c r="BN2188" s="2">
        <v>165.41</v>
      </c>
      <c r="BO2188" s="2">
        <v>165.41</v>
      </c>
      <c r="BP2188" s="2"/>
      <c r="BQ2188" s="2" t="s">
        <v>83</v>
      </c>
      <c r="BR2188" s="2" t="s">
        <v>122</v>
      </c>
      <c r="BS2188" s="3">
        <v>42958</v>
      </c>
      <c r="BT2188" s="4">
        <v>0.49305555555555558</v>
      </c>
      <c r="BU2188" s="2" t="s">
        <v>990</v>
      </c>
      <c r="BV2188" s="2" t="s">
        <v>95</v>
      </c>
      <c r="BW2188" s="2"/>
      <c r="BX2188" s="2"/>
      <c r="BY2188" s="2">
        <v>280800</v>
      </c>
      <c r="BZ2188" s="2"/>
      <c r="CA2188" s="2"/>
      <c r="CB2188" s="2"/>
      <c r="CC2188" s="2" t="s">
        <v>129</v>
      </c>
      <c r="CD2188" s="2">
        <v>1725</v>
      </c>
      <c r="CE2188" s="2" t="s">
        <v>2716</v>
      </c>
      <c r="CF2188" s="5">
        <v>42961</v>
      </c>
      <c r="CG2188" s="2"/>
      <c r="CH2188" s="2"/>
      <c r="CI2188" s="2">
        <v>1</v>
      </c>
      <c r="CJ2188" s="2">
        <v>1</v>
      </c>
      <c r="CK2188" s="2" t="s">
        <v>132</v>
      </c>
      <c r="CL2188" s="2" t="s">
        <v>86</v>
      </c>
      <c r="CM2188" s="2"/>
    </row>
    <row r="2189" spans="1:91">
      <c r="A2189" s="2" t="s">
        <v>71</v>
      </c>
      <c r="B2189" s="2" t="s">
        <v>72</v>
      </c>
      <c r="C2189" s="2" t="s">
        <v>73</v>
      </c>
      <c r="D2189" s="2"/>
      <c r="E2189" s="2" t="str">
        <f>"FES1162570144"</f>
        <v>FES1162570144</v>
      </c>
      <c r="F2189" s="3">
        <v>42965</v>
      </c>
      <c r="G2189" s="2">
        <v>201802</v>
      </c>
      <c r="H2189" s="2" t="s">
        <v>74</v>
      </c>
      <c r="I2189" s="2" t="s">
        <v>75</v>
      </c>
      <c r="J2189" s="2" t="s">
        <v>76</v>
      </c>
      <c r="K2189" s="2" t="s">
        <v>77</v>
      </c>
      <c r="L2189" s="2" t="s">
        <v>252</v>
      </c>
      <c r="M2189" s="2" t="s">
        <v>106</v>
      </c>
      <c r="N2189" s="2" t="s">
        <v>397</v>
      </c>
      <c r="O2189" s="2" t="s">
        <v>81</v>
      </c>
      <c r="P2189" s="2" t="str">
        <f>"2170585929                    "</f>
        <v xml:space="preserve">2170585929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22.92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3</v>
      </c>
      <c r="BI2189" s="2">
        <v>49.9</v>
      </c>
      <c r="BJ2189" s="2">
        <v>56.6</v>
      </c>
      <c r="BK2189" s="2">
        <v>57</v>
      </c>
      <c r="BL2189" s="2">
        <v>242.32</v>
      </c>
      <c r="BM2189" s="2">
        <v>33.92</v>
      </c>
      <c r="BN2189" s="2">
        <v>276.24</v>
      </c>
      <c r="BO2189" s="2">
        <v>276.24</v>
      </c>
      <c r="BP2189" s="2"/>
      <c r="BQ2189" s="2" t="s">
        <v>83</v>
      </c>
      <c r="BR2189" s="2" t="s">
        <v>84</v>
      </c>
      <c r="BS2189" s="3">
        <v>42968</v>
      </c>
      <c r="BT2189" s="4">
        <v>0.50694444444444442</v>
      </c>
      <c r="BU2189" s="2" t="s">
        <v>779</v>
      </c>
      <c r="BV2189" s="2" t="s">
        <v>95</v>
      </c>
      <c r="BW2189" s="2"/>
      <c r="BX2189" s="2"/>
      <c r="BY2189" s="2">
        <v>283209.28000000003</v>
      </c>
      <c r="BZ2189" s="2"/>
      <c r="CA2189" s="2" t="s">
        <v>797</v>
      </c>
      <c r="CB2189" s="2"/>
      <c r="CC2189" s="2" t="s">
        <v>106</v>
      </c>
      <c r="CD2189" s="2">
        <v>7405</v>
      </c>
      <c r="CE2189" s="2" t="s">
        <v>104</v>
      </c>
      <c r="CF2189" s="5">
        <v>42969</v>
      </c>
      <c r="CG2189" s="2"/>
      <c r="CH2189" s="2"/>
      <c r="CI2189" s="2">
        <v>2</v>
      </c>
      <c r="CJ2189" s="2">
        <v>1</v>
      </c>
      <c r="CK2189" s="2" t="s">
        <v>136</v>
      </c>
      <c r="CL2189" s="2" t="s">
        <v>86</v>
      </c>
      <c r="CM2189" s="2"/>
    </row>
    <row r="2190" spans="1:91">
      <c r="A2190" s="2" t="s">
        <v>71</v>
      </c>
      <c r="B2190" s="2" t="s">
        <v>72</v>
      </c>
      <c r="C2190" s="2" t="s">
        <v>73</v>
      </c>
      <c r="D2190" s="2"/>
      <c r="E2190" s="2" t="str">
        <f>"FES1162569995"</f>
        <v>FES1162569995</v>
      </c>
      <c r="F2190" s="3">
        <v>42965</v>
      </c>
      <c r="G2190" s="2">
        <v>201802</v>
      </c>
      <c r="H2190" s="2" t="s">
        <v>74</v>
      </c>
      <c r="I2190" s="2" t="s">
        <v>75</v>
      </c>
      <c r="J2190" s="2" t="s">
        <v>76</v>
      </c>
      <c r="K2190" s="2" t="s">
        <v>77</v>
      </c>
      <c r="L2190" s="2" t="s">
        <v>417</v>
      </c>
      <c r="M2190" s="2" t="s">
        <v>417</v>
      </c>
      <c r="N2190" s="2" t="s">
        <v>458</v>
      </c>
      <c r="O2190" s="2" t="s">
        <v>100</v>
      </c>
      <c r="P2190" s="2" t="str">
        <f>"2170585779                    "</f>
        <v xml:space="preserve">2170585779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4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1</v>
      </c>
      <c r="BI2190" s="2">
        <v>1</v>
      </c>
      <c r="BJ2190" s="2">
        <v>0.2</v>
      </c>
      <c r="BK2190" s="2">
        <v>1</v>
      </c>
      <c r="BL2190" s="2">
        <v>41.44</v>
      </c>
      <c r="BM2190" s="2">
        <v>5.8</v>
      </c>
      <c r="BN2190" s="2">
        <v>47.24</v>
      </c>
      <c r="BO2190" s="2">
        <v>47.24</v>
      </c>
      <c r="BP2190" s="2"/>
      <c r="BQ2190" s="2" t="s">
        <v>83</v>
      </c>
      <c r="BR2190" s="2" t="s">
        <v>84</v>
      </c>
      <c r="BS2190" s="3">
        <v>42969</v>
      </c>
      <c r="BT2190" s="4">
        <v>0.47083333333333338</v>
      </c>
      <c r="BU2190" s="2" t="s">
        <v>2254</v>
      </c>
      <c r="BV2190" s="2" t="s">
        <v>86</v>
      </c>
      <c r="BW2190" s="2" t="s">
        <v>336</v>
      </c>
      <c r="BX2190" s="2" t="s">
        <v>116</v>
      </c>
      <c r="BY2190" s="2">
        <v>1200</v>
      </c>
      <c r="BZ2190" s="2"/>
      <c r="CA2190" s="2" t="s">
        <v>460</v>
      </c>
      <c r="CB2190" s="2"/>
      <c r="CC2190" s="2" t="s">
        <v>417</v>
      </c>
      <c r="CD2190" s="2">
        <v>7646</v>
      </c>
      <c r="CE2190" s="2" t="s">
        <v>104</v>
      </c>
      <c r="CF2190" s="5">
        <v>42970</v>
      </c>
      <c r="CG2190" s="2"/>
      <c r="CH2190" s="2"/>
      <c r="CI2190" s="2">
        <v>1</v>
      </c>
      <c r="CJ2190" s="2">
        <v>2</v>
      </c>
      <c r="CK2190" s="2">
        <v>21</v>
      </c>
      <c r="CL2190" s="2" t="s">
        <v>86</v>
      </c>
      <c r="CM2190" s="2"/>
    </row>
    <row r="2191" spans="1:91">
      <c r="A2191" s="2" t="s">
        <v>71</v>
      </c>
      <c r="B2191" s="2" t="s">
        <v>72</v>
      </c>
      <c r="C2191" s="2" t="s">
        <v>73</v>
      </c>
      <c r="D2191" s="2"/>
      <c r="E2191" s="2" t="str">
        <f>"FES1162570172"</f>
        <v>FES1162570172</v>
      </c>
      <c r="F2191" s="3">
        <v>42968</v>
      </c>
      <c r="G2191" s="2">
        <v>201802</v>
      </c>
      <c r="H2191" s="2" t="s">
        <v>74</v>
      </c>
      <c r="I2191" s="2" t="s">
        <v>75</v>
      </c>
      <c r="J2191" s="2" t="s">
        <v>76</v>
      </c>
      <c r="K2191" s="2" t="s">
        <v>77</v>
      </c>
      <c r="L2191" s="2" t="s">
        <v>137</v>
      </c>
      <c r="M2191" s="2" t="s">
        <v>138</v>
      </c>
      <c r="N2191" s="2" t="s">
        <v>226</v>
      </c>
      <c r="O2191" s="2" t="s">
        <v>100</v>
      </c>
      <c r="P2191" s="2" t="str">
        <f>"2170584725                    "</f>
        <v xml:space="preserve">2170584725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4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1</v>
      </c>
      <c r="BI2191" s="2">
        <v>1</v>
      </c>
      <c r="BJ2191" s="2">
        <v>0.2</v>
      </c>
      <c r="BK2191" s="2">
        <v>1</v>
      </c>
      <c r="BL2191" s="2">
        <v>41.44</v>
      </c>
      <c r="BM2191" s="2">
        <v>5.8</v>
      </c>
      <c r="BN2191" s="2">
        <v>47.24</v>
      </c>
      <c r="BO2191" s="2">
        <v>47.24</v>
      </c>
      <c r="BP2191" s="2"/>
      <c r="BQ2191" s="2" t="s">
        <v>83</v>
      </c>
      <c r="BR2191" s="2" t="s">
        <v>84</v>
      </c>
      <c r="BS2191" s="3">
        <v>42969</v>
      </c>
      <c r="BT2191" s="4">
        <v>0.36805555555555558</v>
      </c>
      <c r="BU2191" s="2" t="s">
        <v>2717</v>
      </c>
      <c r="BV2191" s="2" t="s">
        <v>95</v>
      </c>
      <c r="BW2191" s="2"/>
      <c r="BX2191" s="2"/>
      <c r="BY2191" s="2">
        <v>1200</v>
      </c>
      <c r="BZ2191" s="2" t="s">
        <v>27</v>
      </c>
      <c r="CA2191" s="2"/>
      <c r="CB2191" s="2"/>
      <c r="CC2191" s="2" t="s">
        <v>138</v>
      </c>
      <c r="CD2191" s="2">
        <v>157</v>
      </c>
      <c r="CE2191" s="2" t="s">
        <v>104</v>
      </c>
      <c r="CF2191" s="5">
        <v>42970</v>
      </c>
      <c r="CG2191" s="2"/>
      <c r="CH2191" s="2"/>
      <c r="CI2191" s="2">
        <v>1</v>
      </c>
      <c r="CJ2191" s="2">
        <v>1</v>
      </c>
      <c r="CK2191" s="2">
        <v>21</v>
      </c>
      <c r="CL2191" s="2" t="s">
        <v>86</v>
      </c>
      <c r="CM2191" s="2"/>
    </row>
    <row r="2192" spans="1:91">
      <c r="A2192" s="2" t="s">
        <v>71</v>
      </c>
      <c r="B2192" s="2" t="s">
        <v>72</v>
      </c>
      <c r="C2192" s="2" t="s">
        <v>73</v>
      </c>
      <c r="D2192" s="2"/>
      <c r="E2192" s="2" t="str">
        <f>"FES1162570162"</f>
        <v>FES1162570162</v>
      </c>
      <c r="F2192" s="3">
        <v>42968</v>
      </c>
      <c r="G2192" s="2">
        <v>201802</v>
      </c>
      <c r="H2192" s="2" t="s">
        <v>74</v>
      </c>
      <c r="I2192" s="2" t="s">
        <v>75</v>
      </c>
      <c r="J2192" s="2" t="s">
        <v>76</v>
      </c>
      <c r="K2192" s="2" t="s">
        <v>77</v>
      </c>
      <c r="L2192" s="2" t="s">
        <v>206</v>
      </c>
      <c r="M2192" s="2" t="s">
        <v>207</v>
      </c>
      <c r="N2192" s="2" t="s">
        <v>650</v>
      </c>
      <c r="O2192" s="2" t="s">
        <v>100</v>
      </c>
      <c r="P2192" s="2" t="str">
        <f>"2170582572                    "</f>
        <v xml:space="preserve">2170582572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5.63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1</v>
      </c>
      <c r="BI2192" s="2">
        <v>1</v>
      </c>
      <c r="BJ2192" s="2">
        <v>0.2</v>
      </c>
      <c r="BK2192" s="2">
        <v>1</v>
      </c>
      <c r="BL2192" s="2">
        <v>58.28</v>
      </c>
      <c r="BM2192" s="2">
        <v>8.16</v>
      </c>
      <c r="BN2192" s="2">
        <v>66.44</v>
      </c>
      <c r="BO2192" s="2">
        <v>66.44</v>
      </c>
      <c r="BP2192" s="2"/>
      <c r="BQ2192" s="2" t="s">
        <v>108</v>
      </c>
      <c r="BR2192" s="2" t="s">
        <v>84</v>
      </c>
      <c r="BS2192" s="3">
        <v>42969</v>
      </c>
      <c r="BT2192" s="4">
        <v>0.55625000000000002</v>
      </c>
      <c r="BU2192" s="2" t="s">
        <v>2718</v>
      </c>
      <c r="BV2192" s="2" t="s">
        <v>95</v>
      </c>
      <c r="BW2192" s="2"/>
      <c r="BX2192" s="2"/>
      <c r="BY2192" s="2">
        <v>1200</v>
      </c>
      <c r="BZ2192" s="2" t="s">
        <v>27</v>
      </c>
      <c r="CA2192" s="2" t="s">
        <v>640</v>
      </c>
      <c r="CB2192" s="2"/>
      <c r="CC2192" s="2" t="s">
        <v>207</v>
      </c>
      <c r="CD2192" s="2">
        <v>250</v>
      </c>
      <c r="CE2192" s="2" t="s">
        <v>104</v>
      </c>
      <c r="CF2192" s="5">
        <v>42971</v>
      </c>
      <c r="CG2192" s="2"/>
      <c r="CH2192" s="2"/>
      <c r="CI2192" s="2">
        <v>1</v>
      </c>
      <c r="CJ2192" s="2">
        <v>1</v>
      </c>
      <c r="CK2192" s="2">
        <v>24</v>
      </c>
      <c r="CL2192" s="2" t="s">
        <v>86</v>
      </c>
      <c r="CM2192" s="2"/>
    </row>
    <row r="2193" spans="1:91">
      <c r="A2193" s="2" t="s">
        <v>71</v>
      </c>
      <c r="B2193" s="2" t="s">
        <v>72</v>
      </c>
      <c r="C2193" s="2" t="s">
        <v>73</v>
      </c>
      <c r="D2193" s="2"/>
      <c r="E2193" s="2" t="str">
        <f>"FES1162570190"</f>
        <v>FES1162570190</v>
      </c>
      <c r="F2193" s="3">
        <v>42968</v>
      </c>
      <c r="G2193" s="2">
        <v>201802</v>
      </c>
      <c r="H2193" s="2" t="s">
        <v>74</v>
      </c>
      <c r="I2193" s="2" t="s">
        <v>75</v>
      </c>
      <c r="J2193" s="2" t="s">
        <v>76</v>
      </c>
      <c r="K2193" s="2" t="s">
        <v>77</v>
      </c>
      <c r="L2193" s="2" t="s">
        <v>446</v>
      </c>
      <c r="M2193" s="2" t="s">
        <v>447</v>
      </c>
      <c r="N2193" s="2" t="s">
        <v>961</v>
      </c>
      <c r="O2193" s="2" t="s">
        <v>100</v>
      </c>
      <c r="P2193" s="2" t="str">
        <f>"2170585947                    "</f>
        <v xml:space="preserve">2170585947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5.63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1</v>
      </c>
      <c r="BJ2193" s="2">
        <v>0.2</v>
      </c>
      <c r="BK2193" s="2">
        <v>1</v>
      </c>
      <c r="BL2193" s="2">
        <v>58.28</v>
      </c>
      <c r="BM2193" s="2">
        <v>8.16</v>
      </c>
      <c r="BN2193" s="2">
        <v>66.44</v>
      </c>
      <c r="BO2193" s="2">
        <v>66.44</v>
      </c>
      <c r="BP2193" s="2"/>
      <c r="BQ2193" s="2" t="s">
        <v>108</v>
      </c>
      <c r="BR2193" s="2" t="s">
        <v>84</v>
      </c>
      <c r="BS2193" s="3">
        <v>42969</v>
      </c>
      <c r="BT2193" s="4">
        <v>0.47916666666666669</v>
      </c>
      <c r="BU2193" s="2" t="s">
        <v>1674</v>
      </c>
      <c r="BV2193" s="2" t="s">
        <v>95</v>
      </c>
      <c r="BW2193" s="2"/>
      <c r="BX2193" s="2"/>
      <c r="BY2193" s="2">
        <v>1200</v>
      </c>
      <c r="BZ2193" s="2" t="s">
        <v>27</v>
      </c>
      <c r="CA2193" s="2"/>
      <c r="CB2193" s="2"/>
      <c r="CC2193" s="2" t="s">
        <v>447</v>
      </c>
      <c r="CD2193" s="2">
        <v>1759</v>
      </c>
      <c r="CE2193" s="2" t="s">
        <v>104</v>
      </c>
      <c r="CF2193" s="5">
        <v>42970</v>
      </c>
      <c r="CG2193" s="2"/>
      <c r="CH2193" s="2"/>
      <c r="CI2193" s="2">
        <v>1</v>
      </c>
      <c r="CJ2193" s="2">
        <v>1</v>
      </c>
      <c r="CK2193" s="2">
        <v>24</v>
      </c>
      <c r="CL2193" s="2" t="s">
        <v>86</v>
      </c>
      <c r="CM2193" s="2"/>
    </row>
    <row r="2194" spans="1:91">
      <c r="A2194" s="2" t="s">
        <v>71</v>
      </c>
      <c r="B2194" s="2" t="s">
        <v>72</v>
      </c>
      <c r="C2194" s="2" t="s">
        <v>73</v>
      </c>
      <c r="D2194" s="2"/>
      <c r="E2194" s="2" t="str">
        <f>"FES1162570181"</f>
        <v>FES1162570181</v>
      </c>
      <c r="F2194" s="3">
        <v>42968</v>
      </c>
      <c r="G2194" s="2">
        <v>201802</v>
      </c>
      <c r="H2194" s="2" t="s">
        <v>74</v>
      </c>
      <c r="I2194" s="2" t="s">
        <v>75</v>
      </c>
      <c r="J2194" s="2" t="s">
        <v>76</v>
      </c>
      <c r="K2194" s="2" t="s">
        <v>77</v>
      </c>
      <c r="L2194" s="2" t="s">
        <v>268</v>
      </c>
      <c r="M2194" s="2" t="s">
        <v>269</v>
      </c>
      <c r="N2194" s="2" t="s">
        <v>2719</v>
      </c>
      <c r="O2194" s="2" t="s">
        <v>100</v>
      </c>
      <c r="P2194" s="2" t="str">
        <f>"2170585926                    "</f>
        <v xml:space="preserve">2170585926 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4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1</v>
      </c>
      <c r="BJ2194" s="2">
        <v>0.2</v>
      </c>
      <c r="BK2194" s="2">
        <v>1</v>
      </c>
      <c r="BL2194" s="2">
        <v>41.44</v>
      </c>
      <c r="BM2194" s="2">
        <v>5.8</v>
      </c>
      <c r="BN2194" s="2">
        <v>47.24</v>
      </c>
      <c r="BO2194" s="2">
        <v>47.24</v>
      </c>
      <c r="BP2194" s="2"/>
      <c r="BQ2194" s="2" t="s">
        <v>108</v>
      </c>
      <c r="BR2194" s="2" t="s">
        <v>84</v>
      </c>
      <c r="BS2194" s="3">
        <v>42969</v>
      </c>
      <c r="BT2194" s="4">
        <v>0.44444444444444442</v>
      </c>
      <c r="BU2194" s="2" t="s">
        <v>2720</v>
      </c>
      <c r="BV2194" s="2" t="s">
        <v>95</v>
      </c>
      <c r="BW2194" s="2"/>
      <c r="BX2194" s="2"/>
      <c r="BY2194" s="2">
        <v>1200</v>
      </c>
      <c r="BZ2194" s="2" t="s">
        <v>27</v>
      </c>
      <c r="CA2194" s="2" t="s">
        <v>272</v>
      </c>
      <c r="CB2194" s="2"/>
      <c r="CC2194" s="2" t="s">
        <v>269</v>
      </c>
      <c r="CD2194" s="2">
        <v>200</v>
      </c>
      <c r="CE2194" s="2" t="s">
        <v>104</v>
      </c>
      <c r="CF2194" s="5">
        <v>42970</v>
      </c>
      <c r="CG2194" s="2"/>
      <c r="CH2194" s="2"/>
      <c r="CI2194" s="2">
        <v>1</v>
      </c>
      <c r="CJ2194" s="2">
        <v>1</v>
      </c>
      <c r="CK2194" s="2">
        <v>21</v>
      </c>
      <c r="CL2194" s="2" t="s">
        <v>86</v>
      </c>
      <c r="CM2194" s="2"/>
    </row>
    <row r="2195" spans="1:91">
      <c r="A2195" s="2" t="s">
        <v>71</v>
      </c>
      <c r="B2195" s="2" t="s">
        <v>72</v>
      </c>
      <c r="C2195" s="2" t="s">
        <v>73</v>
      </c>
      <c r="D2195" s="2"/>
      <c r="E2195" s="2" t="str">
        <f>"FES1162570166"</f>
        <v>FES1162570166</v>
      </c>
      <c r="F2195" s="3">
        <v>42968</v>
      </c>
      <c r="G2195" s="2">
        <v>201802</v>
      </c>
      <c r="H2195" s="2" t="s">
        <v>74</v>
      </c>
      <c r="I2195" s="2" t="s">
        <v>75</v>
      </c>
      <c r="J2195" s="2" t="s">
        <v>76</v>
      </c>
      <c r="K2195" s="2" t="s">
        <v>77</v>
      </c>
      <c r="L2195" s="2" t="s">
        <v>268</v>
      </c>
      <c r="M2195" s="2" t="s">
        <v>269</v>
      </c>
      <c r="N2195" s="2" t="s">
        <v>2721</v>
      </c>
      <c r="O2195" s="2" t="s">
        <v>100</v>
      </c>
      <c r="P2195" s="2" t="str">
        <f>"2170583365                    "</f>
        <v xml:space="preserve">2170583365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4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1</v>
      </c>
      <c r="BJ2195" s="2">
        <v>0.2</v>
      </c>
      <c r="BK2195" s="2">
        <v>1</v>
      </c>
      <c r="BL2195" s="2">
        <v>41.44</v>
      </c>
      <c r="BM2195" s="2">
        <v>5.8</v>
      </c>
      <c r="BN2195" s="2">
        <v>47.24</v>
      </c>
      <c r="BO2195" s="2">
        <v>47.24</v>
      </c>
      <c r="BP2195" s="2"/>
      <c r="BQ2195" s="2" t="s">
        <v>108</v>
      </c>
      <c r="BR2195" s="2" t="s">
        <v>84</v>
      </c>
      <c r="BS2195" s="3">
        <v>42969</v>
      </c>
      <c r="BT2195" s="4">
        <v>0.43055555555555558</v>
      </c>
      <c r="BU2195" s="2" t="s">
        <v>2722</v>
      </c>
      <c r="BV2195" s="2" t="s">
        <v>95</v>
      </c>
      <c r="BW2195" s="2"/>
      <c r="BX2195" s="2"/>
      <c r="BY2195" s="2">
        <v>1200</v>
      </c>
      <c r="BZ2195" s="2" t="s">
        <v>27</v>
      </c>
      <c r="CA2195" s="2" t="s">
        <v>2723</v>
      </c>
      <c r="CB2195" s="2"/>
      <c r="CC2195" s="2" t="s">
        <v>269</v>
      </c>
      <c r="CD2195" s="2">
        <v>1</v>
      </c>
      <c r="CE2195" s="2" t="s">
        <v>104</v>
      </c>
      <c r="CF2195" s="5">
        <v>42970</v>
      </c>
      <c r="CG2195" s="2"/>
      <c r="CH2195" s="2"/>
      <c r="CI2195" s="2">
        <v>1</v>
      </c>
      <c r="CJ2195" s="2">
        <v>1</v>
      </c>
      <c r="CK2195" s="2">
        <v>21</v>
      </c>
      <c r="CL2195" s="2" t="s">
        <v>86</v>
      </c>
      <c r="CM2195" s="2"/>
    </row>
    <row r="2196" spans="1:91">
      <c r="A2196" s="2" t="s">
        <v>71</v>
      </c>
      <c r="B2196" s="2" t="s">
        <v>72</v>
      </c>
      <c r="C2196" s="2" t="s">
        <v>73</v>
      </c>
      <c r="D2196" s="2"/>
      <c r="E2196" s="2" t="str">
        <f>"FES1162570163"</f>
        <v>FES1162570163</v>
      </c>
      <c r="F2196" s="3">
        <v>42968</v>
      </c>
      <c r="G2196" s="2">
        <v>201802</v>
      </c>
      <c r="H2196" s="2" t="s">
        <v>74</v>
      </c>
      <c r="I2196" s="2" t="s">
        <v>75</v>
      </c>
      <c r="J2196" s="2" t="s">
        <v>76</v>
      </c>
      <c r="K2196" s="2" t="s">
        <v>77</v>
      </c>
      <c r="L2196" s="2" t="s">
        <v>268</v>
      </c>
      <c r="M2196" s="2" t="s">
        <v>269</v>
      </c>
      <c r="N2196" s="2" t="s">
        <v>351</v>
      </c>
      <c r="O2196" s="2" t="s">
        <v>100</v>
      </c>
      <c r="P2196" s="2" t="str">
        <f>"2170582728                    "</f>
        <v xml:space="preserve">2170582728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4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1</v>
      </c>
      <c r="BI2196" s="2">
        <v>1</v>
      </c>
      <c r="BJ2196" s="2">
        <v>0.2</v>
      </c>
      <c r="BK2196" s="2">
        <v>1</v>
      </c>
      <c r="BL2196" s="2">
        <v>41.44</v>
      </c>
      <c r="BM2196" s="2">
        <v>5.8</v>
      </c>
      <c r="BN2196" s="2">
        <v>47.24</v>
      </c>
      <c r="BO2196" s="2">
        <v>47.24</v>
      </c>
      <c r="BP2196" s="2"/>
      <c r="BQ2196" s="2" t="s">
        <v>108</v>
      </c>
      <c r="BR2196" s="2" t="s">
        <v>84</v>
      </c>
      <c r="BS2196" s="3">
        <v>42969</v>
      </c>
      <c r="BT2196" s="4">
        <v>0.41319444444444442</v>
      </c>
      <c r="BU2196" s="2" t="s">
        <v>1847</v>
      </c>
      <c r="BV2196" s="2" t="s">
        <v>95</v>
      </c>
      <c r="BW2196" s="2"/>
      <c r="BX2196" s="2"/>
      <c r="BY2196" s="2">
        <v>1200</v>
      </c>
      <c r="BZ2196" s="2" t="s">
        <v>27</v>
      </c>
      <c r="CA2196" s="2" t="s">
        <v>2724</v>
      </c>
      <c r="CB2196" s="2"/>
      <c r="CC2196" s="2" t="s">
        <v>269</v>
      </c>
      <c r="CD2196" s="2">
        <v>200</v>
      </c>
      <c r="CE2196" s="2" t="s">
        <v>104</v>
      </c>
      <c r="CF2196" s="5">
        <v>42970</v>
      </c>
      <c r="CG2196" s="2"/>
      <c r="CH2196" s="2"/>
      <c r="CI2196" s="2">
        <v>1</v>
      </c>
      <c r="CJ2196" s="2">
        <v>1</v>
      </c>
      <c r="CK2196" s="2">
        <v>21</v>
      </c>
      <c r="CL2196" s="2" t="s">
        <v>86</v>
      </c>
      <c r="CM2196" s="2"/>
    </row>
    <row r="2197" spans="1:91">
      <c r="A2197" s="2" t="s">
        <v>71</v>
      </c>
      <c r="B2197" s="2" t="s">
        <v>72</v>
      </c>
      <c r="C2197" s="2" t="s">
        <v>73</v>
      </c>
      <c r="D2197" s="2"/>
      <c r="E2197" s="2" t="str">
        <f>"FES1162570184"</f>
        <v>FES1162570184</v>
      </c>
      <c r="F2197" s="3">
        <v>42968</v>
      </c>
      <c r="G2197" s="2">
        <v>201802</v>
      </c>
      <c r="H2197" s="2" t="s">
        <v>74</v>
      </c>
      <c r="I2197" s="2" t="s">
        <v>75</v>
      </c>
      <c r="J2197" s="2" t="s">
        <v>76</v>
      </c>
      <c r="K2197" s="2" t="s">
        <v>77</v>
      </c>
      <c r="L2197" s="2" t="s">
        <v>268</v>
      </c>
      <c r="M2197" s="2" t="s">
        <v>269</v>
      </c>
      <c r="N2197" s="2" t="s">
        <v>982</v>
      </c>
      <c r="O2197" s="2" t="s">
        <v>100</v>
      </c>
      <c r="P2197" s="2" t="str">
        <f>"2170585934                    "</f>
        <v xml:space="preserve">2170585934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4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1</v>
      </c>
      <c r="BI2197" s="2">
        <v>1</v>
      </c>
      <c r="BJ2197" s="2">
        <v>0.2</v>
      </c>
      <c r="BK2197" s="2">
        <v>1</v>
      </c>
      <c r="BL2197" s="2">
        <v>41.44</v>
      </c>
      <c r="BM2197" s="2">
        <v>5.8</v>
      </c>
      <c r="BN2197" s="2">
        <v>47.24</v>
      </c>
      <c r="BO2197" s="2">
        <v>47.24</v>
      </c>
      <c r="BP2197" s="2"/>
      <c r="BQ2197" s="2" t="s">
        <v>209</v>
      </c>
      <c r="BR2197" s="2" t="s">
        <v>84</v>
      </c>
      <c r="BS2197" s="3">
        <v>42969</v>
      </c>
      <c r="BT2197" s="4">
        <v>0.40972222222222227</v>
      </c>
      <c r="BU2197" s="2" t="s">
        <v>2725</v>
      </c>
      <c r="BV2197" s="2" t="s">
        <v>95</v>
      </c>
      <c r="BW2197" s="2"/>
      <c r="BX2197" s="2"/>
      <c r="BY2197" s="2">
        <v>1200</v>
      </c>
      <c r="BZ2197" s="2" t="s">
        <v>27</v>
      </c>
      <c r="CA2197" s="2" t="s">
        <v>2724</v>
      </c>
      <c r="CB2197" s="2"/>
      <c r="CC2197" s="2" t="s">
        <v>269</v>
      </c>
      <c r="CD2197" s="2">
        <v>200</v>
      </c>
      <c r="CE2197" s="2" t="s">
        <v>104</v>
      </c>
      <c r="CF2197" s="5">
        <v>42970</v>
      </c>
      <c r="CG2197" s="2"/>
      <c r="CH2197" s="2"/>
      <c r="CI2197" s="2">
        <v>1</v>
      </c>
      <c r="CJ2197" s="2">
        <v>1</v>
      </c>
      <c r="CK2197" s="2">
        <v>21</v>
      </c>
      <c r="CL2197" s="2" t="s">
        <v>86</v>
      </c>
      <c r="CM2197" s="2"/>
    </row>
    <row r="2198" spans="1:91">
      <c r="A2198" s="2" t="s">
        <v>71</v>
      </c>
      <c r="B2198" s="2" t="s">
        <v>72</v>
      </c>
      <c r="C2198" s="2" t="s">
        <v>73</v>
      </c>
      <c r="D2198" s="2"/>
      <c r="E2198" s="2" t="str">
        <f>"FES1162570164"</f>
        <v>FES1162570164</v>
      </c>
      <c r="F2198" s="3">
        <v>42968</v>
      </c>
      <c r="G2198" s="2">
        <v>201802</v>
      </c>
      <c r="H2198" s="2" t="s">
        <v>74</v>
      </c>
      <c r="I2198" s="2" t="s">
        <v>75</v>
      </c>
      <c r="J2198" s="2" t="s">
        <v>76</v>
      </c>
      <c r="K2198" s="2" t="s">
        <v>77</v>
      </c>
      <c r="L2198" s="2" t="s">
        <v>244</v>
      </c>
      <c r="M2198" s="2" t="s">
        <v>245</v>
      </c>
      <c r="N2198" s="2" t="s">
        <v>882</v>
      </c>
      <c r="O2198" s="2" t="s">
        <v>100</v>
      </c>
      <c r="P2198" s="2" t="str">
        <f>"2170582856                    "</f>
        <v xml:space="preserve">2170582856    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3.13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1</v>
      </c>
      <c r="BI2198" s="2">
        <v>1</v>
      </c>
      <c r="BJ2198" s="2">
        <v>0.2</v>
      </c>
      <c r="BK2198" s="2">
        <v>1</v>
      </c>
      <c r="BL2198" s="2">
        <v>32.380000000000003</v>
      </c>
      <c r="BM2198" s="2">
        <v>4.53</v>
      </c>
      <c r="BN2198" s="2">
        <v>36.909999999999997</v>
      </c>
      <c r="BO2198" s="2">
        <v>36.909999999999997</v>
      </c>
      <c r="BP2198" s="2"/>
      <c r="BQ2198" s="2" t="s">
        <v>108</v>
      </c>
      <c r="BR2198" s="2" t="s">
        <v>84</v>
      </c>
      <c r="BS2198" s="3">
        <v>42969</v>
      </c>
      <c r="BT2198" s="4">
        <v>0.41666666666666669</v>
      </c>
      <c r="BU2198" s="2" t="s">
        <v>2329</v>
      </c>
      <c r="BV2198" s="2" t="s">
        <v>95</v>
      </c>
      <c r="BW2198" s="2"/>
      <c r="BX2198" s="2"/>
      <c r="BY2198" s="2">
        <v>1200</v>
      </c>
      <c r="BZ2198" s="2" t="s">
        <v>27</v>
      </c>
      <c r="CA2198" s="2" t="s">
        <v>426</v>
      </c>
      <c r="CB2198" s="2"/>
      <c r="CC2198" s="2" t="s">
        <v>245</v>
      </c>
      <c r="CD2198" s="2">
        <v>1459</v>
      </c>
      <c r="CE2198" s="2" t="s">
        <v>104</v>
      </c>
      <c r="CF2198" s="5">
        <v>42970</v>
      </c>
      <c r="CG2198" s="2"/>
      <c r="CH2198" s="2"/>
      <c r="CI2198" s="2">
        <v>1</v>
      </c>
      <c r="CJ2198" s="2">
        <v>1</v>
      </c>
      <c r="CK2198" s="2">
        <v>22</v>
      </c>
      <c r="CL2198" s="2" t="s">
        <v>86</v>
      </c>
      <c r="CM2198" s="2"/>
    </row>
    <row r="2199" spans="1:91">
      <c r="A2199" s="2" t="s">
        <v>71</v>
      </c>
      <c r="B2199" s="2" t="s">
        <v>72</v>
      </c>
      <c r="C2199" s="2" t="s">
        <v>73</v>
      </c>
      <c r="D2199" s="2"/>
      <c r="E2199" s="2" t="str">
        <f>"FES1162570210"</f>
        <v>FES1162570210</v>
      </c>
      <c r="F2199" s="3">
        <v>42968</v>
      </c>
      <c r="G2199" s="2">
        <v>201802</v>
      </c>
      <c r="H2199" s="2" t="s">
        <v>74</v>
      </c>
      <c r="I2199" s="2" t="s">
        <v>75</v>
      </c>
      <c r="J2199" s="2" t="s">
        <v>76</v>
      </c>
      <c r="K2199" s="2" t="s">
        <v>77</v>
      </c>
      <c r="L2199" s="2" t="s">
        <v>841</v>
      </c>
      <c r="M2199" s="2" t="s">
        <v>842</v>
      </c>
      <c r="N2199" s="2" t="s">
        <v>843</v>
      </c>
      <c r="O2199" s="2" t="s">
        <v>100</v>
      </c>
      <c r="P2199" s="2" t="str">
        <f>"2170585986                    "</f>
        <v xml:space="preserve">2170585986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7.75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1</v>
      </c>
      <c r="BI2199" s="2">
        <v>1</v>
      </c>
      <c r="BJ2199" s="2">
        <v>0.2</v>
      </c>
      <c r="BK2199" s="2">
        <v>1</v>
      </c>
      <c r="BL2199" s="2">
        <v>80.290000000000006</v>
      </c>
      <c r="BM2199" s="2">
        <v>11.24</v>
      </c>
      <c r="BN2199" s="2">
        <v>91.53</v>
      </c>
      <c r="BO2199" s="2">
        <v>91.53</v>
      </c>
      <c r="BP2199" s="2"/>
      <c r="BQ2199" s="2" t="s">
        <v>83</v>
      </c>
      <c r="BR2199" s="2" t="s">
        <v>84</v>
      </c>
      <c r="BS2199" s="3">
        <v>42969</v>
      </c>
      <c r="BT2199" s="4">
        <v>0.59861111111111109</v>
      </c>
      <c r="BU2199" s="2" t="s">
        <v>844</v>
      </c>
      <c r="BV2199" s="2" t="s">
        <v>95</v>
      </c>
      <c r="BW2199" s="2"/>
      <c r="BX2199" s="2"/>
      <c r="BY2199" s="2">
        <v>1200</v>
      </c>
      <c r="BZ2199" s="2" t="s">
        <v>27</v>
      </c>
      <c r="CA2199" s="2"/>
      <c r="CB2199" s="2"/>
      <c r="CC2199" s="2" t="s">
        <v>842</v>
      </c>
      <c r="CD2199" s="2">
        <v>3370</v>
      </c>
      <c r="CE2199" s="2" t="s">
        <v>104</v>
      </c>
      <c r="CF2199" s="5">
        <v>42971</v>
      </c>
      <c r="CG2199" s="2"/>
      <c r="CH2199" s="2"/>
      <c r="CI2199" s="2">
        <v>3</v>
      </c>
      <c r="CJ2199" s="2">
        <v>1</v>
      </c>
      <c r="CK2199" s="2">
        <v>23</v>
      </c>
      <c r="CL2199" s="2" t="s">
        <v>86</v>
      </c>
      <c r="CM2199" s="2"/>
    </row>
    <row r="2200" spans="1:91">
      <c r="A2200" s="2" t="s">
        <v>71</v>
      </c>
      <c r="B2200" s="2" t="s">
        <v>72</v>
      </c>
      <c r="C2200" s="2" t="s">
        <v>73</v>
      </c>
      <c r="D2200" s="2"/>
      <c r="E2200" s="2" t="str">
        <f>"FES1162570204"</f>
        <v>FES1162570204</v>
      </c>
      <c r="F2200" s="3">
        <v>42968</v>
      </c>
      <c r="G2200" s="2">
        <v>201802</v>
      </c>
      <c r="H2200" s="2" t="s">
        <v>74</v>
      </c>
      <c r="I2200" s="2" t="s">
        <v>75</v>
      </c>
      <c r="J2200" s="2" t="s">
        <v>76</v>
      </c>
      <c r="K2200" s="2" t="s">
        <v>77</v>
      </c>
      <c r="L2200" s="2" t="s">
        <v>362</v>
      </c>
      <c r="M2200" s="2" t="s">
        <v>363</v>
      </c>
      <c r="N2200" s="2" t="s">
        <v>564</v>
      </c>
      <c r="O2200" s="2" t="s">
        <v>100</v>
      </c>
      <c r="P2200" s="2" t="str">
        <f>"2170585981                    "</f>
        <v xml:space="preserve">2170585981                   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4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1</v>
      </c>
      <c r="BJ2200" s="2">
        <v>0.2</v>
      </c>
      <c r="BK2200" s="2">
        <v>1</v>
      </c>
      <c r="BL2200" s="2">
        <v>41.44</v>
      </c>
      <c r="BM2200" s="2">
        <v>5.8</v>
      </c>
      <c r="BN2200" s="2">
        <v>47.24</v>
      </c>
      <c r="BO2200" s="2">
        <v>47.24</v>
      </c>
      <c r="BP2200" s="2"/>
      <c r="BQ2200" s="2" t="s">
        <v>365</v>
      </c>
      <c r="BR2200" s="2" t="s">
        <v>84</v>
      </c>
      <c r="BS2200" s="3">
        <v>42969</v>
      </c>
      <c r="BT2200" s="4">
        <v>0.4694444444444445</v>
      </c>
      <c r="BU2200" s="2" t="s">
        <v>2726</v>
      </c>
      <c r="BV2200" s="2" t="s">
        <v>86</v>
      </c>
      <c r="BW2200" s="2" t="s">
        <v>336</v>
      </c>
      <c r="BX2200" s="2" t="s">
        <v>549</v>
      </c>
      <c r="BY2200" s="2">
        <v>1200</v>
      </c>
      <c r="BZ2200" s="2" t="s">
        <v>27</v>
      </c>
      <c r="CA2200" s="2" t="s">
        <v>1380</v>
      </c>
      <c r="CB2200" s="2"/>
      <c r="CC2200" s="2" t="s">
        <v>363</v>
      </c>
      <c r="CD2200" s="2">
        <v>3201</v>
      </c>
      <c r="CE2200" s="2" t="s">
        <v>104</v>
      </c>
      <c r="CF2200" s="5">
        <v>42970</v>
      </c>
      <c r="CG2200" s="2"/>
      <c r="CH2200" s="2"/>
      <c r="CI2200" s="2">
        <v>1</v>
      </c>
      <c r="CJ2200" s="2">
        <v>1</v>
      </c>
      <c r="CK2200" s="2">
        <v>21</v>
      </c>
      <c r="CL2200" s="2" t="s">
        <v>86</v>
      </c>
      <c r="CM2200" s="2"/>
    </row>
    <row r="2201" spans="1:91">
      <c r="A2201" s="2" t="s">
        <v>71</v>
      </c>
      <c r="B2201" s="2" t="s">
        <v>72</v>
      </c>
      <c r="C2201" s="2" t="s">
        <v>73</v>
      </c>
      <c r="D2201" s="2"/>
      <c r="E2201" s="2" t="str">
        <f>"FES1162570169"</f>
        <v>FES1162570169</v>
      </c>
      <c r="F2201" s="3">
        <v>42968</v>
      </c>
      <c r="G2201" s="2">
        <v>201802</v>
      </c>
      <c r="H2201" s="2" t="s">
        <v>74</v>
      </c>
      <c r="I2201" s="2" t="s">
        <v>75</v>
      </c>
      <c r="J2201" s="2" t="s">
        <v>76</v>
      </c>
      <c r="K2201" s="2" t="s">
        <v>77</v>
      </c>
      <c r="L2201" s="2" t="s">
        <v>74</v>
      </c>
      <c r="M2201" s="2" t="s">
        <v>75</v>
      </c>
      <c r="N2201" s="2" t="s">
        <v>2220</v>
      </c>
      <c r="O2201" s="2" t="s">
        <v>100</v>
      </c>
      <c r="P2201" s="2" t="str">
        <f>"2170583522                    "</f>
        <v xml:space="preserve">2170583522 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3.13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1</v>
      </c>
      <c r="BJ2201" s="2">
        <v>0.2</v>
      </c>
      <c r="BK2201" s="2">
        <v>1</v>
      </c>
      <c r="BL2201" s="2">
        <v>32.380000000000003</v>
      </c>
      <c r="BM2201" s="2">
        <v>4.53</v>
      </c>
      <c r="BN2201" s="2">
        <v>36.909999999999997</v>
      </c>
      <c r="BO2201" s="2">
        <v>36.909999999999997</v>
      </c>
      <c r="BP2201" s="2"/>
      <c r="BQ2201" s="2" t="s">
        <v>108</v>
      </c>
      <c r="BR2201" s="2" t="s">
        <v>84</v>
      </c>
      <c r="BS2201" s="3">
        <v>42969</v>
      </c>
      <c r="BT2201" s="4">
        <v>0.375</v>
      </c>
      <c r="BU2201" s="2" t="s">
        <v>2727</v>
      </c>
      <c r="BV2201" s="2" t="s">
        <v>95</v>
      </c>
      <c r="BW2201" s="2"/>
      <c r="BX2201" s="2"/>
      <c r="BY2201" s="2">
        <v>1200</v>
      </c>
      <c r="BZ2201" s="2" t="s">
        <v>27</v>
      </c>
      <c r="CA2201" s="2" t="s">
        <v>2693</v>
      </c>
      <c r="CB2201" s="2"/>
      <c r="CC2201" s="2" t="s">
        <v>75</v>
      </c>
      <c r="CD2201" s="2">
        <v>1682</v>
      </c>
      <c r="CE2201" s="2" t="s">
        <v>104</v>
      </c>
      <c r="CF2201" s="5">
        <v>42970</v>
      </c>
      <c r="CG2201" s="2"/>
      <c r="CH2201" s="2"/>
      <c r="CI2201" s="2">
        <v>1</v>
      </c>
      <c r="CJ2201" s="2">
        <v>1</v>
      </c>
      <c r="CK2201" s="2">
        <v>22</v>
      </c>
      <c r="CL2201" s="2" t="s">
        <v>86</v>
      </c>
      <c r="CM2201" s="2"/>
    </row>
    <row r="2202" spans="1:91">
      <c r="A2202" s="2" t="s">
        <v>71</v>
      </c>
      <c r="B2202" s="2" t="s">
        <v>72</v>
      </c>
      <c r="C2202" s="2" t="s">
        <v>73</v>
      </c>
      <c r="D2202" s="2"/>
      <c r="E2202" s="2" t="str">
        <f>"FES1162570157"</f>
        <v>FES1162570157</v>
      </c>
      <c r="F2202" s="3">
        <v>42968</v>
      </c>
      <c r="G2202" s="2">
        <v>201802</v>
      </c>
      <c r="H2202" s="2" t="s">
        <v>74</v>
      </c>
      <c r="I2202" s="2" t="s">
        <v>75</v>
      </c>
      <c r="J2202" s="2" t="s">
        <v>76</v>
      </c>
      <c r="K2202" s="2" t="s">
        <v>77</v>
      </c>
      <c r="L2202" s="2" t="s">
        <v>105</v>
      </c>
      <c r="M2202" s="2" t="s">
        <v>106</v>
      </c>
      <c r="N2202" s="2" t="s">
        <v>2078</v>
      </c>
      <c r="O2202" s="2" t="s">
        <v>100</v>
      </c>
      <c r="P2202" s="2" t="str">
        <f>"2170585956                    "</f>
        <v xml:space="preserve">2170585956     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17.010000000000002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7.2</v>
      </c>
      <c r="BJ2202" s="2">
        <v>8.5</v>
      </c>
      <c r="BK2202" s="2">
        <v>8.5</v>
      </c>
      <c r="BL2202" s="2">
        <v>176.13</v>
      </c>
      <c r="BM2202" s="2">
        <v>24.66</v>
      </c>
      <c r="BN2202" s="2">
        <v>200.79</v>
      </c>
      <c r="BO2202" s="2">
        <v>200.79</v>
      </c>
      <c r="BP2202" s="2"/>
      <c r="BQ2202" s="2" t="s">
        <v>288</v>
      </c>
      <c r="BR2202" s="2" t="s">
        <v>84</v>
      </c>
      <c r="BS2202" s="3">
        <v>42969</v>
      </c>
      <c r="BT2202" s="4">
        <v>0.3298611111111111</v>
      </c>
      <c r="BU2202" s="2" t="s">
        <v>2728</v>
      </c>
      <c r="BV2202" s="2" t="s">
        <v>95</v>
      </c>
      <c r="BW2202" s="2"/>
      <c r="BX2202" s="2"/>
      <c r="BY2202" s="2">
        <v>42681.35</v>
      </c>
      <c r="BZ2202" s="2" t="s">
        <v>27</v>
      </c>
      <c r="CA2202" s="2"/>
      <c r="CB2202" s="2"/>
      <c r="CC2202" s="2" t="s">
        <v>106</v>
      </c>
      <c r="CD2202" s="2">
        <v>7530</v>
      </c>
      <c r="CE2202" s="2" t="s">
        <v>89</v>
      </c>
      <c r="CF2202" s="5">
        <v>42970</v>
      </c>
      <c r="CG2202" s="2"/>
      <c r="CH2202" s="2"/>
      <c r="CI2202" s="2">
        <v>1</v>
      </c>
      <c r="CJ2202" s="2">
        <v>1</v>
      </c>
      <c r="CK2202" s="2">
        <v>21</v>
      </c>
      <c r="CL2202" s="2" t="s">
        <v>86</v>
      </c>
      <c r="CM2202" s="2"/>
    </row>
    <row r="2203" spans="1:91">
      <c r="A2203" s="2" t="s">
        <v>71</v>
      </c>
      <c r="B2203" s="2" t="s">
        <v>72</v>
      </c>
      <c r="C2203" s="2" t="s">
        <v>73</v>
      </c>
      <c r="D2203" s="2"/>
      <c r="E2203" s="2" t="str">
        <f>"FES1162570191"</f>
        <v>FES1162570191</v>
      </c>
      <c r="F2203" s="3">
        <v>42968</v>
      </c>
      <c r="G2203" s="2">
        <v>201802</v>
      </c>
      <c r="H2203" s="2" t="s">
        <v>74</v>
      </c>
      <c r="I2203" s="2" t="s">
        <v>75</v>
      </c>
      <c r="J2203" s="2" t="s">
        <v>76</v>
      </c>
      <c r="K2203" s="2" t="s">
        <v>77</v>
      </c>
      <c r="L2203" s="2" t="s">
        <v>105</v>
      </c>
      <c r="M2203" s="2" t="s">
        <v>106</v>
      </c>
      <c r="N2203" s="2" t="s">
        <v>2729</v>
      </c>
      <c r="O2203" s="2" t="s">
        <v>100</v>
      </c>
      <c r="P2203" s="2" t="str">
        <f>"2170585948                    "</f>
        <v xml:space="preserve">2170585948 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17.010000000000002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2</v>
      </c>
      <c r="BI2203" s="2">
        <v>4.4000000000000004</v>
      </c>
      <c r="BJ2203" s="2">
        <v>8.5</v>
      </c>
      <c r="BK2203" s="2">
        <v>8.5</v>
      </c>
      <c r="BL2203" s="2">
        <v>176.13</v>
      </c>
      <c r="BM2203" s="2">
        <v>24.66</v>
      </c>
      <c r="BN2203" s="2">
        <v>200.79</v>
      </c>
      <c r="BO2203" s="2">
        <v>200.79</v>
      </c>
      <c r="BP2203" s="2"/>
      <c r="BQ2203" s="2" t="s">
        <v>288</v>
      </c>
      <c r="BR2203" s="2" t="s">
        <v>84</v>
      </c>
      <c r="BS2203" s="3">
        <v>42969</v>
      </c>
      <c r="BT2203" s="4">
        <v>0.54861111111111105</v>
      </c>
      <c r="BU2203" s="2" t="s">
        <v>1842</v>
      </c>
      <c r="BV2203" s="2" t="s">
        <v>86</v>
      </c>
      <c r="BW2203" s="2" t="s">
        <v>110</v>
      </c>
      <c r="BX2203" s="2" t="s">
        <v>111</v>
      </c>
      <c r="BY2203" s="2">
        <v>42748.46</v>
      </c>
      <c r="BZ2203" s="2" t="s">
        <v>27</v>
      </c>
      <c r="CA2203" s="2" t="s">
        <v>1644</v>
      </c>
      <c r="CB2203" s="2"/>
      <c r="CC2203" s="2" t="s">
        <v>106</v>
      </c>
      <c r="CD2203" s="2">
        <v>7580</v>
      </c>
      <c r="CE2203" s="2" t="s">
        <v>89</v>
      </c>
      <c r="CF2203" s="5">
        <v>42970</v>
      </c>
      <c r="CG2203" s="2"/>
      <c r="CH2203" s="2"/>
      <c r="CI2203" s="2">
        <v>1</v>
      </c>
      <c r="CJ2203" s="2">
        <v>1</v>
      </c>
      <c r="CK2203" s="2">
        <v>21</v>
      </c>
      <c r="CL2203" s="2" t="s">
        <v>86</v>
      </c>
      <c r="CM2203" s="2"/>
    </row>
    <row r="2204" spans="1:91">
      <c r="A2204" s="2" t="s">
        <v>71</v>
      </c>
      <c r="B2204" s="2" t="s">
        <v>72</v>
      </c>
      <c r="C2204" s="2" t="s">
        <v>73</v>
      </c>
      <c r="D2204" s="2"/>
      <c r="E2204" s="2" t="str">
        <f>"FES1162570258"</f>
        <v>FES1162570258</v>
      </c>
      <c r="F2204" s="3">
        <v>42968</v>
      </c>
      <c r="G2204" s="2">
        <v>201802</v>
      </c>
      <c r="H2204" s="2" t="s">
        <v>74</v>
      </c>
      <c r="I2204" s="2" t="s">
        <v>75</v>
      </c>
      <c r="J2204" s="2" t="s">
        <v>76</v>
      </c>
      <c r="K2204" s="2" t="s">
        <v>77</v>
      </c>
      <c r="L2204" s="2" t="s">
        <v>105</v>
      </c>
      <c r="M2204" s="2" t="s">
        <v>106</v>
      </c>
      <c r="N2204" s="2" t="s">
        <v>1270</v>
      </c>
      <c r="O2204" s="2" t="s">
        <v>100</v>
      </c>
      <c r="P2204" s="2" t="str">
        <f>"2170584806                    "</f>
        <v xml:space="preserve">2170584806 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15.01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7.3</v>
      </c>
      <c r="BJ2204" s="2">
        <v>7.2</v>
      </c>
      <c r="BK2204" s="2">
        <v>7.5</v>
      </c>
      <c r="BL2204" s="2">
        <v>155.41</v>
      </c>
      <c r="BM2204" s="2">
        <v>21.76</v>
      </c>
      <c r="BN2204" s="2">
        <v>177.17</v>
      </c>
      <c r="BO2204" s="2">
        <v>177.17</v>
      </c>
      <c r="BP2204" s="2"/>
      <c r="BQ2204" s="2" t="s">
        <v>288</v>
      </c>
      <c r="BR2204" s="2" t="s">
        <v>84</v>
      </c>
      <c r="BS2204" s="3">
        <v>42969</v>
      </c>
      <c r="BT2204" s="4">
        <v>0.5444444444444444</v>
      </c>
      <c r="BU2204" s="2" t="s">
        <v>2730</v>
      </c>
      <c r="BV2204" s="2" t="s">
        <v>86</v>
      </c>
      <c r="BW2204" s="2" t="s">
        <v>115</v>
      </c>
      <c r="BX2204" s="2" t="s">
        <v>116</v>
      </c>
      <c r="BY2204" s="2">
        <v>35947.620000000003</v>
      </c>
      <c r="BZ2204" s="2" t="s">
        <v>27</v>
      </c>
      <c r="CA2204" s="2" t="s">
        <v>648</v>
      </c>
      <c r="CB2204" s="2"/>
      <c r="CC2204" s="2" t="s">
        <v>106</v>
      </c>
      <c r="CD2204" s="2">
        <v>7800</v>
      </c>
      <c r="CE2204" s="2" t="s">
        <v>89</v>
      </c>
      <c r="CF2204" s="5">
        <v>42970</v>
      </c>
      <c r="CG2204" s="2"/>
      <c r="CH2204" s="2"/>
      <c r="CI2204" s="2">
        <v>1</v>
      </c>
      <c r="CJ2204" s="2">
        <v>1</v>
      </c>
      <c r="CK2204" s="2">
        <v>21</v>
      </c>
      <c r="CL2204" s="2" t="s">
        <v>86</v>
      </c>
      <c r="CM2204" s="2"/>
    </row>
    <row r="2205" spans="1:91">
      <c r="A2205" s="2" t="s">
        <v>71</v>
      </c>
      <c r="B2205" s="2" t="s">
        <v>72</v>
      </c>
      <c r="C2205" s="2" t="s">
        <v>73</v>
      </c>
      <c r="D2205" s="2"/>
      <c r="E2205" s="2" t="str">
        <f>"FES1162570192"</f>
        <v>FES1162570192</v>
      </c>
      <c r="F2205" s="3">
        <v>42968</v>
      </c>
      <c r="G2205" s="2">
        <v>201802</v>
      </c>
      <c r="H2205" s="2" t="s">
        <v>74</v>
      </c>
      <c r="I2205" s="2" t="s">
        <v>75</v>
      </c>
      <c r="J2205" s="2" t="s">
        <v>76</v>
      </c>
      <c r="K2205" s="2" t="s">
        <v>77</v>
      </c>
      <c r="L2205" s="2" t="s">
        <v>311</v>
      </c>
      <c r="M2205" s="2" t="s">
        <v>312</v>
      </c>
      <c r="N2205" s="2" t="s">
        <v>1759</v>
      </c>
      <c r="O2205" s="2" t="s">
        <v>100</v>
      </c>
      <c r="P2205" s="2" t="str">
        <f>"                              "</f>
        <v xml:space="preserve">            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3.13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1</v>
      </c>
      <c r="BJ2205" s="2">
        <v>0.2</v>
      </c>
      <c r="BK2205" s="2">
        <v>1</v>
      </c>
      <c r="BL2205" s="2">
        <v>32.380000000000003</v>
      </c>
      <c r="BM2205" s="2">
        <v>4.53</v>
      </c>
      <c r="BN2205" s="2">
        <v>36.909999999999997</v>
      </c>
      <c r="BO2205" s="2">
        <v>36.909999999999997</v>
      </c>
      <c r="BP2205" s="2">
        <v>2170585950</v>
      </c>
      <c r="BQ2205" s="2" t="s">
        <v>83</v>
      </c>
      <c r="BR2205" s="2" t="s">
        <v>84</v>
      </c>
      <c r="BS2205" s="3">
        <v>42969</v>
      </c>
      <c r="BT2205" s="4">
        <v>0.4375</v>
      </c>
      <c r="BU2205" s="2" t="s">
        <v>2731</v>
      </c>
      <c r="BV2205" s="2" t="s">
        <v>95</v>
      </c>
      <c r="BW2205" s="2"/>
      <c r="BX2205" s="2"/>
      <c r="BY2205" s="2">
        <v>1200</v>
      </c>
      <c r="BZ2205" s="2" t="s">
        <v>27</v>
      </c>
      <c r="CA2205" s="2"/>
      <c r="CB2205" s="2"/>
      <c r="CC2205" s="2" t="s">
        <v>312</v>
      </c>
      <c r="CD2205" s="2">
        <v>1559</v>
      </c>
      <c r="CE2205" s="2" t="s">
        <v>104</v>
      </c>
      <c r="CF2205" s="5">
        <v>42970</v>
      </c>
      <c r="CG2205" s="2"/>
      <c r="CH2205" s="2"/>
      <c r="CI2205" s="2">
        <v>1</v>
      </c>
      <c r="CJ2205" s="2">
        <v>1</v>
      </c>
      <c r="CK2205" s="2">
        <v>22</v>
      </c>
      <c r="CL2205" s="2" t="s">
        <v>86</v>
      </c>
      <c r="CM2205" s="2"/>
    </row>
    <row r="2206" spans="1:91">
      <c r="A2206" s="2" t="s">
        <v>71</v>
      </c>
      <c r="B2206" s="2" t="s">
        <v>72</v>
      </c>
      <c r="C2206" s="2" t="s">
        <v>73</v>
      </c>
      <c r="D2206" s="2"/>
      <c r="E2206" s="2" t="str">
        <f>"FES1162570206"</f>
        <v>FES1162570206</v>
      </c>
      <c r="F2206" s="3">
        <v>42968</v>
      </c>
      <c r="G2206" s="2">
        <v>201802</v>
      </c>
      <c r="H2206" s="2" t="s">
        <v>74</v>
      </c>
      <c r="I2206" s="2" t="s">
        <v>75</v>
      </c>
      <c r="J2206" s="2" t="s">
        <v>76</v>
      </c>
      <c r="K2206" s="2" t="s">
        <v>77</v>
      </c>
      <c r="L2206" s="2" t="s">
        <v>539</v>
      </c>
      <c r="M2206" s="2" t="s">
        <v>540</v>
      </c>
      <c r="N2206" s="2" t="s">
        <v>2732</v>
      </c>
      <c r="O2206" s="2" t="s">
        <v>100</v>
      </c>
      <c r="P2206" s="2" t="str">
        <f>"2170585980                    "</f>
        <v xml:space="preserve">2170585980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3.13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1</v>
      </c>
      <c r="BJ2206" s="2">
        <v>0.2</v>
      </c>
      <c r="BK2206" s="2">
        <v>1</v>
      </c>
      <c r="BL2206" s="2">
        <v>32.380000000000003</v>
      </c>
      <c r="BM2206" s="2">
        <v>4.53</v>
      </c>
      <c r="BN2206" s="2">
        <v>36.909999999999997</v>
      </c>
      <c r="BO2206" s="2">
        <v>36.909999999999997</v>
      </c>
      <c r="BP2206" s="2"/>
      <c r="BQ2206" s="2" t="s">
        <v>288</v>
      </c>
      <c r="BR2206" s="2" t="s">
        <v>84</v>
      </c>
      <c r="BS2206" s="3">
        <v>42969</v>
      </c>
      <c r="BT2206" s="4">
        <v>0.34375</v>
      </c>
      <c r="BU2206" s="2" t="s">
        <v>2733</v>
      </c>
      <c r="BV2206" s="2" t="s">
        <v>95</v>
      </c>
      <c r="BW2206" s="2"/>
      <c r="BX2206" s="2"/>
      <c r="BY2206" s="2">
        <v>1200</v>
      </c>
      <c r="BZ2206" s="2" t="s">
        <v>27</v>
      </c>
      <c r="CA2206" s="2"/>
      <c r="CB2206" s="2"/>
      <c r="CC2206" s="2" t="s">
        <v>540</v>
      </c>
      <c r="CD2206" s="2">
        <v>2194</v>
      </c>
      <c r="CE2206" s="2" t="s">
        <v>104</v>
      </c>
      <c r="CF2206" s="5">
        <v>42970</v>
      </c>
      <c r="CG2206" s="2"/>
      <c r="CH2206" s="2"/>
      <c r="CI2206" s="2">
        <v>1</v>
      </c>
      <c r="CJ2206" s="2">
        <v>1</v>
      </c>
      <c r="CK2206" s="2">
        <v>22</v>
      </c>
      <c r="CL2206" s="2" t="s">
        <v>86</v>
      </c>
      <c r="CM2206" s="2"/>
    </row>
    <row r="2207" spans="1:91">
      <c r="A2207" s="2" t="s">
        <v>71</v>
      </c>
      <c r="B2207" s="2" t="s">
        <v>72</v>
      </c>
      <c r="C2207" s="2" t="s">
        <v>73</v>
      </c>
      <c r="D2207" s="2"/>
      <c r="E2207" s="2" t="str">
        <f>"FES1162570207"</f>
        <v>FES1162570207</v>
      </c>
      <c r="F2207" s="3">
        <v>42968</v>
      </c>
      <c r="G2207" s="2">
        <v>201802</v>
      </c>
      <c r="H2207" s="2" t="s">
        <v>74</v>
      </c>
      <c r="I2207" s="2" t="s">
        <v>75</v>
      </c>
      <c r="J2207" s="2" t="s">
        <v>76</v>
      </c>
      <c r="K2207" s="2" t="s">
        <v>77</v>
      </c>
      <c r="L2207" s="2" t="s">
        <v>74</v>
      </c>
      <c r="M2207" s="2" t="s">
        <v>75</v>
      </c>
      <c r="N2207" s="2" t="s">
        <v>407</v>
      </c>
      <c r="O2207" s="2" t="s">
        <v>100</v>
      </c>
      <c r="P2207" s="2" t="str">
        <f>"2170585982                    "</f>
        <v xml:space="preserve">2170585982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3.13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1</v>
      </c>
      <c r="BJ2207" s="2">
        <v>0.2</v>
      </c>
      <c r="BK2207" s="2">
        <v>1</v>
      </c>
      <c r="BL2207" s="2">
        <v>32.380000000000003</v>
      </c>
      <c r="BM2207" s="2">
        <v>4.53</v>
      </c>
      <c r="BN2207" s="2">
        <v>36.909999999999997</v>
      </c>
      <c r="BO2207" s="2">
        <v>36.909999999999997</v>
      </c>
      <c r="BP2207" s="2"/>
      <c r="BQ2207" s="2" t="s">
        <v>108</v>
      </c>
      <c r="BR2207" s="2" t="s">
        <v>84</v>
      </c>
      <c r="BS2207" s="3">
        <v>42969</v>
      </c>
      <c r="BT2207" s="4">
        <v>0.33333333333333331</v>
      </c>
      <c r="BU2207" s="2" t="s">
        <v>935</v>
      </c>
      <c r="BV2207" s="2" t="s">
        <v>95</v>
      </c>
      <c r="BW2207" s="2"/>
      <c r="BX2207" s="2"/>
      <c r="BY2207" s="2">
        <v>1200</v>
      </c>
      <c r="BZ2207" s="2" t="s">
        <v>27</v>
      </c>
      <c r="CA2207" s="2" t="s">
        <v>267</v>
      </c>
      <c r="CB2207" s="2"/>
      <c r="CC2207" s="2" t="s">
        <v>75</v>
      </c>
      <c r="CD2207" s="2">
        <v>1645</v>
      </c>
      <c r="CE2207" s="2" t="s">
        <v>104</v>
      </c>
      <c r="CF2207" s="5">
        <v>42970</v>
      </c>
      <c r="CG2207" s="2"/>
      <c r="CH2207" s="2"/>
      <c r="CI2207" s="2">
        <v>1</v>
      </c>
      <c r="CJ2207" s="2">
        <v>1</v>
      </c>
      <c r="CK2207" s="2">
        <v>22</v>
      </c>
      <c r="CL2207" s="2" t="s">
        <v>86</v>
      </c>
      <c r="CM2207" s="2"/>
    </row>
    <row r="2208" spans="1:91">
      <c r="A2208" s="2" t="s">
        <v>71</v>
      </c>
      <c r="B2208" s="2" t="s">
        <v>72</v>
      </c>
      <c r="C2208" s="2" t="s">
        <v>73</v>
      </c>
      <c r="D2208" s="2"/>
      <c r="E2208" s="2" t="str">
        <f>"FES1162570334"</f>
        <v>FES1162570334</v>
      </c>
      <c r="F2208" s="3">
        <v>42968</v>
      </c>
      <c r="G2208" s="2">
        <v>201802</v>
      </c>
      <c r="H2208" s="2" t="s">
        <v>74</v>
      </c>
      <c r="I2208" s="2" t="s">
        <v>75</v>
      </c>
      <c r="J2208" s="2" t="s">
        <v>76</v>
      </c>
      <c r="K2208" s="2" t="s">
        <v>77</v>
      </c>
      <c r="L2208" s="2" t="s">
        <v>128</v>
      </c>
      <c r="M2208" s="2" t="s">
        <v>129</v>
      </c>
      <c r="N2208" s="2" t="s">
        <v>130</v>
      </c>
      <c r="O2208" s="2" t="s">
        <v>100</v>
      </c>
      <c r="P2208" s="2" t="str">
        <f>"2170570334                    "</f>
        <v xml:space="preserve">2170570334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3.13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3.2</v>
      </c>
      <c r="BJ2208" s="2">
        <v>1.7</v>
      </c>
      <c r="BK2208" s="2">
        <v>4</v>
      </c>
      <c r="BL2208" s="2">
        <v>32.380000000000003</v>
      </c>
      <c r="BM2208" s="2">
        <v>4.53</v>
      </c>
      <c r="BN2208" s="2">
        <v>36.909999999999997</v>
      </c>
      <c r="BO2208" s="2">
        <v>36.909999999999997</v>
      </c>
      <c r="BP2208" s="2"/>
      <c r="BQ2208" s="2" t="s">
        <v>83</v>
      </c>
      <c r="BR2208" s="2" t="s">
        <v>84</v>
      </c>
      <c r="BS2208" s="3">
        <v>42969</v>
      </c>
      <c r="BT2208" s="4">
        <v>0.38958333333333334</v>
      </c>
      <c r="BU2208" s="2" t="s">
        <v>2734</v>
      </c>
      <c r="BV2208" s="2" t="s">
        <v>95</v>
      </c>
      <c r="BW2208" s="2"/>
      <c r="BX2208" s="2"/>
      <c r="BY2208" s="2">
        <v>8255.52</v>
      </c>
      <c r="BZ2208" s="2" t="s">
        <v>27</v>
      </c>
      <c r="CA2208" s="2" t="s">
        <v>414</v>
      </c>
      <c r="CB2208" s="2"/>
      <c r="CC2208" s="2" t="s">
        <v>129</v>
      </c>
      <c r="CD2208" s="2">
        <v>1724</v>
      </c>
      <c r="CE2208" s="2" t="s">
        <v>89</v>
      </c>
      <c r="CF2208" s="5">
        <v>42970</v>
      </c>
      <c r="CG2208" s="2"/>
      <c r="CH2208" s="2"/>
      <c r="CI2208" s="2">
        <v>1</v>
      </c>
      <c r="CJ2208" s="2">
        <v>1</v>
      </c>
      <c r="CK2208" s="2">
        <v>22</v>
      </c>
      <c r="CL2208" s="2" t="s">
        <v>86</v>
      </c>
      <c r="CM2208" s="2"/>
    </row>
    <row r="2209" spans="1:91">
      <c r="A2209" s="2" t="s">
        <v>71</v>
      </c>
      <c r="B2209" s="2" t="s">
        <v>72</v>
      </c>
      <c r="C2209" s="2" t="s">
        <v>73</v>
      </c>
      <c r="D2209" s="2"/>
      <c r="E2209" s="2" t="str">
        <f>"FES1162570167"</f>
        <v>FES1162570167</v>
      </c>
      <c r="F2209" s="3">
        <v>42968</v>
      </c>
      <c r="G2209" s="2">
        <v>201802</v>
      </c>
      <c r="H2209" s="2" t="s">
        <v>74</v>
      </c>
      <c r="I2209" s="2" t="s">
        <v>75</v>
      </c>
      <c r="J2209" s="2" t="s">
        <v>76</v>
      </c>
      <c r="K2209" s="2" t="s">
        <v>77</v>
      </c>
      <c r="L2209" s="2" t="s">
        <v>74</v>
      </c>
      <c r="M2209" s="2" t="s">
        <v>75</v>
      </c>
      <c r="N2209" s="2" t="s">
        <v>2324</v>
      </c>
      <c r="O2209" s="2" t="s">
        <v>100</v>
      </c>
      <c r="P2209" s="2" t="str">
        <f>"2170583497                    "</f>
        <v xml:space="preserve">2170583497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3.13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2.2000000000000002</v>
      </c>
      <c r="BJ2209" s="2">
        <v>0.9</v>
      </c>
      <c r="BK2209" s="2">
        <v>3</v>
      </c>
      <c r="BL2209" s="2">
        <v>32.380000000000003</v>
      </c>
      <c r="BM2209" s="2">
        <v>4.53</v>
      </c>
      <c r="BN2209" s="2">
        <v>36.909999999999997</v>
      </c>
      <c r="BO2209" s="2">
        <v>36.909999999999997</v>
      </c>
      <c r="BP2209" s="2"/>
      <c r="BQ2209" s="2" t="s">
        <v>288</v>
      </c>
      <c r="BR2209" s="2" t="s">
        <v>84</v>
      </c>
      <c r="BS2209" s="3">
        <v>42969</v>
      </c>
      <c r="BT2209" s="4">
        <v>0.32361111111111113</v>
      </c>
      <c r="BU2209" s="2" t="s">
        <v>1752</v>
      </c>
      <c r="BV2209" s="2" t="s">
        <v>95</v>
      </c>
      <c r="BW2209" s="2"/>
      <c r="BX2209" s="2"/>
      <c r="BY2209" s="2">
        <v>4561.78</v>
      </c>
      <c r="BZ2209" s="2" t="s">
        <v>27</v>
      </c>
      <c r="CA2209" s="2" t="s">
        <v>331</v>
      </c>
      <c r="CB2209" s="2"/>
      <c r="CC2209" s="2" t="s">
        <v>75</v>
      </c>
      <c r="CD2209" s="2">
        <v>1600</v>
      </c>
      <c r="CE2209" s="2" t="s">
        <v>89</v>
      </c>
      <c r="CF2209" s="5">
        <v>42970</v>
      </c>
      <c r="CG2209" s="2"/>
      <c r="CH2209" s="2"/>
      <c r="CI2209" s="2">
        <v>1</v>
      </c>
      <c r="CJ2209" s="2">
        <v>1</v>
      </c>
      <c r="CK2209" s="2">
        <v>22</v>
      </c>
      <c r="CL2209" s="2" t="s">
        <v>86</v>
      </c>
      <c r="CM2209" s="2"/>
    </row>
    <row r="2210" spans="1:91">
      <c r="A2210" s="2" t="s">
        <v>71</v>
      </c>
      <c r="B2210" s="2" t="s">
        <v>72</v>
      </c>
      <c r="C2210" s="2" t="s">
        <v>73</v>
      </c>
      <c r="D2210" s="2"/>
      <c r="E2210" s="2" t="str">
        <f>"FES1162570213"</f>
        <v>FES1162570213</v>
      </c>
      <c r="F2210" s="3">
        <v>42968</v>
      </c>
      <c r="G2210" s="2">
        <v>201802</v>
      </c>
      <c r="H2210" s="2" t="s">
        <v>74</v>
      </c>
      <c r="I2210" s="2" t="s">
        <v>75</v>
      </c>
      <c r="J2210" s="2" t="s">
        <v>76</v>
      </c>
      <c r="K2210" s="2" t="s">
        <v>77</v>
      </c>
      <c r="L2210" s="2" t="s">
        <v>144</v>
      </c>
      <c r="M2210" s="2" t="s">
        <v>145</v>
      </c>
      <c r="N2210" s="2" t="s">
        <v>2735</v>
      </c>
      <c r="O2210" s="2" t="s">
        <v>100</v>
      </c>
      <c r="P2210" s="2" t="str">
        <f>"2170585991                    "</f>
        <v xml:space="preserve">2170585991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3.13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2</v>
      </c>
      <c r="BJ2210" s="2">
        <v>3.2</v>
      </c>
      <c r="BK2210" s="2">
        <v>4</v>
      </c>
      <c r="BL2210" s="2">
        <v>32.380000000000003</v>
      </c>
      <c r="BM2210" s="2">
        <v>4.53</v>
      </c>
      <c r="BN2210" s="2">
        <v>36.909999999999997</v>
      </c>
      <c r="BO2210" s="2">
        <v>36.909999999999997</v>
      </c>
      <c r="BP2210" s="2"/>
      <c r="BQ2210" s="2" t="s">
        <v>288</v>
      </c>
      <c r="BR2210" s="2" t="s">
        <v>84</v>
      </c>
      <c r="BS2210" s="3">
        <v>42969</v>
      </c>
      <c r="BT2210" s="4">
        <v>0.34166666666666662</v>
      </c>
      <c r="BU2210" s="2" t="s">
        <v>2736</v>
      </c>
      <c r="BV2210" s="2" t="s">
        <v>95</v>
      </c>
      <c r="BW2210" s="2"/>
      <c r="BX2210" s="2"/>
      <c r="BY2210" s="2">
        <v>15930.36</v>
      </c>
      <c r="BZ2210" s="2" t="s">
        <v>27</v>
      </c>
      <c r="CA2210" s="2" t="s">
        <v>729</v>
      </c>
      <c r="CB2210" s="2"/>
      <c r="CC2210" s="2" t="s">
        <v>145</v>
      </c>
      <c r="CD2210" s="2">
        <v>2011</v>
      </c>
      <c r="CE2210" s="2" t="s">
        <v>89</v>
      </c>
      <c r="CF2210" s="5">
        <v>42970</v>
      </c>
      <c r="CG2210" s="2"/>
      <c r="CH2210" s="2"/>
      <c r="CI2210" s="2">
        <v>1</v>
      </c>
      <c r="CJ2210" s="2">
        <v>1</v>
      </c>
      <c r="CK2210" s="2">
        <v>22</v>
      </c>
      <c r="CL2210" s="2" t="s">
        <v>86</v>
      </c>
      <c r="CM2210" s="2"/>
    </row>
    <row r="2211" spans="1:91">
      <c r="A2211" s="2" t="s">
        <v>71</v>
      </c>
      <c r="B2211" s="2" t="s">
        <v>72</v>
      </c>
      <c r="C2211" s="2" t="s">
        <v>73</v>
      </c>
      <c r="D2211" s="2"/>
      <c r="E2211" s="2" t="str">
        <f>"FES1162570223"</f>
        <v>FES1162570223</v>
      </c>
      <c r="F2211" s="3">
        <v>42968</v>
      </c>
      <c r="G2211" s="2">
        <v>201802</v>
      </c>
      <c r="H2211" s="2" t="s">
        <v>74</v>
      </c>
      <c r="I2211" s="2" t="s">
        <v>75</v>
      </c>
      <c r="J2211" s="2" t="s">
        <v>76</v>
      </c>
      <c r="K2211" s="2" t="s">
        <v>77</v>
      </c>
      <c r="L2211" s="2" t="s">
        <v>105</v>
      </c>
      <c r="M2211" s="2" t="s">
        <v>106</v>
      </c>
      <c r="N2211" s="2" t="s">
        <v>873</v>
      </c>
      <c r="O2211" s="2" t="s">
        <v>100</v>
      </c>
      <c r="P2211" s="2" t="str">
        <f>"2170585996                    "</f>
        <v xml:space="preserve">2170585996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8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2.5</v>
      </c>
      <c r="BJ2211" s="2">
        <v>3.7</v>
      </c>
      <c r="BK2211" s="2">
        <v>4</v>
      </c>
      <c r="BL2211" s="2">
        <v>82.88</v>
      </c>
      <c r="BM2211" s="2">
        <v>11.6</v>
      </c>
      <c r="BN2211" s="2">
        <v>94.48</v>
      </c>
      <c r="BO2211" s="2">
        <v>94.48</v>
      </c>
      <c r="BP2211" s="2"/>
      <c r="BQ2211" s="2" t="s">
        <v>83</v>
      </c>
      <c r="BR2211" s="2" t="s">
        <v>84</v>
      </c>
      <c r="BS2211" s="3">
        <v>42969</v>
      </c>
      <c r="BT2211" s="4">
        <v>0.3527777777777778</v>
      </c>
      <c r="BU2211" s="2" t="s">
        <v>1490</v>
      </c>
      <c r="BV2211" s="2" t="s">
        <v>95</v>
      </c>
      <c r="BW2211" s="2"/>
      <c r="BX2211" s="2"/>
      <c r="BY2211" s="2">
        <v>18704.61</v>
      </c>
      <c r="BZ2211" s="2" t="s">
        <v>27</v>
      </c>
      <c r="CA2211" s="2" t="s">
        <v>869</v>
      </c>
      <c r="CB2211" s="2"/>
      <c r="CC2211" s="2" t="s">
        <v>106</v>
      </c>
      <c r="CD2211" s="2">
        <v>7460</v>
      </c>
      <c r="CE2211" s="2" t="s">
        <v>89</v>
      </c>
      <c r="CF2211" s="5">
        <v>42970</v>
      </c>
      <c r="CG2211" s="2"/>
      <c r="CH2211" s="2"/>
      <c r="CI2211" s="2">
        <v>1</v>
      </c>
      <c r="CJ2211" s="2">
        <v>1</v>
      </c>
      <c r="CK2211" s="2">
        <v>21</v>
      </c>
      <c r="CL2211" s="2" t="s">
        <v>86</v>
      </c>
      <c r="CM2211" s="2"/>
    </row>
    <row r="2212" spans="1:91">
      <c r="A2212" s="2" t="s">
        <v>71</v>
      </c>
      <c r="B2212" s="2" t="s">
        <v>72</v>
      </c>
      <c r="C2212" s="2" t="s">
        <v>73</v>
      </c>
      <c r="D2212" s="2"/>
      <c r="E2212" s="2" t="str">
        <f>"FES1162570179"</f>
        <v>FES1162570179</v>
      </c>
      <c r="F2212" s="3">
        <v>42968</v>
      </c>
      <c r="G2212" s="2">
        <v>201802</v>
      </c>
      <c r="H2212" s="2" t="s">
        <v>74</v>
      </c>
      <c r="I2212" s="2" t="s">
        <v>75</v>
      </c>
      <c r="J2212" s="2" t="s">
        <v>76</v>
      </c>
      <c r="K2212" s="2" t="s">
        <v>77</v>
      </c>
      <c r="L2212" s="2" t="s">
        <v>97</v>
      </c>
      <c r="M2212" s="2" t="s">
        <v>98</v>
      </c>
      <c r="N2212" s="2" t="s">
        <v>608</v>
      </c>
      <c r="O2212" s="2" t="s">
        <v>100</v>
      </c>
      <c r="P2212" s="2" t="str">
        <f>"2170585851                    "</f>
        <v xml:space="preserve">2170585851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37.020000000000003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10.4</v>
      </c>
      <c r="BJ2212" s="2">
        <v>18.399999999999999</v>
      </c>
      <c r="BK2212" s="2">
        <v>18.5</v>
      </c>
      <c r="BL2212" s="2">
        <v>383.34</v>
      </c>
      <c r="BM2212" s="2">
        <v>53.67</v>
      </c>
      <c r="BN2212" s="2">
        <v>437.01</v>
      </c>
      <c r="BO2212" s="2">
        <v>437.01</v>
      </c>
      <c r="BP2212" s="2"/>
      <c r="BQ2212" s="2" t="s">
        <v>288</v>
      </c>
      <c r="BR2212" s="2" t="s">
        <v>84</v>
      </c>
      <c r="BS2212" s="3">
        <v>42969</v>
      </c>
      <c r="BT2212" s="4">
        <v>0.32777777777777778</v>
      </c>
      <c r="BU2212" s="2" t="s">
        <v>2737</v>
      </c>
      <c r="BV2212" s="2" t="s">
        <v>95</v>
      </c>
      <c r="BW2212" s="2"/>
      <c r="BX2212" s="2"/>
      <c r="BY2212" s="2">
        <v>91794.13</v>
      </c>
      <c r="BZ2212" s="2" t="s">
        <v>27</v>
      </c>
      <c r="CA2212" s="2" t="s">
        <v>294</v>
      </c>
      <c r="CB2212" s="2"/>
      <c r="CC2212" s="2" t="s">
        <v>98</v>
      </c>
      <c r="CD2212" s="2">
        <v>6001</v>
      </c>
      <c r="CE2212" s="2" t="s">
        <v>89</v>
      </c>
      <c r="CF2212" s="5">
        <v>42970</v>
      </c>
      <c r="CG2212" s="2"/>
      <c r="CH2212" s="2"/>
      <c r="CI2212" s="2">
        <v>1</v>
      </c>
      <c r="CJ2212" s="2">
        <v>1</v>
      </c>
      <c r="CK2212" s="2">
        <v>21</v>
      </c>
      <c r="CL2212" s="2" t="s">
        <v>86</v>
      </c>
      <c r="CM2212" s="2"/>
    </row>
    <row r="2213" spans="1:91">
      <c r="A2213" s="2" t="s">
        <v>71</v>
      </c>
      <c r="B2213" s="2" t="s">
        <v>72</v>
      </c>
      <c r="C2213" s="2" t="s">
        <v>73</v>
      </c>
      <c r="D2213" s="2"/>
      <c r="E2213" s="2" t="str">
        <f>"FES1162570260"</f>
        <v>FES1162570260</v>
      </c>
      <c r="F2213" s="3">
        <v>42968</v>
      </c>
      <c r="G2213" s="2">
        <v>201802</v>
      </c>
      <c r="H2213" s="2" t="s">
        <v>74</v>
      </c>
      <c r="I2213" s="2" t="s">
        <v>75</v>
      </c>
      <c r="J2213" s="2" t="s">
        <v>76</v>
      </c>
      <c r="K2213" s="2" t="s">
        <v>77</v>
      </c>
      <c r="L2213" s="2" t="s">
        <v>97</v>
      </c>
      <c r="M2213" s="2" t="s">
        <v>98</v>
      </c>
      <c r="N2213" s="2" t="s">
        <v>248</v>
      </c>
      <c r="O2213" s="2" t="s">
        <v>100</v>
      </c>
      <c r="P2213" s="2" t="str">
        <f>"2170575975                    "</f>
        <v xml:space="preserve">2170575975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37.020000000000003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5.5</v>
      </c>
      <c r="BJ2213" s="2">
        <v>18.2</v>
      </c>
      <c r="BK2213" s="2">
        <v>18.5</v>
      </c>
      <c r="BL2213" s="2">
        <v>383.34</v>
      </c>
      <c r="BM2213" s="2">
        <v>53.67</v>
      </c>
      <c r="BN2213" s="2">
        <v>437.01</v>
      </c>
      <c r="BO2213" s="2">
        <v>437.01</v>
      </c>
      <c r="BP2213" s="2"/>
      <c r="BQ2213" s="2" t="s">
        <v>83</v>
      </c>
      <c r="BR2213" s="2" t="s">
        <v>84</v>
      </c>
      <c r="BS2213" s="3">
        <v>42969</v>
      </c>
      <c r="BT2213" s="4">
        <v>0.33333333333333331</v>
      </c>
      <c r="BU2213" s="2" t="s">
        <v>1120</v>
      </c>
      <c r="BV2213" s="2" t="s">
        <v>95</v>
      </c>
      <c r="BW2213" s="2"/>
      <c r="BX2213" s="2"/>
      <c r="BY2213" s="2">
        <v>91153.59</v>
      </c>
      <c r="BZ2213" s="2" t="s">
        <v>27</v>
      </c>
      <c r="CA2213" s="2"/>
      <c r="CB2213" s="2"/>
      <c r="CC2213" s="2" t="s">
        <v>98</v>
      </c>
      <c r="CD2213" s="2">
        <v>6001</v>
      </c>
      <c r="CE2213" s="2" t="s">
        <v>89</v>
      </c>
      <c r="CF2213" s="5">
        <v>42970</v>
      </c>
      <c r="CG2213" s="2"/>
      <c r="CH2213" s="2"/>
      <c r="CI2213" s="2">
        <v>1</v>
      </c>
      <c r="CJ2213" s="2">
        <v>1</v>
      </c>
      <c r="CK2213" s="2">
        <v>21</v>
      </c>
      <c r="CL2213" s="2" t="s">
        <v>86</v>
      </c>
      <c r="CM2213" s="2"/>
    </row>
    <row r="2214" spans="1:91">
      <c r="A2214" s="2" t="s">
        <v>71</v>
      </c>
      <c r="B2214" s="2" t="s">
        <v>72</v>
      </c>
      <c r="C2214" s="2" t="s">
        <v>73</v>
      </c>
      <c r="D2214" s="2"/>
      <c r="E2214" s="2" t="str">
        <f>"FES1162570240"</f>
        <v>FES1162570240</v>
      </c>
      <c r="F2214" s="3">
        <v>42968</v>
      </c>
      <c r="G2214" s="2">
        <v>201802</v>
      </c>
      <c r="H2214" s="2" t="s">
        <v>74</v>
      </c>
      <c r="I2214" s="2" t="s">
        <v>75</v>
      </c>
      <c r="J2214" s="2" t="s">
        <v>76</v>
      </c>
      <c r="K2214" s="2" t="s">
        <v>77</v>
      </c>
      <c r="L2214" s="2" t="s">
        <v>105</v>
      </c>
      <c r="M2214" s="2" t="s">
        <v>106</v>
      </c>
      <c r="N2214" s="2" t="s">
        <v>641</v>
      </c>
      <c r="O2214" s="2" t="s">
        <v>100</v>
      </c>
      <c r="P2214" s="2" t="str">
        <f>"2170586017                    "</f>
        <v xml:space="preserve">2170586017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8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3.9</v>
      </c>
      <c r="BJ2214" s="2">
        <v>3.3</v>
      </c>
      <c r="BK2214" s="2">
        <v>4</v>
      </c>
      <c r="BL2214" s="2">
        <v>82.88</v>
      </c>
      <c r="BM2214" s="2">
        <v>11.6</v>
      </c>
      <c r="BN2214" s="2">
        <v>94.48</v>
      </c>
      <c r="BO2214" s="2">
        <v>94.48</v>
      </c>
      <c r="BP2214" s="2"/>
      <c r="BQ2214" s="2" t="s">
        <v>288</v>
      </c>
      <c r="BR2214" s="2" t="s">
        <v>84</v>
      </c>
      <c r="BS2214" s="3">
        <v>42969</v>
      </c>
      <c r="BT2214" s="4">
        <v>0.50069444444444444</v>
      </c>
      <c r="BU2214" s="2" t="s">
        <v>2738</v>
      </c>
      <c r="BV2214" s="2" t="s">
        <v>86</v>
      </c>
      <c r="BW2214" s="2" t="s">
        <v>110</v>
      </c>
      <c r="BX2214" s="2" t="s">
        <v>111</v>
      </c>
      <c r="BY2214" s="2">
        <v>16320.08</v>
      </c>
      <c r="BZ2214" s="2" t="s">
        <v>27</v>
      </c>
      <c r="CA2214" s="2" t="s">
        <v>643</v>
      </c>
      <c r="CB2214" s="2"/>
      <c r="CC2214" s="2" t="s">
        <v>106</v>
      </c>
      <c r="CD2214" s="2">
        <v>7915</v>
      </c>
      <c r="CE2214" s="2" t="s">
        <v>89</v>
      </c>
      <c r="CF2214" s="5">
        <v>42970</v>
      </c>
      <c r="CG2214" s="2"/>
      <c r="CH2214" s="2"/>
      <c r="CI2214" s="2">
        <v>1</v>
      </c>
      <c r="CJ2214" s="2">
        <v>1</v>
      </c>
      <c r="CK2214" s="2">
        <v>21</v>
      </c>
      <c r="CL2214" s="2" t="s">
        <v>86</v>
      </c>
      <c r="CM2214" s="2"/>
    </row>
    <row r="2215" spans="1:91">
      <c r="A2215" s="2" t="s">
        <v>71</v>
      </c>
      <c r="B2215" s="2" t="s">
        <v>72</v>
      </c>
      <c r="C2215" s="2" t="s">
        <v>73</v>
      </c>
      <c r="D2215" s="2"/>
      <c r="E2215" s="2" t="str">
        <f>"FES1162570271"</f>
        <v>FES1162570271</v>
      </c>
      <c r="F2215" s="3">
        <v>42968</v>
      </c>
      <c r="G2215" s="2">
        <v>201802</v>
      </c>
      <c r="H2215" s="2" t="s">
        <v>74</v>
      </c>
      <c r="I2215" s="2" t="s">
        <v>75</v>
      </c>
      <c r="J2215" s="2" t="s">
        <v>76</v>
      </c>
      <c r="K2215" s="2" t="s">
        <v>77</v>
      </c>
      <c r="L2215" s="2" t="s">
        <v>149</v>
      </c>
      <c r="M2215" s="2" t="s">
        <v>150</v>
      </c>
      <c r="N2215" s="2" t="s">
        <v>463</v>
      </c>
      <c r="O2215" s="2" t="s">
        <v>100</v>
      </c>
      <c r="P2215" s="2" t="str">
        <f>"2170586047                    "</f>
        <v xml:space="preserve">2170586047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11.01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5.4</v>
      </c>
      <c r="BJ2215" s="2">
        <v>3.4</v>
      </c>
      <c r="BK2215" s="2">
        <v>5.5</v>
      </c>
      <c r="BL2215" s="2">
        <v>113.97</v>
      </c>
      <c r="BM2215" s="2">
        <v>15.96</v>
      </c>
      <c r="BN2215" s="2">
        <v>129.93</v>
      </c>
      <c r="BO2215" s="2">
        <v>129.93</v>
      </c>
      <c r="BP2215" s="2"/>
      <c r="BQ2215" s="2" t="s">
        <v>288</v>
      </c>
      <c r="BR2215" s="2" t="s">
        <v>84</v>
      </c>
      <c r="BS2215" s="3">
        <v>42969</v>
      </c>
      <c r="BT2215" s="4">
        <v>0.4375</v>
      </c>
      <c r="BU2215" s="2" t="s">
        <v>768</v>
      </c>
      <c r="BV2215" s="2" t="s">
        <v>95</v>
      </c>
      <c r="BW2215" s="2"/>
      <c r="BX2215" s="2"/>
      <c r="BY2215" s="2">
        <v>16970.8</v>
      </c>
      <c r="BZ2215" s="2" t="s">
        <v>27</v>
      </c>
      <c r="CA2215" s="2" t="s">
        <v>347</v>
      </c>
      <c r="CB2215" s="2"/>
      <c r="CC2215" s="2" t="s">
        <v>150</v>
      </c>
      <c r="CD2215" s="2">
        <v>4001</v>
      </c>
      <c r="CE2215" s="2" t="s">
        <v>89</v>
      </c>
      <c r="CF2215" s="5">
        <v>42970</v>
      </c>
      <c r="CG2215" s="2"/>
      <c r="CH2215" s="2"/>
      <c r="CI2215" s="2">
        <v>1</v>
      </c>
      <c r="CJ2215" s="2">
        <v>1</v>
      </c>
      <c r="CK2215" s="2">
        <v>21</v>
      </c>
      <c r="CL2215" s="2" t="s">
        <v>86</v>
      </c>
      <c r="CM2215" s="2"/>
    </row>
    <row r="2216" spans="1:91">
      <c r="A2216" s="2" t="s">
        <v>71</v>
      </c>
      <c r="B2216" s="2" t="s">
        <v>72</v>
      </c>
      <c r="C2216" s="2" t="s">
        <v>73</v>
      </c>
      <c r="D2216" s="2"/>
      <c r="E2216" s="2" t="str">
        <f>"FES1162570208"</f>
        <v>FES1162570208</v>
      </c>
      <c r="F2216" s="3">
        <v>42968</v>
      </c>
      <c r="G2216" s="2">
        <v>201802</v>
      </c>
      <c r="H2216" s="2" t="s">
        <v>74</v>
      </c>
      <c r="I2216" s="2" t="s">
        <v>75</v>
      </c>
      <c r="J2216" s="2" t="s">
        <v>76</v>
      </c>
      <c r="K2216" s="2" t="s">
        <v>77</v>
      </c>
      <c r="L2216" s="2" t="s">
        <v>1781</v>
      </c>
      <c r="M2216" s="2" t="s">
        <v>1781</v>
      </c>
      <c r="N2216" s="2" t="s">
        <v>1782</v>
      </c>
      <c r="O2216" s="2" t="s">
        <v>100</v>
      </c>
      <c r="P2216" s="2" t="str">
        <f>"2170585983                    "</f>
        <v xml:space="preserve">2170585983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65.540000000000006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18.399999999999999</v>
      </c>
      <c r="BJ2216" s="2">
        <v>18.100000000000001</v>
      </c>
      <c r="BK2216" s="2">
        <v>18.5</v>
      </c>
      <c r="BL2216" s="2">
        <v>678.62</v>
      </c>
      <c r="BM2216" s="2">
        <v>95.01</v>
      </c>
      <c r="BN2216" s="2">
        <v>773.63</v>
      </c>
      <c r="BO2216" s="2">
        <v>773.63</v>
      </c>
      <c r="BP2216" s="2"/>
      <c r="BQ2216" s="2" t="s">
        <v>365</v>
      </c>
      <c r="BR2216" s="2" t="s">
        <v>84</v>
      </c>
      <c r="BS2216" s="3">
        <v>42970</v>
      </c>
      <c r="BT2216" s="4">
        <v>0.5</v>
      </c>
      <c r="BU2216" s="2" t="s">
        <v>2739</v>
      </c>
      <c r="BV2216" s="2" t="s">
        <v>95</v>
      </c>
      <c r="BW2216" s="2"/>
      <c r="BX2216" s="2"/>
      <c r="BY2216" s="2">
        <v>90275.78</v>
      </c>
      <c r="BZ2216" s="2" t="s">
        <v>27</v>
      </c>
      <c r="CA2216" s="2"/>
      <c r="CB2216" s="2"/>
      <c r="CC2216" s="2" t="s">
        <v>1781</v>
      </c>
      <c r="CD2216" s="2">
        <v>5470</v>
      </c>
      <c r="CE2216" s="2" t="s">
        <v>89</v>
      </c>
      <c r="CF2216" s="5">
        <v>42976</v>
      </c>
      <c r="CG2216" s="2"/>
      <c r="CH2216" s="2"/>
      <c r="CI2216" s="2">
        <v>4</v>
      </c>
      <c r="CJ2216" s="2">
        <v>2</v>
      </c>
      <c r="CK2216" s="2">
        <v>23</v>
      </c>
      <c r="CL2216" s="2" t="s">
        <v>86</v>
      </c>
      <c r="CM2216" s="2"/>
    </row>
    <row r="2217" spans="1:91">
      <c r="A2217" s="2" t="s">
        <v>71</v>
      </c>
      <c r="B2217" s="2" t="s">
        <v>72</v>
      </c>
      <c r="C2217" s="2" t="s">
        <v>73</v>
      </c>
      <c r="D2217" s="2"/>
      <c r="E2217" s="2" t="str">
        <f>"FES1162570268"</f>
        <v>FES1162570268</v>
      </c>
      <c r="F2217" s="3">
        <v>42968</v>
      </c>
      <c r="G2217" s="2">
        <v>201802</v>
      </c>
      <c r="H2217" s="2" t="s">
        <v>74</v>
      </c>
      <c r="I2217" s="2" t="s">
        <v>75</v>
      </c>
      <c r="J2217" s="2" t="s">
        <v>76</v>
      </c>
      <c r="K2217" s="2" t="s">
        <v>77</v>
      </c>
      <c r="L2217" s="2" t="s">
        <v>237</v>
      </c>
      <c r="M2217" s="2" t="s">
        <v>238</v>
      </c>
      <c r="N2217" s="2" t="s">
        <v>765</v>
      </c>
      <c r="O2217" s="2" t="s">
        <v>100</v>
      </c>
      <c r="P2217" s="2" t="str">
        <f>"2170586044                    "</f>
        <v xml:space="preserve">2170586044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4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1</v>
      </c>
      <c r="BJ2217" s="2">
        <v>0.2</v>
      </c>
      <c r="BK2217" s="2">
        <v>1</v>
      </c>
      <c r="BL2217" s="2">
        <v>41.44</v>
      </c>
      <c r="BM2217" s="2">
        <v>5.8</v>
      </c>
      <c r="BN2217" s="2">
        <v>47.24</v>
      </c>
      <c r="BO2217" s="2">
        <v>47.24</v>
      </c>
      <c r="BP2217" s="2"/>
      <c r="BQ2217" s="2" t="s">
        <v>108</v>
      </c>
      <c r="BR2217" s="2" t="s">
        <v>84</v>
      </c>
      <c r="BS2217" s="3">
        <v>42969</v>
      </c>
      <c r="BT2217" s="4">
        <v>0.34791666666666665</v>
      </c>
      <c r="BU2217" s="2" t="s">
        <v>766</v>
      </c>
      <c r="BV2217" s="2" t="s">
        <v>95</v>
      </c>
      <c r="BW2217" s="2"/>
      <c r="BX2217" s="2"/>
      <c r="BY2217" s="2">
        <v>1200</v>
      </c>
      <c r="BZ2217" s="2" t="s">
        <v>27</v>
      </c>
      <c r="CA2217" s="2" t="s">
        <v>401</v>
      </c>
      <c r="CB2217" s="2"/>
      <c r="CC2217" s="2" t="s">
        <v>238</v>
      </c>
      <c r="CD2217" s="2">
        <v>3610</v>
      </c>
      <c r="CE2217" s="2" t="s">
        <v>104</v>
      </c>
      <c r="CF2217" s="5">
        <v>42970</v>
      </c>
      <c r="CG2217" s="2"/>
      <c r="CH2217" s="2"/>
      <c r="CI2217" s="2">
        <v>1</v>
      </c>
      <c r="CJ2217" s="2">
        <v>1</v>
      </c>
      <c r="CK2217" s="2">
        <v>21</v>
      </c>
      <c r="CL2217" s="2" t="s">
        <v>86</v>
      </c>
      <c r="CM2217" s="2"/>
    </row>
    <row r="2218" spans="1:91">
      <c r="A2218" s="2" t="s">
        <v>71</v>
      </c>
      <c r="B2218" s="2" t="s">
        <v>72</v>
      </c>
      <c r="C2218" s="2" t="s">
        <v>73</v>
      </c>
      <c r="D2218" s="2"/>
      <c r="E2218" s="2" t="str">
        <f>"FES1162570245"</f>
        <v>FES1162570245</v>
      </c>
      <c r="F2218" s="3">
        <v>42968</v>
      </c>
      <c r="G2218" s="2">
        <v>201802</v>
      </c>
      <c r="H2218" s="2" t="s">
        <v>74</v>
      </c>
      <c r="I2218" s="2" t="s">
        <v>75</v>
      </c>
      <c r="J2218" s="2" t="s">
        <v>76</v>
      </c>
      <c r="K2218" s="2" t="s">
        <v>77</v>
      </c>
      <c r="L2218" s="2" t="s">
        <v>149</v>
      </c>
      <c r="M2218" s="2" t="s">
        <v>150</v>
      </c>
      <c r="N2218" s="2" t="s">
        <v>1652</v>
      </c>
      <c r="O2218" s="2" t="s">
        <v>100</v>
      </c>
      <c r="P2218" s="2" t="str">
        <f>"2170586023                    "</f>
        <v xml:space="preserve">2170586023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4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1</v>
      </c>
      <c r="BJ2218" s="2">
        <v>0.2</v>
      </c>
      <c r="BK2218" s="2">
        <v>1</v>
      </c>
      <c r="BL2218" s="2">
        <v>41.44</v>
      </c>
      <c r="BM2218" s="2">
        <v>5.8</v>
      </c>
      <c r="BN2218" s="2">
        <v>47.24</v>
      </c>
      <c r="BO2218" s="2">
        <v>47.24</v>
      </c>
      <c r="BP2218" s="2"/>
      <c r="BQ2218" s="2" t="s">
        <v>1653</v>
      </c>
      <c r="BR2218" s="2" t="s">
        <v>84</v>
      </c>
      <c r="BS2218" s="3">
        <v>42969</v>
      </c>
      <c r="BT2218" s="4">
        <v>0.3034722222222222</v>
      </c>
      <c r="BU2218" s="2" t="s">
        <v>2740</v>
      </c>
      <c r="BV2218" s="2" t="s">
        <v>95</v>
      </c>
      <c r="BW2218" s="2"/>
      <c r="BX2218" s="2"/>
      <c r="BY2218" s="2">
        <v>1200</v>
      </c>
      <c r="BZ2218" s="2" t="s">
        <v>27</v>
      </c>
      <c r="CA2218" s="2" t="s">
        <v>774</v>
      </c>
      <c r="CB2218" s="2"/>
      <c r="CC2218" s="2" t="s">
        <v>150</v>
      </c>
      <c r="CD2218" s="2">
        <v>4001</v>
      </c>
      <c r="CE2218" s="2" t="s">
        <v>104</v>
      </c>
      <c r="CF2218" s="5">
        <v>42970</v>
      </c>
      <c r="CG2218" s="2"/>
      <c r="CH2218" s="2"/>
      <c r="CI2218" s="2">
        <v>1</v>
      </c>
      <c r="CJ2218" s="2">
        <v>1</v>
      </c>
      <c r="CK2218" s="2">
        <v>21</v>
      </c>
      <c r="CL2218" s="2" t="s">
        <v>86</v>
      </c>
      <c r="CM2218" s="2"/>
    </row>
    <row r="2219" spans="1:91">
      <c r="A2219" s="2" t="s">
        <v>71</v>
      </c>
      <c r="B2219" s="2" t="s">
        <v>72</v>
      </c>
      <c r="C2219" s="2" t="s">
        <v>73</v>
      </c>
      <c r="D2219" s="2"/>
      <c r="E2219" s="2" t="str">
        <f>"FES1162570229"</f>
        <v>FES1162570229</v>
      </c>
      <c r="F2219" s="3">
        <v>42968</v>
      </c>
      <c r="G2219" s="2">
        <v>201802</v>
      </c>
      <c r="H2219" s="2" t="s">
        <v>74</v>
      </c>
      <c r="I2219" s="2" t="s">
        <v>75</v>
      </c>
      <c r="J2219" s="2" t="s">
        <v>76</v>
      </c>
      <c r="K2219" s="2" t="s">
        <v>77</v>
      </c>
      <c r="L2219" s="2" t="s">
        <v>2741</v>
      </c>
      <c r="M2219" s="2" t="s">
        <v>2742</v>
      </c>
      <c r="N2219" s="2" t="s">
        <v>2743</v>
      </c>
      <c r="O2219" s="2" t="s">
        <v>100</v>
      </c>
      <c r="P2219" s="2" t="str">
        <f>"2170585944                    "</f>
        <v xml:space="preserve">2170585944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4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1</v>
      </c>
      <c r="BJ2219" s="2">
        <v>0.2</v>
      </c>
      <c r="BK2219" s="2">
        <v>1</v>
      </c>
      <c r="BL2219" s="2">
        <v>41.44</v>
      </c>
      <c r="BM2219" s="2">
        <v>5.8</v>
      </c>
      <c r="BN2219" s="2">
        <v>47.24</v>
      </c>
      <c r="BO2219" s="2">
        <v>47.24</v>
      </c>
      <c r="BP2219" s="2"/>
      <c r="BQ2219" s="2" t="s">
        <v>209</v>
      </c>
      <c r="BR2219" s="2" t="s">
        <v>84</v>
      </c>
      <c r="BS2219" s="3">
        <v>42969</v>
      </c>
      <c r="BT2219" s="4">
        <v>0.41666666666666669</v>
      </c>
      <c r="BU2219" s="2" t="s">
        <v>2744</v>
      </c>
      <c r="BV2219" s="2" t="s">
        <v>95</v>
      </c>
      <c r="BW2219" s="2"/>
      <c r="BX2219" s="2"/>
      <c r="BY2219" s="2">
        <v>1200</v>
      </c>
      <c r="BZ2219" s="2" t="s">
        <v>27</v>
      </c>
      <c r="CA2219" s="2" t="s">
        <v>2745</v>
      </c>
      <c r="CB2219" s="2"/>
      <c r="CC2219" s="2" t="s">
        <v>2742</v>
      </c>
      <c r="CD2219" s="2">
        <v>6740</v>
      </c>
      <c r="CE2219" s="2" t="s">
        <v>104</v>
      </c>
      <c r="CF2219" s="5">
        <v>42971</v>
      </c>
      <c r="CG2219" s="2"/>
      <c r="CH2219" s="2"/>
      <c r="CI2219" s="2">
        <v>3</v>
      </c>
      <c r="CJ2219" s="2">
        <v>1</v>
      </c>
      <c r="CK2219" s="2">
        <v>21</v>
      </c>
      <c r="CL2219" s="2" t="s">
        <v>86</v>
      </c>
      <c r="CM2219" s="2"/>
    </row>
    <row r="2220" spans="1:91">
      <c r="A2220" s="2" t="s">
        <v>71</v>
      </c>
      <c r="B2220" s="2" t="s">
        <v>72</v>
      </c>
      <c r="C2220" s="2" t="s">
        <v>73</v>
      </c>
      <c r="D2220" s="2"/>
      <c r="E2220" s="2" t="str">
        <f>"FES1162570180"</f>
        <v>FES1162570180</v>
      </c>
      <c r="F2220" s="3">
        <v>42968</v>
      </c>
      <c r="G2220" s="2">
        <v>201802</v>
      </c>
      <c r="H2220" s="2" t="s">
        <v>74</v>
      </c>
      <c r="I2220" s="2" t="s">
        <v>75</v>
      </c>
      <c r="J2220" s="2" t="s">
        <v>76</v>
      </c>
      <c r="K2220" s="2" t="s">
        <v>77</v>
      </c>
      <c r="L2220" s="2" t="s">
        <v>105</v>
      </c>
      <c r="M2220" s="2" t="s">
        <v>106</v>
      </c>
      <c r="N2220" s="2" t="s">
        <v>486</v>
      </c>
      <c r="O2220" s="2" t="s">
        <v>100</v>
      </c>
      <c r="P2220" s="2" t="str">
        <f>"2170585873                    "</f>
        <v xml:space="preserve">2170585873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4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1</v>
      </c>
      <c r="BJ2220" s="2">
        <v>0.2</v>
      </c>
      <c r="BK2220" s="2">
        <v>1</v>
      </c>
      <c r="BL2220" s="2">
        <v>41.44</v>
      </c>
      <c r="BM2220" s="2">
        <v>5.8</v>
      </c>
      <c r="BN2220" s="2">
        <v>47.24</v>
      </c>
      <c r="BO2220" s="2">
        <v>47.24</v>
      </c>
      <c r="BP2220" s="2"/>
      <c r="BQ2220" s="2" t="s">
        <v>365</v>
      </c>
      <c r="BR2220" s="2" t="s">
        <v>84</v>
      </c>
      <c r="BS2220" s="3">
        <v>42969</v>
      </c>
      <c r="BT2220" s="4">
        <v>0.42222222222222222</v>
      </c>
      <c r="BU2220" s="2" t="s">
        <v>2524</v>
      </c>
      <c r="BV2220" s="2" t="s">
        <v>95</v>
      </c>
      <c r="BW2220" s="2"/>
      <c r="BX2220" s="2"/>
      <c r="BY2220" s="2">
        <v>1200</v>
      </c>
      <c r="BZ2220" s="2" t="s">
        <v>27</v>
      </c>
      <c r="CA2220" s="2" t="s">
        <v>291</v>
      </c>
      <c r="CB2220" s="2"/>
      <c r="CC2220" s="2" t="s">
        <v>106</v>
      </c>
      <c r="CD2220" s="2">
        <v>7441</v>
      </c>
      <c r="CE2220" s="2" t="s">
        <v>104</v>
      </c>
      <c r="CF2220" s="5">
        <v>42970</v>
      </c>
      <c r="CG2220" s="2"/>
      <c r="CH2220" s="2"/>
      <c r="CI2220" s="2">
        <v>1</v>
      </c>
      <c r="CJ2220" s="2">
        <v>1</v>
      </c>
      <c r="CK2220" s="2">
        <v>21</v>
      </c>
      <c r="CL2220" s="2" t="s">
        <v>86</v>
      </c>
      <c r="CM2220" s="2"/>
    </row>
    <row r="2221" spans="1:91">
      <c r="A2221" s="2" t="s">
        <v>71</v>
      </c>
      <c r="B2221" s="2" t="s">
        <v>72</v>
      </c>
      <c r="C2221" s="2" t="s">
        <v>73</v>
      </c>
      <c r="D2221" s="2"/>
      <c r="E2221" s="2" t="str">
        <f>"FES1162570195"</f>
        <v>FES1162570195</v>
      </c>
      <c r="F2221" s="3">
        <v>42968</v>
      </c>
      <c r="G2221" s="2">
        <v>201802</v>
      </c>
      <c r="H2221" s="2" t="s">
        <v>74</v>
      </c>
      <c r="I2221" s="2" t="s">
        <v>75</v>
      </c>
      <c r="J2221" s="2" t="s">
        <v>76</v>
      </c>
      <c r="K2221" s="2" t="s">
        <v>77</v>
      </c>
      <c r="L2221" s="2" t="s">
        <v>105</v>
      </c>
      <c r="M2221" s="2" t="s">
        <v>106</v>
      </c>
      <c r="N2221" s="2" t="s">
        <v>107</v>
      </c>
      <c r="O2221" s="2" t="s">
        <v>100</v>
      </c>
      <c r="P2221" s="2" t="str">
        <f>"2170585954                    "</f>
        <v xml:space="preserve">2170585954 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4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1</v>
      </c>
      <c r="BI2221" s="2">
        <v>1</v>
      </c>
      <c r="BJ2221" s="2">
        <v>0.2</v>
      </c>
      <c r="BK2221" s="2">
        <v>1</v>
      </c>
      <c r="BL2221" s="2">
        <v>41.44</v>
      </c>
      <c r="BM2221" s="2">
        <v>5.8</v>
      </c>
      <c r="BN2221" s="2">
        <v>47.24</v>
      </c>
      <c r="BO2221" s="2">
        <v>47.24</v>
      </c>
      <c r="BP2221" s="2"/>
      <c r="BQ2221" s="2" t="s">
        <v>108</v>
      </c>
      <c r="BR2221" s="2" t="s">
        <v>84</v>
      </c>
      <c r="BS2221" s="3">
        <v>42969</v>
      </c>
      <c r="BT2221" s="4">
        <v>0.39374999999999999</v>
      </c>
      <c r="BU2221" s="2" t="s">
        <v>236</v>
      </c>
      <c r="BV2221" s="2" t="s">
        <v>95</v>
      </c>
      <c r="BW2221" s="2"/>
      <c r="BX2221" s="2"/>
      <c r="BY2221" s="2">
        <v>1200</v>
      </c>
      <c r="BZ2221" s="2" t="s">
        <v>27</v>
      </c>
      <c r="CA2221" s="2" t="s">
        <v>112</v>
      </c>
      <c r="CB2221" s="2"/>
      <c r="CC2221" s="2" t="s">
        <v>106</v>
      </c>
      <c r="CD2221" s="2">
        <v>7405</v>
      </c>
      <c r="CE2221" s="2" t="s">
        <v>104</v>
      </c>
      <c r="CF2221" s="5">
        <v>42970</v>
      </c>
      <c r="CG2221" s="2"/>
      <c r="CH2221" s="2"/>
      <c r="CI2221" s="2">
        <v>1</v>
      </c>
      <c r="CJ2221" s="2">
        <v>1</v>
      </c>
      <c r="CK2221" s="2">
        <v>21</v>
      </c>
      <c r="CL2221" s="2" t="s">
        <v>86</v>
      </c>
      <c r="CM2221" s="2"/>
    </row>
    <row r="2222" spans="1:91">
      <c r="A2222" s="2" t="s">
        <v>71</v>
      </c>
      <c r="B2222" s="2" t="s">
        <v>72</v>
      </c>
      <c r="C2222" s="2" t="s">
        <v>73</v>
      </c>
      <c r="D2222" s="2"/>
      <c r="E2222" s="2" t="str">
        <f>"FES1162570250"</f>
        <v>FES1162570250</v>
      </c>
      <c r="F2222" s="3">
        <v>42968</v>
      </c>
      <c r="G2222" s="2">
        <v>201802</v>
      </c>
      <c r="H2222" s="2" t="s">
        <v>74</v>
      </c>
      <c r="I2222" s="2" t="s">
        <v>75</v>
      </c>
      <c r="J2222" s="2" t="s">
        <v>76</v>
      </c>
      <c r="K2222" s="2" t="s">
        <v>77</v>
      </c>
      <c r="L2222" s="2" t="s">
        <v>417</v>
      </c>
      <c r="M2222" s="2" t="s">
        <v>417</v>
      </c>
      <c r="N2222" s="2" t="s">
        <v>475</v>
      </c>
      <c r="O2222" s="2" t="s">
        <v>100</v>
      </c>
      <c r="P2222" s="2" t="str">
        <f>"2170585808                    "</f>
        <v xml:space="preserve">2170585808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4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1</v>
      </c>
      <c r="BI2222" s="2">
        <v>1</v>
      </c>
      <c r="BJ2222" s="2">
        <v>0.2</v>
      </c>
      <c r="BK2222" s="2">
        <v>1</v>
      </c>
      <c r="BL2222" s="2">
        <v>41.44</v>
      </c>
      <c r="BM2222" s="2">
        <v>5.8</v>
      </c>
      <c r="BN2222" s="2">
        <v>47.24</v>
      </c>
      <c r="BO2222" s="2">
        <v>47.24</v>
      </c>
      <c r="BP2222" s="2"/>
      <c r="BQ2222" s="2" t="s">
        <v>108</v>
      </c>
      <c r="BR2222" s="2" t="s">
        <v>84</v>
      </c>
      <c r="BS2222" s="3">
        <v>42969</v>
      </c>
      <c r="BT2222" s="4">
        <v>0.4694444444444445</v>
      </c>
      <c r="BU2222" s="2" t="s">
        <v>2746</v>
      </c>
      <c r="BV2222" s="2" t="s">
        <v>95</v>
      </c>
      <c r="BW2222" s="2"/>
      <c r="BX2222" s="2"/>
      <c r="BY2222" s="2">
        <v>1200</v>
      </c>
      <c r="BZ2222" s="2" t="s">
        <v>27</v>
      </c>
      <c r="CA2222" s="2" t="s">
        <v>460</v>
      </c>
      <c r="CB2222" s="2"/>
      <c r="CC2222" s="2" t="s">
        <v>417</v>
      </c>
      <c r="CD2222" s="2">
        <v>7646</v>
      </c>
      <c r="CE2222" s="2" t="s">
        <v>104</v>
      </c>
      <c r="CF2222" s="5">
        <v>42970</v>
      </c>
      <c r="CG2222" s="2"/>
      <c r="CH2222" s="2"/>
      <c r="CI2222" s="2">
        <v>1</v>
      </c>
      <c r="CJ2222" s="2">
        <v>1</v>
      </c>
      <c r="CK2222" s="2">
        <v>21</v>
      </c>
      <c r="CL2222" s="2" t="s">
        <v>86</v>
      </c>
      <c r="CM2222" s="2"/>
    </row>
    <row r="2223" spans="1:91">
      <c r="A2223" s="2" t="s">
        <v>71</v>
      </c>
      <c r="B2223" s="2" t="s">
        <v>72</v>
      </c>
      <c r="C2223" s="2" t="s">
        <v>73</v>
      </c>
      <c r="D2223" s="2"/>
      <c r="E2223" s="2" t="str">
        <f>"FES1162570161"</f>
        <v>FES1162570161</v>
      </c>
      <c r="F2223" s="3">
        <v>42968</v>
      </c>
      <c r="G2223" s="2">
        <v>201802</v>
      </c>
      <c r="H2223" s="2" t="s">
        <v>74</v>
      </c>
      <c r="I2223" s="2" t="s">
        <v>75</v>
      </c>
      <c r="J2223" s="2" t="s">
        <v>76</v>
      </c>
      <c r="K2223" s="2" t="s">
        <v>77</v>
      </c>
      <c r="L2223" s="2" t="s">
        <v>417</v>
      </c>
      <c r="M2223" s="2" t="s">
        <v>417</v>
      </c>
      <c r="N2223" s="2" t="s">
        <v>831</v>
      </c>
      <c r="O2223" s="2" t="s">
        <v>100</v>
      </c>
      <c r="P2223" s="2" t="str">
        <f>"2170576177                    "</f>
        <v xml:space="preserve">2170576177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4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1</v>
      </c>
      <c r="BJ2223" s="2">
        <v>0.2</v>
      </c>
      <c r="BK2223" s="2">
        <v>1</v>
      </c>
      <c r="BL2223" s="2">
        <v>41.44</v>
      </c>
      <c r="BM2223" s="2">
        <v>5.8</v>
      </c>
      <c r="BN2223" s="2">
        <v>47.24</v>
      </c>
      <c r="BO2223" s="2">
        <v>47.24</v>
      </c>
      <c r="BP2223" s="2"/>
      <c r="BQ2223" s="2" t="s">
        <v>288</v>
      </c>
      <c r="BR2223" s="2" t="s">
        <v>84</v>
      </c>
      <c r="BS2223" s="3">
        <v>42969</v>
      </c>
      <c r="BT2223" s="4">
        <v>0.47638888888888892</v>
      </c>
      <c r="BU2223" s="2" t="s">
        <v>832</v>
      </c>
      <c r="BV2223" s="2" t="s">
        <v>95</v>
      </c>
      <c r="BW2223" s="2"/>
      <c r="BX2223" s="2"/>
      <c r="BY2223" s="2">
        <v>1200</v>
      </c>
      <c r="BZ2223" s="2" t="s">
        <v>27</v>
      </c>
      <c r="CA2223" s="2" t="s">
        <v>460</v>
      </c>
      <c r="CB2223" s="2"/>
      <c r="CC2223" s="2" t="s">
        <v>417</v>
      </c>
      <c r="CD2223" s="2">
        <v>7646</v>
      </c>
      <c r="CE2223" s="2" t="s">
        <v>104</v>
      </c>
      <c r="CF2223" s="5">
        <v>42970</v>
      </c>
      <c r="CG2223" s="2"/>
      <c r="CH2223" s="2"/>
      <c r="CI2223" s="2">
        <v>1</v>
      </c>
      <c r="CJ2223" s="2">
        <v>1</v>
      </c>
      <c r="CK2223" s="2">
        <v>21</v>
      </c>
      <c r="CL2223" s="2" t="s">
        <v>86</v>
      </c>
      <c r="CM2223" s="2"/>
    </row>
    <row r="2224" spans="1:91">
      <c r="A2224" s="2" t="s">
        <v>71</v>
      </c>
      <c r="B2224" s="2" t="s">
        <v>72</v>
      </c>
      <c r="C2224" s="2" t="s">
        <v>73</v>
      </c>
      <c r="D2224" s="2"/>
      <c r="E2224" s="2" t="str">
        <f>"FES1162570177"</f>
        <v>FES1162570177</v>
      </c>
      <c r="F2224" s="3">
        <v>42968</v>
      </c>
      <c r="G2224" s="2">
        <v>201802</v>
      </c>
      <c r="H2224" s="2" t="s">
        <v>74</v>
      </c>
      <c r="I2224" s="2" t="s">
        <v>75</v>
      </c>
      <c r="J2224" s="2" t="s">
        <v>76</v>
      </c>
      <c r="K2224" s="2" t="s">
        <v>77</v>
      </c>
      <c r="L2224" s="2" t="s">
        <v>105</v>
      </c>
      <c r="M2224" s="2" t="s">
        <v>106</v>
      </c>
      <c r="N2224" s="2" t="s">
        <v>1306</v>
      </c>
      <c r="O2224" s="2" t="s">
        <v>100</v>
      </c>
      <c r="P2224" s="2" t="str">
        <f>"2170585707                    "</f>
        <v xml:space="preserve">2170585707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4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1</v>
      </c>
      <c r="BI2224" s="2">
        <v>1</v>
      </c>
      <c r="BJ2224" s="2">
        <v>0.2</v>
      </c>
      <c r="BK2224" s="2">
        <v>1</v>
      </c>
      <c r="BL2224" s="2">
        <v>41.44</v>
      </c>
      <c r="BM2224" s="2">
        <v>5.8</v>
      </c>
      <c r="BN2224" s="2">
        <v>47.24</v>
      </c>
      <c r="BO2224" s="2">
        <v>47.24</v>
      </c>
      <c r="BP2224" s="2"/>
      <c r="BQ2224" s="2" t="s">
        <v>209</v>
      </c>
      <c r="BR2224" s="2" t="s">
        <v>84</v>
      </c>
      <c r="BS2224" s="3">
        <v>42969</v>
      </c>
      <c r="BT2224" s="4">
        <v>0.39444444444444443</v>
      </c>
      <c r="BU2224" s="2" t="s">
        <v>1887</v>
      </c>
      <c r="BV2224" s="2" t="s">
        <v>95</v>
      </c>
      <c r="BW2224" s="2"/>
      <c r="BX2224" s="2"/>
      <c r="BY2224" s="2">
        <v>1200</v>
      </c>
      <c r="BZ2224" s="2" t="s">
        <v>27</v>
      </c>
      <c r="CA2224" s="2" t="s">
        <v>748</v>
      </c>
      <c r="CB2224" s="2"/>
      <c r="CC2224" s="2" t="s">
        <v>106</v>
      </c>
      <c r="CD2224" s="2">
        <v>7441</v>
      </c>
      <c r="CE2224" s="2" t="s">
        <v>104</v>
      </c>
      <c r="CF2224" s="5">
        <v>42970</v>
      </c>
      <c r="CG2224" s="2"/>
      <c r="CH2224" s="2"/>
      <c r="CI2224" s="2">
        <v>1</v>
      </c>
      <c r="CJ2224" s="2">
        <v>1</v>
      </c>
      <c r="CK2224" s="2">
        <v>21</v>
      </c>
      <c r="CL2224" s="2" t="s">
        <v>86</v>
      </c>
      <c r="CM2224" s="2"/>
    </row>
    <row r="2225" spans="1:91">
      <c r="A2225" s="2" t="s">
        <v>71</v>
      </c>
      <c r="B2225" s="2" t="s">
        <v>72</v>
      </c>
      <c r="C2225" s="2" t="s">
        <v>73</v>
      </c>
      <c r="D2225" s="2"/>
      <c r="E2225" s="2" t="str">
        <f>"FES1162570243"</f>
        <v>FES1162570243</v>
      </c>
      <c r="F2225" s="3">
        <v>42968</v>
      </c>
      <c r="G2225" s="2">
        <v>201802</v>
      </c>
      <c r="H2225" s="2" t="s">
        <v>74</v>
      </c>
      <c r="I2225" s="2" t="s">
        <v>75</v>
      </c>
      <c r="J2225" s="2" t="s">
        <v>76</v>
      </c>
      <c r="K2225" s="2" t="s">
        <v>77</v>
      </c>
      <c r="L2225" s="2" t="s">
        <v>362</v>
      </c>
      <c r="M2225" s="2" t="s">
        <v>363</v>
      </c>
      <c r="N2225" s="2" t="s">
        <v>1168</v>
      </c>
      <c r="O2225" s="2" t="s">
        <v>100</v>
      </c>
      <c r="P2225" s="2" t="str">
        <f>"2170586008                    "</f>
        <v xml:space="preserve">2170586008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4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1</v>
      </c>
      <c r="BJ2225" s="2">
        <v>0.2</v>
      </c>
      <c r="BK2225" s="2">
        <v>1</v>
      </c>
      <c r="BL2225" s="2">
        <v>41.44</v>
      </c>
      <c r="BM2225" s="2">
        <v>5.8</v>
      </c>
      <c r="BN2225" s="2">
        <v>47.24</v>
      </c>
      <c r="BO2225" s="2">
        <v>47.24</v>
      </c>
      <c r="BP2225" s="2"/>
      <c r="BQ2225" s="2" t="s">
        <v>83</v>
      </c>
      <c r="BR2225" s="2" t="s">
        <v>84</v>
      </c>
      <c r="BS2225" s="3">
        <v>42969</v>
      </c>
      <c r="BT2225" s="4">
        <v>0.3611111111111111</v>
      </c>
      <c r="BU2225" s="2" t="s">
        <v>2747</v>
      </c>
      <c r="BV2225" s="2" t="s">
        <v>95</v>
      </c>
      <c r="BW2225" s="2"/>
      <c r="BX2225" s="2"/>
      <c r="BY2225" s="2">
        <v>1200</v>
      </c>
      <c r="BZ2225" s="2" t="s">
        <v>27</v>
      </c>
      <c r="CA2225" s="2" t="s">
        <v>1170</v>
      </c>
      <c r="CB2225" s="2"/>
      <c r="CC2225" s="2" t="s">
        <v>363</v>
      </c>
      <c r="CD2225" s="2">
        <v>3201</v>
      </c>
      <c r="CE2225" s="2" t="s">
        <v>104</v>
      </c>
      <c r="CF2225" s="2"/>
      <c r="CG2225" s="2"/>
      <c r="CH2225" s="2"/>
      <c r="CI2225" s="2">
        <v>1</v>
      </c>
      <c r="CJ2225" s="2">
        <v>1</v>
      </c>
      <c r="CK2225" s="2">
        <v>21</v>
      </c>
      <c r="CL2225" s="2" t="s">
        <v>86</v>
      </c>
      <c r="CM2225" s="2"/>
    </row>
    <row r="2226" spans="1:91">
      <c r="A2226" s="2" t="s">
        <v>71</v>
      </c>
      <c r="B2226" s="2" t="s">
        <v>72</v>
      </c>
      <c r="C2226" s="2" t="s">
        <v>73</v>
      </c>
      <c r="D2226" s="2"/>
      <c r="E2226" s="2" t="str">
        <f>"FES1162570202"</f>
        <v>FES1162570202</v>
      </c>
      <c r="F2226" s="3">
        <v>42968</v>
      </c>
      <c r="G2226" s="2">
        <v>201802</v>
      </c>
      <c r="H2226" s="2" t="s">
        <v>74</v>
      </c>
      <c r="I2226" s="2" t="s">
        <v>75</v>
      </c>
      <c r="J2226" s="2" t="s">
        <v>76</v>
      </c>
      <c r="K2226" s="2" t="s">
        <v>77</v>
      </c>
      <c r="L2226" s="2" t="s">
        <v>244</v>
      </c>
      <c r="M2226" s="2" t="s">
        <v>245</v>
      </c>
      <c r="N2226" s="2" t="s">
        <v>246</v>
      </c>
      <c r="O2226" s="2" t="s">
        <v>100</v>
      </c>
      <c r="P2226" s="2" t="str">
        <f>"2170585973                    "</f>
        <v xml:space="preserve">2170585973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3.13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1</v>
      </c>
      <c r="BJ2226" s="2">
        <v>0.2</v>
      </c>
      <c r="BK2226" s="2">
        <v>1</v>
      </c>
      <c r="BL2226" s="2">
        <v>32.380000000000003</v>
      </c>
      <c r="BM2226" s="2">
        <v>4.53</v>
      </c>
      <c r="BN2226" s="2">
        <v>36.909999999999997</v>
      </c>
      <c r="BO2226" s="2">
        <v>36.909999999999997</v>
      </c>
      <c r="BP2226" s="2"/>
      <c r="BQ2226" s="2" t="s">
        <v>209</v>
      </c>
      <c r="BR2226" s="2" t="s">
        <v>84</v>
      </c>
      <c r="BS2226" s="3">
        <v>42969</v>
      </c>
      <c r="BT2226" s="4">
        <v>0.38680555555555557</v>
      </c>
      <c r="BU2226" s="2" t="s">
        <v>740</v>
      </c>
      <c r="BV2226" s="2" t="s">
        <v>95</v>
      </c>
      <c r="BW2226" s="2"/>
      <c r="BX2226" s="2"/>
      <c r="BY2226" s="2">
        <v>1200</v>
      </c>
      <c r="BZ2226" s="2" t="s">
        <v>27</v>
      </c>
      <c r="CA2226" s="2" t="s">
        <v>499</v>
      </c>
      <c r="CB2226" s="2"/>
      <c r="CC2226" s="2" t="s">
        <v>245</v>
      </c>
      <c r="CD2226" s="2">
        <v>1459</v>
      </c>
      <c r="CE2226" s="2" t="s">
        <v>104</v>
      </c>
      <c r="CF2226" s="5">
        <v>42970</v>
      </c>
      <c r="CG2226" s="2"/>
      <c r="CH2226" s="2"/>
      <c r="CI2226" s="2">
        <v>1</v>
      </c>
      <c r="CJ2226" s="2">
        <v>1</v>
      </c>
      <c r="CK2226" s="2">
        <v>22</v>
      </c>
      <c r="CL2226" s="2" t="s">
        <v>86</v>
      </c>
      <c r="CM2226" s="2"/>
    </row>
    <row r="2227" spans="1:91">
      <c r="A2227" s="2" t="s">
        <v>71</v>
      </c>
      <c r="B2227" s="2" t="s">
        <v>72</v>
      </c>
      <c r="C2227" s="2" t="s">
        <v>73</v>
      </c>
      <c r="D2227" s="2"/>
      <c r="E2227" s="2" t="str">
        <f>"FES1162570107"</f>
        <v>FES1162570107</v>
      </c>
      <c r="F2227" s="3">
        <v>42968</v>
      </c>
      <c r="G2227" s="2">
        <v>201802</v>
      </c>
      <c r="H2227" s="2" t="s">
        <v>74</v>
      </c>
      <c r="I2227" s="2" t="s">
        <v>75</v>
      </c>
      <c r="J2227" s="2" t="s">
        <v>76</v>
      </c>
      <c r="K2227" s="2" t="s">
        <v>77</v>
      </c>
      <c r="L2227" s="2" t="s">
        <v>343</v>
      </c>
      <c r="M2227" s="2" t="s">
        <v>344</v>
      </c>
      <c r="N2227" s="2" t="s">
        <v>1961</v>
      </c>
      <c r="O2227" s="2" t="s">
        <v>100</v>
      </c>
      <c r="P2227" s="2" t="str">
        <f>"2170585474                    "</f>
        <v xml:space="preserve">2170585474 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6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1</v>
      </c>
      <c r="BI2227" s="2">
        <v>2.9</v>
      </c>
      <c r="BJ2227" s="2">
        <v>1.5</v>
      </c>
      <c r="BK2227" s="2">
        <v>3</v>
      </c>
      <c r="BL2227" s="2">
        <v>62.16</v>
      </c>
      <c r="BM2227" s="2">
        <v>8.6999999999999993</v>
      </c>
      <c r="BN2227" s="2">
        <v>70.86</v>
      </c>
      <c r="BO2227" s="2">
        <v>70.86</v>
      </c>
      <c r="BP2227" s="2"/>
      <c r="BQ2227" s="2" t="s">
        <v>288</v>
      </c>
      <c r="BR2227" s="2" t="s">
        <v>84</v>
      </c>
      <c r="BS2227" s="3">
        <v>42969</v>
      </c>
      <c r="BT2227" s="4">
        <v>0.43333333333333335</v>
      </c>
      <c r="BU2227" s="2" t="s">
        <v>2748</v>
      </c>
      <c r="BV2227" s="2" t="s">
        <v>95</v>
      </c>
      <c r="BW2227" s="2"/>
      <c r="BX2227" s="2"/>
      <c r="BY2227" s="2">
        <v>7463.81</v>
      </c>
      <c r="BZ2227" s="2" t="s">
        <v>27</v>
      </c>
      <c r="CA2227" s="2" t="s">
        <v>347</v>
      </c>
      <c r="CB2227" s="2"/>
      <c r="CC2227" s="2" t="s">
        <v>344</v>
      </c>
      <c r="CD2227" s="2">
        <v>4133</v>
      </c>
      <c r="CE2227" s="2" t="s">
        <v>89</v>
      </c>
      <c r="CF2227" s="5">
        <v>42970</v>
      </c>
      <c r="CG2227" s="2"/>
      <c r="CH2227" s="2"/>
      <c r="CI2227" s="2">
        <v>1</v>
      </c>
      <c r="CJ2227" s="2">
        <v>1</v>
      </c>
      <c r="CK2227" s="2">
        <v>21</v>
      </c>
      <c r="CL2227" s="2" t="s">
        <v>86</v>
      </c>
      <c r="CM2227" s="2"/>
    </row>
    <row r="2228" spans="1:91">
      <c r="A2228" s="2" t="s">
        <v>71</v>
      </c>
      <c r="B2228" s="2" t="s">
        <v>72</v>
      </c>
      <c r="C2228" s="2" t="s">
        <v>73</v>
      </c>
      <c r="D2228" s="2"/>
      <c r="E2228" s="2" t="str">
        <f>"FES1162570185"</f>
        <v>FES1162570185</v>
      </c>
      <c r="F2228" s="3">
        <v>42968</v>
      </c>
      <c r="G2228" s="2">
        <v>201802</v>
      </c>
      <c r="H2228" s="2" t="s">
        <v>74</v>
      </c>
      <c r="I2228" s="2" t="s">
        <v>75</v>
      </c>
      <c r="J2228" s="2" t="s">
        <v>76</v>
      </c>
      <c r="K2228" s="2" t="s">
        <v>77</v>
      </c>
      <c r="L2228" s="2" t="s">
        <v>74</v>
      </c>
      <c r="M2228" s="2" t="s">
        <v>75</v>
      </c>
      <c r="N2228" s="2" t="s">
        <v>506</v>
      </c>
      <c r="O2228" s="2" t="s">
        <v>100</v>
      </c>
      <c r="P2228" s="2" t="str">
        <f>"2170585940                    "</f>
        <v xml:space="preserve">2170585940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3.13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1</v>
      </c>
      <c r="BJ2228" s="2">
        <v>0.2</v>
      </c>
      <c r="BK2228" s="2">
        <v>1</v>
      </c>
      <c r="BL2228" s="2">
        <v>32.380000000000003</v>
      </c>
      <c r="BM2228" s="2">
        <v>4.53</v>
      </c>
      <c r="BN2228" s="2">
        <v>36.909999999999997</v>
      </c>
      <c r="BO2228" s="2">
        <v>36.909999999999997</v>
      </c>
      <c r="BP2228" s="2"/>
      <c r="BQ2228" s="2" t="s">
        <v>288</v>
      </c>
      <c r="BR2228" s="2" t="s">
        <v>84</v>
      </c>
      <c r="BS2228" s="3">
        <v>42969</v>
      </c>
      <c r="BT2228" s="4">
        <v>0.38680555555555557</v>
      </c>
      <c r="BU2228" s="2" t="s">
        <v>508</v>
      </c>
      <c r="BV2228" s="2" t="s">
        <v>95</v>
      </c>
      <c r="BW2228" s="2"/>
      <c r="BX2228" s="2"/>
      <c r="BY2228" s="2">
        <v>1200</v>
      </c>
      <c r="BZ2228" s="2" t="s">
        <v>27</v>
      </c>
      <c r="CA2228" s="2" t="s">
        <v>267</v>
      </c>
      <c r="CB2228" s="2"/>
      <c r="CC2228" s="2" t="s">
        <v>75</v>
      </c>
      <c r="CD2228" s="2">
        <v>1609</v>
      </c>
      <c r="CE2228" s="2" t="s">
        <v>104</v>
      </c>
      <c r="CF2228" s="5">
        <v>42970</v>
      </c>
      <c r="CG2228" s="2"/>
      <c r="CH2228" s="2"/>
      <c r="CI2228" s="2">
        <v>1</v>
      </c>
      <c r="CJ2228" s="2">
        <v>1</v>
      </c>
      <c r="CK2228" s="2">
        <v>22</v>
      </c>
      <c r="CL2228" s="2" t="s">
        <v>86</v>
      </c>
      <c r="CM2228" s="2"/>
    </row>
    <row r="2229" spans="1:91">
      <c r="A2229" s="2" t="s">
        <v>71</v>
      </c>
      <c r="B2229" s="2" t="s">
        <v>72</v>
      </c>
      <c r="C2229" s="2" t="s">
        <v>73</v>
      </c>
      <c r="D2229" s="2"/>
      <c r="E2229" s="2" t="str">
        <f>"FES1162570193"</f>
        <v>FES1162570193</v>
      </c>
      <c r="F2229" s="3">
        <v>42968</v>
      </c>
      <c r="G2229" s="2">
        <v>201802</v>
      </c>
      <c r="H2229" s="2" t="s">
        <v>74</v>
      </c>
      <c r="I2229" s="2" t="s">
        <v>75</v>
      </c>
      <c r="J2229" s="2" t="s">
        <v>76</v>
      </c>
      <c r="K2229" s="2" t="s">
        <v>77</v>
      </c>
      <c r="L2229" s="2" t="s">
        <v>74</v>
      </c>
      <c r="M2229" s="2" t="s">
        <v>75</v>
      </c>
      <c r="N2229" s="2" t="s">
        <v>2749</v>
      </c>
      <c r="O2229" s="2" t="s">
        <v>100</v>
      </c>
      <c r="P2229" s="2" t="str">
        <f>"2170585951                    "</f>
        <v xml:space="preserve">2170585951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3.13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1</v>
      </c>
      <c r="BJ2229" s="2">
        <v>0.2</v>
      </c>
      <c r="BK2229" s="2">
        <v>1</v>
      </c>
      <c r="BL2229" s="2">
        <v>32.380000000000003</v>
      </c>
      <c r="BM2229" s="2">
        <v>4.53</v>
      </c>
      <c r="BN2229" s="2">
        <v>36.909999999999997</v>
      </c>
      <c r="BO2229" s="2">
        <v>36.909999999999997</v>
      </c>
      <c r="BP2229" s="2"/>
      <c r="BQ2229" s="2" t="s">
        <v>288</v>
      </c>
      <c r="BR2229" s="2" t="s">
        <v>84</v>
      </c>
      <c r="BS2229" s="3">
        <v>42969</v>
      </c>
      <c r="BT2229" s="4">
        <v>0.41041666666666665</v>
      </c>
      <c r="BU2229" s="2" t="s">
        <v>2750</v>
      </c>
      <c r="BV2229" s="2" t="s">
        <v>95</v>
      </c>
      <c r="BW2229" s="2"/>
      <c r="BX2229" s="2"/>
      <c r="BY2229" s="2">
        <v>1200</v>
      </c>
      <c r="BZ2229" s="2" t="s">
        <v>27</v>
      </c>
      <c r="CA2229" s="2" t="s">
        <v>267</v>
      </c>
      <c r="CB2229" s="2"/>
      <c r="CC2229" s="2" t="s">
        <v>75</v>
      </c>
      <c r="CD2229" s="2">
        <v>1610</v>
      </c>
      <c r="CE2229" s="2" t="s">
        <v>104</v>
      </c>
      <c r="CF2229" s="5">
        <v>42970</v>
      </c>
      <c r="CG2229" s="2"/>
      <c r="CH2229" s="2"/>
      <c r="CI2229" s="2">
        <v>1</v>
      </c>
      <c r="CJ2229" s="2">
        <v>1</v>
      </c>
      <c r="CK2229" s="2">
        <v>22</v>
      </c>
      <c r="CL2229" s="2" t="s">
        <v>86</v>
      </c>
      <c r="CM2229" s="2"/>
    </row>
    <row r="2230" spans="1:91">
      <c r="A2230" s="2" t="s">
        <v>71</v>
      </c>
      <c r="B2230" s="2" t="s">
        <v>72</v>
      </c>
      <c r="C2230" s="2" t="s">
        <v>73</v>
      </c>
      <c r="D2230" s="2"/>
      <c r="E2230" s="2" t="str">
        <f>"FES1162570201"</f>
        <v>FES1162570201</v>
      </c>
      <c r="F2230" s="3">
        <v>42968</v>
      </c>
      <c r="G2230" s="2">
        <v>201802</v>
      </c>
      <c r="H2230" s="2" t="s">
        <v>74</v>
      </c>
      <c r="I2230" s="2" t="s">
        <v>75</v>
      </c>
      <c r="J2230" s="2" t="s">
        <v>76</v>
      </c>
      <c r="K2230" s="2" t="s">
        <v>77</v>
      </c>
      <c r="L2230" s="2" t="s">
        <v>244</v>
      </c>
      <c r="M2230" s="2" t="s">
        <v>245</v>
      </c>
      <c r="N2230" s="2" t="s">
        <v>246</v>
      </c>
      <c r="O2230" s="2" t="s">
        <v>100</v>
      </c>
      <c r="P2230" s="2" t="str">
        <f>"2170585972                    "</f>
        <v xml:space="preserve">2170585972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3.13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1</v>
      </c>
      <c r="BJ2230" s="2">
        <v>0.2</v>
      </c>
      <c r="BK2230" s="2">
        <v>1</v>
      </c>
      <c r="BL2230" s="2">
        <v>32.380000000000003</v>
      </c>
      <c r="BM2230" s="2">
        <v>4.53</v>
      </c>
      <c r="BN2230" s="2">
        <v>36.909999999999997</v>
      </c>
      <c r="BO2230" s="2">
        <v>36.909999999999997</v>
      </c>
      <c r="BP2230" s="2"/>
      <c r="BQ2230" s="2" t="s">
        <v>209</v>
      </c>
      <c r="BR2230" s="2" t="s">
        <v>84</v>
      </c>
      <c r="BS2230" s="3">
        <v>42969</v>
      </c>
      <c r="BT2230" s="4">
        <v>0.38750000000000001</v>
      </c>
      <c r="BU2230" s="2" t="s">
        <v>740</v>
      </c>
      <c r="BV2230" s="2" t="s">
        <v>95</v>
      </c>
      <c r="BW2230" s="2"/>
      <c r="BX2230" s="2"/>
      <c r="BY2230" s="2">
        <v>1200</v>
      </c>
      <c r="BZ2230" s="2" t="s">
        <v>27</v>
      </c>
      <c r="CA2230" s="2" t="s">
        <v>499</v>
      </c>
      <c r="CB2230" s="2"/>
      <c r="CC2230" s="2" t="s">
        <v>245</v>
      </c>
      <c r="CD2230" s="2">
        <v>1459</v>
      </c>
      <c r="CE2230" s="2" t="s">
        <v>104</v>
      </c>
      <c r="CF2230" s="5">
        <v>42970</v>
      </c>
      <c r="CG2230" s="2"/>
      <c r="CH2230" s="2"/>
      <c r="CI2230" s="2">
        <v>1</v>
      </c>
      <c r="CJ2230" s="2">
        <v>1</v>
      </c>
      <c r="CK2230" s="2">
        <v>22</v>
      </c>
      <c r="CL2230" s="2" t="s">
        <v>86</v>
      </c>
      <c r="CM2230" s="2"/>
    </row>
    <row r="2231" spans="1:91">
      <c r="A2231" s="2" t="s">
        <v>71</v>
      </c>
      <c r="B2231" s="2" t="s">
        <v>72</v>
      </c>
      <c r="C2231" s="2" t="s">
        <v>73</v>
      </c>
      <c r="D2231" s="2"/>
      <c r="E2231" s="2" t="str">
        <f>"FES1162570212"</f>
        <v>FES1162570212</v>
      </c>
      <c r="F2231" s="3">
        <v>42968</v>
      </c>
      <c r="G2231" s="2">
        <v>201802</v>
      </c>
      <c r="H2231" s="2" t="s">
        <v>74</v>
      </c>
      <c r="I2231" s="2" t="s">
        <v>75</v>
      </c>
      <c r="J2231" s="2" t="s">
        <v>76</v>
      </c>
      <c r="K2231" s="2" t="s">
        <v>77</v>
      </c>
      <c r="L2231" s="2" t="s">
        <v>74</v>
      </c>
      <c r="M2231" s="2" t="s">
        <v>75</v>
      </c>
      <c r="N2231" s="2" t="s">
        <v>407</v>
      </c>
      <c r="O2231" s="2" t="s">
        <v>100</v>
      </c>
      <c r="P2231" s="2" t="str">
        <f>"2170585989                    "</f>
        <v xml:space="preserve">2170585989 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3.13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1</v>
      </c>
      <c r="BJ2231" s="2">
        <v>0.2</v>
      </c>
      <c r="BK2231" s="2">
        <v>1</v>
      </c>
      <c r="BL2231" s="2">
        <v>32.380000000000003</v>
      </c>
      <c r="BM2231" s="2">
        <v>4.53</v>
      </c>
      <c r="BN2231" s="2">
        <v>36.909999999999997</v>
      </c>
      <c r="BO2231" s="2">
        <v>36.909999999999997</v>
      </c>
      <c r="BP2231" s="2"/>
      <c r="BQ2231" s="2" t="s">
        <v>108</v>
      </c>
      <c r="BR2231" s="2" t="s">
        <v>84</v>
      </c>
      <c r="BS2231" s="3">
        <v>42969</v>
      </c>
      <c r="BT2231" s="4">
        <v>0.33333333333333331</v>
      </c>
      <c r="BU2231" s="2" t="s">
        <v>935</v>
      </c>
      <c r="BV2231" s="2" t="s">
        <v>95</v>
      </c>
      <c r="BW2231" s="2"/>
      <c r="BX2231" s="2"/>
      <c r="BY2231" s="2">
        <v>1200</v>
      </c>
      <c r="BZ2231" s="2" t="s">
        <v>27</v>
      </c>
      <c r="CA2231" s="2" t="s">
        <v>267</v>
      </c>
      <c r="CB2231" s="2"/>
      <c r="CC2231" s="2" t="s">
        <v>75</v>
      </c>
      <c r="CD2231" s="2">
        <v>1645</v>
      </c>
      <c r="CE2231" s="2" t="s">
        <v>104</v>
      </c>
      <c r="CF2231" s="5">
        <v>42970</v>
      </c>
      <c r="CG2231" s="2"/>
      <c r="CH2231" s="2"/>
      <c r="CI2231" s="2">
        <v>1</v>
      </c>
      <c r="CJ2231" s="2">
        <v>1</v>
      </c>
      <c r="CK2231" s="2">
        <v>22</v>
      </c>
      <c r="CL2231" s="2" t="s">
        <v>86</v>
      </c>
      <c r="CM2231" s="2"/>
    </row>
    <row r="2232" spans="1:91">
      <c r="A2232" s="2" t="s">
        <v>71</v>
      </c>
      <c r="B2232" s="2" t="s">
        <v>72</v>
      </c>
      <c r="C2232" s="2" t="s">
        <v>73</v>
      </c>
      <c r="D2232" s="2"/>
      <c r="E2232" s="2" t="str">
        <f>"FES1162570183"</f>
        <v>FES1162570183</v>
      </c>
      <c r="F2232" s="3">
        <v>42968</v>
      </c>
      <c r="G2232" s="2">
        <v>201802</v>
      </c>
      <c r="H2232" s="2" t="s">
        <v>74</v>
      </c>
      <c r="I2232" s="2" t="s">
        <v>75</v>
      </c>
      <c r="J2232" s="2" t="s">
        <v>76</v>
      </c>
      <c r="K2232" s="2" t="s">
        <v>77</v>
      </c>
      <c r="L2232" s="2" t="s">
        <v>74</v>
      </c>
      <c r="M2232" s="2" t="s">
        <v>75</v>
      </c>
      <c r="N2232" s="2" t="s">
        <v>1291</v>
      </c>
      <c r="O2232" s="2" t="s">
        <v>100</v>
      </c>
      <c r="P2232" s="2" t="str">
        <f>"2170585933                    "</f>
        <v xml:space="preserve">2170585933 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3.13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1</v>
      </c>
      <c r="BI2232" s="2">
        <v>4.7</v>
      </c>
      <c r="BJ2232" s="2">
        <v>3.4</v>
      </c>
      <c r="BK2232" s="2">
        <v>5</v>
      </c>
      <c r="BL2232" s="2">
        <v>32.380000000000003</v>
      </c>
      <c r="BM2232" s="2">
        <v>4.53</v>
      </c>
      <c r="BN2232" s="2">
        <v>36.909999999999997</v>
      </c>
      <c r="BO2232" s="2">
        <v>36.909999999999997</v>
      </c>
      <c r="BP2232" s="2"/>
      <c r="BQ2232" s="2" t="s">
        <v>288</v>
      </c>
      <c r="BR2232" s="2" t="s">
        <v>84</v>
      </c>
      <c r="BS2232" s="3">
        <v>42969</v>
      </c>
      <c r="BT2232" s="4">
        <v>0.36388888888888887</v>
      </c>
      <c r="BU2232" s="2" t="s">
        <v>2751</v>
      </c>
      <c r="BV2232" s="2" t="s">
        <v>95</v>
      </c>
      <c r="BW2232" s="2"/>
      <c r="BX2232" s="2"/>
      <c r="BY2232" s="2">
        <v>16761.599999999999</v>
      </c>
      <c r="BZ2232" s="2" t="s">
        <v>27</v>
      </c>
      <c r="CA2232" s="2" t="s">
        <v>331</v>
      </c>
      <c r="CB2232" s="2"/>
      <c r="CC2232" s="2" t="s">
        <v>75</v>
      </c>
      <c r="CD2232" s="2">
        <v>1600</v>
      </c>
      <c r="CE2232" s="2" t="s">
        <v>89</v>
      </c>
      <c r="CF2232" s="5">
        <v>42970</v>
      </c>
      <c r="CG2232" s="2"/>
      <c r="CH2232" s="2"/>
      <c r="CI2232" s="2">
        <v>1</v>
      </c>
      <c r="CJ2232" s="2">
        <v>1</v>
      </c>
      <c r="CK2232" s="2">
        <v>22</v>
      </c>
      <c r="CL2232" s="2" t="s">
        <v>86</v>
      </c>
      <c r="CM2232" s="2"/>
    </row>
    <row r="2233" spans="1:91">
      <c r="A2233" s="2" t="s">
        <v>71</v>
      </c>
      <c r="B2233" s="2" t="s">
        <v>72</v>
      </c>
      <c r="C2233" s="2" t="s">
        <v>73</v>
      </c>
      <c r="D2233" s="2"/>
      <c r="E2233" s="2" t="str">
        <f>"FES1162570338"</f>
        <v>FES1162570338</v>
      </c>
      <c r="F2233" s="3">
        <v>42968</v>
      </c>
      <c r="G2233" s="2">
        <v>201802</v>
      </c>
      <c r="H2233" s="2" t="s">
        <v>74</v>
      </c>
      <c r="I2233" s="2" t="s">
        <v>75</v>
      </c>
      <c r="J2233" s="2" t="s">
        <v>76</v>
      </c>
      <c r="K2233" s="2" t="s">
        <v>77</v>
      </c>
      <c r="L2233" s="2" t="s">
        <v>144</v>
      </c>
      <c r="M2233" s="2" t="s">
        <v>145</v>
      </c>
      <c r="N2233" s="2" t="s">
        <v>146</v>
      </c>
      <c r="O2233" s="2" t="s">
        <v>100</v>
      </c>
      <c r="P2233" s="2" t="str">
        <f>"2170586108                    "</f>
        <v xml:space="preserve">2170586108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3.13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2</v>
      </c>
      <c r="BI2233" s="2">
        <v>4.5999999999999996</v>
      </c>
      <c r="BJ2233" s="2">
        <v>3.3</v>
      </c>
      <c r="BK2233" s="2">
        <v>5</v>
      </c>
      <c r="BL2233" s="2">
        <v>32.380000000000003</v>
      </c>
      <c r="BM2233" s="2">
        <v>4.53</v>
      </c>
      <c r="BN2233" s="2">
        <v>36.909999999999997</v>
      </c>
      <c r="BO2233" s="2">
        <v>36.909999999999997</v>
      </c>
      <c r="BP2233" s="2"/>
      <c r="BQ2233" s="2" t="s">
        <v>83</v>
      </c>
      <c r="BR2233" s="2" t="s">
        <v>84</v>
      </c>
      <c r="BS2233" s="3">
        <v>42969</v>
      </c>
      <c r="BT2233" s="4">
        <v>0.375</v>
      </c>
      <c r="BU2233" s="2" t="s">
        <v>1458</v>
      </c>
      <c r="BV2233" s="2" t="s">
        <v>95</v>
      </c>
      <c r="BW2233" s="2"/>
      <c r="BX2233" s="2"/>
      <c r="BY2233" s="2">
        <v>16617.189999999999</v>
      </c>
      <c r="BZ2233" s="2" t="s">
        <v>27</v>
      </c>
      <c r="CA2233" s="2" t="s">
        <v>729</v>
      </c>
      <c r="CB2233" s="2"/>
      <c r="CC2233" s="2" t="s">
        <v>145</v>
      </c>
      <c r="CD2233" s="2">
        <v>2094</v>
      </c>
      <c r="CE2233" s="2" t="s">
        <v>89</v>
      </c>
      <c r="CF2233" s="5">
        <v>42970</v>
      </c>
      <c r="CG2233" s="2"/>
      <c r="CH2233" s="2"/>
      <c r="CI2233" s="2">
        <v>1</v>
      </c>
      <c r="CJ2233" s="2">
        <v>1</v>
      </c>
      <c r="CK2233" s="2">
        <v>22</v>
      </c>
      <c r="CL2233" s="2" t="s">
        <v>86</v>
      </c>
      <c r="CM2233" s="2"/>
    </row>
    <row r="2234" spans="1:91">
      <c r="A2234" s="2" t="s">
        <v>71</v>
      </c>
      <c r="B2234" s="2" t="s">
        <v>72</v>
      </c>
      <c r="C2234" s="2" t="s">
        <v>73</v>
      </c>
      <c r="D2234" s="2"/>
      <c r="E2234" s="2" t="str">
        <f>"FES1162570277"</f>
        <v>FES1162570277</v>
      </c>
      <c r="F2234" s="3">
        <v>42968</v>
      </c>
      <c r="G2234" s="2">
        <v>201802</v>
      </c>
      <c r="H2234" s="2" t="s">
        <v>74</v>
      </c>
      <c r="I2234" s="2" t="s">
        <v>75</v>
      </c>
      <c r="J2234" s="2" t="s">
        <v>76</v>
      </c>
      <c r="K2234" s="2" t="s">
        <v>77</v>
      </c>
      <c r="L2234" s="2" t="s">
        <v>939</v>
      </c>
      <c r="M2234" s="2" t="s">
        <v>940</v>
      </c>
      <c r="N2234" s="2" t="s">
        <v>2752</v>
      </c>
      <c r="O2234" s="2" t="s">
        <v>100</v>
      </c>
      <c r="P2234" s="2" t="str">
        <f>"2170586041                    "</f>
        <v xml:space="preserve">2170586041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5.63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1</v>
      </c>
      <c r="BI2234" s="2">
        <v>1</v>
      </c>
      <c r="BJ2234" s="2">
        <v>0.2</v>
      </c>
      <c r="BK2234" s="2">
        <v>1</v>
      </c>
      <c r="BL2234" s="2">
        <v>58.28</v>
      </c>
      <c r="BM2234" s="2">
        <v>8.16</v>
      </c>
      <c r="BN2234" s="2">
        <v>66.44</v>
      </c>
      <c r="BO2234" s="2">
        <v>66.44</v>
      </c>
      <c r="BP2234" s="2"/>
      <c r="BQ2234" s="2" t="s">
        <v>288</v>
      </c>
      <c r="BR2234" s="2" t="s">
        <v>84</v>
      </c>
      <c r="BS2234" s="3">
        <v>42969</v>
      </c>
      <c r="BT2234" s="4">
        <v>0.61805555555555558</v>
      </c>
      <c r="BU2234" s="2" t="s">
        <v>2753</v>
      </c>
      <c r="BV2234" s="2" t="s">
        <v>95</v>
      </c>
      <c r="BW2234" s="2"/>
      <c r="BX2234" s="2"/>
      <c r="BY2234" s="2">
        <v>1200</v>
      </c>
      <c r="BZ2234" s="2" t="s">
        <v>27</v>
      </c>
      <c r="CA2234" s="2" t="s">
        <v>943</v>
      </c>
      <c r="CB2234" s="2"/>
      <c r="CC2234" s="2" t="s">
        <v>940</v>
      </c>
      <c r="CD2234" s="2">
        <v>1028</v>
      </c>
      <c r="CE2234" s="2" t="s">
        <v>104</v>
      </c>
      <c r="CF2234" s="5">
        <v>42970</v>
      </c>
      <c r="CG2234" s="2"/>
      <c r="CH2234" s="2"/>
      <c r="CI2234" s="2">
        <v>2</v>
      </c>
      <c r="CJ2234" s="2">
        <v>1</v>
      </c>
      <c r="CK2234" s="2">
        <v>24</v>
      </c>
      <c r="CL2234" s="2" t="s">
        <v>86</v>
      </c>
      <c r="CM2234" s="2"/>
    </row>
    <row r="2235" spans="1:91">
      <c r="A2235" s="2" t="s">
        <v>71</v>
      </c>
      <c r="B2235" s="2" t="s">
        <v>72</v>
      </c>
      <c r="C2235" s="2" t="s">
        <v>73</v>
      </c>
      <c r="D2235" s="2"/>
      <c r="E2235" s="2" t="str">
        <f>"FES1162570294"</f>
        <v>FES1162570294</v>
      </c>
      <c r="F2235" s="3">
        <v>42968</v>
      </c>
      <c r="G2235" s="2">
        <v>201802</v>
      </c>
      <c r="H2235" s="2" t="s">
        <v>74</v>
      </c>
      <c r="I2235" s="2" t="s">
        <v>75</v>
      </c>
      <c r="J2235" s="2" t="s">
        <v>76</v>
      </c>
      <c r="K2235" s="2" t="s">
        <v>77</v>
      </c>
      <c r="L2235" s="2" t="s">
        <v>149</v>
      </c>
      <c r="M2235" s="2" t="s">
        <v>150</v>
      </c>
      <c r="N2235" s="2" t="s">
        <v>2754</v>
      </c>
      <c r="O2235" s="2" t="s">
        <v>100</v>
      </c>
      <c r="P2235" s="2" t="str">
        <f>"2170586066                    "</f>
        <v xml:space="preserve">2170586066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4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1</v>
      </c>
      <c r="BJ2235" s="2">
        <v>0.2</v>
      </c>
      <c r="BK2235" s="2">
        <v>1</v>
      </c>
      <c r="BL2235" s="2">
        <v>41.44</v>
      </c>
      <c r="BM2235" s="2">
        <v>5.8</v>
      </c>
      <c r="BN2235" s="2">
        <v>47.24</v>
      </c>
      <c r="BO2235" s="2">
        <v>47.24</v>
      </c>
      <c r="BP2235" s="2"/>
      <c r="BQ2235" s="2" t="s">
        <v>288</v>
      </c>
      <c r="BR2235" s="2" t="s">
        <v>84</v>
      </c>
      <c r="BS2235" s="3">
        <v>42969</v>
      </c>
      <c r="BT2235" s="4">
        <v>0.31388888888888888</v>
      </c>
      <c r="BU2235" s="2" t="s">
        <v>2755</v>
      </c>
      <c r="BV2235" s="2" t="s">
        <v>95</v>
      </c>
      <c r="BW2235" s="2"/>
      <c r="BX2235" s="2"/>
      <c r="BY2235" s="2">
        <v>1200</v>
      </c>
      <c r="BZ2235" s="2" t="s">
        <v>27</v>
      </c>
      <c r="CA2235" s="2" t="s">
        <v>1163</v>
      </c>
      <c r="CB2235" s="2"/>
      <c r="CC2235" s="2" t="s">
        <v>150</v>
      </c>
      <c r="CD2235" s="2">
        <v>4070</v>
      </c>
      <c r="CE2235" s="2" t="s">
        <v>104</v>
      </c>
      <c r="CF2235" s="5">
        <v>42970</v>
      </c>
      <c r="CG2235" s="2"/>
      <c r="CH2235" s="2"/>
      <c r="CI2235" s="2">
        <v>1</v>
      </c>
      <c r="CJ2235" s="2">
        <v>1</v>
      </c>
      <c r="CK2235" s="2">
        <v>21</v>
      </c>
      <c r="CL2235" s="2" t="s">
        <v>86</v>
      </c>
      <c r="CM2235" s="2"/>
    </row>
    <row r="2236" spans="1:91">
      <c r="A2236" s="2" t="s">
        <v>71</v>
      </c>
      <c r="B2236" s="2" t="s">
        <v>72</v>
      </c>
      <c r="C2236" s="2" t="s">
        <v>73</v>
      </c>
      <c r="D2236" s="2"/>
      <c r="E2236" s="2" t="str">
        <f>"FES1162570269"</f>
        <v>FES1162570269</v>
      </c>
      <c r="F2236" s="3">
        <v>42968</v>
      </c>
      <c r="G2236" s="2">
        <v>201802</v>
      </c>
      <c r="H2236" s="2" t="s">
        <v>74</v>
      </c>
      <c r="I2236" s="2" t="s">
        <v>75</v>
      </c>
      <c r="J2236" s="2" t="s">
        <v>76</v>
      </c>
      <c r="K2236" s="2" t="s">
        <v>77</v>
      </c>
      <c r="L2236" s="2" t="s">
        <v>221</v>
      </c>
      <c r="M2236" s="2" t="s">
        <v>222</v>
      </c>
      <c r="N2236" s="2" t="s">
        <v>415</v>
      </c>
      <c r="O2236" s="2" t="s">
        <v>100</v>
      </c>
      <c r="P2236" s="2" t="str">
        <f>"2170586045                    "</f>
        <v xml:space="preserve">2170586045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4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2</v>
      </c>
      <c r="BJ2236" s="2">
        <v>0.2</v>
      </c>
      <c r="BK2236" s="2">
        <v>2</v>
      </c>
      <c r="BL2236" s="2">
        <v>41.44</v>
      </c>
      <c r="BM2236" s="2">
        <v>5.8</v>
      </c>
      <c r="BN2236" s="2">
        <v>47.24</v>
      </c>
      <c r="BO2236" s="2">
        <v>47.24</v>
      </c>
      <c r="BP2236" s="2"/>
      <c r="BQ2236" s="2" t="s">
        <v>108</v>
      </c>
      <c r="BR2236" s="2" t="s">
        <v>84</v>
      </c>
      <c r="BS2236" s="3">
        <v>42969</v>
      </c>
      <c r="BT2236" s="4">
        <v>0.36041666666666666</v>
      </c>
      <c r="BU2236" s="2" t="s">
        <v>933</v>
      </c>
      <c r="BV2236" s="2" t="s">
        <v>95</v>
      </c>
      <c r="BW2236" s="2"/>
      <c r="BX2236" s="2"/>
      <c r="BY2236" s="2">
        <v>1200</v>
      </c>
      <c r="BZ2236" s="2" t="s">
        <v>27</v>
      </c>
      <c r="CA2236" s="2" t="s">
        <v>934</v>
      </c>
      <c r="CB2236" s="2"/>
      <c r="CC2236" s="2" t="s">
        <v>222</v>
      </c>
      <c r="CD2236" s="2">
        <v>4302</v>
      </c>
      <c r="CE2236" s="2" t="s">
        <v>104</v>
      </c>
      <c r="CF2236" s="5">
        <v>42970</v>
      </c>
      <c r="CG2236" s="2"/>
      <c r="CH2236" s="2"/>
      <c r="CI2236" s="2">
        <v>1</v>
      </c>
      <c r="CJ2236" s="2">
        <v>1</v>
      </c>
      <c r="CK2236" s="2">
        <v>21</v>
      </c>
      <c r="CL2236" s="2" t="s">
        <v>86</v>
      </c>
      <c r="CM2236" s="2"/>
    </row>
    <row r="2237" spans="1:91">
      <c r="A2237" s="2" t="s">
        <v>71</v>
      </c>
      <c r="B2237" s="2" t="s">
        <v>72</v>
      </c>
      <c r="C2237" s="2" t="s">
        <v>73</v>
      </c>
      <c r="D2237" s="2"/>
      <c r="E2237" s="2" t="str">
        <f>"FES1162570297"</f>
        <v>FES1162570297</v>
      </c>
      <c r="F2237" s="3">
        <v>42968</v>
      </c>
      <c r="G2237" s="2">
        <v>201802</v>
      </c>
      <c r="H2237" s="2" t="s">
        <v>74</v>
      </c>
      <c r="I2237" s="2" t="s">
        <v>75</v>
      </c>
      <c r="J2237" s="2" t="s">
        <v>76</v>
      </c>
      <c r="K2237" s="2" t="s">
        <v>77</v>
      </c>
      <c r="L2237" s="2" t="s">
        <v>221</v>
      </c>
      <c r="M2237" s="2" t="s">
        <v>222</v>
      </c>
      <c r="N2237" s="2" t="s">
        <v>1275</v>
      </c>
      <c r="O2237" s="2" t="s">
        <v>100</v>
      </c>
      <c r="P2237" s="2" t="str">
        <f>"2170586067                    "</f>
        <v xml:space="preserve">2170586067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4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1</v>
      </c>
      <c r="BI2237" s="2">
        <v>1.4</v>
      </c>
      <c r="BJ2237" s="2">
        <v>0.7</v>
      </c>
      <c r="BK2237" s="2">
        <v>1.5</v>
      </c>
      <c r="BL2237" s="2">
        <v>41.44</v>
      </c>
      <c r="BM2237" s="2">
        <v>5.8</v>
      </c>
      <c r="BN2237" s="2">
        <v>47.24</v>
      </c>
      <c r="BO2237" s="2">
        <v>47.24</v>
      </c>
      <c r="BP2237" s="2"/>
      <c r="BQ2237" s="2" t="s">
        <v>227</v>
      </c>
      <c r="BR2237" s="2" t="s">
        <v>84</v>
      </c>
      <c r="BS2237" s="3">
        <v>42969</v>
      </c>
      <c r="BT2237" s="4">
        <v>0.38194444444444442</v>
      </c>
      <c r="BU2237" s="2" t="s">
        <v>2756</v>
      </c>
      <c r="BV2237" s="2" t="s">
        <v>95</v>
      </c>
      <c r="BW2237" s="2"/>
      <c r="BX2237" s="2"/>
      <c r="BY2237" s="2">
        <v>3342.34</v>
      </c>
      <c r="BZ2237" s="2" t="s">
        <v>27</v>
      </c>
      <c r="CA2237" s="2" t="s">
        <v>2757</v>
      </c>
      <c r="CB2237" s="2"/>
      <c r="CC2237" s="2" t="s">
        <v>222</v>
      </c>
      <c r="CD2237" s="2">
        <v>4300</v>
      </c>
      <c r="CE2237" s="2" t="s">
        <v>135</v>
      </c>
      <c r="CF2237" s="5">
        <v>42970</v>
      </c>
      <c r="CG2237" s="2"/>
      <c r="CH2237" s="2"/>
      <c r="CI2237" s="2">
        <v>1</v>
      </c>
      <c r="CJ2237" s="2">
        <v>1</v>
      </c>
      <c r="CK2237" s="2">
        <v>21</v>
      </c>
      <c r="CL2237" s="2" t="s">
        <v>86</v>
      </c>
      <c r="CM2237" s="2"/>
    </row>
    <row r="2238" spans="1:91">
      <c r="A2238" s="2" t="s">
        <v>71</v>
      </c>
      <c r="B2238" s="2" t="s">
        <v>72</v>
      </c>
      <c r="C2238" s="2" t="s">
        <v>73</v>
      </c>
      <c r="D2238" s="2"/>
      <c r="E2238" s="2" t="str">
        <f>"FES1162570200"</f>
        <v>FES1162570200</v>
      </c>
      <c r="F2238" s="3">
        <v>42968</v>
      </c>
      <c r="G2238" s="2">
        <v>201802</v>
      </c>
      <c r="H2238" s="2" t="s">
        <v>74</v>
      </c>
      <c r="I2238" s="2" t="s">
        <v>75</v>
      </c>
      <c r="J2238" s="2" t="s">
        <v>76</v>
      </c>
      <c r="K2238" s="2" t="s">
        <v>77</v>
      </c>
      <c r="L2238" s="2" t="s">
        <v>723</v>
      </c>
      <c r="M2238" s="2" t="s">
        <v>724</v>
      </c>
      <c r="N2238" s="2" t="s">
        <v>351</v>
      </c>
      <c r="O2238" s="2" t="s">
        <v>100</v>
      </c>
      <c r="P2238" s="2" t="str">
        <f>"2170585969                    "</f>
        <v xml:space="preserve">2170585969           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5.63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1</v>
      </c>
      <c r="BJ2238" s="2">
        <v>0.2</v>
      </c>
      <c r="BK2238" s="2">
        <v>1</v>
      </c>
      <c r="BL2238" s="2">
        <v>58.28</v>
      </c>
      <c r="BM2238" s="2">
        <v>8.16</v>
      </c>
      <c r="BN2238" s="2">
        <v>66.44</v>
      </c>
      <c r="BO2238" s="2">
        <v>66.44</v>
      </c>
      <c r="BP2238" s="2"/>
      <c r="BQ2238" s="2" t="s">
        <v>227</v>
      </c>
      <c r="BR2238" s="2" t="s">
        <v>84</v>
      </c>
      <c r="BS2238" s="3">
        <v>42969</v>
      </c>
      <c r="BT2238" s="4">
        <v>0.3125</v>
      </c>
      <c r="BU2238" s="2" t="s">
        <v>2545</v>
      </c>
      <c r="BV2238" s="2" t="s">
        <v>95</v>
      </c>
      <c r="BW2238" s="2"/>
      <c r="BX2238" s="2"/>
      <c r="BY2238" s="2">
        <v>1200</v>
      </c>
      <c r="BZ2238" s="2" t="s">
        <v>27</v>
      </c>
      <c r="CA2238" s="2" t="s">
        <v>727</v>
      </c>
      <c r="CB2238" s="2"/>
      <c r="CC2238" s="2" t="s">
        <v>724</v>
      </c>
      <c r="CD2238" s="2">
        <v>1754</v>
      </c>
      <c r="CE2238" s="2" t="s">
        <v>104</v>
      </c>
      <c r="CF2238" s="5">
        <v>42970</v>
      </c>
      <c r="CG2238" s="2"/>
      <c r="CH2238" s="2"/>
      <c r="CI2238" s="2">
        <v>1</v>
      </c>
      <c r="CJ2238" s="2">
        <v>1</v>
      </c>
      <c r="CK2238" s="2">
        <v>24</v>
      </c>
      <c r="CL2238" s="2" t="s">
        <v>86</v>
      </c>
      <c r="CM2238" s="2"/>
    </row>
    <row r="2239" spans="1:91">
      <c r="A2239" s="2" t="s">
        <v>71</v>
      </c>
      <c r="B2239" s="2" t="s">
        <v>72</v>
      </c>
      <c r="C2239" s="2" t="s">
        <v>73</v>
      </c>
      <c r="D2239" s="2"/>
      <c r="E2239" s="2" t="str">
        <f>"FES1162570198"</f>
        <v>FES1162570198</v>
      </c>
      <c r="F2239" s="3">
        <v>42968</v>
      </c>
      <c r="G2239" s="2">
        <v>201802</v>
      </c>
      <c r="H2239" s="2" t="s">
        <v>74</v>
      </c>
      <c r="I2239" s="2" t="s">
        <v>75</v>
      </c>
      <c r="J2239" s="2" t="s">
        <v>76</v>
      </c>
      <c r="K2239" s="2" t="s">
        <v>77</v>
      </c>
      <c r="L2239" s="2" t="s">
        <v>97</v>
      </c>
      <c r="M2239" s="2" t="s">
        <v>98</v>
      </c>
      <c r="N2239" s="2" t="s">
        <v>1029</v>
      </c>
      <c r="O2239" s="2" t="s">
        <v>100</v>
      </c>
      <c r="P2239" s="2" t="str">
        <f>"2170585961                    "</f>
        <v xml:space="preserve">2170585961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4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1</v>
      </c>
      <c r="BJ2239" s="2">
        <v>0.2</v>
      </c>
      <c r="BK2239" s="2">
        <v>1</v>
      </c>
      <c r="BL2239" s="2">
        <v>41.44</v>
      </c>
      <c r="BM2239" s="2">
        <v>5.8</v>
      </c>
      <c r="BN2239" s="2">
        <v>47.24</v>
      </c>
      <c r="BO2239" s="2">
        <v>47.24</v>
      </c>
      <c r="BP2239" s="2"/>
      <c r="BQ2239" s="2" t="s">
        <v>227</v>
      </c>
      <c r="BR2239" s="2" t="s">
        <v>84</v>
      </c>
      <c r="BS2239" s="3">
        <v>42969</v>
      </c>
      <c r="BT2239" s="4">
        <v>0.32777777777777778</v>
      </c>
      <c r="BU2239" s="2" t="s">
        <v>2758</v>
      </c>
      <c r="BV2239" s="2" t="s">
        <v>95</v>
      </c>
      <c r="BW2239" s="2"/>
      <c r="BX2239" s="2"/>
      <c r="BY2239" s="2">
        <v>1200</v>
      </c>
      <c r="BZ2239" s="2" t="s">
        <v>27</v>
      </c>
      <c r="CA2239" s="2" t="s">
        <v>213</v>
      </c>
      <c r="CB2239" s="2"/>
      <c r="CC2239" s="2" t="s">
        <v>98</v>
      </c>
      <c r="CD2239" s="2">
        <v>6001</v>
      </c>
      <c r="CE2239" s="2" t="s">
        <v>104</v>
      </c>
      <c r="CF2239" s="5">
        <v>42970</v>
      </c>
      <c r="CG2239" s="2"/>
      <c r="CH2239" s="2"/>
      <c r="CI2239" s="2">
        <v>1</v>
      </c>
      <c r="CJ2239" s="2">
        <v>1</v>
      </c>
      <c r="CK2239" s="2">
        <v>21</v>
      </c>
      <c r="CL2239" s="2" t="s">
        <v>86</v>
      </c>
      <c r="CM2239" s="2"/>
    </row>
    <row r="2240" spans="1:91">
      <c r="A2240" s="2" t="s">
        <v>71</v>
      </c>
      <c r="B2240" s="2" t="s">
        <v>72</v>
      </c>
      <c r="C2240" s="2" t="s">
        <v>73</v>
      </c>
      <c r="D2240" s="2"/>
      <c r="E2240" s="2" t="str">
        <f>"FES1162570285"</f>
        <v>FES1162570285</v>
      </c>
      <c r="F2240" s="3">
        <v>42968</v>
      </c>
      <c r="G2240" s="2">
        <v>201802</v>
      </c>
      <c r="H2240" s="2" t="s">
        <v>74</v>
      </c>
      <c r="I2240" s="2" t="s">
        <v>75</v>
      </c>
      <c r="J2240" s="2" t="s">
        <v>76</v>
      </c>
      <c r="K2240" s="2" t="s">
        <v>77</v>
      </c>
      <c r="L2240" s="2" t="s">
        <v>510</v>
      </c>
      <c r="M2240" s="2" t="s">
        <v>511</v>
      </c>
      <c r="N2240" s="2" t="s">
        <v>1504</v>
      </c>
      <c r="O2240" s="2" t="s">
        <v>100</v>
      </c>
      <c r="P2240" s="2" t="str">
        <f>"                              "</f>
        <v xml:space="preserve">           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4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1</v>
      </c>
      <c r="BJ2240" s="2">
        <v>0.2</v>
      </c>
      <c r="BK2240" s="2">
        <v>1</v>
      </c>
      <c r="BL2240" s="2">
        <v>41.44</v>
      </c>
      <c r="BM2240" s="2">
        <v>5.8</v>
      </c>
      <c r="BN2240" s="2">
        <v>47.24</v>
      </c>
      <c r="BO2240" s="2">
        <v>47.24</v>
      </c>
      <c r="BP2240" s="2">
        <v>2170586048</v>
      </c>
      <c r="BQ2240" s="2" t="s">
        <v>108</v>
      </c>
      <c r="BR2240" s="2" t="s">
        <v>84</v>
      </c>
      <c r="BS2240" s="3">
        <v>42969</v>
      </c>
      <c r="BT2240" s="4">
        <v>0.3125</v>
      </c>
      <c r="BU2240" s="2" t="s">
        <v>1999</v>
      </c>
      <c r="BV2240" s="2" t="s">
        <v>95</v>
      </c>
      <c r="BW2240" s="2"/>
      <c r="BX2240" s="2"/>
      <c r="BY2240" s="2">
        <v>1200</v>
      </c>
      <c r="BZ2240" s="2" t="s">
        <v>27</v>
      </c>
      <c r="CA2240" s="2" t="s">
        <v>514</v>
      </c>
      <c r="CB2240" s="2"/>
      <c r="CC2240" s="2" t="s">
        <v>511</v>
      </c>
      <c r="CD2240" s="2">
        <v>6230</v>
      </c>
      <c r="CE2240" s="2" t="s">
        <v>104</v>
      </c>
      <c r="CF2240" s="5">
        <v>42970</v>
      </c>
      <c r="CG2240" s="2"/>
      <c r="CH2240" s="2"/>
      <c r="CI2240" s="2">
        <v>1</v>
      </c>
      <c r="CJ2240" s="2">
        <v>1</v>
      </c>
      <c r="CK2240" s="2">
        <v>21</v>
      </c>
      <c r="CL2240" s="2" t="s">
        <v>86</v>
      </c>
      <c r="CM2240" s="2"/>
    </row>
    <row r="2241" spans="1:91">
      <c r="A2241" s="2" t="s">
        <v>71</v>
      </c>
      <c r="B2241" s="2" t="s">
        <v>72</v>
      </c>
      <c r="C2241" s="2" t="s">
        <v>73</v>
      </c>
      <c r="D2241" s="2"/>
      <c r="E2241" s="2" t="str">
        <f>"FES1162570278"</f>
        <v>FES1162570278</v>
      </c>
      <c r="F2241" s="3">
        <v>42968</v>
      </c>
      <c r="G2241" s="2">
        <v>201802</v>
      </c>
      <c r="H2241" s="2" t="s">
        <v>74</v>
      </c>
      <c r="I2241" s="2" t="s">
        <v>75</v>
      </c>
      <c r="J2241" s="2" t="s">
        <v>76</v>
      </c>
      <c r="K2241" s="2" t="s">
        <v>77</v>
      </c>
      <c r="L2241" s="2" t="s">
        <v>97</v>
      </c>
      <c r="M2241" s="2" t="s">
        <v>98</v>
      </c>
      <c r="N2241" s="2" t="s">
        <v>822</v>
      </c>
      <c r="O2241" s="2" t="s">
        <v>100</v>
      </c>
      <c r="P2241" s="2" t="str">
        <f>"2170586051                    "</f>
        <v xml:space="preserve">2170586051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4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1</v>
      </c>
      <c r="BI2241" s="2">
        <v>1</v>
      </c>
      <c r="BJ2241" s="2">
        <v>0.2</v>
      </c>
      <c r="BK2241" s="2">
        <v>1</v>
      </c>
      <c r="BL2241" s="2">
        <v>41.44</v>
      </c>
      <c r="BM2241" s="2">
        <v>5.8</v>
      </c>
      <c r="BN2241" s="2">
        <v>47.24</v>
      </c>
      <c r="BO2241" s="2">
        <v>47.24</v>
      </c>
      <c r="BP2241" s="2"/>
      <c r="BQ2241" s="2" t="s">
        <v>83</v>
      </c>
      <c r="BR2241" s="2" t="s">
        <v>84</v>
      </c>
      <c r="BS2241" s="3">
        <v>42969</v>
      </c>
      <c r="BT2241" s="4">
        <v>0.3125</v>
      </c>
      <c r="BU2241" s="2" t="s">
        <v>1081</v>
      </c>
      <c r="BV2241" s="2" t="s">
        <v>95</v>
      </c>
      <c r="BW2241" s="2"/>
      <c r="BX2241" s="2"/>
      <c r="BY2241" s="2">
        <v>1200</v>
      </c>
      <c r="BZ2241" s="2" t="s">
        <v>27</v>
      </c>
      <c r="CA2241" s="2" t="s">
        <v>294</v>
      </c>
      <c r="CB2241" s="2"/>
      <c r="CC2241" s="2" t="s">
        <v>98</v>
      </c>
      <c r="CD2241" s="2">
        <v>6014</v>
      </c>
      <c r="CE2241" s="2" t="s">
        <v>104</v>
      </c>
      <c r="CF2241" s="5">
        <v>42970</v>
      </c>
      <c r="CG2241" s="2"/>
      <c r="CH2241" s="2"/>
      <c r="CI2241" s="2">
        <v>1</v>
      </c>
      <c r="CJ2241" s="2">
        <v>1</v>
      </c>
      <c r="CK2241" s="2">
        <v>21</v>
      </c>
      <c r="CL2241" s="2" t="s">
        <v>86</v>
      </c>
      <c r="CM2241" s="2"/>
    </row>
    <row r="2242" spans="1:91">
      <c r="A2242" s="2" t="s">
        <v>71</v>
      </c>
      <c r="B2242" s="2" t="s">
        <v>72</v>
      </c>
      <c r="C2242" s="2" t="s">
        <v>73</v>
      </c>
      <c r="D2242" s="2"/>
      <c r="E2242" s="2" t="str">
        <f>"FES1162570175"</f>
        <v>FES1162570175</v>
      </c>
      <c r="F2242" s="3">
        <v>42968</v>
      </c>
      <c r="G2242" s="2">
        <v>201802</v>
      </c>
      <c r="H2242" s="2" t="s">
        <v>74</v>
      </c>
      <c r="I2242" s="2" t="s">
        <v>75</v>
      </c>
      <c r="J2242" s="2" t="s">
        <v>76</v>
      </c>
      <c r="K2242" s="2" t="s">
        <v>77</v>
      </c>
      <c r="L2242" s="2" t="s">
        <v>97</v>
      </c>
      <c r="M2242" s="2" t="s">
        <v>98</v>
      </c>
      <c r="N2242" s="2" t="s">
        <v>292</v>
      </c>
      <c r="O2242" s="2" t="s">
        <v>100</v>
      </c>
      <c r="P2242" s="2" t="str">
        <f>"2170585484                    "</f>
        <v xml:space="preserve">2170585484           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4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1</v>
      </c>
      <c r="BI2242" s="2">
        <v>1</v>
      </c>
      <c r="BJ2242" s="2">
        <v>0.2</v>
      </c>
      <c r="BK2242" s="2">
        <v>1</v>
      </c>
      <c r="BL2242" s="2">
        <v>41.44</v>
      </c>
      <c r="BM2242" s="2">
        <v>5.8</v>
      </c>
      <c r="BN2242" s="2">
        <v>47.24</v>
      </c>
      <c r="BO2242" s="2">
        <v>47.24</v>
      </c>
      <c r="BP2242" s="2"/>
      <c r="BQ2242" s="2" t="s">
        <v>83</v>
      </c>
      <c r="BR2242" s="2" t="s">
        <v>84</v>
      </c>
      <c r="BS2242" s="3">
        <v>42969</v>
      </c>
      <c r="BT2242" s="4">
        <v>0.30694444444444441</v>
      </c>
      <c r="BU2242" s="2" t="s">
        <v>293</v>
      </c>
      <c r="BV2242" s="2" t="s">
        <v>95</v>
      </c>
      <c r="BW2242" s="2"/>
      <c r="BX2242" s="2"/>
      <c r="BY2242" s="2">
        <v>1200</v>
      </c>
      <c r="BZ2242" s="2" t="s">
        <v>27</v>
      </c>
      <c r="CA2242" s="2" t="s">
        <v>294</v>
      </c>
      <c r="CB2242" s="2"/>
      <c r="CC2242" s="2" t="s">
        <v>98</v>
      </c>
      <c r="CD2242" s="2">
        <v>6001</v>
      </c>
      <c r="CE2242" s="2" t="s">
        <v>104</v>
      </c>
      <c r="CF2242" s="5">
        <v>42970</v>
      </c>
      <c r="CG2242" s="2"/>
      <c r="CH2242" s="2"/>
      <c r="CI2242" s="2">
        <v>1</v>
      </c>
      <c r="CJ2242" s="2">
        <v>1</v>
      </c>
      <c r="CK2242" s="2">
        <v>21</v>
      </c>
      <c r="CL2242" s="2" t="s">
        <v>86</v>
      </c>
      <c r="CM2242" s="2"/>
    </row>
    <row r="2243" spans="1:91">
      <c r="A2243" s="2" t="s">
        <v>71</v>
      </c>
      <c r="B2243" s="2" t="s">
        <v>72</v>
      </c>
      <c r="C2243" s="2" t="s">
        <v>73</v>
      </c>
      <c r="D2243" s="2"/>
      <c r="E2243" s="2" t="str">
        <f>"FES1162570280"</f>
        <v>FES1162570280</v>
      </c>
      <c r="F2243" s="3">
        <v>42968</v>
      </c>
      <c r="G2243" s="2">
        <v>201802</v>
      </c>
      <c r="H2243" s="2" t="s">
        <v>74</v>
      </c>
      <c r="I2243" s="2" t="s">
        <v>75</v>
      </c>
      <c r="J2243" s="2" t="s">
        <v>76</v>
      </c>
      <c r="K2243" s="2" t="s">
        <v>77</v>
      </c>
      <c r="L2243" s="2" t="s">
        <v>510</v>
      </c>
      <c r="M2243" s="2" t="s">
        <v>511</v>
      </c>
      <c r="N2243" s="2" t="s">
        <v>2759</v>
      </c>
      <c r="O2243" s="2" t="s">
        <v>100</v>
      </c>
      <c r="P2243" s="2" t="str">
        <f>"2170586054                    "</f>
        <v xml:space="preserve">2170586054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4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1</v>
      </c>
      <c r="BJ2243" s="2">
        <v>0.2</v>
      </c>
      <c r="BK2243" s="2">
        <v>1</v>
      </c>
      <c r="BL2243" s="2">
        <v>41.44</v>
      </c>
      <c r="BM2243" s="2">
        <v>5.8</v>
      </c>
      <c r="BN2243" s="2">
        <v>47.24</v>
      </c>
      <c r="BO2243" s="2">
        <v>47.24</v>
      </c>
      <c r="BP2243" s="2"/>
      <c r="BQ2243" s="2" t="s">
        <v>108</v>
      </c>
      <c r="BR2243" s="2" t="s">
        <v>84</v>
      </c>
      <c r="BS2243" s="3">
        <v>42969</v>
      </c>
      <c r="BT2243" s="4">
        <v>0.3611111111111111</v>
      </c>
      <c r="BU2243" s="2" t="s">
        <v>2760</v>
      </c>
      <c r="BV2243" s="2" t="s">
        <v>95</v>
      </c>
      <c r="BW2243" s="2"/>
      <c r="BX2243" s="2"/>
      <c r="BY2243" s="2">
        <v>1200</v>
      </c>
      <c r="BZ2243" s="2" t="s">
        <v>27</v>
      </c>
      <c r="CA2243" s="2" t="s">
        <v>514</v>
      </c>
      <c r="CB2243" s="2"/>
      <c r="CC2243" s="2" t="s">
        <v>511</v>
      </c>
      <c r="CD2243" s="2">
        <v>6230</v>
      </c>
      <c r="CE2243" s="2" t="s">
        <v>104</v>
      </c>
      <c r="CF2243" s="5">
        <v>42970</v>
      </c>
      <c r="CG2243" s="2"/>
      <c r="CH2243" s="2"/>
      <c r="CI2243" s="2">
        <v>1</v>
      </c>
      <c r="CJ2243" s="2">
        <v>1</v>
      </c>
      <c r="CK2243" s="2">
        <v>21</v>
      </c>
      <c r="CL2243" s="2" t="s">
        <v>86</v>
      </c>
      <c r="CM2243" s="2"/>
    </row>
    <row r="2244" spans="1:91">
      <c r="A2244" s="2" t="s">
        <v>71</v>
      </c>
      <c r="B2244" s="2" t="s">
        <v>72</v>
      </c>
      <c r="C2244" s="2" t="s">
        <v>73</v>
      </c>
      <c r="D2244" s="2"/>
      <c r="E2244" s="2" t="str">
        <f>"FES1162570251"</f>
        <v>FES1162570251</v>
      </c>
      <c r="F2244" s="3">
        <v>42968</v>
      </c>
      <c r="G2244" s="2">
        <v>201802</v>
      </c>
      <c r="H2244" s="2" t="s">
        <v>74</v>
      </c>
      <c r="I2244" s="2" t="s">
        <v>75</v>
      </c>
      <c r="J2244" s="2" t="s">
        <v>76</v>
      </c>
      <c r="K2244" s="2" t="s">
        <v>77</v>
      </c>
      <c r="L2244" s="2" t="s">
        <v>97</v>
      </c>
      <c r="M2244" s="2" t="s">
        <v>98</v>
      </c>
      <c r="N2244" s="2" t="s">
        <v>119</v>
      </c>
      <c r="O2244" s="2" t="s">
        <v>100</v>
      </c>
      <c r="P2244" s="2" t="str">
        <f>"2170586028                    "</f>
        <v xml:space="preserve">2170586028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4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1</v>
      </c>
      <c r="BJ2244" s="2">
        <v>0.2</v>
      </c>
      <c r="BK2244" s="2">
        <v>1</v>
      </c>
      <c r="BL2244" s="2">
        <v>41.44</v>
      </c>
      <c r="BM2244" s="2">
        <v>5.8</v>
      </c>
      <c r="BN2244" s="2">
        <v>47.24</v>
      </c>
      <c r="BO2244" s="2">
        <v>47.24</v>
      </c>
      <c r="BP2244" s="2"/>
      <c r="BQ2244" s="2" t="s">
        <v>108</v>
      </c>
      <c r="BR2244" s="2" t="s">
        <v>84</v>
      </c>
      <c r="BS2244" s="3">
        <v>42969</v>
      </c>
      <c r="BT2244" s="4">
        <v>0.33194444444444443</v>
      </c>
      <c r="BU2244" s="2" t="s">
        <v>2761</v>
      </c>
      <c r="BV2244" s="2" t="s">
        <v>95</v>
      </c>
      <c r="BW2244" s="2"/>
      <c r="BX2244" s="2"/>
      <c r="BY2244" s="2">
        <v>1200</v>
      </c>
      <c r="BZ2244" s="2" t="s">
        <v>27</v>
      </c>
      <c r="CA2244" s="2" t="s">
        <v>213</v>
      </c>
      <c r="CB2244" s="2"/>
      <c r="CC2244" s="2" t="s">
        <v>98</v>
      </c>
      <c r="CD2244" s="2">
        <v>6001</v>
      </c>
      <c r="CE2244" s="2" t="s">
        <v>104</v>
      </c>
      <c r="CF2244" s="5">
        <v>42970</v>
      </c>
      <c r="CG2244" s="2"/>
      <c r="CH2244" s="2"/>
      <c r="CI2244" s="2">
        <v>1</v>
      </c>
      <c r="CJ2244" s="2">
        <v>1</v>
      </c>
      <c r="CK2244" s="2">
        <v>21</v>
      </c>
      <c r="CL2244" s="2" t="s">
        <v>86</v>
      </c>
      <c r="CM2244" s="2"/>
    </row>
    <row r="2245" spans="1:91">
      <c r="A2245" s="2" t="s">
        <v>71</v>
      </c>
      <c r="B2245" s="2" t="s">
        <v>72</v>
      </c>
      <c r="C2245" s="2" t="s">
        <v>73</v>
      </c>
      <c r="D2245" s="2"/>
      <c r="E2245" s="2" t="str">
        <f>"FES1162570235"</f>
        <v>FES1162570235</v>
      </c>
      <c r="F2245" s="3">
        <v>42968</v>
      </c>
      <c r="G2245" s="2">
        <v>201802</v>
      </c>
      <c r="H2245" s="2" t="s">
        <v>74</v>
      </c>
      <c r="I2245" s="2" t="s">
        <v>75</v>
      </c>
      <c r="J2245" s="2" t="s">
        <v>76</v>
      </c>
      <c r="K2245" s="2" t="s">
        <v>77</v>
      </c>
      <c r="L2245" s="2" t="s">
        <v>97</v>
      </c>
      <c r="M2245" s="2" t="s">
        <v>98</v>
      </c>
      <c r="N2245" s="2" t="s">
        <v>2762</v>
      </c>
      <c r="O2245" s="2" t="s">
        <v>100</v>
      </c>
      <c r="P2245" s="2" t="str">
        <f>"2170586009                    "</f>
        <v xml:space="preserve">2170586009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4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1</v>
      </c>
      <c r="BI2245" s="2">
        <v>1</v>
      </c>
      <c r="BJ2245" s="2">
        <v>0.2</v>
      </c>
      <c r="BK2245" s="2">
        <v>1</v>
      </c>
      <c r="BL2245" s="2">
        <v>41.44</v>
      </c>
      <c r="BM2245" s="2">
        <v>5.8</v>
      </c>
      <c r="BN2245" s="2">
        <v>47.24</v>
      </c>
      <c r="BO2245" s="2">
        <v>47.24</v>
      </c>
      <c r="BP2245" s="2"/>
      <c r="BQ2245" s="2" t="s">
        <v>365</v>
      </c>
      <c r="BR2245" s="2" t="s">
        <v>84</v>
      </c>
      <c r="BS2245" s="3">
        <v>42969</v>
      </c>
      <c r="BT2245" s="4">
        <v>0.36041666666666666</v>
      </c>
      <c r="BU2245" s="2" t="s">
        <v>2763</v>
      </c>
      <c r="BV2245" s="2" t="s">
        <v>95</v>
      </c>
      <c r="BW2245" s="2"/>
      <c r="BX2245" s="2"/>
      <c r="BY2245" s="2">
        <v>1200</v>
      </c>
      <c r="BZ2245" s="2" t="s">
        <v>27</v>
      </c>
      <c r="CA2245" s="2" t="s">
        <v>213</v>
      </c>
      <c r="CB2245" s="2"/>
      <c r="CC2245" s="2" t="s">
        <v>98</v>
      </c>
      <c r="CD2245" s="2">
        <v>6014</v>
      </c>
      <c r="CE2245" s="2" t="s">
        <v>104</v>
      </c>
      <c r="CF2245" s="5">
        <v>42970</v>
      </c>
      <c r="CG2245" s="2"/>
      <c r="CH2245" s="2"/>
      <c r="CI2245" s="2">
        <v>1</v>
      </c>
      <c r="CJ2245" s="2">
        <v>1</v>
      </c>
      <c r="CK2245" s="2">
        <v>21</v>
      </c>
      <c r="CL2245" s="2" t="s">
        <v>86</v>
      </c>
      <c r="CM2245" s="2"/>
    </row>
    <row r="2246" spans="1:91">
      <c r="A2246" s="2" t="s">
        <v>71</v>
      </c>
      <c r="B2246" s="2" t="s">
        <v>72</v>
      </c>
      <c r="C2246" s="2" t="s">
        <v>73</v>
      </c>
      <c r="D2246" s="2"/>
      <c r="E2246" s="2" t="str">
        <f>"FES1162570227"</f>
        <v>FES1162570227</v>
      </c>
      <c r="F2246" s="3">
        <v>42968</v>
      </c>
      <c r="G2246" s="2">
        <v>201802</v>
      </c>
      <c r="H2246" s="2" t="s">
        <v>74</v>
      </c>
      <c r="I2246" s="2" t="s">
        <v>75</v>
      </c>
      <c r="J2246" s="2" t="s">
        <v>76</v>
      </c>
      <c r="K2246" s="2" t="s">
        <v>77</v>
      </c>
      <c r="L2246" s="2" t="s">
        <v>144</v>
      </c>
      <c r="M2246" s="2" t="s">
        <v>145</v>
      </c>
      <c r="N2246" s="2" t="s">
        <v>146</v>
      </c>
      <c r="O2246" s="2" t="s">
        <v>100</v>
      </c>
      <c r="P2246" s="2" t="str">
        <f>"2170586000                    "</f>
        <v xml:space="preserve">2170586000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3.13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1</v>
      </c>
      <c r="BJ2246" s="2">
        <v>0.2</v>
      </c>
      <c r="BK2246" s="2">
        <v>1</v>
      </c>
      <c r="BL2246" s="2">
        <v>32.380000000000003</v>
      </c>
      <c r="BM2246" s="2">
        <v>4.53</v>
      </c>
      <c r="BN2246" s="2">
        <v>36.909999999999997</v>
      </c>
      <c r="BO2246" s="2">
        <v>36.909999999999997</v>
      </c>
      <c r="BP2246" s="2"/>
      <c r="BQ2246" s="2" t="s">
        <v>83</v>
      </c>
      <c r="BR2246" s="2" t="s">
        <v>84</v>
      </c>
      <c r="BS2246" s="3">
        <v>42969</v>
      </c>
      <c r="BT2246" s="4">
        <v>0.375</v>
      </c>
      <c r="BU2246" s="2" t="s">
        <v>1458</v>
      </c>
      <c r="BV2246" s="2" t="s">
        <v>95</v>
      </c>
      <c r="BW2246" s="2"/>
      <c r="BX2246" s="2"/>
      <c r="BY2246" s="2">
        <v>1200</v>
      </c>
      <c r="BZ2246" s="2" t="s">
        <v>27</v>
      </c>
      <c r="CA2246" s="2" t="s">
        <v>729</v>
      </c>
      <c r="CB2246" s="2"/>
      <c r="CC2246" s="2" t="s">
        <v>145</v>
      </c>
      <c r="CD2246" s="2">
        <v>2094</v>
      </c>
      <c r="CE2246" s="2" t="s">
        <v>104</v>
      </c>
      <c r="CF2246" s="5">
        <v>42970</v>
      </c>
      <c r="CG2246" s="2"/>
      <c r="CH2246" s="2"/>
      <c r="CI2246" s="2">
        <v>1</v>
      </c>
      <c r="CJ2246" s="2">
        <v>1</v>
      </c>
      <c r="CK2246" s="2">
        <v>22</v>
      </c>
      <c r="CL2246" s="2" t="s">
        <v>86</v>
      </c>
      <c r="CM2246" s="2"/>
    </row>
    <row r="2247" spans="1:91">
      <c r="A2247" s="2" t="s">
        <v>71</v>
      </c>
      <c r="B2247" s="2" t="s">
        <v>72</v>
      </c>
      <c r="C2247" s="2" t="s">
        <v>73</v>
      </c>
      <c r="D2247" s="2"/>
      <c r="E2247" s="2" t="str">
        <f>"FES1162570165"</f>
        <v>FES1162570165</v>
      </c>
      <c r="F2247" s="3">
        <v>42968</v>
      </c>
      <c r="G2247" s="2">
        <v>201802</v>
      </c>
      <c r="H2247" s="2" t="s">
        <v>74</v>
      </c>
      <c r="I2247" s="2" t="s">
        <v>75</v>
      </c>
      <c r="J2247" s="2" t="s">
        <v>76</v>
      </c>
      <c r="K2247" s="2" t="s">
        <v>77</v>
      </c>
      <c r="L2247" s="2" t="s">
        <v>97</v>
      </c>
      <c r="M2247" s="2" t="s">
        <v>98</v>
      </c>
      <c r="N2247" s="2" t="s">
        <v>1029</v>
      </c>
      <c r="O2247" s="2" t="s">
        <v>100</v>
      </c>
      <c r="P2247" s="2" t="str">
        <f>"2170582963                    "</f>
        <v xml:space="preserve">2170582963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4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1</v>
      </c>
      <c r="BJ2247" s="2">
        <v>0.2</v>
      </c>
      <c r="BK2247" s="2">
        <v>1</v>
      </c>
      <c r="BL2247" s="2">
        <v>41.44</v>
      </c>
      <c r="BM2247" s="2">
        <v>5.8</v>
      </c>
      <c r="BN2247" s="2">
        <v>47.24</v>
      </c>
      <c r="BO2247" s="2">
        <v>47.24</v>
      </c>
      <c r="BP2247" s="2"/>
      <c r="BQ2247" s="2" t="s">
        <v>227</v>
      </c>
      <c r="BR2247" s="2" t="s">
        <v>84</v>
      </c>
      <c r="BS2247" s="3">
        <v>42969</v>
      </c>
      <c r="BT2247" s="4">
        <v>0.32777777777777778</v>
      </c>
      <c r="BU2247" s="2" t="s">
        <v>2758</v>
      </c>
      <c r="BV2247" s="2" t="s">
        <v>95</v>
      </c>
      <c r="BW2247" s="2"/>
      <c r="BX2247" s="2"/>
      <c r="BY2247" s="2">
        <v>1200</v>
      </c>
      <c r="BZ2247" s="2" t="s">
        <v>27</v>
      </c>
      <c r="CA2247" s="2" t="s">
        <v>213</v>
      </c>
      <c r="CB2247" s="2"/>
      <c r="CC2247" s="2" t="s">
        <v>98</v>
      </c>
      <c r="CD2247" s="2">
        <v>6001</v>
      </c>
      <c r="CE2247" s="2" t="s">
        <v>104</v>
      </c>
      <c r="CF2247" s="5">
        <v>42970</v>
      </c>
      <c r="CG2247" s="2"/>
      <c r="CH2247" s="2"/>
      <c r="CI2247" s="2">
        <v>1</v>
      </c>
      <c r="CJ2247" s="2">
        <v>1</v>
      </c>
      <c r="CK2247" s="2">
        <v>21</v>
      </c>
      <c r="CL2247" s="2" t="s">
        <v>86</v>
      </c>
      <c r="CM2247" s="2"/>
    </row>
    <row r="2248" spans="1:91">
      <c r="A2248" s="2" t="s">
        <v>71</v>
      </c>
      <c r="B2248" s="2" t="s">
        <v>72</v>
      </c>
      <c r="C2248" s="2" t="s">
        <v>73</v>
      </c>
      <c r="D2248" s="2"/>
      <c r="E2248" s="2" t="str">
        <f>"FES1162570197"</f>
        <v>FES1162570197</v>
      </c>
      <c r="F2248" s="3">
        <v>42968</v>
      </c>
      <c r="G2248" s="2">
        <v>201802</v>
      </c>
      <c r="H2248" s="2" t="s">
        <v>74</v>
      </c>
      <c r="I2248" s="2" t="s">
        <v>75</v>
      </c>
      <c r="J2248" s="2" t="s">
        <v>76</v>
      </c>
      <c r="K2248" s="2" t="s">
        <v>77</v>
      </c>
      <c r="L2248" s="2" t="s">
        <v>97</v>
      </c>
      <c r="M2248" s="2" t="s">
        <v>98</v>
      </c>
      <c r="N2248" s="2" t="s">
        <v>2147</v>
      </c>
      <c r="O2248" s="2" t="s">
        <v>100</v>
      </c>
      <c r="P2248" s="2" t="str">
        <f>"2170585959                    "</f>
        <v xml:space="preserve">2170585959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4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1</v>
      </c>
      <c r="BJ2248" s="2">
        <v>0.2</v>
      </c>
      <c r="BK2248" s="2">
        <v>1</v>
      </c>
      <c r="BL2248" s="2">
        <v>41.44</v>
      </c>
      <c r="BM2248" s="2">
        <v>5.8</v>
      </c>
      <c r="BN2248" s="2">
        <v>47.24</v>
      </c>
      <c r="BO2248" s="2">
        <v>47.24</v>
      </c>
      <c r="BP2248" s="2"/>
      <c r="BQ2248" s="2" t="s">
        <v>227</v>
      </c>
      <c r="BR2248" s="2" t="s">
        <v>84</v>
      </c>
      <c r="BS2248" s="3">
        <v>42969</v>
      </c>
      <c r="BT2248" s="4">
        <v>0.41666666666666669</v>
      </c>
      <c r="BU2248" s="2" t="s">
        <v>85</v>
      </c>
      <c r="BV2248" s="2" t="s">
        <v>95</v>
      </c>
      <c r="BW2248" s="2"/>
      <c r="BX2248" s="2"/>
      <c r="BY2248" s="2">
        <v>1200</v>
      </c>
      <c r="BZ2248" s="2" t="s">
        <v>27</v>
      </c>
      <c r="CA2248" s="2"/>
      <c r="CB2248" s="2"/>
      <c r="CC2248" s="2" t="s">
        <v>98</v>
      </c>
      <c r="CD2248" s="2">
        <v>6012</v>
      </c>
      <c r="CE2248" s="2" t="s">
        <v>104</v>
      </c>
      <c r="CF2248" s="5">
        <v>42970</v>
      </c>
      <c r="CG2248" s="2"/>
      <c r="CH2248" s="2"/>
      <c r="CI2248" s="2">
        <v>1</v>
      </c>
      <c r="CJ2248" s="2">
        <v>1</v>
      </c>
      <c r="CK2248" s="2">
        <v>21</v>
      </c>
      <c r="CL2248" s="2" t="s">
        <v>86</v>
      </c>
      <c r="CM2248" s="2"/>
    </row>
    <row r="2249" spans="1:91">
      <c r="A2249" s="2" t="s">
        <v>71</v>
      </c>
      <c r="B2249" s="2" t="s">
        <v>72</v>
      </c>
      <c r="C2249" s="2" t="s">
        <v>73</v>
      </c>
      <c r="D2249" s="2"/>
      <c r="E2249" s="2" t="str">
        <f>"FES1162570211"</f>
        <v>FES1162570211</v>
      </c>
      <c r="F2249" s="3">
        <v>42968</v>
      </c>
      <c r="G2249" s="2">
        <v>201802</v>
      </c>
      <c r="H2249" s="2" t="s">
        <v>74</v>
      </c>
      <c r="I2249" s="2" t="s">
        <v>75</v>
      </c>
      <c r="J2249" s="2" t="s">
        <v>76</v>
      </c>
      <c r="K2249" s="2" t="s">
        <v>77</v>
      </c>
      <c r="L2249" s="2" t="s">
        <v>174</v>
      </c>
      <c r="M2249" s="2" t="s">
        <v>175</v>
      </c>
      <c r="N2249" s="2" t="s">
        <v>2764</v>
      </c>
      <c r="O2249" s="2" t="s">
        <v>100</v>
      </c>
      <c r="P2249" s="2" t="str">
        <f>"2170585987                    "</f>
        <v xml:space="preserve">2170585987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4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1</v>
      </c>
      <c r="BI2249" s="2">
        <v>1</v>
      </c>
      <c r="BJ2249" s="2">
        <v>0.2</v>
      </c>
      <c r="BK2249" s="2">
        <v>1</v>
      </c>
      <c r="BL2249" s="2">
        <v>41.44</v>
      </c>
      <c r="BM2249" s="2">
        <v>5.8</v>
      </c>
      <c r="BN2249" s="2">
        <v>47.24</v>
      </c>
      <c r="BO2249" s="2">
        <v>47.24</v>
      </c>
      <c r="BP2249" s="2"/>
      <c r="BQ2249" s="2" t="s">
        <v>83</v>
      </c>
      <c r="BR2249" s="2" t="s">
        <v>84</v>
      </c>
      <c r="BS2249" s="3">
        <v>42969</v>
      </c>
      <c r="BT2249" s="4">
        <v>0.44722222222222219</v>
      </c>
      <c r="BU2249" s="2" t="s">
        <v>2765</v>
      </c>
      <c r="BV2249" s="2" t="s">
        <v>95</v>
      </c>
      <c r="BW2249" s="2"/>
      <c r="BX2249" s="2"/>
      <c r="BY2249" s="2">
        <v>1200</v>
      </c>
      <c r="BZ2249" s="2" t="s">
        <v>27</v>
      </c>
      <c r="CA2249" s="2" t="s">
        <v>1420</v>
      </c>
      <c r="CB2249" s="2"/>
      <c r="CC2249" s="2" t="s">
        <v>175</v>
      </c>
      <c r="CD2249" s="2">
        <v>5201</v>
      </c>
      <c r="CE2249" s="2" t="s">
        <v>104</v>
      </c>
      <c r="CF2249" s="5">
        <v>42970</v>
      </c>
      <c r="CG2249" s="2"/>
      <c r="CH2249" s="2"/>
      <c r="CI2249" s="2">
        <v>1</v>
      </c>
      <c r="CJ2249" s="2">
        <v>1</v>
      </c>
      <c r="CK2249" s="2">
        <v>21</v>
      </c>
      <c r="CL2249" s="2" t="s">
        <v>86</v>
      </c>
      <c r="CM2249" s="2"/>
    </row>
    <row r="2250" spans="1:91">
      <c r="A2250" s="2" t="s">
        <v>71</v>
      </c>
      <c r="B2250" s="2" t="s">
        <v>72</v>
      </c>
      <c r="C2250" s="2" t="s">
        <v>73</v>
      </c>
      <c r="D2250" s="2"/>
      <c r="E2250" s="2" t="str">
        <f>"FES1162570291"</f>
        <v>FES1162570291</v>
      </c>
      <c r="F2250" s="3">
        <v>42968</v>
      </c>
      <c r="G2250" s="2">
        <v>201802</v>
      </c>
      <c r="H2250" s="2" t="s">
        <v>74</v>
      </c>
      <c r="I2250" s="2" t="s">
        <v>75</v>
      </c>
      <c r="J2250" s="2" t="s">
        <v>76</v>
      </c>
      <c r="K2250" s="2" t="s">
        <v>77</v>
      </c>
      <c r="L2250" s="2" t="s">
        <v>105</v>
      </c>
      <c r="M2250" s="2" t="s">
        <v>106</v>
      </c>
      <c r="N2250" s="2" t="s">
        <v>2078</v>
      </c>
      <c r="O2250" s="2" t="s">
        <v>100</v>
      </c>
      <c r="P2250" s="2" t="str">
        <f>"2170586031                    "</f>
        <v xml:space="preserve">2170586031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4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2</v>
      </c>
      <c r="BJ2250" s="2">
        <v>0.2</v>
      </c>
      <c r="BK2250" s="2">
        <v>2</v>
      </c>
      <c r="BL2250" s="2">
        <v>41.44</v>
      </c>
      <c r="BM2250" s="2">
        <v>5.8</v>
      </c>
      <c r="BN2250" s="2">
        <v>47.24</v>
      </c>
      <c r="BO2250" s="2">
        <v>47.24</v>
      </c>
      <c r="BP2250" s="2"/>
      <c r="BQ2250" s="2" t="s">
        <v>227</v>
      </c>
      <c r="BR2250" s="2" t="s">
        <v>84</v>
      </c>
      <c r="BS2250" s="3">
        <v>42969</v>
      </c>
      <c r="BT2250" s="4">
        <v>0.3298611111111111</v>
      </c>
      <c r="BU2250" s="2" t="s">
        <v>2728</v>
      </c>
      <c r="BV2250" s="2" t="s">
        <v>95</v>
      </c>
      <c r="BW2250" s="2"/>
      <c r="BX2250" s="2"/>
      <c r="BY2250" s="2">
        <v>1200</v>
      </c>
      <c r="BZ2250" s="2" t="s">
        <v>27</v>
      </c>
      <c r="CA2250" s="2"/>
      <c r="CB2250" s="2"/>
      <c r="CC2250" s="2" t="s">
        <v>106</v>
      </c>
      <c r="CD2250" s="2">
        <v>7530</v>
      </c>
      <c r="CE2250" s="2" t="s">
        <v>104</v>
      </c>
      <c r="CF2250" s="5">
        <v>42970</v>
      </c>
      <c r="CG2250" s="2"/>
      <c r="CH2250" s="2"/>
      <c r="CI2250" s="2">
        <v>1</v>
      </c>
      <c r="CJ2250" s="2">
        <v>1</v>
      </c>
      <c r="CK2250" s="2">
        <v>21</v>
      </c>
      <c r="CL2250" s="2" t="s">
        <v>86</v>
      </c>
      <c r="CM2250" s="2"/>
    </row>
    <row r="2251" spans="1:91">
      <c r="A2251" s="2" t="s">
        <v>71</v>
      </c>
      <c r="B2251" s="2" t="s">
        <v>72</v>
      </c>
      <c r="C2251" s="2" t="s">
        <v>73</v>
      </c>
      <c r="D2251" s="2"/>
      <c r="E2251" s="2" t="str">
        <f>"FES1162570263"</f>
        <v>FES1162570263</v>
      </c>
      <c r="F2251" s="3">
        <v>42968</v>
      </c>
      <c r="G2251" s="2">
        <v>201802</v>
      </c>
      <c r="H2251" s="2" t="s">
        <v>74</v>
      </c>
      <c r="I2251" s="2" t="s">
        <v>75</v>
      </c>
      <c r="J2251" s="2" t="s">
        <v>76</v>
      </c>
      <c r="K2251" s="2" t="s">
        <v>77</v>
      </c>
      <c r="L2251" s="2" t="s">
        <v>105</v>
      </c>
      <c r="M2251" s="2" t="s">
        <v>106</v>
      </c>
      <c r="N2251" s="2" t="s">
        <v>2766</v>
      </c>
      <c r="O2251" s="2" t="s">
        <v>100</v>
      </c>
      <c r="P2251" s="2" t="str">
        <f>"2170586024                    "</f>
        <v xml:space="preserve">2170586024  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4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1</v>
      </c>
      <c r="BJ2251" s="2">
        <v>0.2</v>
      </c>
      <c r="BK2251" s="2">
        <v>1</v>
      </c>
      <c r="BL2251" s="2">
        <v>41.44</v>
      </c>
      <c r="BM2251" s="2">
        <v>5.8</v>
      </c>
      <c r="BN2251" s="2">
        <v>47.24</v>
      </c>
      <c r="BO2251" s="2">
        <v>47.24</v>
      </c>
      <c r="BP2251" s="2"/>
      <c r="BQ2251" s="2" t="s">
        <v>227</v>
      </c>
      <c r="BR2251" s="2" t="s">
        <v>84</v>
      </c>
      <c r="BS2251" s="3">
        <v>42969</v>
      </c>
      <c r="BT2251" s="4">
        <v>0.3840277777777778</v>
      </c>
      <c r="BU2251" s="2" t="s">
        <v>2767</v>
      </c>
      <c r="BV2251" s="2" t="s">
        <v>95</v>
      </c>
      <c r="BW2251" s="2"/>
      <c r="BX2251" s="2"/>
      <c r="BY2251" s="2">
        <v>1200</v>
      </c>
      <c r="BZ2251" s="2" t="s">
        <v>27</v>
      </c>
      <c r="CA2251" s="2" t="s">
        <v>654</v>
      </c>
      <c r="CB2251" s="2"/>
      <c r="CC2251" s="2" t="s">
        <v>106</v>
      </c>
      <c r="CD2251" s="2">
        <v>7490</v>
      </c>
      <c r="CE2251" s="2" t="s">
        <v>104</v>
      </c>
      <c r="CF2251" s="5">
        <v>42970</v>
      </c>
      <c r="CG2251" s="2"/>
      <c r="CH2251" s="2"/>
      <c r="CI2251" s="2">
        <v>1</v>
      </c>
      <c r="CJ2251" s="2">
        <v>1</v>
      </c>
      <c r="CK2251" s="2">
        <v>21</v>
      </c>
      <c r="CL2251" s="2" t="s">
        <v>86</v>
      </c>
      <c r="CM2251" s="2"/>
    </row>
    <row r="2252" spans="1:91">
      <c r="A2252" s="2" t="s">
        <v>71</v>
      </c>
      <c r="B2252" s="2" t="s">
        <v>72</v>
      </c>
      <c r="C2252" s="2" t="s">
        <v>73</v>
      </c>
      <c r="D2252" s="2"/>
      <c r="E2252" s="2" t="str">
        <f>"FES1162570236"</f>
        <v>FES1162570236</v>
      </c>
      <c r="F2252" s="3">
        <v>42968</v>
      </c>
      <c r="G2252" s="2">
        <v>201802</v>
      </c>
      <c r="H2252" s="2" t="s">
        <v>74</v>
      </c>
      <c r="I2252" s="2" t="s">
        <v>75</v>
      </c>
      <c r="J2252" s="2" t="s">
        <v>76</v>
      </c>
      <c r="K2252" s="2" t="s">
        <v>77</v>
      </c>
      <c r="L2252" s="2" t="s">
        <v>144</v>
      </c>
      <c r="M2252" s="2" t="s">
        <v>145</v>
      </c>
      <c r="N2252" s="2" t="s">
        <v>146</v>
      </c>
      <c r="O2252" s="2" t="s">
        <v>100</v>
      </c>
      <c r="P2252" s="2" t="str">
        <f>"2170586010                    "</f>
        <v xml:space="preserve">2170586010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3.13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1</v>
      </c>
      <c r="BI2252" s="2">
        <v>1</v>
      </c>
      <c r="BJ2252" s="2">
        <v>0.2</v>
      </c>
      <c r="BK2252" s="2">
        <v>1</v>
      </c>
      <c r="BL2252" s="2">
        <v>32.380000000000003</v>
      </c>
      <c r="BM2252" s="2">
        <v>4.53</v>
      </c>
      <c r="BN2252" s="2">
        <v>36.909999999999997</v>
      </c>
      <c r="BO2252" s="2">
        <v>36.909999999999997</v>
      </c>
      <c r="BP2252" s="2"/>
      <c r="BQ2252" s="2" t="s">
        <v>83</v>
      </c>
      <c r="BR2252" s="2" t="s">
        <v>84</v>
      </c>
      <c r="BS2252" s="3">
        <v>42969</v>
      </c>
      <c r="BT2252" s="4">
        <v>0.375</v>
      </c>
      <c r="BU2252" s="2" t="s">
        <v>2768</v>
      </c>
      <c r="BV2252" s="2" t="s">
        <v>95</v>
      </c>
      <c r="BW2252" s="2"/>
      <c r="BX2252" s="2"/>
      <c r="BY2252" s="2">
        <v>1200</v>
      </c>
      <c r="BZ2252" s="2" t="s">
        <v>27</v>
      </c>
      <c r="CA2252" s="2" t="s">
        <v>729</v>
      </c>
      <c r="CB2252" s="2"/>
      <c r="CC2252" s="2" t="s">
        <v>145</v>
      </c>
      <c r="CD2252" s="2">
        <v>2094</v>
      </c>
      <c r="CE2252" s="2" t="s">
        <v>104</v>
      </c>
      <c r="CF2252" s="5">
        <v>42970</v>
      </c>
      <c r="CG2252" s="2"/>
      <c r="CH2252" s="2"/>
      <c r="CI2252" s="2">
        <v>1</v>
      </c>
      <c r="CJ2252" s="2">
        <v>1</v>
      </c>
      <c r="CK2252" s="2">
        <v>22</v>
      </c>
      <c r="CL2252" s="2" t="s">
        <v>86</v>
      </c>
      <c r="CM2252" s="2"/>
    </row>
    <row r="2253" spans="1:91">
      <c r="A2253" s="2" t="s">
        <v>71</v>
      </c>
      <c r="B2253" s="2" t="s">
        <v>72</v>
      </c>
      <c r="C2253" s="2" t="s">
        <v>73</v>
      </c>
      <c r="D2253" s="2"/>
      <c r="E2253" s="2" t="str">
        <f>"FES1162570196"</f>
        <v>FES1162570196</v>
      </c>
      <c r="F2253" s="3">
        <v>42968</v>
      </c>
      <c r="G2253" s="2">
        <v>201802</v>
      </c>
      <c r="H2253" s="2" t="s">
        <v>74</v>
      </c>
      <c r="I2253" s="2" t="s">
        <v>75</v>
      </c>
      <c r="J2253" s="2" t="s">
        <v>76</v>
      </c>
      <c r="K2253" s="2" t="s">
        <v>77</v>
      </c>
      <c r="L2253" s="2" t="s">
        <v>97</v>
      </c>
      <c r="M2253" s="2" t="s">
        <v>98</v>
      </c>
      <c r="N2253" s="2" t="s">
        <v>2769</v>
      </c>
      <c r="O2253" s="2" t="s">
        <v>100</v>
      </c>
      <c r="P2253" s="2" t="str">
        <f>"2170585955                    "</f>
        <v xml:space="preserve">2170585955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5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2.2999999999999998</v>
      </c>
      <c r="BJ2253" s="2">
        <v>1.6</v>
      </c>
      <c r="BK2253" s="2">
        <v>2.5</v>
      </c>
      <c r="BL2253" s="2">
        <v>51.8</v>
      </c>
      <c r="BM2253" s="2">
        <v>7.25</v>
      </c>
      <c r="BN2253" s="2">
        <v>59.05</v>
      </c>
      <c r="BO2253" s="2">
        <v>59.05</v>
      </c>
      <c r="BP2253" s="2"/>
      <c r="BQ2253" s="2" t="s">
        <v>227</v>
      </c>
      <c r="BR2253" s="2" t="s">
        <v>84</v>
      </c>
      <c r="BS2253" s="3">
        <v>42969</v>
      </c>
      <c r="BT2253" s="4">
        <v>0.3125</v>
      </c>
      <c r="BU2253" s="2" t="s">
        <v>2770</v>
      </c>
      <c r="BV2253" s="2" t="s">
        <v>95</v>
      </c>
      <c r="BW2253" s="2"/>
      <c r="BX2253" s="2"/>
      <c r="BY2253" s="2">
        <v>7871.29</v>
      </c>
      <c r="BZ2253" s="2" t="s">
        <v>27</v>
      </c>
      <c r="CA2253" s="2" t="s">
        <v>600</v>
      </c>
      <c r="CB2253" s="2"/>
      <c r="CC2253" s="2" t="s">
        <v>98</v>
      </c>
      <c r="CD2253" s="2">
        <v>6001</v>
      </c>
      <c r="CE2253" s="2" t="s">
        <v>89</v>
      </c>
      <c r="CF2253" s="5">
        <v>42970</v>
      </c>
      <c r="CG2253" s="2"/>
      <c r="CH2253" s="2"/>
      <c r="CI2253" s="2">
        <v>1</v>
      </c>
      <c r="CJ2253" s="2">
        <v>1</v>
      </c>
      <c r="CK2253" s="2">
        <v>21</v>
      </c>
      <c r="CL2253" s="2" t="s">
        <v>86</v>
      </c>
      <c r="CM2253" s="2"/>
    </row>
    <row r="2254" spans="1:91">
      <c r="A2254" s="2" t="s">
        <v>71</v>
      </c>
      <c r="B2254" s="2" t="s">
        <v>72</v>
      </c>
      <c r="C2254" s="2" t="s">
        <v>73</v>
      </c>
      <c r="D2254" s="2"/>
      <c r="E2254" s="2" t="str">
        <f>"FES1162570216"</f>
        <v>FES1162570216</v>
      </c>
      <c r="F2254" s="3">
        <v>42968</v>
      </c>
      <c r="G2254" s="2">
        <v>201802</v>
      </c>
      <c r="H2254" s="2" t="s">
        <v>74</v>
      </c>
      <c r="I2254" s="2" t="s">
        <v>75</v>
      </c>
      <c r="J2254" s="2" t="s">
        <v>76</v>
      </c>
      <c r="K2254" s="2" t="s">
        <v>77</v>
      </c>
      <c r="L2254" s="2" t="s">
        <v>97</v>
      </c>
      <c r="M2254" s="2" t="s">
        <v>98</v>
      </c>
      <c r="N2254" s="2" t="s">
        <v>214</v>
      </c>
      <c r="O2254" s="2" t="s">
        <v>100</v>
      </c>
      <c r="P2254" s="2" t="str">
        <f>"2170583653                    "</f>
        <v xml:space="preserve">2170583653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4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1</v>
      </c>
      <c r="BI2254" s="2">
        <v>1</v>
      </c>
      <c r="BJ2254" s="2">
        <v>1.8</v>
      </c>
      <c r="BK2254" s="2">
        <v>2</v>
      </c>
      <c r="BL2254" s="2">
        <v>41.44</v>
      </c>
      <c r="BM2254" s="2">
        <v>5.8</v>
      </c>
      <c r="BN2254" s="2">
        <v>47.24</v>
      </c>
      <c r="BO2254" s="2">
        <v>47.24</v>
      </c>
      <c r="BP2254" s="2"/>
      <c r="BQ2254" s="2" t="s">
        <v>108</v>
      </c>
      <c r="BR2254" s="2" t="s">
        <v>84</v>
      </c>
      <c r="BS2254" s="3">
        <v>42969</v>
      </c>
      <c r="BT2254" s="4">
        <v>0.32222222222222224</v>
      </c>
      <c r="BU2254" s="2" t="s">
        <v>1131</v>
      </c>
      <c r="BV2254" s="2" t="s">
        <v>95</v>
      </c>
      <c r="BW2254" s="2"/>
      <c r="BX2254" s="2"/>
      <c r="BY2254" s="2">
        <v>8935.83</v>
      </c>
      <c r="BZ2254" s="2" t="s">
        <v>27</v>
      </c>
      <c r="CA2254" s="2" t="s">
        <v>213</v>
      </c>
      <c r="CB2254" s="2"/>
      <c r="CC2254" s="2" t="s">
        <v>98</v>
      </c>
      <c r="CD2254" s="2">
        <v>6001</v>
      </c>
      <c r="CE2254" s="2" t="s">
        <v>89</v>
      </c>
      <c r="CF2254" s="5">
        <v>42970</v>
      </c>
      <c r="CG2254" s="2"/>
      <c r="CH2254" s="2"/>
      <c r="CI2254" s="2">
        <v>1</v>
      </c>
      <c r="CJ2254" s="2">
        <v>1</v>
      </c>
      <c r="CK2254" s="2">
        <v>21</v>
      </c>
      <c r="CL2254" s="2" t="s">
        <v>86</v>
      </c>
      <c r="CM2254" s="2"/>
    </row>
    <row r="2255" spans="1:91">
      <c r="A2255" s="2" t="s">
        <v>71</v>
      </c>
      <c r="B2255" s="2" t="s">
        <v>72</v>
      </c>
      <c r="C2255" s="2" t="s">
        <v>73</v>
      </c>
      <c r="D2255" s="2"/>
      <c r="E2255" s="2" t="str">
        <f>"FES1162570215"</f>
        <v>FES1162570215</v>
      </c>
      <c r="F2255" s="3">
        <v>42968</v>
      </c>
      <c r="G2255" s="2">
        <v>201802</v>
      </c>
      <c r="H2255" s="2" t="s">
        <v>74</v>
      </c>
      <c r="I2255" s="2" t="s">
        <v>75</v>
      </c>
      <c r="J2255" s="2" t="s">
        <v>76</v>
      </c>
      <c r="K2255" s="2" t="s">
        <v>77</v>
      </c>
      <c r="L2255" s="2" t="s">
        <v>144</v>
      </c>
      <c r="M2255" s="2" t="s">
        <v>145</v>
      </c>
      <c r="N2255" s="2" t="s">
        <v>146</v>
      </c>
      <c r="O2255" s="2" t="s">
        <v>100</v>
      </c>
      <c r="P2255" s="2" t="str">
        <f>"2170585992                    "</f>
        <v xml:space="preserve">2170585992  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3.13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1</v>
      </c>
      <c r="BJ2255" s="2">
        <v>0.2</v>
      </c>
      <c r="BK2255" s="2">
        <v>1</v>
      </c>
      <c r="BL2255" s="2">
        <v>32.380000000000003</v>
      </c>
      <c r="BM2255" s="2">
        <v>4.53</v>
      </c>
      <c r="BN2255" s="2">
        <v>36.909999999999997</v>
      </c>
      <c r="BO2255" s="2">
        <v>36.909999999999997</v>
      </c>
      <c r="BP2255" s="2"/>
      <c r="BQ2255" s="2" t="s">
        <v>83</v>
      </c>
      <c r="BR2255" s="2" t="s">
        <v>84</v>
      </c>
      <c r="BS2255" s="3">
        <v>42969</v>
      </c>
      <c r="BT2255" s="4">
        <v>0.375</v>
      </c>
      <c r="BU2255" s="2" t="s">
        <v>2768</v>
      </c>
      <c r="BV2255" s="2" t="s">
        <v>95</v>
      </c>
      <c r="BW2255" s="2"/>
      <c r="BX2255" s="2"/>
      <c r="BY2255" s="2">
        <v>1200</v>
      </c>
      <c r="BZ2255" s="2" t="s">
        <v>27</v>
      </c>
      <c r="CA2255" s="2" t="s">
        <v>729</v>
      </c>
      <c r="CB2255" s="2"/>
      <c r="CC2255" s="2" t="s">
        <v>145</v>
      </c>
      <c r="CD2255" s="2">
        <v>2094</v>
      </c>
      <c r="CE2255" s="2" t="s">
        <v>104</v>
      </c>
      <c r="CF2255" s="5">
        <v>42970</v>
      </c>
      <c r="CG2255" s="2"/>
      <c r="CH2255" s="2"/>
      <c r="CI2255" s="2">
        <v>1</v>
      </c>
      <c r="CJ2255" s="2">
        <v>1</v>
      </c>
      <c r="CK2255" s="2">
        <v>22</v>
      </c>
      <c r="CL2255" s="2" t="s">
        <v>86</v>
      </c>
      <c r="CM2255" s="2"/>
    </row>
    <row r="2256" spans="1:91">
      <c r="A2256" s="2" t="s">
        <v>71</v>
      </c>
      <c r="B2256" s="2" t="s">
        <v>72</v>
      </c>
      <c r="C2256" s="2" t="s">
        <v>73</v>
      </c>
      <c r="D2256" s="2"/>
      <c r="E2256" s="2" t="str">
        <f>"FES1162570189"</f>
        <v>FES1162570189</v>
      </c>
      <c r="F2256" s="3">
        <v>42968</v>
      </c>
      <c r="G2256" s="2">
        <v>201802</v>
      </c>
      <c r="H2256" s="2" t="s">
        <v>74</v>
      </c>
      <c r="I2256" s="2" t="s">
        <v>75</v>
      </c>
      <c r="J2256" s="2" t="s">
        <v>76</v>
      </c>
      <c r="K2256" s="2" t="s">
        <v>77</v>
      </c>
      <c r="L2256" s="2" t="s">
        <v>97</v>
      </c>
      <c r="M2256" s="2" t="s">
        <v>98</v>
      </c>
      <c r="N2256" s="2" t="s">
        <v>1460</v>
      </c>
      <c r="O2256" s="2" t="s">
        <v>100</v>
      </c>
      <c r="P2256" s="2" t="str">
        <f>"2170585946                    "</f>
        <v xml:space="preserve">2170585946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7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1</v>
      </c>
      <c r="BI2256" s="2">
        <v>1.9</v>
      </c>
      <c r="BJ2256" s="2">
        <v>3.1</v>
      </c>
      <c r="BK2256" s="2">
        <v>3.5</v>
      </c>
      <c r="BL2256" s="2">
        <v>72.52</v>
      </c>
      <c r="BM2256" s="2">
        <v>10.15</v>
      </c>
      <c r="BN2256" s="2">
        <v>82.67</v>
      </c>
      <c r="BO2256" s="2">
        <v>82.67</v>
      </c>
      <c r="BP2256" s="2"/>
      <c r="BQ2256" s="2" t="s">
        <v>288</v>
      </c>
      <c r="BR2256" s="2" t="s">
        <v>84</v>
      </c>
      <c r="BS2256" s="3">
        <v>42969</v>
      </c>
      <c r="BT2256" s="4">
        <v>0.40416666666666662</v>
      </c>
      <c r="BU2256" s="2" t="s">
        <v>2771</v>
      </c>
      <c r="BV2256" s="2" t="s">
        <v>95</v>
      </c>
      <c r="BW2256" s="2"/>
      <c r="BX2256" s="2"/>
      <c r="BY2256" s="2">
        <v>15570.91</v>
      </c>
      <c r="BZ2256" s="2" t="s">
        <v>27</v>
      </c>
      <c r="CA2256" s="2" t="s">
        <v>600</v>
      </c>
      <c r="CB2256" s="2"/>
      <c r="CC2256" s="2" t="s">
        <v>98</v>
      </c>
      <c r="CD2256" s="2">
        <v>6070</v>
      </c>
      <c r="CE2256" s="2" t="s">
        <v>89</v>
      </c>
      <c r="CF2256" s="5">
        <v>42970</v>
      </c>
      <c r="CG2256" s="2"/>
      <c r="CH2256" s="2"/>
      <c r="CI2256" s="2">
        <v>1</v>
      </c>
      <c r="CJ2256" s="2">
        <v>1</v>
      </c>
      <c r="CK2256" s="2">
        <v>21</v>
      </c>
      <c r="CL2256" s="2" t="s">
        <v>86</v>
      </c>
      <c r="CM2256" s="2"/>
    </row>
    <row r="2257" spans="1:91">
      <c r="A2257" s="2" t="s">
        <v>71</v>
      </c>
      <c r="B2257" s="2" t="s">
        <v>72</v>
      </c>
      <c r="C2257" s="2" t="s">
        <v>73</v>
      </c>
      <c r="D2257" s="2"/>
      <c r="E2257" s="2" t="str">
        <f>"FES1162570239"</f>
        <v>FES1162570239</v>
      </c>
      <c r="F2257" s="3">
        <v>42968</v>
      </c>
      <c r="G2257" s="2">
        <v>201802</v>
      </c>
      <c r="H2257" s="2" t="s">
        <v>74</v>
      </c>
      <c r="I2257" s="2" t="s">
        <v>75</v>
      </c>
      <c r="J2257" s="2" t="s">
        <v>76</v>
      </c>
      <c r="K2257" s="2" t="s">
        <v>77</v>
      </c>
      <c r="L2257" s="2" t="s">
        <v>97</v>
      </c>
      <c r="M2257" s="2" t="s">
        <v>98</v>
      </c>
      <c r="N2257" s="2" t="s">
        <v>2772</v>
      </c>
      <c r="O2257" s="2" t="s">
        <v>100</v>
      </c>
      <c r="P2257" s="2" t="str">
        <f>"2170586016                    "</f>
        <v xml:space="preserve">2170586016 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7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1.9</v>
      </c>
      <c r="BJ2257" s="2">
        <v>3.1</v>
      </c>
      <c r="BK2257" s="2">
        <v>3.5</v>
      </c>
      <c r="BL2257" s="2">
        <v>72.52</v>
      </c>
      <c r="BM2257" s="2">
        <v>10.15</v>
      </c>
      <c r="BN2257" s="2">
        <v>82.67</v>
      </c>
      <c r="BO2257" s="2">
        <v>82.67</v>
      </c>
      <c r="BP2257" s="2"/>
      <c r="BQ2257" s="2" t="s">
        <v>83</v>
      </c>
      <c r="BR2257" s="2" t="s">
        <v>84</v>
      </c>
      <c r="BS2257" s="3">
        <v>42969</v>
      </c>
      <c r="BT2257" s="4">
        <v>0.3756944444444445</v>
      </c>
      <c r="BU2257" s="2" t="s">
        <v>2773</v>
      </c>
      <c r="BV2257" s="2" t="s">
        <v>95</v>
      </c>
      <c r="BW2257" s="2"/>
      <c r="BX2257" s="2"/>
      <c r="BY2257" s="2">
        <v>15280.65</v>
      </c>
      <c r="BZ2257" s="2" t="s">
        <v>27</v>
      </c>
      <c r="CA2257" s="2" t="s">
        <v>213</v>
      </c>
      <c r="CB2257" s="2"/>
      <c r="CC2257" s="2" t="s">
        <v>98</v>
      </c>
      <c r="CD2257" s="2">
        <v>6001</v>
      </c>
      <c r="CE2257" s="2" t="s">
        <v>89</v>
      </c>
      <c r="CF2257" s="5">
        <v>42970</v>
      </c>
      <c r="CG2257" s="2"/>
      <c r="CH2257" s="2"/>
      <c r="CI2257" s="2">
        <v>1</v>
      </c>
      <c r="CJ2257" s="2">
        <v>1</v>
      </c>
      <c r="CK2257" s="2">
        <v>21</v>
      </c>
      <c r="CL2257" s="2" t="s">
        <v>86</v>
      </c>
      <c r="CM2257" s="2"/>
    </row>
    <row r="2258" spans="1:91">
      <c r="A2258" s="2" t="s">
        <v>71</v>
      </c>
      <c r="B2258" s="2" t="s">
        <v>72</v>
      </c>
      <c r="C2258" s="2" t="s">
        <v>73</v>
      </c>
      <c r="D2258" s="2"/>
      <c r="E2258" s="2" t="str">
        <f>"FES1162570272"</f>
        <v>FES1162570272</v>
      </c>
      <c r="F2258" s="3">
        <v>42968</v>
      </c>
      <c r="G2258" s="2">
        <v>201802</v>
      </c>
      <c r="H2258" s="2" t="s">
        <v>74</v>
      </c>
      <c r="I2258" s="2" t="s">
        <v>75</v>
      </c>
      <c r="J2258" s="2" t="s">
        <v>76</v>
      </c>
      <c r="K2258" s="2" t="s">
        <v>77</v>
      </c>
      <c r="L2258" s="2" t="s">
        <v>105</v>
      </c>
      <c r="M2258" s="2" t="s">
        <v>106</v>
      </c>
      <c r="N2258" s="2" t="s">
        <v>746</v>
      </c>
      <c r="O2258" s="2" t="s">
        <v>100</v>
      </c>
      <c r="P2258" s="2" t="str">
        <f>"2170586049                    "</f>
        <v xml:space="preserve">2170586049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4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1</v>
      </c>
      <c r="BJ2258" s="2">
        <v>0.2</v>
      </c>
      <c r="BK2258" s="2">
        <v>1</v>
      </c>
      <c r="BL2258" s="2">
        <v>41.44</v>
      </c>
      <c r="BM2258" s="2">
        <v>5.8</v>
      </c>
      <c r="BN2258" s="2">
        <v>47.24</v>
      </c>
      <c r="BO2258" s="2">
        <v>47.24</v>
      </c>
      <c r="BP2258" s="2"/>
      <c r="BQ2258" s="2" t="s">
        <v>108</v>
      </c>
      <c r="BR2258" s="2" t="s">
        <v>84</v>
      </c>
      <c r="BS2258" s="3">
        <v>42969</v>
      </c>
      <c r="BT2258" s="4">
        <v>0.37916666666666665</v>
      </c>
      <c r="BU2258" s="2" t="s">
        <v>747</v>
      </c>
      <c r="BV2258" s="2" t="s">
        <v>95</v>
      </c>
      <c r="BW2258" s="2"/>
      <c r="BX2258" s="2"/>
      <c r="BY2258" s="2">
        <v>1200</v>
      </c>
      <c r="BZ2258" s="2" t="s">
        <v>27</v>
      </c>
      <c r="CA2258" s="2" t="s">
        <v>748</v>
      </c>
      <c r="CB2258" s="2"/>
      <c r="CC2258" s="2" t="s">
        <v>106</v>
      </c>
      <c r="CD2258" s="2">
        <v>7441</v>
      </c>
      <c r="CE2258" s="2" t="s">
        <v>104</v>
      </c>
      <c r="CF2258" s="5">
        <v>42970</v>
      </c>
      <c r="CG2258" s="2"/>
      <c r="CH2258" s="2"/>
      <c r="CI2258" s="2">
        <v>1</v>
      </c>
      <c r="CJ2258" s="2">
        <v>1</v>
      </c>
      <c r="CK2258" s="2">
        <v>21</v>
      </c>
      <c r="CL2258" s="2" t="s">
        <v>86</v>
      </c>
      <c r="CM2258" s="2"/>
    </row>
    <row r="2259" spans="1:91">
      <c r="A2259" s="2" t="s">
        <v>71</v>
      </c>
      <c r="B2259" s="2" t="s">
        <v>72</v>
      </c>
      <c r="C2259" s="2" t="s">
        <v>73</v>
      </c>
      <c r="D2259" s="2"/>
      <c r="E2259" s="2" t="str">
        <f>"FES1162570257"</f>
        <v>FES1162570257</v>
      </c>
      <c r="F2259" s="3">
        <v>42968</v>
      </c>
      <c r="G2259" s="2">
        <v>201802</v>
      </c>
      <c r="H2259" s="2" t="s">
        <v>74</v>
      </c>
      <c r="I2259" s="2" t="s">
        <v>75</v>
      </c>
      <c r="J2259" s="2" t="s">
        <v>76</v>
      </c>
      <c r="K2259" s="2" t="s">
        <v>77</v>
      </c>
      <c r="L2259" s="2" t="s">
        <v>417</v>
      </c>
      <c r="M2259" s="2" t="s">
        <v>417</v>
      </c>
      <c r="N2259" s="2" t="s">
        <v>475</v>
      </c>
      <c r="O2259" s="2" t="s">
        <v>100</v>
      </c>
      <c r="P2259" s="2" t="str">
        <f>"2170583403                    "</f>
        <v xml:space="preserve">2170583403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4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1</v>
      </c>
      <c r="BJ2259" s="2">
        <v>0.2</v>
      </c>
      <c r="BK2259" s="2">
        <v>1</v>
      </c>
      <c r="BL2259" s="2">
        <v>41.44</v>
      </c>
      <c r="BM2259" s="2">
        <v>5.8</v>
      </c>
      <c r="BN2259" s="2">
        <v>47.24</v>
      </c>
      <c r="BO2259" s="2">
        <v>47.24</v>
      </c>
      <c r="BP2259" s="2"/>
      <c r="BQ2259" s="2" t="s">
        <v>108</v>
      </c>
      <c r="BR2259" s="2" t="s">
        <v>84</v>
      </c>
      <c r="BS2259" s="3">
        <v>42969</v>
      </c>
      <c r="BT2259" s="4">
        <v>0.4694444444444445</v>
      </c>
      <c r="BU2259" s="2" t="s">
        <v>2746</v>
      </c>
      <c r="BV2259" s="2" t="s">
        <v>95</v>
      </c>
      <c r="BW2259" s="2"/>
      <c r="BX2259" s="2"/>
      <c r="BY2259" s="2">
        <v>1200</v>
      </c>
      <c r="BZ2259" s="2" t="s">
        <v>27</v>
      </c>
      <c r="CA2259" s="2" t="s">
        <v>460</v>
      </c>
      <c r="CB2259" s="2"/>
      <c r="CC2259" s="2" t="s">
        <v>417</v>
      </c>
      <c r="CD2259" s="2">
        <v>7646</v>
      </c>
      <c r="CE2259" s="2" t="s">
        <v>104</v>
      </c>
      <c r="CF2259" s="5">
        <v>42970</v>
      </c>
      <c r="CG2259" s="2"/>
      <c r="CH2259" s="2"/>
      <c r="CI2259" s="2">
        <v>1</v>
      </c>
      <c r="CJ2259" s="2">
        <v>1</v>
      </c>
      <c r="CK2259" s="2">
        <v>21</v>
      </c>
      <c r="CL2259" s="2" t="s">
        <v>86</v>
      </c>
      <c r="CM2259" s="2"/>
    </row>
    <row r="2260" spans="1:91">
      <c r="A2260" s="2" t="s">
        <v>71</v>
      </c>
      <c r="B2260" s="2" t="s">
        <v>72</v>
      </c>
      <c r="C2260" s="2" t="s">
        <v>73</v>
      </c>
      <c r="D2260" s="2"/>
      <c r="E2260" s="2" t="str">
        <f>"FES1162570242"</f>
        <v>FES1162570242</v>
      </c>
      <c r="F2260" s="3">
        <v>42968</v>
      </c>
      <c r="G2260" s="2">
        <v>201802</v>
      </c>
      <c r="H2260" s="2" t="s">
        <v>74</v>
      </c>
      <c r="I2260" s="2" t="s">
        <v>75</v>
      </c>
      <c r="J2260" s="2" t="s">
        <v>76</v>
      </c>
      <c r="K2260" s="2" t="s">
        <v>77</v>
      </c>
      <c r="L2260" s="2" t="s">
        <v>417</v>
      </c>
      <c r="M2260" s="2" t="s">
        <v>417</v>
      </c>
      <c r="N2260" s="2" t="s">
        <v>2774</v>
      </c>
      <c r="O2260" s="2" t="s">
        <v>100</v>
      </c>
      <c r="P2260" s="2" t="str">
        <f>"2170585486                    "</f>
        <v xml:space="preserve">2170585486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4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1</v>
      </c>
      <c r="BJ2260" s="2">
        <v>0.2</v>
      </c>
      <c r="BK2260" s="2">
        <v>1</v>
      </c>
      <c r="BL2260" s="2">
        <v>41.44</v>
      </c>
      <c r="BM2260" s="2">
        <v>5.8</v>
      </c>
      <c r="BN2260" s="2">
        <v>47.24</v>
      </c>
      <c r="BO2260" s="2">
        <v>47.24</v>
      </c>
      <c r="BP2260" s="2"/>
      <c r="BQ2260" s="2" t="s">
        <v>288</v>
      </c>
      <c r="BR2260" s="2" t="s">
        <v>84</v>
      </c>
      <c r="BS2260" s="3">
        <v>42969</v>
      </c>
      <c r="BT2260" s="4">
        <v>0.48958333333333331</v>
      </c>
      <c r="BU2260" s="2" t="s">
        <v>2775</v>
      </c>
      <c r="BV2260" s="2" t="s">
        <v>95</v>
      </c>
      <c r="BW2260" s="2"/>
      <c r="BX2260" s="2"/>
      <c r="BY2260" s="2">
        <v>1200</v>
      </c>
      <c r="BZ2260" s="2" t="s">
        <v>27</v>
      </c>
      <c r="CA2260" s="2" t="s">
        <v>460</v>
      </c>
      <c r="CB2260" s="2"/>
      <c r="CC2260" s="2" t="s">
        <v>417</v>
      </c>
      <c r="CD2260" s="2">
        <v>7646</v>
      </c>
      <c r="CE2260" s="2" t="s">
        <v>104</v>
      </c>
      <c r="CF2260" s="5">
        <v>42970</v>
      </c>
      <c r="CG2260" s="2"/>
      <c r="CH2260" s="2"/>
      <c r="CI2260" s="2">
        <v>1</v>
      </c>
      <c r="CJ2260" s="2">
        <v>1</v>
      </c>
      <c r="CK2260" s="2">
        <v>21</v>
      </c>
      <c r="CL2260" s="2" t="s">
        <v>86</v>
      </c>
      <c r="CM2260" s="2"/>
    </row>
    <row r="2261" spans="1:91">
      <c r="A2261" s="2" t="s">
        <v>71</v>
      </c>
      <c r="B2261" s="2" t="s">
        <v>72</v>
      </c>
      <c r="C2261" s="2" t="s">
        <v>73</v>
      </c>
      <c r="D2261" s="2"/>
      <c r="E2261" s="2" t="str">
        <f>"FES1162570255"</f>
        <v>FES1162570255</v>
      </c>
      <c r="F2261" s="3">
        <v>42968</v>
      </c>
      <c r="G2261" s="2">
        <v>201802</v>
      </c>
      <c r="H2261" s="2" t="s">
        <v>74</v>
      </c>
      <c r="I2261" s="2" t="s">
        <v>75</v>
      </c>
      <c r="J2261" s="2" t="s">
        <v>76</v>
      </c>
      <c r="K2261" s="2" t="s">
        <v>77</v>
      </c>
      <c r="L2261" s="2" t="s">
        <v>105</v>
      </c>
      <c r="M2261" s="2" t="s">
        <v>106</v>
      </c>
      <c r="N2261" s="2" t="s">
        <v>107</v>
      </c>
      <c r="O2261" s="2" t="s">
        <v>100</v>
      </c>
      <c r="P2261" s="2" t="str">
        <f>"2170586036                    "</f>
        <v xml:space="preserve">2170586036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4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1</v>
      </c>
      <c r="BJ2261" s="2">
        <v>0.2</v>
      </c>
      <c r="BK2261" s="2">
        <v>1</v>
      </c>
      <c r="BL2261" s="2">
        <v>41.44</v>
      </c>
      <c r="BM2261" s="2">
        <v>5.8</v>
      </c>
      <c r="BN2261" s="2">
        <v>47.24</v>
      </c>
      <c r="BO2261" s="2">
        <v>47.24</v>
      </c>
      <c r="BP2261" s="2"/>
      <c r="BQ2261" s="2" t="s">
        <v>108</v>
      </c>
      <c r="BR2261" s="2" t="s">
        <v>84</v>
      </c>
      <c r="BS2261" s="3">
        <v>42969</v>
      </c>
      <c r="BT2261" s="4">
        <v>0.39374999999999999</v>
      </c>
      <c r="BU2261" s="2" t="s">
        <v>236</v>
      </c>
      <c r="BV2261" s="2" t="s">
        <v>95</v>
      </c>
      <c r="BW2261" s="2"/>
      <c r="BX2261" s="2"/>
      <c r="BY2261" s="2">
        <v>1200</v>
      </c>
      <c r="BZ2261" s="2" t="s">
        <v>27</v>
      </c>
      <c r="CA2261" s="2" t="s">
        <v>112</v>
      </c>
      <c r="CB2261" s="2"/>
      <c r="CC2261" s="2" t="s">
        <v>106</v>
      </c>
      <c r="CD2261" s="2">
        <v>7405</v>
      </c>
      <c r="CE2261" s="2" t="s">
        <v>104</v>
      </c>
      <c r="CF2261" s="5">
        <v>42969</v>
      </c>
      <c r="CG2261" s="2"/>
      <c r="CH2261" s="2"/>
      <c r="CI2261" s="2">
        <v>1</v>
      </c>
      <c r="CJ2261" s="2">
        <v>1</v>
      </c>
      <c r="CK2261" s="2">
        <v>21</v>
      </c>
      <c r="CL2261" s="2" t="s">
        <v>86</v>
      </c>
      <c r="CM2261" s="2"/>
    </row>
    <row r="2262" spans="1:91">
      <c r="A2262" s="2" t="s">
        <v>71</v>
      </c>
      <c r="B2262" s="2" t="s">
        <v>72</v>
      </c>
      <c r="C2262" s="2" t="s">
        <v>73</v>
      </c>
      <c r="D2262" s="2"/>
      <c r="E2262" s="2" t="str">
        <f>"FES1162570252"</f>
        <v>FES1162570252</v>
      </c>
      <c r="F2262" s="3">
        <v>42968</v>
      </c>
      <c r="G2262" s="2">
        <v>201802</v>
      </c>
      <c r="H2262" s="2" t="s">
        <v>74</v>
      </c>
      <c r="I2262" s="2" t="s">
        <v>75</v>
      </c>
      <c r="J2262" s="2" t="s">
        <v>76</v>
      </c>
      <c r="K2262" s="2" t="s">
        <v>77</v>
      </c>
      <c r="L2262" s="2" t="s">
        <v>105</v>
      </c>
      <c r="M2262" s="2" t="s">
        <v>106</v>
      </c>
      <c r="N2262" s="2" t="s">
        <v>2429</v>
      </c>
      <c r="O2262" s="2" t="s">
        <v>100</v>
      </c>
      <c r="P2262" s="2" t="str">
        <f>"2170586029                    "</f>
        <v xml:space="preserve">2170586029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4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1</v>
      </c>
      <c r="BJ2262" s="2">
        <v>0.2</v>
      </c>
      <c r="BK2262" s="2">
        <v>1</v>
      </c>
      <c r="BL2262" s="2">
        <v>41.44</v>
      </c>
      <c r="BM2262" s="2">
        <v>5.8</v>
      </c>
      <c r="BN2262" s="2">
        <v>47.24</v>
      </c>
      <c r="BO2262" s="2">
        <v>47.24</v>
      </c>
      <c r="BP2262" s="2"/>
      <c r="BQ2262" s="2" t="s">
        <v>108</v>
      </c>
      <c r="BR2262" s="2" t="s">
        <v>84</v>
      </c>
      <c r="BS2262" s="3">
        <v>42969</v>
      </c>
      <c r="BT2262" s="4">
        <v>0.33333333333333331</v>
      </c>
      <c r="BU2262" s="2" t="s">
        <v>2776</v>
      </c>
      <c r="BV2262" s="2" t="s">
        <v>95</v>
      </c>
      <c r="BW2262" s="2"/>
      <c r="BX2262" s="2"/>
      <c r="BY2262" s="2">
        <v>1200</v>
      </c>
      <c r="BZ2262" s="2" t="s">
        <v>27</v>
      </c>
      <c r="CA2262" s="2"/>
      <c r="CB2262" s="2"/>
      <c r="CC2262" s="2" t="s">
        <v>106</v>
      </c>
      <c r="CD2262" s="2">
        <v>7530</v>
      </c>
      <c r="CE2262" s="2" t="s">
        <v>104</v>
      </c>
      <c r="CF2262" s="5">
        <v>42970</v>
      </c>
      <c r="CG2262" s="2"/>
      <c r="CH2262" s="2"/>
      <c r="CI2262" s="2">
        <v>1</v>
      </c>
      <c r="CJ2262" s="2">
        <v>1</v>
      </c>
      <c r="CK2262" s="2">
        <v>21</v>
      </c>
      <c r="CL2262" s="2" t="s">
        <v>86</v>
      </c>
      <c r="CM2262" s="2"/>
    </row>
    <row r="2263" spans="1:91">
      <c r="A2263" s="2" t="s">
        <v>71</v>
      </c>
      <c r="B2263" s="2" t="s">
        <v>72</v>
      </c>
      <c r="C2263" s="2" t="s">
        <v>73</v>
      </c>
      <c r="D2263" s="2"/>
      <c r="E2263" s="2" t="str">
        <f>"FES1162570237"</f>
        <v>FES1162570237</v>
      </c>
      <c r="F2263" s="3">
        <v>42968</v>
      </c>
      <c r="G2263" s="2">
        <v>201802</v>
      </c>
      <c r="H2263" s="2" t="s">
        <v>74</v>
      </c>
      <c r="I2263" s="2" t="s">
        <v>75</v>
      </c>
      <c r="J2263" s="2" t="s">
        <v>76</v>
      </c>
      <c r="K2263" s="2" t="s">
        <v>77</v>
      </c>
      <c r="L2263" s="2" t="s">
        <v>144</v>
      </c>
      <c r="M2263" s="2" t="s">
        <v>145</v>
      </c>
      <c r="N2263" s="2" t="s">
        <v>146</v>
      </c>
      <c r="O2263" s="2" t="s">
        <v>100</v>
      </c>
      <c r="P2263" s="2" t="str">
        <f>"2170586014                    "</f>
        <v xml:space="preserve">2170586014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3.5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2</v>
      </c>
      <c r="BI2263" s="2">
        <v>8.9</v>
      </c>
      <c r="BJ2263" s="2">
        <v>4.0999999999999996</v>
      </c>
      <c r="BK2263" s="2">
        <v>9</v>
      </c>
      <c r="BL2263" s="2">
        <v>36.26</v>
      </c>
      <c r="BM2263" s="2">
        <v>5.08</v>
      </c>
      <c r="BN2263" s="2">
        <v>41.34</v>
      </c>
      <c r="BO2263" s="2">
        <v>41.34</v>
      </c>
      <c r="BP2263" s="2"/>
      <c r="BQ2263" s="2" t="s">
        <v>83</v>
      </c>
      <c r="BR2263" s="2" t="s">
        <v>84</v>
      </c>
      <c r="BS2263" s="3">
        <v>42969</v>
      </c>
      <c r="BT2263" s="4">
        <v>0.375</v>
      </c>
      <c r="BU2263" s="2" t="s">
        <v>1458</v>
      </c>
      <c r="BV2263" s="2" t="s">
        <v>95</v>
      </c>
      <c r="BW2263" s="2"/>
      <c r="BX2263" s="2"/>
      <c r="BY2263" s="2">
        <v>20730.080000000002</v>
      </c>
      <c r="BZ2263" s="2" t="s">
        <v>27</v>
      </c>
      <c r="CA2263" s="2" t="s">
        <v>729</v>
      </c>
      <c r="CB2263" s="2"/>
      <c r="CC2263" s="2" t="s">
        <v>145</v>
      </c>
      <c r="CD2263" s="2">
        <v>2094</v>
      </c>
      <c r="CE2263" s="2" t="s">
        <v>89</v>
      </c>
      <c r="CF2263" s="5">
        <v>42970</v>
      </c>
      <c r="CG2263" s="2"/>
      <c r="CH2263" s="2"/>
      <c r="CI2263" s="2">
        <v>1</v>
      </c>
      <c r="CJ2263" s="2">
        <v>1</v>
      </c>
      <c r="CK2263" s="2">
        <v>22</v>
      </c>
      <c r="CL2263" s="2" t="s">
        <v>86</v>
      </c>
      <c r="CM2263" s="2"/>
    </row>
    <row r="2264" spans="1:91">
      <c r="A2264" s="2" t="s">
        <v>71</v>
      </c>
      <c r="B2264" s="2" t="s">
        <v>72</v>
      </c>
      <c r="C2264" s="2" t="s">
        <v>73</v>
      </c>
      <c r="D2264" s="2"/>
      <c r="E2264" s="2" t="str">
        <f>"FES1162570308"</f>
        <v>FES1162570308</v>
      </c>
      <c r="F2264" s="3">
        <v>42968</v>
      </c>
      <c r="G2264" s="2">
        <v>201802</v>
      </c>
      <c r="H2264" s="2" t="s">
        <v>74</v>
      </c>
      <c r="I2264" s="2" t="s">
        <v>75</v>
      </c>
      <c r="J2264" s="2" t="s">
        <v>76</v>
      </c>
      <c r="K2264" s="2" t="s">
        <v>77</v>
      </c>
      <c r="L2264" s="2" t="s">
        <v>715</v>
      </c>
      <c r="M2264" s="2" t="s">
        <v>716</v>
      </c>
      <c r="N2264" s="2" t="s">
        <v>2310</v>
      </c>
      <c r="O2264" s="2" t="s">
        <v>100</v>
      </c>
      <c r="P2264" s="2" t="str">
        <f>"2170586078                    "</f>
        <v xml:space="preserve">2170586078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4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1</v>
      </c>
      <c r="BJ2264" s="2">
        <v>0.2</v>
      </c>
      <c r="BK2264" s="2">
        <v>1</v>
      </c>
      <c r="BL2264" s="2">
        <v>41.44</v>
      </c>
      <c r="BM2264" s="2">
        <v>5.8</v>
      </c>
      <c r="BN2264" s="2">
        <v>47.24</v>
      </c>
      <c r="BO2264" s="2">
        <v>47.24</v>
      </c>
      <c r="BP2264" s="2"/>
      <c r="BQ2264" s="2" t="s">
        <v>108</v>
      </c>
      <c r="BR2264" s="2" t="s">
        <v>84</v>
      </c>
      <c r="BS2264" s="3">
        <v>42969</v>
      </c>
      <c r="BT2264" s="4">
        <v>0.41805555555555557</v>
      </c>
      <c r="BU2264" s="2" t="s">
        <v>2777</v>
      </c>
      <c r="BV2264" s="2" t="s">
        <v>95</v>
      </c>
      <c r="BW2264" s="2"/>
      <c r="BX2264" s="2"/>
      <c r="BY2264" s="2">
        <v>1200</v>
      </c>
      <c r="BZ2264" s="2" t="s">
        <v>27</v>
      </c>
      <c r="CA2264" s="2" t="s">
        <v>1380</v>
      </c>
      <c r="CB2264" s="2"/>
      <c r="CC2264" s="2" t="s">
        <v>716</v>
      </c>
      <c r="CD2264" s="2">
        <v>3290</v>
      </c>
      <c r="CE2264" s="2" t="s">
        <v>104</v>
      </c>
      <c r="CF2264" s="5">
        <v>42970</v>
      </c>
      <c r="CG2264" s="2"/>
      <c r="CH2264" s="2"/>
      <c r="CI2264" s="2">
        <v>1</v>
      </c>
      <c r="CJ2264" s="2">
        <v>1</v>
      </c>
      <c r="CK2264" s="2">
        <v>21</v>
      </c>
      <c r="CL2264" s="2" t="s">
        <v>86</v>
      </c>
      <c r="CM2264" s="2"/>
    </row>
    <row r="2265" spans="1:91">
      <c r="A2265" s="2" t="s">
        <v>71</v>
      </c>
      <c r="B2265" s="2" t="s">
        <v>72</v>
      </c>
      <c r="C2265" s="2" t="s">
        <v>73</v>
      </c>
      <c r="D2265" s="2"/>
      <c r="E2265" s="2" t="str">
        <f>"FES1162570217"</f>
        <v>FES1162570217</v>
      </c>
      <c r="F2265" s="3">
        <v>42968</v>
      </c>
      <c r="G2265" s="2">
        <v>201802</v>
      </c>
      <c r="H2265" s="2" t="s">
        <v>74</v>
      </c>
      <c r="I2265" s="2" t="s">
        <v>75</v>
      </c>
      <c r="J2265" s="2" t="s">
        <v>76</v>
      </c>
      <c r="K2265" s="2" t="s">
        <v>77</v>
      </c>
      <c r="L2265" s="2" t="s">
        <v>97</v>
      </c>
      <c r="M2265" s="2" t="s">
        <v>98</v>
      </c>
      <c r="N2265" s="2" t="s">
        <v>610</v>
      </c>
      <c r="O2265" s="2" t="s">
        <v>100</v>
      </c>
      <c r="P2265" s="2" t="str">
        <f>"2170585780                    "</f>
        <v xml:space="preserve">2170585780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4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1</v>
      </c>
      <c r="BJ2265" s="2">
        <v>0.2</v>
      </c>
      <c r="BK2265" s="2">
        <v>1</v>
      </c>
      <c r="BL2265" s="2">
        <v>41.44</v>
      </c>
      <c r="BM2265" s="2">
        <v>5.8</v>
      </c>
      <c r="BN2265" s="2">
        <v>47.24</v>
      </c>
      <c r="BO2265" s="2">
        <v>47.24</v>
      </c>
      <c r="BP2265" s="2"/>
      <c r="BQ2265" s="2" t="s">
        <v>83</v>
      </c>
      <c r="BR2265" s="2" t="s">
        <v>84</v>
      </c>
      <c r="BS2265" s="3">
        <v>42969</v>
      </c>
      <c r="BT2265" s="4">
        <v>0.3611111111111111</v>
      </c>
      <c r="BU2265" s="2" t="s">
        <v>2778</v>
      </c>
      <c r="BV2265" s="2" t="s">
        <v>95</v>
      </c>
      <c r="BW2265" s="2"/>
      <c r="BX2265" s="2"/>
      <c r="BY2265" s="2">
        <v>1200</v>
      </c>
      <c r="BZ2265" s="2" t="s">
        <v>27</v>
      </c>
      <c r="CA2265" s="2" t="s">
        <v>294</v>
      </c>
      <c r="CB2265" s="2"/>
      <c r="CC2265" s="2" t="s">
        <v>98</v>
      </c>
      <c r="CD2265" s="2">
        <v>6001</v>
      </c>
      <c r="CE2265" s="2" t="s">
        <v>104</v>
      </c>
      <c r="CF2265" s="5">
        <v>42970</v>
      </c>
      <c r="CG2265" s="2"/>
      <c r="CH2265" s="2"/>
      <c r="CI2265" s="2">
        <v>1</v>
      </c>
      <c r="CJ2265" s="2">
        <v>1</v>
      </c>
      <c r="CK2265" s="2">
        <v>21</v>
      </c>
      <c r="CL2265" s="2" t="s">
        <v>86</v>
      </c>
      <c r="CM2265" s="2"/>
    </row>
    <row r="2266" spans="1:91">
      <c r="A2266" s="2" t="s">
        <v>71</v>
      </c>
      <c r="B2266" s="2" t="s">
        <v>72</v>
      </c>
      <c r="C2266" s="2" t="s">
        <v>73</v>
      </c>
      <c r="D2266" s="2"/>
      <c r="E2266" s="2" t="str">
        <f>"FES1162570176"</f>
        <v>FES1162570176</v>
      </c>
      <c r="F2266" s="3">
        <v>42968</v>
      </c>
      <c r="G2266" s="2">
        <v>201802</v>
      </c>
      <c r="H2266" s="2" t="s">
        <v>74</v>
      </c>
      <c r="I2266" s="2" t="s">
        <v>75</v>
      </c>
      <c r="J2266" s="2" t="s">
        <v>76</v>
      </c>
      <c r="K2266" s="2" t="s">
        <v>77</v>
      </c>
      <c r="L2266" s="2" t="s">
        <v>244</v>
      </c>
      <c r="M2266" s="2" t="s">
        <v>245</v>
      </c>
      <c r="N2266" s="2" t="s">
        <v>246</v>
      </c>
      <c r="O2266" s="2" t="s">
        <v>100</v>
      </c>
      <c r="P2266" s="2" t="str">
        <f>"2170585607                    "</f>
        <v xml:space="preserve">2170585607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3.13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3.5</v>
      </c>
      <c r="BJ2266" s="2">
        <v>1.3</v>
      </c>
      <c r="BK2266" s="2">
        <v>4</v>
      </c>
      <c r="BL2266" s="2">
        <v>32.380000000000003</v>
      </c>
      <c r="BM2266" s="2">
        <v>4.53</v>
      </c>
      <c r="BN2266" s="2">
        <v>36.909999999999997</v>
      </c>
      <c r="BO2266" s="2">
        <v>36.909999999999997</v>
      </c>
      <c r="BP2266" s="2"/>
      <c r="BQ2266" s="2" t="s">
        <v>209</v>
      </c>
      <c r="BR2266" s="2" t="s">
        <v>84</v>
      </c>
      <c r="BS2266" s="3">
        <v>42969</v>
      </c>
      <c r="BT2266" s="4">
        <v>0.38819444444444445</v>
      </c>
      <c r="BU2266" s="2" t="s">
        <v>740</v>
      </c>
      <c r="BV2266" s="2" t="s">
        <v>95</v>
      </c>
      <c r="BW2266" s="2"/>
      <c r="BX2266" s="2"/>
      <c r="BY2266" s="2">
        <v>6729.58</v>
      </c>
      <c r="BZ2266" s="2" t="s">
        <v>27</v>
      </c>
      <c r="CA2266" s="2" t="s">
        <v>499</v>
      </c>
      <c r="CB2266" s="2"/>
      <c r="CC2266" s="2" t="s">
        <v>245</v>
      </c>
      <c r="CD2266" s="2">
        <v>1459</v>
      </c>
      <c r="CE2266" s="2" t="s">
        <v>2779</v>
      </c>
      <c r="CF2266" s="5">
        <v>42970</v>
      </c>
      <c r="CG2266" s="2"/>
      <c r="CH2266" s="2"/>
      <c r="CI2266" s="2">
        <v>1</v>
      </c>
      <c r="CJ2266" s="2">
        <v>1</v>
      </c>
      <c r="CK2266" s="2">
        <v>22</v>
      </c>
      <c r="CL2266" s="2" t="s">
        <v>86</v>
      </c>
      <c r="CM2266" s="2"/>
    </row>
    <row r="2267" spans="1:91">
      <c r="A2267" s="2" t="s">
        <v>71</v>
      </c>
      <c r="B2267" s="2" t="s">
        <v>72</v>
      </c>
      <c r="C2267" s="2" t="s">
        <v>73</v>
      </c>
      <c r="D2267" s="2"/>
      <c r="E2267" s="2" t="str">
        <f>"FES1162570270"</f>
        <v>FES1162570270</v>
      </c>
      <c r="F2267" s="3">
        <v>42968</v>
      </c>
      <c r="G2267" s="2">
        <v>201802</v>
      </c>
      <c r="H2267" s="2" t="s">
        <v>74</v>
      </c>
      <c r="I2267" s="2" t="s">
        <v>75</v>
      </c>
      <c r="J2267" s="2" t="s">
        <v>76</v>
      </c>
      <c r="K2267" s="2" t="s">
        <v>77</v>
      </c>
      <c r="L2267" s="2" t="s">
        <v>105</v>
      </c>
      <c r="M2267" s="2" t="s">
        <v>106</v>
      </c>
      <c r="N2267" s="2" t="s">
        <v>397</v>
      </c>
      <c r="O2267" s="2" t="s">
        <v>100</v>
      </c>
      <c r="P2267" s="2" t="str">
        <f>"2170586046                    "</f>
        <v xml:space="preserve">2170586046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16.010000000000002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6.6</v>
      </c>
      <c r="BJ2267" s="2">
        <v>7.6</v>
      </c>
      <c r="BK2267" s="2">
        <v>8</v>
      </c>
      <c r="BL2267" s="2">
        <v>165.77</v>
      </c>
      <c r="BM2267" s="2">
        <v>23.21</v>
      </c>
      <c r="BN2267" s="2">
        <v>188.98</v>
      </c>
      <c r="BO2267" s="2">
        <v>188.98</v>
      </c>
      <c r="BP2267" s="2"/>
      <c r="BQ2267" s="2" t="s">
        <v>83</v>
      </c>
      <c r="BR2267" s="2" t="s">
        <v>84</v>
      </c>
      <c r="BS2267" s="3">
        <v>42969</v>
      </c>
      <c r="BT2267" s="4">
        <v>0.37013888888888885</v>
      </c>
      <c r="BU2267" s="2" t="s">
        <v>408</v>
      </c>
      <c r="BV2267" s="2" t="s">
        <v>95</v>
      </c>
      <c r="BW2267" s="2"/>
      <c r="BX2267" s="2"/>
      <c r="BY2267" s="2">
        <v>37831.360000000001</v>
      </c>
      <c r="BZ2267" s="2" t="s">
        <v>27</v>
      </c>
      <c r="CA2267" s="2" t="s">
        <v>112</v>
      </c>
      <c r="CB2267" s="2"/>
      <c r="CC2267" s="2" t="s">
        <v>106</v>
      </c>
      <c r="CD2267" s="2">
        <v>7405</v>
      </c>
      <c r="CE2267" s="2" t="s">
        <v>89</v>
      </c>
      <c r="CF2267" s="5">
        <v>42970</v>
      </c>
      <c r="CG2267" s="2"/>
      <c r="CH2267" s="2"/>
      <c r="CI2267" s="2">
        <v>1</v>
      </c>
      <c r="CJ2267" s="2">
        <v>1</v>
      </c>
      <c r="CK2267" s="2">
        <v>21</v>
      </c>
      <c r="CL2267" s="2" t="s">
        <v>86</v>
      </c>
      <c r="CM2267" s="2"/>
    </row>
    <row r="2268" spans="1:91">
      <c r="A2268" s="2" t="s">
        <v>71</v>
      </c>
      <c r="B2268" s="2" t="s">
        <v>72</v>
      </c>
      <c r="C2268" s="2" t="s">
        <v>73</v>
      </c>
      <c r="D2268" s="2"/>
      <c r="E2268" s="2" t="str">
        <f>"FES1162570267"</f>
        <v>FES1162570267</v>
      </c>
      <c r="F2268" s="3">
        <v>42968</v>
      </c>
      <c r="G2268" s="2">
        <v>201802</v>
      </c>
      <c r="H2268" s="2" t="s">
        <v>74</v>
      </c>
      <c r="I2268" s="2" t="s">
        <v>75</v>
      </c>
      <c r="J2268" s="2" t="s">
        <v>76</v>
      </c>
      <c r="K2268" s="2" t="s">
        <v>77</v>
      </c>
      <c r="L2268" s="2" t="s">
        <v>105</v>
      </c>
      <c r="M2268" s="2" t="s">
        <v>106</v>
      </c>
      <c r="N2268" s="2" t="s">
        <v>107</v>
      </c>
      <c r="O2268" s="2" t="s">
        <v>100</v>
      </c>
      <c r="P2268" s="2" t="str">
        <f>"2170586042                    "</f>
        <v xml:space="preserve">2170586042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28.02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13.8</v>
      </c>
      <c r="BJ2268" s="2">
        <v>9.3000000000000007</v>
      </c>
      <c r="BK2268" s="2">
        <v>14</v>
      </c>
      <c r="BL2268" s="2">
        <v>290.10000000000002</v>
      </c>
      <c r="BM2268" s="2">
        <v>40.61</v>
      </c>
      <c r="BN2268" s="2">
        <v>330.71</v>
      </c>
      <c r="BO2268" s="2">
        <v>330.71</v>
      </c>
      <c r="BP2268" s="2"/>
      <c r="BQ2268" s="2" t="s">
        <v>108</v>
      </c>
      <c r="BR2268" s="2" t="s">
        <v>84</v>
      </c>
      <c r="BS2268" s="3">
        <v>42969</v>
      </c>
      <c r="BT2268" s="4">
        <v>0.39444444444444443</v>
      </c>
      <c r="BU2268" s="2" t="s">
        <v>236</v>
      </c>
      <c r="BV2268" s="2" t="s">
        <v>95</v>
      </c>
      <c r="BW2268" s="2"/>
      <c r="BX2268" s="2"/>
      <c r="BY2268" s="2">
        <v>46449.39</v>
      </c>
      <c r="BZ2268" s="2" t="s">
        <v>27</v>
      </c>
      <c r="CA2268" s="2" t="s">
        <v>112</v>
      </c>
      <c r="CB2268" s="2"/>
      <c r="CC2268" s="2" t="s">
        <v>106</v>
      </c>
      <c r="CD2268" s="2">
        <v>7405</v>
      </c>
      <c r="CE2268" s="2" t="s">
        <v>89</v>
      </c>
      <c r="CF2268" s="5">
        <v>42969</v>
      </c>
      <c r="CG2268" s="2"/>
      <c r="CH2268" s="2"/>
      <c r="CI2268" s="2">
        <v>1</v>
      </c>
      <c r="CJ2268" s="2">
        <v>1</v>
      </c>
      <c r="CK2268" s="2">
        <v>21</v>
      </c>
      <c r="CL2268" s="2" t="s">
        <v>86</v>
      </c>
      <c r="CM2268" s="2"/>
    </row>
    <row r="2269" spans="1:91">
      <c r="A2269" s="2" t="s">
        <v>71</v>
      </c>
      <c r="B2269" s="2" t="s">
        <v>72</v>
      </c>
      <c r="C2269" s="2" t="s">
        <v>73</v>
      </c>
      <c r="D2269" s="2"/>
      <c r="E2269" s="2" t="str">
        <f>"FES1162570265"</f>
        <v>FES1162570265</v>
      </c>
      <c r="F2269" s="3">
        <v>42968</v>
      </c>
      <c r="G2269" s="2">
        <v>201802</v>
      </c>
      <c r="H2269" s="2" t="s">
        <v>74</v>
      </c>
      <c r="I2269" s="2" t="s">
        <v>75</v>
      </c>
      <c r="J2269" s="2" t="s">
        <v>76</v>
      </c>
      <c r="K2269" s="2" t="s">
        <v>77</v>
      </c>
      <c r="L2269" s="2" t="s">
        <v>105</v>
      </c>
      <c r="M2269" s="2" t="s">
        <v>106</v>
      </c>
      <c r="N2269" s="2" t="s">
        <v>107</v>
      </c>
      <c r="O2269" s="2" t="s">
        <v>100</v>
      </c>
      <c r="P2269" s="2" t="str">
        <f>"2170586039                    "</f>
        <v xml:space="preserve">2170586039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4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1</v>
      </c>
      <c r="BJ2269" s="2">
        <v>0.2</v>
      </c>
      <c r="BK2269" s="2">
        <v>1</v>
      </c>
      <c r="BL2269" s="2">
        <v>41.44</v>
      </c>
      <c r="BM2269" s="2">
        <v>5.8</v>
      </c>
      <c r="BN2269" s="2">
        <v>47.24</v>
      </c>
      <c r="BO2269" s="2">
        <v>47.24</v>
      </c>
      <c r="BP2269" s="2"/>
      <c r="BQ2269" s="2" t="s">
        <v>108</v>
      </c>
      <c r="BR2269" s="2" t="s">
        <v>84</v>
      </c>
      <c r="BS2269" s="3">
        <v>42969</v>
      </c>
      <c r="BT2269" s="4">
        <v>0.39444444444444443</v>
      </c>
      <c r="BU2269" s="2" t="s">
        <v>236</v>
      </c>
      <c r="BV2269" s="2" t="s">
        <v>95</v>
      </c>
      <c r="BW2269" s="2"/>
      <c r="BX2269" s="2"/>
      <c r="BY2269" s="2">
        <v>1200</v>
      </c>
      <c r="BZ2269" s="2" t="s">
        <v>27</v>
      </c>
      <c r="CA2269" s="2" t="s">
        <v>112</v>
      </c>
      <c r="CB2269" s="2"/>
      <c r="CC2269" s="2" t="s">
        <v>106</v>
      </c>
      <c r="CD2269" s="2">
        <v>7405</v>
      </c>
      <c r="CE2269" s="2" t="s">
        <v>104</v>
      </c>
      <c r="CF2269" s="5">
        <v>42970</v>
      </c>
      <c r="CG2269" s="2"/>
      <c r="CH2269" s="2"/>
      <c r="CI2269" s="2">
        <v>1</v>
      </c>
      <c r="CJ2269" s="2">
        <v>1</v>
      </c>
      <c r="CK2269" s="2">
        <v>21</v>
      </c>
      <c r="CL2269" s="2" t="s">
        <v>86</v>
      </c>
      <c r="CM2269" s="2"/>
    </row>
    <row r="2270" spans="1:91">
      <c r="A2270" s="2" t="s">
        <v>71</v>
      </c>
      <c r="B2270" s="2" t="s">
        <v>72</v>
      </c>
      <c r="C2270" s="2" t="s">
        <v>73</v>
      </c>
      <c r="D2270" s="2"/>
      <c r="E2270" s="2" t="str">
        <f>"FES1162570262"</f>
        <v>FES1162570262</v>
      </c>
      <c r="F2270" s="3">
        <v>42968</v>
      </c>
      <c r="G2270" s="2">
        <v>201802</v>
      </c>
      <c r="H2270" s="2" t="s">
        <v>74</v>
      </c>
      <c r="I2270" s="2" t="s">
        <v>75</v>
      </c>
      <c r="J2270" s="2" t="s">
        <v>76</v>
      </c>
      <c r="K2270" s="2" t="s">
        <v>77</v>
      </c>
      <c r="L2270" s="2" t="s">
        <v>244</v>
      </c>
      <c r="M2270" s="2" t="s">
        <v>245</v>
      </c>
      <c r="N2270" s="2" t="s">
        <v>2780</v>
      </c>
      <c r="O2270" s="2" t="s">
        <v>100</v>
      </c>
      <c r="P2270" s="2" t="str">
        <f>"2170585444                    "</f>
        <v xml:space="preserve">2170585444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3.13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1</v>
      </c>
      <c r="BJ2270" s="2">
        <v>0.2</v>
      </c>
      <c r="BK2270" s="2">
        <v>1</v>
      </c>
      <c r="BL2270" s="2">
        <v>32.380000000000003</v>
      </c>
      <c r="BM2270" s="2">
        <v>4.53</v>
      </c>
      <c r="BN2270" s="2">
        <v>36.909999999999997</v>
      </c>
      <c r="BO2270" s="2">
        <v>36.909999999999997</v>
      </c>
      <c r="BP2270" s="2"/>
      <c r="BQ2270" s="2" t="s">
        <v>288</v>
      </c>
      <c r="BR2270" s="2" t="s">
        <v>84</v>
      </c>
      <c r="BS2270" s="3">
        <v>42969</v>
      </c>
      <c r="BT2270" s="4">
        <v>0.40208333333333335</v>
      </c>
      <c r="BU2270" s="2" t="s">
        <v>2781</v>
      </c>
      <c r="BV2270" s="2" t="s">
        <v>95</v>
      </c>
      <c r="BW2270" s="2"/>
      <c r="BX2270" s="2"/>
      <c r="BY2270" s="2">
        <v>1200</v>
      </c>
      <c r="BZ2270" s="2" t="s">
        <v>27</v>
      </c>
      <c r="CA2270" s="2" t="s">
        <v>426</v>
      </c>
      <c r="CB2270" s="2"/>
      <c r="CC2270" s="2" t="s">
        <v>245</v>
      </c>
      <c r="CD2270" s="2">
        <v>1460</v>
      </c>
      <c r="CE2270" s="2" t="s">
        <v>104</v>
      </c>
      <c r="CF2270" s="5">
        <v>42970</v>
      </c>
      <c r="CG2270" s="2"/>
      <c r="CH2270" s="2"/>
      <c r="CI2270" s="2">
        <v>1</v>
      </c>
      <c r="CJ2270" s="2">
        <v>1</v>
      </c>
      <c r="CK2270" s="2">
        <v>22</v>
      </c>
      <c r="CL2270" s="2" t="s">
        <v>86</v>
      </c>
      <c r="CM2270" s="2"/>
    </row>
    <row r="2271" spans="1:91">
      <c r="A2271" s="2" t="s">
        <v>71</v>
      </c>
      <c r="B2271" s="2" t="s">
        <v>72</v>
      </c>
      <c r="C2271" s="2" t="s">
        <v>73</v>
      </c>
      <c r="D2271" s="2"/>
      <c r="E2271" s="2" t="str">
        <f>"FES1162570298"</f>
        <v>FES1162570298</v>
      </c>
      <c r="F2271" s="3">
        <v>42968</v>
      </c>
      <c r="G2271" s="2">
        <v>201802</v>
      </c>
      <c r="H2271" s="2" t="s">
        <v>74</v>
      </c>
      <c r="I2271" s="2" t="s">
        <v>75</v>
      </c>
      <c r="J2271" s="2" t="s">
        <v>76</v>
      </c>
      <c r="K2271" s="2" t="s">
        <v>77</v>
      </c>
      <c r="L2271" s="2" t="s">
        <v>446</v>
      </c>
      <c r="M2271" s="2" t="s">
        <v>447</v>
      </c>
      <c r="N2271" s="2" t="s">
        <v>448</v>
      </c>
      <c r="O2271" s="2" t="s">
        <v>100</v>
      </c>
      <c r="P2271" s="2" t="str">
        <f>"2170586068                    "</f>
        <v xml:space="preserve">2170586068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5.63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1</v>
      </c>
      <c r="BJ2271" s="2">
        <v>0.2</v>
      </c>
      <c r="BK2271" s="2">
        <v>1</v>
      </c>
      <c r="BL2271" s="2">
        <v>58.28</v>
      </c>
      <c r="BM2271" s="2">
        <v>8.16</v>
      </c>
      <c r="BN2271" s="2">
        <v>66.44</v>
      </c>
      <c r="BO2271" s="2">
        <v>66.44</v>
      </c>
      <c r="BP2271" s="2"/>
      <c r="BQ2271" s="2" t="s">
        <v>83</v>
      </c>
      <c r="BR2271" s="2" t="s">
        <v>84</v>
      </c>
      <c r="BS2271" s="3">
        <v>42969</v>
      </c>
      <c r="BT2271" s="4">
        <v>0.52083333333333337</v>
      </c>
      <c r="BU2271" s="2" t="s">
        <v>449</v>
      </c>
      <c r="BV2271" s="2" t="s">
        <v>95</v>
      </c>
      <c r="BW2271" s="2"/>
      <c r="BX2271" s="2"/>
      <c r="BY2271" s="2">
        <v>1200</v>
      </c>
      <c r="BZ2271" s="2" t="s">
        <v>27</v>
      </c>
      <c r="CA2271" s="2"/>
      <c r="CB2271" s="2"/>
      <c r="CC2271" s="2" t="s">
        <v>447</v>
      </c>
      <c r="CD2271" s="2">
        <v>1759</v>
      </c>
      <c r="CE2271" s="2" t="s">
        <v>104</v>
      </c>
      <c r="CF2271" s="5">
        <v>42970</v>
      </c>
      <c r="CG2271" s="2"/>
      <c r="CH2271" s="2"/>
      <c r="CI2271" s="2">
        <v>1</v>
      </c>
      <c r="CJ2271" s="2">
        <v>1</v>
      </c>
      <c r="CK2271" s="2">
        <v>24</v>
      </c>
      <c r="CL2271" s="2" t="s">
        <v>86</v>
      </c>
      <c r="CM2271" s="2"/>
    </row>
    <row r="2272" spans="1:91">
      <c r="A2272" s="2" t="s">
        <v>71</v>
      </c>
      <c r="B2272" s="2" t="s">
        <v>72</v>
      </c>
      <c r="C2272" s="2" t="s">
        <v>73</v>
      </c>
      <c r="D2272" s="2"/>
      <c r="E2272" s="2" t="str">
        <f>"FES1162570316"</f>
        <v>FES1162570316</v>
      </c>
      <c r="F2272" s="3">
        <v>42968</v>
      </c>
      <c r="G2272" s="2">
        <v>201802</v>
      </c>
      <c r="H2272" s="2" t="s">
        <v>74</v>
      </c>
      <c r="I2272" s="2" t="s">
        <v>75</v>
      </c>
      <c r="J2272" s="2" t="s">
        <v>76</v>
      </c>
      <c r="K2272" s="2" t="s">
        <v>77</v>
      </c>
      <c r="L2272" s="2" t="s">
        <v>1202</v>
      </c>
      <c r="M2272" s="2" t="s">
        <v>1203</v>
      </c>
      <c r="N2272" s="2" t="s">
        <v>2296</v>
      </c>
      <c r="O2272" s="2" t="s">
        <v>100</v>
      </c>
      <c r="P2272" s="2" t="str">
        <f>"2170586089                    "</f>
        <v xml:space="preserve">2170586089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3.13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1</v>
      </c>
      <c r="BJ2272" s="2">
        <v>0.2</v>
      </c>
      <c r="BK2272" s="2">
        <v>1</v>
      </c>
      <c r="BL2272" s="2">
        <v>32.380000000000003</v>
      </c>
      <c r="BM2272" s="2">
        <v>4.53</v>
      </c>
      <c r="BN2272" s="2">
        <v>36.909999999999997</v>
      </c>
      <c r="BO2272" s="2">
        <v>36.909999999999997</v>
      </c>
      <c r="BP2272" s="2"/>
      <c r="BQ2272" s="2" t="s">
        <v>108</v>
      </c>
      <c r="BR2272" s="2" t="s">
        <v>84</v>
      </c>
      <c r="BS2272" s="3">
        <v>42969</v>
      </c>
      <c r="BT2272" s="4">
        <v>0.45</v>
      </c>
      <c r="BU2272" s="2" t="s">
        <v>2782</v>
      </c>
      <c r="BV2272" s="2" t="s">
        <v>95</v>
      </c>
      <c r="BW2272" s="2"/>
      <c r="BX2272" s="2"/>
      <c r="BY2272" s="2">
        <v>1200</v>
      </c>
      <c r="BZ2272" s="2" t="s">
        <v>27</v>
      </c>
      <c r="CA2272" s="2" t="s">
        <v>499</v>
      </c>
      <c r="CB2272" s="2"/>
      <c r="CC2272" s="2" t="s">
        <v>1203</v>
      </c>
      <c r="CD2272" s="2">
        <v>1501</v>
      </c>
      <c r="CE2272" s="2" t="s">
        <v>104</v>
      </c>
      <c r="CF2272" s="5">
        <v>42970</v>
      </c>
      <c r="CG2272" s="2"/>
      <c r="CH2272" s="2"/>
      <c r="CI2272" s="2">
        <v>1</v>
      </c>
      <c r="CJ2272" s="2">
        <v>1</v>
      </c>
      <c r="CK2272" s="2">
        <v>22</v>
      </c>
      <c r="CL2272" s="2" t="s">
        <v>86</v>
      </c>
      <c r="CM2272" s="2"/>
    </row>
    <row r="2273" spans="1:91">
      <c r="A2273" s="2" t="s">
        <v>71</v>
      </c>
      <c r="B2273" s="2" t="s">
        <v>72</v>
      </c>
      <c r="C2273" s="2" t="s">
        <v>73</v>
      </c>
      <c r="D2273" s="2"/>
      <c r="E2273" s="2" t="str">
        <f>"FES1162570318"</f>
        <v>FES1162570318</v>
      </c>
      <c r="F2273" s="3">
        <v>42968</v>
      </c>
      <c r="G2273" s="2">
        <v>201802</v>
      </c>
      <c r="H2273" s="2" t="s">
        <v>74</v>
      </c>
      <c r="I2273" s="2" t="s">
        <v>75</v>
      </c>
      <c r="J2273" s="2" t="s">
        <v>76</v>
      </c>
      <c r="K2273" s="2" t="s">
        <v>77</v>
      </c>
      <c r="L2273" s="2" t="s">
        <v>97</v>
      </c>
      <c r="M2273" s="2" t="s">
        <v>98</v>
      </c>
      <c r="N2273" s="2" t="s">
        <v>1252</v>
      </c>
      <c r="O2273" s="2" t="s">
        <v>100</v>
      </c>
      <c r="P2273" s="2" t="str">
        <f>"2170586091                    "</f>
        <v xml:space="preserve">2170586091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4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1</v>
      </c>
      <c r="BJ2273" s="2">
        <v>0.2</v>
      </c>
      <c r="BK2273" s="2">
        <v>1</v>
      </c>
      <c r="BL2273" s="2">
        <v>41.44</v>
      </c>
      <c r="BM2273" s="2">
        <v>5.8</v>
      </c>
      <c r="BN2273" s="2">
        <v>47.24</v>
      </c>
      <c r="BO2273" s="2">
        <v>47.24</v>
      </c>
      <c r="BP2273" s="2"/>
      <c r="BQ2273" s="2" t="s">
        <v>288</v>
      </c>
      <c r="BR2273" s="2" t="s">
        <v>84</v>
      </c>
      <c r="BS2273" s="3">
        <v>42969</v>
      </c>
      <c r="BT2273" s="4">
        <v>0.34583333333333338</v>
      </c>
      <c r="BU2273" s="2" t="s">
        <v>2783</v>
      </c>
      <c r="BV2273" s="2" t="s">
        <v>95</v>
      </c>
      <c r="BW2273" s="2"/>
      <c r="BX2273" s="2"/>
      <c r="BY2273" s="2">
        <v>1200</v>
      </c>
      <c r="BZ2273" s="2" t="s">
        <v>27</v>
      </c>
      <c r="CA2273" s="2" t="s">
        <v>213</v>
      </c>
      <c r="CB2273" s="2"/>
      <c r="CC2273" s="2" t="s">
        <v>98</v>
      </c>
      <c r="CD2273" s="2">
        <v>6001</v>
      </c>
      <c r="CE2273" s="2" t="s">
        <v>104</v>
      </c>
      <c r="CF2273" s="5">
        <v>42970</v>
      </c>
      <c r="CG2273" s="2"/>
      <c r="CH2273" s="2"/>
      <c r="CI2273" s="2">
        <v>1</v>
      </c>
      <c r="CJ2273" s="2">
        <v>1</v>
      </c>
      <c r="CK2273" s="2">
        <v>21</v>
      </c>
      <c r="CL2273" s="2" t="s">
        <v>86</v>
      </c>
      <c r="CM2273" s="2"/>
    </row>
    <row r="2274" spans="1:91">
      <c r="A2274" s="2" t="s">
        <v>71</v>
      </c>
      <c r="B2274" s="2" t="s">
        <v>72</v>
      </c>
      <c r="C2274" s="2" t="s">
        <v>73</v>
      </c>
      <c r="D2274" s="2"/>
      <c r="E2274" s="2" t="str">
        <f>"FES1162570296"</f>
        <v>FES1162570296</v>
      </c>
      <c r="F2274" s="3">
        <v>42968</v>
      </c>
      <c r="G2274" s="2">
        <v>201802</v>
      </c>
      <c r="H2274" s="2" t="s">
        <v>74</v>
      </c>
      <c r="I2274" s="2" t="s">
        <v>75</v>
      </c>
      <c r="J2274" s="2" t="s">
        <v>76</v>
      </c>
      <c r="K2274" s="2" t="s">
        <v>77</v>
      </c>
      <c r="L2274" s="2" t="s">
        <v>170</v>
      </c>
      <c r="M2274" s="2" t="s">
        <v>171</v>
      </c>
      <c r="N2274" s="2" t="s">
        <v>730</v>
      </c>
      <c r="O2274" s="2" t="s">
        <v>100</v>
      </c>
      <c r="P2274" s="2" t="str">
        <f>"2170586065                    "</f>
        <v xml:space="preserve">2170586065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3.13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1</v>
      </c>
      <c r="BJ2274" s="2">
        <v>0.2</v>
      </c>
      <c r="BK2274" s="2">
        <v>1</v>
      </c>
      <c r="BL2274" s="2">
        <v>32.380000000000003</v>
      </c>
      <c r="BM2274" s="2">
        <v>4.53</v>
      </c>
      <c r="BN2274" s="2">
        <v>36.909999999999997</v>
      </c>
      <c r="BO2274" s="2">
        <v>36.909999999999997</v>
      </c>
      <c r="BP2274" s="2"/>
      <c r="BQ2274" s="2" t="s">
        <v>108</v>
      </c>
      <c r="BR2274" s="2" t="s">
        <v>84</v>
      </c>
      <c r="BS2274" s="3">
        <v>42969</v>
      </c>
      <c r="BT2274" s="4">
        <v>0.40416666666666662</v>
      </c>
      <c r="BU2274" s="2" t="s">
        <v>2610</v>
      </c>
      <c r="BV2274" s="2" t="s">
        <v>95</v>
      </c>
      <c r="BW2274" s="2"/>
      <c r="BX2274" s="2"/>
      <c r="BY2274" s="2">
        <v>1200</v>
      </c>
      <c r="BZ2274" s="2" t="s">
        <v>27</v>
      </c>
      <c r="CA2274" s="2"/>
      <c r="CB2274" s="2"/>
      <c r="CC2274" s="2" t="s">
        <v>171</v>
      </c>
      <c r="CD2274" s="2">
        <v>1428</v>
      </c>
      <c r="CE2274" s="2" t="s">
        <v>104</v>
      </c>
      <c r="CF2274" s="5">
        <v>42970</v>
      </c>
      <c r="CG2274" s="2"/>
      <c r="CH2274" s="2"/>
      <c r="CI2274" s="2">
        <v>1</v>
      </c>
      <c r="CJ2274" s="2">
        <v>1</v>
      </c>
      <c r="CK2274" s="2">
        <v>22</v>
      </c>
      <c r="CL2274" s="2" t="s">
        <v>86</v>
      </c>
      <c r="CM2274" s="2"/>
    </row>
    <row r="2275" spans="1:91">
      <c r="A2275" s="2" t="s">
        <v>71</v>
      </c>
      <c r="B2275" s="2" t="s">
        <v>72</v>
      </c>
      <c r="C2275" s="2" t="s">
        <v>73</v>
      </c>
      <c r="D2275" s="2"/>
      <c r="E2275" s="2" t="str">
        <f>"FES1162570307"</f>
        <v>FES1162570307</v>
      </c>
      <c r="F2275" s="3">
        <v>42968</v>
      </c>
      <c r="G2275" s="2">
        <v>201802</v>
      </c>
      <c r="H2275" s="2" t="s">
        <v>74</v>
      </c>
      <c r="I2275" s="2" t="s">
        <v>75</v>
      </c>
      <c r="J2275" s="2" t="s">
        <v>76</v>
      </c>
      <c r="K2275" s="2" t="s">
        <v>77</v>
      </c>
      <c r="L2275" s="2" t="s">
        <v>244</v>
      </c>
      <c r="M2275" s="2" t="s">
        <v>245</v>
      </c>
      <c r="N2275" s="2" t="s">
        <v>2784</v>
      </c>
      <c r="O2275" s="2" t="s">
        <v>100</v>
      </c>
      <c r="P2275" s="2" t="str">
        <f>"2170586076                    "</f>
        <v xml:space="preserve">2170586076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3.13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1</v>
      </c>
      <c r="BJ2275" s="2">
        <v>0.2</v>
      </c>
      <c r="BK2275" s="2">
        <v>1</v>
      </c>
      <c r="BL2275" s="2">
        <v>32.380000000000003</v>
      </c>
      <c r="BM2275" s="2">
        <v>4.53</v>
      </c>
      <c r="BN2275" s="2">
        <v>36.909999999999997</v>
      </c>
      <c r="BO2275" s="2">
        <v>36.909999999999997</v>
      </c>
      <c r="BP2275" s="2"/>
      <c r="BQ2275" s="2" t="s">
        <v>108</v>
      </c>
      <c r="BR2275" s="2" t="s">
        <v>84</v>
      </c>
      <c r="BS2275" s="3">
        <v>42969</v>
      </c>
      <c r="BT2275" s="4">
        <v>0.41736111111111113</v>
      </c>
      <c r="BU2275" s="2" t="s">
        <v>330</v>
      </c>
      <c r="BV2275" s="2" t="s">
        <v>95</v>
      </c>
      <c r="BW2275" s="2"/>
      <c r="BX2275" s="2"/>
      <c r="BY2275" s="2">
        <v>1200</v>
      </c>
      <c r="BZ2275" s="2" t="s">
        <v>27</v>
      </c>
      <c r="CA2275" s="2" t="s">
        <v>499</v>
      </c>
      <c r="CB2275" s="2"/>
      <c r="CC2275" s="2" t="s">
        <v>245</v>
      </c>
      <c r="CD2275" s="2">
        <v>1459</v>
      </c>
      <c r="CE2275" s="2" t="s">
        <v>104</v>
      </c>
      <c r="CF2275" s="5">
        <v>42970</v>
      </c>
      <c r="CG2275" s="2"/>
      <c r="CH2275" s="2"/>
      <c r="CI2275" s="2">
        <v>1</v>
      </c>
      <c r="CJ2275" s="2">
        <v>1</v>
      </c>
      <c r="CK2275" s="2">
        <v>22</v>
      </c>
      <c r="CL2275" s="2" t="s">
        <v>86</v>
      </c>
      <c r="CM2275" s="2"/>
    </row>
    <row r="2276" spans="1:91">
      <c r="A2276" s="2" t="s">
        <v>71</v>
      </c>
      <c r="B2276" s="2" t="s">
        <v>72</v>
      </c>
      <c r="C2276" s="2" t="s">
        <v>73</v>
      </c>
      <c r="D2276" s="2"/>
      <c r="E2276" s="2" t="str">
        <f>"FES1162570249"</f>
        <v>FES1162570249</v>
      </c>
      <c r="F2276" s="3">
        <v>42968</v>
      </c>
      <c r="G2276" s="2">
        <v>201802</v>
      </c>
      <c r="H2276" s="2" t="s">
        <v>74</v>
      </c>
      <c r="I2276" s="2" t="s">
        <v>75</v>
      </c>
      <c r="J2276" s="2" t="s">
        <v>76</v>
      </c>
      <c r="K2276" s="2" t="s">
        <v>77</v>
      </c>
      <c r="L2276" s="2" t="s">
        <v>417</v>
      </c>
      <c r="M2276" s="2" t="s">
        <v>417</v>
      </c>
      <c r="N2276" s="2" t="s">
        <v>475</v>
      </c>
      <c r="O2276" s="2" t="s">
        <v>100</v>
      </c>
      <c r="P2276" s="2" t="str">
        <f>"2170575920                    "</f>
        <v xml:space="preserve">2170575920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4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1</v>
      </c>
      <c r="BI2276" s="2">
        <v>1</v>
      </c>
      <c r="BJ2276" s="2">
        <v>0.2</v>
      </c>
      <c r="BK2276" s="2">
        <v>1</v>
      </c>
      <c r="BL2276" s="2">
        <v>41.44</v>
      </c>
      <c r="BM2276" s="2">
        <v>5.8</v>
      </c>
      <c r="BN2276" s="2">
        <v>47.24</v>
      </c>
      <c r="BO2276" s="2">
        <v>47.24</v>
      </c>
      <c r="BP2276" s="2"/>
      <c r="BQ2276" s="2" t="s">
        <v>108</v>
      </c>
      <c r="BR2276" s="2" t="s">
        <v>84</v>
      </c>
      <c r="BS2276" s="3">
        <v>42969</v>
      </c>
      <c r="BT2276" s="4">
        <v>0.4694444444444445</v>
      </c>
      <c r="BU2276" s="2" t="s">
        <v>2746</v>
      </c>
      <c r="BV2276" s="2" t="s">
        <v>95</v>
      </c>
      <c r="BW2276" s="2"/>
      <c r="BX2276" s="2"/>
      <c r="BY2276" s="2">
        <v>1200</v>
      </c>
      <c r="BZ2276" s="2" t="s">
        <v>27</v>
      </c>
      <c r="CA2276" s="2" t="s">
        <v>460</v>
      </c>
      <c r="CB2276" s="2"/>
      <c r="CC2276" s="2" t="s">
        <v>417</v>
      </c>
      <c r="CD2276" s="2">
        <v>7646</v>
      </c>
      <c r="CE2276" s="2" t="s">
        <v>104</v>
      </c>
      <c r="CF2276" s="5">
        <v>42970</v>
      </c>
      <c r="CG2276" s="2"/>
      <c r="CH2276" s="2"/>
      <c r="CI2276" s="2">
        <v>1</v>
      </c>
      <c r="CJ2276" s="2">
        <v>1</v>
      </c>
      <c r="CK2276" s="2">
        <v>21</v>
      </c>
      <c r="CL2276" s="2" t="s">
        <v>86</v>
      </c>
      <c r="CM2276" s="2"/>
    </row>
    <row r="2277" spans="1:91">
      <c r="A2277" s="2" t="s">
        <v>71</v>
      </c>
      <c r="B2277" s="2" t="s">
        <v>72</v>
      </c>
      <c r="C2277" s="2" t="s">
        <v>73</v>
      </c>
      <c r="D2277" s="2"/>
      <c r="E2277" s="2" t="str">
        <f>"FES1162570317"</f>
        <v>FES1162570317</v>
      </c>
      <c r="F2277" s="3">
        <v>42968</v>
      </c>
      <c r="G2277" s="2">
        <v>201802</v>
      </c>
      <c r="H2277" s="2" t="s">
        <v>74</v>
      </c>
      <c r="I2277" s="2" t="s">
        <v>75</v>
      </c>
      <c r="J2277" s="2" t="s">
        <v>76</v>
      </c>
      <c r="K2277" s="2" t="s">
        <v>77</v>
      </c>
      <c r="L2277" s="2" t="s">
        <v>105</v>
      </c>
      <c r="M2277" s="2" t="s">
        <v>106</v>
      </c>
      <c r="N2277" s="2" t="s">
        <v>893</v>
      </c>
      <c r="O2277" s="2" t="s">
        <v>100</v>
      </c>
      <c r="P2277" s="2" t="str">
        <f>"2170586090                    "</f>
        <v xml:space="preserve">2170586090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4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1</v>
      </c>
      <c r="BJ2277" s="2">
        <v>0.2</v>
      </c>
      <c r="BK2277" s="2">
        <v>1</v>
      </c>
      <c r="BL2277" s="2">
        <v>41.44</v>
      </c>
      <c r="BM2277" s="2">
        <v>5.8</v>
      </c>
      <c r="BN2277" s="2">
        <v>47.24</v>
      </c>
      <c r="BO2277" s="2">
        <v>47.24</v>
      </c>
      <c r="BP2277" s="2"/>
      <c r="BQ2277" s="2" t="s">
        <v>227</v>
      </c>
      <c r="BR2277" s="2" t="s">
        <v>84</v>
      </c>
      <c r="BS2277" s="3">
        <v>42969</v>
      </c>
      <c r="BT2277" s="4">
        <v>0.31527777777777777</v>
      </c>
      <c r="BU2277" s="2" t="s">
        <v>2785</v>
      </c>
      <c r="BV2277" s="2" t="s">
        <v>95</v>
      </c>
      <c r="BW2277" s="2"/>
      <c r="BX2277" s="2"/>
      <c r="BY2277" s="2">
        <v>1200</v>
      </c>
      <c r="BZ2277" s="2" t="s">
        <v>27</v>
      </c>
      <c r="CA2277" s="2" t="s">
        <v>869</v>
      </c>
      <c r="CB2277" s="2"/>
      <c r="CC2277" s="2" t="s">
        <v>106</v>
      </c>
      <c r="CD2277" s="2">
        <v>7460</v>
      </c>
      <c r="CE2277" s="2" t="s">
        <v>104</v>
      </c>
      <c r="CF2277" s="5">
        <v>42970</v>
      </c>
      <c r="CG2277" s="2"/>
      <c r="CH2277" s="2"/>
      <c r="CI2277" s="2">
        <v>1</v>
      </c>
      <c r="CJ2277" s="2">
        <v>1</v>
      </c>
      <c r="CK2277" s="2">
        <v>21</v>
      </c>
      <c r="CL2277" s="2" t="s">
        <v>86</v>
      </c>
      <c r="CM2277" s="2"/>
    </row>
    <row r="2278" spans="1:91">
      <c r="A2278" s="2" t="s">
        <v>71</v>
      </c>
      <c r="B2278" s="2" t="s">
        <v>72</v>
      </c>
      <c r="C2278" s="2" t="s">
        <v>73</v>
      </c>
      <c r="D2278" s="2"/>
      <c r="E2278" s="2" t="str">
        <f>"FES1162570283"</f>
        <v>FES1162570283</v>
      </c>
      <c r="F2278" s="3">
        <v>42968</v>
      </c>
      <c r="G2278" s="2">
        <v>201802</v>
      </c>
      <c r="H2278" s="2" t="s">
        <v>74</v>
      </c>
      <c r="I2278" s="2" t="s">
        <v>75</v>
      </c>
      <c r="J2278" s="2" t="s">
        <v>76</v>
      </c>
      <c r="K2278" s="2" t="s">
        <v>77</v>
      </c>
      <c r="L2278" s="2" t="s">
        <v>216</v>
      </c>
      <c r="M2278" s="2" t="s">
        <v>217</v>
      </c>
      <c r="N2278" s="2" t="s">
        <v>351</v>
      </c>
      <c r="O2278" s="2" t="s">
        <v>100</v>
      </c>
      <c r="P2278" s="2" t="str">
        <f>"2170584181                    "</f>
        <v xml:space="preserve">2170584181  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3.13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1</v>
      </c>
      <c r="BJ2278" s="2">
        <v>0.2</v>
      </c>
      <c r="BK2278" s="2">
        <v>1</v>
      </c>
      <c r="BL2278" s="2">
        <v>32.380000000000003</v>
      </c>
      <c r="BM2278" s="2">
        <v>4.53</v>
      </c>
      <c r="BN2278" s="2">
        <v>36.909999999999997</v>
      </c>
      <c r="BO2278" s="2">
        <v>36.909999999999997</v>
      </c>
      <c r="BP2278" s="2"/>
      <c r="BQ2278" s="2" t="s">
        <v>288</v>
      </c>
      <c r="BR2278" s="2" t="s">
        <v>84</v>
      </c>
      <c r="BS2278" s="3">
        <v>42969</v>
      </c>
      <c r="BT2278" s="4">
        <v>0.38611111111111113</v>
      </c>
      <c r="BU2278" s="2" t="s">
        <v>519</v>
      </c>
      <c r="BV2278" s="2" t="s">
        <v>95</v>
      </c>
      <c r="BW2278" s="2"/>
      <c r="BX2278" s="2"/>
      <c r="BY2278" s="2">
        <v>1200</v>
      </c>
      <c r="BZ2278" s="2" t="s">
        <v>27</v>
      </c>
      <c r="CA2278" s="2" t="s">
        <v>220</v>
      </c>
      <c r="CB2278" s="2"/>
      <c r="CC2278" s="2" t="s">
        <v>217</v>
      </c>
      <c r="CD2278" s="2">
        <v>1451</v>
      </c>
      <c r="CE2278" s="2" t="s">
        <v>104</v>
      </c>
      <c r="CF2278" s="5">
        <v>42970</v>
      </c>
      <c r="CG2278" s="2"/>
      <c r="CH2278" s="2"/>
      <c r="CI2278" s="2">
        <v>1</v>
      </c>
      <c r="CJ2278" s="2">
        <v>1</v>
      </c>
      <c r="CK2278" s="2">
        <v>22</v>
      </c>
      <c r="CL2278" s="2" t="s">
        <v>86</v>
      </c>
      <c r="CM2278" s="2"/>
    </row>
    <row r="2279" spans="1:91">
      <c r="A2279" s="2" t="s">
        <v>71</v>
      </c>
      <c r="B2279" s="2" t="s">
        <v>72</v>
      </c>
      <c r="C2279" s="2" t="s">
        <v>73</v>
      </c>
      <c r="D2279" s="2"/>
      <c r="E2279" s="2" t="str">
        <f>"FES1162570230"</f>
        <v>FES1162570230</v>
      </c>
      <c r="F2279" s="3">
        <v>42968</v>
      </c>
      <c r="G2279" s="2">
        <v>201802</v>
      </c>
      <c r="H2279" s="2" t="s">
        <v>74</v>
      </c>
      <c r="I2279" s="2" t="s">
        <v>75</v>
      </c>
      <c r="J2279" s="2" t="s">
        <v>76</v>
      </c>
      <c r="K2279" s="2" t="s">
        <v>77</v>
      </c>
      <c r="L2279" s="2" t="s">
        <v>144</v>
      </c>
      <c r="M2279" s="2" t="s">
        <v>145</v>
      </c>
      <c r="N2279" s="2" t="s">
        <v>146</v>
      </c>
      <c r="O2279" s="2" t="s">
        <v>100</v>
      </c>
      <c r="P2279" s="2" t="str">
        <f>"2170586005                    "</f>
        <v xml:space="preserve">2170586005  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3.13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1</v>
      </c>
      <c r="BI2279" s="2">
        <v>1.1000000000000001</v>
      </c>
      <c r="BJ2279" s="2">
        <v>1.3</v>
      </c>
      <c r="BK2279" s="2">
        <v>2</v>
      </c>
      <c r="BL2279" s="2">
        <v>32.380000000000003</v>
      </c>
      <c r="BM2279" s="2">
        <v>4.53</v>
      </c>
      <c r="BN2279" s="2">
        <v>36.909999999999997</v>
      </c>
      <c r="BO2279" s="2">
        <v>36.909999999999997</v>
      </c>
      <c r="BP2279" s="2"/>
      <c r="BQ2279" s="2" t="s">
        <v>83</v>
      </c>
      <c r="BR2279" s="2" t="s">
        <v>84</v>
      </c>
      <c r="BS2279" s="3">
        <v>42969</v>
      </c>
      <c r="BT2279" s="4">
        <v>0.375</v>
      </c>
      <c r="BU2279" s="2" t="s">
        <v>2768</v>
      </c>
      <c r="BV2279" s="2" t="s">
        <v>95</v>
      </c>
      <c r="BW2279" s="2"/>
      <c r="BX2279" s="2"/>
      <c r="BY2279" s="2">
        <v>6469.5</v>
      </c>
      <c r="BZ2279" s="2" t="s">
        <v>27</v>
      </c>
      <c r="CA2279" s="2" t="s">
        <v>729</v>
      </c>
      <c r="CB2279" s="2"/>
      <c r="CC2279" s="2" t="s">
        <v>145</v>
      </c>
      <c r="CD2279" s="2">
        <v>2094</v>
      </c>
      <c r="CE2279" s="2" t="s">
        <v>89</v>
      </c>
      <c r="CF2279" s="5">
        <v>42970</v>
      </c>
      <c r="CG2279" s="2"/>
      <c r="CH2279" s="2"/>
      <c r="CI2279" s="2">
        <v>1</v>
      </c>
      <c r="CJ2279" s="2">
        <v>1</v>
      </c>
      <c r="CK2279" s="2">
        <v>22</v>
      </c>
      <c r="CL2279" s="2" t="s">
        <v>86</v>
      </c>
      <c r="CM2279" s="2"/>
    </row>
    <row r="2280" spans="1:91">
      <c r="A2280" s="2" t="s">
        <v>71</v>
      </c>
      <c r="B2280" s="2" t="s">
        <v>72</v>
      </c>
      <c r="C2280" s="2" t="s">
        <v>73</v>
      </c>
      <c r="D2280" s="2"/>
      <c r="E2280" s="2" t="str">
        <f>"FES1162570322"</f>
        <v>FES1162570322</v>
      </c>
      <c r="F2280" s="3">
        <v>42968</v>
      </c>
      <c r="G2280" s="2">
        <v>201802</v>
      </c>
      <c r="H2280" s="2" t="s">
        <v>74</v>
      </c>
      <c r="I2280" s="2" t="s">
        <v>75</v>
      </c>
      <c r="J2280" s="2" t="s">
        <v>76</v>
      </c>
      <c r="K2280" s="2" t="s">
        <v>77</v>
      </c>
      <c r="L2280" s="2" t="s">
        <v>417</v>
      </c>
      <c r="M2280" s="2" t="s">
        <v>417</v>
      </c>
      <c r="N2280" s="2" t="s">
        <v>1414</v>
      </c>
      <c r="O2280" s="2" t="s">
        <v>100</v>
      </c>
      <c r="P2280" s="2" t="str">
        <f>"2170576462                    "</f>
        <v xml:space="preserve">2170576462 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12.01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6</v>
      </c>
      <c r="BJ2280" s="2">
        <v>2.9</v>
      </c>
      <c r="BK2280" s="2">
        <v>6</v>
      </c>
      <c r="BL2280" s="2">
        <v>124.33</v>
      </c>
      <c r="BM2280" s="2">
        <v>17.41</v>
      </c>
      <c r="BN2280" s="2">
        <v>141.74</v>
      </c>
      <c r="BO2280" s="2">
        <v>141.74</v>
      </c>
      <c r="BP2280" s="2"/>
      <c r="BQ2280" s="2" t="s">
        <v>108</v>
      </c>
      <c r="BR2280" s="2" t="s">
        <v>84</v>
      </c>
      <c r="BS2280" s="3">
        <v>42969</v>
      </c>
      <c r="BT2280" s="4">
        <v>0.48125000000000001</v>
      </c>
      <c r="BU2280" s="2" t="s">
        <v>699</v>
      </c>
      <c r="BV2280" s="2" t="s">
        <v>95</v>
      </c>
      <c r="BW2280" s="2"/>
      <c r="BX2280" s="2"/>
      <c r="BY2280" s="2">
        <v>14338.77</v>
      </c>
      <c r="BZ2280" s="2" t="s">
        <v>27</v>
      </c>
      <c r="CA2280" s="2" t="s">
        <v>460</v>
      </c>
      <c r="CB2280" s="2"/>
      <c r="CC2280" s="2" t="s">
        <v>417</v>
      </c>
      <c r="CD2280" s="2">
        <v>7646</v>
      </c>
      <c r="CE2280" s="2" t="s">
        <v>89</v>
      </c>
      <c r="CF2280" s="5">
        <v>42970</v>
      </c>
      <c r="CG2280" s="2"/>
      <c r="CH2280" s="2"/>
      <c r="CI2280" s="2">
        <v>1</v>
      </c>
      <c r="CJ2280" s="2">
        <v>1</v>
      </c>
      <c r="CK2280" s="2">
        <v>21</v>
      </c>
      <c r="CL2280" s="2" t="s">
        <v>86</v>
      </c>
      <c r="CM2280" s="2"/>
    </row>
    <row r="2281" spans="1:91">
      <c r="A2281" s="2" t="s">
        <v>71</v>
      </c>
      <c r="B2281" s="2" t="s">
        <v>72</v>
      </c>
      <c r="C2281" s="2" t="s">
        <v>73</v>
      </c>
      <c r="D2281" s="2"/>
      <c r="E2281" s="2" t="str">
        <f>"FES1162570310"</f>
        <v>FES1162570310</v>
      </c>
      <c r="F2281" s="3">
        <v>42968</v>
      </c>
      <c r="G2281" s="2">
        <v>201802</v>
      </c>
      <c r="H2281" s="2" t="s">
        <v>74</v>
      </c>
      <c r="I2281" s="2" t="s">
        <v>75</v>
      </c>
      <c r="J2281" s="2" t="s">
        <v>76</v>
      </c>
      <c r="K2281" s="2" t="s">
        <v>77</v>
      </c>
      <c r="L2281" s="2" t="s">
        <v>144</v>
      </c>
      <c r="M2281" s="2" t="s">
        <v>145</v>
      </c>
      <c r="N2281" s="2" t="s">
        <v>146</v>
      </c>
      <c r="O2281" s="2" t="s">
        <v>100</v>
      </c>
      <c r="P2281" s="2" t="str">
        <f>"2170586080                    "</f>
        <v xml:space="preserve">2170586080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3.13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2</v>
      </c>
      <c r="BJ2281" s="2">
        <v>0.2</v>
      </c>
      <c r="BK2281" s="2">
        <v>2</v>
      </c>
      <c r="BL2281" s="2">
        <v>32.380000000000003</v>
      </c>
      <c r="BM2281" s="2">
        <v>4.53</v>
      </c>
      <c r="BN2281" s="2">
        <v>36.909999999999997</v>
      </c>
      <c r="BO2281" s="2">
        <v>36.909999999999997</v>
      </c>
      <c r="BP2281" s="2"/>
      <c r="BQ2281" s="2" t="s">
        <v>83</v>
      </c>
      <c r="BR2281" s="2" t="s">
        <v>84</v>
      </c>
      <c r="BS2281" s="3">
        <v>42969</v>
      </c>
      <c r="BT2281" s="4">
        <v>0.375</v>
      </c>
      <c r="BU2281" s="2" t="s">
        <v>2768</v>
      </c>
      <c r="BV2281" s="2" t="s">
        <v>95</v>
      </c>
      <c r="BW2281" s="2"/>
      <c r="BX2281" s="2"/>
      <c r="BY2281" s="2">
        <v>1200</v>
      </c>
      <c r="BZ2281" s="2" t="s">
        <v>27</v>
      </c>
      <c r="CA2281" s="2" t="s">
        <v>729</v>
      </c>
      <c r="CB2281" s="2"/>
      <c r="CC2281" s="2" t="s">
        <v>145</v>
      </c>
      <c r="CD2281" s="2">
        <v>2094</v>
      </c>
      <c r="CE2281" s="2" t="s">
        <v>104</v>
      </c>
      <c r="CF2281" s="5">
        <v>42970</v>
      </c>
      <c r="CG2281" s="2"/>
      <c r="CH2281" s="2"/>
      <c r="CI2281" s="2">
        <v>1</v>
      </c>
      <c r="CJ2281" s="2">
        <v>1</v>
      </c>
      <c r="CK2281" s="2">
        <v>22</v>
      </c>
      <c r="CL2281" s="2" t="s">
        <v>86</v>
      </c>
      <c r="CM2281" s="2"/>
    </row>
    <row r="2282" spans="1:91">
      <c r="A2282" s="2" t="s">
        <v>71</v>
      </c>
      <c r="B2282" s="2" t="s">
        <v>72</v>
      </c>
      <c r="C2282" s="2" t="s">
        <v>73</v>
      </c>
      <c r="D2282" s="2"/>
      <c r="E2282" s="2" t="str">
        <f>"FES1162570328"</f>
        <v>FES1162570328</v>
      </c>
      <c r="F2282" s="3">
        <v>42968</v>
      </c>
      <c r="G2282" s="2">
        <v>201802</v>
      </c>
      <c r="H2282" s="2" t="s">
        <v>74</v>
      </c>
      <c r="I2282" s="2" t="s">
        <v>75</v>
      </c>
      <c r="J2282" s="2" t="s">
        <v>76</v>
      </c>
      <c r="K2282" s="2" t="s">
        <v>77</v>
      </c>
      <c r="L2282" s="2" t="s">
        <v>221</v>
      </c>
      <c r="M2282" s="2" t="s">
        <v>222</v>
      </c>
      <c r="N2282" s="2" t="s">
        <v>1275</v>
      </c>
      <c r="O2282" s="2" t="s">
        <v>100</v>
      </c>
      <c r="P2282" s="2" t="str">
        <f>"2170586095                    "</f>
        <v xml:space="preserve">2170586095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4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1</v>
      </c>
      <c r="BI2282" s="2">
        <v>2</v>
      </c>
      <c r="BJ2282" s="2">
        <v>0.2</v>
      </c>
      <c r="BK2282" s="2">
        <v>2</v>
      </c>
      <c r="BL2282" s="2">
        <v>41.44</v>
      </c>
      <c r="BM2282" s="2">
        <v>5.8</v>
      </c>
      <c r="BN2282" s="2">
        <v>47.24</v>
      </c>
      <c r="BO2282" s="2">
        <v>47.24</v>
      </c>
      <c r="BP2282" s="2"/>
      <c r="BQ2282" s="2" t="s">
        <v>227</v>
      </c>
      <c r="BR2282" s="2" t="s">
        <v>84</v>
      </c>
      <c r="BS2282" s="3">
        <v>42969</v>
      </c>
      <c r="BT2282" s="4">
        <v>0.38194444444444442</v>
      </c>
      <c r="BU2282" s="2" t="s">
        <v>2756</v>
      </c>
      <c r="BV2282" s="2" t="s">
        <v>95</v>
      </c>
      <c r="BW2282" s="2"/>
      <c r="BX2282" s="2"/>
      <c r="BY2282" s="2">
        <v>1200</v>
      </c>
      <c r="BZ2282" s="2" t="s">
        <v>27</v>
      </c>
      <c r="CA2282" s="2" t="s">
        <v>2757</v>
      </c>
      <c r="CB2282" s="2"/>
      <c r="CC2282" s="2" t="s">
        <v>222</v>
      </c>
      <c r="CD2282" s="2">
        <v>4300</v>
      </c>
      <c r="CE2282" s="2" t="s">
        <v>104</v>
      </c>
      <c r="CF2282" s="5">
        <v>42970</v>
      </c>
      <c r="CG2282" s="2"/>
      <c r="CH2282" s="2"/>
      <c r="CI2282" s="2">
        <v>1</v>
      </c>
      <c r="CJ2282" s="2">
        <v>1</v>
      </c>
      <c r="CK2282" s="2">
        <v>21</v>
      </c>
      <c r="CL2282" s="2" t="s">
        <v>86</v>
      </c>
      <c r="CM2282" s="2"/>
    </row>
    <row r="2283" spans="1:91">
      <c r="A2283" s="2" t="s">
        <v>71</v>
      </c>
      <c r="B2283" s="2" t="s">
        <v>72</v>
      </c>
      <c r="C2283" s="2" t="s">
        <v>73</v>
      </c>
      <c r="D2283" s="2"/>
      <c r="E2283" s="2" t="str">
        <f>"FES1162570327"</f>
        <v>FES1162570327</v>
      </c>
      <c r="F2283" s="3">
        <v>42968</v>
      </c>
      <c r="G2283" s="2">
        <v>201802</v>
      </c>
      <c r="H2283" s="2" t="s">
        <v>74</v>
      </c>
      <c r="I2283" s="2" t="s">
        <v>75</v>
      </c>
      <c r="J2283" s="2" t="s">
        <v>76</v>
      </c>
      <c r="K2283" s="2" t="s">
        <v>77</v>
      </c>
      <c r="L2283" s="2" t="s">
        <v>715</v>
      </c>
      <c r="M2283" s="2" t="s">
        <v>716</v>
      </c>
      <c r="N2283" s="2" t="s">
        <v>762</v>
      </c>
      <c r="O2283" s="2" t="s">
        <v>100</v>
      </c>
      <c r="P2283" s="2" t="str">
        <f>"2170586094                    "</f>
        <v xml:space="preserve">2170586094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4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1</v>
      </c>
      <c r="BJ2283" s="2">
        <v>0.2</v>
      </c>
      <c r="BK2283" s="2">
        <v>1</v>
      </c>
      <c r="BL2283" s="2">
        <v>41.44</v>
      </c>
      <c r="BM2283" s="2">
        <v>5.8</v>
      </c>
      <c r="BN2283" s="2">
        <v>47.24</v>
      </c>
      <c r="BO2283" s="2">
        <v>47.24</v>
      </c>
      <c r="BP2283" s="2"/>
      <c r="BQ2283" s="2" t="s">
        <v>365</v>
      </c>
      <c r="BR2283" s="2" t="s">
        <v>84</v>
      </c>
      <c r="BS2283" s="3">
        <v>42969</v>
      </c>
      <c r="BT2283" s="4">
        <v>0.41805555555555557</v>
      </c>
      <c r="BU2283" s="2" t="s">
        <v>2777</v>
      </c>
      <c r="BV2283" s="2" t="s">
        <v>95</v>
      </c>
      <c r="BW2283" s="2"/>
      <c r="BX2283" s="2"/>
      <c r="BY2283" s="2">
        <v>1200</v>
      </c>
      <c r="BZ2283" s="2" t="s">
        <v>27</v>
      </c>
      <c r="CA2283" s="2" t="s">
        <v>1380</v>
      </c>
      <c r="CB2283" s="2"/>
      <c r="CC2283" s="2" t="s">
        <v>716</v>
      </c>
      <c r="CD2283" s="2">
        <v>3290</v>
      </c>
      <c r="CE2283" s="2" t="s">
        <v>104</v>
      </c>
      <c r="CF2283" s="5">
        <v>42970</v>
      </c>
      <c r="CG2283" s="2"/>
      <c r="CH2283" s="2"/>
      <c r="CI2283" s="2">
        <v>1</v>
      </c>
      <c r="CJ2283" s="2">
        <v>1</v>
      </c>
      <c r="CK2283" s="2">
        <v>21</v>
      </c>
      <c r="CL2283" s="2" t="s">
        <v>86</v>
      </c>
      <c r="CM2283" s="2"/>
    </row>
    <row r="2284" spans="1:91">
      <c r="A2284" s="2" t="s">
        <v>71</v>
      </c>
      <c r="B2284" s="2" t="s">
        <v>72</v>
      </c>
      <c r="C2284" s="2" t="s">
        <v>73</v>
      </c>
      <c r="D2284" s="2"/>
      <c r="E2284" s="2" t="str">
        <f>"FES1162570324"</f>
        <v>FES1162570324</v>
      </c>
      <c r="F2284" s="3">
        <v>42968</v>
      </c>
      <c r="G2284" s="2">
        <v>201802</v>
      </c>
      <c r="H2284" s="2" t="s">
        <v>74</v>
      </c>
      <c r="I2284" s="2" t="s">
        <v>75</v>
      </c>
      <c r="J2284" s="2" t="s">
        <v>76</v>
      </c>
      <c r="K2284" s="2" t="s">
        <v>77</v>
      </c>
      <c r="L2284" s="2" t="s">
        <v>510</v>
      </c>
      <c r="M2284" s="2" t="s">
        <v>511</v>
      </c>
      <c r="N2284" s="2" t="s">
        <v>583</v>
      </c>
      <c r="O2284" s="2" t="s">
        <v>100</v>
      </c>
      <c r="P2284" s="2" t="str">
        <f>"2170583796                    "</f>
        <v xml:space="preserve">2170583796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15.01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6.7</v>
      </c>
      <c r="BJ2284" s="2">
        <v>7.4</v>
      </c>
      <c r="BK2284" s="2">
        <v>7.5</v>
      </c>
      <c r="BL2284" s="2">
        <v>155.41</v>
      </c>
      <c r="BM2284" s="2">
        <v>21.76</v>
      </c>
      <c r="BN2284" s="2">
        <v>177.17</v>
      </c>
      <c r="BO2284" s="2">
        <v>177.17</v>
      </c>
      <c r="BP2284" s="2"/>
      <c r="BQ2284" s="2" t="s">
        <v>83</v>
      </c>
      <c r="BR2284" s="2" t="s">
        <v>84</v>
      </c>
      <c r="BS2284" s="3">
        <v>42969</v>
      </c>
      <c r="BT2284" s="4">
        <v>0.31944444444444448</v>
      </c>
      <c r="BU2284" s="2" t="s">
        <v>584</v>
      </c>
      <c r="BV2284" s="2" t="s">
        <v>95</v>
      </c>
      <c r="BW2284" s="2"/>
      <c r="BX2284" s="2"/>
      <c r="BY2284" s="2">
        <v>36860.6</v>
      </c>
      <c r="BZ2284" s="2" t="s">
        <v>27</v>
      </c>
      <c r="CA2284" s="2" t="s">
        <v>514</v>
      </c>
      <c r="CB2284" s="2"/>
      <c r="CC2284" s="2" t="s">
        <v>511</v>
      </c>
      <c r="CD2284" s="2">
        <v>6229</v>
      </c>
      <c r="CE2284" s="2" t="s">
        <v>89</v>
      </c>
      <c r="CF2284" s="5">
        <v>42970</v>
      </c>
      <c r="CG2284" s="2"/>
      <c r="CH2284" s="2"/>
      <c r="CI2284" s="2">
        <v>1</v>
      </c>
      <c r="CJ2284" s="2">
        <v>1</v>
      </c>
      <c r="CK2284" s="2">
        <v>21</v>
      </c>
      <c r="CL2284" s="2" t="s">
        <v>86</v>
      </c>
      <c r="CM2284" s="2"/>
    </row>
    <row r="2285" spans="1:91">
      <c r="A2285" s="2" t="s">
        <v>71</v>
      </c>
      <c r="B2285" s="2" t="s">
        <v>72</v>
      </c>
      <c r="C2285" s="2" t="s">
        <v>73</v>
      </c>
      <c r="D2285" s="2"/>
      <c r="E2285" s="2" t="str">
        <f>"FES1162570323"</f>
        <v>FES1162570323</v>
      </c>
      <c r="F2285" s="3">
        <v>42968</v>
      </c>
      <c r="G2285" s="2">
        <v>201802</v>
      </c>
      <c r="H2285" s="2" t="s">
        <v>74</v>
      </c>
      <c r="I2285" s="2" t="s">
        <v>75</v>
      </c>
      <c r="J2285" s="2" t="s">
        <v>76</v>
      </c>
      <c r="K2285" s="2" t="s">
        <v>77</v>
      </c>
      <c r="L2285" s="2" t="s">
        <v>149</v>
      </c>
      <c r="M2285" s="2" t="s">
        <v>150</v>
      </c>
      <c r="N2285" s="2" t="s">
        <v>1268</v>
      </c>
      <c r="O2285" s="2" t="s">
        <v>100</v>
      </c>
      <c r="P2285" s="2" t="str">
        <f>"2170581609                    "</f>
        <v xml:space="preserve">2170581609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25.01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12.1</v>
      </c>
      <c r="BJ2285" s="2">
        <v>7.9</v>
      </c>
      <c r="BK2285" s="2">
        <v>12.5</v>
      </c>
      <c r="BL2285" s="2">
        <v>259.01</v>
      </c>
      <c r="BM2285" s="2">
        <v>36.26</v>
      </c>
      <c r="BN2285" s="2">
        <v>295.27</v>
      </c>
      <c r="BO2285" s="2">
        <v>295.27</v>
      </c>
      <c r="BP2285" s="2"/>
      <c r="BQ2285" s="2" t="s">
        <v>83</v>
      </c>
      <c r="BR2285" s="2" t="s">
        <v>84</v>
      </c>
      <c r="BS2285" s="3">
        <v>42969</v>
      </c>
      <c r="BT2285" s="4">
        <v>0.43472222222222223</v>
      </c>
      <c r="BU2285" s="2" t="s">
        <v>2786</v>
      </c>
      <c r="BV2285" s="2" t="s">
        <v>95</v>
      </c>
      <c r="BW2285" s="2"/>
      <c r="BX2285" s="2"/>
      <c r="BY2285" s="2">
        <v>39261.599999999999</v>
      </c>
      <c r="BZ2285" s="2" t="s">
        <v>27</v>
      </c>
      <c r="CA2285" s="2" t="s">
        <v>682</v>
      </c>
      <c r="CB2285" s="2"/>
      <c r="CC2285" s="2" t="s">
        <v>150</v>
      </c>
      <c r="CD2285" s="2">
        <v>4001</v>
      </c>
      <c r="CE2285" s="2" t="s">
        <v>89</v>
      </c>
      <c r="CF2285" s="5">
        <v>42970</v>
      </c>
      <c r="CG2285" s="2"/>
      <c r="CH2285" s="2"/>
      <c r="CI2285" s="2">
        <v>1</v>
      </c>
      <c r="CJ2285" s="2">
        <v>1</v>
      </c>
      <c r="CK2285" s="2">
        <v>21</v>
      </c>
      <c r="CL2285" s="2" t="s">
        <v>86</v>
      </c>
      <c r="CM2285" s="2"/>
    </row>
    <row r="2286" spans="1:91">
      <c r="A2286" s="2" t="s">
        <v>71</v>
      </c>
      <c r="B2286" s="2" t="s">
        <v>72</v>
      </c>
      <c r="C2286" s="2" t="s">
        <v>73</v>
      </c>
      <c r="D2286" s="2"/>
      <c r="E2286" s="2" t="str">
        <f>"FES1162570336"</f>
        <v>FES1162570336</v>
      </c>
      <c r="F2286" s="3">
        <v>42968</v>
      </c>
      <c r="G2286" s="2">
        <v>201802</v>
      </c>
      <c r="H2286" s="2" t="s">
        <v>74</v>
      </c>
      <c r="I2286" s="2" t="s">
        <v>75</v>
      </c>
      <c r="J2286" s="2" t="s">
        <v>76</v>
      </c>
      <c r="K2286" s="2" t="s">
        <v>77</v>
      </c>
      <c r="L2286" s="2" t="s">
        <v>221</v>
      </c>
      <c r="M2286" s="2" t="s">
        <v>222</v>
      </c>
      <c r="N2286" s="2" t="s">
        <v>1275</v>
      </c>
      <c r="O2286" s="2" t="s">
        <v>100</v>
      </c>
      <c r="P2286" s="2" t="str">
        <f>"2170586104                    "</f>
        <v xml:space="preserve">2170586104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4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1</v>
      </c>
      <c r="BJ2286" s="2">
        <v>0.2</v>
      </c>
      <c r="BK2286" s="2">
        <v>1</v>
      </c>
      <c r="BL2286" s="2">
        <v>41.44</v>
      </c>
      <c r="BM2286" s="2">
        <v>5.8</v>
      </c>
      <c r="BN2286" s="2">
        <v>47.24</v>
      </c>
      <c r="BO2286" s="2">
        <v>47.24</v>
      </c>
      <c r="BP2286" s="2"/>
      <c r="BQ2286" s="2" t="s">
        <v>227</v>
      </c>
      <c r="BR2286" s="2" t="s">
        <v>84</v>
      </c>
      <c r="BS2286" s="3">
        <v>42969</v>
      </c>
      <c r="BT2286" s="4">
        <v>0.38194444444444442</v>
      </c>
      <c r="BU2286" s="2" t="s">
        <v>2756</v>
      </c>
      <c r="BV2286" s="2" t="s">
        <v>95</v>
      </c>
      <c r="BW2286" s="2"/>
      <c r="BX2286" s="2"/>
      <c r="BY2286" s="2">
        <v>1200</v>
      </c>
      <c r="BZ2286" s="2" t="s">
        <v>27</v>
      </c>
      <c r="CA2286" s="2" t="s">
        <v>2757</v>
      </c>
      <c r="CB2286" s="2"/>
      <c r="CC2286" s="2" t="s">
        <v>222</v>
      </c>
      <c r="CD2286" s="2">
        <v>4300</v>
      </c>
      <c r="CE2286" s="2" t="s">
        <v>104</v>
      </c>
      <c r="CF2286" s="5">
        <v>42970</v>
      </c>
      <c r="CG2286" s="2"/>
      <c r="CH2286" s="2"/>
      <c r="CI2286" s="2">
        <v>1</v>
      </c>
      <c r="CJ2286" s="2">
        <v>1</v>
      </c>
      <c r="CK2286" s="2">
        <v>21</v>
      </c>
      <c r="CL2286" s="2" t="s">
        <v>86</v>
      </c>
      <c r="CM2286" s="2"/>
    </row>
    <row r="2287" spans="1:91">
      <c r="A2287" s="2" t="s">
        <v>71</v>
      </c>
      <c r="B2287" s="2" t="s">
        <v>72</v>
      </c>
      <c r="C2287" s="2" t="s">
        <v>73</v>
      </c>
      <c r="D2287" s="2"/>
      <c r="E2287" s="2" t="str">
        <f>"FES1162570326"</f>
        <v>FES1162570326</v>
      </c>
      <c r="F2287" s="3">
        <v>42968</v>
      </c>
      <c r="G2287" s="2">
        <v>201802</v>
      </c>
      <c r="H2287" s="2" t="s">
        <v>74</v>
      </c>
      <c r="I2287" s="2" t="s">
        <v>75</v>
      </c>
      <c r="J2287" s="2" t="s">
        <v>76</v>
      </c>
      <c r="K2287" s="2" t="s">
        <v>77</v>
      </c>
      <c r="L2287" s="2" t="s">
        <v>174</v>
      </c>
      <c r="M2287" s="2" t="s">
        <v>175</v>
      </c>
      <c r="N2287" s="2" t="s">
        <v>2787</v>
      </c>
      <c r="O2287" s="2" t="s">
        <v>100</v>
      </c>
      <c r="P2287" s="2" t="str">
        <f>"2170586092                    "</f>
        <v xml:space="preserve">2170586092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11.01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1</v>
      </c>
      <c r="BI2287" s="2">
        <v>5.2</v>
      </c>
      <c r="BJ2287" s="2">
        <v>4.0999999999999996</v>
      </c>
      <c r="BK2287" s="2">
        <v>5.5</v>
      </c>
      <c r="BL2287" s="2">
        <v>113.97</v>
      </c>
      <c r="BM2287" s="2">
        <v>15.96</v>
      </c>
      <c r="BN2287" s="2">
        <v>129.93</v>
      </c>
      <c r="BO2287" s="2">
        <v>129.93</v>
      </c>
      <c r="BP2287" s="2"/>
      <c r="BQ2287" s="2" t="s">
        <v>83</v>
      </c>
      <c r="BR2287" s="2" t="s">
        <v>84</v>
      </c>
      <c r="BS2287" s="3">
        <v>42969</v>
      </c>
      <c r="BT2287" s="4">
        <v>0.49305555555555558</v>
      </c>
      <c r="BU2287" s="2" t="s">
        <v>2788</v>
      </c>
      <c r="BV2287" s="2" t="s">
        <v>86</v>
      </c>
      <c r="BW2287" s="2" t="s">
        <v>110</v>
      </c>
      <c r="BX2287" s="2" t="s">
        <v>2789</v>
      </c>
      <c r="BY2287" s="2">
        <v>20518.88</v>
      </c>
      <c r="BZ2287" s="2" t="s">
        <v>27</v>
      </c>
      <c r="CA2287" s="2" t="s">
        <v>1420</v>
      </c>
      <c r="CB2287" s="2"/>
      <c r="CC2287" s="2" t="s">
        <v>175</v>
      </c>
      <c r="CD2287" s="2">
        <v>5201</v>
      </c>
      <c r="CE2287" s="2" t="s">
        <v>89</v>
      </c>
      <c r="CF2287" s="5">
        <v>42970</v>
      </c>
      <c r="CG2287" s="2"/>
      <c r="CH2287" s="2"/>
      <c r="CI2287" s="2">
        <v>1</v>
      </c>
      <c r="CJ2287" s="2">
        <v>1</v>
      </c>
      <c r="CK2287" s="2">
        <v>21</v>
      </c>
      <c r="CL2287" s="2" t="s">
        <v>86</v>
      </c>
      <c r="CM2287" s="2"/>
    </row>
    <row r="2288" spans="1:91">
      <c r="A2288" s="2" t="s">
        <v>71</v>
      </c>
      <c r="B2288" s="2" t="s">
        <v>72</v>
      </c>
      <c r="C2288" s="2" t="s">
        <v>73</v>
      </c>
      <c r="D2288" s="2"/>
      <c r="E2288" s="2" t="str">
        <f>"FES1162570325"</f>
        <v>FES1162570325</v>
      </c>
      <c r="F2288" s="3">
        <v>42968</v>
      </c>
      <c r="G2288" s="2">
        <v>201802</v>
      </c>
      <c r="H2288" s="2" t="s">
        <v>74</v>
      </c>
      <c r="I2288" s="2" t="s">
        <v>75</v>
      </c>
      <c r="J2288" s="2" t="s">
        <v>76</v>
      </c>
      <c r="K2288" s="2" t="s">
        <v>77</v>
      </c>
      <c r="L2288" s="2" t="s">
        <v>97</v>
      </c>
      <c r="M2288" s="2" t="s">
        <v>98</v>
      </c>
      <c r="N2288" s="2" t="s">
        <v>822</v>
      </c>
      <c r="O2288" s="2" t="s">
        <v>100</v>
      </c>
      <c r="P2288" s="2" t="str">
        <f>"2170580574                    "</f>
        <v xml:space="preserve">2170580574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6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2.1</v>
      </c>
      <c r="BJ2288" s="2">
        <v>2.9</v>
      </c>
      <c r="BK2288" s="2">
        <v>3</v>
      </c>
      <c r="BL2288" s="2">
        <v>62.16</v>
      </c>
      <c r="BM2288" s="2">
        <v>8.6999999999999993</v>
      </c>
      <c r="BN2288" s="2">
        <v>70.86</v>
      </c>
      <c r="BO2288" s="2">
        <v>70.86</v>
      </c>
      <c r="BP2288" s="2"/>
      <c r="BQ2288" s="2" t="s">
        <v>83</v>
      </c>
      <c r="BR2288" s="2" t="s">
        <v>84</v>
      </c>
      <c r="BS2288" s="3">
        <v>42969</v>
      </c>
      <c r="BT2288" s="4">
        <v>0.3125</v>
      </c>
      <c r="BU2288" s="2" t="s">
        <v>2790</v>
      </c>
      <c r="BV2288" s="2" t="s">
        <v>95</v>
      </c>
      <c r="BW2288" s="2"/>
      <c r="BX2288" s="2"/>
      <c r="BY2288" s="2">
        <v>14363.42</v>
      </c>
      <c r="BZ2288" s="2" t="s">
        <v>27</v>
      </c>
      <c r="CA2288" s="2"/>
      <c r="CB2288" s="2"/>
      <c r="CC2288" s="2" t="s">
        <v>98</v>
      </c>
      <c r="CD2288" s="2">
        <v>6014</v>
      </c>
      <c r="CE2288" s="2" t="s">
        <v>89</v>
      </c>
      <c r="CF2288" s="5">
        <v>42970</v>
      </c>
      <c r="CG2288" s="2"/>
      <c r="CH2288" s="2"/>
      <c r="CI2288" s="2">
        <v>1</v>
      </c>
      <c r="CJ2288" s="2">
        <v>1</v>
      </c>
      <c r="CK2288" s="2">
        <v>21</v>
      </c>
      <c r="CL2288" s="2" t="s">
        <v>86</v>
      </c>
      <c r="CM2288" s="2"/>
    </row>
    <row r="2289" spans="1:91">
      <c r="A2289" s="2" t="s">
        <v>71</v>
      </c>
      <c r="B2289" s="2" t="s">
        <v>72</v>
      </c>
      <c r="C2289" s="2" t="s">
        <v>73</v>
      </c>
      <c r="D2289" s="2"/>
      <c r="E2289" s="2" t="str">
        <f>"FES1162570319"</f>
        <v>FES1162570319</v>
      </c>
      <c r="F2289" s="3">
        <v>42968</v>
      </c>
      <c r="G2289" s="2">
        <v>201802</v>
      </c>
      <c r="H2289" s="2" t="s">
        <v>74</v>
      </c>
      <c r="I2289" s="2" t="s">
        <v>75</v>
      </c>
      <c r="J2289" s="2" t="s">
        <v>76</v>
      </c>
      <c r="K2289" s="2" t="s">
        <v>77</v>
      </c>
      <c r="L2289" s="2" t="s">
        <v>97</v>
      </c>
      <c r="M2289" s="2" t="s">
        <v>98</v>
      </c>
      <c r="N2289" s="2" t="s">
        <v>2203</v>
      </c>
      <c r="O2289" s="2" t="s">
        <v>100</v>
      </c>
      <c r="P2289" s="2" t="str">
        <f>"2170582433                    "</f>
        <v xml:space="preserve">2170582433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4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1.5</v>
      </c>
      <c r="BJ2289" s="2">
        <v>1.2</v>
      </c>
      <c r="BK2289" s="2">
        <v>1.5</v>
      </c>
      <c r="BL2289" s="2">
        <v>41.44</v>
      </c>
      <c r="BM2289" s="2">
        <v>5.8</v>
      </c>
      <c r="BN2289" s="2">
        <v>47.24</v>
      </c>
      <c r="BO2289" s="2">
        <v>47.24</v>
      </c>
      <c r="BP2289" s="2"/>
      <c r="BQ2289" s="2" t="s">
        <v>288</v>
      </c>
      <c r="BR2289" s="2" t="s">
        <v>84</v>
      </c>
      <c r="BS2289" s="3">
        <v>42969</v>
      </c>
      <c r="BT2289" s="4">
        <v>0.33680555555555558</v>
      </c>
      <c r="BU2289" s="2" t="s">
        <v>2791</v>
      </c>
      <c r="BV2289" s="2" t="s">
        <v>95</v>
      </c>
      <c r="BW2289" s="2"/>
      <c r="BX2289" s="2"/>
      <c r="BY2289" s="2">
        <v>6110.21</v>
      </c>
      <c r="BZ2289" s="2" t="s">
        <v>27</v>
      </c>
      <c r="CA2289" s="2"/>
      <c r="CB2289" s="2"/>
      <c r="CC2289" s="2" t="s">
        <v>98</v>
      </c>
      <c r="CD2289" s="2">
        <v>6001</v>
      </c>
      <c r="CE2289" s="2" t="s">
        <v>89</v>
      </c>
      <c r="CF2289" s="5">
        <v>42970</v>
      </c>
      <c r="CG2289" s="2"/>
      <c r="CH2289" s="2"/>
      <c r="CI2289" s="2">
        <v>1</v>
      </c>
      <c r="CJ2289" s="2">
        <v>1</v>
      </c>
      <c r="CK2289" s="2">
        <v>21</v>
      </c>
      <c r="CL2289" s="2" t="s">
        <v>86</v>
      </c>
      <c r="CM2289" s="2"/>
    </row>
    <row r="2290" spans="1:91">
      <c r="A2290" s="2" t="s">
        <v>71</v>
      </c>
      <c r="B2290" s="2" t="s">
        <v>72</v>
      </c>
      <c r="C2290" s="2" t="s">
        <v>73</v>
      </c>
      <c r="D2290" s="2"/>
      <c r="E2290" s="2" t="str">
        <f>"FES1162570345"</f>
        <v>FES1162570345</v>
      </c>
      <c r="F2290" s="3">
        <v>42968</v>
      </c>
      <c r="G2290" s="2">
        <v>201802</v>
      </c>
      <c r="H2290" s="2" t="s">
        <v>74</v>
      </c>
      <c r="I2290" s="2" t="s">
        <v>75</v>
      </c>
      <c r="J2290" s="2" t="s">
        <v>76</v>
      </c>
      <c r="K2290" s="2" t="s">
        <v>77</v>
      </c>
      <c r="L2290" s="2" t="s">
        <v>231</v>
      </c>
      <c r="M2290" s="2" t="s">
        <v>232</v>
      </c>
      <c r="N2290" s="2" t="s">
        <v>1899</v>
      </c>
      <c r="O2290" s="2" t="s">
        <v>100</v>
      </c>
      <c r="P2290" s="2" t="str">
        <f>"2170586115                    "</f>
        <v xml:space="preserve">2170586115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4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1</v>
      </c>
      <c r="BJ2290" s="2">
        <v>0.2</v>
      </c>
      <c r="BK2290" s="2">
        <v>1</v>
      </c>
      <c r="BL2290" s="2">
        <v>41.44</v>
      </c>
      <c r="BM2290" s="2">
        <v>5.8</v>
      </c>
      <c r="BN2290" s="2">
        <v>47.24</v>
      </c>
      <c r="BO2290" s="2">
        <v>47.24</v>
      </c>
      <c r="BP2290" s="2"/>
      <c r="BQ2290" s="2" t="s">
        <v>83</v>
      </c>
      <c r="BR2290" s="2" t="s">
        <v>84</v>
      </c>
      <c r="BS2290" s="3">
        <v>42969</v>
      </c>
      <c r="BT2290" s="4">
        <v>0.3666666666666667</v>
      </c>
      <c r="BU2290" s="2" t="s">
        <v>2792</v>
      </c>
      <c r="BV2290" s="2" t="s">
        <v>95</v>
      </c>
      <c r="BW2290" s="2"/>
      <c r="BX2290" s="2"/>
      <c r="BY2290" s="2">
        <v>1200</v>
      </c>
      <c r="BZ2290" s="2" t="s">
        <v>27</v>
      </c>
      <c r="CA2290" s="2" t="s">
        <v>235</v>
      </c>
      <c r="CB2290" s="2"/>
      <c r="CC2290" s="2" t="s">
        <v>232</v>
      </c>
      <c r="CD2290" s="2">
        <v>4026</v>
      </c>
      <c r="CE2290" s="2" t="s">
        <v>104</v>
      </c>
      <c r="CF2290" s="5">
        <v>42970</v>
      </c>
      <c r="CG2290" s="2"/>
      <c r="CH2290" s="2"/>
      <c r="CI2290" s="2">
        <v>1</v>
      </c>
      <c r="CJ2290" s="2">
        <v>1</v>
      </c>
      <c r="CK2290" s="2">
        <v>21</v>
      </c>
      <c r="CL2290" s="2" t="s">
        <v>86</v>
      </c>
      <c r="CM2290" s="2"/>
    </row>
    <row r="2291" spans="1:91">
      <c r="A2291" s="2" t="s">
        <v>71</v>
      </c>
      <c r="B2291" s="2" t="s">
        <v>72</v>
      </c>
      <c r="C2291" s="2" t="s">
        <v>73</v>
      </c>
      <c r="D2291" s="2"/>
      <c r="E2291" s="2" t="str">
        <f>"FES1162570333"</f>
        <v>FES1162570333</v>
      </c>
      <c r="F2291" s="3">
        <v>42968</v>
      </c>
      <c r="G2291" s="2">
        <v>201802</v>
      </c>
      <c r="H2291" s="2" t="s">
        <v>74</v>
      </c>
      <c r="I2291" s="2" t="s">
        <v>75</v>
      </c>
      <c r="J2291" s="2" t="s">
        <v>76</v>
      </c>
      <c r="K2291" s="2" t="s">
        <v>77</v>
      </c>
      <c r="L2291" s="2" t="s">
        <v>137</v>
      </c>
      <c r="M2291" s="2" t="s">
        <v>138</v>
      </c>
      <c r="N2291" s="2" t="s">
        <v>1110</v>
      </c>
      <c r="O2291" s="2" t="s">
        <v>100</v>
      </c>
      <c r="P2291" s="2" t="str">
        <f>"2170586099                    "</f>
        <v xml:space="preserve">2170586099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4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1</v>
      </c>
      <c r="BJ2291" s="2">
        <v>0.2</v>
      </c>
      <c r="BK2291" s="2">
        <v>1</v>
      </c>
      <c r="BL2291" s="2">
        <v>41.44</v>
      </c>
      <c r="BM2291" s="2">
        <v>5.8</v>
      </c>
      <c r="BN2291" s="2">
        <v>47.24</v>
      </c>
      <c r="BO2291" s="2">
        <v>47.24</v>
      </c>
      <c r="BP2291" s="2"/>
      <c r="BQ2291" s="2" t="s">
        <v>288</v>
      </c>
      <c r="BR2291" s="2" t="s">
        <v>84</v>
      </c>
      <c r="BS2291" s="3">
        <v>42969</v>
      </c>
      <c r="BT2291" s="4">
        <v>0.37083333333333335</v>
      </c>
      <c r="BU2291" s="2" t="s">
        <v>2793</v>
      </c>
      <c r="BV2291" s="2" t="s">
        <v>95</v>
      </c>
      <c r="BW2291" s="2"/>
      <c r="BX2291" s="2"/>
      <c r="BY2291" s="2">
        <v>1200</v>
      </c>
      <c r="BZ2291" s="2" t="s">
        <v>27</v>
      </c>
      <c r="CA2291" s="2" t="s">
        <v>970</v>
      </c>
      <c r="CB2291" s="2"/>
      <c r="CC2291" s="2" t="s">
        <v>138</v>
      </c>
      <c r="CD2291" s="2">
        <v>157</v>
      </c>
      <c r="CE2291" s="2" t="s">
        <v>104</v>
      </c>
      <c r="CF2291" s="5">
        <v>42970</v>
      </c>
      <c r="CG2291" s="2"/>
      <c r="CH2291" s="2"/>
      <c r="CI2291" s="2">
        <v>1</v>
      </c>
      <c r="CJ2291" s="2">
        <v>1</v>
      </c>
      <c r="CK2291" s="2">
        <v>21</v>
      </c>
      <c r="CL2291" s="2" t="s">
        <v>86</v>
      </c>
      <c r="CM2291" s="2"/>
    </row>
    <row r="2292" spans="1:91">
      <c r="A2292" s="2" t="s">
        <v>71</v>
      </c>
      <c r="B2292" s="2" t="s">
        <v>72</v>
      </c>
      <c r="C2292" s="2" t="s">
        <v>73</v>
      </c>
      <c r="D2292" s="2"/>
      <c r="E2292" s="2" t="str">
        <f>"FES1162570134"</f>
        <v>FES1162570134</v>
      </c>
      <c r="F2292" s="3">
        <v>42968</v>
      </c>
      <c r="G2292" s="2">
        <v>201802</v>
      </c>
      <c r="H2292" s="2" t="s">
        <v>74</v>
      </c>
      <c r="I2292" s="2" t="s">
        <v>75</v>
      </c>
      <c r="J2292" s="2" t="s">
        <v>76</v>
      </c>
      <c r="K2292" s="2" t="s">
        <v>77</v>
      </c>
      <c r="L2292" s="2" t="s">
        <v>221</v>
      </c>
      <c r="M2292" s="2" t="s">
        <v>222</v>
      </c>
      <c r="N2292" s="2" t="s">
        <v>415</v>
      </c>
      <c r="O2292" s="2" t="s">
        <v>100</v>
      </c>
      <c r="P2292" s="2" t="str">
        <f>"2170584716                    "</f>
        <v xml:space="preserve">2170584716 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4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1</v>
      </c>
      <c r="BJ2292" s="2">
        <v>0.2</v>
      </c>
      <c r="BK2292" s="2">
        <v>1</v>
      </c>
      <c r="BL2292" s="2">
        <v>41.44</v>
      </c>
      <c r="BM2292" s="2">
        <v>5.8</v>
      </c>
      <c r="BN2292" s="2">
        <v>47.24</v>
      </c>
      <c r="BO2292" s="2">
        <v>47.24</v>
      </c>
      <c r="BP2292" s="2"/>
      <c r="BQ2292" s="2" t="s">
        <v>108</v>
      </c>
      <c r="BR2292" s="2" t="s">
        <v>84</v>
      </c>
      <c r="BS2292" s="3">
        <v>42969</v>
      </c>
      <c r="BT2292" s="4">
        <v>0.36041666666666666</v>
      </c>
      <c r="BU2292" s="2" t="s">
        <v>933</v>
      </c>
      <c r="BV2292" s="2" t="s">
        <v>95</v>
      </c>
      <c r="BW2292" s="2"/>
      <c r="BX2292" s="2"/>
      <c r="BY2292" s="2">
        <v>1200</v>
      </c>
      <c r="BZ2292" s="2" t="s">
        <v>27</v>
      </c>
      <c r="CA2292" s="2" t="s">
        <v>934</v>
      </c>
      <c r="CB2292" s="2"/>
      <c r="CC2292" s="2" t="s">
        <v>222</v>
      </c>
      <c r="CD2292" s="2">
        <v>4302</v>
      </c>
      <c r="CE2292" s="2" t="s">
        <v>104</v>
      </c>
      <c r="CF2292" s="5">
        <v>42970</v>
      </c>
      <c r="CG2292" s="2"/>
      <c r="CH2292" s="2"/>
      <c r="CI2292" s="2">
        <v>1</v>
      </c>
      <c r="CJ2292" s="2">
        <v>1</v>
      </c>
      <c r="CK2292" s="2">
        <v>21</v>
      </c>
      <c r="CL2292" s="2" t="s">
        <v>86</v>
      </c>
      <c r="CM2292" s="2"/>
    </row>
    <row r="2293" spans="1:91">
      <c r="A2293" s="2" t="s">
        <v>71</v>
      </c>
      <c r="B2293" s="2" t="s">
        <v>72</v>
      </c>
      <c r="C2293" s="2" t="s">
        <v>73</v>
      </c>
      <c r="D2293" s="2"/>
      <c r="E2293" s="2" t="str">
        <f>"FES1162570135"</f>
        <v>FES1162570135</v>
      </c>
      <c r="F2293" s="3">
        <v>42968</v>
      </c>
      <c r="G2293" s="2">
        <v>201802</v>
      </c>
      <c r="H2293" s="2" t="s">
        <v>74</v>
      </c>
      <c r="I2293" s="2" t="s">
        <v>75</v>
      </c>
      <c r="J2293" s="2" t="s">
        <v>76</v>
      </c>
      <c r="K2293" s="2" t="s">
        <v>77</v>
      </c>
      <c r="L2293" s="2" t="s">
        <v>343</v>
      </c>
      <c r="M2293" s="2" t="s">
        <v>344</v>
      </c>
      <c r="N2293" s="2" t="s">
        <v>2794</v>
      </c>
      <c r="O2293" s="2" t="s">
        <v>100</v>
      </c>
      <c r="P2293" s="2" t="str">
        <f>"2170585923                    "</f>
        <v xml:space="preserve">2170585923 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4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1</v>
      </c>
      <c r="BJ2293" s="2">
        <v>0.2</v>
      </c>
      <c r="BK2293" s="2">
        <v>1</v>
      </c>
      <c r="BL2293" s="2">
        <v>41.44</v>
      </c>
      <c r="BM2293" s="2">
        <v>5.8</v>
      </c>
      <c r="BN2293" s="2">
        <v>47.24</v>
      </c>
      <c r="BO2293" s="2">
        <v>47.24</v>
      </c>
      <c r="BP2293" s="2"/>
      <c r="BQ2293" s="2" t="s">
        <v>365</v>
      </c>
      <c r="BR2293" s="2" t="s">
        <v>84</v>
      </c>
      <c r="BS2293" s="3">
        <v>42969</v>
      </c>
      <c r="BT2293" s="4">
        <v>0.4375</v>
      </c>
      <c r="BU2293" s="2" t="s">
        <v>768</v>
      </c>
      <c r="BV2293" s="2" t="s">
        <v>95</v>
      </c>
      <c r="BW2293" s="2"/>
      <c r="BX2293" s="2"/>
      <c r="BY2293" s="2">
        <v>1200</v>
      </c>
      <c r="BZ2293" s="2" t="s">
        <v>27</v>
      </c>
      <c r="CA2293" s="2" t="s">
        <v>347</v>
      </c>
      <c r="CB2293" s="2"/>
      <c r="CC2293" s="2" t="s">
        <v>344</v>
      </c>
      <c r="CD2293" s="2">
        <v>4110</v>
      </c>
      <c r="CE2293" s="2" t="s">
        <v>104</v>
      </c>
      <c r="CF2293" s="5">
        <v>42970</v>
      </c>
      <c r="CG2293" s="2"/>
      <c r="CH2293" s="2"/>
      <c r="CI2293" s="2">
        <v>1</v>
      </c>
      <c r="CJ2293" s="2">
        <v>1</v>
      </c>
      <c r="CK2293" s="2">
        <v>21</v>
      </c>
      <c r="CL2293" s="2" t="s">
        <v>86</v>
      </c>
      <c r="CM2293" s="2"/>
    </row>
    <row r="2294" spans="1:91">
      <c r="A2294" s="2" t="s">
        <v>71</v>
      </c>
      <c r="B2294" s="2" t="s">
        <v>72</v>
      </c>
      <c r="C2294" s="2" t="s">
        <v>73</v>
      </c>
      <c r="D2294" s="2"/>
      <c r="E2294" s="2" t="str">
        <f>"FES1162570349"</f>
        <v>FES1162570349</v>
      </c>
      <c r="F2294" s="3">
        <v>42968</v>
      </c>
      <c r="G2294" s="2">
        <v>201802</v>
      </c>
      <c r="H2294" s="2" t="s">
        <v>74</v>
      </c>
      <c r="I2294" s="2" t="s">
        <v>75</v>
      </c>
      <c r="J2294" s="2" t="s">
        <v>76</v>
      </c>
      <c r="K2294" s="2" t="s">
        <v>77</v>
      </c>
      <c r="L2294" s="2" t="s">
        <v>353</v>
      </c>
      <c r="M2294" s="2" t="s">
        <v>354</v>
      </c>
      <c r="N2294" s="2" t="s">
        <v>355</v>
      </c>
      <c r="O2294" s="2" t="s">
        <v>100</v>
      </c>
      <c r="P2294" s="2" t="str">
        <f>"2170586120                    "</f>
        <v xml:space="preserve">2170586120 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7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1</v>
      </c>
      <c r="BI2294" s="2">
        <v>1.4</v>
      </c>
      <c r="BJ2294" s="2">
        <v>3.1</v>
      </c>
      <c r="BK2294" s="2">
        <v>3.5</v>
      </c>
      <c r="BL2294" s="2">
        <v>72.52</v>
      </c>
      <c r="BM2294" s="2">
        <v>10.15</v>
      </c>
      <c r="BN2294" s="2">
        <v>82.67</v>
      </c>
      <c r="BO2294" s="2">
        <v>82.67</v>
      </c>
      <c r="BP2294" s="2"/>
      <c r="BQ2294" s="2" t="s">
        <v>288</v>
      </c>
      <c r="BR2294" s="2" t="s">
        <v>84</v>
      </c>
      <c r="BS2294" s="3">
        <v>42969</v>
      </c>
      <c r="BT2294" s="4">
        <v>0.4375</v>
      </c>
      <c r="BU2294" s="2" t="s">
        <v>2795</v>
      </c>
      <c r="BV2294" s="2" t="s">
        <v>95</v>
      </c>
      <c r="BW2294" s="2"/>
      <c r="BX2294" s="2"/>
      <c r="BY2294" s="2">
        <v>15668.53</v>
      </c>
      <c r="BZ2294" s="2" t="s">
        <v>27</v>
      </c>
      <c r="CA2294" s="2" t="s">
        <v>668</v>
      </c>
      <c r="CB2294" s="2"/>
      <c r="CC2294" s="2" t="s">
        <v>354</v>
      </c>
      <c r="CD2294" s="2">
        <v>3699</v>
      </c>
      <c r="CE2294" s="2" t="s">
        <v>89</v>
      </c>
      <c r="CF2294" s="5">
        <v>42970</v>
      </c>
      <c r="CG2294" s="2"/>
      <c r="CH2294" s="2"/>
      <c r="CI2294" s="2">
        <v>1</v>
      </c>
      <c r="CJ2294" s="2">
        <v>1</v>
      </c>
      <c r="CK2294" s="2">
        <v>21</v>
      </c>
      <c r="CL2294" s="2" t="s">
        <v>86</v>
      </c>
      <c r="CM2294" s="2"/>
    </row>
    <row r="2295" spans="1:91">
      <c r="A2295" s="2" t="s">
        <v>71</v>
      </c>
      <c r="B2295" s="2" t="s">
        <v>72</v>
      </c>
      <c r="C2295" s="2" t="s">
        <v>73</v>
      </c>
      <c r="D2295" s="2"/>
      <c r="E2295" s="2" t="str">
        <f>"FES1162569829"</f>
        <v>FES1162569829</v>
      </c>
      <c r="F2295" s="3">
        <v>42968</v>
      </c>
      <c r="G2295" s="2">
        <v>201802</v>
      </c>
      <c r="H2295" s="2" t="s">
        <v>74</v>
      </c>
      <c r="I2295" s="2" t="s">
        <v>75</v>
      </c>
      <c r="J2295" s="2" t="s">
        <v>76</v>
      </c>
      <c r="K2295" s="2" t="s">
        <v>77</v>
      </c>
      <c r="L2295" s="2" t="s">
        <v>144</v>
      </c>
      <c r="M2295" s="2" t="s">
        <v>145</v>
      </c>
      <c r="N2295" s="2" t="s">
        <v>1971</v>
      </c>
      <c r="O2295" s="2" t="s">
        <v>100</v>
      </c>
      <c r="P2295" s="2" t="str">
        <f>"2170585618                    "</f>
        <v xml:space="preserve">2170585618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3.13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1</v>
      </c>
      <c r="BJ2295" s="2">
        <v>0.2</v>
      </c>
      <c r="BK2295" s="2">
        <v>1</v>
      </c>
      <c r="BL2295" s="2">
        <v>32.380000000000003</v>
      </c>
      <c r="BM2295" s="2">
        <v>4.53</v>
      </c>
      <c r="BN2295" s="2">
        <v>36.909999999999997</v>
      </c>
      <c r="BO2295" s="2">
        <v>36.909999999999997</v>
      </c>
      <c r="BP2295" s="2"/>
      <c r="BQ2295" s="2" t="s">
        <v>288</v>
      </c>
      <c r="BR2295" s="2" t="s">
        <v>84</v>
      </c>
      <c r="BS2295" s="3">
        <v>42969</v>
      </c>
      <c r="BT2295" s="4">
        <v>0.3576388888888889</v>
      </c>
      <c r="BU2295" s="2" t="s">
        <v>2796</v>
      </c>
      <c r="BV2295" s="2" t="s">
        <v>95</v>
      </c>
      <c r="BW2295" s="2"/>
      <c r="BX2295" s="2"/>
      <c r="BY2295" s="2">
        <v>1200</v>
      </c>
      <c r="BZ2295" s="2" t="s">
        <v>27</v>
      </c>
      <c r="CA2295" s="2" t="s">
        <v>1355</v>
      </c>
      <c r="CB2295" s="2"/>
      <c r="CC2295" s="2" t="s">
        <v>145</v>
      </c>
      <c r="CD2295" s="2">
        <v>2013</v>
      </c>
      <c r="CE2295" s="2" t="s">
        <v>104</v>
      </c>
      <c r="CF2295" s="5">
        <v>42970</v>
      </c>
      <c r="CG2295" s="2"/>
      <c r="CH2295" s="2"/>
      <c r="CI2295" s="2">
        <v>1</v>
      </c>
      <c r="CJ2295" s="2">
        <v>1</v>
      </c>
      <c r="CK2295" s="2">
        <v>22</v>
      </c>
      <c r="CL2295" s="2" t="s">
        <v>86</v>
      </c>
      <c r="CM2295" s="2"/>
    </row>
    <row r="2296" spans="1:91">
      <c r="A2296" s="2" t="s">
        <v>71</v>
      </c>
      <c r="B2296" s="2" t="s">
        <v>72</v>
      </c>
      <c r="C2296" s="2" t="s">
        <v>73</v>
      </c>
      <c r="D2296" s="2"/>
      <c r="E2296" s="2" t="str">
        <f>"FES1162570335"</f>
        <v>FES1162570335</v>
      </c>
      <c r="F2296" s="3">
        <v>42968</v>
      </c>
      <c r="G2296" s="2">
        <v>201802</v>
      </c>
      <c r="H2296" s="2" t="s">
        <v>74</v>
      </c>
      <c r="I2296" s="2" t="s">
        <v>75</v>
      </c>
      <c r="J2296" s="2" t="s">
        <v>76</v>
      </c>
      <c r="K2296" s="2" t="s">
        <v>77</v>
      </c>
      <c r="L2296" s="2" t="s">
        <v>97</v>
      </c>
      <c r="M2296" s="2" t="s">
        <v>98</v>
      </c>
      <c r="N2296" s="2" t="s">
        <v>2797</v>
      </c>
      <c r="O2296" s="2" t="s">
        <v>100</v>
      </c>
      <c r="P2296" s="2" t="str">
        <f>"2170586103                    "</f>
        <v xml:space="preserve">2170586103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9.01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3.1</v>
      </c>
      <c r="BJ2296" s="2">
        <v>4.0999999999999996</v>
      </c>
      <c r="BK2296" s="2">
        <v>4.5</v>
      </c>
      <c r="BL2296" s="2">
        <v>93.25</v>
      </c>
      <c r="BM2296" s="2">
        <v>13.06</v>
      </c>
      <c r="BN2296" s="2">
        <v>106.31</v>
      </c>
      <c r="BO2296" s="2">
        <v>106.31</v>
      </c>
      <c r="BP2296" s="2"/>
      <c r="BQ2296" s="2" t="s">
        <v>288</v>
      </c>
      <c r="BR2296" s="2" t="s">
        <v>84</v>
      </c>
      <c r="BS2296" s="3">
        <v>42969</v>
      </c>
      <c r="BT2296" s="4">
        <v>0.34375</v>
      </c>
      <c r="BU2296" s="2" t="s">
        <v>2798</v>
      </c>
      <c r="BV2296" s="2" t="s">
        <v>95</v>
      </c>
      <c r="BW2296" s="2"/>
      <c r="BX2296" s="2"/>
      <c r="BY2296" s="2">
        <v>20684.16</v>
      </c>
      <c r="BZ2296" s="2" t="s">
        <v>27</v>
      </c>
      <c r="CA2296" s="2" t="s">
        <v>1775</v>
      </c>
      <c r="CB2296" s="2"/>
      <c r="CC2296" s="2" t="s">
        <v>98</v>
      </c>
      <c r="CD2296" s="2">
        <v>6001</v>
      </c>
      <c r="CE2296" s="2" t="s">
        <v>89</v>
      </c>
      <c r="CF2296" s="5">
        <v>42970</v>
      </c>
      <c r="CG2296" s="2"/>
      <c r="CH2296" s="2"/>
      <c r="CI2296" s="2">
        <v>1</v>
      </c>
      <c r="CJ2296" s="2">
        <v>1</v>
      </c>
      <c r="CK2296" s="2">
        <v>21</v>
      </c>
      <c r="CL2296" s="2" t="s">
        <v>86</v>
      </c>
      <c r="CM2296" s="2"/>
    </row>
    <row r="2297" spans="1:91">
      <c r="A2297" s="2" t="s">
        <v>71</v>
      </c>
      <c r="B2297" s="2" t="s">
        <v>72</v>
      </c>
      <c r="C2297" s="2" t="s">
        <v>73</v>
      </c>
      <c r="D2297" s="2"/>
      <c r="E2297" s="2" t="str">
        <f>"FES1162569667"</f>
        <v>FES1162569667</v>
      </c>
      <c r="F2297" s="3">
        <v>42968</v>
      </c>
      <c r="G2297" s="2">
        <v>201802</v>
      </c>
      <c r="H2297" s="2" t="s">
        <v>74</v>
      </c>
      <c r="I2297" s="2" t="s">
        <v>75</v>
      </c>
      <c r="J2297" s="2" t="s">
        <v>76</v>
      </c>
      <c r="K2297" s="2" t="s">
        <v>77</v>
      </c>
      <c r="L2297" s="2" t="s">
        <v>144</v>
      </c>
      <c r="M2297" s="2" t="s">
        <v>145</v>
      </c>
      <c r="N2297" s="2" t="s">
        <v>1971</v>
      </c>
      <c r="O2297" s="2" t="s">
        <v>100</v>
      </c>
      <c r="P2297" s="2" t="str">
        <f>"2170585457                    "</f>
        <v xml:space="preserve">2170585457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3.13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1</v>
      </c>
      <c r="BJ2297" s="2">
        <v>0.2</v>
      </c>
      <c r="BK2297" s="2">
        <v>1</v>
      </c>
      <c r="BL2297" s="2">
        <v>32.380000000000003</v>
      </c>
      <c r="BM2297" s="2">
        <v>4.53</v>
      </c>
      <c r="BN2297" s="2">
        <v>36.909999999999997</v>
      </c>
      <c r="BO2297" s="2">
        <v>36.909999999999997</v>
      </c>
      <c r="BP2297" s="2"/>
      <c r="BQ2297" s="2" t="s">
        <v>2799</v>
      </c>
      <c r="BR2297" s="2" t="s">
        <v>84</v>
      </c>
      <c r="BS2297" s="3">
        <v>42969</v>
      </c>
      <c r="BT2297" s="4">
        <v>0.36249999999999999</v>
      </c>
      <c r="BU2297" s="2" t="s">
        <v>2796</v>
      </c>
      <c r="BV2297" s="2" t="s">
        <v>95</v>
      </c>
      <c r="BW2297" s="2"/>
      <c r="BX2297" s="2"/>
      <c r="BY2297" s="2">
        <v>1200</v>
      </c>
      <c r="BZ2297" s="2" t="s">
        <v>27</v>
      </c>
      <c r="CA2297" s="2" t="s">
        <v>1355</v>
      </c>
      <c r="CB2297" s="2"/>
      <c r="CC2297" s="2" t="s">
        <v>145</v>
      </c>
      <c r="CD2297" s="2">
        <v>2013</v>
      </c>
      <c r="CE2297" s="2" t="s">
        <v>104</v>
      </c>
      <c r="CF2297" s="5">
        <v>42970</v>
      </c>
      <c r="CG2297" s="2"/>
      <c r="CH2297" s="2"/>
      <c r="CI2297" s="2">
        <v>1</v>
      </c>
      <c r="CJ2297" s="2">
        <v>1</v>
      </c>
      <c r="CK2297" s="2">
        <v>22</v>
      </c>
      <c r="CL2297" s="2" t="s">
        <v>86</v>
      </c>
      <c r="CM2297" s="2"/>
    </row>
    <row r="2298" spans="1:91">
      <c r="A2298" s="2" t="s">
        <v>71</v>
      </c>
      <c r="B2298" s="2" t="s">
        <v>72</v>
      </c>
      <c r="C2298" s="2" t="s">
        <v>73</v>
      </c>
      <c r="D2298" s="2"/>
      <c r="E2298" s="2" t="str">
        <f>"FES1162570320"</f>
        <v>FES1162570320</v>
      </c>
      <c r="F2298" s="3">
        <v>42968</v>
      </c>
      <c r="G2298" s="2">
        <v>201802</v>
      </c>
      <c r="H2298" s="2" t="s">
        <v>74</v>
      </c>
      <c r="I2298" s="2" t="s">
        <v>75</v>
      </c>
      <c r="J2298" s="2" t="s">
        <v>76</v>
      </c>
      <c r="K2298" s="2" t="s">
        <v>77</v>
      </c>
      <c r="L2298" s="2" t="s">
        <v>170</v>
      </c>
      <c r="M2298" s="2" t="s">
        <v>171</v>
      </c>
      <c r="N2298" s="2" t="s">
        <v>821</v>
      </c>
      <c r="O2298" s="2" t="s">
        <v>100</v>
      </c>
      <c r="P2298" s="2" t="str">
        <f>"2170580853                    "</f>
        <v xml:space="preserve">2170580853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3.13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1</v>
      </c>
      <c r="BI2298" s="2">
        <v>3.2</v>
      </c>
      <c r="BJ2298" s="2">
        <v>3.8</v>
      </c>
      <c r="BK2298" s="2">
        <v>4</v>
      </c>
      <c r="BL2298" s="2">
        <v>32.380000000000003</v>
      </c>
      <c r="BM2298" s="2">
        <v>4.53</v>
      </c>
      <c r="BN2298" s="2">
        <v>36.909999999999997</v>
      </c>
      <c r="BO2298" s="2">
        <v>36.909999999999997</v>
      </c>
      <c r="BP2298" s="2"/>
      <c r="BQ2298" s="2" t="s">
        <v>288</v>
      </c>
      <c r="BR2298" s="2" t="s">
        <v>84</v>
      </c>
      <c r="BS2298" s="3">
        <v>42969</v>
      </c>
      <c r="BT2298" s="4">
        <v>0.41666666666666669</v>
      </c>
      <c r="BU2298" s="2" t="s">
        <v>2800</v>
      </c>
      <c r="BV2298" s="2" t="s">
        <v>95</v>
      </c>
      <c r="BW2298" s="2"/>
      <c r="BX2298" s="2"/>
      <c r="BY2298" s="2">
        <v>19159.21</v>
      </c>
      <c r="BZ2298" s="2" t="s">
        <v>27</v>
      </c>
      <c r="CA2298" s="2"/>
      <c r="CB2298" s="2"/>
      <c r="CC2298" s="2" t="s">
        <v>171</v>
      </c>
      <c r="CD2298" s="2">
        <v>1422</v>
      </c>
      <c r="CE2298" s="2" t="s">
        <v>89</v>
      </c>
      <c r="CF2298" s="5">
        <v>42970</v>
      </c>
      <c r="CG2298" s="2"/>
      <c r="CH2298" s="2"/>
      <c r="CI2298" s="2">
        <v>1</v>
      </c>
      <c r="CJ2298" s="2">
        <v>1</v>
      </c>
      <c r="CK2298" s="2">
        <v>22</v>
      </c>
      <c r="CL2298" s="2" t="s">
        <v>86</v>
      </c>
      <c r="CM2298" s="2"/>
    </row>
    <row r="2299" spans="1:91">
      <c r="A2299" s="2" t="s">
        <v>71</v>
      </c>
      <c r="B2299" s="2" t="s">
        <v>72</v>
      </c>
      <c r="C2299" s="2" t="s">
        <v>73</v>
      </c>
      <c r="D2299" s="2"/>
      <c r="E2299" s="2" t="str">
        <f>"FES1162570348"</f>
        <v>FES1162570348</v>
      </c>
      <c r="F2299" s="3">
        <v>42968</v>
      </c>
      <c r="G2299" s="2">
        <v>201802</v>
      </c>
      <c r="H2299" s="2" t="s">
        <v>74</v>
      </c>
      <c r="I2299" s="2" t="s">
        <v>75</v>
      </c>
      <c r="J2299" s="2" t="s">
        <v>76</v>
      </c>
      <c r="K2299" s="2" t="s">
        <v>77</v>
      </c>
      <c r="L2299" s="2" t="s">
        <v>144</v>
      </c>
      <c r="M2299" s="2" t="s">
        <v>145</v>
      </c>
      <c r="N2299" s="2" t="s">
        <v>1963</v>
      </c>
      <c r="O2299" s="2" t="s">
        <v>100</v>
      </c>
      <c r="P2299" s="2" t="str">
        <f>"2170586119                    "</f>
        <v xml:space="preserve">2170586119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3.5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5.8</v>
      </c>
      <c r="BJ2299" s="2">
        <v>8.9</v>
      </c>
      <c r="BK2299" s="2">
        <v>9</v>
      </c>
      <c r="BL2299" s="2">
        <v>36.26</v>
      </c>
      <c r="BM2299" s="2">
        <v>5.08</v>
      </c>
      <c r="BN2299" s="2">
        <v>41.34</v>
      </c>
      <c r="BO2299" s="2">
        <v>41.34</v>
      </c>
      <c r="BP2299" s="2"/>
      <c r="BQ2299" s="2" t="s">
        <v>108</v>
      </c>
      <c r="BR2299" s="2" t="s">
        <v>84</v>
      </c>
      <c r="BS2299" s="3">
        <v>42969</v>
      </c>
      <c r="BT2299" s="4">
        <v>0.375</v>
      </c>
      <c r="BU2299" s="2" t="s">
        <v>2801</v>
      </c>
      <c r="BV2299" s="2" t="s">
        <v>95</v>
      </c>
      <c r="BW2299" s="2"/>
      <c r="BX2299" s="2"/>
      <c r="BY2299" s="2">
        <v>44713.03</v>
      </c>
      <c r="BZ2299" s="2" t="s">
        <v>27</v>
      </c>
      <c r="CA2299" s="2" t="s">
        <v>298</v>
      </c>
      <c r="CB2299" s="2"/>
      <c r="CC2299" s="2" t="s">
        <v>145</v>
      </c>
      <c r="CD2299" s="2">
        <v>2013</v>
      </c>
      <c r="CE2299" s="2" t="s">
        <v>135</v>
      </c>
      <c r="CF2299" s="5">
        <v>42970</v>
      </c>
      <c r="CG2299" s="2"/>
      <c r="CH2299" s="2"/>
      <c r="CI2299" s="2">
        <v>1</v>
      </c>
      <c r="CJ2299" s="2">
        <v>1</v>
      </c>
      <c r="CK2299" s="2">
        <v>22</v>
      </c>
      <c r="CL2299" s="2" t="s">
        <v>86</v>
      </c>
      <c r="CM2299" s="2"/>
    </row>
    <row r="2300" spans="1:91">
      <c r="A2300" s="2" t="s">
        <v>71</v>
      </c>
      <c r="B2300" s="2" t="s">
        <v>72</v>
      </c>
      <c r="C2300" s="2" t="s">
        <v>73</v>
      </c>
      <c r="D2300" s="2"/>
      <c r="E2300" s="2" t="str">
        <f>"FES1162570329"</f>
        <v>FES1162570329</v>
      </c>
      <c r="F2300" s="3">
        <v>42968</v>
      </c>
      <c r="G2300" s="2">
        <v>201802</v>
      </c>
      <c r="H2300" s="2" t="s">
        <v>74</v>
      </c>
      <c r="I2300" s="2" t="s">
        <v>75</v>
      </c>
      <c r="J2300" s="2" t="s">
        <v>76</v>
      </c>
      <c r="K2300" s="2" t="s">
        <v>77</v>
      </c>
      <c r="L2300" s="2" t="s">
        <v>311</v>
      </c>
      <c r="M2300" s="2" t="s">
        <v>312</v>
      </c>
      <c r="N2300" s="2" t="s">
        <v>590</v>
      </c>
      <c r="O2300" s="2" t="s">
        <v>100</v>
      </c>
      <c r="P2300" s="2" t="str">
        <f>"2170583647                    "</f>
        <v xml:space="preserve">2170583647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3.88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6</v>
      </c>
      <c r="BJ2300" s="2">
        <v>9.1</v>
      </c>
      <c r="BK2300" s="2">
        <v>10</v>
      </c>
      <c r="BL2300" s="2">
        <v>40.15</v>
      </c>
      <c r="BM2300" s="2">
        <v>5.62</v>
      </c>
      <c r="BN2300" s="2">
        <v>45.77</v>
      </c>
      <c r="BO2300" s="2">
        <v>45.77</v>
      </c>
      <c r="BP2300" s="2"/>
      <c r="BQ2300" s="2" t="s">
        <v>288</v>
      </c>
      <c r="BR2300" s="2" t="s">
        <v>84</v>
      </c>
      <c r="BS2300" s="3">
        <v>42969</v>
      </c>
      <c r="BT2300" s="4">
        <v>0.40902777777777777</v>
      </c>
      <c r="BU2300" s="2" t="s">
        <v>1360</v>
      </c>
      <c r="BV2300" s="2" t="s">
        <v>95</v>
      </c>
      <c r="BW2300" s="2"/>
      <c r="BX2300" s="2"/>
      <c r="BY2300" s="2">
        <v>45434.8</v>
      </c>
      <c r="BZ2300" s="2" t="s">
        <v>27</v>
      </c>
      <c r="CA2300" s="2"/>
      <c r="CB2300" s="2"/>
      <c r="CC2300" s="2" t="s">
        <v>312</v>
      </c>
      <c r="CD2300" s="2">
        <v>1559</v>
      </c>
      <c r="CE2300" s="2" t="s">
        <v>135</v>
      </c>
      <c r="CF2300" s="5">
        <v>42970</v>
      </c>
      <c r="CG2300" s="2"/>
      <c r="CH2300" s="2"/>
      <c r="CI2300" s="2">
        <v>1</v>
      </c>
      <c r="CJ2300" s="2">
        <v>1</v>
      </c>
      <c r="CK2300" s="2">
        <v>22</v>
      </c>
      <c r="CL2300" s="2" t="s">
        <v>86</v>
      </c>
      <c r="CM2300" s="2"/>
    </row>
    <row r="2301" spans="1:91">
      <c r="A2301" s="2" t="s">
        <v>71</v>
      </c>
      <c r="B2301" s="2" t="s">
        <v>72</v>
      </c>
      <c r="C2301" s="2" t="s">
        <v>73</v>
      </c>
      <c r="D2301" s="2"/>
      <c r="E2301" s="2" t="str">
        <f>"FES1162570362"</f>
        <v>FES1162570362</v>
      </c>
      <c r="F2301" s="3">
        <v>42968</v>
      </c>
      <c r="G2301" s="2">
        <v>201802</v>
      </c>
      <c r="H2301" s="2" t="s">
        <v>74</v>
      </c>
      <c r="I2301" s="2" t="s">
        <v>75</v>
      </c>
      <c r="J2301" s="2" t="s">
        <v>76</v>
      </c>
      <c r="K2301" s="2" t="s">
        <v>77</v>
      </c>
      <c r="L2301" s="2" t="s">
        <v>539</v>
      </c>
      <c r="M2301" s="2" t="s">
        <v>540</v>
      </c>
      <c r="N2301" s="2" t="s">
        <v>602</v>
      </c>
      <c r="O2301" s="2" t="s">
        <v>100</v>
      </c>
      <c r="P2301" s="2" t="str">
        <f>"2170582132                    "</f>
        <v xml:space="preserve">2170582132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3.13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2.9</v>
      </c>
      <c r="BJ2301" s="2">
        <v>3.7</v>
      </c>
      <c r="BK2301" s="2">
        <v>4</v>
      </c>
      <c r="BL2301" s="2">
        <v>32.380000000000003</v>
      </c>
      <c r="BM2301" s="2">
        <v>4.53</v>
      </c>
      <c r="BN2301" s="2">
        <v>36.909999999999997</v>
      </c>
      <c r="BO2301" s="2">
        <v>36.909999999999997</v>
      </c>
      <c r="BP2301" s="2"/>
      <c r="BQ2301" s="2" t="s">
        <v>83</v>
      </c>
      <c r="BR2301" s="2" t="s">
        <v>84</v>
      </c>
      <c r="BS2301" s="3">
        <v>42969</v>
      </c>
      <c r="BT2301" s="4">
        <v>0.40277777777777773</v>
      </c>
      <c r="BU2301" s="2" t="s">
        <v>2802</v>
      </c>
      <c r="BV2301" s="2" t="s">
        <v>95</v>
      </c>
      <c r="BW2301" s="2"/>
      <c r="BX2301" s="2"/>
      <c r="BY2301" s="2">
        <v>18664.32</v>
      </c>
      <c r="BZ2301" s="2" t="s">
        <v>27</v>
      </c>
      <c r="CA2301" s="2" t="s">
        <v>722</v>
      </c>
      <c r="CB2301" s="2"/>
      <c r="CC2301" s="2" t="s">
        <v>540</v>
      </c>
      <c r="CD2301" s="2">
        <v>2162</v>
      </c>
      <c r="CE2301" s="2" t="s">
        <v>135</v>
      </c>
      <c r="CF2301" s="5">
        <v>42970</v>
      </c>
      <c r="CG2301" s="2"/>
      <c r="CH2301" s="2"/>
      <c r="CI2301" s="2">
        <v>1</v>
      </c>
      <c r="CJ2301" s="2">
        <v>1</v>
      </c>
      <c r="CK2301" s="2">
        <v>22</v>
      </c>
      <c r="CL2301" s="2" t="s">
        <v>86</v>
      </c>
      <c r="CM2301" s="2"/>
    </row>
    <row r="2302" spans="1:91">
      <c r="A2302" s="2" t="s">
        <v>71</v>
      </c>
      <c r="B2302" s="2" t="s">
        <v>72</v>
      </c>
      <c r="C2302" s="2" t="s">
        <v>73</v>
      </c>
      <c r="D2302" s="2"/>
      <c r="E2302" s="2" t="str">
        <f>"FES1162570356"</f>
        <v>FES1162570356</v>
      </c>
      <c r="F2302" s="3">
        <v>42968</v>
      </c>
      <c r="G2302" s="2">
        <v>201802</v>
      </c>
      <c r="H2302" s="2" t="s">
        <v>74</v>
      </c>
      <c r="I2302" s="2" t="s">
        <v>75</v>
      </c>
      <c r="J2302" s="2" t="s">
        <v>76</v>
      </c>
      <c r="K2302" s="2" t="s">
        <v>77</v>
      </c>
      <c r="L2302" s="2" t="s">
        <v>144</v>
      </c>
      <c r="M2302" s="2" t="s">
        <v>145</v>
      </c>
      <c r="N2302" s="2" t="s">
        <v>2256</v>
      </c>
      <c r="O2302" s="2" t="s">
        <v>100</v>
      </c>
      <c r="P2302" s="2" t="str">
        <f>"2170575831                    "</f>
        <v xml:space="preserve">2170575831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3.13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4.2</v>
      </c>
      <c r="BJ2302" s="2">
        <v>3.4</v>
      </c>
      <c r="BK2302" s="2">
        <v>5</v>
      </c>
      <c r="BL2302" s="2">
        <v>32.380000000000003</v>
      </c>
      <c r="BM2302" s="2">
        <v>4.53</v>
      </c>
      <c r="BN2302" s="2">
        <v>36.909999999999997</v>
      </c>
      <c r="BO2302" s="2">
        <v>36.909999999999997</v>
      </c>
      <c r="BP2302" s="2"/>
      <c r="BQ2302" s="2" t="s">
        <v>288</v>
      </c>
      <c r="BR2302" s="2" t="s">
        <v>84</v>
      </c>
      <c r="BS2302" s="3">
        <v>42971</v>
      </c>
      <c r="BT2302" s="4">
        <v>0.3979166666666667</v>
      </c>
      <c r="BU2302" s="2" t="s">
        <v>2803</v>
      </c>
      <c r="BV2302" s="2" t="s">
        <v>86</v>
      </c>
      <c r="BW2302" s="2" t="s">
        <v>124</v>
      </c>
      <c r="BX2302" s="2" t="s">
        <v>1024</v>
      </c>
      <c r="BY2302" s="2">
        <v>16758.240000000002</v>
      </c>
      <c r="BZ2302" s="2" t="s">
        <v>27</v>
      </c>
      <c r="CA2302" s="2"/>
      <c r="CB2302" s="2"/>
      <c r="CC2302" s="2" t="s">
        <v>145</v>
      </c>
      <c r="CD2302" s="2">
        <v>1725</v>
      </c>
      <c r="CE2302" s="2" t="s">
        <v>89</v>
      </c>
      <c r="CF2302" s="5">
        <v>42972</v>
      </c>
      <c r="CG2302" s="2"/>
      <c r="CH2302" s="2"/>
      <c r="CI2302" s="2">
        <v>1</v>
      </c>
      <c r="CJ2302" s="2">
        <v>3</v>
      </c>
      <c r="CK2302" s="2">
        <v>22</v>
      </c>
      <c r="CL2302" s="2" t="s">
        <v>86</v>
      </c>
      <c r="CM2302" s="2"/>
    </row>
    <row r="2303" spans="1:91">
      <c r="A2303" s="2" t="s">
        <v>71</v>
      </c>
      <c r="B2303" s="2" t="s">
        <v>72</v>
      </c>
      <c r="C2303" s="2" t="s">
        <v>73</v>
      </c>
      <c r="D2303" s="2"/>
      <c r="E2303" s="2" t="str">
        <f>"FES1162570372"</f>
        <v>FES1162570372</v>
      </c>
      <c r="F2303" s="3">
        <v>42968</v>
      </c>
      <c r="G2303" s="2">
        <v>201802</v>
      </c>
      <c r="H2303" s="2" t="s">
        <v>74</v>
      </c>
      <c r="I2303" s="2" t="s">
        <v>75</v>
      </c>
      <c r="J2303" s="2" t="s">
        <v>76</v>
      </c>
      <c r="K2303" s="2" t="s">
        <v>77</v>
      </c>
      <c r="L2303" s="2" t="s">
        <v>2804</v>
      </c>
      <c r="M2303" s="2" t="s">
        <v>2805</v>
      </c>
      <c r="N2303" s="2" t="s">
        <v>2806</v>
      </c>
      <c r="O2303" s="2" t="s">
        <v>100</v>
      </c>
      <c r="P2303" s="2" t="str">
        <f>"2170586156                    "</f>
        <v xml:space="preserve">2170586156  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7.75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1</v>
      </c>
      <c r="BI2303" s="2">
        <v>1</v>
      </c>
      <c r="BJ2303" s="2">
        <v>0.2</v>
      </c>
      <c r="BK2303" s="2">
        <v>1</v>
      </c>
      <c r="BL2303" s="2">
        <v>80.290000000000006</v>
      </c>
      <c r="BM2303" s="2">
        <v>11.24</v>
      </c>
      <c r="BN2303" s="2">
        <v>91.53</v>
      </c>
      <c r="BO2303" s="2">
        <v>91.53</v>
      </c>
      <c r="BP2303" s="2"/>
      <c r="BQ2303" s="2" t="s">
        <v>83</v>
      </c>
      <c r="BR2303" s="2" t="s">
        <v>84</v>
      </c>
      <c r="BS2303" s="3">
        <v>42969</v>
      </c>
      <c r="BT2303" s="4">
        <v>0.39583333333333331</v>
      </c>
      <c r="BU2303" s="2" t="s">
        <v>2623</v>
      </c>
      <c r="BV2303" s="2" t="s">
        <v>95</v>
      </c>
      <c r="BW2303" s="2"/>
      <c r="BX2303" s="2"/>
      <c r="BY2303" s="2">
        <v>1200</v>
      </c>
      <c r="BZ2303" s="2" t="s">
        <v>27</v>
      </c>
      <c r="CA2303" s="2"/>
      <c r="CB2303" s="2"/>
      <c r="CC2303" s="2" t="s">
        <v>2805</v>
      </c>
      <c r="CD2303" s="2">
        <v>9830</v>
      </c>
      <c r="CE2303" s="2" t="s">
        <v>104</v>
      </c>
      <c r="CF2303" s="5">
        <v>42971</v>
      </c>
      <c r="CG2303" s="2"/>
      <c r="CH2303" s="2"/>
      <c r="CI2303" s="2">
        <v>1</v>
      </c>
      <c r="CJ2303" s="2">
        <v>1</v>
      </c>
      <c r="CK2303" s="2">
        <v>23</v>
      </c>
      <c r="CL2303" s="2" t="s">
        <v>86</v>
      </c>
      <c r="CM2303" s="2"/>
    </row>
    <row r="2304" spans="1:91">
      <c r="A2304" s="2" t="s">
        <v>71</v>
      </c>
      <c r="B2304" s="2" t="s">
        <v>72</v>
      </c>
      <c r="C2304" s="2" t="s">
        <v>73</v>
      </c>
      <c r="D2304" s="2"/>
      <c r="E2304" s="2" t="str">
        <f>"FES1162570331"</f>
        <v>FES1162570331</v>
      </c>
      <c r="F2304" s="3">
        <v>42968</v>
      </c>
      <c r="G2304" s="2">
        <v>201802</v>
      </c>
      <c r="H2304" s="2" t="s">
        <v>74</v>
      </c>
      <c r="I2304" s="2" t="s">
        <v>75</v>
      </c>
      <c r="J2304" s="2" t="s">
        <v>76</v>
      </c>
      <c r="K2304" s="2" t="s">
        <v>77</v>
      </c>
      <c r="L2304" s="2" t="s">
        <v>417</v>
      </c>
      <c r="M2304" s="2" t="s">
        <v>417</v>
      </c>
      <c r="N2304" s="2" t="s">
        <v>458</v>
      </c>
      <c r="O2304" s="2" t="s">
        <v>100</v>
      </c>
      <c r="P2304" s="2" t="str">
        <f>"2170586096                    "</f>
        <v xml:space="preserve">2170586096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4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1</v>
      </c>
      <c r="BI2304" s="2">
        <v>1</v>
      </c>
      <c r="BJ2304" s="2">
        <v>0.2</v>
      </c>
      <c r="BK2304" s="2">
        <v>1</v>
      </c>
      <c r="BL2304" s="2">
        <v>41.44</v>
      </c>
      <c r="BM2304" s="2">
        <v>5.8</v>
      </c>
      <c r="BN2304" s="2">
        <v>47.24</v>
      </c>
      <c r="BO2304" s="2">
        <v>47.24</v>
      </c>
      <c r="BP2304" s="2"/>
      <c r="BQ2304" s="2" t="s">
        <v>83</v>
      </c>
      <c r="BR2304" s="2" t="s">
        <v>84</v>
      </c>
      <c r="BS2304" s="3">
        <v>42969</v>
      </c>
      <c r="BT2304" s="4">
        <v>0.47083333333333338</v>
      </c>
      <c r="BU2304" s="2" t="s">
        <v>2254</v>
      </c>
      <c r="BV2304" s="2" t="s">
        <v>95</v>
      </c>
      <c r="BW2304" s="2"/>
      <c r="BX2304" s="2"/>
      <c r="BY2304" s="2">
        <v>1200</v>
      </c>
      <c r="BZ2304" s="2" t="s">
        <v>27</v>
      </c>
      <c r="CA2304" s="2" t="s">
        <v>460</v>
      </c>
      <c r="CB2304" s="2"/>
      <c r="CC2304" s="2" t="s">
        <v>417</v>
      </c>
      <c r="CD2304" s="2">
        <v>7646</v>
      </c>
      <c r="CE2304" s="2" t="s">
        <v>104</v>
      </c>
      <c r="CF2304" s="5">
        <v>42970</v>
      </c>
      <c r="CG2304" s="2"/>
      <c r="CH2304" s="2"/>
      <c r="CI2304" s="2">
        <v>1</v>
      </c>
      <c r="CJ2304" s="2">
        <v>1</v>
      </c>
      <c r="CK2304" s="2">
        <v>21</v>
      </c>
      <c r="CL2304" s="2" t="s">
        <v>86</v>
      </c>
      <c r="CM2304" s="2"/>
    </row>
    <row r="2305" spans="1:91">
      <c r="A2305" s="2" t="s">
        <v>71</v>
      </c>
      <c r="B2305" s="2" t="s">
        <v>72</v>
      </c>
      <c r="C2305" s="2" t="s">
        <v>73</v>
      </c>
      <c r="D2305" s="2"/>
      <c r="E2305" s="2" t="str">
        <f>"FES1162570366"</f>
        <v>FES1162570366</v>
      </c>
      <c r="F2305" s="3">
        <v>42968</v>
      </c>
      <c r="G2305" s="2">
        <v>201802</v>
      </c>
      <c r="H2305" s="2" t="s">
        <v>74</v>
      </c>
      <c r="I2305" s="2" t="s">
        <v>75</v>
      </c>
      <c r="J2305" s="2" t="s">
        <v>76</v>
      </c>
      <c r="K2305" s="2" t="s">
        <v>77</v>
      </c>
      <c r="L2305" s="2" t="s">
        <v>144</v>
      </c>
      <c r="M2305" s="2" t="s">
        <v>145</v>
      </c>
      <c r="N2305" s="2" t="s">
        <v>585</v>
      </c>
      <c r="O2305" s="2" t="s">
        <v>100</v>
      </c>
      <c r="P2305" s="2" t="str">
        <f>"2170586152                    "</f>
        <v xml:space="preserve">2170586152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3.5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8.4</v>
      </c>
      <c r="BJ2305" s="2">
        <v>3.3</v>
      </c>
      <c r="BK2305" s="2">
        <v>9</v>
      </c>
      <c r="BL2305" s="2">
        <v>36.26</v>
      </c>
      <c r="BM2305" s="2">
        <v>5.08</v>
      </c>
      <c r="BN2305" s="2">
        <v>41.34</v>
      </c>
      <c r="BO2305" s="2">
        <v>41.34</v>
      </c>
      <c r="BP2305" s="2"/>
      <c r="BQ2305" s="2" t="s">
        <v>227</v>
      </c>
      <c r="BR2305" s="2" t="s">
        <v>84</v>
      </c>
      <c r="BS2305" s="3">
        <v>42969</v>
      </c>
      <c r="BT2305" s="4">
        <v>0.36319444444444443</v>
      </c>
      <c r="BU2305" s="2" t="s">
        <v>2807</v>
      </c>
      <c r="BV2305" s="2" t="s">
        <v>95</v>
      </c>
      <c r="BW2305" s="2"/>
      <c r="BX2305" s="2"/>
      <c r="BY2305" s="2">
        <v>16533.34</v>
      </c>
      <c r="BZ2305" s="2" t="s">
        <v>27</v>
      </c>
      <c r="CA2305" s="2" t="s">
        <v>298</v>
      </c>
      <c r="CB2305" s="2"/>
      <c r="CC2305" s="2" t="s">
        <v>145</v>
      </c>
      <c r="CD2305" s="2">
        <v>2013</v>
      </c>
      <c r="CE2305" s="2" t="s">
        <v>89</v>
      </c>
      <c r="CF2305" s="5">
        <v>42970</v>
      </c>
      <c r="CG2305" s="2"/>
      <c r="CH2305" s="2"/>
      <c r="CI2305" s="2">
        <v>1</v>
      </c>
      <c r="CJ2305" s="2">
        <v>1</v>
      </c>
      <c r="CK2305" s="2">
        <v>22</v>
      </c>
      <c r="CL2305" s="2" t="s">
        <v>86</v>
      </c>
      <c r="CM2305" s="2"/>
    </row>
    <row r="2306" spans="1:91">
      <c r="A2306" s="2" t="s">
        <v>71</v>
      </c>
      <c r="B2306" s="2" t="s">
        <v>72</v>
      </c>
      <c r="C2306" s="2" t="s">
        <v>73</v>
      </c>
      <c r="D2306" s="2"/>
      <c r="E2306" s="2" t="str">
        <f>"FES1162570364"</f>
        <v>FES1162570364</v>
      </c>
      <c r="F2306" s="3">
        <v>42968</v>
      </c>
      <c r="G2306" s="2">
        <v>201802</v>
      </c>
      <c r="H2306" s="2" t="s">
        <v>74</v>
      </c>
      <c r="I2306" s="2" t="s">
        <v>75</v>
      </c>
      <c r="J2306" s="2" t="s">
        <v>76</v>
      </c>
      <c r="K2306" s="2" t="s">
        <v>77</v>
      </c>
      <c r="L2306" s="2" t="s">
        <v>237</v>
      </c>
      <c r="M2306" s="2" t="s">
        <v>238</v>
      </c>
      <c r="N2306" s="2" t="s">
        <v>239</v>
      </c>
      <c r="O2306" s="2" t="s">
        <v>100</v>
      </c>
      <c r="P2306" s="2" t="str">
        <f>"2170586145                    "</f>
        <v xml:space="preserve">2170586145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28.02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13.6</v>
      </c>
      <c r="BJ2306" s="2">
        <v>7</v>
      </c>
      <c r="BK2306" s="2">
        <v>14</v>
      </c>
      <c r="BL2306" s="2">
        <v>290.10000000000002</v>
      </c>
      <c r="BM2306" s="2">
        <v>40.61</v>
      </c>
      <c r="BN2306" s="2">
        <v>330.71</v>
      </c>
      <c r="BO2306" s="2">
        <v>330.71</v>
      </c>
      <c r="BP2306" s="2"/>
      <c r="BQ2306" s="2" t="s">
        <v>83</v>
      </c>
      <c r="BR2306" s="2" t="s">
        <v>84</v>
      </c>
      <c r="BS2306" s="3">
        <v>42969</v>
      </c>
      <c r="BT2306" s="4">
        <v>0.4375</v>
      </c>
      <c r="BU2306" s="2" t="s">
        <v>825</v>
      </c>
      <c r="BV2306" s="2" t="s">
        <v>95</v>
      </c>
      <c r="BW2306" s="2"/>
      <c r="BX2306" s="2"/>
      <c r="BY2306" s="2">
        <v>35100.730000000003</v>
      </c>
      <c r="BZ2306" s="2" t="s">
        <v>27</v>
      </c>
      <c r="CA2306" s="2" t="s">
        <v>672</v>
      </c>
      <c r="CB2306" s="2"/>
      <c r="CC2306" s="2" t="s">
        <v>238</v>
      </c>
      <c r="CD2306" s="2">
        <v>3610</v>
      </c>
      <c r="CE2306" s="2" t="s">
        <v>89</v>
      </c>
      <c r="CF2306" s="5">
        <v>42970</v>
      </c>
      <c r="CG2306" s="2"/>
      <c r="CH2306" s="2"/>
      <c r="CI2306" s="2">
        <v>1</v>
      </c>
      <c r="CJ2306" s="2">
        <v>1</v>
      </c>
      <c r="CK2306" s="2">
        <v>21</v>
      </c>
      <c r="CL2306" s="2" t="s">
        <v>86</v>
      </c>
      <c r="CM2306" s="2"/>
    </row>
    <row r="2307" spans="1:91">
      <c r="A2307" s="2" t="s">
        <v>71</v>
      </c>
      <c r="B2307" s="2" t="s">
        <v>72</v>
      </c>
      <c r="C2307" s="2" t="s">
        <v>73</v>
      </c>
      <c r="D2307" s="2"/>
      <c r="E2307" s="2" t="str">
        <f>"FES1162570342"</f>
        <v>FES1162570342</v>
      </c>
      <c r="F2307" s="3">
        <v>42968</v>
      </c>
      <c r="G2307" s="2">
        <v>201802</v>
      </c>
      <c r="H2307" s="2" t="s">
        <v>74</v>
      </c>
      <c r="I2307" s="2" t="s">
        <v>75</v>
      </c>
      <c r="J2307" s="2" t="s">
        <v>76</v>
      </c>
      <c r="K2307" s="2" t="s">
        <v>77</v>
      </c>
      <c r="L2307" s="2" t="s">
        <v>216</v>
      </c>
      <c r="M2307" s="2" t="s">
        <v>217</v>
      </c>
      <c r="N2307" s="2" t="s">
        <v>374</v>
      </c>
      <c r="O2307" s="2" t="s">
        <v>100</v>
      </c>
      <c r="P2307" s="2" t="str">
        <f>"2170586113                    "</f>
        <v xml:space="preserve">2170586113  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3.13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1</v>
      </c>
      <c r="BJ2307" s="2">
        <v>0.2</v>
      </c>
      <c r="BK2307" s="2">
        <v>1</v>
      </c>
      <c r="BL2307" s="2">
        <v>32.380000000000003</v>
      </c>
      <c r="BM2307" s="2">
        <v>4.53</v>
      </c>
      <c r="BN2307" s="2">
        <v>36.909999999999997</v>
      </c>
      <c r="BO2307" s="2">
        <v>36.909999999999997</v>
      </c>
      <c r="BP2307" s="2"/>
      <c r="BQ2307" s="2" t="s">
        <v>83</v>
      </c>
      <c r="BR2307" s="2" t="s">
        <v>84</v>
      </c>
      <c r="BS2307" s="3">
        <v>42969</v>
      </c>
      <c r="BT2307" s="4">
        <v>0.42708333333333331</v>
      </c>
      <c r="BU2307" s="2" t="s">
        <v>1449</v>
      </c>
      <c r="BV2307" s="2" t="s">
        <v>95</v>
      </c>
      <c r="BW2307" s="2"/>
      <c r="BX2307" s="2"/>
      <c r="BY2307" s="2">
        <v>1200</v>
      </c>
      <c r="BZ2307" s="2" t="s">
        <v>27</v>
      </c>
      <c r="CA2307" s="2" t="s">
        <v>220</v>
      </c>
      <c r="CB2307" s="2"/>
      <c r="CC2307" s="2" t="s">
        <v>217</v>
      </c>
      <c r="CD2307" s="2">
        <v>1451</v>
      </c>
      <c r="CE2307" s="2" t="s">
        <v>104</v>
      </c>
      <c r="CF2307" s="5">
        <v>42970</v>
      </c>
      <c r="CG2307" s="2"/>
      <c r="CH2307" s="2"/>
      <c r="CI2307" s="2">
        <v>1</v>
      </c>
      <c r="CJ2307" s="2">
        <v>1</v>
      </c>
      <c r="CK2307" s="2">
        <v>22</v>
      </c>
      <c r="CL2307" s="2" t="s">
        <v>86</v>
      </c>
      <c r="CM2307" s="2"/>
    </row>
    <row r="2308" spans="1:91">
      <c r="A2308" s="2" t="s">
        <v>71</v>
      </c>
      <c r="B2308" s="2" t="s">
        <v>72</v>
      </c>
      <c r="C2308" s="2" t="s">
        <v>73</v>
      </c>
      <c r="D2308" s="2"/>
      <c r="E2308" s="2" t="str">
        <f>"FES1162570351"</f>
        <v>FES1162570351</v>
      </c>
      <c r="F2308" s="3">
        <v>42968</v>
      </c>
      <c r="G2308" s="2">
        <v>201802</v>
      </c>
      <c r="H2308" s="2" t="s">
        <v>74</v>
      </c>
      <c r="I2308" s="2" t="s">
        <v>75</v>
      </c>
      <c r="J2308" s="2" t="s">
        <v>76</v>
      </c>
      <c r="K2308" s="2" t="s">
        <v>77</v>
      </c>
      <c r="L2308" s="2" t="s">
        <v>539</v>
      </c>
      <c r="M2308" s="2" t="s">
        <v>540</v>
      </c>
      <c r="N2308" s="2" t="s">
        <v>1753</v>
      </c>
      <c r="O2308" s="2" t="s">
        <v>100</v>
      </c>
      <c r="P2308" s="2" t="str">
        <f>"2170586125                    "</f>
        <v xml:space="preserve">2170586125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3.13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1</v>
      </c>
      <c r="BJ2308" s="2">
        <v>0.2</v>
      </c>
      <c r="BK2308" s="2">
        <v>1</v>
      </c>
      <c r="BL2308" s="2">
        <v>32.380000000000003</v>
      </c>
      <c r="BM2308" s="2">
        <v>4.53</v>
      </c>
      <c r="BN2308" s="2">
        <v>36.909999999999997</v>
      </c>
      <c r="BO2308" s="2">
        <v>36.909999999999997</v>
      </c>
      <c r="BP2308" s="2"/>
      <c r="BQ2308" s="2" t="s">
        <v>83</v>
      </c>
      <c r="BR2308" s="2" t="s">
        <v>84</v>
      </c>
      <c r="BS2308" s="3">
        <v>42969</v>
      </c>
      <c r="BT2308" s="4">
        <v>0.43402777777777773</v>
      </c>
      <c r="BU2308" s="2" t="s">
        <v>1754</v>
      </c>
      <c r="BV2308" s="2" t="s">
        <v>95</v>
      </c>
      <c r="BW2308" s="2"/>
      <c r="BX2308" s="2"/>
      <c r="BY2308" s="2">
        <v>1200</v>
      </c>
      <c r="BZ2308" s="2" t="s">
        <v>27</v>
      </c>
      <c r="CA2308" s="2" t="s">
        <v>722</v>
      </c>
      <c r="CB2308" s="2"/>
      <c r="CC2308" s="2" t="s">
        <v>540</v>
      </c>
      <c r="CD2308" s="2">
        <v>2163</v>
      </c>
      <c r="CE2308" s="2" t="s">
        <v>104</v>
      </c>
      <c r="CF2308" s="5">
        <v>42970</v>
      </c>
      <c r="CG2308" s="2"/>
      <c r="CH2308" s="2"/>
      <c r="CI2308" s="2">
        <v>1</v>
      </c>
      <c r="CJ2308" s="2">
        <v>1</v>
      </c>
      <c r="CK2308" s="2">
        <v>22</v>
      </c>
      <c r="CL2308" s="2" t="s">
        <v>86</v>
      </c>
      <c r="CM2308" s="2"/>
    </row>
    <row r="2309" spans="1:91">
      <c r="A2309" s="2" t="s">
        <v>71</v>
      </c>
      <c r="B2309" s="2" t="s">
        <v>72</v>
      </c>
      <c r="C2309" s="2" t="s">
        <v>73</v>
      </c>
      <c r="D2309" s="2"/>
      <c r="E2309" s="2" t="str">
        <f>"FES1162569676"</f>
        <v>FES1162569676</v>
      </c>
      <c r="F2309" s="3">
        <v>42968</v>
      </c>
      <c r="G2309" s="2">
        <v>201802</v>
      </c>
      <c r="H2309" s="2" t="s">
        <v>74</v>
      </c>
      <c r="I2309" s="2" t="s">
        <v>75</v>
      </c>
      <c r="J2309" s="2" t="s">
        <v>76</v>
      </c>
      <c r="K2309" s="2" t="s">
        <v>77</v>
      </c>
      <c r="L2309" s="2" t="s">
        <v>149</v>
      </c>
      <c r="M2309" s="2" t="s">
        <v>150</v>
      </c>
      <c r="N2309" s="2" t="s">
        <v>1947</v>
      </c>
      <c r="O2309" s="2" t="s">
        <v>100</v>
      </c>
      <c r="P2309" s="2" t="str">
        <f>"2170582035                    "</f>
        <v xml:space="preserve">2170582035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4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1</v>
      </c>
      <c r="BI2309" s="2">
        <v>0.5</v>
      </c>
      <c r="BJ2309" s="2">
        <v>0.2</v>
      </c>
      <c r="BK2309" s="2">
        <v>0.5</v>
      </c>
      <c r="BL2309" s="2">
        <v>41.44</v>
      </c>
      <c r="BM2309" s="2">
        <v>5.8</v>
      </c>
      <c r="BN2309" s="2">
        <v>47.24</v>
      </c>
      <c r="BO2309" s="2">
        <v>47.24</v>
      </c>
      <c r="BP2309" s="2"/>
      <c r="BQ2309" s="2" t="s">
        <v>288</v>
      </c>
      <c r="BR2309" s="2" t="s">
        <v>84</v>
      </c>
      <c r="BS2309" s="3">
        <v>42969</v>
      </c>
      <c r="BT2309" s="4">
        <v>0.36388888888888887</v>
      </c>
      <c r="BU2309" s="2" t="s">
        <v>1948</v>
      </c>
      <c r="BV2309" s="2" t="s">
        <v>95</v>
      </c>
      <c r="BW2309" s="2"/>
      <c r="BX2309" s="2"/>
      <c r="BY2309" s="2">
        <v>1200</v>
      </c>
      <c r="BZ2309" s="2"/>
      <c r="CA2309" s="2" t="s">
        <v>1949</v>
      </c>
      <c r="CB2309" s="2"/>
      <c r="CC2309" s="2" t="s">
        <v>150</v>
      </c>
      <c r="CD2309" s="2">
        <v>4064</v>
      </c>
      <c r="CE2309" s="2" t="s">
        <v>104</v>
      </c>
      <c r="CF2309" s="5">
        <v>42970</v>
      </c>
      <c r="CG2309" s="2"/>
      <c r="CH2309" s="2"/>
      <c r="CI2309" s="2">
        <v>1</v>
      </c>
      <c r="CJ2309" s="2">
        <v>1</v>
      </c>
      <c r="CK2309" s="2">
        <v>21</v>
      </c>
      <c r="CL2309" s="2" t="s">
        <v>86</v>
      </c>
      <c r="CM2309" s="2"/>
    </row>
    <row r="2310" spans="1:91">
      <c r="A2310" s="2" t="s">
        <v>71</v>
      </c>
      <c r="B2310" s="2" t="s">
        <v>72</v>
      </c>
      <c r="C2310" s="2" t="s">
        <v>73</v>
      </c>
      <c r="D2310" s="2"/>
      <c r="E2310" s="2" t="str">
        <f>"FES1162570388"</f>
        <v>FES1162570388</v>
      </c>
      <c r="F2310" s="3">
        <v>42968</v>
      </c>
      <c r="G2310" s="2">
        <v>201802</v>
      </c>
      <c r="H2310" s="2" t="s">
        <v>74</v>
      </c>
      <c r="I2310" s="2" t="s">
        <v>75</v>
      </c>
      <c r="J2310" s="2" t="s">
        <v>76</v>
      </c>
      <c r="K2310" s="2" t="s">
        <v>77</v>
      </c>
      <c r="L2310" s="2" t="s">
        <v>321</v>
      </c>
      <c r="M2310" s="2" t="s">
        <v>322</v>
      </c>
      <c r="N2310" s="2" t="s">
        <v>323</v>
      </c>
      <c r="O2310" s="2" t="s">
        <v>100</v>
      </c>
      <c r="P2310" s="2" t="str">
        <f>"2170586179                    "</f>
        <v xml:space="preserve">2170586179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9.01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1.7</v>
      </c>
      <c r="BJ2310" s="2">
        <v>4.5</v>
      </c>
      <c r="BK2310" s="2">
        <v>4.5</v>
      </c>
      <c r="BL2310" s="2">
        <v>93.25</v>
      </c>
      <c r="BM2310" s="2">
        <v>13.06</v>
      </c>
      <c r="BN2310" s="2">
        <v>106.31</v>
      </c>
      <c r="BO2310" s="2">
        <v>106.31</v>
      </c>
      <c r="BP2310" s="2"/>
      <c r="BQ2310" s="2" t="s">
        <v>83</v>
      </c>
      <c r="BR2310" s="2" t="s">
        <v>84</v>
      </c>
      <c r="BS2310" s="3">
        <v>42969</v>
      </c>
      <c r="BT2310" s="4">
        <v>0.39027777777777778</v>
      </c>
      <c r="BU2310" s="2" t="s">
        <v>324</v>
      </c>
      <c r="BV2310" s="2" t="s">
        <v>95</v>
      </c>
      <c r="BW2310" s="2"/>
      <c r="BX2310" s="2"/>
      <c r="BY2310" s="2">
        <v>22666.29</v>
      </c>
      <c r="BZ2310" s="2"/>
      <c r="CA2310" s="2" t="s">
        <v>103</v>
      </c>
      <c r="CB2310" s="2"/>
      <c r="CC2310" s="2" t="s">
        <v>322</v>
      </c>
      <c r="CD2310" s="2">
        <v>6220</v>
      </c>
      <c r="CE2310" s="2" t="s">
        <v>104</v>
      </c>
      <c r="CF2310" s="5">
        <v>42970</v>
      </c>
      <c r="CG2310" s="2"/>
      <c r="CH2310" s="2"/>
      <c r="CI2310" s="2">
        <v>1</v>
      </c>
      <c r="CJ2310" s="2">
        <v>1</v>
      </c>
      <c r="CK2310" s="2">
        <v>21</v>
      </c>
      <c r="CL2310" s="2" t="s">
        <v>86</v>
      </c>
      <c r="CM2310" s="2"/>
    </row>
    <row r="2311" spans="1:91">
      <c r="A2311" s="2" t="s">
        <v>71</v>
      </c>
      <c r="B2311" s="2" t="s">
        <v>72</v>
      </c>
      <c r="C2311" s="2" t="s">
        <v>73</v>
      </c>
      <c r="D2311" s="2"/>
      <c r="E2311" s="2" t="str">
        <f>"FES1162570385"</f>
        <v>FES1162570385</v>
      </c>
      <c r="F2311" s="3">
        <v>42968</v>
      </c>
      <c r="G2311" s="2">
        <v>201802</v>
      </c>
      <c r="H2311" s="2" t="s">
        <v>74</v>
      </c>
      <c r="I2311" s="2" t="s">
        <v>75</v>
      </c>
      <c r="J2311" s="2" t="s">
        <v>76</v>
      </c>
      <c r="K2311" s="2" t="s">
        <v>77</v>
      </c>
      <c r="L2311" s="2" t="s">
        <v>97</v>
      </c>
      <c r="M2311" s="2" t="s">
        <v>98</v>
      </c>
      <c r="N2311" s="2" t="s">
        <v>214</v>
      </c>
      <c r="O2311" s="2" t="s">
        <v>100</v>
      </c>
      <c r="P2311" s="2" t="str">
        <f>"2170585916                    "</f>
        <v xml:space="preserve">2170585916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7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1.1000000000000001</v>
      </c>
      <c r="BJ2311" s="2">
        <v>3.3</v>
      </c>
      <c r="BK2311" s="2">
        <v>3.5</v>
      </c>
      <c r="BL2311" s="2">
        <v>72.52</v>
      </c>
      <c r="BM2311" s="2">
        <v>10.15</v>
      </c>
      <c r="BN2311" s="2">
        <v>82.67</v>
      </c>
      <c r="BO2311" s="2">
        <v>82.67</v>
      </c>
      <c r="BP2311" s="2"/>
      <c r="BQ2311" s="2" t="s">
        <v>108</v>
      </c>
      <c r="BR2311" s="2" t="s">
        <v>84</v>
      </c>
      <c r="BS2311" s="3">
        <v>42969</v>
      </c>
      <c r="BT2311" s="4">
        <v>0.3215277777777778</v>
      </c>
      <c r="BU2311" s="2" t="s">
        <v>1131</v>
      </c>
      <c r="BV2311" s="2" t="s">
        <v>95</v>
      </c>
      <c r="BW2311" s="2"/>
      <c r="BX2311" s="2"/>
      <c r="BY2311" s="2">
        <v>16630.55</v>
      </c>
      <c r="BZ2311" s="2"/>
      <c r="CA2311" s="2" t="s">
        <v>213</v>
      </c>
      <c r="CB2311" s="2"/>
      <c r="CC2311" s="2" t="s">
        <v>98</v>
      </c>
      <c r="CD2311" s="2">
        <v>6001</v>
      </c>
      <c r="CE2311" s="2" t="s">
        <v>104</v>
      </c>
      <c r="CF2311" s="5">
        <v>42970</v>
      </c>
      <c r="CG2311" s="2"/>
      <c r="CH2311" s="2"/>
      <c r="CI2311" s="2">
        <v>1</v>
      </c>
      <c r="CJ2311" s="2">
        <v>1</v>
      </c>
      <c r="CK2311" s="2">
        <v>21</v>
      </c>
      <c r="CL2311" s="2" t="s">
        <v>86</v>
      </c>
      <c r="CM2311" s="2"/>
    </row>
    <row r="2312" spans="1:91">
      <c r="A2312" s="2" t="s">
        <v>71</v>
      </c>
      <c r="B2312" s="2" t="s">
        <v>72</v>
      </c>
      <c r="C2312" s="2" t="s">
        <v>73</v>
      </c>
      <c r="D2312" s="2"/>
      <c r="E2312" s="2" t="str">
        <f>"FES1162570369"</f>
        <v>FES1162570369</v>
      </c>
      <c r="F2312" s="3">
        <v>42968</v>
      </c>
      <c r="G2312" s="2">
        <v>201802</v>
      </c>
      <c r="H2312" s="2" t="s">
        <v>74</v>
      </c>
      <c r="I2312" s="2" t="s">
        <v>75</v>
      </c>
      <c r="J2312" s="2" t="s">
        <v>76</v>
      </c>
      <c r="K2312" s="2" t="s">
        <v>77</v>
      </c>
      <c r="L2312" s="2" t="s">
        <v>321</v>
      </c>
      <c r="M2312" s="2" t="s">
        <v>322</v>
      </c>
      <c r="N2312" s="2" t="s">
        <v>1362</v>
      </c>
      <c r="O2312" s="2" t="s">
        <v>100</v>
      </c>
      <c r="P2312" s="2" t="str">
        <f>"2170585083                    "</f>
        <v xml:space="preserve">2170585083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32.020000000000003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2</v>
      </c>
      <c r="BI2312" s="2">
        <v>16</v>
      </c>
      <c r="BJ2312" s="2">
        <v>8.6999999999999993</v>
      </c>
      <c r="BK2312" s="2">
        <v>16</v>
      </c>
      <c r="BL2312" s="2">
        <v>331.54</v>
      </c>
      <c r="BM2312" s="2">
        <v>46.42</v>
      </c>
      <c r="BN2312" s="2">
        <v>377.96</v>
      </c>
      <c r="BO2312" s="2">
        <v>377.96</v>
      </c>
      <c r="BP2312" s="2"/>
      <c r="BQ2312" s="2" t="s">
        <v>108</v>
      </c>
      <c r="BR2312" s="2" t="s">
        <v>84</v>
      </c>
      <c r="BS2312" s="3">
        <v>42969</v>
      </c>
      <c r="BT2312" s="4">
        <v>0.40486111111111112</v>
      </c>
      <c r="BU2312" s="2" t="s">
        <v>2522</v>
      </c>
      <c r="BV2312" s="2" t="s">
        <v>95</v>
      </c>
      <c r="BW2312" s="2"/>
      <c r="BX2312" s="2"/>
      <c r="BY2312" s="2">
        <v>43725</v>
      </c>
      <c r="BZ2312" s="2"/>
      <c r="CA2312" s="2" t="s">
        <v>103</v>
      </c>
      <c r="CB2312" s="2"/>
      <c r="CC2312" s="2" t="s">
        <v>322</v>
      </c>
      <c r="CD2312" s="2">
        <v>6220</v>
      </c>
      <c r="CE2312" s="2" t="s">
        <v>89</v>
      </c>
      <c r="CF2312" s="5">
        <v>42970</v>
      </c>
      <c r="CG2312" s="2"/>
      <c r="CH2312" s="2"/>
      <c r="CI2312" s="2">
        <v>1</v>
      </c>
      <c r="CJ2312" s="2">
        <v>1</v>
      </c>
      <c r="CK2312" s="2">
        <v>21</v>
      </c>
      <c r="CL2312" s="2" t="s">
        <v>86</v>
      </c>
      <c r="CM2312" s="2"/>
    </row>
    <row r="2313" spans="1:91">
      <c r="A2313" s="2" t="s">
        <v>71</v>
      </c>
      <c r="B2313" s="2" t="s">
        <v>72</v>
      </c>
      <c r="C2313" s="2" t="s">
        <v>73</v>
      </c>
      <c r="D2313" s="2"/>
      <c r="E2313" s="2" t="str">
        <f>"FES1162570383"</f>
        <v>FES1162570383</v>
      </c>
      <c r="F2313" s="3">
        <v>42968</v>
      </c>
      <c r="G2313" s="2">
        <v>201802</v>
      </c>
      <c r="H2313" s="2" t="s">
        <v>74</v>
      </c>
      <c r="I2313" s="2" t="s">
        <v>75</v>
      </c>
      <c r="J2313" s="2" t="s">
        <v>76</v>
      </c>
      <c r="K2313" s="2" t="s">
        <v>77</v>
      </c>
      <c r="L2313" s="2" t="s">
        <v>2808</v>
      </c>
      <c r="M2313" s="2" t="s">
        <v>2809</v>
      </c>
      <c r="N2313" s="2" t="s">
        <v>2810</v>
      </c>
      <c r="O2313" s="2" t="s">
        <v>100</v>
      </c>
      <c r="P2313" s="2" t="str">
        <f>"21705861772                   "</f>
        <v xml:space="preserve">21705861772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5.63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0.5</v>
      </c>
      <c r="BJ2313" s="2">
        <v>0.2</v>
      </c>
      <c r="BK2313" s="2">
        <v>0.5</v>
      </c>
      <c r="BL2313" s="2">
        <v>58.28</v>
      </c>
      <c r="BM2313" s="2">
        <v>8.16</v>
      </c>
      <c r="BN2313" s="2">
        <v>66.44</v>
      </c>
      <c r="BO2313" s="2">
        <v>66.44</v>
      </c>
      <c r="BP2313" s="2"/>
      <c r="BQ2313" s="2" t="s">
        <v>288</v>
      </c>
      <c r="BR2313" s="2" t="s">
        <v>84</v>
      </c>
      <c r="BS2313" s="3">
        <v>42969</v>
      </c>
      <c r="BT2313" s="4">
        <v>0.4375</v>
      </c>
      <c r="BU2313" s="2" t="s">
        <v>2811</v>
      </c>
      <c r="BV2313" s="2" t="s">
        <v>95</v>
      </c>
      <c r="BW2313" s="2"/>
      <c r="BX2313" s="2"/>
      <c r="BY2313" s="2">
        <v>1200</v>
      </c>
      <c r="BZ2313" s="2"/>
      <c r="CA2313" s="2" t="s">
        <v>2812</v>
      </c>
      <c r="CB2313" s="2"/>
      <c r="CC2313" s="2" t="s">
        <v>2809</v>
      </c>
      <c r="CD2313" s="2">
        <v>1055</v>
      </c>
      <c r="CE2313" s="2" t="s">
        <v>104</v>
      </c>
      <c r="CF2313" s="5">
        <v>42970</v>
      </c>
      <c r="CG2313" s="2"/>
      <c r="CH2313" s="2"/>
      <c r="CI2313" s="2">
        <v>1</v>
      </c>
      <c r="CJ2313" s="2">
        <v>1</v>
      </c>
      <c r="CK2313" s="2">
        <v>24</v>
      </c>
      <c r="CL2313" s="2" t="s">
        <v>86</v>
      </c>
      <c r="CM2313" s="2"/>
    </row>
    <row r="2314" spans="1:91">
      <c r="A2314" s="2" t="s">
        <v>71</v>
      </c>
      <c r="B2314" s="2" t="s">
        <v>72</v>
      </c>
      <c r="C2314" s="2" t="s">
        <v>73</v>
      </c>
      <c r="D2314" s="2"/>
      <c r="E2314" s="2" t="str">
        <f>"FES1162570387"</f>
        <v>FES1162570387</v>
      </c>
      <c r="F2314" s="3">
        <v>42968</v>
      </c>
      <c r="G2314" s="2">
        <v>201802</v>
      </c>
      <c r="H2314" s="2" t="s">
        <v>74</v>
      </c>
      <c r="I2314" s="2" t="s">
        <v>75</v>
      </c>
      <c r="J2314" s="2" t="s">
        <v>76</v>
      </c>
      <c r="K2314" s="2" t="s">
        <v>77</v>
      </c>
      <c r="L2314" s="2" t="s">
        <v>144</v>
      </c>
      <c r="M2314" s="2" t="s">
        <v>145</v>
      </c>
      <c r="N2314" s="2" t="s">
        <v>146</v>
      </c>
      <c r="O2314" s="2" t="s">
        <v>100</v>
      </c>
      <c r="P2314" s="2" t="str">
        <f>"2170586178                    "</f>
        <v xml:space="preserve">2170586178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3.13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0.5</v>
      </c>
      <c r="BJ2314" s="2">
        <v>0.2</v>
      </c>
      <c r="BK2314" s="2">
        <v>1</v>
      </c>
      <c r="BL2314" s="2">
        <v>32.380000000000003</v>
      </c>
      <c r="BM2314" s="2">
        <v>4.53</v>
      </c>
      <c r="BN2314" s="2">
        <v>36.909999999999997</v>
      </c>
      <c r="BO2314" s="2">
        <v>36.909999999999997</v>
      </c>
      <c r="BP2314" s="2"/>
      <c r="BQ2314" s="2" t="s">
        <v>83</v>
      </c>
      <c r="BR2314" s="2" t="s">
        <v>84</v>
      </c>
      <c r="BS2314" s="3">
        <v>42969</v>
      </c>
      <c r="BT2314" s="4">
        <v>0.375</v>
      </c>
      <c r="BU2314" s="2" t="s">
        <v>1458</v>
      </c>
      <c r="BV2314" s="2" t="s">
        <v>95</v>
      </c>
      <c r="BW2314" s="2"/>
      <c r="BX2314" s="2"/>
      <c r="BY2314" s="2">
        <v>1200</v>
      </c>
      <c r="BZ2314" s="2"/>
      <c r="CA2314" s="2" t="s">
        <v>729</v>
      </c>
      <c r="CB2314" s="2"/>
      <c r="CC2314" s="2" t="s">
        <v>145</v>
      </c>
      <c r="CD2314" s="2">
        <v>2094</v>
      </c>
      <c r="CE2314" s="2" t="s">
        <v>104</v>
      </c>
      <c r="CF2314" s="5">
        <v>42970</v>
      </c>
      <c r="CG2314" s="2"/>
      <c r="CH2314" s="2"/>
      <c r="CI2314" s="2">
        <v>1</v>
      </c>
      <c r="CJ2314" s="2">
        <v>1</v>
      </c>
      <c r="CK2314" s="2">
        <v>22</v>
      </c>
      <c r="CL2314" s="2" t="s">
        <v>86</v>
      </c>
      <c r="CM2314" s="2"/>
    </row>
    <row r="2315" spans="1:91">
      <c r="A2315" s="2" t="s">
        <v>71</v>
      </c>
      <c r="B2315" s="2" t="s">
        <v>72</v>
      </c>
      <c r="C2315" s="2" t="s">
        <v>73</v>
      </c>
      <c r="D2315" s="2"/>
      <c r="E2315" s="2" t="str">
        <f>"FES1162570376"</f>
        <v>FES1162570376</v>
      </c>
      <c r="F2315" s="3">
        <v>42968</v>
      </c>
      <c r="G2315" s="2">
        <v>201802</v>
      </c>
      <c r="H2315" s="2" t="s">
        <v>74</v>
      </c>
      <c r="I2315" s="2" t="s">
        <v>75</v>
      </c>
      <c r="J2315" s="2" t="s">
        <v>76</v>
      </c>
      <c r="K2315" s="2" t="s">
        <v>77</v>
      </c>
      <c r="L2315" s="2" t="s">
        <v>97</v>
      </c>
      <c r="M2315" s="2" t="s">
        <v>98</v>
      </c>
      <c r="N2315" s="2" t="s">
        <v>2408</v>
      </c>
      <c r="O2315" s="2" t="s">
        <v>100</v>
      </c>
      <c r="P2315" s="2" t="str">
        <f>"2170586167                    "</f>
        <v xml:space="preserve">2170586167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6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2</v>
      </c>
      <c r="BJ2315" s="2">
        <v>3</v>
      </c>
      <c r="BK2315" s="2">
        <v>3</v>
      </c>
      <c r="BL2315" s="2">
        <v>62.16</v>
      </c>
      <c r="BM2315" s="2">
        <v>8.6999999999999993</v>
      </c>
      <c r="BN2315" s="2">
        <v>70.86</v>
      </c>
      <c r="BO2315" s="2">
        <v>70.86</v>
      </c>
      <c r="BP2315" s="2"/>
      <c r="BQ2315" s="2" t="s">
        <v>83</v>
      </c>
      <c r="BR2315" s="2" t="s">
        <v>84</v>
      </c>
      <c r="BS2315" s="3">
        <v>42969</v>
      </c>
      <c r="BT2315" s="4">
        <v>0.31944444444444448</v>
      </c>
      <c r="BU2315" s="2" t="s">
        <v>2813</v>
      </c>
      <c r="BV2315" s="2" t="s">
        <v>95</v>
      </c>
      <c r="BW2315" s="2"/>
      <c r="BX2315" s="2"/>
      <c r="BY2315" s="2">
        <v>15225</v>
      </c>
      <c r="BZ2315" s="2"/>
      <c r="CA2315" s="2" t="s">
        <v>600</v>
      </c>
      <c r="CB2315" s="2"/>
      <c r="CC2315" s="2" t="s">
        <v>98</v>
      </c>
      <c r="CD2315" s="2">
        <v>6045</v>
      </c>
      <c r="CE2315" s="2" t="s">
        <v>2814</v>
      </c>
      <c r="CF2315" s="5">
        <v>42970</v>
      </c>
      <c r="CG2315" s="2"/>
      <c r="CH2315" s="2"/>
      <c r="CI2315" s="2">
        <v>1</v>
      </c>
      <c r="CJ2315" s="2">
        <v>1</v>
      </c>
      <c r="CK2315" s="2">
        <v>21</v>
      </c>
      <c r="CL2315" s="2" t="s">
        <v>86</v>
      </c>
      <c r="CM2315" s="2"/>
    </row>
    <row r="2316" spans="1:91">
      <c r="A2316" s="2" t="s">
        <v>71</v>
      </c>
      <c r="B2316" s="2" t="s">
        <v>72</v>
      </c>
      <c r="C2316" s="2" t="s">
        <v>73</v>
      </c>
      <c r="D2316" s="2"/>
      <c r="E2316" s="2" t="str">
        <f>"FES1162570357"</f>
        <v>FES1162570357</v>
      </c>
      <c r="F2316" s="3">
        <v>42968</v>
      </c>
      <c r="G2316" s="2">
        <v>201802</v>
      </c>
      <c r="H2316" s="2" t="s">
        <v>74</v>
      </c>
      <c r="I2316" s="2" t="s">
        <v>75</v>
      </c>
      <c r="J2316" s="2" t="s">
        <v>76</v>
      </c>
      <c r="K2316" s="2" t="s">
        <v>77</v>
      </c>
      <c r="L2316" s="2" t="s">
        <v>174</v>
      </c>
      <c r="M2316" s="2" t="s">
        <v>175</v>
      </c>
      <c r="N2316" s="2" t="s">
        <v>930</v>
      </c>
      <c r="O2316" s="2" t="s">
        <v>100</v>
      </c>
      <c r="P2316" s="2" t="str">
        <f>"2170586136                    "</f>
        <v xml:space="preserve">2170586136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25.01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0.8</v>
      </c>
      <c r="BJ2316" s="2">
        <v>12.4</v>
      </c>
      <c r="BK2316" s="2">
        <v>12.5</v>
      </c>
      <c r="BL2316" s="2">
        <v>259.01</v>
      </c>
      <c r="BM2316" s="2">
        <v>36.26</v>
      </c>
      <c r="BN2316" s="2">
        <v>295.27</v>
      </c>
      <c r="BO2316" s="2">
        <v>295.27</v>
      </c>
      <c r="BP2316" s="2"/>
      <c r="BQ2316" s="2" t="s">
        <v>83</v>
      </c>
      <c r="BR2316" s="2" t="s">
        <v>84</v>
      </c>
      <c r="BS2316" s="3">
        <v>42969</v>
      </c>
      <c r="BT2316" s="4">
        <v>0.47986111111111113</v>
      </c>
      <c r="BU2316" s="2" t="s">
        <v>2164</v>
      </c>
      <c r="BV2316" s="2" t="s">
        <v>86</v>
      </c>
      <c r="BW2316" s="2" t="s">
        <v>124</v>
      </c>
      <c r="BX2316" s="2" t="s">
        <v>2789</v>
      </c>
      <c r="BY2316" s="2">
        <v>61757.22</v>
      </c>
      <c r="BZ2316" s="2"/>
      <c r="CA2316" s="2" t="s">
        <v>932</v>
      </c>
      <c r="CB2316" s="2"/>
      <c r="CC2316" s="2" t="s">
        <v>175</v>
      </c>
      <c r="CD2316" s="2">
        <v>5201</v>
      </c>
      <c r="CE2316" s="2" t="s">
        <v>104</v>
      </c>
      <c r="CF2316" s="5">
        <v>42970</v>
      </c>
      <c r="CG2316" s="2"/>
      <c r="CH2316" s="2"/>
      <c r="CI2316" s="2">
        <v>1</v>
      </c>
      <c r="CJ2316" s="2">
        <v>1</v>
      </c>
      <c r="CK2316" s="2">
        <v>21</v>
      </c>
      <c r="CL2316" s="2" t="s">
        <v>86</v>
      </c>
      <c r="CM2316" s="2"/>
    </row>
    <row r="2317" spans="1:91">
      <c r="A2317" s="2" t="s">
        <v>71</v>
      </c>
      <c r="B2317" s="2" t="s">
        <v>72</v>
      </c>
      <c r="C2317" s="2" t="s">
        <v>73</v>
      </c>
      <c r="D2317" s="2"/>
      <c r="E2317" s="2" t="str">
        <f>"FES1162570393"</f>
        <v>FES1162570393</v>
      </c>
      <c r="F2317" s="3">
        <v>42968</v>
      </c>
      <c r="G2317" s="2">
        <v>201802</v>
      </c>
      <c r="H2317" s="2" t="s">
        <v>74</v>
      </c>
      <c r="I2317" s="2" t="s">
        <v>75</v>
      </c>
      <c r="J2317" s="2" t="s">
        <v>76</v>
      </c>
      <c r="K2317" s="2" t="s">
        <v>77</v>
      </c>
      <c r="L2317" s="2" t="s">
        <v>74</v>
      </c>
      <c r="M2317" s="2" t="s">
        <v>75</v>
      </c>
      <c r="N2317" s="2" t="s">
        <v>2815</v>
      </c>
      <c r="O2317" s="2" t="s">
        <v>100</v>
      </c>
      <c r="P2317" s="2" t="str">
        <f>"2170585939                    "</f>
        <v xml:space="preserve">2170585939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3.13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2.2000000000000002</v>
      </c>
      <c r="BJ2317" s="2">
        <v>0.9</v>
      </c>
      <c r="BK2317" s="2">
        <v>3</v>
      </c>
      <c r="BL2317" s="2">
        <v>32.380000000000003</v>
      </c>
      <c r="BM2317" s="2">
        <v>4.53</v>
      </c>
      <c r="BN2317" s="2">
        <v>36.909999999999997</v>
      </c>
      <c r="BO2317" s="2">
        <v>36.909999999999997</v>
      </c>
      <c r="BP2317" s="2"/>
      <c r="BQ2317" s="2" t="s">
        <v>288</v>
      </c>
      <c r="BR2317" s="2" t="s">
        <v>84</v>
      </c>
      <c r="BS2317" s="3">
        <v>42969</v>
      </c>
      <c r="BT2317" s="4">
        <v>0.44166666666666665</v>
      </c>
      <c r="BU2317" s="2" t="s">
        <v>2816</v>
      </c>
      <c r="BV2317" s="2" t="s">
        <v>95</v>
      </c>
      <c r="BW2317" s="2"/>
      <c r="BX2317" s="2"/>
      <c r="BY2317" s="2">
        <v>4295.0200000000004</v>
      </c>
      <c r="BZ2317" s="2"/>
      <c r="CA2317" s="2" t="s">
        <v>194</v>
      </c>
      <c r="CB2317" s="2"/>
      <c r="CC2317" s="2" t="s">
        <v>75</v>
      </c>
      <c r="CD2317" s="2">
        <v>1682</v>
      </c>
      <c r="CE2317" s="2" t="s">
        <v>89</v>
      </c>
      <c r="CF2317" s="5">
        <v>42970</v>
      </c>
      <c r="CG2317" s="2"/>
      <c r="CH2317" s="2"/>
      <c r="CI2317" s="2">
        <v>1</v>
      </c>
      <c r="CJ2317" s="2">
        <v>1</v>
      </c>
      <c r="CK2317" s="2">
        <v>22</v>
      </c>
      <c r="CL2317" s="2" t="s">
        <v>86</v>
      </c>
      <c r="CM2317" s="2"/>
    </row>
    <row r="2318" spans="1:91">
      <c r="A2318" s="2" t="s">
        <v>71</v>
      </c>
      <c r="B2318" s="2" t="s">
        <v>72</v>
      </c>
      <c r="C2318" s="2" t="s">
        <v>73</v>
      </c>
      <c r="D2318" s="2"/>
      <c r="E2318" s="2" t="str">
        <f>"FES1162570378"</f>
        <v>FES1162570378</v>
      </c>
      <c r="F2318" s="3">
        <v>42968</v>
      </c>
      <c r="G2318" s="2">
        <v>201802</v>
      </c>
      <c r="H2318" s="2" t="s">
        <v>74</v>
      </c>
      <c r="I2318" s="2" t="s">
        <v>75</v>
      </c>
      <c r="J2318" s="2" t="s">
        <v>76</v>
      </c>
      <c r="K2318" s="2" t="s">
        <v>77</v>
      </c>
      <c r="L2318" s="2" t="s">
        <v>244</v>
      </c>
      <c r="M2318" s="2" t="s">
        <v>245</v>
      </c>
      <c r="N2318" s="2" t="s">
        <v>2817</v>
      </c>
      <c r="O2318" s="2" t="s">
        <v>100</v>
      </c>
      <c r="P2318" s="2" t="str">
        <f>"2170564455                    "</f>
        <v xml:space="preserve">2170564455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3.13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1</v>
      </c>
      <c r="BI2318" s="2">
        <v>3.7</v>
      </c>
      <c r="BJ2318" s="2">
        <v>3.4</v>
      </c>
      <c r="BK2318" s="2">
        <v>4</v>
      </c>
      <c r="BL2318" s="2">
        <v>32.380000000000003</v>
      </c>
      <c r="BM2318" s="2">
        <v>4.53</v>
      </c>
      <c r="BN2318" s="2">
        <v>36.909999999999997</v>
      </c>
      <c r="BO2318" s="2">
        <v>36.909999999999997</v>
      </c>
      <c r="BP2318" s="2"/>
      <c r="BQ2318" s="2" t="s">
        <v>83</v>
      </c>
      <c r="BR2318" s="2" t="s">
        <v>84</v>
      </c>
      <c r="BS2318" s="3">
        <v>42969</v>
      </c>
      <c r="BT2318" s="4">
        <v>0.37638888888888888</v>
      </c>
      <c r="BU2318" s="2" t="s">
        <v>1830</v>
      </c>
      <c r="BV2318" s="2" t="s">
        <v>95</v>
      </c>
      <c r="BW2318" s="2"/>
      <c r="BX2318" s="2"/>
      <c r="BY2318" s="2">
        <v>16985.09</v>
      </c>
      <c r="BZ2318" s="2"/>
      <c r="CA2318" s="2" t="s">
        <v>499</v>
      </c>
      <c r="CB2318" s="2"/>
      <c r="CC2318" s="2" t="s">
        <v>245</v>
      </c>
      <c r="CD2318" s="2">
        <v>1459</v>
      </c>
      <c r="CE2318" s="2" t="s">
        <v>89</v>
      </c>
      <c r="CF2318" s="5">
        <v>42970</v>
      </c>
      <c r="CG2318" s="2"/>
      <c r="CH2318" s="2"/>
      <c r="CI2318" s="2">
        <v>1</v>
      </c>
      <c r="CJ2318" s="2">
        <v>1</v>
      </c>
      <c r="CK2318" s="2">
        <v>22</v>
      </c>
      <c r="CL2318" s="2" t="s">
        <v>86</v>
      </c>
      <c r="CM2318" s="2"/>
    </row>
    <row r="2319" spans="1:91">
      <c r="A2319" s="2" t="s">
        <v>71</v>
      </c>
      <c r="B2319" s="2" t="s">
        <v>72</v>
      </c>
      <c r="C2319" s="2" t="s">
        <v>73</v>
      </c>
      <c r="D2319" s="2"/>
      <c r="E2319" s="2" t="str">
        <f>"FES1162570382"</f>
        <v>FES1162570382</v>
      </c>
      <c r="F2319" s="3">
        <v>42968</v>
      </c>
      <c r="G2319" s="2">
        <v>201802</v>
      </c>
      <c r="H2319" s="2" t="s">
        <v>74</v>
      </c>
      <c r="I2319" s="2" t="s">
        <v>75</v>
      </c>
      <c r="J2319" s="2" t="s">
        <v>76</v>
      </c>
      <c r="K2319" s="2" t="s">
        <v>77</v>
      </c>
      <c r="L2319" s="2" t="s">
        <v>97</v>
      </c>
      <c r="M2319" s="2" t="s">
        <v>98</v>
      </c>
      <c r="N2319" s="2" t="s">
        <v>250</v>
      </c>
      <c r="O2319" s="2" t="s">
        <v>100</v>
      </c>
      <c r="P2319" s="2" t="str">
        <f>"2170586175                    "</f>
        <v xml:space="preserve">2170586175 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9.01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1</v>
      </c>
      <c r="BI2319" s="2">
        <v>0.3</v>
      </c>
      <c r="BJ2319" s="2">
        <v>4.5</v>
      </c>
      <c r="BK2319" s="2">
        <v>4.5</v>
      </c>
      <c r="BL2319" s="2">
        <v>93.25</v>
      </c>
      <c r="BM2319" s="2">
        <v>13.06</v>
      </c>
      <c r="BN2319" s="2">
        <v>106.31</v>
      </c>
      <c r="BO2319" s="2">
        <v>106.31</v>
      </c>
      <c r="BP2319" s="2"/>
      <c r="BQ2319" s="2" t="s">
        <v>288</v>
      </c>
      <c r="BR2319" s="2" t="s">
        <v>84</v>
      </c>
      <c r="BS2319" s="3">
        <v>42969</v>
      </c>
      <c r="BT2319" s="4">
        <v>0.29652777777777778</v>
      </c>
      <c r="BU2319" s="2" t="s">
        <v>251</v>
      </c>
      <c r="BV2319" s="2" t="s">
        <v>95</v>
      </c>
      <c r="BW2319" s="2"/>
      <c r="BX2319" s="2"/>
      <c r="BY2319" s="2">
        <v>22355.54</v>
      </c>
      <c r="BZ2319" s="2"/>
      <c r="CA2319" s="2" t="s">
        <v>294</v>
      </c>
      <c r="CB2319" s="2"/>
      <c r="CC2319" s="2" t="s">
        <v>98</v>
      </c>
      <c r="CD2319" s="2">
        <v>6012</v>
      </c>
      <c r="CE2319" s="2" t="s">
        <v>104</v>
      </c>
      <c r="CF2319" s="5">
        <v>42970</v>
      </c>
      <c r="CG2319" s="2"/>
      <c r="CH2319" s="2"/>
      <c r="CI2319" s="2">
        <v>1</v>
      </c>
      <c r="CJ2319" s="2">
        <v>1</v>
      </c>
      <c r="CK2319" s="2">
        <v>21</v>
      </c>
      <c r="CL2319" s="2" t="s">
        <v>86</v>
      </c>
      <c r="CM2319" s="2"/>
    </row>
    <row r="2320" spans="1:91">
      <c r="A2320" s="2" t="s">
        <v>71</v>
      </c>
      <c r="B2320" s="2" t="s">
        <v>72</v>
      </c>
      <c r="C2320" s="2" t="s">
        <v>73</v>
      </c>
      <c r="D2320" s="2"/>
      <c r="E2320" s="2" t="str">
        <f>"FES1162570219"</f>
        <v>FES1162570219</v>
      </c>
      <c r="F2320" s="3">
        <v>42968</v>
      </c>
      <c r="G2320" s="2">
        <v>201802</v>
      </c>
      <c r="H2320" s="2" t="s">
        <v>74</v>
      </c>
      <c r="I2320" s="2" t="s">
        <v>75</v>
      </c>
      <c r="J2320" s="2" t="s">
        <v>76</v>
      </c>
      <c r="K2320" s="2" t="s">
        <v>77</v>
      </c>
      <c r="L2320" s="2" t="s">
        <v>105</v>
      </c>
      <c r="M2320" s="2" t="s">
        <v>106</v>
      </c>
      <c r="N2320" s="2" t="s">
        <v>705</v>
      </c>
      <c r="O2320" s="2" t="s">
        <v>100</v>
      </c>
      <c r="P2320" s="2" t="str">
        <f>"2170585821                    "</f>
        <v xml:space="preserve">2170585821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13.01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0.6</v>
      </c>
      <c r="BJ2320" s="2">
        <v>6.5</v>
      </c>
      <c r="BK2320" s="2">
        <v>6.5</v>
      </c>
      <c r="BL2320" s="2">
        <v>134.69</v>
      </c>
      <c r="BM2320" s="2">
        <v>18.86</v>
      </c>
      <c r="BN2320" s="2">
        <v>153.55000000000001</v>
      </c>
      <c r="BO2320" s="2">
        <v>153.55000000000001</v>
      </c>
      <c r="BP2320" s="2"/>
      <c r="BQ2320" s="2" t="s">
        <v>108</v>
      </c>
      <c r="BR2320" s="2" t="s">
        <v>84</v>
      </c>
      <c r="BS2320" s="3">
        <v>42969</v>
      </c>
      <c r="BT2320" s="4">
        <v>0.3611111111111111</v>
      </c>
      <c r="BU2320" s="2" t="s">
        <v>904</v>
      </c>
      <c r="BV2320" s="2" t="s">
        <v>95</v>
      </c>
      <c r="BW2320" s="2"/>
      <c r="BX2320" s="2"/>
      <c r="BY2320" s="2">
        <v>32410.560000000001</v>
      </c>
      <c r="BZ2320" s="2"/>
      <c r="CA2320" s="2" t="s">
        <v>488</v>
      </c>
      <c r="CB2320" s="2"/>
      <c r="CC2320" s="2" t="s">
        <v>106</v>
      </c>
      <c r="CD2320" s="2">
        <v>7441</v>
      </c>
      <c r="CE2320" s="2" t="s">
        <v>104</v>
      </c>
      <c r="CF2320" s="5">
        <v>42970</v>
      </c>
      <c r="CG2320" s="2"/>
      <c r="CH2320" s="2"/>
      <c r="CI2320" s="2">
        <v>1</v>
      </c>
      <c r="CJ2320" s="2">
        <v>1</v>
      </c>
      <c r="CK2320" s="2">
        <v>21</v>
      </c>
      <c r="CL2320" s="2" t="s">
        <v>86</v>
      </c>
      <c r="CM2320" s="2"/>
    </row>
    <row r="2321" spans="1:91">
      <c r="A2321" s="2" t="s">
        <v>71</v>
      </c>
      <c r="B2321" s="2" t="s">
        <v>72</v>
      </c>
      <c r="C2321" s="2" t="s">
        <v>73</v>
      </c>
      <c r="D2321" s="2"/>
      <c r="E2321" s="2" t="str">
        <f>"FES1162570389"</f>
        <v>FES1162570389</v>
      </c>
      <c r="F2321" s="3">
        <v>42968</v>
      </c>
      <c r="G2321" s="2">
        <v>201802</v>
      </c>
      <c r="H2321" s="2" t="s">
        <v>74</v>
      </c>
      <c r="I2321" s="2" t="s">
        <v>75</v>
      </c>
      <c r="J2321" s="2" t="s">
        <v>76</v>
      </c>
      <c r="K2321" s="2" t="s">
        <v>77</v>
      </c>
      <c r="L2321" s="2" t="s">
        <v>417</v>
      </c>
      <c r="M2321" s="2" t="s">
        <v>417</v>
      </c>
      <c r="N2321" s="2" t="s">
        <v>458</v>
      </c>
      <c r="O2321" s="2" t="s">
        <v>100</v>
      </c>
      <c r="P2321" s="2" t="str">
        <f>"2170586180                    "</f>
        <v xml:space="preserve">2170586180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4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0.6</v>
      </c>
      <c r="BJ2321" s="2">
        <v>1.1000000000000001</v>
      </c>
      <c r="BK2321" s="2">
        <v>1.5</v>
      </c>
      <c r="BL2321" s="2">
        <v>41.44</v>
      </c>
      <c r="BM2321" s="2">
        <v>5.8</v>
      </c>
      <c r="BN2321" s="2">
        <v>47.24</v>
      </c>
      <c r="BO2321" s="2">
        <v>47.24</v>
      </c>
      <c r="BP2321" s="2"/>
      <c r="BQ2321" s="2" t="s">
        <v>83</v>
      </c>
      <c r="BR2321" s="2" t="s">
        <v>84</v>
      </c>
      <c r="BS2321" s="3">
        <v>42969</v>
      </c>
      <c r="BT2321" s="4">
        <v>0.47083333333333338</v>
      </c>
      <c r="BU2321" s="2" t="s">
        <v>2254</v>
      </c>
      <c r="BV2321" s="2" t="s">
        <v>95</v>
      </c>
      <c r="BW2321" s="2"/>
      <c r="BX2321" s="2"/>
      <c r="BY2321" s="2">
        <v>5387.4</v>
      </c>
      <c r="BZ2321" s="2"/>
      <c r="CA2321" s="2" t="s">
        <v>460</v>
      </c>
      <c r="CB2321" s="2"/>
      <c r="CC2321" s="2" t="s">
        <v>417</v>
      </c>
      <c r="CD2321" s="2">
        <v>7646</v>
      </c>
      <c r="CE2321" s="2" t="s">
        <v>104</v>
      </c>
      <c r="CF2321" s="5">
        <v>42970</v>
      </c>
      <c r="CG2321" s="2"/>
      <c r="CH2321" s="2"/>
      <c r="CI2321" s="2">
        <v>1</v>
      </c>
      <c r="CJ2321" s="2">
        <v>1</v>
      </c>
      <c r="CK2321" s="2">
        <v>21</v>
      </c>
      <c r="CL2321" s="2" t="s">
        <v>86</v>
      </c>
      <c r="CM2321" s="2"/>
    </row>
    <row r="2322" spans="1:91">
      <c r="A2322" s="2" t="s">
        <v>71</v>
      </c>
      <c r="B2322" s="2" t="s">
        <v>72</v>
      </c>
      <c r="C2322" s="2" t="s">
        <v>73</v>
      </c>
      <c r="D2322" s="2"/>
      <c r="E2322" s="2" t="str">
        <f>"FES1162570370"</f>
        <v>FES1162570370</v>
      </c>
      <c r="F2322" s="3">
        <v>42968</v>
      </c>
      <c r="G2322" s="2">
        <v>201802</v>
      </c>
      <c r="H2322" s="2" t="s">
        <v>74</v>
      </c>
      <c r="I2322" s="2" t="s">
        <v>75</v>
      </c>
      <c r="J2322" s="2" t="s">
        <v>76</v>
      </c>
      <c r="K2322" s="2" t="s">
        <v>77</v>
      </c>
      <c r="L2322" s="2" t="s">
        <v>244</v>
      </c>
      <c r="M2322" s="2" t="s">
        <v>245</v>
      </c>
      <c r="N2322" s="2" t="s">
        <v>424</v>
      </c>
      <c r="O2322" s="2" t="s">
        <v>100</v>
      </c>
      <c r="P2322" s="2" t="str">
        <f>"2170585970                    "</f>
        <v xml:space="preserve">2170585970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3.13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5</v>
      </c>
      <c r="BJ2322" s="2">
        <v>2</v>
      </c>
      <c r="BK2322" s="2">
        <v>5</v>
      </c>
      <c r="BL2322" s="2">
        <v>32.380000000000003</v>
      </c>
      <c r="BM2322" s="2">
        <v>4.53</v>
      </c>
      <c r="BN2322" s="2">
        <v>36.909999999999997</v>
      </c>
      <c r="BO2322" s="2">
        <v>36.909999999999997</v>
      </c>
      <c r="BP2322" s="2"/>
      <c r="BQ2322" s="2" t="s">
        <v>108</v>
      </c>
      <c r="BR2322" s="2" t="s">
        <v>84</v>
      </c>
      <c r="BS2322" s="3">
        <v>42969</v>
      </c>
      <c r="BT2322" s="4">
        <v>0.3972222222222222</v>
      </c>
      <c r="BU2322" s="2" t="s">
        <v>2818</v>
      </c>
      <c r="BV2322" s="2" t="s">
        <v>95</v>
      </c>
      <c r="BW2322" s="2"/>
      <c r="BX2322" s="2"/>
      <c r="BY2322" s="2">
        <v>9900</v>
      </c>
      <c r="BZ2322" s="2"/>
      <c r="CA2322" s="2" t="s">
        <v>426</v>
      </c>
      <c r="CB2322" s="2"/>
      <c r="CC2322" s="2" t="s">
        <v>245</v>
      </c>
      <c r="CD2322" s="2">
        <v>1459</v>
      </c>
      <c r="CE2322" s="2" t="s">
        <v>89</v>
      </c>
      <c r="CF2322" s="5">
        <v>42970</v>
      </c>
      <c r="CG2322" s="2"/>
      <c r="CH2322" s="2"/>
      <c r="CI2322" s="2">
        <v>1</v>
      </c>
      <c r="CJ2322" s="2">
        <v>1</v>
      </c>
      <c r="CK2322" s="2">
        <v>22</v>
      </c>
      <c r="CL2322" s="2" t="s">
        <v>86</v>
      </c>
      <c r="CM2322" s="2"/>
    </row>
    <row r="2323" spans="1:91">
      <c r="A2323" s="2" t="s">
        <v>71</v>
      </c>
      <c r="B2323" s="2" t="s">
        <v>72</v>
      </c>
      <c r="C2323" s="2" t="s">
        <v>73</v>
      </c>
      <c r="D2323" s="2"/>
      <c r="E2323" s="2" t="str">
        <f>"FES1162570381"</f>
        <v>FES1162570381</v>
      </c>
      <c r="F2323" s="3">
        <v>42968</v>
      </c>
      <c r="G2323" s="2">
        <v>201802</v>
      </c>
      <c r="H2323" s="2" t="s">
        <v>74</v>
      </c>
      <c r="I2323" s="2" t="s">
        <v>75</v>
      </c>
      <c r="J2323" s="2" t="s">
        <v>76</v>
      </c>
      <c r="K2323" s="2" t="s">
        <v>77</v>
      </c>
      <c r="L2323" s="2" t="s">
        <v>144</v>
      </c>
      <c r="M2323" s="2" t="s">
        <v>145</v>
      </c>
      <c r="N2323" s="2" t="s">
        <v>146</v>
      </c>
      <c r="O2323" s="2" t="s">
        <v>100</v>
      </c>
      <c r="P2323" s="2" t="str">
        <f>"2170586173                    "</f>
        <v xml:space="preserve">2170586173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3.13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0.8</v>
      </c>
      <c r="BJ2323" s="2">
        <v>4.0999999999999996</v>
      </c>
      <c r="BK2323" s="2">
        <v>5</v>
      </c>
      <c r="BL2323" s="2">
        <v>32.380000000000003</v>
      </c>
      <c r="BM2323" s="2">
        <v>4.53</v>
      </c>
      <c r="BN2323" s="2">
        <v>36.909999999999997</v>
      </c>
      <c r="BO2323" s="2">
        <v>36.909999999999997</v>
      </c>
      <c r="BP2323" s="2"/>
      <c r="BQ2323" s="2" t="s">
        <v>83</v>
      </c>
      <c r="BR2323" s="2" t="s">
        <v>84</v>
      </c>
      <c r="BS2323" s="3">
        <v>42969</v>
      </c>
      <c r="BT2323" s="4">
        <v>0.375</v>
      </c>
      <c r="BU2323" s="2" t="s">
        <v>2768</v>
      </c>
      <c r="BV2323" s="2" t="s">
        <v>95</v>
      </c>
      <c r="BW2323" s="2"/>
      <c r="BX2323" s="2"/>
      <c r="BY2323" s="2">
        <v>20520</v>
      </c>
      <c r="BZ2323" s="2"/>
      <c r="CA2323" s="2" t="s">
        <v>729</v>
      </c>
      <c r="CB2323" s="2"/>
      <c r="CC2323" s="2" t="s">
        <v>145</v>
      </c>
      <c r="CD2323" s="2">
        <v>2094</v>
      </c>
      <c r="CE2323" s="2" t="s">
        <v>104</v>
      </c>
      <c r="CF2323" s="5">
        <v>42970</v>
      </c>
      <c r="CG2323" s="2"/>
      <c r="CH2323" s="2"/>
      <c r="CI2323" s="2">
        <v>1</v>
      </c>
      <c r="CJ2323" s="2">
        <v>1</v>
      </c>
      <c r="CK2323" s="2">
        <v>22</v>
      </c>
      <c r="CL2323" s="2" t="s">
        <v>86</v>
      </c>
      <c r="CM2323" s="2"/>
    </row>
    <row r="2324" spans="1:91">
      <c r="A2324" s="2" t="s">
        <v>71</v>
      </c>
      <c r="B2324" s="2" t="s">
        <v>72</v>
      </c>
      <c r="C2324" s="2" t="s">
        <v>73</v>
      </c>
      <c r="D2324" s="2"/>
      <c r="E2324" s="2" t="str">
        <f>"FES1162570371"</f>
        <v>FES1162570371</v>
      </c>
      <c r="F2324" s="3">
        <v>42968</v>
      </c>
      <c r="G2324" s="2">
        <v>201802</v>
      </c>
      <c r="H2324" s="2" t="s">
        <v>74</v>
      </c>
      <c r="I2324" s="2" t="s">
        <v>75</v>
      </c>
      <c r="J2324" s="2" t="s">
        <v>76</v>
      </c>
      <c r="K2324" s="2" t="s">
        <v>77</v>
      </c>
      <c r="L2324" s="2" t="s">
        <v>437</v>
      </c>
      <c r="M2324" s="2" t="s">
        <v>438</v>
      </c>
      <c r="N2324" s="2" t="s">
        <v>439</v>
      </c>
      <c r="O2324" s="2" t="s">
        <v>100</v>
      </c>
      <c r="P2324" s="2" t="str">
        <f>"2170586153                    "</f>
        <v xml:space="preserve">2170586153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17.010000000000002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8.4</v>
      </c>
      <c r="BJ2324" s="2">
        <v>3.3</v>
      </c>
      <c r="BK2324" s="2">
        <v>8.5</v>
      </c>
      <c r="BL2324" s="2">
        <v>176.13</v>
      </c>
      <c r="BM2324" s="2">
        <v>24.66</v>
      </c>
      <c r="BN2324" s="2">
        <v>200.79</v>
      </c>
      <c r="BO2324" s="2">
        <v>200.79</v>
      </c>
      <c r="BP2324" s="2"/>
      <c r="BQ2324" s="2" t="s">
        <v>108</v>
      </c>
      <c r="BR2324" s="2" t="s">
        <v>84</v>
      </c>
      <c r="BS2324" s="3">
        <v>42969</v>
      </c>
      <c r="BT2324" s="4">
        <v>0.6</v>
      </c>
      <c r="BU2324" s="2" t="s">
        <v>2819</v>
      </c>
      <c r="BV2324" s="2" t="s">
        <v>86</v>
      </c>
      <c r="BW2324" s="2"/>
      <c r="BX2324" s="2"/>
      <c r="BY2324" s="2">
        <v>16486.830000000002</v>
      </c>
      <c r="BZ2324" s="2"/>
      <c r="CA2324" s="2" t="s">
        <v>2820</v>
      </c>
      <c r="CB2324" s="2"/>
      <c r="CC2324" s="2" t="s">
        <v>438</v>
      </c>
      <c r="CD2324" s="2">
        <v>6536</v>
      </c>
      <c r="CE2324" s="2" t="s">
        <v>89</v>
      </c>
      <c r="CF2324" s="5">
        <v>42970</v>
      </c>
      <c r="CG2324" s="2"/>
      <c r="CH2324" s="2"/>
      <c r="CI2324" s="2">
        <v>1</v>
      </c>
      <c r="CJ2324" s="2">
        <v>1</v>
      </c>
      <c r="CK2324" s="2">
        <v>21</v>
      </c>
      <c r="CL2324" s="2" t="s">
        <v>86</v>
      </c>
      <c r="CM2324" s="2"/>
    </row>
    <row r="2325" spans="1:91">
      <c r="A2325" s="2" t="s">
        <v>71</v>
      </c>
      <c r="B2325" s="2" t="s">
        <v>72</v>
      </c>
      <c r="C2325" s="2" t="s">
        <v>73</v>
      </c>
      <c r="D2325" s="2"/>
      <c r="E2325" s="2" t="str">
        <f>"FES1162570218"</f>
        <v>FES1162570218</v>
      </c>
      <c r="F2325" s="3">
        <v>42968</v>
      </c>
      <c r="G2325" s="2">
        <v>201802</v>
      </c>
      <c r="H2325" s="2" t="s">
        <v>74</v>
      </c>
      <c r="I2325" s="2" t="s">
        <v>75</v>
      </c>
      <c r="J2325" s="2" t="s">
        <v>76</v>
      </c>
      <c r="K2325" s="2" t="s">
        <v>77</v>
      </c>
      <c r="L2325" s="2" t="s">
        <v>841</v>
      </c>
      <c r="M2325" s="2" t="s">
        <v>842</v>
      </c>
      <c r="N2325" s="2" t="s">
        <v>843</v>
      </c>
      <c r="O2325" s="2" t="s">
        <v>100</v>
      </c>
      <c r="P2325" s="2" t="str">
        <f>"2170585816                    "</f>
        <v xml:space="preserve">2170585816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7.75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</v>
      </c>
      <c r="BJ2325" s="2">
        <v>0.2</v>
      </c>
      <c r="BK2325" s="2">
        <v>1</v>
      </c>
      <c r="BL2325" s="2">
        <v>80.290000000000006</v>
      </c>
      <c r="BM2325" s="2">
        <v>11.24</v>
      </c>
      <c r="BN2325" s="2">
        <v>91.53</v>
      </c>
      <c r="BO2325" s="2">
        <v>91.53</v>
      </c>
      <c r="BP2325" s="2"/>
      <c r="BQ2325" s="2" t="s">
        <v>83</v>
      </c>
      <c r="BR2325" s="2" t="s">
        <v>84</v>
      </c>
      <c r="BS2325" s="3">
        <v>42969</v>
      </c>
      <c r="BT2325" s="4">
        <v>0.58333333333333337</v>
      </c>
      <c r="BU2325" s="2" t="s">
        <v>844</v>
      </c>
      <c r="BV2325" s="2" t="s">
        <v>95</v>
      </c>
      <c r="BW2325" s="2"/>
      <c r="BX2325" s="2"/>
      <c r="BY2325" s="2">
        <v>1200</v>
      </c>
      <c r="BZ2325" s="2"/>
      <c r="CA2325" s="2"/>
      <c r="CB2325" s="2"/>
      <c r="CC2325" s="2" t="s">
        <v>842</v>
      </c>
      <c r="CD2325" s="2">
        <v>3370</v>
      </c>
      <c r="CE2325" s="2" t="s">
        <v>104</v>
      </c>
      <c r="CF2325" s="5">
        <v>42971</v>
      </c>
      <c r="CG2325" s="2"/>
      <c r="CH2325" s="2"/>
      <c r="CI2325" s="2">
        <v>3</v>
      </c>
      <c r="CJ2325" s="2">
        <v>1</v>
      </c>
      <c r="CK2325" s="2">
        <v>23</v>
      </c>
      <c r="CL2325" s="2" t="s">
        <v>86</v>
      </c>
      <c r="CM2325" s="2"/>
    </row>
    <row r="2326" spans="1:91">
      <c r="A2326" s="2" t="s">
        <v>71</v>
      </c>
      <c r="B2326" s="2" t="s">
        <v>72</v>
      </c>
      <c r="C2326" s="2" t="s">
        <v>73</v>
      </c>
      <c r="D2326" s="2"/>
      <c r="E2326" s="2" t="str">
        <f>"FES1162570379"</f>
        <v>FES1162570379</v>
      </c>
      <c r="F2326" s="3">
        <v>42968</v>
      </c>
      <c r="G2326" s="2">
        <v>201802</v>
      </c>
      <c r="H2326" s="2" t="s">
        <v>74</v>
      </c>
      <c r="I2326" s="2" t="s">
        <v>75</v>
      </c>
      <c r="J2326" s="2" t="s">
        <v>76</v>
      </c>
      <c r="K2326" s="2" t="s">
        <v>77</v>
      </c>
      <c r="L2326" s="2" t="s">
        <v>221</v>
      </c>
      <c r="M2326" s="2" t="s">
        <v>222</v>
      </c>
      <c r="N2326" s="2" t="s">
        <v>415</v>
      </c>
      <c r="O2326" s="2" t="s">
        <v>100</v>
      </c>
      <c r="P2326" s="2" t="str">
        <f>"2170586176                    "</f>
        <v xml:space="preserve">2170586176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6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3</v>
      </c>
      <c r="BJ2326" s="2">
        <v>0.2</v>
      </c>
      <c r="BK2326" s="2">
        <v>3</v>
      </c>
      <c r="BL2326" s="2">
        <v>62.16</v>
      </c>
      <c r="BM2326" s="2">
        <v>8.6999999999999993</v>
      </c>
      <c r="BN2326" s="2">
        <v>70.86</v>
      </c>
      <c r="BO2326" s="2">
        <v>70.86</v>
      </c>
      <c r="BP2326" s="2"/>
      <c r="BQ2326" s="2" t="s">
        <v>108</v>
      </c>
      <c r="BR2326" s="2" t="s">
        <v>84</v>
      </c>
      <c r="BS2326" s="3">
        <v>42969</v>
      </c>
      <c r="BT2326" s="4">
        <v>0.36041666666666666</v>
      </c>
      <c r="BU2326" s="2" t="s">
        <v>933</v>
      </c>
      <c r="BV2326" s="2" t="s">
        <v>95</v>
      </c>
      <c r="BW2326" s="2"/>
      <c r="BX2326" s="2"/>
      <c r="BY2326" s="2">
        <v>1200</v>
      </c>
      <c r="BZ2326" s="2"/>
      <c r="CA2326" s="2" t="s">
        <v>934</v>
      </c>
      <c r="CB2326" s="2"/>
      <c r="CC2326" s="2" t="s">
        <v>222</v>
      </c>
      <c r="CD2326" s="2">
        <v>4302</v>
      </c>
      <c r="CE2326" s="2" t="s">
        <v>104</v>
      </c>
      <c r="CF2326" s="5">
        <v>42970</v>
      </c>
      <c r="CG2326" s="2"/>
      <c r="CH2326" s="2"/>
      <c r="CI2326" s="2">
        <v>1</v>
      </c>
      <c r="CJ2326" s="2">
        <v>1</v>
      </c>
      <c r="CK2326" s="2">
        <v>21</v>
      </c>
      <c r="CL2326" s="2" t="s">
        <v>86</v>
      </c>
      <c r="CM2326" s="2"/>
    </row>
    <row r="2327" spans="1:91">
      <c r="A2327" s="2" t="s">
        <v>71</v>
      </c>
      <c r="B2327" s="2" t="s">
        <v>72</v>
      </c>
      <c r="C2327" s="2" t="s">
        <v>73</v>
      </c>
      <c r="D2327" s="2"/>
      <c r="E2327" s="2" t="str">
        <f>"FES1162570203"</f>
        <v>FES1162570203</v>
      </c>
      <c r="F2327" s="3">
        <v>42968</v>
      </c>
      <c r="G2327" s="2">
        <v>201802</v>
      </c>
      <c r="H2327" s="2" t="s">
        <v>74</v>
      </c>
      <c r="I2327" s="2" t="s">
        <v>75</v>
      </c>
      <c r="J2327" s="2" t="s">
        <v>76</v>
      </c>
      <c r="K2327" s="2" t="s">
        <v>77</v>
      </c>
      <c r="L2327" s="2" t="s">
        <v>268</v>
      </c>
      <c r="M2327" s="2" t="s">
        <v>269</v>
      </c>
      <c r="N2327" s="2" t="s">
        <v>2821</v>
      </c>
      <c r="O2327" s="2" t="s">
        <v>100</v>
      </c>
      <c r="P2327" s="2" t="str">
        <f>"2170585975                    "</f>
        <v xml:space="preserve">2170585975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4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1</v>
      </c>
      <c r="BJ2327" s="2">
        <v>0.2</v>
      </c>
      <c r="BK2327" s="2">
        <v>1</v>
      </c>
      <c r="BL2327" s="2">
        <v>41.44</v>
      </c>
      <c r="BM2327" s="2">
        <v>5.8</v>
      </c>
      <c r="BN2327" s="2">
        <v>47.24</v>
      </c>
      <c r="BO2327" s="2">
        <v>47.24</v>
      </c>
      <c r="BP2327" s="2"/>
      <c r="BQ2327" s="2" t="s">
        <v>108</v>
      </c>
      <c r="BR2327" s="2" t="s">
        <v>84</v>
      </c>
      <c r="BS2327" s="3">
        <v>42969</v>
      </c>
      <c r="BT2327" s="4">
        <v>0.44097222222222227</v>
      </c>
      <c r="BU2327" s="2" t="s">
        <v>2822</v>
      </c>
      <c r="BV2327" s="2" t="s">
        <v>95</v>
      </c>
      <c r="BW2327" s="2"/>
      <c r="BX2327" s="2"/>
      <c r="BY2327" s="2">
        <v>1200</v>
      </c>
      <c r="BZ2327" s="2" t="s">
        <v>27</v>
      </c>
      <c r="CA2327" s="2" t="s">
        <v>2724</v>
      </c>
      <c r="CB2327" s="2"/>
      <c r="CC2327" s="2" t="s">
        <v>269</v>
      </c>
      <c r="CD2327" s="2">
        <v>200</v>
      </c>
      <c r="CE2327" s="2" t="s">
        <v>104</v>
      </c>
      <c r="CF2327" s="5">
        <v>42970</v>
      </c>
      <c r="CG2327" s="2"/>
      <c r="CH2327" s="2"/>
      <c r="CI2327" s="2">
        <v>1</v>
      </c>
      <c r="CJ2327" s="2">
        <v>1</v>
      </c>
      <c r="CK2327" s="2">
        <v>21</v>
      </c>
      <c r="CL2327" s="2" t="s">
        <v>86</v>
      </c>
      <c r="CM2327" s="2"/>
    </row>
    <row r="2328" spans="1:91">
      <c r="A2328" s="2" t="s">
        <v>71</v>
      </c>
      <c r="B2328" s="2" t="s">
        <v>72</v>
      </c>
      <c r="C2328" s="2" t="s">
        <v>73</v>
      </c>
      <c r="D2328" s="2"/>
      <c r="E2328" s="2" t="str">
        <f>"FES1162570300"</f>
        <v>FES1162570300</v>
      </c>
      <c r="F2328" s="3">
        <v>42968</v>
      </c>
      <c r="G2328" s="2">
        <v>201802</v>
      </c>
      <c r="H2328" s="2" t="s">
        <v>74</v>
      </c>
      <c r="I2328" s="2" t="s">
        <v>75</v>
      </c>
      <c r="J2328" s="2" t="s">
        <v>76</v>
      </c>
      <c r="K2328" s="2" t="s">
        <v>77</v>
      </c>
      <c r="L2328" s="2" t="s">
        <v>244</v>
      </c>
      <c r="M2328" s="2" t="s">
        <v>245</v>
      </c>
      <c r="N2328" s="2" t="s">
        <v>2817</v>
      </c>
      <c r="O2328" s="2" t="s">
        <v>81</v>
      </c>
      <c r="P2328" s="2" t="str">
        <f>"2170581586                    "</f>
        <v xml:space="preserve">2170581586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18.989999999999998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3</v>
      </c>
      <c r="BI2328" s="2">
        <v>85.7</v>
      </c>
      <c r="BJ2328" s="2">
        <v>26.3</v>
      </c>
      <c r="BK2328" s="2">
        <v>86</v>
      </c>
      <c r="BL2328" s="2">
        <v>201.6</v>
      </c>
      <c r="BM2328" s="2">
        <v>28.22</v>
      </c>
      <c r="BN2328" s="2">
        <v>229.82</v>
      </c>
      <c r="BO2328" s="2">
        <v>229.82</v>
      </c>
      <c r="BP2328" s="2"/>
      <c r="BQ2328" s="2" t="s">
        <v>83</v>
      </c>
      <c r="BR2328" s="2" t="s">
        <v>84</v>
      </c>
      <c r="BS2328" s="3">
        <v>42969</v>
      </c>
      <c r="BT2328" s="4">
        <v>0.48888888888888887</v>
      </c>
      <c r="BU2328" s="2" t="s">
        <v>1939</v>
      </c>
      <c r="BV2328" s="2" t="s">
        <v>95</v>
      </c>
      <c r="BW2328" s="2"/>
      <c r="BX2328" s="2"/>
      <c r="BY2328" s="2">
        <v>131627.49</v>
      </c>
      <c r="BZ2328" s="2"/>
      <c r="CA2328" s="2" t="s">
        <v>2823</v>
      </c>
      <c r="CB2328" s="2"/>
      <c r="CC2328" s="2" t="s">
        <v>245</v>
      </c>
      <c r="CD2328" s="2">
        <v>1459</v>
      </c>
      <c r="CE2328" s="2" t="s">
        <v>89</v>
      </c>
      <c r="CF2328" s="5">
        <v>42970</v>
      </c>
      <c r="CG2328" s="2"/>
      <c r="CH2328" s="2"/>
      <c r="CI2328" s="2">
        <v>1</v>
      </c>
      <c r="CJ2328" s="2">
        <v>1</v>
      </c>
      <c r="CK2328" s="2" t="s">
        <v>132</v>
      </c>
      <c r="CL2328" s="2" t="s">
        <v>86</v>
      </c>
      <c r="CM2328" s="2"/>
    </row>
    <row r="2329" spans="1:91">
      <c r="A2329" s="2" t="s">
        <v>71</v>
      </c>
      <c r="B2329" s="2" t="s">
        <v>72</v>
      </c>
      <c r="C2329" s="2" t="s">
        <v>73</v>
      </c>
      <c r="D2329" s="2"/>
      <c r="E2329" s="2" t="str">
        <f>"FES1162570241"</f>
        <v>FES1162570241</v>
      </c>
      <c r="F2329" s="3">
        <v>42968</v>
      </c>
      <c r="G2329" s="2">
        <v>201802</v>
      </c>
      <c r="H2329" s="2" t="s">
        <v>74</v>
      </c>
      <c r="I2329" s="2" t="s">
        <v>75</v>
      </c>
      <c r="J2329" s="2" t="s">
        <v>76</v>
      </c>
      <c r="K2329" s="2" t="s">
        <v>77</v>
      </c>
      <c r="L2329" s="2" t="s">
        <v>144</v>
      </c>
      <c r="M2329" s="2" t="s">
        <v>145</v>
      </c>
      <c r="N2329" s="2" t="s">
        <v>146</v>
      </c>
      <c r="O2329" s="2" t="s">
        <v>81</v>
      </c>
      <c r="P2329" s="2" t="str">
        <f>"2170586018                    "</f>
        <v xml:space="preserve">2170586018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9.58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2</v>
      </c>
      <c r="BI2329" s="2">
        <v>35</v>
      </c>
      <c r="BJ2329" s="2">
        <v>35.200000000000003</v>
      </c>
      <c r="BK2329" s="2">
        <v>36</v>
      </c>
      <c r="BL2329" s="2">
        <v>104.19</v>
      </c>
      <c r="BM2329" s="2">
        <v>14.59</v>
      </c>
      <c r="BN2329" s="2">
        <v>118.78</v>
      </c>
      <c r="BO2329" s="2">
        <v>118.78</v>
      </c>
      <c r="BP2329" s="2"/>
      <c r="BQ2329" s="2" t="s">
        <v>83</v>
      </c>
      <c r="BR2329" s="2" t="s">
        <v>84</v>
      </c>
      <c r="BS2329" s="3">
        <v>42969</v>
      </c>
      <c r="BT2329" s="4">
        <v>0.52430555555555558</v>
      </c>
      <c r="BU2329" s="2" t="s">
        <v>2643</v>
      </c>
      <c r="BV2329" s="2" t="s">
        <v>95</v>
      </c>
      <c r="BW2329" s="2"/>
      <c r="BX2329" s="2"/>
      <c r="BY2329" s="2">
        <v>176093.83</v>
      </c>
      <c r="BZ2329" s="2"/>
      <c r="CA2329" s="2"/>
      <c r="CB2329" s="2"/>
      <c r="CC2329" s="2" t="s">
        <v>145</v>
      </c>
      <c r="CD2329" s="2">
        <v>2094</v>
      </c>
      <c r="CE2329" s="2" t="s">
        <v>89</v>
      </c>
      <c r="CF2329" s="5">
        <v>42970</v>
      </c>
      <c r="CG2329" s="2"/>
      <c r="CH2329" s="2"/>
      <c r="CI2329" s="2">
        <v>1</v>
      </c>
      <c r="CJ2329" s="2">
        <v>1</v>
      </c>
      <c r="CK2329" s="2" t="s">
        <v>132</v>
      </c>
      <c r="CL2329" s="2" t="s">
        <v>86</v>
      </c>
      <c r="CM2329" s="2"/>
    </row>
    <row r="2330" spans="1:91">
      <c r="A2330" s="2" t="s">
        <v>71</v>
      </c>
      <c r="B2330" s="2" t="s">
        <v>72</v>
      </c>
      <c r="C2330" s="2" t="s">
        <v>73</v>
      </c>
      <c r="D2330" s="2"/>
      <c r="E2330" s="2" t="str">
        <f>"FES1162570380"</f>
        <v>FES1162570380</v>
      </c>
      <c r="F2330" s="3">
        <v>42968</v>
      </c>
      <c r="G2330" s="2">
        <v>201802</v>
      </c>
      <c r="H2330" s="2" t="s">
        <v>74</v>
      </c>
      <c r="I2330" s="2" t="s">
        <v>75</v>
      </c>
      <c r="J2330" s="2" t="s">
        <v>76</v>
      </c>
      <c r="K2330" s="2" t="s">
        <v>77</v>
      </c>
      <c r="L2330" s="2" t="s">
        <v>252</v>
      </c>
      <c r="M2330" s="2" t="s">
        <v>106</v>
      </c>
      <c r="N2330" s="2" t="s">
        <v>870</v>
      </c>
      <c r="O2330" s="2" t="s">
        <v>81</v>
      </c>
      <c r="P2330" s="2" t="str">
        <f>"2170585880                    "</f>
        <v xml:space="preserve">2170585880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12.05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2</v>
      </c>
      <c r="BI2330" s="2">
        <v>25.3</v>
      </c>
      <c r="BJ2330" s="2">
        <v>18.100000000000001</v>
      </c>
      <c r="BK2330" s="2">
        <v>26</v>
      </c>
      <c r="BL2330" s="2">
        <v>129.77000000000001</v>
      </c>
      <c r="BM2330" s="2">
        <v>18.170000000000002</v>
      </c>
      <c r="BN2330" s="2">
        <v>147.94</v>
      </c>
      <c r="BO2330" s="2">
        <v>147.94</v>
      </c>
      <c r="BP2330" s="2"/>
      <c r="BQ2330" s="2" t="s">
        <v>227</v>
      </c>
      <c r="BR2330" s="2" t="s">
        <v>84</v>
      </c>
      <c r="BS2330" s="3">
        <v>42970</v>
      </c>
      <c r="BT2330" s="4">
        <v>0.41666666666666669</v>
      </c>
      <c r="BU2330" s="2" t="s">
        <v>2581</v>
      </c>
      <c r="BV2330" s="2" t="s">
        <v>95</v>
      </c>
      <c r="BW2330" s="2"/>
      <c r="BX2330" s="2"/>
      <c r="BY2330" s="2">
        <v>90263.84</v>
      </c>
      <c r="BZ2330" s="2"/>
      <c r="CA2330" s="2"/>
      <c r="CB2330" s="2"/>
      <c r="CC2330" s="2" t="s">
        <v>106</v>
      </c>
      <c r="CD2330" s="2">
        <v>8000</v>
      </c>
      <c r="CE2330" s="2" t="s">
        <v>89</v>
      </c>
      <c r="CF2330" s="5">
        <v>42972</v>
      </c>
      <c r="CG2330" s="2"/>
      <c r="CH2330" s="2"/>
      <c r="CI2330" s="2">
        <v>2</v>
      </c>
      <c r="CJ2330" s="2">
        <v>2</v>
      </c>
      <c r="CK2330" s="2" t="s">
        <v>136</v>
      </c>
      <c r="CL2330" s="2" t="s">
        <v>86</v>
      </c>
      <c r="CM2330" s="2"/>
    </row>
    <row r="2331" spans="1:91">
      <c r="A2331" s="2" t="s">
        <v>71</v>
      </c>
      <c r="B2331" s="2" t="s">
        <v>72</v>
      </c>
      <c r="C2331" s="2" t="s">
        <v>73</v>
      </c>
      <c r="D2331" s="2"/>
      <c r="E2331" s="2" t="str">
        <f>"FES1162570337"</f>
        <v>FES1162570337</v>
      </c>
      <c r="F2331" s="3">
        <v>42968</v>
      </c>
      <c r="G2331" s="2">
        <v>201802</v>
      </c>
      <c r="H2331" s="2" t="s">
        <v>74</v>
      </c>
      <c r="I2331" s="2" t="s">
        <v>75</v>
      </c>
      <c r="J2331" s="2" t="s">
        <v>76</v>
      </c>
      <c r="K2331" s="2" t="s">
        <v>77</v>
      </c>
      <c r="L2331" s="2" t="s">
        <v>105</v>
      </c>
      <c r="M2331" s="2" t="s">
        <v>106</v>
      </c>
      <c r="N2331" s="2" t="s">
        <v>397</v>
      </c>
      <c r="O2331" s="2" t="s">
        <v>100</v>
      </c>
      <c r="P2331" s="2" t="str">
        <f>"2170586107                    "</f>
        <v xml:space="preserve">2170586107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4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1</v>
      </c>
      <c r="BJ2331" s="2">
        <v>0.5</v>
      </c>
      <c r="BK2331" s="2">
        <v>1</v>
      </c>
      <c r="BL2331" s="2">
        <v>41.44</v>
      </c>
      <c r="BM2331" s="2">
        <v>5.8</v>
      </c>
      <c r="BN2331" s="2">
        <v>47.24</v>
      </c>
      <c r="BO2331" s="2">
        <v>47.24</v>
      </c>
      <c r="BP2331" s="2"/>
      <c r="BQ2331" s="2" t="s">
        <v>83</v>
      </c>
      <c r="BR2331" s="2" t="s">
        <v>84</v>
      </c>
      <c r="BS2331" s="3">
        <v>42969</v>
      </c>
      <c r="BT2331" s="4">
        <v>0.36944444444444446</v>
      </c>
      <c r="BU2331" s="2" t="s">
        <v>408</v>
      </c>
      <c r="BV2331" s="2" t="s">
        <v>95</v>
      </c>
      <c r="BW2331" s="2"/>
      <c r="BX2331" s="2"/>
      <c r="BY2331" s="2">
        <v>2400</v>
      </c>
      <c r="BZ2331" s="2"/>
      <c r="CA2331" s="2" t="s">
        <v>112</v>
      </c>
      <c r="CB2331" s="2"/>
      <c r="CC2331" s="2" t="s">
        <v>106</v>
      </c>
      <c r="CD2331" s="2">
        <v>7405</v>
      </c>
      <c r="CE2331" s="2" t="s">
        <v>104</v>
      </c>
      <c r="CF2331" s="5">
        <v>42970</v>
      </c>
      <c r="CG2331" s="2"/>
      <c r="CH2331" s="2"/>
      <c r="CI2331" s="2">
        <v>1</v>
      </c>
      <c r="CJ2331" s="2">
        <v>1</v>
      </c>
      <c r="CK2331" s="2">
        <v>21</v>
      </c>
      <c r="CL2331" s="2" t="s">
        <v>86</v>
      </c>
      <c r="CM2331" s="2"/>
    </row>
    <row r="2332" spans="1:91">
      <c r="A2332" s="2" t="s">
        <v>71</v>
      </c>
      <c r="B2332" s="2" t="s">
        <v>72</v>
      </c>
      <c r="C2332" s="2" t="s">
        <v>73</v>
      </c>
      <c r="D2332" s="2"/>
      <c r="E2332" s="2" t="str">
        <f>"FES1162567826"</f>
        <v>FES1162567826</v>
      </c>
      <c r="F2332" s="3">
        <v>42955</v>
      </c>
      <c r="G2332" s="2">
        <v>201802</v>
      </c>
      <c r="H2332" s="2" t="s">
        <v>74</v>
      </c>
      <c r="I2332" s="2" t="s">
        <v>75</v>
      </c>
      <c r="J2332" s="2" t="s">
        <v>118</v>
      </c>
      <c r="K2332" s="2" t="s">
        <v>77</v>
      </c>
      <c r="L2332" s="2" t="s">
        <v>944</v>
      </c>
      <c r="M2332" s="2" t="s">
        <v>944</v>
      </c>
      <c r="N2332" s="2" t="s">
        <v>1137</v>
      </c>
      <c r="O2332" s="2" t="s">
        <v>358</v>
      </c>
      <c r="P2332" s="2" t="str">
        <f>"2170583987                    "</f>
        <v xml:space="preserve">2170583987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5.63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3.6</v>
      </c>
      <c r="BJ2332" s="2">
        <v>5.4</v>
      </c>
      <c r="BK2332" s="2">
        <v>6</v>
      </c>
      <c r="BL2332" s="2">
        <v>58.28</v>
      </c>
      <c r="BM2332" s="2">
        <v>8.16</v>
      </c>
      <c r="BN2332" s="2">
        <v>66.44</v>
      </c>
      <c r="BO2332" s="2">
        <v>66.44</v>
      </c>
      <c r="BP2332" s="2" t="s">
        <v>101</v>
      </c>
      <c r="BQ2332" s="2" t="s">
        <v>2824</v>
      </c>
      <c r="BR2332" s="2" t="s">
        <v>122</v>
      </c>
      <c r="BS2332" s="3">
        <v>42957</v>
      </c>
      <c r="BT2332" s="4">
        <v>0.43194444444444446</v>
      </c>
      <c r="BU2332" s="2" t="s">
        <v>1507</v>
      </c>
      <c r="BV2332" s="2" t="s">
        <v>86</v>
      </c>
      <c r="BW2332" s="2" t="s">
        <v>124</v>
      </c>
      <c r="BX2332" s="2" t="s">
        <v>1150</v>
      </c>
      <c r="BY2332" s="2">
        <v>27222.1</v>
      </c>
      <c r="BZ2332" s="2" t="s">
        <v>27</v>
      </c>
      <c r="CA2332" s="2" t="s">
        <v>960</v>
      </c>
      <c r="CB2332" s="2"/>
      <c r="CC2332" s="2" t="s">
        <v>944</v>
      </c>
      <c r="CD2332" s="2">
        <v>1490</v>
      </c>
      <c r="CE2332" s="2" t="s">
        <v>89</v>
      </c>
      <c r="CF2332" s="5">
        <v>42958</v>
      </c>
      <c r="CG2332" s="2"/>
      <c r="CH2332" s="2"/>
      <c r="CI2332" s="2">
        <v>1</v>
      </c>
      <c r="CJ2332" s="2">
        <v>2</v>
      </c>
      <c r="CK2332" s="2">
        <v>34</v>
      </c>
      <c r="CL2332" s="2" t="s">
        <v>86</v>
      </c>
      <c r="CM2332" s="2"/>
    </row>
    <row r="2333" spans="1:91">
      <c r="A2333" s="2" t="s">
        <v>71</v>
      </c>
      <c r="B2333" s="2" t="s">
        <v>72</v>
      </c>
      <c r="C2333" s="2" t="s">
        <v>73</v>
      </c>
      <c r="D2333" s="2"/>
      <c r="E2333" s="2" t="str">
        <f>"FES1162570228"</f>
        <v>FES1162570228</v>
      </c>
      <c r="F2333" s="3">
        <v>42968</v>
      </c>
      <c r="G2333" s="2">
        <v>201802</v>
      </c>
      <c r="H2333" s="2" t="s">
        <v>74</v>
      </c>
      <c r="I2333" s="2" t="s">
        <v>75</v>
      </c>
      <c r="J2333" s="2" t="s">
        <v>76</v>
      </c>
      <c r="K2333" s="2" t="s">
        <v>77</v>
      </c>
      <c r="L2333" s="2" t="s">
        <v>149</v>
      </c>
      <c r="M2333" s="2" t="s">
        <v>150</v>
      </c>
      <c r="N2333" s="2" t="s">
        <v>2548</v>
      </c>
      <c r="O2333" s="2" t="s">
        <v>100</v>
      </c>
      <c r="P2333" s="2" t="str">
        <f>"2170584712                    "</f>
        <v xml:space="preserve">2170584712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14.01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6</v>
      </c>
      <c r="BJ2333" s="2">
        <v>6.9</v>
      </c>
      <c r="BK2333" s="2">
        <v>7</v>
      </c>
      <c r="BL2333" s="2">
        <v>145.05000000000001</v>
      </c>
      <c r="BM2333" s="2">
        <v>20.309999999999999</v>
      </c>
      <c r="BN2333" s="2">
        <v>165.36</v>
      </c>
      <c r="BO2333" s="2">
        <v>165.36</v>
      </c>
      <c r="BP2333" s="2"/>
      <c r="BQ2333" s="2" t="s">
        <v>572</v>
      </c>
      <c r="BR2333" s="2" t="s">
        <v>84</v>
      </c>
      <c r="BS2333" s="3">
        <v>42970</v>
      </c>
      <c r="BT2333" s="4">
        <v>0.40138888888888885</v>
      </c>
      <c r="BU2333" s="2" t="s">
        <v>2825</v>
      </c>
      <c r="BV2333" s="2" t="s">
        <v>86</v>
      </c>
      <c r="BW2333" s="2" t="s">
        <v>124</v>
      </c>
      <c r="BX2333" s="2" t="s">
        <v>337</v>
      </c>
      <c r="BY2333" s="2">
        <v>34632</v>
      </c>
      <c r="BZ2333" s="2"/>
      <c r="CA2333" s="2" t="s">
        <v>1163</v>
      </c>
      <c r="CB2333" s="2"/>
      <c r="CC2333" s="2" t="s">
        <v>150</v>
      </c>
      <c r="CD2333" s="2">
        <v>4072</v>
      </c>
      <c r="CE2333" s="2" t="s">
        <v>89</v>
      </c>
      <c r="CF2333" s="5">
        <v>42971</v>
      </c>
      <c r="CG2333" s="2"/>
      <c r="CH2333" s="2"/>
      <c r="CI2333" s="2">
        <v>1</v>
      </c>
      <c r="CJ2333" s="2">
        <v>2</v>
      </c>
      <c r="CK2333" s="2">
        <v>21</v>
      </c>
      <c r="CL2333" s="2" t="s">
        <v>86</v>
      </c>
      <c r="CM2333" s="2"/>
    </row>
    <row r="2334" spans="1:91">
      <c r="A2334" s="2" t="s">
        <v>71</v>
      </c>
      <c r="B2334" s="2" t="s">
        <v>72</v>
      </c>
      <c r="C2334" s="2" t="s">
        <v>73</v>
      </c>
      <c r="D2334" s="2"/>
      <c r="E2334" s="2" t="str">
        <f>"FES1162566594"</f>
        <v>FES1162566594</v>
      </c>
      <c r="F2334" s="3">
        <v>42950</v>
      </c>
      <c r="G2334" s="2">
        <v>201802</v>
      </c>
      <c r="H2334" s="2" t="s">
        <v>74</v>
      </c>
      <c r="I2334" s="2" t="s">
        <v>75</v>
      </c>
      <c r="J2334" s="2" t="s">
        <v>118</v>
      </c>
      <c r="K2334" s="2" t="s">
        <v>77</v>
      </c>
      <c r="L2334" s="2" t="s">
        <v>723</v>
      </c>
      <c r="M2334" s="2" t="s">
        <v>724</v>
      </c>
      <c r="N2334" s="2" t="s">
        <v>2327</v>
      </c>
      <c r="O2334" s="2" t="s">
        <v>358</v>
      </c>
      <c r="P2334" s="2" t="str">
        <f>"2170582937                    "</f>
        <v xml:space="preserve">2170582937 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5.63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1.6</v>
      </c>
      <c r="BJ2334" s="2">
        <v>2.1</v>
      </c>
      <c r="BK2334" s="2">
        <v>3</v>
      </c>
      <c r="BL2334" s="2">
        <v>58.28</v>
      </c>
      <c r="BM2334" s="2">
        <v>8.16</v>
      </c>
      <c r="BN2334" s="2">
        <v>66.44</v>
      </c>
      <c r="BO2334" s="2">
        <v>66.44</v>
      </c>
      <c r="BP2334" s="2"/>
      <c r="BQ2334" s="2" t="s">
        <v>83</v>
      </c>
      <c r="BR2334" s="2" t="s">
        <v>122</v>
      </c>
      <c r="BS2334" s="3">
        <v>42951</v>
      </c>
      <c r="BT2334" s="4">
        <v>0.4375</v>
      </c>
      <c r="BU2334" s="2" t="s">
        <v>2328</v>
      </c>
      <c r="BV2334" s="2" t="s">
        <v>95</v>
      </c>
      <c r="BW2334" s="2"/>
      <c r="BX2334" s="2"/>
      <c r="BY2334" s="2">
        <v>10679.1</v>
      </c>
      <c r="BZ2334" s="2" t="s">
        <v>27</v>
      </c>
      <c r="CA2334" s="2" t="s">
        <v>148</v>
      </c>
      <c r="CB2334" s="2"/>
      <c r="CC2334" s="2" t="s">
        <v>724</v>
      </c>
      <c r="CD2334" s="2">
        <v>1739</v>
      </c>
      <c r="CE2334" s="2" t="s">
        <v>104</v>
      </c>
      <c r="CF2334" s="5">
        <v>42954</v>
      </c>
      <c r="CG2334" s="2"/>
      <c r="CH2334" s="2"/>
      <c r="CI2334" s="2">
        <v>1</v>
      </c>
      <c r="CJ2334" s="2">
        <v>1</v>
      </c>
      <c r="CK2334" s="2">
        <v>34</v>
      </c>
      <c r="CL2334" s="2" t="s">
        <v>86</v>
      </c>
      <c r="CM2334" s="2"/>
    </row>
    <row r="2335" spans="1:91">
      <c r="A2335" s="2" t="s">
        <v>71</v>
      </c>
      <c r="B2335" s="2" t="s">
        <v>72</v>
      </c>
      <c r="C2335" s="2" t="s">
        <v>73</v>
      </c>
      <c r="D2335" s="2"/>
      <c r="E2335" s="2" t="str">
        <f>"FES1162568205"</f>
        <v>FES1162568205</v>
      </c>
      <c r="F2335" s="3">
        <v>42957</v>
      </c>
      <c r="G2335" s="2">
        <v>201802</v>
      </c>
      <c r="H2335" s="2" t="s">
        <v>74</v>
      </c>
      <c r="I2335" s="2" t="s">
        <v>75</v>
      </c>
      <c r="J2335" s="2" t="s">
        <v>118</v>
      </c>
      <c r="K2335" s="2" t="s">
        <v>77</v>
      </c>
      <c r="L2335" s="2" t="s">
        <v>944</v>
      </c>
      <c r="M2335" s="2" t="s">
        <v>944</v>
      </c>
      <c r="N2335" s="2" t="s">
        <v>1096</v>
      </c>
      <c r="O2335" s="2" t="s">
        <v>358</v>
      </c>
      <c r="P2335" s="2" t="str">
        <f>"2170583749                    "</f>
        <v xml:space="preserve">2170583749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5.63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3.7</v>
      </c>
      <c r="BJ2335" s="2">
        <v>3.5</v>
      </c>
      <c r="BK2335" s="2">
        <v>4</v>
      </c>
      <c r="BL2335" s="2">
        <v>58.28</v>
      </c>
      <c r="BM2335" s="2">
        <v>8.16</v>
      </c>
      <c r="BN2335" s="2">
        <v>66.44</v>
      </c>
      <c r="BO2335" s="2">
        <v>66.44</v>
      </c>
      <c r="BP2335" s="2"/>
      <c r="BQ2335" s="2" t="s">
        <v>83</v>
      </c>
      <c r="BR2335" s="2" t="s">
        <v>122</v>
      </c>
      <c r="BS2335" s="3">
        <v>42958</v>
      </c>
      <c r="BT2335" s="4">
        <v>0.48958333333333331</v>
      </c>
      <c r="BU2335" s="2" t="s">
        <v>1142</v>
      </c>
      <c r="BV2335" s="2" t="s">
        <v>95</v>
      </c>
      <c r="BW2335" s="2"/>
      <c r="BX2335" s="2"/>
      <c r="BY2335" s="2">
        <v>17335.669999999998</v>
      </c>
      <c r="BZ2335" s="2" t="s">
        <v>27</v>
      </c>
      <c r="CA2335" s="2"/>
      <c r="CB2335" s="2"/>
      <c r="CC2335" s="2" t="s">
        <v>944</v>
      </c>
      <c r="CD2335" s="2">
        <v>1490</v>
      </c>
      <c r="CE2335" s="2" t="s">
        <v>89</v>
      </c>
      <c r="CF2335" s="5">
        <v>42961</v>
      </c>
      <c r="CG2335" s="2"/>
      <c r="CH2335" s="2"/>
      <c r="CI2335" s="2">
        <v>1</v>
      </c>
      <c r="CJ2335" s="2">
        <v>1</v>
      </c>
      <c r="CK2335" s="2">
        <v>34</v>
      </c>
      <c r="CL2335" s="2" t="s">
        <v>86</v>
      </c>
      <c r="CM2335" s="2"/>
    </row>
    <row r="2336" spans="1:91">
      <c r="A2336" s="2" t="s">
        <v>71</v>
      </c>
      <c r="B2336" s="2" t="s">
        <v>72</v>
      </c>
      <c r="C2336" s="2" t="s">
        <v>73</v>
      </c>
      <c r="D2336" s="2"/>
      <c r="E2336" s="2" t="str">
        <f>"FES1162566492"</f>
        <v>FES1162566492</v>
      </c>
      <c r="F2336" s="3">
        <v>42949</v>
      </c>
      <c r="G2336" s="2">
        <v>201802</v>
      </c>
      <c r="H2336" s="2" t="s">
        <v>74</v>
      </c>
      <c r="I2336" s="2" t="s">
        <v>75</v>
      </c>
      <c r="J2336" s="2" t="s">
        <v>118</v>
      </c>
      <c r="K2336" s="2" t="s">
        <v>77</v>
      </c>
      <c r="L2336" s="2" t="s">
        <v>939</v>
      </c>
      <c r="M2336" s="2" t="s">
        <v>940</v>
      </c>
      <c r="N2336" s="2" t="s">
        <v>2752</v>
      </c>
      <c r="O2336" s="2" t="s">
        <v>358</v>
      </c>
      <c r="P2336" s="2" t="str">
        <f>"2170582850                    "</f>
        <v xml:space="preserve">2170582850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5.63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1</v>
      </c>
      <c r="BI2336" s="2">
        <v>1</v>
      </c>
      <c r="BJ2336" s="2">
        <v>2.2999999999999998</v>
      </c>
      <c r="BK2336" s="2">
        <v>3</v>
      </c>
      <c r="BL2336" s="2">
        <v>58.28</v>
      </c>
      <c r="BM2336" s="2">
        <v>8.16</v>
      </c>
      <c r="BN2336" s="2">
        <v>66.44</v>
      </c>
      <c r="BO2336" s="2">
        <v>66.44</v>
      </c>
      <c r="BP2336" s="2"/>
      <c r="BQ2336" s="2"/>
      <c r="BR2336" s="2" t="s">
        <v>122</v>
      </c>
      <c r="BS2336" s="3">
        <v>42950</v>
      </c>
      <c r="BT2336" s="4">
        <v>0.57986111111111105</v>
      </c>
      <c r="BU2336" s="2" t="s">
        <v>2826</v>
      </c>
      <c r="BV2336" s="2" t="s">
        <v>95</v>
      </c>
      <c r="BW2336" s="2"/>
      <c r="BX2336" s="2"/>
      <c r="BY2336" s="2">
        <v>11700</v>
      </c>
      <c r="BZ2336" s="2" t="s">
        <v>27</v>
      </c>
      <c r="CA2336" s="2" t="s">
        <v>943</v>
      </c>
      <c r="CB2336" s="2"/>
      <c r="CC2336" s="2" t="s">
        <v>940</v>
      </c>
      <c r="CD2336" s="2">
        <v>1028</v>
      </c>
      <c r="CE2336" s="2" t="s">
        <v>948</v>
      </c>
      <c r="CF2336" s="5">
        <v>42951</v>
      </c>
      <c r="CG2336" s="2"/>
      <c r="CH2336" s="2"/>
      <c r="CI2336" s="2">
        <v>2</v>
      </c>
      <c r="CJ2336" s="2">
        <v>1</v>
      </c>
      <c r="CK2336" s="2">
        <v>34</v>
      </c>
      <c r="CL2336" s="2" t="s">
        <v>86</v>
      </c>
      <c r="CM2336" s="2"/>
    </row>
    <row r="2337" spans="1:91">
      <c r="A2337" s="2" t="s">
        <v>71</v>
      </c>
      <c r="B2337" s="2" t="s">
        <v>72</v>
      </c>
      <c r="C2337" s="2" t="s">
        <v>73</v>
      </c>
      <c r="D2337" s="2"/>
      <c r="E2337" s="2" t="str">
        <f>"009935791634"</f>
        <v>009935791634</v>
      </c>
      <c r="F2337" s="3">
        <v>42964</v>
      </c>
      <c r="G2337" s="2">
        <v>201802</v>
      </c>
      <c r="H2337" s="2" t="s">
        <v>74</v>
      </c>
      <c r="I2337" s="2" t="s">
        <v>75</v>
      </c>
      <c r="J2337" s="2" t="s">
        <v>118</v>
      </c>
      <c r="K2337" s="2" t="s">
        <v>77</v>
      </c>
      <c r="L2337" s="2" t="s">
        <v>216</v>
      </c>
      <c r="M2337" s="2" t="s">
        <v>217</v>
      </c>
      <c r="N2337" s="2" t="s">
        <v>1489</v>
      </c>
      <c r="O2337" s="2" t="s">
        <v>100</v>
      </c>
      <c r="P2337" s="2" t="str">
        <f>"1162566848 - 2170575534       "</f>
        <v xml:space="preserve">1162566848 - 2170575534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3.13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1</v>
      </c>
      <c r="BI2337" s="2">
        <v>1</v>
      </c>
      <c r="BJ2337" s="2">
        <v>0.2</v>
      </c>
      <c r="BK2337" s="2">
        <v>1</v>
      </c>
      <c r="BL2337" s="2">
        <v>32.380000000000003</v>
      </c>
      <c r="BM2337" s="2">
        <v>4.53</v>
      </c>
      <c r="BN2337" s="2">
        <v>36.909999999999997</v>
      </c>
      <c r="BO2337" s="2">
        <v>36.909999999999997</v>
      </c>
      <c r="BP2337" s="2"/>
      <c r="BQ2337" s="2" t="s">
        <v>2827</v>
      </c>
      <c r="BR2337" s="2" t="s">
        <v>122</v>
      </c>
      <c r="BS2337" s="3">
        <v>42971</v>
      </c>
      <c r="BT2337" s="4">
        <v>0.43194444444444446</v>
      </c>
      <c r="BU2337" s="2" t="s">
        <v>2828</v>
      </c>
      <c r="BV2337" s="2" t="s">
        <v>86</v>
      </c>
      <c r="BW2337" s="2" t="s">
        <v>124</v>
      </c>
      <c r="BX2337" s="2" t="s">
        <v>498</v>
      </c>
      <c r="BY2337" s="2">
        <v>7869.96</v>
      </c>
      <c r="BZ2337" s="2" t="s">
        <v>27</v>
      </c>
      <c r="CA2337" s="2" t="s">
        <v>1217</v>
      </c>
      <c r="CB2337" s="2"/>
      <c r="CC2337" s="2" t="s">
        <v>217</v>
      </c>
      <c r="CD2337" s="2">
        <v>1541</v>
      </c>
      <c r="CE2337" s="2" t="s">
        <v>104</v>
      </c>
      <c r="CF2337" s="5">
        <v>42972</v>
      </c>
      <c r="CG2337" s="2"/>
      <c r="CH2337" s="2"/>
      <c r="CI2337" s="2">
        <v>1</v>
      </c>
      <c r="CJ2337" s="2">
        <v>5</v>
      </c>
      <c r="CK2337" s="2">
        <v>22</v>
      </c>
      <c r="CL2337" s="2" t="s">
        <v>86</v>
      </c>
      <c r="CM2337" s="2"/>
    </row>
    <row r="2338" spans="1:91">
      <c r="A2338" s="2" t="s">
        <v>71</v>
      </c>
      <c r="B2338" s="2" t="s">
        <v>72</v>
      </c>
      <c r="C2338" s="2" t="s">
        <v>73</v>
      </c>
      <c r="D2338" s="2"/>
      <c r="E2338" s="2" t="str">
        <f>"FES1162567009"</f>
        <v>FES1162567009</v>
      </c>
      <c r="F2338" s="3">
        <v>42951</v>
      </c>
      <c r="G2338" s="2">
        <v>201802</v>
      </c>
      <c r="H2338" s="2" t="s">
        <v>74</v>
      </c>
      <c r="I2338" s="2" t="s">
        <v>75</v>
      </c>
      <c r="J2338" s="2" t="s">
        <v>118</v>
      </c>
      <c r="K2338" s="2" t="s">
        <v>77</v>
      </c>
      <c r="L2338" s="2" t="s">
        <v>159</v>
      </c>
      <c r="M2338" s="2" t="s">
        <v>160</v>
      </c>
      <c r="N2338" s="2" t="s">
        <v>2829</v>
      </c>
      <c r="O2338" s="2" t="s">
        <v>358</v>
      </c>
      <c r="P2338" s="2" t="str">
        <f>"21705832255                   "</f>
        <v xml:space="preserve">21705832255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5.63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2.8</v>
      </c>
      <c r="BJ2338" s="2">
        <v>4.0999999999999996</v>
      </c>
      <c r="BK2338" s="2">
        <v>5</v>
      </c>
      <c r="BL2338" s="2">
        <v>58.28</v>
      </c>
      <c r="BM2338" s="2">
        <v>8.16</v>
      </c>
      <c r="BN2338" s="2">
        <v>66.44</v>
      </c>
      <c r="BO2338" s="2">
        <v>66.44</v>
      </c>
      <c r="BP2338" s="2"/>
      <c r="BQ2338" s="2" t="s">
        <v>209</v>
      </c>
      <c r="BR2338" s="2" t="s">
        <v>122</v>
      </c>
      <c r="BS2338" s="3">
        <v>42954</v>
      </c>
      <c r="BT2338" s="4">
        <v>0.55833333333333335</v>
      </c>
      <c r="BU2338" s="2" t="s">
        <v>125</v>
      </c>
      <c r="BV2338" s="2" t="s">
        <v>86</v>
      </c>
      <c r="BW2338" s="2" t="s">
        <v>336</v>
      </c>
      <c r="BX2338" s="2" t="s">
        <v>623</v>
      </c>
      <c r="BY2338" s="2">
        <v>20496</v>
      </c>
      <c r="BZ2338" s="2" t="s">
        <v>27</v>
      </c>
      <c r="CA2338" s="2" t="s">
        <v>956</v>
      </c>
      <c r="CB2338" s="2"/>
      <c r="CC2338" s="2" t="s">
        <v>160</v>
      </c>
      <c r="CD2338" s="2">
        <v>407</v>
      </c>
      <c r="CE2338" s="2" t="s">
        <v>948</v>
      </c>
      <c r="CF2338" s="5">
        <v>42957</v>
      </c>
      <c r="CG2338" s="2"/>
      <c r="CH2338" s="2"/>
      <c r="CI2338" s="2">
        <v>1</v>
      </c>
      <c r="CJ2338" s="2">
        <v>1</v>
      </c>
      <c r="CK2338" s="2">
        <v>34</v>
      </c>
      <c r="CL2338" s="2" t="s">
        <v>86</v>
      </c>
      <c r="CM2338" s="2"/>
    </row>
    <row r="2339" spans="1:91">
      <c r="A2339" s="2" t="s">
        <v>71</v>
      </c>
      <c r="B2339" s="2" t="s">
        <v>72</v>
      </c>
      <c r="C2339" s="2" t="s">
        <v>73</v>
      </c>
      <c r="D2339" s="2"/>
      <c r="E2339" s="2" t="str">
        <f>"FES1162567681"</f>
        <v>FES1162567681</v>
      </c>
      <c r="F2339" s="3">
        <v>42955</v>
      </c>
      <c r="G2339" s="2">
        <v>201802</v>
      </c>
      <c r="H2339" s="2" t="s">
        <v>74</v>
      </c>
      <c r="I2339" s="2" t="s">
        <v>75</v>
      </c>
      <c r="J2339" s="2" t="s">
        <v>118</v>
      </c>
      <c r="K2339" s="2" t="s">
        <v>77</v>
      </c>
      <c r="L2339" s="2" t="s">
        <v>144</v>
      </c>
      <c r="M2339" s="2" t="s">
        <v>145</v>
      </c>
      <c r="N2339" s="2" t="s">
        <v>915</v>
      </c>
      <c r="O2339" s="2" t="s">
        <v>358</v>
      </c>
      <c r="P2339" s="2" t="str">
        <f>"2170583816                    "</f>
        <v xml:space="preserve">2170583816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5.93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1</v>
      </c>
      <c r="BI2339" s="2">
        <v>15.4</v>
      </c>
      <c r="BJ2339" s="2">
        <v>8</v>
      </c>
      <c r="BK2339" s="2">
        <v>16</v>
      </c>
      <c r="BL2339" s="2">
        <v>61.42</v>
      </c>
      <c r="BM2339" s="2">
        <v>8.6</v>
      </c>
      <c r="BN2339" s="2">
        <v>70.02</v>
      </c>
      <c r="BO2339" s="2">
        <v>70.02</v>
      </c>
      <c r="BP2339" s="2" t="s">
        <v>101</v>
      </c>
      <c r="BQ2339" s="2" t="s">
        <v>2830</v>
      </c>
      <c r="BR2339" s="2" t="s">
        <v>122</v>
      </c>
      <c r="BS2339" s="3">
        <v>42957</v>
      </c>
      <c r="BT2339" s="4">
        <v>0.4777777777777778</v>
      </c>
      <c r="BU2339" s="2" t="s">
        <v>2831</v>
      </c>
      <c r="BV2339" s="2" t="s">
        <v>86</v>
      </c>
      <c r="BW2339" s="2" t="s">
        <v>1007</v>
      </c>
      <c r="BX2339" s="2" t="s">
        <v>1763</v>
      </c>
      <c r="BY2339" s="2">
        <v>40181.58</v>
      </c>
      <c r="BZ2339" s="2" t="s">
        <v>27</v>
      </c>
      <c r="CA2339" s="2" t="s">
        <v>2832</v>
      </c>
      <c r="CB2339" s="2"/>
      <c r="CC2339" s="2" t="s">
        <v>145</v>
      </c>
      <c r="CD2339" s="2">
        <v>2091</v>
      </c>
      <c r="CE2339" s="2" t="s">
        <v>89</v>
      </c>
      <c r="CF2339" s="5">
        <v>42958</v>
      </c>
      <c r="CG2339" s="2"/>
      <c r="CH2339" s="2"/>
      <c r="CI2339" s="2">
        <v>1</v>
      </c>
      <c r="CJ2339" s="2">
        <v>2</v>
      </c>
      <c r="CK2339" s="2">
        <v>32</v>
      </c>
      <c r="CL2339" s="2" t="s">
        <v>86</v>
      </c>
      <c r="CM2339" s="2"/>
    </row>
    <row r="2340" spans="1:91">
      <c r="A2340" s="2" t="s">
        <v>71</v>
      </c>
      <c r="B2340" s="2" t="s">
        <v>72</v>
      </c>
      <c r="C2340" s="2" t="s">
        <v>73</v>
      </c>
      <c r="D2340" s="2"/>
      <c r="E2340" s="2" t="str">
        <f>"FES1162567248"</f>
        <v>FES1162567248</v>
      </c>
      <c r="F2340" s="3">
        <v>42951</v>
      </c>
      <c r="G2340" s="2">
        <v>201802</v>
      </c>
      <c r="H2340" s="2" t="s">
        <v>74</v>
      </c>
      <c r="I2340" s="2" t="s">
        <v>75</v>
      </c>
      <c r="J2340" s="2" t="s">
        <v>118</v>
      </c>
      <c r="K2340" s="2" t="s">
        <v>77</v>
      </c>
      <c r="L2340" s="2" t="s">
        <v>383</v>
      </c>
      <c r="M2340" s="2" t="s">
        <v>384</v>
      </c>
      <c r="N2340" s="2" t="s">
        <v>385</v>
      </c>
      <c r="O2340" s="2" t="s">
        <v>358</v>
      </c>
      <c r="P2340" s="2" t="str">
        <f>"2170583402                    "</f>
        <v xml:space="preserve">2170583402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5.63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3.2</v>
      </c>
      <c r="BJ2340" s="2">
        <v>4.5</v>
      </c>
      <c r="BK2340" s="2">
        <v>5</v>
      </c>
      <c r="BL2340" s="2">
        <v>58.28</v>
      </c>
      <c r="BM2340" s="2">
        <v>8.16</v>
      </c>
      <c r="BN2340" s="2">
        <v>66.44</v>
      </c>
      <c r="BO2340" s="2">
        <v>66.44</v>
      </c>
      <c r="BP2340" s="2"/>
      <c r="BQ2340" s="2" t="s">
        <v>1813</v>
      </c>
      <c r="BR2340" s="2" t="s">
        <v>122</v>
      </c>
      <c r="BS2340" s="3">
        <v>42954</v>
      </c>
      <c r="BT2340" s="4">
        <v>0.60902777777777783</v>
      </c>
      <c r="BU2340" s="2" t="s">
        <v>386</v>
      </c>
      <c r="BV2340" s="2" t="s">
        <v>95</v>
      </c>
      <c r="BW2340" s="2"/>
      <c r="BX2340" s="2"/>
      <c r="BY2340" s="2">
        <v>22504.14</v>
      </c>
      <c r="BZ2340" s="2" t="s">
        <v>27</v>
      </c>
      <c r="CA2340" s="2" t="s">
        <v>387</v>
      </c>
      <c r="CB2340" s="2"/>
      <c r="CC2340" s="2" t="s">
        <v>384</v>
      </c>
      <c r="CD2340" s="2">
        <v>2210</v>
      </c>
      <c r="CE2340" s="2" t="s">
        <v>948</v>
      </c>
      <c r="CF2340" s="5">
        <v>42955</v>
      </c>
      <c r="CG2340" s="2"/>
      <c r="CH2340" s="2"/>
      <c r="CI2340" s="2">
        <v>1</v>
      </c>
      <c r="CJ2340" s="2">
        <v>1</v>
      </c>
      <c r="CK2340" s="2">
        <v>34</v>
      </c>
      <c r="CL2340" s="2" t="s">
        <v>86</v>
      </c>
      <c r="CM2340" s="2"/>
    </row>
    <row r="2341" spans="1:91">
      <c r="A2341" s="2" t="s">
        <v>71</v>
      </c>
      <c r="B2341" s="2" t="s">
        <v>72</v>
      </c>
      <c r="C2341" s="2" t="s">
        <v>73</v>
      </c>
      <c r="D2341" s="2"/>
      <c r="E2341" s="2" t="str">
        <f>"FES1162567349"</f>
        <v>FES1162567349</v>
      </c>
      <c r="F2341" s="3">
        <v>42954</v>
      </c>
      <c r="G2341" s="2">
        <v>201802</v>
      </c>
      <c r="H2341" s="2" t="s">
        <v>74</v>
      </c>
      <c r="I2341" s="2" t="s">
        <v>75</v>
      </c>
      <c r="J2341" s="2" t="s">
        <v>118</v>
      </c>
      <c r="K2341" s="2" t="s">
        <v>77</v>
      </c>
      <c r="L2341" s="2" t="s">
        <v>1202</v>
      </c>
      <c r="M2341" s="2" t="s">
        <v>1203</v>
      </c>
      <c r="N2341" s="2" t="s">
        <v>2296</v>
      </c>
      <c r="O2341" s="2" t="s">
        <v>358</v>
      </c>
      <c r="P2341" s="2" t="str">
        <f>"2170583508                    "</f>
        <v xml:space="preserve">2170583508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6.63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6.6</v>
      </c>
      <c r="BJ2341" s="2">
        <v>17.5</v>
      </c>
      <c r="BK2341" s="2">
        <v>18</v>
      </c>
      <c r="BL2341" s="2">
        <v>68.680000000000007</v>
      </c>
      <c r="BM2341" s="2">
        <v>9.6199999999999992</v>
      </c>
      <c r="BN2341" s="2">
        <v>78.3</v>
      </c>
      <c r="BO2341" s="2">
        <v>78.3</v>
      </c>
      <c r="BP2341" s="2"/>
      <c r="BQ2341" s="2" t="s">
        <v>83</v>
      </c>
      <c r="BR2341" s="2" t="s">
        <v>122</v>
      </c>
      <c r="BS2341" s="3">
        <v>42955</v>
      </c>
      <c r="BT2341" s="4">
        <v>0.46180555555555558</v>
      </c>
      <c r="BU2341" s="2" t="s">
        <v>2782</v>
      </c>
      <c r="BV2341" s="2" t="s">
        <v>86</v>
      </c>
      <c r="BW2341" s="2" t="s">
        <v>110</v>
      </c>
      <c r="BX2341" s="2" t="s">
        <v>1150</v>
      </c>
      <c r="BY2341" s="2">
        <v>87360.12</v>
      </c>
      <c r="BZ2341" s="2" t="s">
        <v>27</v>
      </c>
      <c r="CA2341" s="2" t="s">
        <v>499</v>
      </c>
      <c r="CB2341" s="2"/>
      <c r="CC2341" s="2" t="s">
        <v>1203</v>
      </c>
      <c r="CD2341" s="2">
        <v>1501</v>
      </c>
      <c r="CE2341" s="2" t="s">
        <v>89</v>
      </c>
      <c r="CF2341" s="5">
        <v>42957</v>
      </c>
      <c r="CG2341" s="2"/>
      <c r="CH2341" s="2"/>
      <c r="CI2341" s="2">
        <v>1</v>
      </c>
      <c r="CJ2341" s="2">
        <v>1</v>
      </c>
      <c r="CK2341" s="2">
        <v>32</v>
      </c>
      <c r="CL2341" s="2" t="s">
        <v>86</v>
      </c>
      <c r="CM2341" s="2"/>
    </row>
    <row r="2342" spans="1:91">
      <c r="A2342" s="2" t="s">
        <v>71</v>
      </c>
      <c r="B2342" s="2" t="s">
        <v>72</v>
      </c>
      <c r="C2342" s="2" t="s">
        <v>73</v>
      </c>
      <c r="D2342" s="2"/>
      <c r="E2342" s="2" t="str">
        <f>"FES1162567398"</f>
        <v>FES1162567398</v>
      </c>
      <c r="F2342" s="3">
        <v>42954</v>
      </c>
      <c r="G2342" s="2">
        <v>201802</v>
      </c>
      <c r="H2342" s="2" t="s">
        <v>74</v>
      </c>
      <c r="I2342" s="2" t="s">
        <v>75</v>
      </c>
      <c r="J2342" s="2" t="s">
        <v>118</v>
      </c>
      <c r="K2342" s="2" t="s">
        <v>77</v>
      </c>
      <c r="L2342" s="2" t="s">
        <v>244</v>
      </c>
      <c r="M2342" s="2" t="s">
        <v>245</v>
      </c>
      <c r="N2342" s="2" t="s">
        <v>246</v>
      </c>
      <c r="O2342" s="2" t="s">
        <v>100</v>
      </c>
      <c r="P2342" s="2" t="str">
        <f>"2170583056                    "</f>
        <v xml:space="preserve">2170583056           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3.13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1</v>
      </c>
      <c r="BI2342" s="2">
        <v>5</v>
      </c>
      <c r="BJ2342" s="2">
        <v>2.1</v>
      </c>
      <c r="BK2342" s="2">
        <v>5</v>
      </c>
      <c r="BL2342" s="2">
        <v>32.380000000000003</v>
      </c>
      <c r="BM2342" s="2">
        <v>4.53</v>
      </c>
      <c r="BN2342" s="2">
        <v>36.909999999999997</v>
      </c>
      <c r="BO2342" s="2">
        <v>36.909999999999997</v>
      </c>
      <c r="BP2342" s="2"/>
      <c r="BQ2342" s="2" t="s">
        <v>209</v>
      </c>
      <c r="BR2342" s="2" t="s">
        <v>122</v>
      </c>
      <c r="BS2342" s="3">
        <v>42955</v>
      </c>
      <c r="BT2342" s="4">
        <v>0.40972222222222227</v>
      </c>
      <c r="BU2342" s="2" t="s">
        <v>740</v>
      </c>
      <c r="BV2342" s="2" t="s">
        <v>95</v>
      </c>
      <c r="BW2342" s="2"/>
      <c r="BX2342" s="2"/>
      <c r="BY2342" s="2">
        <v>10659</v>
      </c>
      <c r="BZ2342" s="2" t="s">
        <v>27</v>
      </c>
      <c r="CA2342" s="2" t="s">
        <v>499</v>
      </c>
      <c r="CB2342" s="2"/>
      <c r="CC2342" s="2" t="s">
        <v>245</v>
      </c>
      <c r="CD2342" s="2">
        <v>1459</v>
      </c>
      <c r="CE2342" s="2" t="s">
        <v>135</v>
      </c>
      <c r="CF2342" s="5">
        <v>42957</v>
      </c>
      <c r="CG2342" s="2"/>
      <c r="CH2342" s="2"/>
      <c r="CI2342" s="2">
        <v>1</v>
      </c>
      <c r="CJ2342" s="2">
        <v>1</v>
      </c>
      <c r="CK2342" s="2">
        <v>22</v>
      </c>
      <c r="CL2342" s="2" t="s">
        <v>86</v>
      </c>
      <c r="CM2342" s="2"/>
    </row>
    <row r="2343" spans="1:91">
      <c r="A2343" s="2" t="s">
        <v>71</v>
      </c>
      <c r="B2343" s="2" t="s">
        <v>72</v>
      </c>
      <c r="C2343" s="2" t="s">
        <v>73</v>
      </c>
      <c r="D2343" s="2"/>
      <c r="E2343" s="2" t="str">
        <f>"FES1162568054"</f>
        <v>FES1162568054</v>
      </c>
      <c r="F2343" s="3">
        <v>42957</v>
      </c>
      <c r="G2343" s="2">
        <v>201802</v>
      </c>
      <c r="H2343" s="2" t="s">
        <v>74</v>
      </c>
      <c r="I2343" s="2" t="s">
        <v>75</v>
      </c>
      <c r="J2343" s="2" t="s">
        <v>118</v>
      </c>
      <c r="K2343" s="2" t="s">
        <v>77</v>
      </c>
      <c r="L2343" s="2" t="s">
        <v>206</v>
      </c>
      <c r="M2343" s="2" t="s">
        <v>207</v>
      </c>
      <c r="N2343" s="2" t="s">
        <v>650</v>
      </c>
      <c r="O2343" s="2" t="s">
        <v>358</v>
      </c>
      <c r="P2343" s="2" t="str">
        <f>"2170580274                    "</f>
        <v xml:space="preserve">2170580274 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5.63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1</v>
      </c>
      <c r="BI2343" s="2">
        <v>2.9</v>
      </c>
      <c r="BJ2343" s="2">
        <v>1.1000000000000001</v>
      </c>
      <c r="BK2343" s="2">
        <v>3</v>
      </c>
      <c r="BL2343" s="2">
        <v>58.28</v>
      </c>
      <c r="BM2343" s="2">
        <v>8.16</v>
      </c>
      <c r="BN2343" s="2">
        <v>66.44</v>
      </c>
      <c r="BO2343" s="2">
        <v>66.44</v>
      </c>
      <c r="BP2343" s="2"/>
      <c r="BQ2343" s="2" t="s">
        <v>83</v>
      </c>
      <c r="BR2343" s="2" t="s">
        <v>122</v>
      </c>
      <c r="BS2343" s="3">
        <v>42958</v>
      </c>
      <c r="BT2343" s="4">
        <v>0.55069444444444449</v>
      </c>
      <c r="BU2343" s="2" t="s">
        <v>2833</v>
      </c>
      <c r="BV2343" s="2" t="s">
        <v>95</v>
      </c>
      <c r="BW2343" s="2"/>
      <c r="BX2343" s="2"/>
      <c r="BY2343" s="2">
        <v>5703.04</v>
      </c>
      <c r="BZ2343" s="2" t="s">
        <v>27</v>
      </c>
      <c r="CA2343" s="2" t="s">
        <v>640</v>
      </c>
      <c r="CB2343" s="2"/>
      <c r="CC2343" s="2" t="s">
        <v>207</v>
      </c>
      <c r="CD2343" s="2">
        <v>250</v>
      </c>
      <c r="CE2343" s="2" t="s">
        <v>89</v>
      </c>
      <c r="CF2343" s="5">
        <v>42962</v>
      </c>
      <c r="CG2343" s="2"/>
      <c r="CH2343" s="2"/>
      <c r="CI2343" s="2">
        <v>1</v>
      </c>
      <c r="CJ2343" s="2">
        <v>1</v>
      </c>
      <c r="CK2343" s="2">
        <v>34</v>
      </c>
      <c r="CL2343" s="2" t="s">
        <v>86</v>
      </c>
      <c r="CM2343" s="2"/>
    </row>
    <row r="2344" spans="1:91">
      <c r="A2344" s="2" t="s">
        <v>71</v>
      </c>
      <c r="B2344" s="2" t="s">
        <v>72</v>
      </c>
      <c r="C2344" s="2" t="s">
        <v>73</v>
      </c>
      <c r="D2344" s="2"/>
      <c r="E2344" s="2" t="str">
        <f>"FES1162566544"</f>
        <v>FES1162566544</v>
      </c>
      <c r="F2344" s="3">
        <v>42950</v>
      </c>
      <c r="G2344" s="2">
        <v>201802</v>
      </c>
      <c r="H2344" s="2" t="s">
        <v>74</v>
      </c>
      <c r="I2344" s="2" t="s">
        <v>75</v>
      </c>
      <c r="J2344" s="2" t="s">
        <v>118</v>
      </c>
      <c r="K2344" s="2" t="s">
        <v>77</v>
      </c>
      <c r="L2344" s="2" t="s">
        <v>2834</v>
      </c>
      <c r="M2344" s="2" t="s">
        <v>2835</v>
      </c>
      <c r="N2344" s="2" t="s">
        <v>2836</v>
      </c>
      <c r="O2344" s="2" t="s">
        <v>358</v>
      </c>
      <c r="P2344" s="2" t="str">
        <f>"2170582890                    "</f>
        <v xml:space="preserve">2170582890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5.63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1</v>
      </c>
      <c r="BI2344" s="2">
        <v>1</v>
      </c>
      <c r="BJ2344" s="2">
        <v>3</v>
      </c>
      <c r="BK2344" s="2">
        <v>3</v>
      </c>
      <c r="BL2344" s="2">
        <v>58.28</v>
      </c>
      <c r="BM2344" s="2">
        <v>8.16</v>
      </c>
      <c r="BN2344" s="2">
        <v>66.44</v>
      </c>
      <c r="BO2344" s="2">
        <v>66.44</v>
      </c>
      <c r="BP2344" s="2"/>
      <c r="BQ2344" s="2" t="s">
        <v>83</v>
      </c>
      <c r="BR2344" s="2" t="s">
        <v>122</v>
      </c>
      <c r="BS2344" s="3">
        <v>42951</v>
      </c>
      <c r="BT2344" s="4">
        <v>0.4375</v>
      </c>
      <c r="BU2344" s="2" t="s">
        <v>2837</v>
      </c>
      <c r="BV2344" s="2" t="s">
        <v>95</v>
      </c>
      <c r="BW2344" s="2"/>
      <c r="BX2344" s="2"/>
      <c r="BY2344" s="2">
        <v>15028</v>
      </c>
      <c r="BZ2344" s="2" t="s">
        <v>27</v>
      </c>
      <c r="CA2344" s="2" t="s">
        <v>148</v>
      </c>
      <c r="CB2344" s="2"/>
      <c r="CC2344" s="2" t="s">
        <v>2835</v>
      </c>
      <c r="CD2344" s="2">
        <v>1779</v>
      </c>
      <c r="CE2344" s="2" t="s">
        <v>135</v>
      </c>
      <c r="CF2344" s="5">
        <v>42954</v>
      </c>
      <c r="CG2344" s="2"/>
      <c r="CH2344" s="2"/>
      <c r="CI2344" s="2">
        <v>1</v>
      </c>
      <c r="CJ2344" s="2">
        <v>1</v>
      </c>
      <c r="CK2344" s="2">
        <v>34</v>
      </c>
      <c r="CL2344" s="2" t="s">
        <v>86</v>
      </c>
      <c r="CM2344" s="2"/>
    </row>
    <row r="2345" spans="1:91">
      <c r="A2345" s="2" t="s">
        <v>71</v>
      </c>
      <c r="B2345" s="2" t="s">
        <v>72</v>
      </c>
      <c r="C2345" s="2" t="s">
        <v>73</v>
      </c>
      <c r="D2345" s="2"/>
      <c r="E2345" s="2" t="str">
        <f>"FES1162567802"</f>
        <v>FES1162567802</v>
      </c>
      <c r="F2345" s="3">
        <v>42955</v>
      </c>
      <c r="G2345" s="2">
        <v>201802</v>
      </c>
      <c r="H2345" s="2" t="s">
        <v>74</v>
      </c>
      <c r="I2345" s="2" t="s">
        <v>75</v>
      </c>
      <c r="J2345" s="2" t="s">
        <v>118</v>
      </c>
      <c r="K2345" s="2" t="s">
        <v>77</v>
      </c>
      <c r="L2345" s="2" t="s">
        <v>306</v>
      </c>
      <c r="M2345" s="2" t="s">
        <v>307</v>
      </c>
      <c r="N2345" s="2" t="s">
        <v>1640</v>
      </c>
      <c r="O2345" s="2" t="s">
        <v>358</v>
      </c>
      <c r="P2345" s="2" t="str">
        <f>"2170583952                    "</f>
        <v xml:space="preserve">2170583952 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5.63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2.8</v>
      </c>
      <c r="BJ2345" s="2">
        <v>3.3</v>
      </c>
      <c r="BK2345" s="2">
        <v>4</v>
      </c>
      <c r="BL2345" s="2">
        <v>58.28</v>
      </c>
      <c r="BM2345" s="2">
        <v>8.16</v>
      </c>
      <c r="BN2345" s="2">
        <v>66.44</v>
      </c>
      <c r="BO2345" s="2">
        <v>66.44</v>
      </c>
      <c r="BP2345" s="2" t="s">
        <v>101</v>
      </c>
      <c r="BQ2345" s="2" t="s">
        <v>83</v>
      </c>
      <c r="BR2345" s="2" t="s">
        <v>122</v>
      </c>
      <c r="BS2345" s="3">
        <v>42957</v>
      </c>
      <c r="BT2345" s="4">
        <v>0.52083333333333337</v>
      </c>
      <c r="BU2345" s="2" t="s">
        <v>2838</v>
      </c>
      <c r="BV2345" s="2" t="s">
        <v>86</v>
      </c>
      <c r="BW2345" s="2" t="s">
        <v>124</v>
      </c>
      <c r="BX2345" s="2" t="s">
        <v>199</v>
      </c>
      <c r="BY2345" s="2">
        <v>16683.98</v>
      </c>
      <c r="BZ2345" s="2" t="s">
        <v>27</v>
      </c>
      <c r="CA2345" s="2"/>
      <c r="CB2345" s="2"/>
      <c r="CC2345" s="2" t="s">
        <v>307</v>
      </c>
      <c r="CD2345" s="2">
        <v>1939</v>
      </c>
      <c r="CE2345" s="2" t="s">
        <v>89</v>
      </c>
      <c r="CF2345" s="5">
        <v>42961</v>
      </c>
      <c r="CG2345" s="2"/>
      <c r="CH2345" s="2"/>
      <c r="CI2345" s="2">
        <v>1</v>
      </c>
      <c r="CJ2345" s="2">
        <v>2</v>
      </c>
      <c r="CK2345" s="2">
        <v>34</v>
      </c>
      <c r="CL2345" s="2" t="s">
        <v>86</v>
      </c>
      <c r="CM2345" s="2"/>
    </row>
    <row r="2346" spans="1:91">
      <c r="A2346" s="2" t="s">
        <v>71</v>
      </c>
      <c r="B2346" s="2" t="s">
        <v>72</v>
      </c>
      <c r="C2346" s="2" t="s">
        <v>73</v>
      </c>
      <c r="D2346" s="2"/>
      <c r="E2346" s="2" t="str">
        <f>"FES1162566184"</f>
        <v>FES1162566184</v>
      </c>
      <c r="F2346" s="3">
        <v>42949</v>
      </c>
      <c r="G2346" s="2">
        <v>201802</v>
      </c>
      <c r="H2346" s="2" t="s">
        <v>74</v>
      </c>
      <c r="I2346" s="2" t="s">
        <v>75</v>
      </c>
      <c r="J2346" s="2" t="s">
        <v>118</v>
      </c>
      <c r="K2346" s="2" t="s">
        <v>77</v>
      </c>
      <c r="L2346" s="2" t="s">
        <v>159</v>
      </c>
      <c r="M2346" s="2" t="s">
        <v>160</v>
      </c>
      <c r="N2346" s="2" t="s">
        <v>2515</v>
      </c>
      <c r="O2346" s="2" t="s">
        <v>358</v>
      </c>
      <c r="P2346" s="2" t="str">
        <f>"2170581433                    "</f>
        <v xml:space="preserve">2170581433 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5.63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1</v>
      </c>
      <c r="BJ2346" s="2">
        <v>2.8</v>
      </c>
      <c r="BK2346" s="2">
        <v>3</v>
      </c>
      <c r="BL2346" s="2">
        <v>58.28</v>
      </c>
      <c r="BM2346" s="2">
        <v>8.16</v>
      </c>
      <c r="BN2346" s="2">
        <v>66.44</v>
      </c>
      <c r="BO2346" s="2">
        <v>66.44</v>
      </c>
      <c r="BP2346" s="2"/>
      <c r="BQ2346" s="2" t="s">
        <v>2839</v>
      </c>
      <c r="BR2346" s="2" t="s">
        <v>122</v>
      </c>
      <c r="BS2346" s="3">
        <v>42950</v>
      </c>
      <c r="BT2346" s="4">
        <v>0.50347222222222221</v>
      </c>
      <c r="BU2346" s="2" t="s">
        <v>2840</v>
      </c>
      <c r="BV2346" s="2" t="s">
        <v>95</v>
      </c>
      <c r="BW2346" s="2"/>
      <c r="BX2346" s="2"/>
      <c r="BY2346" s="2">
        <v>14144</v>
      </c>
      <c r="BZ2346" s="2" t="s">
        <v>27</v>
      </c>
      <c r="CA2346" s="2" t="s">
        <v>2841</v>
      </c>
      <c r="CB2346" s="2"/>
      <c r="CC2346" s="2" t="s">
        <v>160</v>
      </c>
      <c r="CD2346" s="2">
        <v>208</v>
      </c>
      <c r="CE2346" s="2" t="s">
        <v>948</v>
      </c>
      <c r="CF2346" s="5">
        <v>42951</v>
      </c>
      <c r="CG2346" s="2"/>
      <c r="CH2346" s="2"/>
      <c r="CI2346" s="2">
        <v>1</v>
      </c>
      <c r="CJ2346" s="2">
        <v>1</v>
      </c>
      <c r="CK2346" s="2">
        <v>34</v>
      </c>
      <c r="CL2346" s="2" t="s">
        <v>86</v>
      </c>
      <c r="CM2346" s="2"/>
    </row>
    <row r="2347" spans="1:91">
      <c r="A2347" s="2" t="s">
        <v>71</v>
      </c>
      <c r="B2347" s="2" t="s">
        <v>72</v>
      </c>
      <c r="C2347" s="2" t="s">
        <v>73</v>
      </c>
      <c r="D2347" s="2"/>
      <c r="E2347" s="2" t="str">
        <f>"FES1162567848"</f>
        <v>FES1162567848</v>
      </c>
      <c r="F2347" s="3">
        <v>42955</v>
      </c>
      <c r="G2347" s="2">
        <v>201802</v>
      </c>
      <c r="H2347" s="2" t="s">
        <v>74</v>
      </c>
      <c r="I2347" s="2" t="s">
        <v>75</v>
      </c>
      <c r="J2347" s="2" t="s">
        <v>118</v>
      </c>
      <c r="K2347" s="2" t="s">
        <v>77</v>
      </c>
      <c r="L2347" s="2" t="s">
        <v>2834</v>
      </c>
      <c r="M2347" s="2" t="s">
        <v>2835</v>
      </c>
      <c r="N2347" s="2" t="s">
        <v>2842</v>
      </c>
      <c r="O2347" s="2" t="s">
        <v>358</v>
      </c>
      <c r="P2347" s="2" t="str">
        <f>"2170584010                    "</f>
        <v xml:space="preserve">2170584010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5.63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3.1</v>
      </c>
      <c r="BJ2347" s="2">
        <v>1.3</v>
      </c>
      <c r="BK2347" s="2">
        <v>4</v>
      </c>
      <c r="BL2347" s="2">
        <v>58.28</v>
      </c>
      <c r="BM2347" s="2">
        <v>8.16</v>
      </c>
      <c r="BN2347" s="2">
        <v>66.44</v>
      </c>
      <c r="BO2347" s="2">
        <v>66.44</v>
      </c>
      <c r="BP2347" s="2" t="s">
        <v>101</v>
      </c>
      <c r="BQ2347" s="2" t="s">
        <v>83</v>
      </c>
      <c r="BR2347" s="2" t="s">
        <v>122</v>
      </c>
      <c r="BS2347" s="3">
        <v>42957</v>
      </c>
      <c r="BT2347" s="4">
        <v>0.48958333333333331</v>
      </c>
      <c r="BU2347" s="2" t="s">
        <v>2843</v>
      </c>
      <c r="BV2347" s="2" t="s">
        <v>86</v>
      </c>
      <c r="BW2347" s="2" t="s">
        <v>1007</v>
      </c>
      <c r="BX2347" s="2" t="s">
        <v>1113</v>
      </c>
      <c r="BY2347" s="2">
        <v>6329.25</v>
      </c>
      <c r="BZ2347" s="2" t="s">
        <v>27</v>
      </c>
      <c r="CA2347" s="2"/>
      <c r="CB2347" s="2"/>
      <c r="CC2347" s="2" t="s">
        <v>2835</v>
      </c>
      <c r="CD2347" s="2">
        <v>1779</v>
      </c>
      <c r="CE2347" s="2" t="s">
        <v>948</v>
      </c>
      <c r="CF2347" s="5">
        <v>42958</v>
      </c>
      <c r="CG2347" s="2"/>
      <c r="CH2347" s="2"/>
      <c r="CI2347" s="2">
        <v>1</v>
      </c>
      <c r="CJ2347" s="2">
        <v>2</v>
      </c>
      <c r="CK2347" s="2">
        <v>34</v>
      </c>
      <c r="CL2347" s="2" t="s">
        <v>86</v>
      </c>
      <c r="CM2347" s="2"/>
    </row>
    <row r="2348" spans="1:91">
      <c r="A2348" s="2" t="s">
        <v>71</v>
      </c>
      <c r="B2348" s="2" t="s">
        <v>72</v>
      </c>
      <c r="C2348" s="2" t="s">
        <v>73</v>
      </c>
      <c r="D2348" s="2"/>
      <c r="E2348" s="2" t="str">
        <f>"FES1162562479"</f>
        <v>FES1162562479</v>
      </c>
      <c r="F2348" s="3">
        <v>42929</v>
      </c>
      <c r="G2348" s="2">
        <v>201802</v>
      </c>
      <c r="H2348" s="2" t="s">
        <v>74</v>
      </c>
      <c r="I2348" s="2" t="s">
        <v>75</v>
      </c>
      <c r="J2348" s="2" t="s">
        <v>118</v>
      </c>
      <c r="K2348" s="2" t="s">
        <v>77</v>
      </c>
      <c r="L2348" s="2" t="s">
        <v>311</v>
      </c>
      <c r="M2348" s="2" t="s">
        <v>312</v>
      </c>
      <c r="N2348" s="2" t="s">
        <v>2450</v>
      </c>
      <c r="O2348" s="2" t="s">
        <v>100</v>
      </c>
      <c r="P2348" s="2" t="str">
        <f>"2170578612                    "</f>
        <v xml:space="preserve">2170578612 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2.83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5</v>
      </c>
      <c r="BJ2348" s="2">
        <v>0.3</v>
      </c>
      <c r="BK2348" s="2">
        <v>5</v>
      </c>
      <c r="BL2348" s="2">
        <v>32.08</v>
      </c>
      <c r="BM2348" s="2">
        <v>4.49</v>
      </c>
      <c r="BN2348" s="2">
        <v>36.57</v>
      </c>
      <c r="BO2348" s="2">
        <v>36.57</v>
      </c>
      <c r="BP2348" s="2"/>
      <c r="BQ2348" s="2" t="s">
        <v>2844</v>
      </c>
      <c r="BR2348" s="2" t="s">
        <v>122</v>
      </c>
      <c r="BS2348" s="3">
        <v>42930</v>
      </c>
      <c r="BT2348" s="4">
        <v>0.41736111111111113</v>
      </c>
      <c r="BU2348" s="2" t="s">
        <v>2845</v>
      </c>
      <c r="BV2348" s="2" t="s">
        <v>95</v>
      </c>
      <c r="BW2348" s="2"/>
      <c r="BX2348" s="2"/>
      <c r="BY2348" s="2">
        <v>1425</v>
      </c>
      <c r="BZ2348" s="2" t="s">
        <v>27</v>
      </c>
      <c r="CA2348" s="2" t="s">
        <v>2846</v>
      </c>
      <c r="CB2348" s="2"/>
      <c r="CC2348" s="2" t="s">
        <v>312</v>
      </c>
      <c r="CD2348" s="2">
        <v>1559</v>
      </c>
      <c r="CE2348" s="2" t="s">
        <v>948</v>
      </c>
      <c r="CF2348" s="5">
        <v>42946</v>
      </c>
      <c r="CG2348" s="2"/>
      <c r="CH2348" s="2"/>
      <c r="CI2348" s="2">
        <v>1</v>
      </c>
      <c r="CJ2348" s="2">
        <v>1</v>
      </c>
      <c r="CK2348" s="2">
        <v>22</v>
      </c>
      <c r="CL2348" s="2" t="s">
        <v>86</v>
      </c>
      <c r="CM2348" s="2"/>
    </row>
    <row r="2349" spans="1:91">
      <c r="A2349" s="2" t="s">
        <v>71</v>
      </c>
      <c r="B2349" s="2" t="s">
        <v>72</v>
      </c>
      <c r="C2349" s="2" t="s">
        <v>73</v>
      </c>
      <c r="D2349" s="2"/>
      <c r="E2349" s="2" t="str">
        <f>"FES1162566231"</f>
        <v>FES1162566231</v>
      </c>
      <c r="F2349" s="3">
        <v>42949</v>
      </c>
      <c r="G2349" s="2">
        <v>201802</v>
      </c>
      <c r="H2349" s="2" t="s">
        <v>74</v>
      </c>
      <c r="I2349" s="2" t="s">
        <v>75</v>
      </c>
      <c r="J2349" s="2" t="s">
        <v>118</v>
      </c>
      <c r="K2349" s="2" t="s">
        <v>77</v>
      </c>
      <c r="L2349" s="2" t="s">
        <v>206</v>
      </c>
      <c r="M2349" s="2" t="s">
        <v>207</v>
      </c>
      <c r="N2349" s="2" t="s">
        <v>1672</v>
      </c>
      <c r="O2349" s="2" t="s">
        <v>358</v>
      </c>
      <c r="P2349" s="2" t="str">
        <f>"2170582355                    "</f>
        <v xml:space="preserve">2170582355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5.63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0.4</v>
      </c>
      <c r="BJ2349" s="2">
        <v>4</v>
      </c>
      <c r="BK2349" s="2">
        <v>4</v>
      </c>
      <c r="BL2349" s="2">
        <v>58.28</v>
      </c>
      <c r="BM2349" s="2">
        <v>8.16</v>
      </c>
      <c r="BN2349" s="2">
        <v>66.44</v>
      </c>
      <c r="BO2349" s="2">
        <v>66.44</v>
      </c>
      <c r="BP2349" s="2"/>
      <c r="BQ2349" s="2" t="s">
        <v>2847</v>
      </c>
      <c r="BR2349" s="2" t="s">
        <v>122</v>
      </c>
      <c r="BS2349" s="3">
        <v>42950</v>
      </c>
      <c r="BT2349" s="4">
        <v>0.41180555555555554</v>
      </c>
      <c r="BU2349" s="2" t="s">
        <v>2848</v>
      </c>
      <c r="BV2349" s="2" t="s">
        <v>95</v>
      </c>
      <c r="BW2349" s="2"/>
      <c r="BX2349" s="2"/>
      <c r="BY2349" s="2">
        <v>19806.36</v>
      </c>
      <c r="BZ2349" s="2" t="s">
        <v>27</v>
      </c>
      <c r="CA2349" s="2" t="s">
        <v>640</v>
      </c>
      <c r="CB2349" s="2"/>
      <c r="CC2349" s="2" t="s">
        <v>207</v>
      </c>
      <c r="CD2349" s="2">
        <v>250</v>
      </c>
      <c r="CE2349" s="2" t="s">
        <v>104</v>
      </c>
      <c r="CF2349" s="5">
        <v>42954</v>
      </c>
      <c r="CG2349" s="2"/>
      <c r="CH2349" s="2"/>
      <c r="CI2349" s="2">
        <v>1</v>
      </c>
      <c r="CJ2349" s="2">
        <v>1</v>
      </c>
      <c r="CK2349" s="2">
        <v>34</v>
      </c>
      <c r="CL2349" s="2" t="s">
        <v>86</v>
      </c>
      <c r="CM2349" s="2"/>
    </row>
    <row r="2350" spans="1:91">
      <c r="A2350" s="2" t="s">
        <v>71</v>
      </c>
      <c r="B2350" s="2" t="s">
        <v>72</v>
      </c>
      <c r="C2350" s="2" t="s">
        <v>73</v>
      </c>
      <c r="D2350" s="2"/>
      <c r="E2350" s="2" t="str">
        <f>"FES1162566790"</f>
        <v>FES1162566790</v>
      </c>
      <c r="F2350" s="3">
        <v>42950</v>
      </c>
      <c r="G2350" s="2">
        <v>201802</v>
      </c>
      <c r="H2350" s="2" t="s">
        <v>74</v>
      </c>
      <c r="I2350" s="2" t="s">
        <v>75</v>
      </c>
      <c r="J2350" s="2" t="s">
        <v>118</v>
      </c>
      <c r="K2350" s="2" t="s">
        <v>77</v>
      </c>
      <c r="L2350" s="2" t="s">
        <v>159</v>
      </c>
      <c r="M2350" s="2" t="s">
        <v>160</v>
      </c>
      <c r="N2350" s="2" t="s">
        <v>2849</v>
      </c>
      <c r="O2350" s="2" t="s">
        <v>358</v>
      </c>
      <c r="P2350" s="2" t="str">
        <f>"2170583036                    "</f>
        <v xml:space="preserve">2170583036 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5.63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1</v>
      </c>
      <c r="BI2350" s="2">
        <v>3</v>
      </c>
      <c r="BJ2350" s="2">
        <v>5.0999999999999996</v>
      </c>
      <c r="BK2350" s="2">
        <v>6</v>
      </c>
      <c r="BL2350" s="2">
        <v>58.28</v>
      </c>
      <c r="BM2350" s="2">
        <v>8.16</v>
      </c>
      <c r="BN2350" s="2">
        <v>66.44</v>
      </c>
      <c r="BO2350" s="2">
        <v>66.44</v>
      </c>
      <c r="BP2350" s="2"/>
      <c r="BQ2350" s="2" t="s">
        <v>83</v>
      </c>
      <c r="BR2350" s="2" t="s">
        <v>122</v>
      </c>
      <c r="BS2350" s="3">
        <v>42951</v>
      </c>
      <c r="BT2350" s="4">
        <v>0.54097222222222219</v>
      </c>
      <c r="BU2350" s="2" t="s">
        <v>2850</v>
      </c>
      <c r="BV2350" s="2" t="s">
        <v>95</v>
      </c>
      <c r="BW2350" s="2"/>
      <c r="BX2350" s="2"/>
      <c r="BY2350" s="2">
        <v>25391.1</v>
      </c>
      <c r="BZ2350" s="2" t="s">
        <v>27</v>
      </c>
      <c r="CA2350" s="2"/>
      <c r="CB2350" s="2"/>
      <c r="CC2350" s="2" t="s">
        <v>160</v>
      </c>
      <c r="CD2350" s="2">
        <v>221</v>
      </c>
      <c r="CE2350" s="2" t="s">
        <v>135</v>
      </c>
      <c r="CF2350" s="5">
        <v>42954</v>
      </c>
      <c r="CG2350" s="2"/>
      <c r="CH2350" s="2"/>
      <c r="CI2350" s="2">
        <v>1</v>
      </c>
      <c r="CJ2350" s="2">
        <v>1</v>
      </c>
      <c r="CK2350" s="2">
        <v>34</v>
      </c>
      <c r="CL2350" s="2" t="s">
        <v>86</v>
      </c>
      <c r="CM2350" s="2"/>
    </row>
    <row r="2351" spans="1:91">
      <c r="A2351" s="2" t="s">
        <v>71</v>
      </c>
      <c r="B2351" s="2" t="s">
        <v>72</v>
      </c>
      <c r="C2351" s="2" t="s">
        <v>73</v>
      </c>
      <c r="D2351" s="2"/>
      <c r="E2351" s="2" t="str">
        <f>"FES1162566034"</f>
        <v>FES1162566034</v>
      </c>
      <c r="F2351" s="3">
        <v>42948</v>
      </c>
      <c r="G2351" s="2">
        <v>201802</v>
      </c>
      <c r="H2351" s="2" t="s">
        <v>74</v>
      </c>
      <c r="I2351" s="2" t="s">
        <v>75</v>
      </c>
      <c r="J2351" s="2" t="s">
        <v>118</v>
      </c>
      <c r="K2351" s="2" t="s">
        <v>77</v>
      </c>
      <c r="L2351" s="2" t="s">
        <v>446</v>
      </c>
      <c r="M2351" s="2" t="s">
        <v>447</v>
      </c>
      <c r="N2351" s="2" t="s">
        <v>861</v>
      </c>
      <c r="O2351" s="2" t="s">
        <v>358</v>
      </c>
      <c r="P2351" s="2" t="str">
        <f>"2170582587                    "</f>
        <v xml:space="preserve">2170582587            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5.0999999999999996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0.8</v>
      </c>
      <c r="BJ2351" s="2">
        <v>3.2</v>
      </c>
      <c r="BK2351" s="2">
        <v>4</v>
      </c>
      <c r="BL2351" s="2">
        <v>57.75</v>
      </c>
      <c r="BM2351" s="2">
        <v>8.09</v>
      </c>
      <c r="BN2351" s="2">
        <v>65.84</v>
      </c>
      <c r="BO2351" s="2">
        <v>65.84</v>
      </c>
      <c r="BP2351" s="2"/>
      <c r="BQ2351" s="2" t="s">
        <v>83</v>
      </c>
      <c r="BR2351" s="2" t="s">
        <v>122</v>
      </c>
      <c r="BS2351" s="3">
        <v>42949</v>
      </c>
      <c r="BT2351" s="4">
        <v>0.47430555555555554</v>
      </c>
      <c r="BU2351" s="2" t="s">
        <v>862</v>
      </c>
      <c r="BV2351" s="2" t="s">
        <v>95</v>
      </c>
      <c r="BW2351" s="2"/>
      <c r="BX2351" s="2"/>
      <c r="BY2351" s="2">
        <v>16015.47</v>
      </c>
      <c r="BZ2351" s="2" t="s">
        <v>27</v>
      </c>
      <c r="CA2351" s="2"/>
      <c r="CB2351" s="2"/>
      <c r="CC2351" s="2" t="s">
        <v>447</v>
      </c>
      <c r="CD2351" s="2">
        <v>1759</v>
      </c>
      <c r="CE2351" s="2" t="s">
        <v>104</v>
      </c>
      <c r="CF2351" s="5">
        <v>42950</v>
      </c>
      <c r="CG2351" s="2"/>
      <c r="CH2351" s="2"/>
      <c r="CI2351" s="2">
        <v>1</v>
      </c>
      <c r="CJ2351" s="2">
        <v>1</v>
      </c>
      <c r="CK2351" s="2">
        <v>34</v>
      </c>
      <c r="CL2351" s="2" t="s">
        <v>86</v>
      </c>
      <c r="CM2351" s="2"/>
    </row>
    <row r="2352" spans="1:91">
      <c r="A2352" s="2" t="s">
        <v>71</v>
      </c>
      <c r="B2352" s="2" t="s">
        <v>72</v>
      </c>
      <c r="C2352" s="2" t="s">
        <v>73</v>
      </c>
      <c r="D2352" s="2"/>
      <c r="E2352" s="2" t="str">
        <f>"FES1162565815"</f>
        <v>FES1162565815</v>
      </c>
      <c r="F2352" s="3">
        <v>42948</v>
      </c>
      <c r="G2352" s="2">
        <v>201802</v>
      </c>
      <c r="H2352" s="2" t="s">
        <v>74</v>
      </c>
      <c r="I2352" s="2" t="s">
        <v>75</v>
      </c>
      <c r="J2352" s="2" t="s">
        <v>118</v>
      </c>
      <c r="K2352" s="2" t="s">
        <v>77</v>
      </c>
      <c r="L2352" s="2" t="s">
        <v>470</v>
      </c>
      <c r="M2352" s="2" t="s">
        <v>471</v>
      </c>
      <c r="N2352" s="2" t="s">
        <v>2051</v>
      </c>
      <c r="O2352" s="2" t="s">
        <v>81</v>
      </c>
      <c r="P2352" s="2" t="str">
        <f>"2170579920                    "</f>
        <v xml:space="preserve">2170579920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6.24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3.9</v>
      </c>
      <c r="BJ2352" s="2">
        <v>1.7</v>
      </c>
      <c r="BK2352" s="2">
        <v>4</v>
      </c>
      <c r="BL2352" s="2">
        <v>75.59</v>
      </c>
      <c r="BM2352" s="2">
        <v>10.58</v>
      </c>
      <c r="BN2352" s="2">
        <v>86.17</v>
      </c>
      <c r="BO2352" s="2">
        <v>86.17</v>
      </c>
      <c r="BP2352" s="2"/>
      <c r="BQ2352" s="2" t="s">
        <v>83</v>
      </c>
      <c r="BR2352" s="2" t="s">
        <v>122</v>
      </c>
      <c r="BS2352" s="3">
        <v>42949</v>
      </c>
      <c r="BT2352" s="4">
        <v>0.3756944444444445</v>
      </c>
      <c r="BU2352" s="2" t="s">
        <v>2851</v>
      </c>
      <c r="BV2352" s="2" t="s">
        <v>95</v>
      </c>
      <c r="BW2352" s="2"/>
      <c r="BX2352" s="2"/>
      <c r="BY2352" s="2">
        <v>8341.8700000000008</v>
      </c>
      <c r="BZ2352" s="2"/>
      <c r="CA2352" s="2" t="s">
        <v>474</v>
      </c>
      <c r="CB2352" s="2"/>
      <c r="CC2352" s="2" t="s">
        <v>471</v>
      </c>
      <c r="CD2352" s="2">
        <v>1900</v>
      </c>
      <c r="CE2352" s="2" t="s">
        <v>259</v>
      </c>
      <c r="CF2352" s="5">
        <v>42950</v>
      </c>
      <c r="CG2352" s="2"/>
      <c r="CH2352" s="2"/>
      <c r="CI2352" s="2">
        <v>0</v>
      </c>
      <c r="CJ2352" s="2">
        <v>0</v>
      </c>
      <c r="CK2352" s="2" t="s">
        <v>143</v>
      </c>
      <c r="CL2352" s="2" t="s">
        <v>86</v>
      </c>
      <c r="CM2352" s="2"/>
    </row>
    <row r="2353" spans="1:91">
      <c r="A2353" s="2" t="s">
        <v>71</v>
      </c>
      <c r="B2353" s="2" t="s">
        <v>72</v>
      </c>
      <c r="C2353" s="2" t="s">
        <v>73</v>
      </c>
      <c r="D2353" s="2"/>
      <c r="E2353" s="2" t="str">
        <f>"FES1162565813"</f>
        <v>FES1162565813</v>
      </c>
      <c r="F2353" s="3">
        <v>42948</v>
      </c>
      <c r="G2353" s="2">
        <v>201802</v>
      </c>
      <c r="H2353" s="2" t="s">
        <v>74</v>
      </c>
      <c r="I2353" s="2" t="s">
        <v>75</v>
      </c>
      <c r="J2353" s="2" t="s">
        <v>118</v>
      </c>
      <c r="K2353" s="2" t="s">
        <v>77</v>
      </c>
      <c r="L2353" s="2" t="s">
        <v>137</v>
      </c>
      <c r="M2353" s="2" t="s">
        <v>138</v>
      </c>
      <c r="N2353" s="2" t="s">
        <v>2852</v>
      </c>
      <c r="O2353" s="2" t="s">
        <v>81</v>
      </c>
      <c r="P2353" s="2" t="str">
        <f>"2170578254                    "</f>
        <v xml:space="preserve">2170578254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6.24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1</v>
      </c>
      <c r="BI2353" s="2">
        <v>13.9</v>
      </c>
      <c r="BJ2353" s="2">
        <v>8.9</v>
      </c>
      <c r="BK2353" s="2">
        <v>14</v>
      </c>
      <c r="BL2353" s="2">
        <v>75.59</v>
      </c>
      <c r="BM2353" s="2">
        <v>10.58</v>
      </c>
      <c r="BN2353" s="2">
        <v>86.17</v>
      </c>
      <c r="BO2353" s="2">
        <v>86.17</v>
      </c>
      <c r="BP2353" s="2"/>
      <c r="BQ2353" s="2" t="s">
        <v>83</v>
      </c>
      <c r="BR2353" s="2" t="s">
        <v>122</v>
      </c>
      <c r="BS2353" s="3">
        <v>42949</v>
      </c>
      <c r="BT2353" s="4">
        <v>0.40972222222222227</v>
      </c>
      <c r="BU2353" s="2" t="s">
        <v>1176</v>
      </c>
      <c r="BV2353" s="2" t="s">
        <v>95</v>
      </c>
      <c r="BW2353" s="2"/>
      <c r="BX2353" s="2"/>
      <c r="BY2353" s="2">
        <v>44640</v>
      </c>
      <c r="BZ2353" s="2"/>
      <c r="CA2353" s="2" t="s">
        <v>2676</v>
      </c>
      <c r="CB2353" s="2"/>
      <c r="CC2353" s="2" t="s">
        <v>138</v>
      </c>
      <c r="CD2353" s="2">
        <v>157</v>
      </c>
      <c r="CE2353" s="2" t="s">
        <v>259</v>
      </c>
      <c r="CF2353" s="5">
        <v>42950</v>
      </c>
      <c r="CG2353" s="2"/>
      <c r="CH2353" s="2"/>
      <c r="CI2353" s="2">
        <v>0</v>
      </c>
      <c r="CJ2353" s="2">
        <v>0</v>
      </c>
      <c r="CK2353" s="2" t="s">
        <v>143</v>
      </c>
      <c r="CL2353" s="2" t="s">
        <v>86</v>
      </c>
      <c r="CM2353" s="2"/>
    </row>
    <row r="2354" spans="1:91">
      <c r="A2354" s="2" t="s">
        <v>71</v>
      </c>
      <c r="B2354" s="2" t="s">
        <v>72</v>
      </c>
      <c r="C2354" s="2" t="s">
        <v>73</v>
      </c>
      <c r="D2354" s="2"/>
      <c r="E2354" s="2" t="str">
        <f>"FES1162567391"</f>
        <v>FES1162567391</v>
      </c>
      <c r="F2354" s="3">
        <v>42954</v>
      </c>
      <c r="G2354" s="2">
        <v>201802</v>
      </c>
      <c r="H2354" s="2" t="s">
        <v>74</v>
      </c>
      <c r="I2354" s="2" t="s">
        <v>75</v>
      </c>
      <c r="J2354" s="2" t="s">
        <v>118</v>
      </c>
      <c r="K2354" s="2" t="s">
        <v>77</v>
      </c>
      <c r="L2354" s="2" t="s">
        <v>74</v>
      </c>
      <c r="M2354" s="2" t="s">
        <v>75</v>
      </c>
      <c r="N2354" s="2" t="s">
        <v>1870</v>
      </c>
      <c r="O2354" s="2" t="s">
        <v>81</v>
      </c>
      <c r="P2354" s="2" t="str">
        <f>"2170580535                    "</f>
        <v xml:space="preserve">2170580535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11.65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3</v>
      </c>
      <c r="BI2354" s="2">
        <v>46.2</v>
      </c>
      <c r="BJ2354" s="2">
        <v>26.8</v>
      </c>
      <c r="BK2354" s="2">
        <v>47</v>
      </c>
      <c r="BL2354" s="2">
        <v>125.62</v>
      </c>
      <c r="BM2354" s="2">
        <v>17.59</v>
      </c>
      <c r="BN2354" s="2">
        <v>143.21</v>
      </c>
      <c r="BO2354" s="2">
        <v>143.21</v>
      </c>
      <c r="BP2354" s="2"/>
      <c r="BQ2354" s="2" t="s">
        <v>1871</v>
      </c>
      <c r="BR2354" s="2" t="s">
        <v>122</v>
      </c>
      <c r="BS2354" s="3">
        <v>42955</v>
      </c>
      <c r="BT2354" s="4">
        <v>0.42708333333333331</v>
      </c>
      <c r="BU2354" s="2" t="s">
        <v>935</v>
      </c>
      <c r="BV2354" s="2" t="s">
        <v>95</v>
      </c>
      <c r="BW2354" s="2"/>
      <c r="BX2354" s="2"/>
      <c r="BY2354" s="2">
        <v>134120.62</v>
      </c>
      <c r="BZ2354" s="2"/>
      <c r="CA2354" s="2"/>
      <c r="CB2354" s="2"/>
      <c r="CC2354" s="2" t="s">
        <v>75</v>
      </c>
      <c r="CD2354" s="2">
        <v>1645</v>
      </c>
      <c r="CE2354" s="2" t="s">
        <v>89</v>
      </c>
      <c r="CF2354" s="5">
        <v>42957</v>
      </c>
      <c r="CG2354" s="2"/>
      <c r="CH2354" s="2"/>
      <c r="CI2354" s="2">
        <v>0</v>
      </c>
      <c r="CJ2354" s="2">
        <v>0</v>
      </c>
      <c r="CK2354" s="2" t="s">
        <v>132</v>
      </c>
      <c r="CL2354" s="2" t="s">
        <v>86</v>
      </c>
      <c r="CM2354" s="2"/>
    </row>
    <row r="2355" spans="1:91">
      <c r="A2355" s="2" t="s">
        <v>71</v>
      </c>
      <c r="B2355" s="2" t="s">
        <v>72</v>
      </c>
      <c r="C2355" s="2" t="s">
        <v>73</v>
      </c>
      <c r="D2355" s="2"/>
      <c r="E2355" s="2" t="str">
        <f>"FES1162567658"</f>
        <v>FES1162567658</v>
      </c>
      <c r="F2355" s="3">
        <v>42955</v>
      </c>
      <c r="G2355" s="2">
        <v>201802</v>
      </c>
      <c r="H2355" s="2" t="s">
        <v>74</v>
      </c>
      <c r="I2355" s="2" t="s">
        <v>75</v>
      </c>
      <c r="J2355" s="2" t="s">
        <v>118</v>
      </c>
      <c r="K2355" s="2" t="s">
        <v>77</v>
      </c>
      <c r="L2355" s="2" t="s">
        <v>137</v>
      </c>
      <c r="M2355" s="2" t="s">
        <v>138</v>
      </c>
      <c r="N2355" s="2" t="s">
        <v>2104</v>
      </c>
      <c r="O2355" s="2" t="s">
        <v>81</v>
      </c>
      <c r="P2355" s="2" t="str">
        <f>"2170583798                    "</f>
        <v xml:space="preserve">2170583798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6.88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1</v>
      </c>
      <c r="BJ2355" s="2">
        <v>4.4000000000000004</v>
      </c>
      <c r="BK2355" s="2">
        <v>5</v>
      </c>
      <c r="BL2355" s="2">
        <v>76.23</v>
      </c>
      <c r="BM2355" s="2">
        <v>10.67</v>
      </c>
      <c r="BN2355" s="2">
        <v>86.9</v>
      </c>
      <c r="BO2355" s="2">
        <v>86.9</v>
      </c>
      <c r="BP2355" s="2" t="s">
        <v>101</v>
      </c>
      <c r="BQ2355" s="2" t="s">
        <v>288</v>
      </c>
      <c r="BR2355" s="2" t="s">
        <v>122</v>
      </c>
      <c r="BS2355" s="3">
        <v>42957</v>
      </c>
      <c r="BT2355" s="4">
        <v>0.40277777777777773</v>
      </c>
      <c r="BU2355" s="2" t="s">
        <v>2853</v>
      </c>
      <c r="BV2355" s="2" t="s">
        <v>86</v>
      </c>
      <c r="BW2355" s="2" t="s">
        <v>124</v>
      </c>
      <c r="BX2355" s="2" t="s">
        <v>623</v>
      </c>
      <c r="BY2355" s="2">
        <v>21904</v>
      </c>
      <c r="BZ2355" s="2"/>
      <c r="CA2355" s="2" t="s">
        <v>2106</v>
      </c>
      <c r="CB2355" s="2"/>
      <c r="CC2355" s="2" t="s">
        <v>138</v>
      </c>
      <c r="CD2355" s="2">
        <v>157</v>
      </c>
      <c r="CE2355" s="2" t="s">
        <v>2854</v>
      </c>
      <c r="CF2355" s="5">
        <v>42958</v>
      </c>
      <c r="CG2355" s="2"/>
      <c r="CH2355" s="2"/>
      <c r="CI2355" s="2">
        <v>0</v>
      </c>
      <c r="CJ2355" s="2">
        <v>0</v>
      </c>
      <c r="CK2355" s="2" t="s">
        <v>143</v>
      </c>
      <c r="CL2355" s="2" t="s">
        <v>86</v>
      </c>
      <c r="CM2355" s="2"/>
    </row>
    <row r="2356" spans="1:91">
      <c r="A2356" s="2" t="s">
        <v>71</v>
      </c>
      <c r="B2356" s="2" t="s">
        <v>72</v>
      </c>
      <c r="C2356" s="2" t="s">
        <v>73</v>
      </c>
      <c r="D2356" s="2"/>
      <c r="E2356" s="2" t="str">
        <f>"FES1162570432"</f>
        <v>FES1162570432</v>
      </c>
      <c r="F2356" s="3">
        <v>42969</v>
      </c>
      <c r="G2356" s="2">
        <v>201802</v>
      </c>
      <c r="H2356" s="2" t="s">
        <v>74</v>
      </c>
      <c r="I2356" s="2" t="s">
        <v>75</v>
      </c>
      <c r="J2356" s="2" t="s">
        <v>76</v>
      </c>
      <c r="K2356" s="2" t="s">
        <v>77</v>
      </c>
      <c r="L2356" s="2" t="s">
        <v>149</v>
      </c>
      <c r="M2356" s="2" t="s">
        <v>150</v>
      </c>
      <c r="N2356" s="2" t="s">
        <v>2855</v>
      </c>
      <c r="O2356" s="2" t="s">
        <v>100</v>
      </c>
      <c r="P2356" s="2" t="str">
        <f>"2170586192                    "</f>
        <v xml:space="preserve">2170586192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4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1</v>
      </c>
      <c r="BJ2356" s="2">
        <v>0.2</v>
      </c>
      <c r="BK2356" s="2">
        <v>1</v>
      </c>
      <c r="BL2356" s="2">
        <v>41.44</v>
      </c>
      <c r="BM2356" s="2">
        <v>5.8</v>
      </c>
      <c r="BN2356" s="2">
        <v>47.24</v>
      </c>
      <c r="BO2356" s="2">
        <v>47.24</v>
      </c>
      <c r="BP2356" s="2"/>
      <c r="BQ2356" s="2" t="s">
        <v>209</v>
      </c>
      <c r="BR2356" s="2" t="s">
        <v>84</v>
      </c>
      <c r="BS2356" s="3">
        <v>42970</v>
      </c>
      <c r="BT2356" s="4">
        <v>0.34513888888888888</v>
      </c>
      <c r="BU2356" s="2" t="s">
        <v>2856</v>
      </c>
      <c r="BV2356" s="2" t="s">
        <v>95</v>
      </c>
      <c r="BW2356" s="2"/>
      <c r="BX2356" s="2"/>
      <c r="BY2356" s="2">
        <v>1200</v>
      </c>
      <c r="BZ2356" s="2"/>
      <c r="CA2356" s="2" t="s">
        <v>682</v>
      </c>
      <c r="CB2356" s="2"/>
      <c r="CC2356" s="2" t="s">
        <v>150</v>
      </c>
      <c r="CD2356" s="2">
        <v>4001</v>
      </c>
      <c r="CE2356" s="2" t="s">
        <v>104</v>
      </c>
      <c r="CF2356" s="5">
        <v>42971</v>
      </c>
      <c r="CG2356" s="2"/>
      <c r="CH2356" s="2"/>
      <c r="CI2356" s="2">
        <v>1</v>
      </c>
      <c r="CJ2356" s="2">
        <v>1</v>
      </c>
      <c r="CK2356" s="2">
        <v>21</v>
      </c>
      <c r="CL2356" s="2" t="s">
        <v>86</v>
      </c>
      <c r="CM2356" s="2"/>
    </row>
    <row r="2357" spans="1:91">
      <c r="A2357" s="2" t="s">
        <v>71</v>
      </c>
      <c r="B2357" s="2" t="s">
        <v>72</v>
      </c>
      <c r="C2357" s="2" t="s">
        <v>73</v>
      </c>
      <c r="D2357" s="2"/>
      <c r="E2357" s="2" t="str">
        <f>"FES1162570548"</f>
        <v>FES1162570548</v>
      </c>
      <c r="F2357" s="3">
        <v>42969</v>
      </c>
      <c r="G2357" s="2">
        <v>201802</v>
      </c>
      <c r="H2357" s="2" t="s">
        <v>74</v>
      </c>
      <c r="I2357" s="2" t="s">
        <v>75</v>
      </c>
      <c r="J2357" s="2" t="s">
        <v>76</v>
      </c>
      <c r="K2357" s="2" t="s">
        <v>77</v>
      </c>
      <c r="L2357" s="2" t="s">
        <v>244</v>
      </c>
      <c r="M2357" s="2" t="s">
        <v>245</v>
      </c>
      <c r="N2357" s="2" t="s">
        <v>551</v>
      </c>
      <c r="O2357" s="2" t="s">
        <v>100</v>
      </c>
      <c r="P2357" s="2" t="str">
        <f>"2170584004                    "</f>
        <v xml:space="preserve">2170584004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3.13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1</v>
      </c>
      <c r="BJ2357" s="2">
        <v>0.2</v>
      </c>
      <c r="BK2357" s="2">
        <v>1</v>
      </c>
      <c r="BL2357" s="2">
        <v>32.380000000000003</v>
      </c>
      <c r="BM2357" s="2">
        <v>4.53</v>
      </c>
      <c r="BN2357" s="2">
        <v>36.909999999999997</v>
      </c>
      <c r="BO2357" s="2">
        <v>36.909999999999997</v>
      </c>
      <c r="BP2357" s="2"/>
      <c r="BQ2357" s="2" t="s">
        <v>108</v>
      </c>
      <c r="BR2357" s="2" t="s">
        <v>84</v>
      </c>
      <c r="BS2357" s="3">
        <v>42970</v>
      </c>
      <c r="BT2357" s="4">
        <v>0.42638888888888887</v>
      </c>
      <c r="BU2357" s="2" t="s">
        <v>2857</v>
      </c>
      <c r="BV2357" s="2" t="s">
        <v>95</v>
      </c>
      <c r="BW2357" s="2"/>
      <c r="BX2357" s="2"/>
      <c r="BY2357" s="2">
        <v>1200</v>
      </c>
      <c r="BZ2357" s="2"/>
      <c r="CA2357" s="2" t="s">
        <v>733</v>
      </c>
      <c r="CB2357" s="2"/>
      <c r="CC2357" s="2" t="s">
        <v>245</v>
      </c>
      <c r="CD2357" s="2">
        <v>1459</v>
      </c>
      <c r="CE2357" s="2" t="s">
        <v>104</v>
      </c>
      <c r="CF2357" s="5">
        <v>42971</v>
      </c>
      <c r="CG2357" s="2"/>
      <c r="CH2357" s="2"/>
      <c r="CI2357" s="2">
        <v>1</v>
      </c>
      <c r="CJ2357" s="2">
        <v>1</v>
      </c>
      <c r="CK2357" s="2">
        <v>22</v>
      </c>
      <c r="CL2357" s="2" t="s">
        <v>86</v>
      </c>
      <c r="CM2357" s="2"/>
    </row>
    <row r="2358" spans="1:91">
      <c r="A2358" s="2" t="s">
        <v>71</v>
      </c>
      <c r="B2358" s="2" t="s">
        <v>72</v>
      </c>
      <c r="C2358" s="2" t="s">
        <v>73</v>
      </c>
      <c r="D2358" s="2"/>
      <c r="E2358" s="2" t="str">
        <f>"FES1162570537"</f>
        <v>FES1162570537</v>
      </c>
      <c r="F2358" s="3">
        <v>42969</v>
      </c>
      <c r="G2358" s="2">
        <v>201802</v>
      </c>
      <c r="H2358" s="2" t="s">
        <v>74</v>
      </c>
      <c r="I2358" s="2" t="s">
        <v>75</v>
      </c>
      <c r="J2358" s="2" t="s">
        <v>76</v>
      </c>
      <c r="K2358" s="2" t="s">
        <v>77</v>
      </c>
      <c r="L2358" s="2" t="s">
        <v>97</v>
      </c>
      <c r="M2358" s="2" t="s">
        <v>98</v>
      </c>
      <c r="N2358" s="2" t="s">
        <v>99</v>
      </c>
      <c r="O2358" s="2" t="s">
        <v>100</v>
      </c>
      <c r="P2358" s="2" t="str">
        <f>"2170583844                    "</f>
        <v xml:space="preserve">2170583844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4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1</v>
      </c>
      <c r="BJ2358" s="2">
        <v>0.2</v>
      </c>
      <c r="BK2358" s="2">
        <v>1</v>
      </c>
      <c r="BL2358" s="2">
        <v>41.44</v>
      </c>
      <c r="BM2358" s="2">
        <v>5.8</v>
      </c>
      <c r="BN2358" s="2">
        <v>47.24</v>
      </c>
      <c r="BO2358" s="2">
        <v>47.24</v>
      </c>
      <c r="BP2358" s="2"/>
      <c r="BQ2358" s="2" t="s">
        <v>83</v>
      </c>
      <c r="BR2358" s="2" t="s">
        <v>84</v>
      </c>
      <c r="BS2358" s="3">
        <v>42970</v>
      </c>
      <c r="BT2358" s="4">
        <v>0.3520833333333333</v>
      </c>
      <c r="BU2358" s="2" t="s">
        <v>102</v>
      </c>
      <c r="BV2358" s="2" t="s">
        <v>95</v>
      </c>
      <c r="BW2358" s="2"/>
      <c r="BX2358" s="2"/>
      <c r="BY2358" s="2">
        <v>1200</v>
      </c>
      <c r="BZ2358" s="2"/>
      <c r="CA2358" s="2" t="s">
        <v>103</v>
      </c>
      <c r="CB2358" s="2"/>
      <c r="CC2358" s="2" t="s">
        <v>98</v>
      </c>
      <c r="CD2358" s="2">
        <v>6210</v>
      </c>
      <c r="CE2358" s="2" t="s">
        <v>104</v>
      </c>
      <c r="CF2358" s="5">
        <v>42971</v>
      </c>
      <c r="CG2358" s="2"/>
      <c r="CH2358" s="2"/>
      <c r="CI2358" s="2">
        <v>1</v>
      </c>
      <c r="CJ2358" s="2">
        <v>1</v>
      </c>
      <c r="CK2358" s="2">
        <v>21</v>
      </c>
      <c r="CL2358" s="2" t="s">
        <v>86</v>
      </c>
      <c r="CM2358" s="2"/>
    </row>
    <row r="2359" spans="1:91">
      <c r="A2359" s="2" t="s">
        <v>71</v>
      </c>
      <c r="B2359" s="2" t="s">
        <v>72</v>
      </c>
      <c r="C2359" s="2" t="s">
        <v>73</v>
      </c>
      <c r="D2359" s="2"/>
      <c r="E2359" s="2" t="str">
        <f>"FES1162570440"</f>
        <v>FES1162570440</v>
      </c>
      <c r="F2359" s="3">
        <v>42969</v>
      </c>
      <c r="G2359" s="2">
        <v>201802</v>
      </c>
      <c r="H2359" s="2" t="s">
        <v>74</v>
      </c>
      <c r="I2359" s="2" t="s">
        <v>75</v>
      </c>
      <c r="J2359" s="2" t="s">
        <v>76</v>
      </c>
      <c r="K2359" s="2" t="s">
        <v>77</v>
      </c>
      <c r="L2359" s="2" t="s">
        <v>244</v>
      </c>
      <c r="M2359" s="2" t="s">
        <v>245</v>
      </c>
      <c r="N2359" s="2" t="s">
        <v>793</v>
      </c>
      <c r="O2359" s="2" t="s">
        <v>100</v>
      </c>
      <c r="P2359" s="2" t="str">
        <f>"2170586201                    "</f>
        <v xml:space="preserve">2170586201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3.13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2.2000000000000002</v>
      </c>
      <c r="BJ2359" s="2">
        <v>3.2</v>
      </c>
      <c r="BK2359" s="2">
        <v>4</v>
      </c>
      <c r="BL2359" s="2">
        <v>32.380000000000003</v>
      </c>
      <c r="BM2359" s="2">
        <v>4.53</v>
      </c>
      <c r="BN2359" s="2">
        <v>36.909999999999997</v>
      </c>
      <c r="BO2359" s="2">
        <v>36.909999999999997</v>
      </c>
      <c r="BP2359" s="2"/>
      <c r="BQ2359" s="2" t="s">
        <v>288</v>
      </c>
      <c r="BR2359" s="2" t="s">
        <v>84</v>
      </c>
      <c r="BS2359" s="3">
        <v>42970</v>
      </c>
      <c r="BT2359" s="4">
        <v>0.31180555555555556</v>
      </c>
      <c r="BU2359" s="2" t="s">
        <v>1384</v>
      </c>
      <c r="BV2359" s="2" t="s">
        <v>95</v>
      </c>
      <c r="BW2359" s="2"/>
      <c r="BX2359" s="2"/>
      <c r="BY2359" s="2">
        <v>16239.3</v>
      </c>
      <c r="BZ2359" s="2"/>
      <c r="CA2359" s="2" t="s">
        <v>499</v>
      </c>
      <c r="CB2359" s="2"/>
      <c r="CC2359" s="2" t="s">
        <v>245</v>
      </c>
      <c r="CD2359" s="2">
        <v>1459</v>
      </c>
      <c r="CE2359" s="2" t="s">
        <v>89</v>
      </c>
      <c r="CF2359" s="5">
        <v>42971</v>
      </c>
      <c r="CG2359" s="2"/>
      <c r="CH2359" s="2"/>
      <c r="CI2359" s="2">
        <v>1</v>
      </c>
      <c r="CJ2359" s="2">
        <v>1</v>
      </c>
      <c r="CK2359" s="2">
        <v>22</v>
      </c>
      <c r="CL2359" s="2" t="s">
        <v>86</v>
      </c>
      <c r="CM2359" s="2"/>
    </row>
    <row r="2360" spans="1:91">
      <c r="A2360" s="2" t="s">
        <v>71</v>
      </c>
      <c r="B2360" s="2" t="s">
        <v>72</v>
      </c>
      <c r="C2360" s="2" t="s">
        <v>73</v>
      </c>
      <c r="D2360" s="2"/>
      <c r="E2360" s="2" t="str">
        <f>"FES1162570510"</f>
        <v>FES1162570510</v>
      </c>
      <c r="F2360" s="3">
        <v>42969</v>
      </c>
      <c r="G2360" s="2">
        <v>201802</v>
      </c>
      <c r="H2360" s="2" t="s">
        <v>74</v>
      </c>
      <c r="I2360" s="2" t="s">
        <v>75</v>
      </c>
      <c r="J2360" s="2" t="s">
        <v>76</v>
      </c>
      <c r="K2360" s="2" t="s">
        <v>77</v>
      </c>
      <c r="L2360" s="2" t="s">
        <v>170</v>
      </c>
      <c r="M2360" s="2" t="s">
        <v>171</v>
      </c>
      <c r="N2360" s="2" t="s">
        <v>172</v>
      </c>
      <c r="O2360" s="2" t="s">
        <v>100</v>
      </c>
      <c r="P2360" s="2" t="str">
        <f>"2170586276                    "</f>
        <v xml:space="preserve">2170586276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3.13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2.9</v>
      </c>
      <c r="BJ2360" s="2">
        <v>3.2</v>
      </c>
      <c r="BK2360" s="2">
        <v>4</v>
      </c>
      <c r="BL2360" s="2">
        <v>32.380000000000003</v>
      </c>
      <c r="BM2360" s="2">
        <v>4.53</v>
      </c>
      <c r="BN2360" s="2">
        <v>36.909999999999997</v>
      </c>
      <c r="BO2360" s="2">
        <v>36.909999999999997</v>
      </c>
      <c r="BP2360" s="2"/>
      <c r="BQ2360" s="2" t="s">
        <v>288</v>
      </c>
      <c r="BR2360" s="2" t="s">
        <v>84</v>
      </c>
      <c r="BS2360" s="3">
        <v>42970</v>
      </c>
      <c r="BT2360" s="4">
        <v>0.4375</v>
      </c>
      <c r="BU2360" s="2" t="s">
        <v>173</v>
      </c>
      <c r="BV2360" s="2" t="s">
        <v>95</v>
      </c>
      <c r="BW2360" s="2"/>
      <c r="BX2360" s="2"/>
      <c r="BY2360" s="2">
        <v>16238.54</v>
      </c>
      <c r="BZ2360" s="2"/>
      <c r="CA2360" s="2"/>
      <c r="CB2360" s="2"/>
      <c r="CC2360" s="2" t="s">
        <v>171</v>
      </c>
      <c r="CD2360" s="2">
        <v>1401</v>
      </c>
      <c r="CE2360" s="2" t="s">
        <v>89</v>
      </c>
      <c r="CF2360" s="5">
        <v>42971</v>
      </c>
      <c r="CG2360" s="2"/>
      <c r="CH2360" s="2"/>
      <c r="CI2360" s="2">
        <v>1</v>
      </c>
      <c r="CJ2360" s="2">
        <v>1</v>
      </c>
      <c r="CK2360" s="2">
        <v>22</v>
      </c>
      <c r="CL2360" s="2" t="s">
        <v>86</v>
      </c>
      <c r="CM2360" s="2"/>
    </row>
    <row r="2361" spans="1:91">
      <c r="A2361" s="2" t="s">
        <v>71</v>
      </c>
      <c r="B2361" s="2" t="s">
        <v>72</v>
      </c>
      <c r="C2361" s="2" t="s">
        <v>73</v>
      </c>
      <c r="D2361" s="2"/>
      <c r="E2361" s="2" t="str">
        <f>"FES1162570491"</f>
        <v>FES1162570491</v>
      </c>
      <c r="F2361" s="3">
        <v>42969</v>
      </c>
      <c r="G2361" s="2">
        <v>201802</v>
      </c>
      <c r="H2361" s="2" t="s">
        <v>74</v>
      </c>
      <c r="I2361" s="2" t="s">
        <v>75</v>
      </c>
      <c r="J2361" s="2" t="s">
        <v>76</v>
      </c>
      <c r="K2361" s="2" t="s">
        <v>77</v>
      </c>
      <c r="L2361" s="2" t="s">
        <v>105</v>
      </c>
      <c r="M2361" s="2" t="s">
        <v>106</v>
      </c>
      <c r="N2361" s="2" t="s">
        <v>1281</v>
      </c>
      <c r="O2361" s="2" t="s">
        <v>100</v>
      </c>
      <c r="P2361" s="2" t="str">
        <f>"2170583808                    "</f>
        <v xml:space="preserve">2170583808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4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1</v>
      </c>
      <c r="BJ2361" s="2">
        <v>0.2</v>
      </c>
      <c r="BK2361" s="2">
        <v>1</v>
      </c>
      <c r="BL2361" s="2">
        <v>41.44</v>
      </c>
      <c r="BM2361" s="2">
        <v>5.8</v>
      </c>
      <c r="BN2361" s="2">
        <v>47.24</v>
      </c>
      <c r="BO2361" s="2">
        <v>47.24</v>
      </c>
      <c r="BP2361" s="2"/>
      <c r="BQ2361" s="2" t="s">
        <v>83</v>
      </c>
      <c r="BR2361" s="2" t="s">
        <v>84</v>
      </c>
      <c r="BS2361" s="3">
        <v>42970</v>
      </c>
      <c r="BT2361" s="4">
        <v>0.4694444444444445</v>
      </c>
      <c r="BU2361" s="2" t="s">
        <v>2858</v>
      </c>
      <c r="BV2361" s="2" t="s">
        <v>86</v>
      </c>
      <c r="BW2361" s="2" t="s">
        <v>124</v>
      </c>
      <c r="BX2361" s="2" t="s">
        <v>116</v>
      </c>
      <c r="BY2361" s="2">
        <v>1200</v>
      </c>
      <c r="BZ2361" s="2"/>
      <c r="CA2361" s="2" t="s">
        <v>648</v>
      </c>
      <c r="CB2361" s="2"/>
      <c r="CC2361" s="2" t="s">
        <v>106</v>
      </c>
      <c r="CD2361" s="2">
        <v>7800</v>
      </c>
      <c r="CE2361" s="2" t="s">
        <v>104</v>
      </c>
      <c r="CF2361" s="5">
        <v>42971</v>
      </c>
      <c r="CG2361" s="2"/>
      <c r="CH2361" s="2"/>
      <c r="CI2361" s="2">
        <v>1</v>
      </c>
      <c r="CJ2361" s="2">
        <v>1</v>
      </c>
      <c r="CK2361" s="2">
        <v>21</v>
      </c>
      <c r="CL2361" s="2" t="s">
        <v>86</v>
      </c>
      <c r="CM2361" s="2"/>
    </row>
    <row r="2362" spans="1:91">
      <c r="A2362" s="2" t="s">
        <v>71</v>
      </c>
      <c r="B2362" s="2" t="s">
        <v>72</v>
      </c>
      <c r="C2362" s="2" t="s">
        <v>73</v>
      </c>
      <c r="D2362" s="2"/>
      <c r="E2362" s="2" t="str">
        <f>"FES1162570540"</f>
        <v>FES1162570540</v>
      </c>
      <c r="F2362" s="3">
        <v>42969</v>
      </c>
      <c r="G2362" s="2">
        <v>201802</v>
      </c>
      <c r="H2362" s="2" t="s">
        <v>74</v>
      </c>
      <c r="I2362" s="2" t="s">
        <v>75</v>
      </c>
      <c r="J2362" s="2" t="s">
        <v>76</v>
      </c>
      <c r="K2362" s="2" t="s">
        <v>77</v>
      </c>
      <c r="L2362" s="2" t="s">
        <v>97</v>
      </c>
      <c r="M2362" s="2" t="s">
        <v>98</v>
      </c>
      <c r="N2362" s="2" t="s">
        <v>99</v>
      </c>
      <c r="O2362" s="2" t="s">
        <v>100</v>
      </c>
      <c r="P2362" s="2" t="str">
        <f>"2170583857                    "</f>
        <v xml:space="preserve">2170583857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4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1</v>
      </c>
      <c r="BJ2362" s="2">
        <v>0.2</v>
      </c>
      <c r="BK2362" s="2">
        <v>1</v>
      </c>
      <c r="BL2362" s="2">
        <v>41.44</v>
      </c>
      <c r="BM2362" s="2">
        <v>5.8</v>
      </c>
      <c r="BN2362" s="2">
        <v>47.24</v>
      </c>
      <c r="BO2362" s="2">
        <v>47.24</v>
      </c>
      <c r="BP2362" s="2"/>
      <c r="BQ2362" s="2" t="s">
        <v>83</v>
      </c>
      <c r="BR2362" s="2" t="s">
        <v>84</v>
      </c>
      <c r="BS2362" s="3">
        <v>42970</v>
      </c>
      <c r="BT2362" s="4">
        <v>0.3527777777777778</v>
      </c>
      <c r="BU2362" s="2" t="s">
        <v>102</v>
      </c>
      <c r="BV2362" s="2" t="s">
        <v>95</v>
      </c>
      <c r="BW2362" s="2"/>
      <c r="BX2362" s="2"/>
      <c r="BY2362" s="2">
        <v>1200</v>
      </c>
      <c r="BZ2362" s="2"/>
      <c r="CA2362" s="2" t="s">
        <v>103</v>
      </c>
      <c r="CB2362" s="2"/>
      <c r="CC2362" s="2" t="s">
        <v>98</v>
      </c>
      <c r="CD2362" s="2">
        <v>6210</v>
      </c>
      <c r="CE2362" s="2" t="s">
        <v>104</v>
      </c>
      <c r="CF2362" s="5">
        <v>42971</v>
      </c>
      <c r="CG2362" s="2"/>
      <c r="CH2362" s="2"/>
      <c r="CI2362" s="2">
        <v>1</v>
      </c>
      <c r="CJ2362" s="2">
        <v>1</v>
      </c>
      <c r="CK2362" s="2">
        <v>21</v>
      </c>
      <c r="CL2362" s="2" t="s">
        <v>86</v>
      </c>
      <c r="CM2362" s="2"/>
    </row>
    <row r="2363" spans="1:91">
      <c r="A2363" s="2" t="s">
        <v>71</v>
      </c>
      <c r="B2363" s="2" t="s">
        <v>72</v>
      </c>
      <c r="C2363" s="2" t="s">
        <v>73</v>
      </c>
      <c r="D2363" s="2"/>
      <c r="E2363" s="2" t="str">
        <f>"FES1162570461"</f>
        <v>FES1162570461</v>
      </c>
      <c r="F2363" s="3">
        <v>42969</v>
      </c>
      <c r="G2363" s="2">
        <v>201802</v>
      </c>
      <c r="H2363" s="2" t="s">
        <v>74</v>
      </c>
      <c r="I2363" s="2" t="s">
        <v>75</v>
      </c>
      <c r="J2363" s="2" t="s">
        <v>76</v>
      </c>
      <c r="K2363" s="2" t="s">
        <v>77</v>
      </c>
      <c r="L2363" s="2" t="s">
        <v>237</v>
      </c>
      <c r="M2363" s="2" t="s">
        <v>238</v>
      </c>
      <c r="N2363" s="2" t="s">
        <v>1530</v>
      </c>
      <c r="O2363" s="2" t="s">
        <v>100</v>
      </c>
      <c r="P2363" s="2" t="str">
        <f>"2170586212                    "</f>
        <v xml:space="preserve">2170586212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4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1</v>
      </c>
      <c r="BI2363" s="2">
        <v>1</v>
      </c>
      <c r="BJ2363" s="2">
        <v>0.2</v>
      </c>
      <c r="BK2363" s="2">
        <v>1</v>
      </c>
      <c r="BL2363" s="2">
        <v>41.44</v>
      </c>
      <c r="BM2363" s="2">
        <v>5.8</v>
      </c>
      <c r="BN2363" s="2">
        <v>47.24</v>
      </c>
      <c r="BO2363" s="2">
        <v>47.24</v>
      </c>
      <c r="BP2363" s="2"/>
      <c r="BQ2363" s="2" t="s">
        <v>108</v>
      </c>
      <c r="BR2363" s="2" t="s">
        <v>84</v>
      </c>
      <c r="BS2363" s="3">
        <v>42970</v>
      </c>
      <c r="BT2363" s="4">
        <v>0.40902777777777777</v>
      </c>
      <c r="BU2363" s="2" t="s">
        <v>2859</v>
      </c>
      <c r="BV2363" s="2" t="s">
        <v>95</v>
      </c>
      <c r="BW2363" s="2"/>
      <c r="BX2363" s="2"/>
      <c r="BY2363" s="2">
        <v>1200</v>
      </c>
      <c r="BZ2363" s="2"/>
      <c r="CA2363" s="2" t="s">
        <v>672</v>
      </c>
      <c r="CB2363" s="2"/>
      <c r="CC2363" s="2" t="s">
        <v>238</v>
      </c>
      <c r="CD2363" s="2">
        <v>3610</v>
      </c>
      <c r="CE2363" s="2" t="s">
        <v>104</v>
      </c>
      <c r="CF2363" s="5">
        <v>42971</v>
      </c>
      <c r="CG2363" s="2"/>
      <c r="CH2363" s="2"/>
      <c r="CI2363" s="2">
        <v>1</v>
      </c>
      <c r="CJ2363" s="2">
        <v>1</v>
      </c>
      <c r="CK2363" s="2">
        <v>21</v>
      </c>
      <c r="CL2363" s="2" t="s">
        <v>86</v>
      </c>
      <c r="CM2363" s="2"/>
    </row>
    <row r="2364" spans="1:91">
      <c r="A2364" s="2" t="s">
        <v>71</v>
      </c>
      <c r="B2364" s="2" t="s">
        <v>72</v>
      </c>
      <c r="C2364" s="2" t="s">
        <v>73</v>
      </c>
      <c r="D2364" s="2"/>
      <c r="E2364" s="2" t="str">
        <f>"FES1162570460"</f>
        <v>FES1162570460</v>
      </c>
      <c r="F2364" s="3">
        <v>42969</v>
      </c>
      <c r="G2364" s="2">
        <v>201802</v>
      </c>
      <c r="H2364" s="2" t="s">
        <v>74</v>
      </c>
      <c r="I2364" s="2" t="s">
        <v>75</v>
      </c>
      <c r="J2364" s="2" t="s">
        <v>76</v>
      </c>
      <c r="K2364" s="2" t="s">
        <v>77</v>
      </c>
      <c r="L2364" s="2" t="s">
        <v>97</v>
      </c>
      <c r="M2364" s="2" t="s">
        <v>98</v>
      </c>
      <c r="N2364" s="2" t="s">
        <v>822</v>
      </c>
      <c r="O2364" s="2" t="s">
        <v>100</v>
      </c>
      <c r="P2364" s="2" t="str">
        <f>"2170579258                    "</f>
        <v xml:space="preserve">2170579258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4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1</v>
      </c>
      <c r="BJ2364" s="2">
        <v>0.2</v>
      </c>
      <c r="BK2364" s="2">
        <v>1</v>
      </c>
      <c r="BL2364" s="2">
        <v>41.44</v>
      </c>
      <c r="BM2364" s="2">
        <v>5.8</v>
      </c>
      <c r="BN2364" s="2">
        <v>47.24</v>
      </c>
      <c r="BO2364" s="2">
        <v>47.24</v>
      </c>
      <c r="BP2364" s="2"/>
      <c r="BQ2364" s="2" t="s">
        <v>83</v>
      </c>
      <c r="BR2364" s="2" t="s">
        <v>84</v>
      </c>
      <c r="BS2364" s="3">
        <v>42970</v>
      </c>
      <c r="BT2364" s="4">
        <v>0.3298611111111111</v>
      </c>
      <c r="BU2364" s="2" t="s">
        <v>2860</v>
      </c>
      <c r="BV2364" s="2" t="s">
        <v>95</v>
      </c>
      <c r="BW2364" s="2"/>
      <c r="BX2364" s="2"/>
      <c r="BY2364" s="2">
        <v>1200</v>
      </c>
      <c r="BZ2364" s="2"/>
      <c r="CA2364" s="2" t="s">
        <v>804</v>
      </c>
      <c r="CB2364" s="2"/>
      <c r="CC2364" s="2" t="s">
        <v>98</v>
      </c>
      <c r="CD2364" s="2">
        <v>6014</v>
      </c>
      <c r="CE2364" s="2" t="s">
        <v>104</v>
      </c>
      <c r="CF2364" s="5">
        <v>42971</v>
      </c>
      <c r="CG2364" s="2"/>
      <c r="CH2364" s="2"/>
      <c r="CI2364" s="2">
        <v>1</v>
      </c>
      <c r="CJ2364" s="2">
        <v>1</v>
      </c>
      <c r="CK2364" s="2">
        <v>21</v>
      </c>
      <c r="CL2364" s="2" t="s">
        <v>86</v>
      </c>
      <c r="CM2364" s="2"/>
    </row>
    <row r="2365" spans="1:91">
      <c r="A2365" s="2" t="s">
        <v>71</v>
      </c>
      <c r="B2365" s="2" t="s">
        <v>72</v>
      </c>
      <c r="C2365" s="2" t="s">
        <v>73</v>
      </c>
      <c r="D2365" s="2"/>
      <c r="E2365" s="2" t="str">
        <f>"FES1162570528"</f>
        <v>FES1162570528</v>
      </c>
      <c r="F2365" s="3">
        <v>42969</v>
      </c>
      <c r="G2365" s="2">
        <v>201802</v>
      </c>
      <c r="H2365" s="2" t="s">
        <v>74</v>
      </c>
      <c r="I2365" s="2" t="s">
        <v>75</v>
      </c>
      <c r="J2365" s="2" t="s">
        <v>76</v>
      </c>
      <c r="K2365" s="2" t="s">
        <v>77</v>
      </c>
      <c r="L2365" s="2" t="s">
        <v>206</v>
      </c>
      <c r="M2365" s="2" t="s">
        <v>207</v>
      </c>
      <c r="N2365" s="2" t="s">
        <v>262</v>
      </c>
      <c r="O2365" s="2" t="s">
        <v>100</v>
      </c>
      <c r="P2365" s="2" t="str">
        <f>"2170583789                    "</f>
        <v xml:space="preserve">2170583789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5.63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1</v>
      </c>
      <c r="BI2365" s="2">
        <v>1</v>
      </c>
      <c r="BJ2365" s="2">
        <v>0.2</v>
      </c>
      <c r="BK2365" s="2">
        <v>1</v>
      </c>
      <c r="BL2365" s="2">
        <v>58.28</v>
      </c>
      <c r="BM2365" s="2">
        <v>8.16</v>
      </c>
      <c r="BN2365" s="2">
        <v>66.44</v>
      </c>
      <c r="BO2365" s="2">
        <v>66.44</v>
      </c>
      <c r="BP2365" s="2"/>
      <c r="BQ2365" s="2" t="s">
        <v>83</v>
      </c>
      <c r="BR2365" s="2" t="s">
        <v>84</v>
      </c>
      <c r="BS2365" s="3">
        <v>42970</v>
      </c>
      <c r="BT2365" s="4">
        <v>0.52083333333333337</v>
      </c>
      <c r="BU2365" s="2" t="s">
        <v>639</v>
      </c>
      <c r="BV2365" s="2" t="s">
        <v>95</v>
      </c>
      <c r="BW2365" s="2"/>
      <c r="BX2365" s="2"/>
      <c r="BY2365" s="2">
        <v>1200</v>
      </c>
      <c r="BZ2365" s="2"/>
      <c r="CA2365" s="2" t="s">
        <v>640</v>
      </c>
      <c r="CB2365" s="2"/>
      <c r="CC2365" s="2" t="s">
        <v>207</v>
      </c>
      <c r="CD2365" s="2">
        <v>250</v>
      </c>
      <c r="CE2365" s="2" t="s">
        <v>104</v>
      </c>
      <c r="CF2365" s="5">
        <v>42972</v>
      </c>
      <c r="CG2365" s="2"/>
      <c r="CH2365" s="2"/>
      <c r="CI2365" s="2">
        <v>1</v>
      </c>
      <c r="CJ2365" s="2">
        <v>1</v>
      </c>
      <c r="CK2365" s="2">
        <v>24</v>
      </c>
      <c r="CL2365" s="2" t="s">
        <v>86</v>
      </c>
      <c r="CM2365" s="2"/>
    </row>
    <row r="2366" spans="1:91">
      <c r="A2366" s="2" t="s">
        <v>71</v>
      </c>
      <c r="B2366" s="2" t="s">
        <v>72</v>
      </c>
      <c r="C2366" s="2" t="s">
        <v>73</v>
      </c>
      <c r="D2366" s="2"/>
      <c r="E2366" s="2" t="str">
        <f>"FES1162570617"</f>
        <v>FES1162570617</v>
      </c>
      <c r="F2366" s="3">
        <v>42969</v>
      </c>
      <c r="G2366" s="2">
        <v>201802</v>
      </c>
      <c r="H2366" s="2" t="s">
        <v>74</v>
      </c>
      <c r="I2366" s="2" t="s">
        <v>75</v>
      </c>
      <c r="J2366" s="2" t="s">
        <v>76</v>
      </c>
      <c r="K2366" s="2" t="s">
        <v>77</v>
      </c>
      <c r="L2366" s="2" t="s">
        <v>1221</v>
      </c>
      <c r="M2366" s="2" t="s">
        <v>1222</v>
      </c>
      <c r="N2366" s="2" t="s">
        <v>1223</v>
      </c>
      <c r="O2366" s="2" t="s">
        <v>100</v>
      </c>
      <c r="P2366" s="2" t="str">
        <f>"2170586368                    "</f>
        <v xml:space="preserve">2170586368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7.75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1</v>
      </c>
      <c r="BI2366" s="2">
        <v>1</v>
      </c>
      <c r="BJ2366" s="2">
        <v>0.2</v>
      </c>
      <c r="BK2366" s="2">
        <v>1</v>
      </c>
      <c r="BL2366" s="2">
        <v>80.290000000000006</v>
      </c>
      <c r="BM2366" s="2">
        <v>11.24</v>
      </c>
      <c r="BN2366" s="2">
        <v>91.53</v>
      </c>
      <c r="BO2366" s="2">
        <v>91.53</v>
      </c>
      <c r="BP2366" s="2"/>
      <c r="BQ2366" s="2" t="s">
        <v>365</v>
      </c>
      <c r="BR2366" s="2" t="s">
        <v>84</v>
      </c>
      <c r="BS2366" s="3">
        <v>42970</v>
      </c>
      <c r="BT2366" s="4">
        <v>0.64027777777777783</v>
      </c>
      <c r="BU2366" s="2" t="s">
        <v>2861</v>
      </c>
      <c r="BV2366" s="2" t="s">
        <v>95</v>
      </c>
      <c r="BW2366" s="2"/>
      <c r="BX2366" s="2"/>
      <c r="BY2366" s="2">
        <v>1200</v>
      </c>
      <c r="BZ2366" s="2"/>
      <c r="CA2366" s="2" t="s">
        <v>148</v>
      </c>
      <c r="CB2366" s="2"/>
      <c r="CC2366" s="2" t="s">
        <v>1222</v>
      </c>
      <c r="CD2366" s="2">
        <v>5850</v>
      </c>
      <c r="CE2366" s="2" t="s">
        <v>104</v>
      </c>
      <c r="CF2366" s="5">
        <v>42972</v>
      </c>
      <c r="CG2366" s="2"/>
      <c r="CH2366" s="2"/>
      <c r="CI2366" s="2">
        <v>3</v>
      </c>
      <c r="CJ2366" s="2">
        <v>1</v>
      </c>
      <c r="CK2366" s="2">
        <v>23</v>
      </c>
      <c r="CL2366" s="2" t="s">
        <v>86</v>
      </c>
      <c r="CM2366" s="2"/>
    </row>
    <row r="2367" spans="1:91">
      <c r="A2367" s="2" t="s">
        <v>71</v>
      </c>
      <c r="B2367" s="2" t="s">
        <v>72</v>
      </c>
      <c r="C2367" s="2" t="s">
        <v>73</v>
      </c>
      <c r="D2367" s="2"/>
      <c r="E2367" s="2" t="str">
        <f>"FES1162570518"</f>
        <v>FES1162570518</v>
      </c>
      <c r="F2367" s="3">
        <v>42969</v>
      </c>
      <c r="G2367" s="2">
        <v>201802</v>
      </c>
      <c r="H2367" s="2" t="s">
        <v>74</v>
      </c>
      <c r="I2367" s="2" t="s">
        <v>75</v>
      </c>
      <c r="J2367" s="2" t="s">
        <v>76</v>
      </c>
      <c r="K2367" s="2" t="s">
        <v>77</v>
      </c>
      <c r="L2367" s="2" t="s">
        <v>74</v>
      </c>
      <c r="M2367" s="2" t="s">
        <v>75</v>
      </c>
      <c r="N2367" s="2" t="s">
        <v>2862</v>
      </c>
      <c r="O2367" s="2" t="s">
        <v>100</v>
      </c>
      <c r="P2367" s="2" t="str">
        <f>"2170586282                    "</f>
        <v xml:space="preserve">2170586282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3.13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1</v>
      </c>
      <c r="BJ2367" s="2">
        <v>0.2</v>
      </c>
      <c r="BK2367" s="2">
        <v>1</v>
      </c>
      <c r="BL2367" s="2">
        <v>32.380000000000003</v>
      </c>
      <c r="BM2367" s="2">
        <v>4.53</v>
      </c>
      <c r="BN2367" s="2">
        <v>36.909999999999997</v>
      </c>
      <c r="BO2367" s="2">
        <v>36.909999999999997</v>
      </c>
      <c r="BP2367" s="2"/>
      <c r="BQ2367" s="2" t="s">
        <v>108</v>
      </c>
      <c r="BR2367" s="2" t="s">
        <v>84</v>
      </c>
      <c r="BS2367" s="3">
        <v>42970</v>
      </c>
      <c r="BT2367" s="4">
        <v>0.40972222222222227</v>
      </c>
      <c r="BU2367" s="2" t="s">
        <v>2863</v>
      </c>
      <c r="BV2367" s="2" t="s">
        <v>95</v>
      </c>
      <c r="BW2367" s="2"/>
      <c r="BX2367" s="2"/>
      <c r="BY2367" s="2">
        <v>1200</v>
      </c>
      <c r="BZ2367" s="2"/>
      <c r="CA2367" s="2" t="s">
        <v>328</v>
      </c>
      <c r="CB2367" s="2"/>
      <c r="CC2367" s="2" t="s">
        <v>75</v>
      </c>
      <c r="CD2367" s="2">
        <v>1619</v>
      </c>
      <c r="CE2367" s="2" t="s">
        <v>104</v>
      </c>
      <c r="CF2367" s="5">
        <v>42971</v>
      </c>
      <c r="CG2367" s="2"/>
      <c r="CH2367" s="2"/>
      <c r="CI2367" s="2">
        <v>1</v>
      </c>
      <c r="CJ2367" s="2">
        <v>1</v>
      </c>
      <c r="CK2367" s="2">
        <v>22</v>
      </c>
      <c r="CL2367" s="2" t="s">
        <v>86</v>
      </c>
      <c r="CM2367" s="2"/>
    </row>
    <row r="2368" spans="1:91">
      <c r="A2368" s="2" t="s">
        <v>71</v>
      </c>
      <c r="B2368" s="2" t="s">
        <v>72</v>
      </c>
      <c r="C2368" s="2" t="s">
        <v>73</v>
      </c>
      <c r="D2368" s="2"/>
      <c r="E2368" s="2" t="str">
        <f>"FES1162570494"</f>
        <v>FES1162570494</v>
      </c>
      <c r="F2368" s="3">
        <v>42969</v>
      </c>
      <c r="G2368" s="2">
        <v>201802</v>
      </c>
      <c r="H2368" s="2" t="s">
        <v>74</v>
      </c>
      <c r="I2368" s="2" t="s">
        <v>75</v>
      </c>
      <c r="J2368" s="2" t="s">
        <v>76</v>
      </c>
      <c r="K2368" s="2" t="s">
        <v>77</v>
      </c>
      <c r="L2368" s="2" t="s">
        <v>311</v>
      </c>
      <c r="M2368" s="2" t="s">
        <v>312</v>
      </c>
      <c r="N2368" s="2" t="s">
        <v>2450</v>
      </c>
      <c r="O2368" s="2" t="s">
        <v>100</v>
      </c>
      <c r="P2368" s="2" t="str">
        <f>"2170584002                    "</f>
        <v xml:space="preserve">2170584002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3.13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1</v>
      </c>
      <c r="BJ2368" s="2">
        <v>0.2</v>
      </c>
      <c r="BK2368" s="2">
        <v>1</v>
      </c>
      <c r="BL2368" s="2">
        <v>32.380000000000003</v>
      </c>
      <c r="BM2368" s="2">
        <v>4.53</v>
      </c>
      <c r="BN2368" s="2">
        <v>36.909999999999997</v>
      </c>
      <c r="BO2368" s="2">
        <v>36.909999999999997</v>
      </c>
      <c r="BP2368" s="2"/>
      <c r="BQ2368" s="2" t="s">
        <v>108</v>
      </c>
      <c r="BR2368" s="2" t="s">
        <v>84</v>
      </c>
      <c r="BS2368" s="3">
        <v>42970</v>
      </c>
      <c r="BT2368" s="4">
        <v>0.43402777777777773</v>
      </c>
      <c r="BU2368" s="2" t="s">
        <v>1360</v>
      </c>
      <c r="BV2368" s="2" t="s">
        <v>95</v>
      </c>
      <c r="BW2368" s="2"/>
      <c r="BX2368" s="2"/>
      <c r="BY2368" s="2">
        <v>1200</v>
      </c>
      <c r="BZ2368" s="2"/>
      <c r="CA2368" s="2"/>
      <c r="CB2368" s="2"/>
      <c r="CC2368" s="2" t="s">
        <v>312</v>
      </c>
      <c r="CD2368" s="2">
        <v>1559</v>
      </c>
      <c r="CE2368" s="2" t="s">
        <v>104</v>
      </c>
      <c r="CF2368" s="5">
        <v>42971</v>
      </c>
      <c r="CG2368" s="2"/>
      <c r="CH2368" s="2"/>
      <c r="CI2368" s="2">
        <v>1</v>
      </c>
      <c r="CJ2368" s="2">
        <v>1</v>
      </c>
      <c r="CK2368" s="2">
        <v>22</v>
      </c>
      <c r="CL2368" s="2" t="s">
        <v>86</v>
      </c>
      <c r="CM2368" s="2"/>
    </row>
    <row r="2369" spans="1:91">
      <c r="A2369" s="2" t="s">
        <v>71</v>
      </c>
      <c r="B2369" s="2" t="s">
        <v>72</v>
      </c>
      <c r="C2369" s="2" t="s">
        <v>73</v>
      </c>
      <c r="D2369" s="2"/>
      <c r="E2369" s="2" t="str">
        <f>"FES1162570524"</f>
        <v>FES1162570524</v>
      </c>
      <c r="F2369" s="3">
        <v>42969</v>
      </c>
      <c r="G2369" s="2">
        <v>201802</v>
      </c>
      <c r="H2369" s="2" t="s">
        <v>74</v>
      </c>
      <c r="I2369" s="2" t="s">
        <v>75</v>
      </c>
      <c r="J2369" s="2" t="s">
        <v>76</v>
      </c>
      <c r="K2369" s="2" t="s">
        <v>77</v>
      </c>
      <c r="L2369" s="2" t="s">
        <v>137</v>
      </c>
      <c r="M2369" s="2" t="s">
        <v>138</v>
      </c>
      <c r="N2369" s="2" t="s">
        <v>368</v>
      </c>
      <c r="O2369" s="2" t="s">
        <v>100</v>
      </c>
      <c r="P2369" s="2" t="str">
        <f>"2170583529                    "</f>
        <v xml:space="preserve">2170583529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4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1</v>
      </c>
      <c r="BJ2369" s="2">
        <v>0.2</v>
      </c>
      <c r="BK2369" s="2">
        <v>1</v>
      </c>
      <c r="BL2369" s="2">
        <v>41.44</v>
      </c>
      <c r="BM2369" s="2">
        <v>5.8</v>
      </c>
      <c r="BN2369" s="2">
        <v>47.24</v>
      </c>
      <c r="BO2369" s="2">
        <v>47.24</v>
      </c>
      <c r="BP2369" s="2"/>
      <c r="BQ2369" s="2" t="s">
        <v>108</v>
      </c>
      <c r="BR2369" s="2" t="s">
        <v>84</v>
      </c>
      <c r="BS2369" s="3">
        <v>42970</v>
      </c>
      <c r="BT2369" s="4">
        <v>0.34166666666666662</v>
      </c>
      <c r="BU2369" s="2" t="s">
        <v>2864</v>
      </c>
      <c r="BV2369" s="2" t="s">
        <v>95</v>
      </c>
      <c r="BW2369" s="2"/>
      <c r="BX2369" s="2"/>
      <c r="BY2369" s="2">
        <v>1200</v>
      </c>
      <c r="BZ2369" s="2"/>
      <c r="CA2369" s="2" t="s">
        <v>148</v>
      </c>
      <c r="CB2369" s="2"/>
      <c r="CC2369" s="2" t="s">
        <v>138</v>
      </c>
      <c r="CD2369" s="2">
        <v>157</v>
      </c>
      <c r="CE2369" s="2" t="s">
        <v>104</v>
      </c>
      <c r="CF2369" s="5">
        <v>42971</v>
      </c>
      <c r="CG2369" s="2"/>
      <c r="CH2369" s="2"/>
      <c r="CI2369" s="2">
        <v>1</v>
      </c>
      <c r="CJ2369" s="2">
        <v>1</v>
      </c>
      <c r="CK2369" s="2">
        <v>21</v>
      </c>
      <c r="CL2369" s="2" t="s">
        <v>86</v>
      </c>
      <c r="CM2369" s="2"/>
    </row>
    <row r="2370" spans="1:91">
      <c r="A2370" s="2" t="s">
        <v>71</v>
      </c>
      <c r="B2370" s="2" t="s">
        <v>72</v>
      </c>
      <c r="C2370" s="2" t="s">
        <v>73</v>
      </c>
      <c r="D2370" s="2"/>
      <c r="E2370" s="2" t="str">
        <f>"FES1162570545"</f>
        <v>FES1162570545</v>
      </c>
      <c r="F2370" s="3">
        <v>42969</v>
      </c>
      <c r="G2370" s="2">
        <v>201802</v>
      </c>
      <c r="H2370" s="2" t="s">
        <v>74</v>
      </c>
      <c r="I2370" s="2" t="s">
        <v>75</v>
      </c>
      <c r="J2370" s="2" t="s">
        <v>76</v>
      </c>
      <c r="K2370" s="2" t="s">
        <v>77</v>
      </c>
      <c r="L2370" s="2" t="s">
        <v>924</v>
      </c>
      <c r="M2370" s="2" t="s">
        <v>925</v>
      </c>
      <c r="N2370" s="2" t="s">
        <v>2865</v>
      </c>
      <c r="O2370" s="2" t="s">
        <v>100</v>
      </c>
      <c r="P2370" s="2" t="str">
        <f>"2170583964                    "</f>
        <v xml:space="preserve">2170583964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4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1</v>
      </c>
      <c r="BJ2370" s="2">
        <v>0.2</v>
      </c>
      <c r="BK2370" s="2">
        <v>1</v>
      </c>
      <c r="BL2370" s="2">
        <v>41.44</v>
      </c>
      <c r="BM2370" s="2">
        <v>5.8</v>
      </c>
      <c r="BN2370" s="2">
        <v>47.24</v>
      </c>
      <c r="BO2370" s="2">
        <v>47.24</v>
      </c>
      <c r="BP2370" s="2"/>
      <c r="BQ2370" s="2" t="s">
        <v>288</v>
      </c>
      <c r="BR2370" s="2" t="s">
        <v>84</v>
      </c>
      <c r="BS2370" s="3">
        <v>42970</v>
      </c>
      <c r="BT2370" s="4">
        <v>0.37013888888888885</v>
      </c>
      <c r="BU2370" s="2" t="s">
        <v>2866</v>
      </c>
      <c r="BV2370" s="2" t="s">
        <v>95</v>
      </c>
      <c r="BW2370" s="2"/>
      <c r="BX2370" s="2"/>
      <c r="BY2370" s="2">
        <v>1200</v>
      </c>
      <c r="BZ2370" s="2"/>
      <c r="CA2370" s="2" t="s">
        <v>928</v>
      </c>
      <c r="CB2370" s="2"/>
      <c r="CC2370" s="2" t="s">
        <v>925</v>
      </c>
      <c r="CD2370" s="2">
        <v>7600</v>
      </c>
      <c r="CE2370" s="2" t="s">
        <v>104</v>
      </c>
      <c r="CF2370" s="5">
        <v>42971</v>
      </c>
      <c r="CG2370" s="2"/>
      <c r="CH2370" s="2"/>
      <c r="CI2370" s="2">
        <v>1</v>
      </c>
      <c r="CJ2370" s="2">
        <v>1</v>
      </c>
      <c r="CK2370" s="2">
        <v>21</v>
      </c>
      <c r="CL2370" s="2" t="s">
        <v>86</v>
      </c>
      <c r="CM2370" s="2"/>
    </row>
    <row r="2371" spans="1:91">
      <c r="A2371" s="2" t="s">
        <v>71</v>
      </c>
      <c r="B2371" s="2" t="s">
        <v>72</v>
      </c>
      <c r="C2371" s="2" t="s">
        <v>73</v>
      </c>
      <c r="D2371" s="2"/>
      <c r="E2371" s="2" t="str">
        <f>"FES1162570431"</f>
        <v>FES1162570431</v>
      </c>
      <c r="F2371" s="3">
        <v>42969</v>
      </c>
      <c r="G2371" s="2">
        <v>201802</v>
      </c>
      <c r="H2371" s="2" t="s">
        <v>74</v>
      </c>
      <c r="I2371" s="2" t="s">
        <v>75</v>
      </c>
      <c r="J2371" s="2" t="s">
        <v>76</v>
      </c>
      <c r="K2371" s="2" t="s">
        <v>77</v>
      </c>
      <c r="L2371" s="2" t="s">
        <v>362</v>
      </c>
      <c r="M2371" s="2" t="s">
        <v>363</v>
      </c>
      <c r="N2371" s="2" t="s">
        <v>2867</v>
      </c>
      <c r="O2371" s="2" t="s">
        <v>100</v>
      </c>
      <c r="P2371" s="2" t="str">
        <f>"2170586191                    "</f>
        <v xml:space="preserve">2170586191 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4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1</v>
      </c>
      <c r="BI2371" s="2">
        <v>1</v>
      </c>
      <c r="BJ2371" s="2">
        <v>0.2</v>
      </c>
      <c r="BK2371" s="2">
        <v>1</v>
      </c>
      <c r="BL2371" s="2">
        <v>41.44</v>
      </c>
      <c r="BM2371" s="2">
        <v>5.8</v>
      </c>
      <c r="BN2371" s="2">
        <v>47.24</v>
      </c>
      <c r="BO2371" s="2">
        <v>47.24</v>
      </c>
      <c r="BP2371" s="2"/>
      <c r="BQ2371" s="2" t="s">
        <v>108</v>
      </c>
      <c r="BR2371" s="2" t="s">
        <v>84</v>
      </c>
      <c r="BS2371" s="3">
        <v>42970</v>
      </c>
      <c r="BT2371" s="4">
        <v>0.36805555555555558</v>
      </c>
      <c r="BU2371" s="2" t="s">
        <v>2868</v>
      </c>
      <c r="BV2371" s="2" t="s">
        <v>95</v>
      </c>
      <c r="BW2371" s="2"/>
      <c r="BX2371" s="2"/>
      <c r="BY2371" s="2">
        <v>1200</v>
      </c>
      <c r="BZ2371" s="2"/>
      <c r="CA2371" s="2" t="s">
        <v>379</v>
      </c>
      <c r="CB2371" s="2"/>
      <c r="CC2371" s="2" t="s">
        <v>363</v>
      </c>
      <c r="CD2371" s="2">
        <v>3201</v>
      </c>
      <c r="CE2371" s="2" t="s">
        <v>104</v>
      </c>
      <c r="CF2371" s="5">
        <v>42972</v>
      </c>
      <c r="CG2371" s="2"/>
      <c r="CH2371" s="2"/>
      <c r="CI2371" s="2">
        <v>1</v>
      </c>
      <c r="CJ2371" s="2">
        <v>1</v>
      </c>
      <c r="CK2371" s="2">
        <v>21</v>
      </c>
      <c r="CL2371" s="2" t="s">
        <v>86</v>
      </c>
      <c r="CM2371" s="2"/>
    </row>
    <row r="2372" spans="1:91">
      <c r="A2372" s="2" t="s">
        <v>71</v>
      </c>
      <c r="B2372" s="2" t="s">
        <v>72</v>
      </c>
      <c r="C2372" s="2" t="s">
        <v>73</v>
      </c>
      <c r="D2372" s="2"/>
      <c r="E2372" s="2" t="str">
        <f>"FES1162567905"</f>
        <v>FES1162567905</v>
      </c>
      <c r="F2372" s="3">
        <v>42955</v>
      </c>
      <c r="G2372" s="2">
        <v>201802</v>
      </c>
      <c r="H2372" s="2" t="s">
        <v>74</v>
      </c>
      <c r="I2372" s="2" t="s">
        <v>75</v>
      </c>
      <c r="J2372" s="2" t="s">
        <v>118</v>
      </c>
      <c r="K2372" s="2" t="s">
        <v>77</v>
      </c>
      <c r="L2372" s="2" t="s">
        <v>306</v>
      </c>
      <c r="M2372" s="2" t="s">
        <v>307</v>
      </c>
      <c r="N2372" s="2" t="s">
        <v>1987</v>
      </c>
      <c r="O2372" s="2" t="s">
        <v>358</v>
      </c>
      <c r="P2372" s="2" t="str">
        <f>"2170584025                    "</f>
        <v xml:space="preserve">2170584025 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5.63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6.1</v>
      </c>
      <c r="BJ2372" s="2">
        <v>2.2999999999999998</v>
      </c>
      <c r="BK2372" s="2">
        <v>7</v>
      </c>
      <c r="BL2372" s="2">
        <v>58.28</v>
      </c>
      <c r="BM2372" s="2">
        <v>8.16</v>
      </c>
      <c r="BN2372" s="2">
        <v>66.44</v>
      </c>
      <c r="BO2372" s="2">
        <v>66.44</v>
      </c>
      <c r="BP2372" s="2" t="s">
        <v>101</v>
      </c>
      <c r="BQ2372" s="2" t="s">
        <v>83</v>
      </c>
      <c r="BR2372" s="2" t="s">
        <v>122</v>
      </c>
      <c r="BS2372" s="3">
        <v>42957</v>
      </c>
      <c r="BT2372" s="4">
        <v>0.39861111111111108</v>
      </c>
      <c r="BU2372" s="2" t="s">
        <v>1988</v>
      </c>
      <c r="BV2372" s="2" t="s">
        <v>86</v>
      </c>
      <c r="BW2372" s="2"/>
      <c r="BX2372" s="2"/>
      <c r="BY2372" s="2">
        <v>11391.67</v>
      </c>
      <c r="BZ2372" s="2" t="s">
        <v>27</v>
      </c>
      <c r="CA2372" s="2" t="s">
        <v>951</v>
      </c>
      <c r="CB2372" s="2"/>
      <c r="CC2372" s="2" t="s">
        <v>307</v>
      </c>
      <c r="CD2372" s="2">
        <v>1961</v>
      </c>
      <c r="CE2372" s="2" t="s">
        <v>948</v>
      </c>
      <c r="CF2372" s="5">
        <v>42961</v>
      </c>
      <c r="CG2372" s="2"/>
      <c r="CH2372" s="2"/>
      <c r="CI2372" s="2">
        <v>1</v>
      </c>
      <c r="CJ2372" s="2">
        <v>2</v>
      </c>
      <c r="CK2372" s="2">
        <v>34</v>
      </c>
      <c r="CL2372" s="2" t="s">
        <v>86</v>
      </c>
      <c r="CM2372" s="2"/>
    </row>
    <row r="2373" spans="1:91">
      <c r="A2373" s="2" t="s">
        <v>71</v>
      </c>
      <c r="B2373" s="2" t="s">
        <v>72</v>
      </c>
      <c r="C2373" s="2" t="s">
        <v>73</v>
      </c>
      <c r="D2373" s="2"/>
      <c r="E2373" s="2" t="str">
        <f>"FES1162570395"</f>
        <v>FES1162570395</v>
      </c>
      <c r="F2373" s="3">
        <v>42969</v>
      </c>
      <c r="G2373" s="2">
        <v>201802</v>
      </c>
      <c r="H2373" s="2" t="s">
        <v>74</v>
      </c>
      <c r="I2373" s="2" t="s">
        <v>75</v>
      </c>
      <c r="J2373" s="2" t="s">
        <v>76</v>
      </c>
      <c r="K2373" s="2" t="s">
        <v>77</v>
      </c>
      <c r="L2373" s="2" t="s">
        <v>244</v>
      </c>
      <c r="M2373" s="2" t="s">
        <v>245</v>
      </c>
      <c r="N2373" s="2" t="s">
        <v>325</v>
      </c>
      <c r="O2373" s="2" t="s">
        <v>100</v>
      </c>
      <c r="P2373" s="2" t="str">
        <f>"2170580897                    "</f>
        <v xml:space="preserve">2170580897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3.13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</v>
      </c>
      <c r="BJ2373" s="2">
        <v>0.2</v>
      </c>
      <c r="BK2373" s="2">
        <v>1</v>
      </c>
      <c r="BL2373" s="2">
        <v>32.380000000000003</v>
      </c>
      <c r="BM2373" s="2">
        <v>4.53</v>
      </c>
      <c r="BN2373" s="2">
        <v>36.909999999999997</v>
      </c>
      <c r="BO2373" s="2">
        <v>36.909999999999997</v>
      </c>
      <c r="BP2373" s="2"/>
      <c r="BQ2373" s="2" t="s">
        <v>288</v>
      </c>
      <c r="BR2373" s="2" t="s">
        <v>84</v>
      </c>
      <c r="BS2373" s="3">
        <v>42970</v>
      </c>
      <c r="BT2373" s="4">
        <v>0.4368055555555555</v>
      </c>
      <c r="BU2373" s="2" t="s">
        <v>1551</v>
      </c>
      <c r="BV2373" s="2" t="s">
        <v>95</v>
      </c>
      <c r="BW2373" s="2"/>
      <c r="BX2373" s="2"/>
      <c r="BY2373" s="2">
        <v>1200</v>
      </c>
      <c r="BZ2373" s="2"/>
      <c r="CA2373" s="2" t="s">
        <v>733</v>
      </c>
      <c r="CB2373" s="2"/>
      <c r="CC2373" s="2" t="s">
        <v>245</v>
      </c>
      <c r="CD2373" s="2">
        <v>1459</v>
      </c>
      <c r="CE2373" s="2" t="s">
        <v>104</v>
      </c>
      <c r="CF2373" s="5">
        <v>42971</v>
      </c>
      <c r="CG2373" s="2"/>
      <c r="CH2373" s="2"/>
      <c r="CI2373" s="2">
        <v>1</v>
      </c>
      <c r="CJ2373" s="2">
        <v>1</v>
      </c>
      <c r="CK2373" s="2">
        <v>22</v>
      </c>
      <c r="CL2373" s="2" t="s">
        <v>86</v>
      </c>
      <c r="CM2373" s="2"/>
    </row>
    <row r="2374" spans="1:91">
      <c r="A2374" s="2" t="s">
        <v>71</v>
      </c>
      <c r="B2374" s="2" t="s">
        <v>72</v>
      </c>
      <c r="C2374" s="2" t="s">
        <v>73</v>
      </c>
      <c r="D2374" s="2"/>
      <c r="E2374" s="2" t="str">
        <f>"FES1162570435"</f>
        <v>FES1162570435</v>
      </c>
      <c r="F2374" s="3">
        <v>42969</v>
      </c>
      <c r="G2374" s="2">
        <v>201802</v>
      </c>
      <c r="H2374" s="2" t="s">
        <v>74</v>
      </c>
      <c r="I2374" s="2" t="s">
        <v>75</v>
      </c>
      <c r="J2374" s="2" t="s">
        <v>76</v>
      </c>
      <c r="K2374" s="2" t="s">
        <v>77</v>
      </c>
      <c r="L2374" s="2" t="s">
        <v>105</v>
      </c>
      <c r="M2374" s="2" t="s">
        <v>106</v>
      </c>
      <c r="N2374" s="2" t="s">
        <v>253</v>
      </c>
      <c r="O2374" s="2" t="s">
        <v>100</v>
      </c>
      <c r="P2374" s="2" t="str">
        <f>"2170586195                    "</f>
        <v xml:space="preserve">2170586195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4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1</v>
      </c>
      <c r="BJ2374" s="2">
        <v>0.2</v>
      </c>
      <c r="BK2374" s="2">
        <v>1</v>
      </c>
      <c r="BL2374" s="2">
        <v>41.44</v>
      </c>
      <c r="BM2374" s="2">
        <v>5.8</v>
      </c>
      <c r="BN2374" s="2">
        <v>47.24</v>
      </c>
      <c r="BO2374" s="2">
        <v>47.24</v>
      </c>
      <c r="BP2374" s="2"/>
      <c r="BQ2374" s="2" t="s">
        <v>108</v>
      </c>
      <c r="BR2374" s="2" t="s">
        <v>84</v>
      </c>
      <c r="BS2374" s="3">
        <v>42970</v>
      </c>
      <c r="BT2374" s="4">
        <v>0.40833333333333338</v>
      </c>
      <c r="BU2374" s="2" t="s">
        <v>215</v>
      </c>
      <c r="BV2374" s="2" t="s">
        <v>95</v>
      </c>
      <c r="BW2374" s="2"/>
      <c r="BX2374" s="2"/>
      <c r="BY2374" s="2">
        <v>1200</v>
      </c>
      <c r="BZ2374" s="2"/>
      <c r="CA2374" s="2" t="s">
        <v>654</v>
      </c>
      <c r="CB2374" s="2"/>
      <c r="CC2374" s="2" t="s">
        <v>106</v>
      </c>
      <c r="CD2374" s="2">
        <v>7490</v>
      </c>
      <c r="CE2374" s="2" t="s">
        <v>104</v>
      </c>
      <c r="CF2374" s="5">
        <v>42971</v>
      </c>
      <c r="CG2374" s="2"/>
      <c r="CH2374" s="2"/>
      <c r="CI2374" s="2">
        <v>1</v>
      </c>
      <c r="CJ2374" s="2">
        <v>1</v>
      </c>
      <c r="CK2374" s="2">
        <v>21</v>
      </c>
      <c r="CL2374" s="2" t="s">
        <v>86</v>
      </c>
      <c r="CM2374" s="2"/>
    </row>
    <row r="2375" spans="1:91">
      <c r="A2375" s="2" t="s">
        <v>71</v>
      </c>
      <c r="B2375" s="2" t="s">
        <v>72</v>
      </c>
      <c r="C2375" s="2" t="s">
        <v>73</v>
      </c>
      <c r="D2375" s="2"/>
      <c r="E2375" s="2" t="str">
        <f>"FES1162570406"</f>
        <v>FES1162570406</v>
      </c>
      <c r="F2375" s="3">
        <v>42969</v>
      </c>
      <c r="G2375" s="2">
        <v>201802</v>
      </c>
      <c r="H2375" s="2" t="s">
        <v>74</v>
      </c>
      <c r="I2375" s="2" t="s">
        <v>75</v>
      </c>
      <c r="J2375" s="2" t="s">
        <v>76</v>
      </c>
      <c r="K2375" s="2" t="s">
        <v>77</v>
      </c>
      <c r="L2375" s="2" t="s">
        <v>343</v>
      </c>
      <c r="M2375" s="2" t="s">
        <v>344</v>
      </c>
      <c r="N2375" s="2" t="s">
        <v>351</v>
      </c>
      <c r="O2375" s="2" t="s">
        <v>100</v>
      </c>
      <c r="P2375" s="2" t="str">
        <f>"2170584466                    "</f>
        <v xml:space="preserve">2170584466 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4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1</v>
      </c>
      <c r="BJ2375" s="2">
        <v>0.2</v>
      </c>
      <c r="BK2375" s="2">
        <v>1</v>
      </c>
      <c r="BL2375" s="2">
        <v>41.44</v>
      </c>
      <c r="BM2375" s="2">
        <v>5.8</v>
      </c>
      <c r="BN2375" s="2">
        <v>47.24</v>
      </c>
      <c r="BO2375" s="2">
        <v>47.24</v>
      </c>
      <c r="BP2375" s="2"/>
      <c r="BQ2375" s="2" t="s">
        <v>108</v>
      </c>
      <c r="BR2375" s="2" t="s">
        <v>84</v>
      </c>
      <c r="BS2375" s="3">
        <v>42970</v>
      </c>
      <c r="BT2375" s="4">
        <v>0.36874999999999997</v>
      </c>
      <c r="BU2375" s="2" t="s">
        <v>2240</v>
      </c>
      <c r="BV2375" s="2" t="s">
        <v>95</v>
      </c>
      <c r="BW2375" s="2"/>
      <c r="BX2375" s="2"/>
      <c r="BY2375" s="2">
        <v>1200</v>
      </c>
      <c r="BZ2375" s="2"/>
      <c r="CA2375" s="2" t="s">
        <v>347</v>
      </c>
      <c r="CB2375" s="2"/>
      <c r="CC2375" s="2" t="s">
        <v>344</v>
      </c>
      <c r="CD2375" s="2">
        <v>4133</v>
      </c>
      <c r="CE2375" s="2" t="s">
        <v>104</v>
      </c>
      <c r="CF2375" s="5">
        <v>42970</v>
      </c>
      <c r="CG2375" s="2"/>
      <c r="CH2375" s="2"/>
      <c r="CI2375" s="2">
        <v>1</v>
      </c>
      <c r="CJ2375" s="2">
        <v>1</v>
      </c>
      <c r="CK2375" s="2">
        <v>21</v>
      </c>
      <c r="CL2375" s="2" t="s">
        <v>86</v>
      </c>
      <c r="CM2375" s="2"/>
    </row>
    <row r="2376" spans="1:91">
      <c r="A2376" s="2" t="s">
        <v>71</v>
      </c>
      <c r="B2376" s="2" t="s">
        <v>72</v>
      </c>
      <c r="C2376" s="2" t="s">
        <v>73</v>
      </c>
      <c r="D2376" s="2"/>
      <c r="E2376" s="2" t="str">
        <f>"FES1162566105"</f>
        <v>FES1162566105</v>
      </c>
      <c r="F2376" s="3">
        <v>42949</v>
      </c>
      <c r="G2376" s="2">
        <v>201802</v>
      </c>
      <c r="H2376" s="2" t="s">
        <v>74</v>
      </c>
      <c r="I2376" s="2" t="s">
        <v>75</v>
      </c>
      <c r="J2376" s="2" t="s">
        <v>118</v>
      </c>
      <c r="K2376" s="2" t="s">
        <v>77</v>
      </c>
      <c r="L2376" s="2" t="s">
        <v>306</v>
      </c>
      <c r="M2376" s="2" t="s">
        <v>307</v>
      </c>
      <c r="N2376" s="2" t="s">
        <v>2330</v>
      </c>
      <c r="O2376" s="2" t="s">
        <v>358</v>
      </c>
      <c r="P2376" s="2" t="str">
        <f>"2170582667                    "</f>
        <v xml:space="preserve">2170582667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5.63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7.2</v>
      </c>
      <c r="BJ2376" s="2">
        <v>3.2</v>
      </c>
      <c r="BK2376" s="2">
        <v>8</v>
      </c>
      <c r="BL2376" s="2">
        <v>58.28</v>
      </c>
      <c r="BM2376" s="2">
        <v>8.16</v>
      </c>
      <c r="BN2376" s="2">
        <v>66.44</v>
      </c>
      <c r="BO2376" s="2">
        <v>66.44</v>
      </c>
      <c r="BP2376" s="2"/>
      <c r="BQ2376" s="2" t="s">
        <v>288</v>
      </c>
      <c r="BR2376" s="2" t="s">
        <v>122</v>
      </c>
      <c r="BS2376" s="3">
        <v>42950</v>
      </c>
      <c r="BT2376" s="4">
        <v>0.59027777777777779</v>
      </c>
      <c r="BU2376" s="2" t="s">
        <v>2869</v>
      </c>
      <c r="BV2376" s="2" t="s">
        <v>95</v>
      </c>
      <c r="BW2376" s="2"/>
      <c r="BX2376" s="2"/>
      <c r="BY2376" s="2">
        <v>16239.74</v>
      </c>
      <c r="BZ2376" s="2" t="s">
        <v>27</v>
      </c>
      <c r="CA2376" s="2" t="s">
        <v>148</v>
      </c>
      <c r="CB2376" s="2"/>
      <c r="CC2376" s="2" t="s">
        <v>307</v>
      </c>
      <c r="CD2376" s="2">
        <v>1929</v>
      </c>
      <c r="CE2376" s="2" t="s">
        <v>89</v>
      </c>
      <c r="CF2376" s="5">
        <v>42951</v>
      </c>
      <c r="CG2376" s="2"/>
      <c r="CH2376" s="2"/>
      <c r="CI2376" s="2">
        <v>1</v>
      </c>
      <c r="CJ2376" s="2">
        <v>1</v>
      </c>
      <c r="CK2376" s="2">
        <v>34</v>
      </c>
      <c r="CL2376" s="2" t="s">
        <v>86</v>
      </c>
      <c r="CM2376" s="2"/>
    </row>
    <row r="2377" spans="1:91">
      <c r="A2377" s="2" t="s">
        <v>71</v>
      </c>
      <c r="B2377" s="2" t="s">
        <v>72</v>
      </c>
      <c r="C2377" s="2" t="s">
        <v>73</v>
      </c>
      <c r="D2377" s="2"/>
      <c r="E2377" s="2" t="str">
        <f>"FES1162570445"</f>
        <v>FES1162570445</v>
      </c>
      <c r="F2377" s="3">
        <v>42969</v>
      </c>
      <c r="G2377" s="2">
        <v>201802</v>
      </c>
      <c r="H2377" s="2" t="s">
        <v>74</v>
      </c>
      <c r="I2377" s="2" t="s">
        <v>75</v>
      </c>
      <c r="J2377" s="2" t="s">
        <v>76</v>
      </c>
      <c r="K2377" s="2" t="s">
        <v>77</v>
      </c>
      <c r="L2377" s="2" t="s">
        <v>268</v>
      </c>
      <c r="M2377" s="2" t="s">
        <v>269</v>
      </c>
      <c r="N2377" s="2" t="s">
        <v>493</v>
      </c>
      <c r="O2377" s="2" t="s">
        <v>100</v>
      </c>
      <c r="P2377" s="2" t="str">
        <f>"2170586208                    "</f>
        <v xml:space="preserve">2170586208 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4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1</v>
      </c>
      <c r="BJ2377" s="2">
        <v>0.2</v>
      </c>
      <c r="BK2377" s="2">
        <v>1</v>
      </c>
      <c r="BL2377" s="2">
        <v>41.44</v>
      </c>
      <c r="BM2377" s="2">
        <v>5.8</v>
      </c>
      <c r="BN2377" s="2">
        <v>47.24</v>
      </c>
      <c r="BO2377" s="2">
        <v>47.24</v>
      </c>
      <c r="BP2377" s="2"/>
      <c r="BQ2377" s="2" t="s">
        <v>288</v>
      </c>
      <c r="BR2377" s="2" t="s">
        <v>84</v>
      </c>
      <c r="BS2377" s="3">
        <v>42970</v>
      </c>
      <c r="BT2377" s="4">
        <v>0.40277777777777773</v>
      </c>
      <c r="BU2377" s="2" t="s">
        <v>2677</v>
      </c>
      <c r="BV2377" s="2" t="s">
        <v>95</v>
      </c>
      <c r="BW2377" s="2"/>
      <c r="BX2377" s="2"/>
      <c r="BY2377" s="2">
        <v>1200</v>
      </c>
      <c r="BZ2377" s="2"/>
      <c r="CA2377" s="2" t="s">
        <v>148</v>
      </c>
      <c r="CB2377" s="2"/>
      <c r="CC2377" s="2" t="s">
        <v>269</v>
      </c>
      <c r="CD2377" s="2">
        <v>200</v>
      </c>
      <c r="CE2377" s="2" t="s">
        <v>104</v>
      </c>
      <c r="CF2377" s="5">
        <v>42971</v>
      </c>
      <c r="CG2377" s="2"/>
      <c r="CH2377" s="2"/>
      <c r="CI2377" s="2">
        <v>1</v>
      </c>
      <c r="CJ2377" s="2">
        <v>1</v>
      </c>
      <c r="CK2377" s="2">
        <v>21</v>
      </c>
      <c r="CL2377" s="2" t="s">
        <v>86</v>
      </c>
      <c r="CM2377" s="2"/>
    </row>
    <row r="2378" spans="1:91">
      <c r="A2378" s="2" t="s">
        <v>71</v>
      </c>
      <c r="B2378" s="2" t="s">
        <v>72</v>
      </c>
      <c r="C2378" s="2" t="s">
        <v>73</v>
      </c>
      <c r="D2378" s="2"/>
      <c r="E2378" s="2" t="str">
        <f>"FES1162570464"</f>
        <v>FES1162570464</v>
      </c>
      <c r="F2378" s="3">
        <v>42969</v>
      </c>
      <c r="G2378" s="2">
        <v>201802</v>
      </c>
      <c r="H2378" s="2" t="s">
        <v>74</v>
      </c>
      <c r="I2378" s="2" t="s">
        <v>75</v>
      </c>
      <c r="J2378" s="2" t="s">
        <v>76</v>
      </c>
      <c r="K2378" s="2" t="s">
        <v>77</v>
      </c>
      <c r="L2378" s="2" t="s">
        <v>149</v>
      </c>
      <c r="M2378" s="2" t="s">
        <v>150</v>
      </c>
      <c r="N2378" s="2" t="s">
        <v>456</v>
      </c>
      <c r="O2378" s="2" t="s">
        <v>100</v>
      </c>
      <c r="P2378" s="2" t="str">
        <f>"2170586240                    "</f>
        <v xml:space="preserve">2170586240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8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2.4</v>
      </c>
      <c r="BJ2378" s="2">
        <v>3.8</v>
      </c>
      <c r="BK2378" s="2">
        <v>4</v>
      </c>
      <c r="BL2378" s="2">
        <v>82.88</v>
      </c>
      <c r="BM2378" s="2">
        <v>11.6</v>
      </c>
      <c r="BN2378" s="2">
        <v>94.48</v>
      </c>
      <c r="BO2378" s="2">
        <v>94.48</v>
      </c>
      <c r="BP2378" s="2"/>
      <c r="BQ2378" s="2" t="s">
        <v>83</v>
      </c>
      <c r="BR2378" s="2" t="s">
        <v>84</v>
      </c>
      <c r="BS2378" s="3">
        <v>42970</v>
      </c>
      <c r="BT2378" s="4">
        <v>0.30833333333333335</v>
      </c>
      <c r="BU2378" s="2" t="s">
        <v>457</v>
      </c>
      <c r="BV2378" s="2" t="s">
        <v>95</v>
      </c>
      <c r="BW2378" s="2"/>
      <c r="BX2378" s="2"/>
      <c r="BY2378" s="2">
        <v>18845.099999999999</v>
      </c>
      <c r="BZ2378" s="2"/>
      <c r="CA2378" s="2" t="s">
        <v>934</v>
      </c>
      <c r="CB2378" s="2"/>
      <c r="CC2378" s="2" t="s">
        <v>150</v>
      </c>
      <c r="CD2378" s="2">
        <v>4068</v>
      </c>
      <c r="CE2378" s="2" t="s">
        <v>89</v>
      </c>
      <c r="CF2378" s="5">
        <v>42971</v>
      </c>
      <c r="CG2378" s="2"/>
      <c r="CH2378" s="2"/>
      <c r="CI2378" s="2">
        <v>1</v>
      </c>
      <c r="CJ2378" s="2">
        <v>1</v>
      </c>
      <c r="CK2378" s="2">
        <v>21</v>
      </c>
      <c r="CL2378" s="2" t="s">
        <v>86</v>
      </c>
      <c r="CM2378" s="2"/>
    </row>
    <row r="2379" spans="1:91">
      <c r="A2379" s="2" t="s">
        <v>71</v>
      </c>
      <c r="B2379" s="2" t="s">
        <v>72</v>
      </c>
      <c r="C2379" s="2" t="s">
        <v>73</v>
      </c>
      <c r="D2379" s="2"/>
      <c r="E2379" s="2" t="str">
        <f>"FES1162570514"</f>
        <v>FES1162570514</v>
      </c>
      <c r="F2379" s="3">
        <v>42969</v>
      </c>
      <c r="G2379" s="2">
        <v>201802</v>
      </c>
      <c r="H2379" s="2" t="s">
        <v>74</v>
      </c>
      <c r="I2379" s="2" t="s">
        <v>75</v>
      </c>
      <c r="J2379" s="2" t="s">
        <v>76</v>
      </c>
      <c r="K2379" s="2" t="s">
        <v>77</v>
      </c>
      <c r="L2379" s="2" t="s">
        <v>268</v>
      </c>
      <c r="M2379" s="2" t="s">
        <v>269</v>
      </c>
      <c r="N2379" s="2" t="s">
        <v>442</v>
      </c>
      <c r="O2379" s="2" t="s">
        <v>100</v>
      </c>
      <c r="P2379" s="2" t="str">
        <f>"2170586281                    "</f>
        <v xml:space="preserve">2170586281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4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1</v>
      </c>
      <c r="BJ2379" s="2">
        <v>0.2</v>
      </c>
      <c r="BK2379" s="2">
        <v>1</v>
      </c>
      <c r="BL2379" s="2">
        <v>41.44</v>
      </c>
      <c r="BM2379" s="2">
        <v>5.8</v>
      </c>
      <c r="BN2379" s="2">
        <v>47.24</v>
      </c>
      <c r="BO2379" s="2">
        <v>47.24</v>
      </c>
      <c r="BP2379" s="2"/>
      <c r="BQ2379" s="2" t="s">
        <v>83</v>
      </c>
      <c r="BR2379" s="2" t="s">
        <v>84</v>
      </c>
      <c r="BS2379" s="3">
        <v>42970</v>
      </c>
      <c r="BT2379" s="4">
        <v>0.4145833333333333</v>
      </c>
      <c r="BU2379" s="2" t="s">
        <v>443</v>
      </c>
      <c r="BV2379" s="2" t="s">
        <v>95</v>
      </c>
      <c r="BW2379" s="2"/>
      <c r="BX2379" s="2"/>
      <c r="BY2379" s="2">
        <v>1200</v>
      </c>
      <c r="BZ2379" s="2"/>
      <c r="CA2379" s="2" t="s">
        <v>445</v>
      </c>
      <c r="CB2379" s="2"/>
      <c r="CC2379" s="2" t="s">
        <v>269</v>
      </c>
      <c r="CD2379" s="2">
        <v>1</v>
      </c>
      <c r="CE2379" s="2" t="s">
        <v>104</v>
      </c>
      <c r="CF2379" s="5">
        <v>42971</v>
      </c>
      <c r="CG2379" s="2"/>
      <c r="CH2379" s="2"/>
      <c r="CI2379" s="2">
        <v>1</v>
      </c>
      <c r="CJ2379" s="2">
        <v>1</v>
      </c>
      <c r="CK2379" s="2">
        <v>21</v>
      </c>
      <c r="CL2379" s="2" t="s">
        <v>86</v>
      </c>
      <c r="CM2379" s="2"/>
    </row>
    <row r="2380" spans="1:91">
      <c r="A2380" s="2" t="s">
        <v>71</v>
      </c>
      <c r="B2380" s="2" t="s">
        <v>72</v>
      </c>
      <c r="C2380" s="2" t="s">
        <v>73</v>
      </c>
      <c r="D2380" s="2"/>
      <c r="E2380" s="2" t="str">
        <f>"FES1162566204"</f>
        <v>FES1162566204</v>
      </c>
      <c r="F2380" s="3">
        <v>42949</v>
      </c>
      <c r="G2380" s="2">
        <v>201802</v>
      </c>
      <c r="H2380" s="2" t="s">
        <v>74</v>
      </c>
      <c r="I2380" s="2" t="s">
        <v>75</v>
      </c>
      <c r="J2380" s="2" t="s">
        <v>118</v>
      </c>
      <c r="K2380" s="2" t="s">
        <v>77</v>
      </c>
      <c r="L2380" s="2" t="s">
        <v>306</v>
      </c>
      <c r="M2380" s="2" t="s">
        <v>307</v>
      </c>
      <c r="N2380" s="2" t="s">
        <v>949</v>
      </c>
      <c r="O2380" s="2" t="s">
        <v>358</v>
      </c>
      <c r="P2380" s="2" t="str">
        <f>"2170582103                    "</f>
        <v xml:space="preserve">2170582103 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5.63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1</v>
      </c>
      <c r="BI2380" s="2">
        <v>5.5</v>
      </c>
      <c r="BJ2380" s="2">
        <v>3.7</v>
      </c>
      <c r="BK2380" s="2">
        <v>6</v>
      </c>
      <c r="BL2380" s="2">
        <v>58.28</v>
      </c>
      <c r="BM2380" s="2">
        <v>8.16</v>
      </c>
      <c r="BN2380" s="2">
        <v>66.44</v>
      </c>
      <c r="BO2380" s="2">
        <v>66.44</v>
      </c>
      <c r="BP2380" s="2"/>
      <c r="BQ2380" s="2" t="s">
        <v>83</v>
      </c>
      <c r="BR2380" s="2" t="s">
        <v>122</v>
      </c>
      <c r="BS2380" s="3">
        <v>42951</v>
      </c>
      <c r="BT2380" s="4">
        <v>0.37083333333333335</v>
      </c>
      <c r="BU2380" s="2" t="s">
        <v>2870</v>
      </c>
      <c r="BV2380" s="2" t="s">
        <v>86</v>
      </c>
      <c r="BW2380" s="2"/>
      <c r="BX2380" s="2"/>
      <c r="BY2380" s="2">
        <v>18373.740000000002</v>
      </c>
      <c r="BZ2380" s="2" t="s">
        <v>27</v>
      </c>
      <c r="CA2380" s="2" t="s">
        <v>951</v>
      </c>
      <c r="CB2380" s="2"/>
      <c r="CC2380" s="2" t="s">
        <v>307</v>
      </c>
      <c r="CD2380" s="2">
        <v>1961</v>
      </c>
      <c r="CE2380" s="2" t="s">
        <v>89</v>
      </c>
      <c r="CF2380" s="5">
        <v>42954</v>
      </c>
      <c r="CG2380" s="2"/>
      <c r="CH2380" s="2"/>
      <c r="CI2380" s="2">
        <v>1</v>
      </c>
      <c r="CJ2380" s="2">
        <v>2</v>
      </c>
      <c r="CK2380" s="2">
        <v>34</v>
      </c>
      <c r="CL2380" s="2" t="s">
        <v>86</v>
      </c>
      <c r="CM2380" s="2"/>
    </row>
    <row r="2381" spans="1:91">
      <c r="A2381" s="2" t="s">
        <v>71</v>
      </c>
      <c r="B2381" s="2" t="s">
        <v>72</v>
      </c>
      <c r="C2381" s="2" t="s">
        <v>73</v>
      </c>
      <c r="D2381" s="2"/>
      <c r="E2381" s="2" t="str">
        <f>"FES1162570399"</f>
        <v>FES1162570399</v>
      </c>
      <c r="F2381" s="3">
        <v>42969</v>
      </c>
      <c r="G2381" s="2">
        <v>201802</v>
      </c>
      <c r="H2381" s="2" t="s">
        <v>74</v>
      </c>
      <c r="I2381" s="2" t="s">
        <v>75</v>
      </c>
      <c r="J2381" s="2" t="s">
        <v>76</v>
      </c>
      <c r="K2381" s="2" t="s">
        <v>77</v>
      </c>
      <c r="L2381" s="2" t="s">
        <v>268</v>
      </c>
      <c r="M2381" s="2" t="s">
        <v>269</v>
      </c>
      <c r="N2381" s="2" t="s">
        <v>351</v>
      </c>
      <c r="O2381" s="2" t="s">
        <v>100</v>
      </c>
      <c r="P2381" s="2" t="str">
        <f>"2170582416                    "</f>
        <v xml:space="preserve">2170582416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4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1</v>
      </c>
      <c r="BJ2381" s="2">
        <v>0.2</v>
      </c>
      <c r="BK2381" s="2">
        <v>1</v>
      </c>
      <c r="BL2381" s="2">
        <v>41.44</v>
      </c>
      <c r="BM2381" s="2">
        <v>5.8</v>
      </c>
      <c r="BN2381" s="2">
        <v>47.24</v>
      </c>
      <c r="BO2381" s="2">
        <v>47.24</v>
      </c>
      <c r="BP2381" s="2"/>
      <c r="BQ2381" s="2" t="s">
        <v>108</v>
      </c>
      <c r="BR2381" s="2" t="s">
        <v>84</v>
      </c>
      <c r="BS2381" s="3">
        <v>42970</v>
      </c>
      <c r="BT2381" s="4">
        <v>0.41666666666666669</v>
      </c>
      <c r="BU2381" s="2" t="s">
        <v>85</v>
      </c>
      <c r="BV2381" s="2" t="s">
        <v>95</v>
      </c>
      <c r="BW2381" s="2"/>
      <c r="BX2381" s="2"/>
      <c r="BY2381" s="2">
        <v>1200</v>
      </c>
      <c r="BZ2381" s="2"/>
      <c r="CA2381" s="2"/>
      <c r="CB2381" s="2"/>
      <c r="CC2381" s="2" t="s">
        <v>269</v>
      </c>
      <c r="CD2381" s="2">
        <v>200</v>
      </c>
      <c r="CE2381" s="2" t="s">
        <v>104</v>
      </c>
      <c r="CF2381" s="5">
        <v>42971</v>
      </c>
      <c r="CG2381" s="2"/>
      <c r="CH2381" s="2"/>
      <c r="CI2381" s="2">
        <v>1</v>
      </c>
      <c r="CJ2381" s="2">
        <v>1</v>
      </c>
      <c r="CK2381" s="2">
        <v>21</v>
      </c>
      <c r="CL2381" s="2" t="s">
        <v>86</v>
      </c>
      <c r="CM2381" s="2"/>
    </row>
    <row r="2382" spans="1:91">
      <c r="A2382" s="2" t="s">
        <v>71</v>
      </c>
      <c r="B2382" s="2" t="s">
        <v>72</v>
      </c>
      <c r="C2382" s="2" t="s">
        <v>73</v>
      </c>
      <c r="D2382" s="2"/>
      <c r="E2382" s="2" t="str">
        <f>"FES1162570430"</f>
        <v>FES1162570430</v>
      </c>
      <c r="F2382" s="3">
        <v>42969</v>
      </c>
      <c r="G2382" s="2">
        <v>201802</v>
      </c>
      <c r="H2382" s="2" t="s">
        <v>74</v>
      </c>
      <c r="I2382" s="2" t="s">
        <v>75</v>
      </c>
      <c r="J2382" s="2" t="s">
        <v>76</v>
      </c>
      <c r="K2382" s="2" t="s">
        <v>77</v>
      </c>
      <c r="L2382" s="2" t="s">
        <v>105</v>
      </c>
      <c r="M2382" s="2" t="s">
        <v>106</v>
      </c>
      <c r="N2382" s="2" t="s">
        <v>253</v>
      </c>
      <c r="O2382" s="2" t="s">
        <v>100</v>
      </c>
      <c r="P2382" s="2" t="str">
        <f>"2170586190                    "</f>
        <v xml:space="preserve">2170586190   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4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1</v>
      </c>
      <c r="BJ2382" s="2">
        <v>0.2</v>
      </c>
      <c r="BK2382" s="2">
        <v>1</v>
      </c>
      <c r="BL2382" s="2">
        <v>41.44</v>
      </c>
      <c r="BM2382" s="2">
        <v>5.8</v>
      </c>
      <c r="BN2382" s="2">
        <v>47.24</v>
      </c>
      <c r="BO2382" s="2">
        <v>47.24</v>
      </c>
      <c r="BP2382" s="2"/>
      <c r="BQ2382" s="2" t="s">
        <v>108</v>
      </c>
      <c r="BR2382" s="2" t="s">
        <v>84</v>
      </c>
      <c r="BS2382" s="3">
        <v>42970</v>
      </c>
      <c r="BT2382" s="4">
        <v>0.40833333333333338</v>
      </c>
      <c r="BU2382" s="2" t="s">
        <v>215</v>
      </c>
      <c r="BV2382" s="2" t="s">
        <v>95</v>
      </c>
      <c r="BW2382" s="2"/>
      <c r="BX2382" s="2"/>
      <c r="BY2382" s="2">
        <v>1200</v>
      </c>
      <c r="BZ2382" s="2"/>
      <c r="CA2382" s="2" t="s">
        <v>654</v>
      </c>
      <c r="CB2382" s="2"/>
      <c r="CC2382" s="2" t="s">
        <v>106</v>
      </c>
      <c r="CD2382" s="2">
        <v>7490</v>
      </c>
      <c r="CE2382" s="2" t="s">
        <v>104</v>
      </c>
      <c r="CF2382" s="5">
        <v>42971</v>
      </c>
      <c r="CG2382" s="2"/>
      <c r="CH2382" s="2"/>
      <c r="CI2382" s="2">
        <v>1</v>
      </c>
      <c r="CJ2382" s="2">
        <v>1</v>
      </c>
      <c r="CK2382" s="2">
        <v>21</v>
      </c>
      <c r="CL2382" s="2" t="s">
        <v>86</v>
      </c>
      <c r="CM2382" s="2"/>
    </row>
    <row r="2383" spans="1:91">
      <c r="A2383" s="2" t="s">
        <v>71</v>
      </c>
      <c r="B2383" s="2" t="s">
        <v>72</v>
      </c>
      <c r="C2383" s="2" t="s">
        <v>73</v>
      </c>
      <c r="D2383" s="2"/>
      <c r="E2383" s="2" t="str">
        <f>"FES1162570556"</f>
        <v>FES1162570556</v>
      </c>
      <c r="F2383" s="3">
        <v>42969</v>
      </c>
      <c r="G2383" s="2">
        <v>201802</v>
      </c>
      <c r="H2383" s="2" t="s">
        <v>74</v>
      </c>
      <c r="I2383" s="2" t="s">
        <v>75</v>
      </c>
      <c r="J2383" s="2" t="s">
        <v>76</v>
      </c>
      <c r="K2383" s="2" t="s">
        <v>77</v>
      </c>
      <c r="L2383" s="2" t="s">
        <v>137</v>
      </c>
      <c r="M2383" s="2" t="s">
        <v>138</v>
      </c>
      <c r="N2383" s="2" t="s">
        <v>2871</v>
      </c>
      <c r="O2383" s="2" t="s">
        <v>100</v>
      </c>
      <c r="P2383" s="2" t="str">
        <f>"2170584080                    "</f>
        <v xml:space="preserve">2170584080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4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1</v>
      </c>
      <c r="BI2383" s="2">
        <v>1</v>
      </c>
      <c r="BJ2383" s="2">
        <v>0.2</v>
      </c>
      <c r="BK2383" s="2">
        <v>1</v>
      </c>
      <c r="BL2383" s="2">
        <v>41.44</v>
      </c>
      <c r="BM2383" s="2">
        <v>5.8</v>
      </c>
      <c r="BN2383" s="2">
        <v>47.24</v>
      </c>
      <c r="BO2383" s="2">
        <v>47.24</v>
      </c>
      <c r="BP2383" s="2"/>
      <c r="BQ2383" s="2" t="s">
        <v>288</v>
      </c>
      <c r="BR2383" s="2" t="s">
        <v>84</v>
      </c>
      <c r="BS2383" s="3">
        <v>42970</v>
      </c>
      <c r="BT2383" s="4">
        <v>0.36180555555555555</v>
      </c>
      <c r="BU2383" s="2" t="s">
        <v>2872</v>
      </c>
      <c r="BV2383" s="2" t="s">
        <v>95</v>
      </c>
      <c r="BW2383" s="2"/>
      <c r="BX2383" s="2"/>
      <c r="BY2383" s="2">
        <v>1200</v>
      </c>
      <c r="BZ2383" s="2"/>
      <c r="CA2383" s="2" t="s">
        <v>148</v>
      </c>
      <c r="CB2383" s="2"/>
      <c r="CC2383" s="2" t="s">
        <v>138</v>
      </c>
      <c r="CD2383" s="2">
        <v>157</v>
      </c>
      <c r="CE2383" s="2" t="s">
        <v>104</v>
      </c>
      <c r="CF2383" s="5">
        <v>42971</v>
      </c>
      <c r="CG2383" s="2"/>
      <c r="CH2383" s="2"/>
      <c r="CI2383" s="2">
        <v>1</v>
      </c>
      <c r="CJ2383" s="2">
        <v>1</v>
      </c>
      <c r="CK2383" s="2">
        <v>21</v>
      </c>
      <c r="CL2383" s="2" t="s">
        <v>86</v>
      </c>
      <c r="CM2383" s="2"/>
    </row>
    <row r="2384" spans="1:91">
      <c r="A2384" s="2" t="s">
        <v>71</v>
      </c>
      <c r="B2384" s="2" t="s">
        <v>72</v>
      </c>
      <c r="C2384" s="2" t="s">
        <v>73</v>
      </c>
      <c r="D2384" s="2"/>
      <c r="E2384" s="2" t="str">
        <f>"FES1162570522"</f>
        <v>FES1162570522</v>
      </c>
      <c r="F2384" s="3">
        <v>42969</v>
      </c>
      <c r="G2384" s="2">
        <v>201802</v>
      </c>
      <c r="H2384" s="2" t="s">
        <v>74</v>
      </c>
      <c r="I2384" s="2" t="s">
        <v>75</v>
      </c>
      <c r="J2384" s="2" t="s">
        <v>76</v>
      </c>
      <c r="K2384" s="2" t="s">
        <v>77</v>
      </c>
      <c r="L2384" s="2" t="s">
        <v>97</v>
      </c>
      <c r="M2384" s="2" t="s">
        <v>98</v>
      </c>
      <c r="N2384" s="2" t="s">
        <v>1210</v>
      </c>
      <c r="O2384" s="2" t="s">
        <v>100</v>
      </c>
      <c r="P2384" s="2" t="str">
        <f>"2170586293                    "</f>
        <v xml:space="preserve">2170586293 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11.01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5.4</v>
      </c>
      <c r="BJ2384" s="2">
        <v>2.8</v>
      </c>
      <c r="BK2384" s="2">
        <v>5.5</v>
      </c>
      <c r="BL2384" s="2">
        <v>113.97</v>
      </c>
      <c r="BM2384" s="2">
        <v>15.96</v>
      </c>
      <c r="BN2384" s="2">
        <v>129.93</v>
      </c>
      <c r="BO2384" s="2">
        <v>129.93</v>
      </c>
      <c r="BP2384" s="2"/>
      <c r="BQ2384" s="2" t="s">
        <v>108</v>
      </c>
      <c r="BR2384" s="2" t="s">
        <v>84</v>
      </c>
      <c r="BS2384" s="3">
        <v>42970</v>
      </c>
      <c r="BT2384" s="4">
        <v>0.30486111111111108</v>
      </c>
      <c r="BU2384" s="2" t="s">
        <v>2873</v>
      </c>
      <c r="BV2384" s="2" t="s">
        <v>95</v>
      </c>
      <c r="BW2384" s="2"/>
      <c r="BX2384" s="2"/>
      <c r="BY2384" s="2">
        <v>13904.95</v>
      </c>
      <c r="BZ2384" s="2"/>
      <c r="CA2384" s="2" t="s">
        <v>804</v>
      </c>
      <c r="CB2384" s="2"/>
      <c r="CC2384" s="2" t="s">
        <v>98</v>
      </c>
      <c r="CD2384" s="2">
        <v>6012</v>
      </c>
      <c r="CE2384" s="2" t="s">
        <v>89</v>
      </c>
      <c r="CF2384" s="5">
        <v>42971</v>
      </c>
      <c r="CG2384" s="2"/>
      <c r="CH2384" s="2"/>
      <c r="CI2384" s="2">
        <v>1</v>
      </c>
      <c r="CJ2384" s="2">
        <v>1</v>
      </c>
      <c r="CK2384" s="2">
        <v>21</v>
      </c>
      <c r="CL2384" s="2" t="s">
        <v>86</v>
      </c>
      <c r="CM2384" s="2"/>
    </row>
    <row r="2385" spans="1:91">
      <c r="A2385" s="2" t="s">
        <v>71</v>
      </c>
      <c r="B2385" s="2" t="s">
        <v>72</v>
      </c>
      <c r="C2385" s="2" t="s">
        <v>73</v>
      </c>
      <c r="D2385" s="2"/>
      <c r="E2385" s="2" t="str">
        <f>"FES1162570418"</f>
        <v>FES1162570418</v>
      </c>
      <c r="F2385" s="3">
        <v>42969</v>
      </c>
      <c r="G2385" s="2">
        <v>201802</v>
      </c>
      <c r="H2385" s="2" t="s">
        <v>74</v>
      </c>
      <c r="I2385" s="2" t="s">
        <v>75</v>
      </c>
      <c r="J2385" s="2" t="s">
        <v>76</v>
      </c>
      <c r="K2385" s="2" t="s">
        <v>77</v>
      </c>
      <c r="L2385" s="2" t="s">
        <v>149</v>
      </c>
      <c r="M2385" s="2" t="s">
        <v>150</v>
      </c>
      <c r="N2385" s="2" t="s">
        <v>427</v>
      </c>
      <c r="O2385" s="2" t="s">
        <v>100</v>
      </c>
      <c r="P2385" s="2" t="str">
        <f>"2170585818                    "</f>
        <v xml:space="preserve">2170585818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4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2</v>
      </c>
      <c r="BJ2385" s="2">
        <v>1.1000000000000001</v>
      </c>
      <c r="BK2385" s="2">
        <v>2</v>
      </c>
      <c r="BL2385" s="2">
        <v>41.44</v>
      </c>
      <c r="BM2385" s="2">
        <v>5.8</v>
      </c>
      <c r="BN2385" s="2">
        <v>47.24</v>
      </c>
      <c r="BO2385" s="2">
        <v>47.24</v>
      </c>
      <c r="BP2385" s="2"/>
      <c r="BQ2385" s="2" t="s">
        <v>288</v>
      </c>
      <c r="BR2385" s="2" t="s">
        <v>84</v>
      </c>
      <c r="BS2385" s="3">
        <v>42970</v>
      </c>
      <c r="BT2385" s="4">
        <v>0.36249999999999999</v>
      </c>
      <c r="BU2385" s="2" t="s">
        <v>428</v>
      </c>
      <c r="BV2385" s="2" t="s">
        <v>95</v>
      </c>
      <c r="BW2385" s="2"/>
      <c r="BX2385" s="2"/>
      <c r="BY2385" s="2">
        <v>5534.75</v>
      </c>
      <c r="BZ2385" s="2"/>
      <c r="CA2385" s="2" t="s">
        <v>429</v>
      </c>
      <c r="CB2385" s="2"/>
      <c r="CC2385" s="2" t="s">
        <v>150</v>
      </c>
      <c r="CD2385" s="2">
        <v>4001</v>
      </c>
      <c r="CE2385" s="2" t="s">
        <v>89</v>
      </c>
      <c r="CF2385" s="5">
        <v>42971</v>
      </c>
      <c r="CG2385" s="2"/>
      <c r="CH2385" s="2"/>
      <c r="CI2385" s="2">
        <v>1</v>
      </c>
      <c r="CJ2385" s="2">
        <v>1</v>
      </c>
      <c r="CK2385" s="2">
        <v>21</v>
      </c>
      <c r="CL2385" s="2" t="s">
        <v>86</v>
      </c>
      <c r="CM2385" s="2"/>
    </row>
    <row r="2386" spans="1:91">
      <c r="A2386" s="2" t="s">
        <v>71</v>
      </c>
      <c r="B2386" s="2" t="s">
        <v>72</v>
      </c>
      <c r="C2386" s="2" t="s">
        <v>73</v>
      </c>
      <c r="D2386" s="2"/>
      <c r="E2386" s="2" t="str">
        <f>"FES1162570527"</f>
        <v>FES1162570527</v>
      </c>
      <c r="F2386" s="3">
        <v>42969</v>
      </c>
      <c r="G2386" s="2">
        <v>201802</v>
      </c>
      <c r="H2386" s="2" t="s">
        <v>74</v>
      </c>
      <c r="I2386" s="2" t="s">
        <v>75</v>
      </c>
      <c r="J2386" s="2" t="s">
        <v>76</v>
      </c>
      <c r="K2386" s="2" t="s">
        <v>77</v>
      </c>
      <c r="L2386" s="2" t="s">
        <v>1853</v>
      </c>
      <c r="M2386" s="2" t="s">
        <v>1854</v>
      </c>
      <c r="N2386" s="2" t="s">
        <v>1855</v>
      </c>
      <c r="O2386" s="2" t="s">
        <v>100</v>
      </c>
      <c r="P2386" s="2" t="str">
        <f>"2170583785                    "</f>
        <v xml:space="preserve">2170583785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4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1.4</v>
      </c>
      <c r="BJ2386" s="2">
        <v>0.8</v>
      </c>
      <c r="BK2386" s="2">
        <v>1.5</v>
      </c>
      <c r="BL2386" s="2">
        <v>41.44</v>
      </c>
      <c r="BM2386" s="2">
        <v>5.8</v>
      </c>
      <c r="BN2386" s="2">
        <v>47.24</v>
      </c>
      <c r="BO2386" s="2">
        <v>47.24</v>
      </c>
      <c r="BP2386" s="2"/>
      <c r="BQ2386" s="2" t="s">
        <v>209</v>
      </c>
      <c r="BR2386" s="2" t="s">
        <v>84</v>
      </c>
      <c r="BS2386" s="3">
        <v>42970</v>
      </c>
      <c r="BT2386" s="4">
        <v>0.41666666666666669</v>
      </c>
      <c r="BU2386" s="2" t="s">
        <v>2874</v>
      </c>
      <c r="BV2386" s="2" t="s">
        <v>95</v>
      </c>
      <c r="BW2386" s="2"/>
      <c r="BX2386" s="2"/>
      <c r="BY2386" s="2">
        <v>4100.96</v>
      </c>
      <c r="BZ2386" s="2"/>
      <c r="CA2386" s="2" t="s">
        <v>148</v>
      </c>
      <c r="CB2386" s="2"/>
      <c r="CC2386" s="2" t="s">
        <v>1854</v>
      </c>
      <c r="CD2386" s="2">
        <v>7139</v>
      </c>
      <c r="CE2386" s="2" t="s">
        <v>89</v>
      </c>
      <c r="CF2386" s="5">
        <v>42971</v>
      </c>
      <c r="CG2386" s="2"/>
      <c r="CH2386" s="2"/>
      <c r="CI2386" s="2">
        <v>1</v>
      </c>
      <c r="CJ2386" s="2">
        <v>1</v>
      </c>
      <c r="CK2386" s="2">
        <v>21</v>
      </c>
      <c r="CL2386" s="2" t="s">
        <v>86</v>
      </c>
      <c r="CM2386" s="2"/>
    </row>
    <row r="2387" spans="1:91">
      <c r="A2387" s="2" t="s">
        <v>71</v>
      </c>
      <c r="B2387" s="2" t="s">
        <v>72</v>
      </c>
      <c r="C2387" s="2" t="s">
        <v>73</v>
      </c>
      <c r="D2387" s="2"/>
      <c r="E2387" s="2" t="str">
        <f>"FES1162570468"</f>
        <v>FES1162570468</v>
      </c>
      <c r="F2387" s="3">
        <v>42969</v>
      </c>
      <c r="G2387" s="2">
        <v>201802</v>
      </c>
      <c r="H2387" s="2" t="s">
        <v>74</v>
      </c>
      <c r="I2387" s="2" t="s">
        <v>75</v>
      </c>
      <c r="J2387" s="2" t="s">
        <v>76</v>
      </c>
      <c r="K2387" s="2" t="s">
        <v>77</v>
      </c>
      <c r="L2387" s="2" t="s">
        <v>144</v>
      </c>
      <c r="M2387" s="2" t="s">
        <v>145</v>
      </c>
      <c r="N2387" s="2" t="s">
        <v>2875</v>
      </c>
      <c r="O2387" s="2" t="s">
        <v>100</v>
      </c>
      <c r="P2387" s="2" t="str">
        <f>"2170586249                    "</f>
        <v xml:space="preserve">2170586249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3.13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1</v>
      </c>
      <c r="BJ2387" s="2">
        <v>0.2</v>
      </c>
      <c r="BK2387" s="2">
        <v>1</v>
      </c>
      <c r="BL2387" s="2">
        <v>32.380000000000003</v>
      </c>
      <c r="BM2387" s="2">
        <v>4.53</v>
      </c>
      <c r="BN2387" s="2">
        <v>36.909999999999997</v>
      </c>
      <c r="BO2387" s="2">
        <v>36.909999999999997</v>
      </c>
      <c r="BP2387" s="2"/>
      <c r="BQ2387" s="2" t="s">
        <v>108</v>
      </c>
      <c r="BR2387" s="2" t="s">
        <v>84</v>
      </c>
      <c r="BS2387" s="3">
        <v>42970</v>
      </c>
      <c r="BT2387" s="4">
        <v>0.375</v>
      </c>
      <c r="BU2387" s="2" t="s">
        <v>2876</v>
      </c>
      <c r="BV2387" s="2" t="s">
        <v>95</v>
      </c>
      <c r="BW2387" s="2"/>
      <c r="BX2387" s="2"/>
      <c r="BY2387" s="2">
        <v>1200</v>
      </c>
      <c r="BZ2387" s="2"/>
      <c r="CA2387" s="2" t="s">
        <v>729</v>
      </c>
      <c r="CB2387" s="2"/>
      <c r="CC2387" s="2" t="s">
        <v>145</v>
      </c>
      <c r="CD2387" s="2">
        <v>2011</v>
      </c>
      <c r="CE2387" s="2" t="s">
        <v>104</v>
      </c>
      <c r="CF2387" s="5">
        <v>42971</v>
      </c>
      <c r="CG2387" s="2"/>
      <c r="CH2387" s="2"/>
      <c r="CI2387" s="2">
        <v>1</v>
      </c>
      <c r="CJ2387" s="2">
        <v>1</v>
      </c>
      <c r="CK2387" s="2">
        <v>22</v>
      </c>
      <c r="CL2387" s="2" t="s">
        <v>86</v>
      </c>
      <c r="CM2387" s="2"/>
    </row>
    <row r="2388" spans="1:91">
      <c r="A2388" s="2" t="s">
        <v>71</v>
      </c>
      <c r="B2388" s="2" t="s">
        <v>72</v>
      </c>
      <c r="C2388" s="2" t="s">
        <v>73</v>
      </c>
      <c r="D2388" s="2"/>
      <c r="E2388" s="2" t="str">
        <f>"FES1162570442"</f>
        <v>FES1162570442</v>
      </c>
      <c r="F2388" s="3">
        <v>42969</v>
      </c>
      <c r="G2388" s="2">
        <v>201802</v>
      </c>
      <c r="H2388" s="2" t="s">
        <v>74</v>
      </c>
      <c r="I2388" s="2" t="s">
        <v>75</v>
      </c>
      <c r="J2388" s="2" t="s">
        <v>76</v>
      </c>
      <c r="K2388" s="2" t="s">
        <v>77</v>
      </c>
      <c r="L2388" s="2" t="s">
        <v>149</v>
      </c>
      <c r="M2388" s="2" t="s">
        <v>150</v>
      </c>
      <c r="N2388" s="2" t="s">
        <v>1592</v>
      </c>
      <c r="O2388" s="2" t="s">
        <v>100</v>
      </c>
      <c r="P2388" s="2" t="str">
        <f>"2170586203                    "</f>
        <v xml:space="preserve">2170586203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4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1.6</v>
      </c>
      <c r="BJ2388" s="2">
        <v>0.5</v>
      </c>
      <c r="BK2388" s="2">
        <v>2</v>
      </c>
      <c r="BL2388" s="2">
        <v>41.44</v>
      </c>
      <c r="BM2388" s="2">
        <v>5.8</v>
      </c>
      <c r="BN2388" s="2">
        <v>47.24</v>
      </c>
      <c r="BO2388" s="2">
        <v>47.24</v>
      </c>
      <c r="BP2388" s="2"/>
      <c r="BQ2388" s="2" t="s">
        <v>83</v>
      </c>
      <c r="BR2388" s="2" t="s">
        <v>84</v>
      </c>
      <c r="BS2388" s="3">
        <v>42970</v>
      </c>
      <c r="BT2388" s="4">
        <v>0.3298611111111111</v>
      </c>
      <c r="BU2388" s="2" t="s">
        <v>2033</v>
      </c>
      <c r="BV2388" s="2" t="s">
        <v>95</v>
      </c>
      <c r="BW2388" s="2"/>
      <c r="BX2388" s="2"/>
      <c r="BY2388" s="2">
        <v>2329.4299999999998</v>
      </c>
      <c r="BZ2388" s="2"/>
      <c r="CA2388" s="2" t="s">
        <v>1163</v>
      </c>
      <c r="CB2388" s="2"/>
      <c r="CC2388" s="2" t="s">
        <v>150</v>
      </c>
      <c r="CD2388" s="2">
        <v>4094</v>
      </c>
      <c r="CE2388" s="2" t="s">
        <v>89</v>
      </c>
      <c r="CF2388" s="5">
        <v>42971</v>
      </c>
      <c r="CG2388" s="2"/>
      <c r="CH2388" s="2"/>
      <c r="CI2388" s="2">
        <v>1</v>
      </c>
      <c r="CJ2388" s="2">
        <v>1</v>
      </c>
      <c r="CK2388" s="2">
        <v>21</v>
      </c>
      <c r="CL2388" s="2" t="s">
        <v>86</v>
      </c>
      <c r="CM2388" s="2"/>
    </row>
    <row r="2389" spans="1:91">
      <c r="A2389" s="2" t="s">
        <v>71</v>
      </c>
      <c r="B2389" s="2" t="s">
        <v>72</v>
      </c>
      <c r="C2389" s="2" t="s">
        <v>73</v>
      </c>
      <c r="D2389" s="2"/>
      <c r="E2389" s="2" t="str">
        <f>"FES1162570580"</f>
        <v>FES1162570580</v>
      </c>
      <c r="F2389" s="3">
        <v>42969</v>
      </c>
      <c r="G2389" s="2">
        <v>201802</v>
      </c>
      <c r="H2389" s="2" t="s">
        <v>74</v>
      </c>
      <c r="I2389" s="2" t="s">
        <v>75</v>
      </c>
      <c r="J2389" s="2" t="s">
        <v>76</v>
      </c>
      <c r="K2389" s="2" t="s">
        <v>77</v>
      </c>
      <c r="L2389" s="2" t="s">
        <v>105</v>
      </c>
      <c r="M2389" s="2" t="s">
        <v>106</v>
      </c>
      <c r="N2389" s="2" t="s">
        <v>2877</v>
      </c>
      <c r="O2389" s="2" t="s">
        <v>100</v>
      </c>
      <c r="P2389" s="2" t="str">
        <f>"2170586323                    "</f>
        <v xml:space="preserve">2170586323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5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1</v>
      </c>
      <c r="BI2389" s="2">
        <v>2.1</v>
      </c>
      <c r="BJ2389" s="2">
        <v>1.2</v>
      </c>
      <c r="BK2389" s="2">
        <v>2.5</v>
      </c>
      <c r="BL2389" s="2">
        <v>51.8</v>
      </c>
      <c r="BM2389" s="2">
        <v>7.25</v>
      </c>
      <c r="BN2389" s="2">
        <v>59.05</v>
      </c>
      <c r="BO2389" s="2">
        <v>59.05</v>
      </c>
      <c r="BP2389" s="2"/>
      <c r="BQ2389" s="2" t="s">
        <v>288</v>
      </c>
      <c r="BR2389" s="2" t="s">
        <v>84</v>
      </c>
      <c r="BS2389" s="3">
        <v>42970</v>
      </c>
      <c r="BT2389" s="4">
        <v>0.41319444444444442</v>
      </c>
      <c r="BU2389" s="2" t="s">
        <v>2878</v>
      </c>
      <c r="BV2389" s="2" t="s">
        <v>95</v>
      </c>
      <c r="BW2389" s="2"/>
      <c r="BX2389" s="2"/>
      <c r="BY2389" s="2">
        <v>5934.84</v>
      </c>
      <c r="BZ2389" s="2"/>
      <c r="CA2389" s="2" t="s">
        <v>1867</v>
      </c>
      <c r="CB2389" s="2"/>
      <c r="CC2389" s="2" t="s">
        <v>106</v>
      </c>
      <c r="CD2389" s="2">
        <v>7405</v>
      </c>
      <c r="CE2389" s="2" t="s">
        <v>89</v>
      </c>
      <c r="CF2389" s="5">
        <v>42971</v>
      </c>
      <c r="CG2389" s="2"/>
      <c r="CH2389" s="2"/>
      <c r="CI2389" s="2">
        <v>1</v>
      </c>
      <c r="CJ2389" s="2">
        <v>1</v>
      </c>
      <c r="CK2389" s="2">
        <v>21</v>
      </c>
      <c r="CL2389" s="2" t="s">
        <v>86</v>
      </c>
      <c r="CM2389" s="2"/>
    </row>
    <row r="2390" spans="1:91">
      <c r="A2390" s="2" t="s">
        <v>71</v>
      </c>
      <c r="B2390" s="2" t="s">
        <v>72</v>
      </c>
      <c r="C2390" s="2" t="s">
        <v>73</v>
      </c>
      <c r="D2390" s="2"/>
      <c r="E2390" s="2" t="str">
        <f>"FES1162570554"</f>
        <v>FES1162570554</v>
      </c>
      <c r="F2390" s="3">
        <v>42969</v>
      </c>
      <c r="G2390" s="2">
        <v>201802</v>
      </c>
      <c r="H2390" s="2" t="s">
        <v>74</v>
      </c>
      <c r="I2390" s="2" t="s">
        <v>75</v>
      </c>
      <c r="J2390" s="2" t="s">
        <v>76</v>
      </c>
      <c r="K2390" s="2" t="s">
        <v>77</v>
      </c>
      <c r="L2390" s="2" t="s">
        <v>1853</v>
      </c>
      <c r="M2390" s="2" t="s">
        <v>1854</v>
      </c>
      <c r="N2390" s="2" t="s">
        <v>1855</v>
      </c>
      <c r="O2390" s="2" t="s">
        <v>100</v>
      </c>
      <c r="P2390" s="2" t="str">
        <f>"2170584055                    "</f>
        <v xml:space="preserve">2170584055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4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1</v>
      </c>
      <c r="BJ2390" s="2">
        <v>0.2</v>
      </c>
      <c r="BK2390" s="2">
        <v>1</v>
      </c>
      <c r="BL2390" s="2">
        <v>41.44</v>
      </c>
      <c r="BM2390" s="2">
        <v>5.8</v>
      </c>
      <c r="BN2390" s="2">
        <v>47.24</v>
      </c>
      <c r="BO2390" s="2">
        <v>47.24</v>
      </c>
      <c r="BP2390" s="2"/>
      <c r="BQ2390" s="2" t="s">
        <v>209</v>
      </c>
      <c r="BR2390" s="2" t="s">
        <v>84</v>
      </c>
      <c r="BS2390" s="3">
        <v>42970</v>
      </c>
      <c r="BT2390" s="4">
        <v>0.41666666666666669</v>
      </c>
      <c r="BU2390" s="2" t="s">
        <v>2879</v>
      </c>
      <c r="BV2390" s="2" t="s">
        <v>95</v>
      </c>
      <c r="BW2390" s="2"/>
      <c r="BX2390" s="2"/>
      <c r="BY2390" s="2">
        <v>1200</v>
      </c>
      <c r="BZ2390" s="2"/>
      <c r="CA2390" s="2" t="s">
        <v>148</v>
      </c>
      <c r="CB2390" s="2"/>
      <c r="CC2390" s="2" t="s">
        <v>1854</v>
      </c>
      <c r="CD2390" s="2">
        <v>7139</v>
      </c>
      <c r="CE2390" s="2" t="s">
        <v>104</v>
      </c>
      <c r="CF2390" s="5">
        <v>42971</v>
      </c>
      <c r="CG2390" s="2"/>
      <c r="CH2390" s="2"/>
      <c r="CI2390" s="2">
        <v>1</v>
      </c>
      <c r="CJ2390" s="2">
        <v>1</v>
      </c>
      <c r="CK2390" s="2">
        <v>21</v>
      </c>
      <c r="CL2390" s="2" t="s">
        <v>86</v>
      </c>
      <c r="CM2390" s="2"/>
    </row>
    <row r="2391" spans="1:91">
      <c r="A2391" s="2" t="s">
        <v>71</v>
      </c>
      <c r="B2391" s="2" t="s">
        <v>72</v>
      </c>
      <c r="C2391" s="2" t="s">
        <v>73</v>
      </c>
      <c r="D2391" s="2"/>
      <c r="E2391" s="2" t="str">
        <f>"FES1162570512"</f>
        <v>FES1162570512</v>
      </c>
      <c r="F2391" s="3">
        <v>42969</v>
      </c>
      <c r="G2391" s="2">
        <v>201802</v>
      </c>
      <c r="H2391" s="2" t="s">
        <v>74</v>
      </c>
      <c r="I2391" s="2" t="s">
        <v>75</v>
      </c>
      <c r="J2391" s="2" t="s">
        <v>76</v>
      </c>
      <c r="K2391" s="2" t="s">
        <v>77</v>
      </c>
      <c r="L2391" s="2" t="s">
        <v>841</v>
      </c>
      <c r="M2391" s="2" t="s">
        <v>842</v>
      </c>
      <c r="N2391" s="2" t="s">
        <v>843</v>
      </c>
      <c r="O2391" s="2" t="s">
        <v>100</v>
      </c>
      <c r="P2391" s="2" t="str">
        <f>"2170586278                    "</f>
        <v xml:space="preserve">2170586278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18.260000000000002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4.7</v>
      </c>
      <c r="BJ2391" s="2">
        <v>1.7</v>
      </c>
      <c r="BK2391" s="2">
        <v>5</v>
      </c>
      <c r="BL2391" s="2">
        <v>189.08</v>
      </c>
      <c r="BM2391" s="2">
        <v>26.47</v>
      </c>
      <c r="BN2391" s="2">
        <v>215.55</v>
      </c>
      <c r="BO2391" s="2">
        <v>215.55</v>
      </c>
      <c r="BP2391" s="2"/>
      <c r="BQ2391" s="2" t="s">
        <v>83</v>
      </c>
      <c r="BR2391" s="2" t="s">
        <v>84</v>
      </c>
      <c r="BS2391" s="3">
        <v>42970</v>
      </c>
      <c r="BT2391" s="4">
        <v>0.59930555555555554</v>
      </c>
      <c r="BU2391" s="2" t="s">
        <v>1328</v>
      </c>
      <c r="BV2391" s="2" t="s">
        <v>95</v>
      </c>
      <c r="BW2391" s="2"/>
      <c r="BX2391" s="2"/>
      <c r="BY2391" s="2">
        <v>8585.2099999999991</v>
      </c>
      <c r="BZ2391" s="2"/>
      <c r="CA2391" s="2" t="s">
        <v>845</v>
      </c>
      <c r="CB2391" s="2"/>
      <c r="CC2391" s="2" t="s">
        <v>842</v>
      </c>
      <c r="CD2391" s="2">
        <v>3370</v>
      </c>
      <c r="CE2391" s="2" t="s">
        <v>89</v>
      </c>
      <c r="CF2391" s="5">
        <v>42972</v>
      </c>
      <c r="CG2391" s="2"/>
      <c r="CH2391" s="2"/>
      <c r="CI2391" s="2">
        <v>3</v>
      </c>
      <c r="CJ2391" s="2">
        <v>1</v>
      </c>
      <c r="CK2391" s="2">
        <v>23</v>
      </c>
      <c r="CL2391" s="2" t="s">
        <v>86</v>
      </c>
      <c r="CM2391" s="2"/>
    </row>
    <row r="2392" spans="1:91">
      <c r="A2392" s="2" t="s">
        <v>71</v>
      </c>
      <c r="B2392" s="2" t="s">
        <v>72</v>
      </c>
      <c r="C2392" s="2" t="s">
        <v>73</v>
      </c>
      <c r="D2392" s="2"/>
      <c r="E2392" s="2" t="str">
        <f>"FES1162570482"</f>
        <v>FES1162570482</v>
      </c>
      <c r="F2392" s="3">
        <v>42969</v>
      </c>
      <c r="G2392" s="2">
        <v>201802</v>
      </c>
      <c r="H2392" s="2" t="s">
        <v>74</v>
      </c>
      <c r="I2392" s="2" t="s">
        <v>75</v>
      </c>
      <c r="J2392" s="2" t="s">
        <v>76</v>
      </c>
      <c r="K2392" s="2" t="s">
        <v>77</v>
      </c>
      <c r="L2392" s="2" t="s">
        <v>144</v>
      </c>
      <c r="M2392" s="2" t="s">
        <v>145</v>
      </c>
      <c r="N2392" s="2" t="s">
        <v>2039</v>
      </c>
      <c r="O2392" s="2" t="s">
        <v>100</v>
      </c>
      <c r="P2392" s="2" t="str">
        <f>"2170580081                    "</f>
        <v xml:space="preserve">2170580081  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3.13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5.6</v>
      </c>
      <c r="BJ2392" s="2">
        <v>1.7</v>
      </c>
      <c r="BK2392" s="2">
        <v>6</v>
      </c>
      <c r="BL2392" s="2">
        <v>32.380000000000003</v>
      </c>
      <c r="BM2392" s="2">
        <v>4.53</v>
      </c>
      <c r="BN2392" s="2">
        <v>36.909999999999997</v>
      </c>
      <c r="BO2392" s="2">
        <v>36.909999999999997</v>
      </c>
      <c r="BP2392" s="2"/>
      <c r="BQ2392" s="2" t="s">
        <v>288</v>
      </c>
      <c r="BR2392" s="2" t="s">
        <v>84</v>
      </c>
      <c r="BS2392" s="3">
        <v>42970</v>
      </c>
      <c r="BT2392" s="4">
        <v>0.3666666666666667</v>
      </c>
      <c r="BU2392" s="2" t="s">
        <v>2880</v>
      </c>
      <c r="BV2392" s="2" t="s">
        <v>95</v>
      </c>
      <c r="BW2392" s="2"/>
      <c r="BX2392" s="2"/>
      <c r="BY2392" s="2">
        <v>8321.77</v>
      </c>
      <c r="BZ2392" s="2"/>
      <c r="CA2392" s="2" t="s">
        <v>1355</v>
      </c>
      <c r="CB2392" s="2"/>
      <c r="CC2392" s="2" t="s">
        <v>145</v>
      </c>
      <c r="CD2392" s="2">
        <v>2013</v>
      </c>
      <c r="CE2392" s="2" t="s">
        <v>89</v>
      </c>
      <c r="CF2392" s="5">
        <v>42971</v>
      </c>
      <c r="CG2392" s="2"/>
      <c r="CH2392" s="2"/>
      <c r="CI2392" s="2">
        <v>1</v>
      </c>
      <c r="CJ2392" s="2">
        <v>1</v>
      </c>
      <c r="CK2392" s="2">
        <v>22</v>
      </c>
      <c r="CL2392" s="2" t="s">
        <v>86</v>
      </c>
      <c r="CM2392" s="2"/>
    </row>
    <row r="2393" spans="1:91">
      <c r="A2393" s="2" t="s">
        <v>71</v>
      </c>
      <c r="B2393" s="2" t="s">
        <v>72</v>
      </c>
      <c r="C2393" s="2" t="s">
        <v>73</v>
      </c>
      <c r="D2393" s="2"/>
      <c r="E2393" s="2" t="str">
        <f>"FES1162570446"</f>
        <v>FES1162570446</v>
      </c>
      <c r="F2393" s="3">
        <v>42969</v>
      </c>
      <c r="G2393" s="2">
        <v>201802</v>
      </c>
      <c r="H2393" s="2" t="s">
        <v>74</v>
      </c>
      <c r="I2393" s="2" t="s">
        <v>75</v>
      </c>
      <c r="J2393" s="2" t="s">
        <v>76</v>
      </c>
      <c r="K2393" s="2" t="s">
        <v>77</v>
      </c>
      <c r="L2393" s="2" t="s">
        <v>144</v>
      </c>
      <c r="M2393" s="2" t="s">
        <v>145</v>
      </c>
      <c r="N2393" s="2" t="s">
        <v>260</v>
      </c>
      <c r="O2393" s="2" t="s">
        <v>100</v>
      </c>
      <c r="P2393" s="2" t="str">
        <f>"2170586210                    "</f>
        <v xml:space="preserve">2170586210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3.13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1</v>
      </c>
      <c r="BJ2393" s="2">
        <v>0.2</v>
      </c>
      <c r="BK2393" s="2">
        <v>1</v>
      </c>
      <c r="BL2393" s="2">
        <v>32.380000000000003</v>
      </c>
      <c r="BM2393" s="2">
        <v>4.53</v>
      </c>
      <c r="BN2393" s="2">
        <v>36.909999999999997</v>
      </c>
      <c r="BO2393" s="2">
        <v>36.909999999999997</v>
      </c>
      <c r="BP2393" s="2"/>
      <c r="BQ2393" s="2" t="s">
        <v>108</v>
      </c>
      <c r="BR2393" s="2" t="s">
        <v>84</v>
      </c>
      <c r="BS2393" s="3">
        <v>42970</v>
      </c>
      <c r="BT2393" s="4">
        <v>0.43958333333333338</v>
      </c>
      <c r="BU2393" s="2" t="s">
        <v>1360</v>
      </c>
      <c r="BV2393" s="2" t="s">
        <v>95</v>
      </c>
      <c r="BW2393" s="2"/>
      <c r="BX2393" s="2"/>
      <c r="BY2393" s="2">
        <v>1200</v>
      </c>
      <c r="BZ2393" s="2"/>
      <c r="CA2393" s="2" t="s">
        <v>1355</v>
      </c>
      <c r="CB2393" s="2"/>
      <c r="CC2393" s="2" t="s">
        <v>145</v>
      </c>
      <c r="CD2393" s="2">
        <v>2091</v>
      </c>
      <c r="CE2393" s="2" t="s">
        <v>104</v>
      </c>
      <c r="CF2393" s="5">
        <v>42971</v>
      </c>
      <c r="CG2393" s="2"/>
      <c r="CH2393" s="2"/>
      <c r="CI2393" s="2">
        <v>1</v>
      </c>
      <c r="CJ2393" s="2">
        <v>1</v>
      </c>
      <c r="CK2393" s="2">
        <v>22</v>
      </c>
      <c r="CL2393" s="2" t="s">
        <v>86</v>
      </c>
      <c r="CM2393" s="2"/>
    </row>
    <row r="2394" spans="1:91">
      <c r="A2394" s="2" t="s">
        <v>71</v>
      </c>
      <c r="B2394" s="2" t="s">
        <v>72</v>
      </c>
      <c r="C2394" s="2" t="s">
        <v>73</v>
      </c>
      <c r="D2394" s="2"/>
      <c r="E2394" s="2" t="str">
        <f>"FES1162570401"</f>
        <v>FES1162570401</v>
      </c>
      <c r="F2394" s="3">
        <v>42969</v>
      </c>
      <c r="G2394" s="2">
        <v>201802</v>
      </c>
      <c r="H2394" s="2" t="s">
        <v>74</v>
      </c>
      <c r="I2394" s="2" t="s">
        <v>75</v>
      </c>
      <c r="J2394" s="2" t="s">
        <v>76</v>
      </c>
      <c r="K2394" s="2" t="s">
        <v>77</v>
      </c>
      <c r="L2394" s="2" t="s">
        <v>128</v>
      </c>
      <c r="M2394" s="2" t="s">
        <v>129</v>
      </c>
      <c r="N2394" s="2" t="s">
        <v>130</v>
      </c>
      <c r="O2394" s="2" t="s">
        <v>100</v>
      </c>
      <c r="P2394" s="2" t="str">
        <f>"2170584079                    "</f>
        <v xml:space="preserve">2170584079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3.13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1</v>
      </c>
      <c r="BJ2394" s="2">
        <v>0.2</v>
      </c>
      <c r="BK2394" s="2">
        <v>1</v>
      </c>
      <c r="BL2394" s="2">
        <v>32.380000000000003</v>
      </c>
      <c r="BM2394" s="2">
        <v>4.53</v>
      </c>
      <c r="BN2394" s="2">
        <v>36.909999999999997</v>
      </c>
      <c r="BO2394" s="2">
        <v>36.909999999999997</v>
      </c>
      <c r="BP2394" s="2"/>
      <c r="BQ2394" s="2" t="s">
        <v>83</v>
      </c>
      <c r="BR2394" s="2" t="s">
        <v>84</v>
      </c>
      <c r="BS2394" s="3">
        <v>42970</v>
      </c>
      <c r="BT2394" s="4">
        <v>0.34027777777777773</v>
      </c>
      <c r="BU2394" s="2" t="s">
        <v>2734</v>
      </c>
      <c r="BV2394" s="2" t="s">
        <v>95</v>
      </c>
      <c r="BW2394" s="2"/>
      <c r="BX2394" s="2"/>
      <c r="BY2394" s="2">
        <v>1200</v>
      </c>
      <c r="BZ2394" s="2"/>
      <c r="CA2394" s="2" t="s">
        <v>414</v>
      </c>
      <c r="CB2394" s="2"/>
      <c r="CC2394" s="2" t="s">
        <v>129</v>
      </c>
      <c r="CD2394" s="2">
        <v>1724</v>
      </c>
      <c r="CE2394" s="2" t="s">
        <v>104</v>
      </c>
      <c r="CF2394" s="5">
        <v>42971</v>
      </c>
      <c r="CG2394" s="2"/>
      <c r="CH2394" s="2"/>
      <c r="CI2394" s="2">
        <v>1</v>
      </c>
      <c r="CJ2394" s="2">
        <v>1</v>
      </c>
      <c r="CK2394" s="2">
        <v>22</v>
      </c>
      <c r="CL2394" s="2" t="s">
        <v>86</v>
      </c>
      <c r="CM2394" s="2"/>
    </row>
    <row r="2395" spans="1:91">
      <c r="A2395" s="2" t="s">
        <v>71</v>
      </c>
      <c r="B2395" s="2" t="s">
        <v>72</v>
      </c>
      <c r="C2395" s="2" t="s">
        <v>73</v>
      </c>
      <c r="D2395" s="2"/>
      <c r="E2395" s="2" t="str">
        <f>"FES1162570503"</f>
        <v>FES1162570503</v>
      </c>
      <c r="F2395" s="3">
        <v>42969</v>
      </c>
      <c r="G2395" s="2">
        <v>201802</v>
      </c>
      <c r="H2395" s="2" t="s">
        <v>74</v>
      </c>
      <c r="I2395" s="2" t="s">
        <v>75</v>
      </c>
      <c r="J2395" s="2" t="s">
        <v>76</v>
      </c>
      <c r="K2395" s="2" t="s">
        <v>77</v>
      </c>
      <c r="L2395" s="2" t="s">
        <v>149</v>
      </c>
      <c r="M2395" s="2" t="s">
        <v>150</v>
      </c>
      <c r="N2395" s="2" t="s">
        <v>2881</v>
      </c>
      <c r="O2395" s="2" t="s">
        <v>100</v>
      </c>
      <c r="P2395" s="2" t="str">
        <f>"2170586205                    "</f>
        <v xml:space="preserve">2170586205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7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1</v>
      </c>
      <c r="BI2395" s="2">
        <v>3.5</v>
      </c>
      <c r="BJ2395" s="2">
        <v>1.8</v>
      </c>
      <c r="BK2395" s="2">
        <v>3.5</v>
      </c>
      <c r="BL2395" s="2">
        <v>72.52</v>
      </c>
      <c r="BM2395" s="2">
        <v>10.15</v>
      </c>
      <c r="BN2395" s="2">
        <v>82.67</v>
      </c>
      <c r="BO2395" s="2">
        <v>82.67</v>
      </c>
      <c r="BP2395" s="2"/>
      <c r="BQ2395" s="2" t="s">
        <v>108</v>
      </c>
      <c r="BR2395" s="2" t="s">
        <v>84</v>
      </c>
      <c r="BS2395" s="3">
        <v>42970</v>
      </c>
      <c r="BT2395" s="4">
        <v>0.32430555555555557</v>
      </c>
      <c r="BU2395" s="2" t="s">
        <v>2882</v>
      </c>
      <c r="BV2395" s="2" t="s">
        <v>95</v>
      </c>
      <c r="BW2395" s="2"/>
      <c r="BX2395" s="2"/>
      <c r="BY2395" s="2">
        <v>8895.56</v>
      </c>
      <c r="BZ2395" s="2"/>
      <c r="CA2395" s="2" t="s">
        <v>1949</v>
      </c>
      <c r="CB2395" s="2"/>
      <c r="CC2395" s="2" t="s">
        <v>150</v>
      </c>
      <c r="CD2395" s="2">
        <v>4079</v>
      </c>
      <c r="CE2395" s="2" t="s">
        <v>135</v>
      </c>
      <c r="CF2395" s="5">
        <v>42971</v>
      </c>
      <c r="CG2395" s="2"/>
      <c r="CH2395" s="2"/>
      <c r="CI2395" s="2">
        <v>1</v>
      </c>
      <c r="CJ2395" s="2">
        <v>1</v>
      </c>
      <c r="CK2395" s="2">
        <v>21</v>
      </c>
      <c r="CL2395" s="2" t="s">
        <v>86</v>
      </c>
      <c r="CM2395" s="2"/>
    </row>
    <row r="2396" spans="1:91">
      <c r="A2396" s="2" t="s">
        <v>71</v>
      </c>
      <c r="B2396" s="2" t="s">
        <v>72</v>
      </c>
      <c r="C2396" s="2" t="s">
        <v>73</v>
      </c>
      <c r="D2396" s="2"/>
      <c r="E2396" s="2" t="str">
        <f>"FES1162570566"</f>
        <v>FES1162570566</v>
      </c>
      <c r="F2396" s="3">
        <v>42969</v>
      </c>
      <c r="G2396" s="2">
        <v>201802</v>
      </c>
      <c r="H2396" s="2" t="s">
        <v>74</v>
      </c>
      <c r="I2396" s="2" t="s">
        <v>75</v>
      </c>
      <c r="J2396" s="2" t="s">
        <v>76</v>
      </c>
      <c r="K2396" s="2" t="s">
        <v>77</v>
      </c>
      <c r="L2396" s="2" t="s">
        <v>1202</v>
      </c>
      <c r="M2396" s="2" t="s">
        <v>1203</v>
      </c>
      <c r="N2396" s="2" t="s">
        <v>2883</v>
      </c>
      <c r="O2396" s="2" t="s">
        <v>100</v>
      </c>
      <c r="P2396" s="2" t="str">
        <f>"2170586298                    "</f>
        <v xml:space="preserve">2170586298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3.13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1</v>
      </c>
      <c r="BJ2396" s="2">
        <v>0.2</v>
      </c>
      <c r="BK2396" s="2">
        <v>1</v>
      </c>
      <c r="BL2396" s="2">
        <v>32.380000000000003</v>
      </c>
      <c r="BM2396" s="2">
        <v>4.53</v>
      </c>
      <c r="BN2396" s="2">
        <v>36.909999999999997</v>
      </c>
      <c r="BO2396" s="2">
        <v>36.909999999999997</v>
      </c>
      <c r="BP2396" s="2"/>
      <c r="BQ2396" s="2" t="s">
        <v>288</v>
      </c>
      <c r="BR2396" s="2" t="s">
        <v>84</v>
      </c>
      <c r="BS2396" s="3">
        <v>42970</v>
      </c>
      <c r="BT2396" s="4">
        <v>0.30138888888888887</v>
      </c>
      <c r="BU2396" s="2" t="s">
        <v>2884</v>
      </c>
      <c r="BV2396" s="2" t="s">
        <v>95</v>
      </c>
      <c r="BW2396" s="2"/>
      <c r="BX2396" s="2"/>
      <c r="BY2396" s="2">
        <v>1200</v>
      </c>
      <c r="BZ2396" s="2"/>
      <c r="CA2396" s="2" t="s">
        <v>499</v>
      </c>
      <c r="CB2396" s="2"/>
      <c r="CC2396" s="2" t="s">
        <v>1203</v>
      </c>
      <c r="CD2396" s="2">
        <v>1508</v>
      </c>
      <c r="CE2396" s="2" t="s">
        <v>104</v>
      </c>
      <c r="CF2396" s="5">
        <v>42971</v>
      </c>
      <c r="CG2396" s="2"/>
      <c r="CH2396" s="2"/>
      <c r="CI2396" s="2">
        <v>1</v>
      </c>
      <c r="CJ2396" s="2">
        <v>1</v>
      </c>
      <c r="CK2396" s="2">
        <v>22</v>
      </c>
      <c r="CL2396" s="2" t="s">
        <v>86</v>
      </c>
      <c r="CM2396" s="2"/>
    </row>
    <row r="2397" spans="1:91">
      <c r="A2397" s="2" t="s">
        <v>71</v>
      </c>
      <c r="B2397" s="2" t="s">
        <v>72</v>
      </c>
      <c r="C2397" s="2" t="s">
        <v>73</v>
      </c>
      <c r="D2397" s="2"/>
      <c r="E2397" s="2" t="str">
        <f>"FES1162570450"</f>
        <v>FES1162570450</v>
      </c>
      <c r="F2397" s="3">
        <v>42969</v>
      </c>
      <c r="G2397" s="2">
        <v>201802</v>
      </c>
      <c r="H2397" s="2" t="s">
        <v>74</v>
      </c>
      <c r="I2397" s="2" t="s">
        <v>75</v>
      </c>
      <c r="J2397" s="2" t="s">
        <v>76</v>
      </c>
      <c r="K2397" s="2" t="s">
        <v>77</v>
      </c>
      <c r="L2397" s="2" t="s">
        <v>149</v>
      </c>
      <c r="M2397" s="2" t="s">
        <v>150</v>
      </c>
      <c r="N2397" s="2" t="s">
        <v>1356</v>
      </c>
      <c r="O2397" s="2" t="s">
        <v>100</v>
      </c>
      <c r="P2397" s="2" t="str">
        <f>"2170586222                    "</f>
        <v xml:space="preserve">2170586222 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4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0.9</v>
      </c>
      <c r="BJ2397" s="2">
        <v>1</v>
      </c>
      <c r="BK2397" s="2">
        <v>1</v>
      </c>
      <c r="BL2397" s="2">
        <v>41.44</v>
      </c>
      <c r="BM2397" s="2">
        <v>5.8</v>
      </c>
      <c r="BN2397" s="2">
        <v>47.24</v>
      </c>
      <c r="BO2397" s="2">
        <v>47.24</v>
      </c>
      <c r="BP2397" s="2"/>
      <c r="BQ2397" s="2" t="s">
        <v>2885</v>
      </c>
      <c r="BR2397" s="2" t="s">
        <v>84</v>
      </c>
      <c r="BS2397" s="3">
        <v>42970</v>
      </c>
      <c r="BT2397" s="4">
        <v>0.3888888888888889</v>
      </c>
      <c r="BU2397" s="2" t="s">
        <v>2886</v>
      </c>
      <c r="BV2397" s="2" t="s">
        <v>95</v>
      </c>
      <c r="BW2397" s="2"/>
      <c r="BX2397" s="2"/>
      <c r="BY2397" s="2">
        <v>4985.76</v>
      </c>
      <c r="BZ2397" s="2"/>
      <c r="CA2397" s="2" t="s">
        <v>1536</v>
      </c>
      <c r="CB2397" s="2"/>
      <c r="CC2397" s="2" t="s">
        <v>150</v>
      </c>
      <c r="CD2397" s="2">
        <v>4051</v>
      </c>
      <c r="CE2397" s="2" t="s">
        <v>89</v>
      </c>
      <c r="CF2397" s="5">
        <v>42971</v>
      </c>
      <c r="CG2397" s="2"/>
      <c r="CH2397" s="2"/>
      <c r="CI2397" s="2">
        <v>1</v>
      </c>
      <c r="CJ2397" s="2">
        <v>1</v>
      </c>
      <c r="CK2397" s="2">
        <v>21</v>
      </c>
      <c r="CL2397" s="2" t="s">
        <v>86</v>
      </c>
      <c r="CM2397" s="2"/>
    </row>
    <row r="2398" spans="1:91">
      <c r="A2398" s="2" t="s">
        <v>71</v>
      </c>
      <c r="B2398" s="2" t="s">
        <v>72</v>
      </c>
      <c r="C2398" s="2" t="s">
        <v>73</v>
      </c>
      <c r="D2398" s="2"/>
      <c r="E2398" s="2" t="str">
        <f>"FES1162570439"</f>
        <v>FES1162570439</v>
      </c>
      <c r="F2398" s="3">
        <v>42969</v>
      </c>
      <c r="G2398" s="2">
        <v>201802</v>
      </c>
      <c r="H2398" s="2" t="s">
        <v>74</v>
      </c>
      <c r="I2398" s="2" t="s">
        <v>75</v>
      </c>
      <c r="J2398" s="2" t="s">
        <v>76</v>
      </c>
      <c r="K2398" s="2" t="s">
        <v>77</v>
      </c>
      <c r="L2398" s="2" t="s">
        <v>105</v>
      </c>
      <c r="M2398" s="2" t="s">
        <v>106</v>
      </c>
      <c r="N2398" s="2" t="s">
        <v>705</v>
      </c>
      <c r="O2398" s="2" t="s">
        <v>100</v>
      </c>
      <c r="P2398" s="2" t="str">
        <f>"2170586200                    "</f>
        <v xml:space="preserve">2170586200 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4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1</v>
      </c>
      <c r="BJ2398" s="2">
        <v>0.2</v>
      </c>
      <c r="BK2398" s="2">
        <v>1</v>
      </c>
      <c r="BL2398" s="2">
        <v>41.44</v>
      </c>
      <c r="BM2398" s="2">
        <v>5.8</v>
      </c>
      <c r="BN2398" s="2">
        <v>47.24</v>
      </c>
      <c r="BO2398" s="2">
        <v>47.24</v>
      </c>
      <c r="BP2398" s="2"/>
      <c r="BQ2398" s="2" t="s">
        <v>108</v>
      </c>
      <c r="BR2398" s="2" t="s">
        <v>84</v>
      </c>
      <c r="BS2398" s="3">
        <v>42970</v>
      </c>
      <c r="BT2398" s="4">
        <v>0.37083333333333335</v>
      </c>
      <c r="BU2398" s="2" t="s">
        <v>2887</v>
      </c>
      <c r="BV2398" s="2" t="s">
        <v>95</v>
      </c>
      <c r="BW2398" s="2"/>
      <c r="BX2398" s="2"/>
      <c r="BY2398" s="2">
        <v>1200</v>
      </c>
      <c r="BZ2398" s="2"/>
      <c r="CA2398" s="2" t="s">
        <v>2626</v>
      </c>
      <c r="CB2398" s="2"/>
      <c r="CC2398" s="2" t="s">
        <v>106</v>
      </c>
      <c r="CD2398" s="2">
        <v>7441</v>
      </c>
      <c r="CE2398" s="2" t="s">
        <v>104</v>
      </c>
      <c r="CF2398" s="5">
        <v>42971</v>
      </c>
      <c r="CG2398" s="2"/>
      <c r="CH2398" s="2"/>
      <c r="CI2398" s="2">
        <v>1</v>
      </c>
      <c r="CJ2398" s="2">
        <v>1</v>
      </c>
      <c r="CK2398" s="2">
        <v>21</v>
      </c>
      <c r="CL2398" s="2" t="s">
        <v>86</v>
      </c>
      <c r="CM2398" s="2"/>
    </row>
    <row r="2399" spans="1:91">
      <c r="A2399" s="2" t="s">
        <v>71</v>
      </c>
      <c r="B2399" s="2" t="s">
        <v>72</v>
      </c>
      <c r="C2399" s="2" t="s">
        <v>73</v>
      </c>
      <c r="D2399" s="2"/>
      <c r="E2399" s="2" t="str">
        <f>"FES1162570427"</f>
        <v>FES1162570427</v>
      </c>
      <c r="F2399" s="3">
        <v>42969</v>
      </c>
      <c r="G2399" s="2">
        <v>201802</v>
      </c>
      <c r="H2399" s="2" t="s">
        <v>74</v>
      </c>
      <c r="I2399" s="2" t="s">
        <v>75</v>
      </c>
      <c r="J2399" s="2" t="s">
        <v>76</v>
      </c>
      <c r="K2399" s="2" t="s">
        <v>77</v>
      </c>
      <c r="L2399" s="2" t="s">
        <v>841</v>
      </c>
      <c r="M2399" s="2" t="s">
        <v>842</v>
      </c>
      <c r="N2399" s="2" t="s">
        <v>843</v>
      </c>
      <c r="O2399" s="2" t="s">
        <v>100</v>
      </c>
      <c r="P2399" s="2" t="str">
        <f>"2170586183                    "</f>
        <v xml:space="preserve">2170586183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7.75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1</v>
      </c>
      <c r="BJ2399" s="2">
        <v>0.2</v>
      </c>
      <c r="BK2399" s="2">
        <v>1</v>
      </c>
      <c r="BL2399" s="2">
        <v>80.290000000000006</v>
      </c>
      <c r="BM2399" s="2">
        <v>11.24</v>
      </c>
      <c r="BN2399" s="2">
        <v>91.53</v>
      </c>
      <c r="BO2399" s="2">
        <v>91.53</v>
      </c>
      <c r="BP2399" s="2"/>
      <c r="BQ2399" s="2" t="s">
        <v>83</v>
      </c>
      <c r="BR2399" s="2" t="s">
        <v>84</v>
      </c>
      <c r="BS2399" s="3">
        <v>42970</v>
      </c>
      <c r="BT2399" s="4">
        <v>0.59861111111111109</v>
      </c>
      <c r="BU2399" s="2" t="s">
        <v>1328</v>
      </c>
      <c r="BV2399" s="2" t="s">
        <v>95</v>
      </c>
      <c r="BW2399" s="2"/>
      <c r="BX2399" s="2"/>
      <c r="BY2399" s="2">
        <v>1200</v>
      </c>
      <c r="BZ2399" s="2"/>
      <c r="CA2399" s="2" t="s">
        <v>845</v>
      </c>
      <c r="CB2399" s="2"/>
      <c r="CC2399" s="2" t="s">
        <v>842</v>
      </c>
      <c r="CD2399" s="2">
        <v>3370</v>
      </c>
      <c r="CE2399" s="2" t="s">
        <v>104</v>
      </c>
      <c r="CF2399" s="5">
        <v>42972</v>
      </c>
      <c r="CG2399" s="2"/>
      <c r="CH2399" s="2"/>
      <c r="CI2399" s="2">
        <v>3</v>
      </c>
      <c r="CJ2399" s="2">
        <v>1</v>
      </c>
      <c r="CK2399" s="2">
        <v>23</v>
      </c>
      <c r="CL2399" s="2" t="s">
        <v>86</v>
      </c>
      <c r="CM2399" s="2"/>
    </row>
    <row r="2400" spans="1:91">
      <c r="A2400" s="2" t="s">
        <v>71</v>
      </c>
      <c r="B2400" s="2" t="s">
        <v>72</v>
      </c>
      <c r="C2400" s="2" t="s">
        <v>73</v>
      </c>
      <c r="D2400" s="2"/>
      <c r="E2400" s="2" t="str">
        <f>"FES1162570637"</f>
        <v>FES1162570637</v>
      </c>
      <c r="F2400" s="3">
        <v>42969</v>
      </c>
      <c r="G2400" s="2">
        <v>201802</v>
      </c>
      <c r="H2400" s="2" t="s">
        <v>74</v>
      </c>
      <c r="I2400" s="2" t="s">
        <v>75</v>
      </c>
      <c r="J2400" s="2" t="s">
        <v>76</v>
      </c>
      <c r="K2400" s="2" t="s">
        <v>77</v>
      </c>
      <c r="L2400" s="2" t="s">
        <v>97</v>
      </c>
      <c r="M2400" s="2" t="s">
        <v>98</v>
      </c>
      <c r="N2400" s="2" t="s">
        <v>248</v>
      </c>
      <c r="O2400" s="2" t="s">
        <v>100</v>
      </c>
      <c r="P2400" s="2" t="str">
        <f>"2170586397                    "</f>
        <v xml:space="preserve">2170586397 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4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1</v>
      </c>
      <c r="BJ2400" s="2">
        <v>0.2</v>
      </c>
      <c r="BK2400" s="2">
        <v>1</v>
      </c>
      <c r="BL2400" s="2">
        <v>41.44</v>
      </c>
      <c r="BM2400" s="2">
        <v>5.8</v>
      </c>
      <c r="BN2400" s="2">
        <v>47.24</v>
      </c>
      <c r="BO2400" s="2">
        <v>47.24</v>
      </c>
      <c r="BP2400" s="2"/>
      <c r="BQ2400" s="2" t="s">
        <v>83</v>
      </c>
      <c r="BR2400" s="2" t="s">
        <v>84</v>
      </c>
      <c r="BS2400" s="3">
        <v>42970</v>
      </c>
      <c r="BT2400" s="4">
        <v>0.30555555555555552</v>
      </c>
      <c r="BU2400" s="2" t="s">
        <v>1130</v>
      </c>
      <c r="BV2400" s="2" t="s">
        <v>95</v>
      </c>
      <c r="BW2400" s="2"/>
      <c r="BX2400" s="2"/>
      <c r="BY2400" s="2">
        <v>1200</v>
      </c>
      <c r="BZ2400" s="2"/>
      <c r="CA2400" s="2" t="s">
        <v>804</v>
      </c>
      <c r="CB2400" s="2"/>
      <c r="CC2400" s="2" t="s">
        <v>98</v>
      </c>
      <c r="CD2400" s="2">
        <v>6001</v>
      </c>
      <c r="CE2400" s="2" t="s">
        <v>104</v>
      </c>
      <c r="CF2400" s="5">
        <v>42971</v>
      </c>
      <c r="CG2400" s="2"/>
      <c r="CH2400" s="2"/>
      <c r="CI2400" s="2">
        <v>1</v>
      </c>
      <c r="CJ2400" s="2">
        <v>1</v>
      </c>
      <c r="CK2400" s="2">
        <v>21</v>
      </c>
      <c r="CL2400" s="2" t="s">
        <v>86</v>
      </c>
      <c r="CM2400" s="2"/>
    </row>
    <row r="2401" spans="1:91">
      <c r="A2401" s="2" t="s">
        <v>71</v>
      </c>
      <c r="B2401" s="2" t="s">
        <v>72</v>
      </c>
      <c r="C2401" s="2" t="s">
        <v>73</v>
      </c>
      <c r="D2401" s="2"/>
      <c r="E2401" s="2" t="str">
        <f>"FES1162570543"</f>
        <v>FES1162570543</v>
      </c>
      <c r="F2401" s="3">
        <v>42969</v>
      </c>
      <c r="G2401" s="2">
        <v>201802</v>
      </c>
      <c r="H2401" s="2" t="s">
        <v>74</v>
      </c>
      <c r="I2401" s="2" t="s">
        <v>75</v>
      </c>
      <c r="J2401" s="2" t="s">
        <v>76</v>
      </c>
      <c r="K2401" s="2" t="s">
        <v>77</v>
      </c>
      <c r="L2401" s="2" t="s">
        <v>105</v>
      </c>
      <c r="M2401" s="2" t="s">
        <v>106</v>
      </c>
      <c r="N2401" s="2" t="s">
        <v>1576</v>
      </c>
      <c r="O2401" s="2" t="s">
        <v>100</v>
      </c>
      <c r="P2401" s="2" t="str">
        <f>"2170583920                    "</f>
        <v xml:space="preserve">2170583920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4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1</v>
      </c>
      <c r="BJ2401" s="2">
        <v>0.2</v>
      </c>
      <c r="BK2401" s="2">
        <v>1</v>
      </c>
      <c r="BL2401" s="2">
        <v>41.44</v>
      </c>
      <c r="BM2401" s="2">
        <v>5.8</v>
      </c>
      <c r="BN2401" s="2">
        <v>47.24</v>
      </c>
      <c r="BO2401" s="2">
        <v>47.24</v>
      </c>
      <c r="BP2401" s="2"/>
      <c r="BQ2401" s="2" t="s">
        <v>83</v>
      </c>
      <c r="BR2401" s="2" t="s">
        <v>84</v>
      </c>
      <c r="BS2401" s="3">
        <v>42970</v>
      </c>
      <c r="BT2401" s="4">
        <v>0.44444444444444442</v>
      </c>
      <c r="BU2401" s="2" t="s">
        <v>2888</v>
      </c>
      <c r="BV2401" s="2" t="s">
        <v>95</v>
      </c>
      <c r="BW2401" s="2"/>
      <c r="BX2401" s="2"/>
      <c r="BY2401" s="2">
        <v>1200</v>
      </c>
      <c r="BZ2401" s="2"/>
      <c r="CA2401" s="2" t="s">
        <v>869</v>
      </c>
      <c r="CB2401" s="2"/>
      <c r="CC2401" s="2" t="s">
        <v>106</v>
      </c>
      <c r="CD2401" s="2">
        <v>7460</v>
      </c>
      <c r="CE2401" s="2" t="s">
        <v>104</v>
      </c>
      <c r="CF2401" s="5">
        <v>42971</v>
      </c>
      <c r="CG2401" s="2"/>
      <c r="CH2401" s="2"/>
      <c r="CI2401" s="2">
        <v>1</v>
      </c>
      <c r="CJ2401" s="2">
        <v>1</v>
      </c>
      <c r="CK2401" s="2">
        <v>21</v>
      </c>
      <c r="CL2401" s="2" t="s">
        <v>86</v>
      </c>
      <c r="CM2401" s="2"/>
    </row>
    <row r="2402" spans="1:91">
      <c r="A2402" s="2" t="s">
        <v>71</v>
      </c>
      <c r="B2402" s="2" t="s">
        <v>72</v>
      </c>
      <c r="C2402" s="2" t="s">
        <v>73</v>
      </c>
      <c r="D2402" s="2"/>
      <c r="E2402" s="2" t="str">
        <f>"FES1162570520"</f>
        <v>FES1162570520</v>
      </c>
      <c r="F2402" s="3">
        <v>42969</v>
      </c>
      <c r="G2402" s="2">
        <v>201802</v>
      </c>
      <c r="H2402" s="2" t="s">
        <v>74</v>
      </c>
      <c r="I2402" s="2" t="s">
        <v>75</v>
      </c>
      <c r="J2402" s="2" t="s">
        <v>76</v>
      </c>
      <c r="K2402" s="2" t="s">
        <v>77</v>
      </c>
      <c r="L2402" s="2" t="s">
        <v>144</v>
      </c>
      <c r="M2402" s="2" t="s">
        <v>145</v>
      </c>
      <c r="N2402" s="2" t="s">
        <v>393</v>
      </c>
      <c r="O2402" s="2" t="s">
        <v>100</v>
      </c>
      <c r="P2402" s="2" t="str">
        <f>"2170586289                    "</f>
        <v xml:space="preserve">2170586289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3.13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1</v>
      </c>
      <c r="BJ2402" s="2">
        <v>0.2</v>
      </c>
      <c r="BK2402" s="2">
        <v>1</v>
      </c>
      <c r="BL2402" s="2">
        <v>32.380000000000003</v>
      </c>
      <c r="BM2402" s="2">
        <v>4.53</v>
      </c>
      <c r="BN2402" s="2">
        <v>36.909999999999997</v>
      </c>
      <c r="BO2402" s="2">
        <v>36.909999999999997</v>
      </c>
      <c r="BP2402" s="2"/>
      <c r="BQ2402" s="2" t="s">
        <v>288</v>
      </c>
      <c r="BR2402" s="2" t="s">
        <v>84</v>
      </c>
      <c r="BS2402" s="3">
        <v>42970</v>
      </c>
      <c r="BT2402" s="4">
        <v>0.4375</v>
      </c>
      <c r="BU2402" s="2" t="s">
        <v>2889</v>
      </c>
      <c r="BV2402" s="2" t="s">
        <v>95</v>
      </c>
      <c r="BW2402" s="2"/>
      <c r="BX2402" s="2"/>
      <c r="BY2402" s="2">
        <v>1200</v>
      </c>
      <c r="BZ2402" s="2"/>
      <c r="CA2402" s="2" t="s">
        <v>396</v>
      </c>
      <c r="CB2402" s="2"/>
      <c r="CC2402" s="2" t="s">
        <v>145</v>
      </c>
      <c r="CD2402" s="2">
        <v>2001</v>
      </c>
      <c r="CE2402" s="2" t="s">
        <v>104</v>
      </c>
      <c r="CF2402" s="5">
        <v>42971</v>
      </c>
      <c r="CG2402" s="2"/>
      <c r="CH2402" s="2"/>
      <c r="CI2402" s="2">
        <v>1</v>
      </c>
      <c r="CJ2402" s="2">
        <v>1</v>
      </c>
      <c r="CK2402" s="2">
        <v>22</v>
      </c>
      <c r="CL2402" s="2" t="s">
        <v>86</v>
      </c>
      <c r="CM2402" s="2"/>
    </row>
    <row r="2403" spans="1:91">
      <c r="A2403" s="2" t="s">
        <v>71</v>
      </c>
      <c r="B2403" s="2" t="s">
        <v>72</v>
      </c>
      <c r="C2403" s="2" t="s">
        <v>73</v>
      </c>
      <c r="D2403" s="2"/>
      <c r="E2403" s="2" t="str">
        <f>"FES1162570423"</f>
        <v>FES1162570423</v>
      </c>
      <c r="F2403" s="3">
        <v>42969</v>
      </c>
      <c r="G2403" s="2">
        <v>201802</v>
      </c>
      <c r="H2403" s="2" t="s">
        <v>74</v>
      </c>
      <c r="I2403" s="2" t="s">
        <v>75</v>
      </c>
      <c r="J2403" s="2" t="s">
        <v>76</v>
      </c>
      <c r="K2403" s="2" t="s">
        <v>77</v>
      </c>
      <c r="L2403" s="2" t="s">
        <v>164</v>
      </c>
      <c r="M2403" s="2" t="s">
        <v>165</v>
      </c>
      <c r="N2403" s="2" t="s">
        <v>1191</v>
      </c>
      <c r="O2403" s="2" t="s">
        <v>100</v>
      </c>
      <c r="P2403" s="2" t="str">
        <f>"2170586118                    "</f>
        <v xml:space="preserve">2170586118  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4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1</v>
      </c>
      <c r="BI2403" s="2">
        <v>1</v>
      </c>
      <c r="BJ2403" s="2">
        <v>0.2</v>
      </c>
      <c r="BK2403" s="2">
        <v>1</v>
      </c>
      <c r="BL2403" s="2">
        <v>41.44</v>
      </c>
      <c r="BM2403" s="2">
        <v>5.8</v>
      </c>
      <c r="BN2403" s="2">
        <v>47.24</v>
      </c>
      <c r="BO2403" s="2">
        <v>47.24</v>
      </c>
      <c r="BP2403" s="2"/>
      <c r="BQ2403" s="2" t="s">
        <v>288</v>
      </c>
      <c r="BR2403" s="2" t="s">
        <v>84</v>
      </c>
      <c r="BS2403" s="3">
        <v>42970</v>
      </c>
      <c r="BT2403" s="4">
        <v>0.41666666666666669</v>
      </c>
      <c r="BU2403" s="2" t="s">
        <v>2890</v>
      </c>
      <c r="BV2403" s="2" t="s">
        <v>95</v>
      </c>
      <c r="BW2403" s="2"/>
      <c r="BX2403" s="2"/>
      <c r="BY2403" s="2">
        <v>1200</v>
      </c>
      <c r="BZ2403" s="2"/>
      <c r="CA2403" s="2" t="s">
        <v>1193</v>
      </c>
      <c r="CB2403" s="2"/>
      <c r="CC2403" s="2" t="s">
        <v>165</v>
      </c>
      <c r="CD2403" s="2">
        <v>6850</v>
      </c>
      <c r="CE2403" s="2" t="s">
        <v>104</v>
      </c>
      <c r="CF2403" s="5">
        <v>42971</v>
      </c>
      <c r="CG2403" s="2"/>
      <c r="CH2403" s="2"/>
      <c r="CI2403" s="2">
        <v>3</v>
      </c>
      <c r="CJ2403" s="2">
        <v>1</v>
      </c>
      <c r="CK2403" s="2">
        <v>21</v>
      </c>
      <c r="CL2403" s="2" t="s">
        <v>86</v>
      </c>
      <c r="CM2403" s="2"/>
    </row>
    <row r="2404" spans="1:91">
      <c r="A2404" s="2" t="s">
        <v>71</v>
      </c>
      <c r="B2404" s="2" t="s">
        <v>72</v>
      </c>
      <c r="C2404" s="2" t="s">
        <v>73</v>
      </c>
      <c r="D2404" s="2"/>
      <c r="E2404" s="2" t="str">
        <f>"FES1162570408"</f>
        <v>FES1162570408</v>
      </c>
      <c r="F2404" s="3">
        <v>42969</v>
      </c>
      <c r="G2404" s="2">
        <v>201802</v>
      </c>
      <c r="H2404" s="2" t="s">
        <v>74</v>
      </c>
      <c r="I2404" s="2" t="s">
        <v>75</v>
      </c>
      <c r="J2404" s="2" t="s">
        <v>76</v>
      </c>
      <c r="K2404" s="2" t="s">
        <v>77</v>
      </c>
      <c r="L2404" s="2" t="s">
        <v>105</v>
      </c>
      <c r="M2404" s="2" t="s">
        <v>106</v>
      </c>
      <c r="N2404" s="2" t="s">
        <v>364</v>
      </c>
      <c r="O2404" s="2" t="s">
        <v>100</v>
      </c>
      <c r="P2404" s="2" t="str">
        <f>"2170585377                    "</f>
        <v xml:space="preserve">2170585377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4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1</v>
      </c>
      <c r="BI2404" s="2">
        <v>1</v>
      </c>
      <c r="BJ2404" s="2">
        <v>0.2</v>
      </c>
      <c r="BK2404" s="2">
        <v>1</v>
      </c>
      <c r="BL2404" s="2">
        <v>41.44</v>
      </c>
      <c r="BM2404" s="2">
        <v>5.8</v>
      </c>
      <c r="BN2404" s="2">
        <v>47.24</v>
      </c>
      <c r="BO2404" s="2">
        <v>47.24</v>
      </c>
      <c r="BP2404" s="2"/>
      <c r="BQ2404" s="2" t="s">
        <v>288</v>
      </c>
      <c r="BR2404" s="2" t="s">
        <v>84</v>
      </c>
      <c r="BS2404" s="3">
        <v>42970</v>
      </c>
      <c r="BT2404" s="4">
        <v>0.42986111111111108</v>
      </c>
      <c r="BU2404" s="2" t="s">
        <v>2276</v>
      </c>
      <c r="BV2404" s="2" t="s">
        <v>95</v>
      </c>
      <c r="BW2404" s="2"/>
      <c r="BX2404" s="2"/>
      <c r="BY2404" s="2">
        <v>1200</v>
      </c>
      <c r="BZ2404" s="2"/>
      <c r="CA2404" s="2"/>
      <c r="CB2404" s="2"/>
      <c r="CC2404" s="2" t="s">
        <v>106</v>
      </c>
      <c r="CD2404" s="2">
        <v>7560</v>
      </c>
      <c r="CE2404" s="2" t="s">
        <v>104</v>
      </c>
      <c r="CF2404" s="5">
        <v>42971</v>
      </c>
      <c r="CG2404" s="2"/>
      <c r="CH2404" s="2"/>
      <c r="CI2404" s="2">
        <v>1</v>
      </c>
      <c r="CJ2404" s="2">
        <v>1</v>
      </c>
      <c r="CK2404" s="2">
        <v>21</v>
      </c>
      <c r="CL2404" s="2" t="s">
        <v>86</v>
      </c>
      <c r="CM2404" s="2"/>
    </row>
    <row r="2405" spans="1:91">
      <c r="A2405" s="2" t="s">
        <v>71</v>
      </c>
      <c r="B2405" s="2" t="s">
        <v>72</v>
      </c>
      <c r="C2405" s="2" t="s">
        <v>73</v>
      </c>
      <c r="D2405" s="2"/>
      <c r="E2405" s="2" t="str">
        <f>"FES1162570603"</f>
        <v>FES1162570603</v>
      </c>
      <c r="F2405" s="3">
        <v>42969</v>
      </c>
      <c r="G2405" s="2">
        <v>201802</v>
      </c>
      <c r="H2405" s="2" t="s">
        <v>74</v>
      </c>
      <c r="I2405" s="2" t="s">
        <v>75</v>
      </c>
      <c r="J2405" s="2" t="s">
        <v>76</v>
      </c>
      <c r="K2405" s="2" t="s">
        <v>77</v>
      </c>
      <c r="L2405" s="2" t="s">
        <v>174</v>
      </c>
      <c r="M2405" s="2" t="s">
        <v>175</v>
      </c>
      <c r="N2405" s="2" t="s">
        <v>920</v>
      </c>
      <c r="O2405" s="2" t="s">
        <v>100</v>
      </c>
      <c r="P2405" s="2" t="str">
        <f>"2170586352                    "</f>
        <v xml:space="preserve">2170586352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4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1</v>
      </c>
      <c r="BJ2405" s="2">
        <v>0.2</v>
      </c>
      <c r="BK2405" s="2">
        <v>1</v>
      </c>
      <c r="BL2405" s="2">
        <v>41.44</v>
      </c>
      <c r="BM2405" s="2">
        <v>5.8</v>
      </c>
      <c r="BN2405" s="2">
        <v>47.24</v>
      </c>
      <c r="BO2405" s="2">
        <v>47.24</v>
      </c>
      <c r="BP2405" s="2"/>
      <c r="BQ2405" s="2" t="s">
        <v>108</v>
      </c>
      <c r="BR2405" s="2" t="s">
        <v>84</v>
      </c>
      <c r="BS2405" s="3">
        <v>42970</v>
      </c>
      <c r="BT2405" s="4">
        <v>0.40277777777777773</v>
      </c>
      <c r="BU2405" s="2" t="s">
        <v>2891</v>
      </c>
      <c r="BV2405" s="2" t="s">
        <v>95</v>
      </c>
      <c r="BW2405" s="2"/>
      <c r="BX2405" s="2"/>
      <c r="BY2405" s="2">
        <v>1200</v>
      </c>
      <c r="BZ2405" s="2"/>
      <c r="CA2405" s="2"/>
      <c r="CB2405" s="2"/>
      <c r="CC2405" s="2" t="s">
        <v>175</v>
      </c>
      <c r="CD2405" s="2">
        <v>5201</v>
      </c>
      <c r="CE2405" s="2" t="s">
        <v>104</v>
      </c>
      <c r="CF2405" s="5">
        <v>42972</v>
      </c>
      <c r="CG2405" s="2"/>
      <c r="CH2405" s="2"/>
      <c r="CI2405" s="2">
        <v>1</v>
      </c>
      <c r="CJ2405" s="2">
        <v>1</v>
      </c>
      <c r="CK2405" s="2">
        <v>21</v>
      </c>
      <c r="CL2405" s="2" t="s">
        <v>86</v>
      </c>
      <c r="CM2405" s="2"/>
    </row>
    <row r="2406" spans="1:91">
      <c r="A2406" s="2" t="s">
        <v>71</v>
      </c>
      <c r="B2406" s="2" t="s">
        <v>72</v>
      </c>
      <c r="C2406" s="2" t="s">
        <v>73</v>
      </c>
      <c r="D2406" s="2"/>
      <c r="E2406" s="2" t="str">
        <f>"FES1162570504"</f>
        <v>FES1162570504</v>
      </c>
      <c r="F2406" s="3">
        <v>42969</v>
      </c>
      <c r="G2406" s="2">
        <v>201802</v>
      </c>
      <c r="H2406" s="2" t="s">
        <v>74</v>
      </c>
      <c r="I2406" s="2" t="s">
        <v>75</v>
      </c>
      <c r="J2406" s="2" t="s">
        <v>76</v>
      </c>
      <c r="K2406" s="2" t="s">
        <v>77</v>
      </c>
      <c r="L2406" s="2" t="s">
        <v>105</v>
      </c>
      <c r="M2406" s="2" t="s">
        <v>106</v>
      </c>
      <c r="N2406" s="2" t="s">
        <v>107</v>
      </c>
      <c r="O2406" s="2" t="s">
        <v>100</v>
      </c>
      <c r="P2406" s="2" t="str">
        <f>"2170586263                    "</f>
        <v xml:space="preserve">2170586263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13.01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4.5999999999999996</v>
      </c>
      <c r="BJ2406" s="2">
        <v>6.3</v>
      </c>
      <c r="BK2406" s="2">
        <v>6.5</v>
      </c>
      <c r="BL2406" s="2">
        <v>134.69</v>
      </c>
      <c r="BM2406" s="2">
        <v>18.86</v>
      </c>
      <c r="BN2406" s="2">
        <v>153.55000000000001</v>
      </c>
      <c r="BO2406" s="2">
        <v>153.55000000000001</v>
      </c>
      <c r="BP2406" s="2"/>
      <c r="BQ2406" s="2" t="s">
        <v>108</v>
      </c>
      <c r="BR2406" s="2" t="s">
        <v>84</v>
      </c>
      <c r="BS2406" s="3">
        <v>42970</v>
      </c>
      <c r="BT2406" s="4">
        <v>0.38958333333333334</v>
      </c>
      <c r="BU2406" s="2" t="s">
        <v>236</v>
      </c>
      <c r="BV2406" s="2" t="s">
        <v>95</v>
      </c>
      <c r="BW2406" s="2"/>
      <c r="BX2406" s="2"/>
      <c r="BY2406" s="2">
        <v>31718.31</v>
      </c>
      <c r="BZ2406" s="2"/>
      <c r="CA2406" s="2" t="s">
        <v>112</v>
      </c>
      <c r="CB2406" s="2"/>
      <c r="CC2406" s="2" t="s">
        <v>106</v>
      </c>
      <c r="CD2406" s="2">
        <v>7405</v>
      </c>
      <c r="CE2406" s="2" t="s">
        <v>89</v>
      </c>
      <c r="CF2406" s="5">
        <v>42971</v>
      </c>
      <c r="CG2406" s="2"/>
      <c r="CH2406" s="2"/>
      <c r="CI2406" s="2">
        <v>1</v>
      </c>
      <c r="CJ2406" s="2">
        <v>1</v>
      </c>
      <c r="CK2406" s="2">
        <v>21</v>
      </c>
      <c r="CL2406" s="2" t="s">
        <v>86</v>
      </c>
      <c r="CM2406" s="2"/>
    </row>
    <row r="2407" spans="1:91">
      <c r="A2407" s="2" t="s">
        <v>71</v>
      </c>
      <c r="B2407" s="2" t="s">
        <v>72</v>
      </c>
      <c r="C2407" s="2" t="s">
        <v>73</v>
      </c>
      <c r="D2407" s="2"/>
      <c r="E2407" s="2" t="str">
        <f>"FES1162570474"</f>
        <v>FES1162570474</v>
      </c>
      <c r="F2407" s="3">
        <v>42969</v>
      </c>
      <c r="G2407" s="2">
        <v>201802</v>
      </c>
      <c r="H2407" s="2" t="s">
        <v>74</v>
      </c>
      <c r="I2407" s="2" t="s">
        <v>75</v>
      </c>
      <c r="J2407" s="2" t="s">
        <v>76</v>
      </c>
      <c r="K2407" s="2" t="s">
        <v>77</v>
      </c>
      <c r="L2407" s="2" t="s">
        <v>437</v>
      </c>
      <c r="M2407" s="2" t="s">
        <v>438</v>
      </c>
      <c r="N2407" s="2" t="s">
        <v>749</v>
      </c>
      <c r="O2407" s="2" t="s">
        <v>100</v>
      </c>
      <c r="P2407" s="2" t="str">
        <f>"2170586255                    "</f>
        <v xml:space="preserve">2170586255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7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1</v>
      </c>
      <c r="BI2407" s="2">
        <v>1.7</v>
      </c>
      <c r="BJ2407" s="2">
        <v>3.4</v>
      </c>
      <c r="BK2407" s="2">
        <v>3.5</v>
      </c>
      <c r="BL2407" s="2">
        <v>72.52</v>
      </c>
      <c r="BM2407" s="2">
        <v>10.15</v>
      </c>
      <c r="BN2407" s="2">
        <v>82.67</v>
      </c>
      <c r="BO2407" s="2">
        <v>82.67</v>
      </c>
      <c r="BP2407" s="2"/>
      <c r="BQ2407" s="2" t="s">
        <v>108</v>
      </c>
      <c r="BR2407" s="2" t="s">
        <v>84</v>
      </c>
      <c r="BS2407" s="3">
        <v>42970</v>
      </c>
      <c r="BT2407" s="4">
        <v>0.34722222222222227</v>
      </c>
      <c r="BU2407" s="2" t="s">
        <v>1553</v>
      </c>
      <c r="BV2407" s="2" t="s">
        <v>95</v>
      </c>
      <c r="BW2407" s="2"/>
      <c r="BX2407" s="2"/>
      <c r="BY2407" s="2">
        <v>16838.36</v>
      </c>
      <c r="BZ2407" s="2"/>
      <c r="CA2407" s="2" t="s">
        <v>441</v>
      </c>
      <c r="CB2407" s="2"/>
      <c r="CC2407" s="2" t="s">
        <v>438</v>
      </c>
      <c r="CD2407" s="2">
        <v>6536</v>
      </c>
      <c r="CE2407" s="2" t="s">
        <v>89</v>
      </c>
      <c r="CF2407" s="5">
        <v>42971</v>
      </c>
      <c r="CG2407" s="2"/>
      <c r="CH2407" s="2"/>
      <c r="CI2407" s="2">
        <v>1</v>
      </c>
      <c r="CJ2407" s="2">
        <v>1</v>
      </c>
      <c r="CK2407" s="2">
        <v>21</v>
      </c>
      <c r="CL2407" s="2" t="s">
        <v>86</v>
      </c>
      <c r="CM2407" s="2"/>
    </row>
    <row r="2408" spans="1:91">
      <c r="A2408" s="2" t="s">
        <v>71</v>
      </c>
      <c r="B2408" s="2" t="s">
        <v>72</v>
      </c>
      <c r="C2408" s="2" t="s">
        <v>73</v>
      </c>
      <c r="D2408" s="2"/>
      <c r="E2408" s="2" t="str">
        <f>"FES1162570441"</f>
        <v>FES1162570441</v>
      </c>
      <c r="F2408" s="3">
        <v>42969</v>
      </c>
      <c r="G2408" s="2">
        <v>201802</v>
      </c>
      <c r="H2408" s="2" t="s">
        <v>74</v>
      </c>
      <c r="I2408" s="2" t="s">
        <v>75</v>
      </c>
      <c r="J2408" s="2" t="s">
        <v>76</v>
      </c>
      <c r="K2408" s="2" t="s">
        <v>77</v>
      </c>
      <c r="L2408" s="2" t="s">
        <v>170</v>
      </c>
      <c r="M2408" s="2" t="s">
        <v>171</v>
      </c>
      <c r="N2408" s="2" t="s">
        <v>172</v>
      </c>
      <c r="O2408" s="2" t="s">
        <v>100</v>
      </c>
      <c r="P2408" s="2" t="str">
        <f>"2170586202                    "</f>
        <v xml:space="preserve">2170586202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3.13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1</v>
      </c>
      <c r="BI2408" s="2">
        <v>1</v>
      </c>
      <c r="BJ2408" s="2">
        <v>0.2</v>
      </c>
      <c r="BK2408" s="2">
        <v>1</v>
      </c>
      <c r="BL2408" s="2">
        <v>32.380000000000003</v>
      </c>
      <c r="BM2408" s="2">
        <v>4.53</v>
      </c>
      <c r="BN2408" s="2">
        <v>36.909999999999997</v>
      </c>
      <c r="BO2408" s="2">
        <v>36.909999999999997</v>
      </c>
      <c r="BP2408" s="2"/>
      <c r="BQ2408" s="2" t="s">
        <v>288</v>
      </c>
      <c r="BR2408" s="2" t="s">
        <v>84</v>
      </c>
      <c r="BS2408" s="3">
        <v>42970</v>
      </c>
      <c r="BT2408" s="4">
        <v>0.4375</v>
      </c>
      <c r="BU2408" s="2" t="s">
        <v>173</v>
      </c>
      <c r="BV2408" s="2" t="s">
        <v>95</v>
      </c>
      <c r="BW2408" s="2"/>
      <c r="BX2408" s="2"/>
      <c r="BY2408" s="2">
        <v>1200</v>
      </c>
      <c r="BZ2408" s="2"/>
      <c r="CA2408" s="2"/>
      <c r="CB2408" s="2"/>
      <c r="CC2408" s="2" t="s">
        <v>171</v>
      </c>
      <c r="CD2408" s="2">
        <v>1401</v>
      </c>
      <c r="CE2408" s="2" t="s">
        <v>104</v>
      </c>
      <c r="CF2408" s="5">
        <v>42971</v>
      </c>
      <c r="CG2408" s="2"/>
      <c r="CH2408" s="2"/>
      <c r="CI2408" s="2">
        <v>1</v>
      </c>
      <c r="CJ2408" s="2">
        <v>1</v>
      </c>
      <c r="CK2408" s="2">
        <v>22</v>
      </c>
      <c r="CL2408" s="2" t="s">
        <v>86</v>
      </c>
      <c r="CM2408" s="2"/>
    </row>
    <row r="2409" spans="1:91">
      <c r="A2409" s="2" t="s">
        <v>71</v>
      </c>
      <c r="B2409" s="2" t="s">
        <v>72</v>
      </c>
      <c r="C2409" s="2" t="s">
        <v>73</v>
      </c>
      <c r="D2409" s="2"/>
      <c r="E2409" s="2" t="str">
        <f>"FES1162570582"</f>
        <v>FES1162570582</v>
      </c>
      <c r="F2409" s="3">
        <v>42969</v>
      </c>
      <c r="G2409" s="2">
        <v>201802</v>
      </c>
      <c r="H2409" s="2" t="s">
        <v>74</v>
      </c>
      <c r="I2409" s="2" t="s">
        <v>75</v>
      </c>
      <c r="J2409" s="2" t="s">
        <v>76</v>
      </c>
      <c r="K2409" s="2" t="s">
        <v>77</v>
      </c>
      <c r="L2409" s="2" t="s">
        <v>201</v>
      </c>
      <c r="M2409" s="2" t="s">
        <v>202</v>
      </c>
      <c r="N2409" s="2" t="s">
        <v>2279</v>
      </c>
      <c r="O2409" s="2" t="s">
        <v>100</v>
      </c>
      <c r="P2409" s="2" t="str">
        <f>"2170586325                    "</f>
        <v xml:space="preserve">2170586325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6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2.8</v>
      </c>
      <c r="BJ2409" s="2">
        <v>1.8</v>
      </c>
      <c r="BK2409" s="2">
        <v>3</v>
      </c>
      <c r="BL2409" s="2">
        <v>62.16</v>
      </c>
      <c r="BM2409" s="2">
        <v>8.6999999999999993</v>
      </c>
      <c r="BN2409" s="2">
        <v>70.86</v>
      </c>
      <c r="BO2409" s="2">
        <v>70.86</v>
      </c>
      <c r="BP2409" s="2"/>
      <c r="BQ2409" s="2" t="s">
        <v>83</v>
      </c>
      <c r="BR2409" s="2" t="s">
        <v>84</v>
      </c>
      <c r="BS2409" s="3">
        <v>42970</v>
      </c>
      <c r="BT2409" s="4">
        <v>0.4770833333333333</v>
      </c>
      <c r="BU2409" s="2" t="s">
        <v>2892</v>
      </c>
      <c r="BV2409" s="2" t="s">
        <v>95</v>
      </c>
      <c r="BW2409" s="2"/>
      <c r="BX2409" s="2"/>
      <c r="BY2409" s="2">
        <v>9110.18</v>
      </c>
      <c r="BZ2409" s="2"/>
      <c r="CA2409" s="2" t="s">
        <v>2893</v>
      </c>
      <c r="CB2409" s="2"/>
      <c r="CC2409" s="2" t="s">
        <v>202</v>
      </c>
      <c r="CD2409" s="2">
        <v>7130</v>
      </c>
      <c r="CE2409" s="2" t="s">
        <v>89</v>
      </c>
      <c r="CF2409" s="5">
        <v>42971</v>
      </c>
      <c r="CG2409" s="2"/>
      <c r="CH2409" s="2"/>
      <c r="CI2409" s="2">
        <v>1</v>
      </c>
      <c r="CJ2409" s="2">
        <v>1</v>
      </c>
      <c r="CK2409" s="2">
        <v>21</v>
      </c>
      <c r="CL2409" s="2" t="s">
        <v>86</v>
      </c>
      <c r="CM2409" s="2"/>
    </row>
    <row r="2410" spans="1:91">
      <c r="A2410" s="2" t="s">
        <v>71</v>
      </c>
      <c r="B2410" s="2" t="s">
        <v>72</v>
      </c>
      <c r="C2410" s="2" t="s">
        <v>73</v>
      </c>
      <c r="D2410" s="2"/>
      <c r="E2410" s="2" t="str">
        <f>"FES1162570579"</f>
        <v>FES1162570579</v>
      </c>
      <c r="F2410" s="3">
        <v>42969</v>
      </c>
      <c r="G2410" s="2">
        <v>201802</v>
      </c>
      <c r="H2410" s="2" t="s">
        <v>74</v>
      </c>
      <c r="I2410" s="2" t="s">
        <v>75</v>
      </c>
      <c r="J2410" s="2" t="s">
        <v>76</v>
      </c>
      <c r="K2410" s="2" t="s">
        <v>77</v>
      </c>
      <c r="L2410" s="2" t="s">
        <v>105</v>
      </c>
      <c r="M2410" s="2" t="s">
        <v>106</v>
      </c>
      <c r="N2410" s="2" t="s">
        <v>873</v>
      </c>
      <c r="O2410" s="2" t="s">
        <v>100</v>
      </c>
      <c r="P2410" s="2" t="str">
        <f>"2170586320                    "</f>
        <v xml:space="preserve">2170586320                    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4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1</v>
      </c>
      <c r="BI2410" s="2">
        <v>1.7</v>
      </c>
      <c r="BJ2410" s="2">
        <v>1.1000000000000001</v>
      </c>
      <c r="BK2410" s="2">
        <v>2</v>
      </c>
      <c r="BL2410" s="2">
        <v>41.44</v>
      </c>
      <c r="BM2410" s="2">
        <v>5.8</v>
      </c>
      <c r="BN2410" s="2">
        <v>47.24</v>
      </c>
      <c r="BO2410" s="2">
        <v>47.24</v>
      </c>
      <c r="BP2410" s="2"/>
      <c r="BQ2410" s="2" t="s">
        <v>83</v>
      </c>
      <c r="BR2410" s="2" t="s">
        <v>84</v>
      </c>
      <c r="BS2410" s="3">
        <v>42970</v>
      </c>
      <c r="BT2410" s="4">
        <v>0.3527777777777778</v>
      </c>
      <c r="BU2410" s="2" t="s">
        <v>2232</v>
      </c>
      <c r="BV2410" s="2" t="s">
        <v>95</v>
      </c>
      <c r="BW2410" s="2"/>
      <c r="BX2410" s="2"/>
      <c r="BY2410" s="2">
        <v>5306.77</v>
      </c>
      <c r="BZ2410" s="2"/>
      <c r="CA2410" s="2" t="s">
        <v>869</v>
      </c>
      <c r="CB2410" s="2"/>
      <c r="CC2410" s="2" t="s">
        <v>106</v>
      </c>
      <c r="CD2410" s="2">
        <v>7460</v>
      </c>
      <c r="CE2410" s="2" t="s">
        <v>89</v>
      </c>
      <c r="CF2410" s="5">
        <v>42971</v>
      </c>
      <c r="CG2410" s="2"/>
      <c r="CH2410" s="2"/>
      <c r="CI2410" s="2">
        <v>1</v>
      </c>
      <c r="CJ2410" s="2">
        <v>1</v>
      </c>
      <c r="CK2410" s="2">
        <v>21</v>
      </c>
      <c r="CL2410" s="2" t="s">
        <v>86</v>
      </c>
      <c r="CM2410" s="2"/>
    </row>
    <row r="2411" spans="1:91">
      <c r="A2411" s="2" t="s">
        <v>71</v>
      </c>
      <c r="B2411" s="2" t="s">
        <v>72</v>
      </c>
      <c r="C2411" s="2" t="s">
        <v>73</v>
      </c>
      <c r="D2411" s="2"/>
      <c r="E2411" s="2" t="str">
        <f>"FES1162570444"</f>
        <v>FES1162570444</v>
      </c>
      <c r="F2411" s="3">
        <v>42969</v>
      </c>
      <c r="G2411" s="2">
        <v>201802</v>
      </c>
      <c r="H2411" s="2" t="s">
        <v>74</v>
      </c>
      <c r="I2411" s="2" t="s">
        <v>75</v>
      </c>
      <c r="J2411" s="2" t="s">
        <v>76</v>
      </c>
      <c r="K2411" s="2" t="s">
        <v>77</v>
      </c>
      <c r="L2411" s="2" t="s">
        <v>1221</v>
      </c>
      <c r="M2411" s="2" t="s">
        <v>1222</v>
      </c>
      <c r="N2411" s="2" t="s">
        <v>1223</v>
      </c>
      <c r="O2411" s="2" t="s">
        <v>100</v>
      </c>
      <c r="P2411" s="2" t="str">
        <f>"2170586207                    "</f>
        <v xml:space="preserve">2170586207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7.75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1</v>
      </c>
      <c r="BJ2411" s="2">
        <v>0.2</v>
      </c>
      <c r="BK2411" s="2">
        <v>1</v>
      </c>
      <c r="BL2411" s="2">
        <v>80.290000000000006</v>
      </c>
      <c r="BM2411" s="2">
        <v>11.24</v>
      </c>
      <c r="BN2411" s="2">
        <v>91.53</v>
      </c>
      <c r="BO2411" s="2">
        <v>91.53</v>
      </c>
      <c r="BP2411" s="2"/>
      <c r="BQ2411" s="2" t="s">
        <v>108</v>
      </c>
      <c r="BR2411" s="2" t="s">
        <v>84</v>
      </c>
      <c r="BS2411" s="3">
        <v>42970</v>
      </c>
      <c r="BT2411" s="4">
        <v>0.64027777777777783</v>
      </c>
      <c r="BU2411" s="2" t="s">
        <v>2861</v>
      </c>
      <c r="BV2411" s="2" t="s">
        <v>95</v>
      </c>
      <c r="BW2411" s="2"/>
      <c r="BX2411" s="2"/>
      <c r="BY2411" s="2">
        <v>1200</v>
      </c>
      <c r="BZ2411" s="2"/>
      <c r="CA2411" s="2" t="s">
        <v>148</v>
      </c>
      <c r="CB2411" s="2"/>
      <c r="CC2411" s="2" t="s">
        <v>1222</v>
      </c>
      <c r="CD2411" s="2">
        <v>5850</v>
      </c>
      <c r="CE2411" s="2" t="s">
        <v>104</v>
      </c>
      <c r="CF2411" s="5">
        <v>42972</v>
      </c>
      <c r="CG2411" s="2"/>
      <c r="CH2411" s="2"/>
      <c r="CI2411" s="2">
        <v>3</v>
      </c>
      <c r="CJ2411" s="2">
        <v>1</v>
      </c>
      <c r="CK2411" s="2">
        <v>23</v>
      </c>
      <c r="CL2411" s="2" t="s">
        <v>86</v>
      </c>
      <c r="CM2411" s="2"/>
    </row>
    <row r="2412" spans="1:91">
      <c r="A2412" s="2" t="s">
        <v>71</v>
      </c>
      <c r="B2412" s="2" t="s">
        <v>72</v>
      </c>
      <c r="C2412" s="2" t="s">
        <v>73</v>
      </c>
      <c r="D2412" s="2"/>
      <c r="E2412" s="2" t="str">
        <f>"FES1162570628"</f>
        <v>FES1162570628</v>
      </c>
      <c r="F2412" s="3">
        <v>42969</v>
      </c>
      <c r="G2412" s="2">
        <v>201802</v>
      </c>
      <c r="H2412" s="2" t="s">
        <v>74</v>
      </c>
      <c r="I2412" s="2" t="s">
        <v>75</v>
      </c>
      <c r="J2412" s="2" t="s">
        <v>76</v>
      </c>
      <c r="K2412" s="2" t="s">
        <v>77</v>
      </c>
      <c r="L2412" s="2" t="s">
        <v>1202</v>
      </c>
      <c r="M2412" s="2" t="s">
        <v>1203</v>
      </c>
      <c r="N2412" s="2" t="s">
        <v>2296</v>
      </c>
      <c r="O2412" s="2" t="s">
        <v>100</v>
      </c>
      <c r="P2412" s="2" t="str">
        <f>"2170586380                    "</f>
        <v xml:space="preserve">2170586380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3.13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2</v>
      </c>
      <c r="BJ2412" s="2">
        <v>0.2</v>
      </c>
      <c r="BK2412" s="2">
        <v>2</v>
      </c>
      <c r="BL2412" s="2">
        <v>32.380000000000003</v>
      </c>
      <c r="BM2412" s="2">
        <v>4.53</v>
      </c>
      <c r="BN2412" s="2">
        <v>36.909999999999997</v>
      </c>
      <c r="BO2412" s="2">
        <v>36.909999999999997</v>
      </c>
      <c r="BP2412" s="2"/>
      <c r="BQ2412" s="2" t="s">
        <v>108</v>
      </c>
      <c r="BR2412" s="2" t="s">
        <v>84</v>
      </c>
      <c r="BS2412" s="3">
        <v>42970</v>
      </c>
      <c r="BT2412" s="4">
        <v>0.51666666666666672</v>
      </c>
      <c r="BU2412" s="2" t="s">
        <v>2894</v>
      </c>
      <c r="BV2412" s="2" t="s">
        <v>86</v>
      </c>
      <c r="BW2412" s="2" t="s">
        <v>110</v>
      </c>
      <c r="BX2412" s="2" t="s">
        <v>498</v>
      </c>
      <c r="BY2412" s="2">
        <v>1200</v>
      </c>
      <c r="BZ2412" s="2"/>
      <c r="CA2412" s="2" t="s">
        <v>499</v>
      </c>
      <c r="CB2412" s="2"/>
      <c r="CC2412" s="2" t="s">
        <v>1203</v>
      </c>
      <c r="CD2412" s="2">
        <v>1501</v>
      </c>
      <c r="CE2412" s="2" t="s">
        <v>104</v>
      </c>
      <c r="CF2412" s="5">
        <v>42971</v>
      </c>
      <c r="CG2412" s="2"/>
      <c r="CH2412" s="2"/>
      <c r="CI2412" s="2">
        <v>1</v>
      </c>
      <c r="CJ2412" s="2">
        <v>1</v>
      </c>
      <c r="CK2412" s="2">
        <v>22</v>
      </c>
      <c r="CL2412" s="2" t="s">
        <v>86</v>
      </c>
      <c r="CM2412" s="2"/>
    </row>
    <row r="2413" spans="1:91">
      <c r="A2413" s="2" t="s">
        <v>71</v>
      </c>
      <c r="B2413" s="2" t="s">
        <v>72</v>
      </c>
      <c r="C2413" s="2" t="s">
        <v>73</v>
      </c>
      <c r="D2413" s="2"/>
      <c r="E2413" s="2" t="str">
        <f>"FES1162570422"</f>
        <v>FES1162570422</v>
      </c>
      <c r="F2413" s="3">
        <v>42969</v>
      </c>
      <c r="G2413" s="2">
        <v>201802</v>
      </c>
      <c r="H2413" s="2" t="s">
        <v>74</v>
      </c>
      <c r="I2413" s="2" t="s">
        <v>75</v>
      </c>
      <c r="J2413" s="2" t="s">
        <v>76</v>
      </c>
      <c r="K2413" s="2" t="s">
        <v>77</v>
      </c>
      <c r="L2413" s="2" t="s">
        <v>97</v>
      </c>
      <c r="M2413" s="2" t="s">
        <v>98</v>
      </c>
      <c r="N2413" s="2" t="s">
        <v>2895</v>
      </c>
      <c r="O2413" s="2" t="s">
        <v>100</v>
      </c>
      <c r="P2413" s="2" t="str">
        <f>"2170576085                    "</f>
        <v xml:space="preserve">2170576085  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4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1</v>
      </c>
      <c r="BJ2413" s="2">
        <v>0.2</v>
      </c>
      <c r="BK2413" s="2">
        <v>1</v>
      </c>
      <c r="BL2413" s="2">
        <v>41.44</v>
      </c>
      <c r="BM2413" s="2">
        <v>5.8</v>
      </c>
      <c r="BN2413" s="2">
        <v>47.24</v>
      </c>
      <c r="BO2413" s="2">
        <v>47.24</v>
      </c>
      <c r="BP2413" s="2"/>
      <c r="BQ2413" s="2" t="s">
        <v>83</v>
      </c>
      <c r="BR2413" s="2" t="s">
        <v>84</v>
      </c>
      <c r="BS2413" s="3">
        <v>42970</v>
      </c>
      <c r="BT2413" s="4">
        <v>0.33680555555555558</v>
      </c>
      <c r="BU2413" s="2" t="s">
        <v>2896</v>
      </c>
      <c r="BV2413" s="2" t="s">
        <v>95</v>
      </c>
      <c r="BW2413" s="2"/>
      <c r="BX2413" s="2"/>
      <c r="BY2413" s="2">
        <v>1200</v>
      </c>
      <c r="BZ2413" s="2"/>
      <c r="CA2413" s="2"/>
      <c r="CB2413" s="2"/>
      <c r="CC2413" s="2" t="s">
        <v>98</v>
      </c>
      <c r="CD2413" s="2">
        <v>6001</v>
      </c>
      <c r="CE2413" s="2" t="s">
        <v>104</v>
      </c>
      <c r="CF2413" s="5">
        <v>42970</v>
      </c>
      <c r="CG2413" s="2"/>
      <c r="CH2413" s="2"/>
      <c r="CI2413" s="2">
        <v>1</v>
      </c>
      <c r="CJ2413" s="2">
        <v>1</v>
      </c>
      <c r="CK2413" s="2">
        <v>21</v>
      </c>
      <c r="CL2413" s="2" t="s">
        <v>86</v>
      </c>
      <c r="CM2413" s="2"/>
    </row>
    <row r="2414" spans="1:91">
      <c r="A2414" s="2" t="s">
        <v>71</v>
      </c>
      <c r="B2414" s="2" t="s">
        <v>72</v>
      </c>
      <c r="C2414" s="2" t="s">
        <v>73</v>
      </c>
      <c r="D2414" s="2"/>
      <c r="E2414" s="2" t="str">
        <f>"FES1162570563"</f>
        <v>FES1162570563</v>
      </c>
      <c r="F2414" s="3">
        <v>42969</v>
      </c>
      <c r="G2414" s="2">
        <v>201802</v>
      </c>
      <c r="H2414" s="2" t="s">
        <v>74</v>
      </c>
      <c r="I2414" s="2" t="s">
        <v>75</v>
      </c>
      <c r="J2414" s="2" t="s">
        <v>76</v>
      </c>
      <c r="K2414" s="2" t="s">
        <v>77</v>
      </c>
      <c r="L2414" s="2" t="s">
        <v>74</v>
      </c>
      <c r="M2414" s="2" t="s">
        <v>75</v>
      </c>
      <c r="N2414" s="2" t="s">
        <v>329</v>
      </c>
      <c r="O2414" s="2" t="s">
        <v>100</v>
      </c>
      <c r="P2414" s="2" t="str">
        <f>"2170584343                    "</f>
        <v xml:space="preserve">2170584343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3.13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1</v>
      </c>
      <c r="BJ2414" s="2">
        <v>0.2</v>
      </c>
      <c r="BK2414" s="2">
        <v>1</v>
      </c>
      <c r="BL2414" s="2">
        <v>32.380000000000003</v>
      </c>
      <c r="BM2414" s="2">
        <v>4.53</v>
      </c>
      <c r="BN2414" s="2">
        <v>36.909999999999997</v>
      </c>
      <c r="BO2414" s="2">
        <v>36.909999999999997</v>
      </c>
      <c r="BP2414" s="2"/>
      <c r="BQ2414" s="2" t="s">
        <v>83</v>
      </c>
      <c r="BR2414" s="2" t="s">
        <v>84</v>
      </c>
      <c r="BS2414" s="3">
        <v>42970</v>
      </c>
      <c r="BT2414" s="4">
        <v>0.34375</v>
      </c>
      <c r="BU2414" s="2" t="s">
        <v>2176</v>
      </c>
      <c r="BV2414" s="2" t="s">
        <v>95</v>
      </c>
      <c r="BW2414" s="2"/>
      <c r="BX2414" s="2"/>
      <c r="BY2414" s="2">
        <v>1200</v>
      </c>
      <c r="BZ2414" s="2"/>
      <c r="CA2414" s="2" t="s">
        <v>331</v>
      </c>
      <c r="CB2414" s="2"/>
      <c r="CC2414" s="2" t="s">
        <v>75</v>
      </c>
      <c r="CD2414" s="2">
        <v>1600</v>
      </c>
      <c r="CE2414" s="2" t="s">
        <v>104</v>
      </c>
      <c r="CF2414" s="5">
        <v>42971</v>
      </c>
      <c r="CG2414" s="2"/>
      <c r="CH2414" s="2"/>
      <c r="CI2414" s="2">
        <v>1</v>
      </c>
      <c r="CJ2414" s="2">
        <v>1</v>
      </c>
      <c r="CK2414" s="2">
        <v>22</v>
      </c>
      <c r="CL2414" s="2" t="s">
        <v>86</v>
      </c>
      <c r="CM2414" s="2"/>
    </row>
    <row r="2415" spans="1:91">
      <c r="A2415" s="2" t="s">
        <v>71</v>
      </c>
      <c r="B2415" s="2" t="s">
        <v>72</v>
      </c>
      <c r="C2415" s="2" t="s">
        <v>73</v>
      </c>
      <c r="D2415" s="2"/>
      <c r="E2415" s="2" t="str">
        <f>"FES1162570428"</f>
        <v>FES1162570428</v>
      </c>
      <c r="F2415" s="3">
        <v>42969</v>
      </c>
      <c r="G2415" s="2">
        <v>201802</v>
      </c>
      <c r="H2415" s="2" t="s">
        <v>74</v>
      </c>
      <c r="I2415" s="2" t="s">
        <v>75</v>
      </c>
      <c r="J2415" s="2" t="s">
        <v>76</v>
      </c>
      <c r="K2415" s="2" t="s">
        <v>77</v>
      </c>
      <c r="L2415" s="2" t="s">
        <v>97</v>
      </c>
      <c r="M2415" s="2" t="s">
        <v>98</v>
      </c>
      <c r="N2415" s="2" t="s">
        <v>2897</v>
      </c>
      <c r="O2415" s="2" t="s">
        <v>100</v>
      </c>
      <c r="P2415" s="2" t="str">
        <f>"2170586188                    "</f>
        <v xml:space="preserve">2170586188  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4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1</v>
      </c>
      <c r="BJ2415" s="2">
        <v>0.2</v>
      </c>
      <c r="BK2415" s="2">
        <v>1</v>
      </c>
      <c r="BL2415" s="2">
        <v>41.44</v>
      </c>
      <c r="BM2415" s="2">
        <v>5.8</v>
      </c>
      <c r="BN2415" s="2">
        <v>47.24</v>
      </c>
      <c r="BO2415" s="2">
        <v>47.24</v>
      </c>
      <c r="BP2415" s="2"/>
      <c r="BQ2415" s="2" t="s">
        <v>108</v>
      </c>
      <c r="BR2415" s="2" t="s">
        <v>84</v>
      </c>
      <c r="BS2415" s="3">
        <v>42970</v>
      </c>
      <c r="BT2415" s="4">
        <v>0.38472222222222219</v>
      </c>
      <c r="BU2415" s="2" t="s">
        <v>2898</v>
      </c>
      <c r="BV2415" s="2" t="s">
        <v>95</v>
      </c>
      <c r="BW2415" s="2"/>
      <c r="BX2415" s="2"/>
      <c r="BY2415" s="2">
        <v>1200</v>
      </c>
      <c r="BZ2415" s="2"/>
      <c r="CA2415" s="2" t="s">
        <v>213</v>
      </c>
      <c r="CB2415" s="2"/>
      <c r="CC2415" s="2" t="s">
        <v>98</v>
      </c>
      <c r="CD2415" s="2">
        <v>6000</v>
      </c>
      <c r="CE2415" s="2" t="s">
        <v>104</v>
      </c>
      <c r="CF2415" s="5">
        <v>42971</v>
      </c>
      <c r="CG2415" s="2"/>
      <c r="CH2415" s="2"/>
      <c r="CI2415" s="2">
        <v>1</v>
      </c>
      <c r="CJ2415" s="2">
        <v>1</v>
      </c>
      <c r="CK2415" s="2">
        <v>21</v>
      </c>
      <c r="CL2415" s="2" t="s">
        <v>86</v>
      </c>
      <c r="CM2415" s="2"/>
    </row>
    <row r="2416" spans="1:91">
      <c r="A2416" s="2" t="s">
        <v>71</v>
      </c>
      <c r="B2416" s="2" t="s">
        <v>72</v>
      </c>
      <c r="C2416" s="2" t="s">
        <v>73</v>
      </c>
      <c r="D2416" s="2"/>
      <c r="E2416" s="2" t="str">
        <f>"FES1162570433"</f>
        <v>FES1162570433</v>
      </c>
      <c r="F2416" s="3">
        <v>42969</v>
      </c>
      <c r="G2416" s="2">
        <v>201802</v>
      </c>
      <c r="H2416" s="2" t="s">
        <v>74</v>
      </c>
      <c r="I2416" s="2" t="s">
        <v>75</v>
      </c>
      <c r="J2416" s="2" t="s">
        <v>76</v>
      </c>
      <c r="K2416" s="2" t="s">
        <v>77</v>
      </c>
      <c r="L2416" s="2" t="s">
        <v>105</v>
      </c>
      <c r="M2416" s="2" t="s">
        <v>106</v>
      </c>
      <c r="N2416" s="2" t="s">
        <v>253</v>
      </c>
      <c r="O2416" s="2" t="s">
        <v>100</v>
      </c>
      <c r="P2416" s="2" t="str">
        <f>"2170586193                    "</f>
        <v xml:space="preserve">2170586193           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10.01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1.5</v>
      </c>
      <c r="BJ2416" s="2">
        <v>5</v>
      </c>
      <c r="BK2416" s="2">
        <v>5</v>
      </c>
      <c r="BL2416" s="2">
        <v>103.61</v>
      </c>
      <c r="BM2416" s="2">
        <v>14.51</v>
      </c>
      <c r="BN2416" s="2">
        <v>118.12</v>
      </c>
      <c r="BO2416" s="2">
        <v>118.12</v>
      </c>
      <c r="BP2416" s="2"/>
      <c r="BQ2416" s="2" t="s">
        <v>108</v>
      </c>
      <c r="BR2416" s="2" t="s">
        <v>84</v>
      </c>
      <c r="BS2416" s="3">
        <v>42970</v>
      </c>
      <c r="BT2416" s="4">
        <v>0.40833333333333338</v>
      </c>
      <c r="BU2416" s="2" t="s">
        <v>215</v>
      </c>
      <c r="BV2416" s="2" t="s">
        <v>95</v>
      </c>
      <c r="BW2416" s="2"/>
      <c r="BX2416" s="2"/>
      <c r="BY2416" s="2">
        <v>25029.27</v>
      </c>
      <c r="BZ2416" s="2"/>
      <c r="CA2416" s="2"/>
      <c r="CB2416" s="2"/>
      <c r="CC2416" s="2" t="s">
        <v>106</v>
      </c>
      <c r="CD2416" s="2">
        <v>7490</v>
      </c>
      <c r="CE2416" s="2" t="s">
        <v>89</v>
      </c>
      <c r="CF2416" s="5">
        <v>42971</v>
      </c>
      <c r="CG2416" s="2"/>
      <c r="CH2416" s="2"/>
      <c r="CI2416" s="2">
        <v>1</v>
      </c>
      <c r="CJ2416" s="2">
        <v>1</v>
      </c>
      <c r="CK2416" s="2">
        <v>21</v>
      </c>
      <c r="CL2416" s="2" t="s">
        <v>86</v>
      </c>
      <c r="CM2416" s="2"/>
    </row>
    <row r="2417" spans="1:91">
      <c r="A2417" s="2" t="s">
        <v>71</v>
      </c>
      <c r="B2417" s="2" t="s">
        <v>72</v>
      </c>
      <c r="C2417" s="2" t="s">
        <v>73</v>
      </c>
      <c r="D2417" s="2"/>
      <c r="E2417" s="2" t="str">
        <f>"FES1162570476"</f>
        <v>FES1162570476</v>
      </c>
      <c r="F2417" s="3">
        <v>42969</v>
      </c>
      <c r="G2417" s="2">
        <v>201802</v>
      </c>
      <c r="H2417" s="2" t="s">
        <v>74</v>
      </c>
      <c r="I2417" s="2" t="s">
        <v>75</v>
      </c>
      <c r="J2417" s="2" t="s">
        <v>76</v>
      </c>
      <c r="K2417" s="2" t="s">
        <v>77</v>
      </c>
      <c r="L2417" s="2" t="s">
        <v>216</v>
      </c>
      <c r="M2417" s="2" t="s">
        <v>217</v>
      </c>
      <c r="N2417" s="2" t="s">
        <v>2899</v>
      </c>
      <c r="O2417" s="2" t="s">
        <v>100</v>
      </c>
      <c r="P2417" s="2" t="str">
        <f>"2170586258                    "</f>
        <v xml:space="preserve">2170586258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3.13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1</v>
      </c>
      <c r="BJ2417" s="2">
        <v>0.2</v>
      </c>
      <c r="BK2417" s="2">
        <v>1</v>
      </c>
      <c r="BL2417" s="2">
        <v>32.380000000000003</v>
      </c>
      <c r="BM2417" s="2">
        <v>4.53</v>
      </c>
      <c r="BN2417" s="2">
        <v>36.909999999999997</v>
      </c>
      <c r="BO2417" s="2">
        <v>36.909999999999997</v>
      </c>
      <c r="BP2417" s="2"/>
      <c r="BQ2417" s="2" t="s">
        <v>288</v>
      </c>
      <c r="BR2417" s="2" t="s">
        <v>84</v>
      </c>
      <c r="BS2417" s="3">
        <v>42970</v>
      </c>
      <c r="BT2417" s="4">
        <v>0.34027777777777773</v>
      </c>
      <c r="BU2417" s="2" t="s">
        <v>2843</v>
      </c>
      <c r="BV2417" s="2" t="s">
        <v>95</v>
      </c>
      <c r="BW2417" s="2"/>
      <c r="BX2417" s="2"/>
      <c r="BY2417" s="2">
        <v>1200</v>
      </c>
      <c r="BZ2417" s="2"/>
      <c r="CA2417" s="2"/>
      <c r="CB2417" s="2"/>
      <c r="CC2417" s="2" t="s">
        <v>217</v>
      </c>
      <c r="CD2417" s="2">
        <v>1451</v>
      </c>
      <c r="CE2417" s="2" t="s">
        <v>104</v>
      </c>
      <c r="CF2417" s="5">
        <v>42971</v>
      </c>
      <c r="CG2417" s="2"/>
      <c r="CH2417" s="2"/>
      <c r="CI2417" s="2">
        <v>1</v>
      </c>
      <c r="CJ2417" s="2">
        <v>1</v>
      </c>
      <c r="CK2417" s="2">
        <v>22</v>
      </c>
      <c r="CL2417" s="2" t="s">
        <v>86</v>
      </c>
      <c r="CM2417" s="2"/>
    </row>
    <row r="2418" spans="1:91">
      <c r="A2418" s="2" t="s">
        <v>71</v>
      </c>
      <c r="B2418" s="2" t="s">
        <v>72</v>
      </c>
      <c r="C2418" s="2" t="s">
        <v>73</v>
      </c>
      <c r="D2418" s="2"/>
      <c r="E2418" s="2" t="str">
        <f>"FES1162570651"</f>
        <v>FES1162570651</v>
      </c>
      <c r="F2418" s="3">
        <v>42969</v>
      </c>
      <c r="G2418" s="2">
        <v>201802</v>
      </c>
      <c r="H2418" s="2" t="s">
        <v>74</v>
      </c>
      <c r="I2418" s="2" t="s">
        <v>75</v>
      </c>
      <c r="J2418" s="2" t="s">
        <v>76</v>
      </c>
      <c r="K2418" s="2" t="s">
        <v>77</v>
      </c>
      <c r="L2418" s="2" t="s">
        <v>97</v>
      </c>
      <c r="M2418" s="2" t="s">
        <v>98</v>
      </c>
      <c r="N2418" s="2" t="s">
        <v>292</v>
      </c>
      <c r="O2418" s="2" t="s">
        <v>100</v>
      </c>
      <c r="P2418" s="2" t="str">
        <f>"2170586413                    "</f>
        <v xml:space="preserve">2170586413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4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1</v>
      </c>
      <c r="BJ2418" s="2">
        <v>0.2</v>
      </c>
      <c r="BK2418" s="2">
        <v>1</v>
      </c>
      <c r="BL2418" s="2">
        <v>41.44</v>
      </c>
      <c r="BM2418" s="2">
        <v>5.8</v>
      </c>
      <c r="BN2418" s="2">
        <v>47.24</v>
      </c>
      <c r="BO2418" s="2">
        <v>47.24</v>
      </c>
      <c r="BP2418" s="2"/>
      <c r="BQ2418" s="2" t="s">
        <v>83</v>
      </c>
      <c r="BR2418" s="2" t="s">
        <v>84</v>
      </c>
      <c r="BS2418" s="3">
        <v>42970</v>
      </c>
      <c r="BT2418" s="4">
        <v>0.3125</v>
      </c>
      <c r="BU2418" s="2" t="s">
        <v>2413</v>
      </c>
      <c r="BV2418" s="2" t="s">
        <v>95</v>
      </c>
      <c r="BW2418" s="2"/>
      <c r="BX2418" s="2"/>
      <c r="BY2418" s="2">
        <v>1200</v>
      </c>
      <c r="BZ2418" s="2"/>
      <c r="CA2418" s="2" t="s">
        <v>804</v>
      </c>
      <c r="CB2418" s="2"/>
      <c r="CC2418" s="2" t="s">
        <v>98</v>
      </c>
      <c r="CD2418" s="2">
        <v>6001</v>
      </c>
      <c r="CE2418" s="2" t="s">
        <v>104</v>
      </c>
      <c r="CF2418" s="5">
        <v>42971</v>
      </c>
      <c r="CG2418" s="2"/>
      <c r="CH2418" s="2"/>
      <c r="CI2418" s="2">
        <v>1</v>
      </c>
      <c r="CJ2418" s="2">
        <v>1</v>
      </c>
      <c r="CK2418" s="2">
        <v>21</v>
      </c>
      <c r="CL2418" s="2" t="s">
        <v>86</v>
      </c>
      <c r="CM2418" s="2"/>
    </row>
    <row r="2419" spans="1:91">
      <c r="A2419" s="2" t="s">
        <v>71</v>
      </c>
      <c r="B2419" s="2" t="s">
        <v>72</v>
      </c>
      <c r="C2419" s="2" t="s">
        <v>73</v>
      </c>
      <c r="D2419" s="2"/>
      <c r="E2419" s="2" t="str">
        <f>"FES1162570584"</f>
        <v>FES1162570584</v>
      </c>
      <c r="F2419" s="3">
        <v>42969</v>
      </c>
      <c r="G2419" s="2">
        <v>201802</v>
      </c>
      <c r="H2419" s="2" t="s">
        <v>74</v>
      </c>
      <c r="I2419" s="2" t="s">
        <v>75</v>
      </c>
      <c r="J2419" s="2" t="s">
        <v>76</v>
      </c>
      <c r="K2419" s="2" t="s">
        <v>77</v>
      </c>
      <c r="L2419" s="2" t="s">
        <v>144</v>
      </c>
      <c r="M2419" s="2" t="s">
        <v>145</v>
      </c>
      <c r="N2419" s="2" t="s">
        <v>260</v>
      </c>
      <c r="O2419" s="2" t="s">
        <v>100</v>
      </c>
      <c r="P2419" s="2" t="str">
        <f>"2170584753                    "</f>
        <v xml:space="preserve">2170584753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3.13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1</v>
      </c>
      <c r="BJ2419" s="2">
        <v>0.2</v>
      </c>
      <c r="BK2419" s="2">
        <v>1</v>
      </c>
      <c r="BL2419" s="2">
        <v>32.380000000000003</v>
      </c>
      <c r="BM2419" s="2">
        <v>4.53</v>
      </c>
      <c r="BN2419" s="2">
        <v>36.909999999999997</v>
      </c>
      <c r="BO2419" s="2">
        <v>36.909999999999997</v>
      </c>
      <c r="BP2419" s="2"/>
      <c r="BQ2419" s="2" t="s">
        <v>108</v>
      </c>
      <c r="BR2419" s="2" t="s">
        <v>84</v>
      </c>
      <c r="BS2419" s="3">
        <v>42970</v>
      </c>
      <c r="BT2419" s="4">
        <v>0.43958333333333338</v>
      </c>
      <c r="BU2419" s="2" t="s">
        <v>1360</v>
      </c>
      <c r="BV2419" s="2" t="s">
        <v>95</v>
      </c>
      <c r="BW2419" s="2"/>
      <c r="BX2419" s="2"/>
      <c r="BY2419" s="2">
        <v>1200</v>
      </c>
      <c r="BZ2419" s="2"/>
      <c r="CA2419" s="2" t="s">
        <v>1355</v>
      </c>
      <c r="CB2419" s="2"/>
      <c r="CC2419" s="2" t="s">
        <v>145</v>
      </c>
      <c r="CD2419" s="2">
        <v>2091</v>
      </c>
      <c r="CE2419" s="2" t="s">
        <v>104</v>
      </c>
      <c r="CF2419" s="5">
        <v>42971</v>
      </c>
      <c r="CG2419" s="2"/>
      <c r="CH2419" s="2"/>
      <c r="CI2419" s="2">
        <v>1</v>
      </c>
      <c r="CJ2419" s="2">
        <v>1</v>
      </c>
      <c r="CK2419" s="2">
        <v>22</v>
      </c>
      <c r="CL2419" s="2" t="s">
        <v>86</v>
      </c>
      <c r="CM2419" s="2"/>
    </row>
    <row r="2420" spans="1:91">
      <c r="A2420" s="2" t="s">
        <v>71</v>
      </c>
      <c r="B2420" s="2" t="s">
        <v>72</v>
      </c>
      <c r="C2420" s="2" t="s">
        <v>73</v>
      </c>
      <c r="D2420" s="2"/>
      <c r="E2420" s="2" t="str">
        <f>"FES1162570521"</f>
        <v>FES1162570521</v>
      </c>
      <c r="F2420" s="3">
        <v>42969</v>
      </c>
      <c r="G2420" s="2">
        <v>201802</v>
      </c>
      <c r="H2420" s="2" t="s">
        <v>74</v>
      </c>
      <c r="I2420" s="2" t="s">
        <v>75</v>
      </c>
      <c r="J2420" s="2" t="s">
        <v>76</v>
      </c>
      <c r="K2420" s="2" t="s">
        <v>77</v>
      </c>
      <c r="L2420" s="2" t="s">
        <v>105</v>
      </c>
      <c r="M2420" s="2" t="s">
        <v>106</v>
      </c>
      <c r="N2420" s="2" t="s">
        <v>851</v>
      </c>
      <c r="O2420" s="2" t="s">
        <v>100</v>
      </c>
      <c r="P2420" s="2" t="str">
        <f>"2170586291                    "</f>
        <v xml:space="preserve">2170586291  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9.01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4.5</v>
      </c>
      <c r="BJ2420" s="2">
        <v>2</v>
      </c>
      <c r="BK2420" s="2">
        <v>4.5</v>
      </c>
      <c r="BL2420" s="2">
        <v>93.25</v>
      </c>
      <c r="BM2420" s="2">
        <v>13.06</v>
      </c>
      <c r="BN2420" s="2">
        <v>106.31</v>
      </c>
      <c r="BO2420" s="2">
        <v>106.31</v>
      </c>
      <c r="BP2420" s="2"/>
      <c r="BQ2420" s="2" t="s">
        <v>288</v>
      </c>
      <c r="BR2420" s="2" t="s">
        <v>84</v>
      </c>
      <c r="BS2420" s="3">
        <v>42970</v>
      </c>
      <c r="BT2420" s="4">
        <v>0.47291666666666665</v>
      </c>
      <c r="BU2420" s="2" t="s">
        <v>2074</v>
      </c>
      <c r="BV2420" s="2" t="s">
        <v>86</v>
      </c>
      <c r="BW2420" s="2" t="s">
        <v>124</v>
      </c>
      <c r="BX2420" s="2" t="s">
        <v>116</v>
      </c>
      <c r="BY2420" s="2">
        <v>10216.44</v>
      </c>
      <c r="BZ2420" s="2"/>
      <c r="CA2420" s="2" t="s">
        <v>648</v>
      </c>
      <c r="CB2420" s="2"/>
      <c r="CC2420" s="2" t="s">
        <v>106</v>
      </c>
      <c r="CD2420" s="2">
        <v>7800</v>
      </c>
      <c r="CE2420" s="2" t="s">
        <v>89</v>
      </c>
      <c r="CF2420" s="5">
        <v>42971</v>
      </c>
      <c r="CG2420" s="2"/>
      <c r="CH2420" s="2"/>
      <c r="CI2420" s="2">
        <v>1</v>
      </c>
      <c r="CJ2420" s="2">
        <v>1</v>
      </c>
      <c r="CK2420" s="2">
        <v>21</v>
      </c>
      <c r="CL2420" s="2" t="s">
        <v>86</v>
      </c>
      <c r="CM2420" s="2"/>
    </row>
    <row r="2421" spans="1:91">
      <c r="A2421" s="2" t="s">
        <v>71</v>
      </c>
      <c r="B2421" s="2" t="s">
        <v>72</v>
      </c>
      <c r="C2421" s="2" t="s">
        <v>73</v>
      </c>
      <c r="D2421" s="2"/>
      <c r="E2421" s="2" t="str">
        <f>"FES1162570443"</f>
        <v>FES1162570443</v>
      </c>
      <c r="F2421" s="3">
        <v>42969</v>
      </c>
      <c r="G2421" s="2">
        <v>201802</v>
      </c>
      <c r="H2421" s="2" t="s">
        <v>74</v>
      </c>
      <c r="I2421" s="2" t="s">
        <v>75</v>
      </c>
      <c r="J2421" s="2" t="s">
        <v>76</v>
      </c>
      <c r="K2421" s="2" t="s">
        <v>77</v>
      </c>
      <c r="L2421" s="2" t="s">
        <v>321</v>
      </c>
      <c r="M2421" s="2" t="s">
        <v>322</v>
      </c>
      <c r="N2421" s="2" t="s">
        <v>780</v>
      </c>
      <c r="O2421" s="2" t="s">
        <v>100</v>
      </c>
      <c r="P2421" s="2" t="str">
        <f>"2170586206                    "</f>
        <v xml:space="preserve">2170586206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18.010000000000002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5.5</v>
      </c>
      <c r="BJ2421" s="2">
        <v>8.8000000000000007</v>
      </c>
      <c r="BK2421" s="2">
        <v>9</v>
      </c>
      <c r="BL2421" s="2">
        <v>186.49</v>
      </c>
      <c r="BM2421" s="2">
        <v>26.11</v>
      </c>
      <c r="BN2421" s="2">
        <v>212.6</v>
      </c>
      <c r="BO2421" s="2">
        <v>212.6</v>
      </c>
      <c r="BP2421" s="2"/>
      <c r="BQ2421" s="2" t="s">
        <v>288</v>
      </c>
      <c r="BR2421" s="2" t="s">
        <v>84</v>
      </c>
      <c r="BS2421" s="3">
        <v>42970</v>
      </c>
      <c r="BT2421" s="4">
        <v>0.40486111111111112</v>
      </c>
      <c r="BU2421" s="2" t="s">
        <v>781</v>
      </c>
      <c r="BV2421" s="2" t="s">
        <v>95</v>
      </c>
      <c r="BW2421" s="2"/>
      <c r="BX2421" s="2"/>
      <c r="BY2421" s="2">
        <v>43759.26</v>
      </c>
      <c r="BZ2421" s="2"/>
      <c r="CA2421" s="2" t="s">
        <v>103</v>
      </c>
      <c r="CB2421" s="2"/>
      <c r="CC2421" s="2" t="s">
        <v>322</v>
      </c>
      <c r="CD2421" s="2">
        <v>6220</v>
      </c>
      <c r="CE2421" s="2" t="s">
        <v>89</v>
      </c>
      <c r="CF2421" s="5">
        <v>42971</v>
      </c>
      <c r="CG2421" s="2"/>
      <c r="CH2421" s="2"/>
      <c r="CI2421" s="2">
        <v>1</v>
      </c>
      <c r="CJ2421" s="2">
        <v>1</v>
      </c>
      <c r="CK2421" s="2">
        <v>21</v>
      </c>
      <c r="CL2421" s="2" t="s">
        <v>86</v>
      </c>
      <c r="CM2421" s="2"/>
    </row>
    <row r="2422" spans="1:91">
      <c r="A2422" s="2" t="s">
        <v>71</v>
      </c>
      <c r="B2422" s="2" t="s">
        <v>72</v>
      </c>
      <c r="C2422" s="2" t="s">
        <v>73</v>
      </c>
      <c r="D2422" s="2"/>
      <c r="E2422" s="2" t="str">
        <f>"FES1162570576"</f>
        <v>FES1162570576</v>
      </c>
      <c r="F2422" s="3">
        <v>42969</v>
      </c>
      <c r="G2422" s="2">
        <v>201802</v>
      </c>
      <c r="H2422" s="2" t="s">
        <v>74</v>
      </c>
      <c r="I2422" s="2" t="s">
        <v>75</v>
      </c>
      <c r="J2422" s="2" t="s">
        <v>76</v>
      </c>
      <c r="K2422" s="2" t="s">
        <v>77</v>
      </c>
      <c r="L2422" s="2" t="s">
        <v>170</v>
      </c>
      <c r="M2422" s="2" t="s">
        <v>171</v>
      </c>
      <c r="N2422" s="2" t="s">
        <v>1846</v>
      </c>
      <c r="O2422" s="2" t="s">
        <v>100</v>
      </c>
      <c r="P2422" s="2" t="str">
        <f>"2170586315                    "</f>
        <v xml:space="preserve">2170586315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3.13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2</v>
      </c>
      <c r="BJ2422" s="2">
        <v>0.2</v>
      </c>
      <c r="BK2422" s="2">
        <v>2</v>
      </c>
      <c r="BL2422" s="2">
        <v>32.380000000000003</v>
      </c>
      <c r="BM2422" s="2">
        <v>4.53</v>
      </c>
      <c r="BN2422" s="2">
        <v>36.909999999999997</v>
      </c>
      <c r="BO2422" s="2">
        <v>36.909999999999997</v>
      </c>
      <c r="BP2422" s="2"/>
      <c r="BQ2422" s="2" t="s">
        <v>108</v>
      </c>
      <c r="BR2422" s="2" t="s">
        <v>84</v>
      </c>
      <c r="BS2422" s="3">
        <v>42970</v>
      </c>
      <c r="BT2422" s="4">
        <v>0.31527777777777777</v>
      </c>
      <c r="BU2422" s="2" t="s">
        <v>1360</v>
      </c>
      <c r="BV2422" s="2" t="s">
        <v>95</v>
      </c>
      <c r="BW2422" s="2"/>
      <c r="BX2422" s="2"/>
      <c r="BY2422" s="2">
        <v>1200</v>
      </c>
      <c r="BZ2422" s="2"/>
      <c r="CA2422" s="2" t="s">
        <v>1617</v>
      </c>
      <c r="CB2422" s="2"/>
      <c r="CC2422" s="2" t="s">
        <v>171</v>
      </c>
      <c r="CD2422" s="2">
        <v>1401</v>
      </c>
      <c r="CE2422" s="2" t="s">
        <v>104</v>
      </c>
      <c r="CF2422" s="5">
        <v>42971</v>
      </c>
      <c r="CG2422" s="2"/>
      <c r="CH2422" s="2"/>
      <c r="CI2422" s="2">
        <v>1</v>
      </c>
      <c r="CJ2422" s="2">
        <v>1</v>
      </c>
      <c r="CK2422" s="2">
        <v>22</v>
      </c>
      <c r="CL2422" s="2" t="s">
        <v>86</v>
      </c>
      <c r="CM2422" s="2"/>
    </row>
    <row r="2423" spans="1:91">
      <c r="A2423" s="2" t="s">
        <v>71</v>
      </c>
      <c r="B2423" s="2" t="s">
        <v>72</v>
      </c>
      <c r="C2423" s="2" t="s">
        <v>73</v>
      </c>
      <c r="D2423" s="2"/>
      <c r="E2423" s="2" t="str">
        <f>"FES1162570400"</f>
        <v>FES1162570400</v>
      </c>
      <c r="F2423" s="3">
        <v>42969</v>
      </c>
      <c r="G2423" s="2">
        <v>201802</v>
      </c>
      <c r="H2423" s="2" t="s">
        <v>74</v>
      </c>
      <c r="I2423" s="2" t="s">
        <v>75</v>
      </c>
      <c r="J2423" s="2" t="s">
        <v>76</v>
      </c>
      <c r="K2423" s="2" t="s">
        <v>77</v>
      </c>
      <c r="L2423" s="2" t="s">
        <v>97</v>
      </c>
      <c r="M2423" s="2" t="s">
        <v>98</v>
      </c>
      <c r="N2423" s="2" t="s">
        <v>248</v>
      </c>
      <c r="O2423" s="2" t="s">
        <v>100</v>
      </c>
      <c r="P2423" s="2" t="str">
        <f>"2170583996                    "</f>
        <v xml:space="preserve">2170583996 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5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1.6</v>
      </c>
      <c r="BJ2423" s="2">
        <v>2.1</v>
      </c>
      <c r="BK2423" s="2">
        <v>2.5</v>
      </c>
      <c r="BL2423" s="2">
        <v>51.8</v>
      </c>
      <c r="BM2423" s="2">
        <v>7.25</v>
      </c>
      <c r="BN2423" s="2">
        <v>59.05</v>
      </c>
      <c r="BO2423" s="2">
        <v>59.05</v>
      </c>
      <c r="BP2423" s="2"/>
      <c r="BQ2423" s="2" t="s">
        <v>83</v>
      </c>
      <c r="BR2423" s="2" t="s">
        <v>84</v>
      </c>
      <c r="BS2423" s="3">
        <v>42970</v>
      </c>
      <c r="BT2423" s="4">
        <v>0.34722222222222227</v>
      </c>
      <c r="BU2423" s="2" t="s">
        <v>1130</v>
      </c>
      <c r="BV2423" s="2" t="s">
        <v>95</v>
      </c>
      <c r="BW2423" s="2"/>
      <c r="BX2423" s="2"/>
      <c r="BY2423" s="2">
        <v>10747.44</v>
      </c>
      <c r="BZ2423" s="2"/>
      <c r="CA2423" s="2" t="s">
        <v>804</v>
      </c>
      <c r="CB2423" s="2"/>
      <c r="CC2423" s="2" t="s">
        <v>98</v>
      </c>
      <c r="CD2423" s="2">
        <v>6001</v>
      </c>
      <c r="CE2423" s="2" t="s">
        <v>89</v>
      </c>
      <c r="CF2423" s="5">
        <v>42971</v>
      </c>
      <c r="CG2423" s="2"/>
      <c r="CH2423" s="2"/>
      <c r="CI2423" s="2">
        <v>1</v>
      </c>
      <c r="CJ2423" s="2">
        <v>1</v>
      </c>
      <c r="CK2423" s="2">
        <v>21</v>
      </c>
      <c r="CL2423" s="2" t="s">
        <v>86</v>
      </c>
      <c r="CM2423" s="2"/>
    </row>
    <row r="2424" spans="1:91">
      <c r="A2424" s="2" t="s">
        <v>71</v>
      </c>
      <c r="B2424" s="2" t="s">
        <v>72</v>
      </c>
      <c r="C2424" s="2" t="s">
        <v>73</v>
      </c>
      <c r="D2424" s="2"/>
      <c r="E2424" s="2" t="str">
        <f>"FES1162570434"</f>
        <v>FES1162570434</v>
      </c>
      <c r="F2424" s="3">
        <v>42969</v>
      </c>
      <c r="G2424" s="2">
        <v>201802</v>
      </c>
      <c r="H2424" s="2" t="s">
        <v>74</v>
      </c>
      <c r="I2424" s="2" t="s">
        <v>75</v>
      </c>
      <c r="J2424" s="2" t="s">
        <v>76</v>
      </c>
      <c r="K2424" s="2" t="s">
        <v>77</v>
      </c>
      <c r="L2424" s="2" t="s">
        <v>105</v>
      </c>
      <c r="M2424" s="2" t="s">
        <v>106</v>
      </c>
      <c r="N2424" s="2" t="s">
        <v>107</v>
      </c>
      <c r="O2424" s="2" t="s">
        <v>100</v>
      </c>
      <c r="P2424" s="2" t="str">
        <f>"2170586194                    "</f>
        <v xml:space="preserve">2170586194 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9.01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2.9</v>
      </c>
      <c r="BJ2424" s="2">
        <v>4.5</v>
      </c>
      <c r="BK2424" s="2">
        <v>4.5</v>
      </c>
      <c r="BL2424" s="2">
        <v>93.25</v>
      </c>
      <c r="BM2424" s="2">
        <v>13.06</v>
      </c>
      <c r="BN2424" s="2">
        <v>106.31</v>
      </c>
      <c r="BO2424" s="2">
        <v>106.31</v>
      </c>
      <c r="BP2424" s="2"/>
      <c r="BQ2424" s="2" t="s">
        <v>108</v>
      </c>
      <c r="BR2424" s="2" t="s">
        <v>84</v>
      </c>
      <c r="BS2424" s="3">
        <v>42970</v>
      </c>
      <c r="BT2424" s="4">
        <v>0.41666666666666669</v>
      </c>
      <c r="BU2424" s="2" t="s">
        <v>2900</v>
      </c>
      <c r="BV2424" s="2" t="s">
        <v>95</v>
      </c>
      <c r="BW2424" s="2"/>
      <c r="BX2424" s="2"/>
      <c r="BY2424" s="2">
        <v>22273.32</v>
      </c>
      <c r="BZ2424" s="2"/>
      <c r="CA2424" s="2"/>
      <c r="CB2424" s="2"/>
      <c r="CC2424" s="2" t="s">
        <v>106</v>
      </c>
      <c r="CD2424" s="2">
        <v>7405</v>
      </c>
      <c r="CE2424" s="2" t="s">
        <v>89</v>
      </c>
      <c r="CF2424" s="5">
        <v>42971</v>
      </c>
      <c r="CG2424" s="2"/>
      <c r="CH2424" s="2"/>
      <c r="CI2424" s="2">
        <v>1</v>
      </c>
      <c r="CJ2424" s="2">
        <v>1</v>
      </c>
      <c r="CK2424" s="2">
        <v>21</v>
      </c>
      <c r="CL2424" s="2" t="s">
        <v>86</v>
      </c>
      <c r="CM2424" s="2"/>
    </row>
    <row r="2425" spans="1:91">
      <c r="A2425" s="2" t="s">
        <v>71</v>
      </c>
      <c r="B2425" s="2" t="s">
        <v>72</v>
      </c>
      <c r="C2425" s="2" t="s">
        <v>73</v>
      </c>
      <c r="D2425" s="2"/>
      <c r="E2425" s="2" t="str">
        <f>"FES1162570509"</f>
        <v>FES1162570509</v>
      </c>
      <c r="F2425" s="3">
        <v>42969</v>
      </c>
      <c r="G2425" s="2">
        <v>201802</v>
      </c>
      <c r="H2425" s="2" t="s">
        <v>74</v>
      </c>
      <c r="I2425" s="2" t="s">
        <v>75</v>
      </c>
      <c r="J2425" s="2" t="s">
        <v>76</v>
      </c>
      <c r="K2425" s="2" t="s">
        <v>77</v>
      </c>
      <c r="L2425" s="2" t="s">
        <v>170</v>
      </c>
      <c r="M2425" s="2" t="s">
        <v>171</v>
      </c>
      <c r="N2425" s="2" t="s">
        <v>730</v>
      </c>
      <c r="O2425" s="2" t="s">
        <v>100</v>
      </c>
      <c r="P2425" s="2" t="str">
        <f>"2170586275                    "</f>
        <v xml:space="preserve">2170586275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3.13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1</v>
      </c>
      <c r="BJ2425" s="2">
        <v>0.2</v>
      </c>
      <c r="BK2425" s="2">
        <v>1</v>
      </c>
      <c r="BL2425" s="2">
        <v>32.380000000000003</v>
      </c>
      <c r="BM2425" s="2">
        <v>4.53</v>
      </c>
      <c r="BN2425" s="2">
        <v>36.909999999999997</v>
      </c>
      <c r="BO2425" s="2">
        <v>36.909999999999997</v>
      </c>
      <c r="BP2425" s="2"/>
      <c r="BQ2425" s="2" t="s">
        <v>108</v>
      </c>
      <c r="BR2425" s="2" t="s">
        <v>84</v>
      </c>
      <c r="BS2425" s="3">
        <v>42970</v>
      </c>
      <c r="BT2425" s="4">
        <v>0.4375</v>
      </c>
      <c r="BU2425" s="2" t="s">
        <v>469</v>
      </c>
      <c r="BV2425" s="2" t="s">
        <v>95</v>
      </c>
      <c r="BW2425" s="2"/>
      <c r="BX2425" s="2"/>
      <c r="BY2425" s="2">
        <v>1200</v>
      </c>
      <c r="BZ2425" s="2"/>
      <c r="CA2425" s="2"/>
      <c r="CB2425" s="2"/>
      <c r="CC2425" s="2" t="s">
        <v>171</v>
      </c>
      <c r="CD2425" s="2">
        <v>1428</v>
      </c>
      <c r="CE2425" s="2" t="s">
        <v>104</v>
      </c>
      <c r="CF2425" s="5">
        <v>42971</v>
      </c>
      <c r="CG2425" s="2"/>
      <c r="CH2425" s="2"/>
      <c r="CI2425" s="2">
        <v>1</v>
      </c>
      <c r="CJ2425" s="2">
        <v>1</v>
      </c>
      <c r="CK2425" s="2">
        <v>22</v>
      </c>
      <c r="CL2425" s="2" t="s">
        <v>86</v>
      </c>
      <c r="CM2425" s="2"/>
    </row>
    <row r="2426" spans="1:91">
      <c r="A2426" s="2" t="s">
        <v>71</v>
      </c>
      <c r="B2426" s="2" t="s">
        <v>72</v>
      </c>
      <c r="C2426" s="2" t="s">
        <v>73</v>
      </c>
      <c r="D2426" s="2"/>
      <c r="E2426" s="2" t="str">
        <f>"FES1162570412"</f>
        <v>FES1162570412</v>
      </c>
      <c r="F2426" s="3">
        <v>42969</v>
      </c>
      <c r="G2426" s="2">
        <v>201802</v>
      </c>
      <c r="H2426" s="2" t="s">
        <v>74</v>
      </c>
      <c r="I2426" s="2" t="s">
        <v>75</v>
      </c>
      <c r="J2426" s="2" t="s">
        <v>76</v>
      </c>
      <c r="K2426" s="2" t="s">
        <v>77</v>
      </c>
      <c r="L2426" s="2" t="s">
        <v>144</v>
      </c>
      <c r="M2426" s="2" t="s">
        <v>145</v>
      </c>
      <c r="N2426" s="2" t="s">
        <v>295</v>
      </c>
      <c r="O2426" s="2" t="s">
        <v>100</v>
      </c>
      <c r="P2426" s="2" t="str">
        <f>"2170585678                    "</f>
        <v xml:space="preserve">2170585678 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3.13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1</v>
      </c>
      <c r="BI2426" s="2">
        <v>1</v>
      </c>
      <c r="BJ2426" s="2">
        <v>0.2</v>
      </c>
      <c r="BK2426" s="2">
        <v>1</v>
      </c>
      <c r="BL2426" s="2">
        <v>32.380000000000003</v>
      </c>
      <c r="BM2426" s="2">
        <v>4.53</v>
      </c>
      <c r="BN2426" s="2">
        <v>36.909999999999997</v>
      </c>
      <c r="BO2426" s="2">
        <v>36.909999999999997</v>
      </c>
      <c r="BP2426" s="2"/>
      <c r="BQ2426" s="2" t="s">
        <v>288</v>
      </c>
      <c r="BR2426" s="2" t="s">
        <v>84</v>
      </c>
      <c r="BS2426" s="3">
        <v>42970</v>
      </c>
      <c r="BT2426" s="4">
        <v>0.35138888888888892</v>
      </c>
      <c r="BU2426" s="2" t="s">
        <v>2633</v>
      </c>
      <c r="BV2426" s="2" t="s">
        <v>95</v>
      </c>
      <c r="BW2426" s="2"/>
      <c r="BX2426" s="2"/>
      <c r="BY2426" s="2">
        <v>1200</v>
      </c>
      <c r="BZ2426" s="2"/>
      <c r="CA2426" s="2" t="s">
        <v>1355</v>
      </c>
      <c r="CB2426" s="2"/>
      <c r="CC2426" s="2" t="s">
        <v>145</v>
      </c>
      <c r="CD2426" s="2">
        <v>2013</v>
      </c>
      <c r="CE2426" s="2" t="s">
        <v>104</v>
      </c>
      <c r="CF2426" s="5">
        <v>42971</v>
      </c>
      <c r="CG2426" s="2"/>
      <c r="CH2426" s="2"/>
      <c r="CI2426" s="2">
        <v>1</v>
      </c>
      <c r="CJ2426" s="2">
        <v>1</v>
      </c>
      <c r="CK2426" s="2">
        <v>22</v>
      </c>
      <c r="CL2426" s="2" t="s">
        <v>86</v>
      </c>
      <c r="CM2426" s="2"/>
    </row>
    <row r="2427" spans="1:91">
      <c r="A2427" s="2" t="s">
        <v>71</v>
      </c>
      <c r="B2427" s="2" t="s">
        <v>72</v>
      </c>
      <c r="C2427" s="2" t="s">
        <v>73</v>
      </c>
      <c r="D2427" s="2"/>
      <c r="E2427" s="2" t="str">
        <f>"FES1162570525"</f>
        <v>FES1162570525</v>
      </c>
      <c r="F2427" s="3">
        <v>42969</v>
      </c>
      <c r="G2427" s="2">
        <v>201802</v>
      </c>
      <c r="H2427" s="2" t="s">
        <v>74</v>
      </c>
      <c r="I2427" s="2" t="s">
        <v>75</v>
      </c>
      <c r="J2427" s="2" t="s">
        <v>76</v>
      </c>
      <c r="K2427" s="2" t="s">
        <v>77</v>
      </c>
      <c r="L2427" s="2" t="s">
        <v>244</v>
      </c>
      <c r="M2427" s="2" t="s">
        <v>245</v>
      </c>
      <c r="N2427" s="2" t="s">
        <v>246</v>
      </c>
      <c r="O2427" s="2" t="s">
        <v>100</v>
      </c>
      <c r="P2427" s="2" t="str">
        <f>"                              "</f>
        <v xml:space="preserve">          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3.13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2</v>
      </c>
      <c r="BJ2427" s="2">
        <v>0.2</v>
      </c>
      <c r="BK2427" s="2">
        <v>2</v>
      </c>
      <c r="BL2427" s="2">
        <v>32.380000000000003</v>
      </c>
      <c r="BM2427" s="2">
        <v>4.53</v>
      </c>
      <c r="BN2427" s="2">
        <v>36.909999999999997</v>
      </c>
      <c r="BO2427" s="2">
        <v>36.909999999999997</v>
      </c>
      <c r="BP2427" s="2">
        <v>2170580032</v>
      </c>
      <c r="BQ2427" s="2" t="s">
        <v>209</v>
      </c>
      <c r="BR2427" s="2" t="s">
        <v>84</v>
      </c>
      <c r="BS2427" s="3">
        <v>42971</v>
      </c>
      <c r="BT2427" s="4">
        <v>0.46388888888888885</v>
      </c>
      <c r="BU2427" s="2" t="s">
        <v>2901</v>
      </c>
      <c r="BV2427" s="2" t="s">
        <v>86</v>
      </c>
      <c r="BW2427" s="2" t="s">
        <v>124</v>
      </c>
      <c r="BX2427" s="2" t="s">
        <v>498</v>
      </c>
      <c r="BY2427" s="2">
        <v>1200</v>
      </c>
      <c r="BZ2427" s="2"/>
      <c r="CA2427" s="2" t="s">
        <v>2902</v>
      </c>
      <c r="CB2427" s="2"/>
      <c r="CC2427" s="2" t="s">
        <v>245</v>
      </c>
      <c r="CD2427" s="2">
        <v>1459</v>
      </c>
      <c r="CE2427" s="2" t="s">
        <v>104</v>
      </c>
      <c r="CF2427" s="5">
        <v>42972</v>
      </c>
      <c r="CG2427" s="2"/>
      <c r="CH2427" s="2"/>
      <c r="CI2427" s="2">
        <v>1</v>
      </c>
      <c r="CJ2427" s="2">
        <v>2</v>
      </c>
      <c r="CK2427" s="2">
        <v>22</v>
      </c>
      <c r="CL2427" s="2" t="s">
        <v>86</v>
      </c>
      <c r="CM2427" s="2"/>
    </row>
    <row r="2428" spans="1:91">
      <c r="A2428" s="2" t="s">
        <v>71</v>
      </c>
      <c r="B2428" s="2" t="s">
        <v>72</v>
      </c>
      <c r="C2428" s="2" t="s">
        <v>73</v>
      </c>
      <c r="D2428" s="2"/>
      <c r="E2428" s="2" t="str">
        <f>"FES1162570415"</f>
        <v>FES1162570415</v>
      </c>
      <c r="F2428" s="3">
        <v>42969</v>
      </c>
      <c r="G2428" s="2">
        <v>201802</v>
      </c>
      <c r="H2428" s="2" t="s">
        <v>74</v>
      </c>
      <c r="I2428" s="2" t="s">
        <v>75</v>
      </c>
      <c r="J2428" s="2" t="s">
        <v>76</v>
      </c>
      <c r="K2428" s="2" t="s">
        <v>77</v>
      </c>
      <c r="L2428" s="2" t="s">
        <v>244</v>
      </c>
      <c r="M2428" s="2" t="s">
        <v>245</v>
      </c>
      <c r="N2428" s="2" t="s">
        <v>1803</v>
      </c>
      <c r="O2428" s="2" t="s">
        <v>100</v>
      </c>
      <c r="P2428" s="2" t="str">
        <f>"2170585768                    "</f>
        <v xml:space="preserve">2170585768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3.13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1</v>
      </c>
      <c r="BJ2428" s="2">
        <v>0.2</v>
      </c>
      <c r="BK2428" s="2">
        <v>1</v>
      </c>
      <c r="BL2428" s="2">
        <v>32.380000000000003</v>
      </c>
      <c r="BM2428" s="2">
        <v>4.53</v>
      </c>
      <c r="BN2428" s="2">
        <v>36.909999999999997</v>
      </c>
      <c r="BO2428" s="2">
        <v>36.909999999999997</v>
      </c>
      <c r="BP2428" s="2"/>
      <c r="BQ2428" s="2" t="s">
        <v>108</v>
      </c>
      <c r="BR2428" s="2" t="s">
        <v>84</v>
      </c>
      <c r="BS2428" s="3">
        <v>42970</v>
      </c>
      <c r="BT2428" s="4">
        <v>0.3923611111111111</v>
      </c>
      <c r="BU2428" s="2" t="s">
        <v>1804</v>
      </c>
      <c r="BV2428" s="2" t="s">
        <v>95</v>
      </c>
      <c r="BW2428" s="2"/>
      <c r="BX2428" s="2"/>
      <c r="BY2428" s="2">
        <v>1200</v>
      </c>
      <c r="BZ2428" s="2"/>
      <c r="CA2428" s="2" t="s">
        <v>499</v>
      </c>
      <c r="CB2428" s="2"/>
      <c r="CC2428" s="2" t="s">
        <v>245</v>
      </c>
      <c r="CD2428" s="2">
        <v>1459</v>
      </c>
      <c r="CE2428" s="2" t="s">
        <v>104</v>
      </c>
      <c r="CF2428" s="5">
        <v>42971</v>
      </c>
      <c r="CG2428" s="2"/>
      <c r="CH2428" s="2"/>
      <c r="CI2428" s="2">
        <v>1</v>
      </c>
      <c r="CJ2428" s="2">
        <v>1</v>
      </c>
      <c r="CK2428" s="2">
        <v>22</v>
      </c>
      <c r="CL2428" s="2" t="s">
        <v>86</v>
      </c>
      <c r="CM2428" s="2"/>
    </row>
    <row r="2429" spans="1:91">
      <c r="A2429" s="2" t="s">
        <v>71</v>
      </c>
      <c r="B2429" s="2" t="s">
        <v>72</v>
      </c>
      <c r="C2429" s="2" t="s">
        <v>73</v>
      </c>
      <c r="D2429" s="2"/>
      <c r="E2429" s="2" t="str">
        <f>"FES1162570571"</f>
        <v>FES1162570571</v>
      </c>
      <c r="F2429" s="3">
        <v>42969</v>
      </c>
      <c r="G2429" s="2">
        <v>201802</v>
      </c>
      <c r="H2429" s="2" t="s">
        <v>74</v>
      </c>
      <c r="I2429" s="2" t="s">
        <v>75</v>
      </c>
      <c r="J2429" s="2" t="s">
        <v>76</v>
      </c>
      <c r="K2429" s="2" t="s">
        <v>77</v>
      </c>
      <c r="L2429" s="2" t="s">
        <v>144</v>
      </c>
      <c r="M2429" s="2" t="s">
        <v>145</v>
      </c>
      <c r="N2429" s="2" t="s">
        <v>2594</v>
      </c>
      <c r="O2429" s="2" t="s">
        <v>100</v>
      </c>
      <c r="P2429" s="2" t="str">
        <f>"2170586310                    "</f>
        <v xml:space="preserve">2170586310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3.13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1</v>
      </c>
      <c r="BJ2429" s="2">
        <v>0.2</v>
      </c>
      <c r="BK2429" s="2">
        <v>1</v>
      </c>
      <c r="BL2429" s="2">
        <v>32.380000000000003</v>
      </c>
      <c r="BM2429" s="2">
        <v>4.53</v>
      </c>
      <c r="BN2429" s="2">
        <v>36.909999999999997</v>
      </c>
      <c r="BO2429" s="2">
        <v>36.909999999999997</v>
      </c>
      <c r="BP2429" s="2"/>
      <c r="BQ2429" s="2" t="s">
        <v>108</v>
      </c>
      <c r="BR2429" s="2" t="s">
        <v>84</v>
      </c>
      <c r="BS2429" s="3">
        <v>42970</v>
      </c>
      <c r="BT2429" s="4">
        <v>0.34722222222222227</v>
      </c>
      <c r="BU2429" s="2" t="s">
        <v>1360</v>
      </c>
      <c r="BV2429" s="2" t="s">
        <v>95</v>
      </c>
      <c r="BW2429" s="2"/>
      <c r="BX2429" s="2"/>
      <c r="BY2429" s="2">
        <v>1200</v>
      </c>
      <c r="BZ2429" s="2"/>
      <c r="CA2429" s="2" t="s">
        <v>923</v>
      </c>
      <c r="CB2429" s="2"/>
      <c r="CC2429" s="2" t="s">
        <v>145</v>
      </c>
      <c r="CD2429" s="2">
        <v>2042</v>
      </c>
      <c r="CE2429" s="2" t="s">
        <v>104</v>
      </c>
      <c r="CF2429" s="5">
        <v>42971</v>
      </c>
      <c r="CG2429" s="2"/>
      <c r="CH2429" s="2"/>
      <c r="CI2429" s="2">
        <v>1</v>
      </c>
      <c r="CJ2429" s="2">
        <v>1</v>
      </c>
      <c r="CK2429" s="2">
        <v>22</v>
      </c>
      <c r="CL2429" s="2" t="s">
        <v>86</v>
      </c>
      <c r="CM2429" s="2"/>
    </row>
    <row r="2430" spans="1:91">
      <c r="A2430" s="2" t="s">
        <v>71</v>
      </c>
      <c r="B2430" s="2" t="s">
        <v>72</v>
      </c>
      <c r="C2430" s="2" t="s">
        <v>73</v>
      </c>
      <c r="D2430" s="2"/>
      <c r="E2430" s="2" t="str">
        <f>"FES1162570396"</f>
        <v>FES1162570396</v>
      </c>
      <c r="F2430" s="3">
        <v>42969</v>
      </c>
      <c r="G2430" s="2">
        <v>201802</v>
      </c>
      <c r="H2430" s="2" t="s">
        <v>74</v>
      </c>
      <c r="I2430" s="2" t="s">
        <v>75</v>
      </c>
      <c r="J2430" s="2" t="s">
        <v>76</v>
      </c>
      <c r="K2430" s="2" t="s">
        <v>77</v>
      </c>
      <c r="L2430" s="2" t="s">
        <v>268</v>
      </c>
      <c r="M2430" s="2" t="s">
        <v>269</v>
      </c>
      <c r="N2430" s="2" t="s">
        <v>351</v>
      </c>
      <c r="O2430" s="2" t="s">
        <v>100</v>
      </c>
      <c r="P2430" s="2" t="str">
        <f>"2170581637                    "</f>
        <v xml:space="preserve">2170581637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4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1</v>
      </c>
      <c r="BJ2430" s="2">
        <v>0.2</v>
      </c>
      <c r="BK2430" s="2">
        <v>1</v>
      </c>
      <c r="BL2430" s="2">
        <v>41.44</v>
      </c>
      <c r="BM2430" s="2">
        <v>5.8</v>
      </c>
      <c r="BN2430" s="2">
        <v>47.24</v>
      </c>
      <c r="BO2430" s="2">
        <v>47.24</v>
      </c>
      <c r="BP2430" s="2"/>
      <c r="BQ2430" s="2" t="s">
        <v>108</v>
      </c>
      <c r="BR2430" s="2" t="s">
        <v>84</v>
      </c>
      <c r="BS2430" s="3">
        <v>42970</v>
      </c>
      <c r="BT2430" s="4">
        <v>0.41666666666666669</v>
      </c>
      <c r="BU2430" s="2" t="s">
        <v>2677</v>
      </c>
      <c r="BV2430" s="2" t="s">
        <v>95</v>
      </c>
      <c r="BW2430" s="2"/>
      <c r="BX2430" s="2"/>
      <c r="BY2430" s="2">
        <v>1200</v>
      </c>
      <c r="BZ2430" s="2"/>
      <c r="CA2430" s="2" t="s">
        <v>148</v>
      </c>
      <c r="CB2430" s="2"/>
      <c r="CC2430" s="2" t="s">
        <v>269</v>
      </c>
      <c r="CD2430" s="2">
        <v>200</v>
      </c>
      <c r="CE2430" s="2" t="s">
        <v>104</v>
      </c>
      <c r="CF2430" s="5">
        <v>42971</v>
      </c>
      <c r="CG2430" s="2"/>
      <c r="CH2430" s="2"/>
      <c r="CI2430" s="2">
        <v>1</v>
      </c>
      <c r="CJ2430" s="2">
        <v>1</v>
      </c>
      <c r="CK2430" s="2">
        <v>21</v>
      </c>
      <c r="CL2430" s="2" t="s">
        <v>86</v>
      </c>
      <c r="CM2430" s="2"/>
    </row>
    <row r="2431" spans="1:91">
      <c r="A2431" s="2" t="s">
        <v>71</v>
      </c>
      <c r="B2431" s="2" t="s">
        <v>72</v>
      </c>
      <c r="C2431" s="2" t="s">
        <v>73</v>
      </c>
      <c r="D2431" s="2"/>
      <c r="E2431" s="2" t="str">
        <f>"FES1162570567"</f>
        <v>FES1162570567</v>
      </c>
      <c r="F2431" s="3">
        <v>42969</v>
      </c>
      <c r="G2431" s="2">
        <v>201802</v>
      </c>
      <c r="H2431" s="2" t="s">
        <v>74</v>
      </c>
      <c r="I2431" s="2" t="s">
        <v>75</v>
      </c>
      <c r="J2431" s="2" t="s">
        <v>76</v>
      </c>
      <c r="K2431" s="2" t="s">
        <v>77</v>
      </c>
      <c r="L2431" s="2" t="s">
        <v>244</v>
      </c>
      <c r="M2431" s="2" t="s">
        <v>245</v>
      </c>
      <c r="N2431" s="2" t="s">
        <v>2817</v>
      </c>
      <c r="O2431" s="2" t="s">
        <v>100</v>
      </c>
      <c r="P2431" s="2" t="str">
        <f>"2170586301                    "</f>
        <v xml:space="preserve">2170586301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3.13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1</v>
      </c>
      <c r="BJ2431" s="2">
        <v>0.2</v>
      </c>
      <c r="BK2431" s="2">
        <v>1</v>
      </c>
      <c r="BL2431" s="2">
        <v>32.380000000000003</v>
      </c>
      <c r="BM2431" s="2">
        <v>4.53</v>
      </c>
      <c r="BN2431" s="2">
        <v>36.909999999999997</v>
      </c>
      <c r="BO2431" s="2">
        <v>36.909999999999997</v>
      </c>
      <c r="BP2431" s="2"/>
      <c r="BQ2431" s="2" t="s">
        <v>83</v>
      </c>
      <c r="BR2431" s="2" t="s">
        <v>84</v>
      </c>
      <c r="BS2431" s="3">
        <v>42970</v>
      </c>
      <c r="BT2431" s="4">
        <v>0.38750000000000001</v>
      </c>
      <c r="BU2431" s="2" t="s">
        <v>2903</v>
      </c>
      <c r="BV2431" s="2" t="s">
        <v>95</v>
      </c>
      <c r="BW2431" s="2"/>
      <c r="BX2431" s="2"/>
      <c r="BY2431" s="2">
        <v>1200</v>
      </c>
      <c r="BZ2431" s="2"/>
      <c r="CA2431" s="2" t="s">
        <v>499</v>
      </c>
      <c r="CB2431" s="2"/>
      <c r="CC2431" s="2" t="s">
        <v>245</v>
      </c>
      <c r="CD2431" s="2">
        <v>1459</v>
      </c>
      <c r="CE2431" s="2" t="s">
        <v>104</v>
      </c>
      <c r="CF2431" s="5">
        <v>42971</v>
      </c>
      <c r="CG2431" s="2"/>
      <c r="CH2431" s="2"/>
      <c r="CI2431" s="2">
        <v>1</v>
      </c>
      <c r="CJ2431" s="2">
        <v>1</v>
      </c>
      <c r="CK2431" s="2">
        <v>22</v>
      </c>
      <c r="CL2431" s="2" t="s">
        <v>86</v>
      </c>
      <c r="CM2431" s="2"/>
    </row>
    <row r="2432" spans="1:91">
      <c r="A2432" s="2" t="s">
        <v>71</v>
      </c>
      <c r="B2432" s="2" t="s">
        <v>72</v>
      </c>
      <c r="C2432" s="2" t="s">
        <v>73</v>
      </c>
      <c r="D2432" s="2"/>
      <c r="E2432" s="2" t="str">
        <f>"FES1162570438"</f>
        <v>FES1162570438</v>
      </c>
      <c r="F2432" s="3">
        <v>42969</v>
      </c>
      <c r="G2432" s="2">
        <v>201802</v>
      </c>
      <c r="H2432" s="2" t="s">
        <v>74</v>
      </c>
      <c r="I2432" s="2" t="s">
        <v>75</v>
      </c>
      <c r="J2432" s="2" t="s">
        <v>76</v>
      </c>
      <c r="K2432" s="2" t="s">
        <v>77</v>
      </c>
      <c r="L2432" s="2" t="s">
        <v>144</v>
      </c>
      <c r="M2432" s="2" t="s">
        <v>145</v>
      </c>
      <c r="N2432" s="2" t="s">
        <v>146</v>
      </c>
      <c r="O2432" s="2" t="s">
        <v>100</v>
      </c>
      <c r="P2432" s="2" t="str">
        <f>"2170586199                    "</f>
        <v xml:space="preserve">2170586199 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3.13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1</v>
      </c>
      <c r="BI2432" s="2">
        <v>1</v>
      </c>
      <c r="BJ2432" s="2">
        <v>0.2</v>
      </c>
      <c r="BK2432" s="2">
        <v>1</v>
      </c>
      <c r="BL2432" s="2">
        <v>32.380000000000003</v>
      </c>
      <c r="BM2432" s="2">
        <v>4.53</v>
      </c>
      <c r="BN2432" s="2">
        <v>36.909999999999997</v>
      </c>
      <c r="BO2432" s="2">
        <v>36.909999999999997</v>
      </c>
      <c r="BP2432" s="2"/>
      <c r="BQ2432" s="2" t="s">
        <v>83</v>
      </c>
      <c r="BR2432" s="2" t="s">
        <v>84</v>
      </c>
      <c r="BS2432" s="3">
        <v>42970</v>
      </c>
      <c r="BT2432" s="4">
        <v>0.39930555555555558</v>
      </c>
      <c r="BU2432" s="2" t="s">
        <v>728</v>
      </c>
      <c r="BV2432" s="2" t="s">
        <v>95</v>
      </c>
      <c r="BW2432" s="2"/>
      <c r="BX2432" s="2"/>
      <c r="BY2432" s="2">
        <v>1200</v>
      </c>
      <c r="BZ2432" s="2"/>
      <c r="CA2432" s="2" t="s">
        <v>729</v>
      </c>
      <c r="CB2432" s="2"/>
      <c r="CC2432" s="2" t="s">
        <v>145</v>
      </c>
      <c r="CD2432" s="2">
        <v>2094</v>
      </c>
      <c r="CE2432" s="2" t="s">
        <v>104</v>
      </c>
      <c r="CF2432" s="5">
        <v>42971</v>
      </c>
      <c r="CG2432" s="2"/>
      <c r="CH2432" s="2"/>
      <c r="CI2432" s="2">
        <v>1</v>
      </c>
      <c r="CJ2432" s="2">
        <v>1</v>
      </c>
      <c r="CK2432" s="2">
        <v>22</v>
      </c>
      <c r="CL2432" s="2" t="s">
        <v>86</v>
      </c>
      <c r="CM2432" s="2"/>
    </row>
    <row r="2433" spans="1:91">
      <c r="A2433" s="2" t="s">
        <v>71</v>
      </c>
      <c r="B2433" s="2" t="s">
        <v>72</v>
      </c>
      <c r="C2433" s="2" t="s">
        <v>73</v>
      </c>
      <c r="D2433" s="2"/>
      <c r="E2433" s="2" t="str">
        <f>"FES1162570594"</f>
        <v>FES1162570594</v>
      </c>
      <c r="F2433" s="3">
        <v>42969</v>
      </c>
      <c r="G2433" s="2">
        <v>201802</v>
      </c>
      <c r="H2433" s="2" t="s">
        <v>74</v>
      </c>
      <c r="I2433" s="2" t="s">
        <v>75</v>
      </c>
      <c r="J2433" s="2" t="s">
        <v>76</v>
      </c>
      <c r="K2433" s="2" t="s">
        <v>77</v>
      </c>
      <c r="L2433" s="2" t="s">
        <v>216</v>
      </c>
      <c r="M2433" s="2" t="s">
        <v>217</v>
      </c>
      <c r="N2433" s="2" t="s">
        <v>1588</v>
      </c>
      <c r="O2433" s="2" t="s">
        <v>100</v>
      </c>
      <c r="P2433" s="2" t="str">
        <f>"2170586338                    "</f>
        <v xml:space="preserve">2170586338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3.13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4</v>
      </c>
      <c r="BJ2433" s="2">
        <v>1</v>
      </c>
      <c r="BK2433" s="2">
        <v>4</v>
      </c>
      <c r="BL2433" s="2">
        <v>32.380000000000003</v>
      </c>
      <c r="BM2433" s="2">
        <v>4.53</v>
      </c>
      <c r="BN2433" s="2">
        <v>36.909999999999997</v>
      </c>
      <c r="BO2433" s="2">
        <v>36.909999999999997</v>
      </c>
      <c r="BP2433" s="2"/>
      <c r="BQ2433" s="2" t="s">
        <v>288</v>
      </c>
      <c r="BR2433" s="2" t="s">
        <v>84</v>
      </c>
      <c r="BS2433" s="3">
        <v>42970</v>
      </c>
      <c r="BT2433" s="4">
        <v>0.41666666666666669</v>
      </c>
      <c r="BU2433" s="2" t="s">
        <v>1946</v>
      </c>
      <c r="BV2433" s="2" t="s">
        <v>95</v>
      </c>
      <c r="BW2433" s="2"/>
      <c r="BX2433" s="2"/>
      <c r="BY2433" s="2">
        <v>5174.97</v>
      </c>
      <c r="BZ2433" s="2"/>
      <c r="CA2433" s="2"/>
      <c r="CB2433" s="2"/>
      <c r="CC2433" s="2" t="s">
        <v>217</v>
      </c>
      <c r="CD2433" s="2">
        <v>1451</v>
      </c>
      <c r="CE2433" s="2" t="s">
        <v>89</v>
      </c>
      <c r="CF2433" s="5">
        <v>42971</v>
      </c>
      <c r="CG2433" s="2"/>
      <c r="CH2433" s="2"/>
      <c r="CI2433" s="2">
        <v>1</v>
      </c>
      <c r="CJ2433" s="2">
        <v>1</v>
      </c>
      <c r="CK2433" s="2">
        <v>22</v>
      </c>
      <c r="CL2433" s="2" t="s">
        <v>86</v>
      </c>
      <c r="CM2433" s="2"/>
    </row>
    <row r="2434" spans="1:91">
      <c r="A2434" s="2" t="s">
        <v>71</v>
      </c>
      <c r="B2434" s="2" t="s">
        <v>72</v>
      </c>
      <c r="C2434" s="2" t="s">
        <v>73</v>
      </c>
      <c r="D2434" s="2"/>
      <c r="E2434" s="2" t="str">
        <f>"FES1162570429"</f>
        <v>FES1162570429</v>
      </c>
      <c r="F2434" s="3">
        <v>42969</v>
      </c>
      <c r="G2434" s="2">
        <v>201802</v>
      </c>
      <c r="H2434" s="2" t="s">
        <v>74</v>
      </c>
      <c r="I2434" s="2" t="s">
        <v>75</v>
      </c>
      <c r="J2434" s="2" t="s">
        <v>76</v>
      </c>
      <c r="K2434" s="2" t="s">
        <v>77</v>
      </c>
      <c r="L2434" s="2" t="s">
        <v>216</v>
      </c>
      <c r="M2434" s="2" t="s">
        <v>217</v>
      </c>
      <c r="N2434" s="2" t="s">
        <v>374</v>
      </c>
      <c r="O2434" s="2" t="s">
        <v>100</v>
      </c>
      <c r="P2434" s="2" t="str">
        <f>"2170586189                    "</f>
        <v xml:space="preserve">2170586189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3.13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1</v>
      </c>
      <c r="BJ2434" s="2">
        <v>0.2</v>
      </c>
      <c r="BK2434" s="2">
        <v>1</v>
      </c>
      <c r="BL2434" s="2">
        <v>32.380000000000003</v>
      </c>
      <c r="BM2434" s="2">
        <v>4.53</v>
      </c>
      <c r="BN2434" s="2">
        <v>36.909999999999997</v>
      </c>
      <c r="BO2434" s="2">
        <v>36.909999999999997</v>
      </c>
      <c r="BP2434" s="2"/>
      <c r="BQ2434" s="2" t="s">
        <v>108</v>
      </c>
      <c r="BR2434" s="2" t="s">
        <v>84</v>
      </c>
      <c r="BS2434" s="3">
        <v>42970</v>
      </c>
      <c r="BT2434" s="4">
        <v>0.4604166666666667</v>
      </c>
      <c r="BU2434" s="2" t="s">
        <v>375</v>
      </c>
      <c r="BV2434" s="2" t="s">
        <v>86</v>
      </c>
      <c r="BW2434" s="2" t="s">
        <v>1007</v>
      </c>
      <c r="BX2434" s="2" t="s">
        <v>1452</v>
      </c>
      <c r="BY2434" s="2">
        <v>1200</v>
      </c>
      <c r="BZ2434" s="2"/>
      <c r="CA2434" s="2"/>
      <c r="CB2434" s="2"/>
      <c r="CC2434" s="2" t="s">
        <v>217</v>
      </c>
      <c r="CD2434" s="2">
        <v>1451</v>
      </c>
      <c r="CE2434" s="2" t="s">
        <v>104</v>
      </c>
      <c r="CF2434" s="5">
        <v>42971</v>
      </c>
      <c r="CG2434" s="2"/>
      <c r="CH2434" s="2"/>
      <c r="CI2434" s="2">
        <v>1</v>
      </c>
      <c r="CJ2434" s="2">
        <v>1</v>
      </c>
      <c r="CK2434" s="2">
        <v>22</v>
      </c>
      <c r="CL2434" s="2" t="s">
        <v>86</v>
      </c>
      <c r="CM2434" s="2"/>
    </row>
    <row r="2435" spans="1:91">
      <c r="A2435" s="2" t="s">
        <v>71</v>
      </c>
      <c r="B2435" s="2" t="s">
        <v>72</v>
      </c>
      <c r="C2435" s="2" t="s">
        <v>73</v>
      </c>
      <c r="D2435" s="2"/>
      <c r="E2435" s="2" t="str">
        <f>"FES1162570555"</f>
        <v>FES1162570555</v>
      </c>
      <c r="F2435" s="3">
        <v>42969</v>
      </c>
      <c r="G2435" s="2">
        <v>201802</v>
      </c>
      <c r="H2435" s="2" t="s">
        <v>74</v>
      </c>
      <c r="I2435" s="2" t="s">
        <v>75</v>
      </c>
      <c r="J2435" s="2" t="s">
        <v>76</v>
      </c>
      <c r="K2435" s="2" t="s">
        <v>77</v>
      </c>
      <c r="L2435" s="2" t="s">
        <v>128</v>
      </c>
      <c r="M2435" s="2" t="s">
        <v>129</v>
      </c>
      <c r="N2435" s="2" t="s">
        <v>130</v>
      </c>
      <c r="O2435" s="2" t="s">
        <v>100</v>
      </c>
      <c r="P2435" s="2" t="str">
        <f>"2170584079                    "</f>
        <v xml:space="preserve">2170584079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3.13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3.4</v>
      </c>
      <c r="BJ2435" s="2">
        <v>5.5</v>
      </c>
      <c r="BK2435" s="2">
        <v>6</v>
      </c>
      <c r="BL2435" s="2">
        <v>32.380000000000003</v>
      </c>
      <c r="BM2435" s="2">
        <v>4.53</v>
      </c>
      <c r="BN2435" s="2">
        <v>36.909999999999997</v>
      </c>
      <c r="BO2435" s="2">
        <v>36.909999999999997</v>
      </c>
      <c r="BP2435" s="2"/>
      <c r="BQ2435" s="2" t="s">
        <v>83</v>
      </c>
      <c r="BR2435" s="2" t="s">
        <v>84</v>
      </c>
      <c r="BS2435" s="3">
        <v>42970</v>
      </c>
      <c r="BT2435" s="4">
        <v>0.34027777777777773</v>
      </c>
      <c r="BU2435" s="2" t="s">
        <v>2734</v>
      </c>
      <c r="BV2435" s="2" t="s">
        <v>95</v>
      </c>
      <c r="BW2435" s="2"/>
      <c r="BX2435" s="2"/>
      <c r="BY2435" s="2">
        <v>27471.5</v>
      </c>
      <c r="BZ2435" s="2"/>
      <c r="CA2435" s="2" t="s">
        <v>414</v>
      </c>
      <c r="CB2435" s="2"/>
      <c r="CC2435" s="2" t="s">
        <v>129</v>
      </c>
      <c r="CD2435" s="2">
        <v>1724</v>
      </c>
      <c r="CE2435" s="2" t="s">
        <v>89</v>
      </c>
      <c r="CF2435" s="5">
        <v>42971</v>
      </c>
      <c r="CG2435" s="2"/>
      <c r="CH2435" s="2"/>
      <c r="CI2435" s="2">
        <v>1</v>
      </c>
      <c r="CJ2435" s="2">
        <v>1</v>
      </c>
      <c r="CK2435" s="2">
        <v>22</v>
      </c>
      <c r="CL2435" s="2" t="s">
        <v>86</v>
      </c>
      <c r="CM2435" s="2"/>
    </row>
    <row r="2436" spans="1:91">
      <c r="A2436" s="2" t="s">
        <v>71</v>
      </c>
      <c r="B2436" s="2" t="s">
        <v>72</v>
      </c>
      <c r="C2436" s="2" t="s">
        <v>73</v>
      </c>
      <c r="D2436" s="2"/>
      <c r="E2436" s="2" t="str">
        <f>"FES1162570411"</f>
        <v>FES1162570411</v>
      </c>
      <c r="F2436" s="3">
        <v>42969</v>
      </c>
      <c r="G2436" s="2">
        <v>201802</v>
      </c>
      <c r="H2436" s="2" t="s">
        <v>74</v>
      </c>
      <c r="I2436" s="2" t="s">
        <v>75</v>
      </c>
      <c r="J2436" s="2" t="s">
        <v>76</v>
      </c>
      <c r="K2436" s="2" t="s">
        <v>77</v>
      </c>
      <c r="L2436" s="2" t="s">
        <v>74</v>
      </c>
      <c r="M2436" s="2" t="s">
        <v>75</v>
      </c>
      <c r="N2436" s="2" t="s">
        <v>821</v>
      </c>
      <c r="O2436" s="2" t="s">
        <v>100</v>
      </c>
      <c r="P2436" s="2" t="str">
        <f>"2170585572                    "</f>
        <v xml:space="preserve">2170585572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3.13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2</v>
      </c>
      <c r="BJ2436" s="2">
        <v>0.2</v>
      </c>
      <c r="BK2436" s="2">
        <v>2</v>
      </c>
      <c r="BL2436" s="2">
        <v>32.380000000000003</v>
      </c>
      <c r="BM2436" s="2">
        <v>4.53</v>
      </c>
      <c r="BN2436" s="2">
        <v>36.909999999999997</v>
      </c>
      <c r="BO2436" s="2">
        <v>36.909999999999997</v>
      </c>
      <c r="BP2436" s="2"/>
      <c r="BQ2436" s="2" t="s">
        <v>83</v>
      </c>
      <c r="BR2436" s="2" t="s">
        <v>84</v>
      </c>
      <c r="BS2436" s="3">
        <v>42970</v>
      </c>
      <c r="BT2436" s="4">
        <v>0.34722222222222227</v>
      </c>
      <c r="BU2436" s="2" t="s">
        <v>1517</v>
      </c>
      <c r="BV2436" s="2" t="s">
        <v>95</v>
      </c>
      <c r="BW2436" s="2"/>
      <c r="BX2436" s="2"/>
      <c r="BY2436" s="2">
        <v>1200</v>
      </c>
      <c r="BZ2436" s="2"/>
      <c r="CA2436" s="2" t="s">
        <v>194</v>
      </c>
      <c r="CB2436" s="2"/>
      <c r="CC2436" s="2" t="s">
        <v>75</v>
      </c>
      <c r="CD2436" s="2">
        <v>1665</v>
      </c>
      <c r="CE2436" s="2" t="s">
        <v>104</v>
      </c>
      <c r="CF2436" s="5">
        <v>42971</v>
      </c>
      <c r="CG2436" s="2"/>
      <c r="CH2436" s="2"/>
      <c r="CI2436" s="2">
        <v>1</v>
      </c>
      <c r="CJ2436" s="2">
        <v>1</v>
      </c>
      <c r="CK2436" s="2">
        <v>22</v>
      </c>
      <c r="CL2436" s="2" t="s">
        <v>86</v>
      </c>
      <c r="CM2436" s="2"/>
    </row>
    <row r="2437" spans="1:91">
      <c r="A2437" s="2" t="s">
        <v>71</v>
      </c>
      <c r="B2437" s="2" t="s">
        <v>72</v>
      </c>
      <c r="C2437" s="2" t="s">
        <v>73</v>
      </c>
      <c r="D2437" s="2"/>
      <c r="E2437" s="2" t="str">
        <f>"FES1162570496"</f>
        <v>FES1162570496</v>
      </c>
      <c r="F2437" s="3">
        <v>42969</v>
      </c>
      <c r="G2437" s="2">
        <v>201802</v>
      </c>
      <c r="H2437" s="2" t="s">
        <v>74</v>
      </c>
      <c r="I2437" s="2" t="s">
        <v>75</v>
      </c>
      <c r="J2437" s="2" t="s">
        <v>76</v>
      </c>
      <c r="K2437" s="2" t="s">
        <v>77</v>
      </c>
      <c r="L2437" s="2" t="s">
        <v>128</v>
      </c>
      <c r="M2437" s="2" t="s">
        <v>129</v>
      </c>
      <c r="N2437" s="2" t="s">
        <v>130</v>
      </c>
      <c r="O2437" s="2" t="s">
        <v>100</v>
      </c>
      <c r="P2437" s="2" t="str">
        <f>"2170584079                    "</f>
        <v xml:space="preserve">2170584079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3.13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1.2</v>
      </c>
      <c r="BJ2437" s="2">
        <v>3.5</v>
      </c>
      <c r="BK2437" s="2">
        <v>4</v>
      </c>
      <c r="BL2437" s="2">
        <v>32.380000000000003</v>
      </c>
      <c r="BM2437" s="2">
        <v>4.53</v>
      </c>
      <c r="BN2437" s="2">
        <v>36.909999999999997</v>
      </c>
      <c r="BO2437" s="2">
        <v>36.909999999999997</v>
      </c>
      <c r="BP2437" s="2"/>
      <c r="BQ2437" s="2" t="s">
        <v>83</v>
      </c>
      <c r="BR2437" s="2" t="s">
        <v>84</v>
      </c>
      <c r="BS2437" s="3">
        <v>42970</v>
      </c>
      <c r="BT2437" s="4">
        <v>0.34027777777777773</v>
      </c>
      <c r="BU2437" s="2" t="s">
        <v>2734</v>
      </c>
      <c r="BV2437" s="2" t="s">
        <v>95</v>
      </c>
      <c r="BW2437" s="2"/>
      <c r="BX2437" s="2"/>
      <c r="BY2437" s="2">
        <v>17297.560000000001</v>
      </c>
      <c r="BZ2437" s="2"/>
      <c r="CA2437" s="2" t="s">
        <v>414</v>
      </c>
      <c r="CB2437" s="2"/>
      <c r="CC2437" s="2" t="s">
        <v>129</v>
      </c>
      <c r="CD2437" s="2">
        <v>1724</v>
      </c>
      <c r="CE2437" s="2" t="s">
        <v>89</v>
      </c>
      <c r="CF2437" s="5">
        <v>42971</v>
      </c>
      <c r="CG2437" s="2"/>
      <c r="CH2437" s="2"/>
      <c r="CI2437" s="2">
        <v>1</v>
      </c>
      <c r="CJ2437" s="2">
        <v>1</v>
      </c>
      <c r="CK2437" s="2">
        <v>22</v>
      </c>
      <c r="CL2437" s="2" t="s">
        <v>86</v>
      </c>
      <c r="CM2437" s="2"/>
    </row>
    <row r="2438" spans="1:91">
      <c r="A2438" s="2" t="s">
        <v>71</v>
      </c>
      <c r="B2438" s="2" t="s">
        <v>72</v>
      </c>
      <c r="C2438" s="2" t="s">
        <v>73</v>
      </c>
      <c r="D2438" s="2"/>
      <c r="E2438" s="2" t="str">
        <f>"FES1162570426"</f>
        <v>FES1162570426</v>
      </c>
      <c r="F2438" s="3">
        <v>42969</v>
      </c>
      <c r="G2438" s="2">
        <v>201802</v>
      </c>
      <c r="H2438" s="2" t="s">
        <v>74</v>
      </c>
      <c r="I2438" s="2" t="s">
        <v>75</v>
      </c>
      <c r="J2438" s="2" t="s">
        <v>76</v>
      </c>
      <c r="K2438" s="2" t="s">
        <v>77</v>
      </c>
      <c r="L2438" s="2" t="s">
        <v>170</v>
      </c>
      <c r="M2438" s="2" t="s">
        <v>171</v>
      </c>
      <c r="N2438" s="2" t="s">
        <v>2904</v>
      </c>
      <c r="O2438" s="2" t="s">
        <v>100</v>
      </c>
      <c r="P2438" s="2" t="str">
        <f>"2170586181                    "</f>
        <v xml:space="preserve">2170586181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3.13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1</v>
      </c>
      <c r="BJ2438" s="2">
        <v>0.2</v>
      </c>
      <c r="BK2438" s="2">
        <v>1</v>
      </c>
      <c r="BL2438" s="2">
        <v>32.380000000000003</v>
      </c>
      <c r="BM2438" s="2">
        <v>4.53</v>
      </c>
      <c r="BN2438" s="2">
        <v>36.909999999999997</v>
      </c>
      <c r="BO2438" s="2">
        <v>36.909999999999997</v>
      </c>
      <c r="BP2438" s="2"/>
      <c r="BQ2438" s="2" t="s">
        <v>108</v>
      </c>
      <c r="BR2438" s="2" t="s">
        <v>84</v>
      </c>
      <c r="BS2438" s="3">
        <v>42970</v>
      </c>
      <c r="BT2438" s="4">
        <v>0.4375</v>
      </c>
      <c r="BU2438" s="2" t="s">
        <v>1360</v>
      </c>
      <c r="BV2438" s="2" t="s">
        <v>95</v>
      </c>
      <c r="BW2438" s="2"/>
      <c r="BX2438" s="2"/>
      <c r="BY2438" s="2">
        <v>1200</v>
      </c>
      <c r="BZ2438" s="2"/>
      <c r="CA2438" s="2"/>
      <c r="CB2438" s="2"/>
      <c r="CC2438" s="2" t="s">
        <v>171</v>
      </c>
      <c r="CD2438" s="2">
        <v>1422</v>
      </c>
      <c r="CE2438" s="2" t="s">
        <v>104</v>
      </c>
      <c r="CF2438" s="5">
        <v>42971</v>
      </c>
      <c r="CG2438" s="2"/>
      <c r="CH2438" s="2"/>
      <c r="CI2438" s="2">
        <v>1</v>
      </c>
      <c r="CJ2438" s="2">
        <v>1</v>
      </c>
      <c r="CK2438" s="2">
        <v>22</v>
      </c>
      <c r="CL2438" s="2" t="s">
        <v>86</v>
      </c>
      <c r="CM2438" s="2"/>
    </row>
    <row r="2439" spans="1:91">
      <c r="A2439" s="2" t="s">
        <v>71</v>
      </c>
      <c r="B2439" s="2" t="s">
        <v>72</v>
      </c>
      <c r="C2439" s="2" t="s">
        <v>73</v>
      </c>
      <c r="D2439" s="2"/>
      <c r="E2439" s="2" t="str">
        <f>"FES1162570463"</f>
        <v>FES1162570463</v>
      </c>
      <c r="F2439" s="3">
        <v>42969</v>
      </c>
      <c r="G2439" s="2">
        <v>201802</v>
      </c>
      <c r="H2439" s="2" t="s">
        <v>74</v>
      </c>
      <c r="I2439" s="2" t="s">
        <v>75</v>
      </c>
      <c r="J2439" s="2" t="s">
        <v>76</v>
      </c>
      <c r="K2439" s="2" t="s">
        <v>77</v>
      </c>
      <c r="L2439" s="2" t="s">
        <v>268</v>
      </c>
      <c r="M2439" s="2" t="s">
        <v>269</v>
      </c>
      <c r="N2439" s="2" t="s">
        <v>2207</v>
      </c>
      <c r="O2439" s="2" t="s">
        <v>100</v>
      </c>
      <c r="P2439" s="2" t="str">
        <f>"2170586236                    "</f>
        <v xml:space="preserve">2170586236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4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1</v>
      </c>
      <c r="BI2439" s="2">
        <v>1</v>
      </c>
      <c r="BJ2439" s="2">
        <v>0.2</v>
      </c>
      <c r="BK2439" s="2">
        <v>1</v>
      </c>
      <c r="BL2439" s="2">
        <v>41.44</v>
      </c>
      <c r="BM2439" s="2">
        <v>5.8</v>
      </c>
      <c r="BN2439" s="2">
        <v>47.24</v>
      </c>
      <c r="BO2439" s="2">
        <v>47.24</v>
      </c>
      <c r="BP2439" s="2"/>
      <c r="BQ2439" s="2" t="s">
        <v>288</v>
      </c>
      <c r="BR2439" s="2" t="s">
        <v>84</v>
      </c>
      <c r="BS2439" s="3">
        <v>42970</v>
      </c>
      <c r="BT2439" s="4">
        <v>0.44791666666666669</v>
      </c>
      <c r="BU2439" s="2" t="s">
        <v>2905</v>
      </c>
      <c r="BV2439" s="2" t="s">
        <v>95</v>
      </c>
      <c r="BW2439" s="2"/>
      <c r="BX2439" s="2"/>
      <c r="BY2439" s="2">
        <v>1200</v>
      </c>
      <c r="BZ2439" s="2"/>
      <c r="CA2439" s="2"/>
      <c r="CB2439" s="2"/>
      <c r="CC2439" s="2" t="s">
        <v>269</v>
      </c>
      <c r="CD2439" s="2">
        <v>200</v>
      </c>
      <c r="CE2439" s="2" t="s">
        <v>104</v>
      </c>
      <c r="CF2439" s="5">
        <v>42971</v>
      </c>
      <c r="CG2439" s="2"/>
      <c r="CH2439" s="2"/>
      <c r="CI2439" s="2">
        <v>1</v>
      </c>
      <c r="CJ2439" s="2">
        <v>1</v>
      </c>
      <c r="CK2439" s="2">
        <v>21</v>
      </c>
      <c r="CL2439" s="2" t="s">
        <v>86</v>
      </c>
      <c r="CM2439" s="2"/>
    </row>
    <row r="2440" spans="1:91">
      <c r="A2440" s="2" t="s">
        <v>71</v>
      </c>
      <c r="B2440" s="2" t="s">
        <v>72</v>
      </c>
      <c r="C2440" s="2" t="s">
        <v>73</v>
      </c>
      <c r="D2440" s="2"/>
      <c r="E2440" s="2" t="str">
        <f>"FES1162570577"</f>
        <v>FES1162570577</v>
      </c>
      <c r="F2440" s="3">
        <v>42969</v>
      </c>
      <c r="G2440" s="2">
        <v>201802</v>
      </c>
      <c r="H2440" s="2" t="s">
        <v>74</v>
      </c>
      <c r="I2440" s="2" t="s">
        <v>75</v>
      </c>
      <c r="J2440" s="2" t="s">
        <v>76</v>
      </c>
      <c r="K2440" s="2" t="s">
        <v>77</v>
      </c>
      <c r="L2440" s="2" t="s">
        <v>105</v>
      </c>
      <c r="M2440" s="2" t="s">
        <v>106</v>
      </c>
      <c r="N2440" s="2" t="s">
        <v>534</v>
      </c>
      <c r="O2440" s="2" t="s">
        <v>100</v>
      </c>
      <c r="P2440" s="2" t="str">
        <f>"2170586317                    "</f>
        <v xml:space="preserve">2170586317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10.01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1</v>
      </c>
      <c r="BI2440" s="2">
        <v>4.8</v>
      </c>
      <c r="BJ2440" s="2">
        <v>3.4</v>
      </c>
      <c r="BK2440" s="2">
        <v>5</v>
      </c>
      <c r="BL2440" s="2">
        <v>103.61</v>
      </c>
      <c r="BM2440" s="2">
        <v>14.51</v>
      </c>
      <c r="BN2440" s="2">
        <v>118.12</v>
      </c>
      <c r="BO2440" s="2">
        <v>118.12</v>
      </c>
      <c r="BP2440" s="2"/>
      <c r="BQ2440" s="2" t="s">
        <v>2906</v>
      </c>
      <c r="BR2440" s="2" t="s">
        <v>84</v>
      </c>
      <c r="BS2440" s="3">
        <v>42970</v>
      </c>
      <c r="BT2440" s="4">
        <v>0.36458333333333331</v>
      </c>
      <c r="BU2440" s="2" t="s">
        <v>2907</v>
      </c>
      <c r="BV2440" s="2" t="s">
        <v>95</v>
      </c>
      <c r="BW2440" s="2"/>
      <c r="BX2440" s="2"/>
      <c r="BY2440" s="2">
        <v>16979.330000000002</v>
      </c>
      <c r="BZ2440" s="2"/>
      <c r="CA2440" s="2" t="s">
        <v>856</v>
      </c>
      <c r="CB2440" s="2"/>
      <c r="CC2440" s="2" t="s">
        <v>106</v>
      </c>
      <c r="CD2440" s="2">
        <v>7405</v>
      </c>
      <c r="CE2440" s="2" t="s">
        <v>89</v>
      </c>
      <c r="CF2440" s="5">
        <v>42971</v>
      </c>
      <c r="CG2440" s="2"/>
      <c r="CH2440" s="2"/>
      <c r="CI2440" s="2">
        <v>1</v>
      </c>
      <c r="CJ2440" s="2">
        <v>1</v>
      </c>
      <c r="CK2440" s="2">
        <v>21</v>
      </c>
      <c r="CL2440" s="2" t="s">
        <v>86</v>
      </c>
      <c r="CM2440" s="2"/>
    </row>
    <row r="2441" spans="1:91">
      <c r="A2441" s="2" t="s">
        <v>71</v>
      </c>
      <c r="B2441" s="2" t="s">
        <v>72</v>
      </c>
      <c r="C2441" s="2" t="s">
        <v>73</v>
      </c>
      <c r="D2441" s="2"/>
      <c r="E2441" s="2" t="str">
        <f>"FES1162570414"</f>
        <v>FES1162570414</v>
      </c>
      <c r="F2441" s="3">
        <v>42969</v>
      </c>
      <c r="G2441" s="2">
        <v>201802</v>
      </c>
      <c r="H2441" s="2" t="s">
        <v>74</v>
      </c>
      <c r="I2441" s="2" t="s">
        <v>75</v>
      </c>
      <c r="J2441" s="2" t="s">
        <v>76</v>
      </c>
      <c r="K2441" s="2" t="s">
        <v>77</v>
      </c>
      <c r="L2441" s="2" t="s">
        <v>144</v>
      </c>
      <c r="M2441" s="2" t="s">
        <v>145</v>
      </c>
      <c r="N2441" s="2" t="s">
        <v>295</v>
      </c>
      <c r="O2441" s="2" t="s">
        <v>100</v>
      </c>
      <c r="P2441" s="2" t="str">
        <f>"2170585760                    "</f>
        <v xml:space="preserve">2170585760           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3.13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1</v>
      </c>
      <c r="BI2441" s="2">
        <v>1</v>
      </c>
      <c r="BJ2441" s="2">
        <v>0.2</v>
      </c>
      <c r="BK2441" s="2">
        <v>1</v>
      </c>
      <c r="BL2441" s="2">
        <v>32.380000000000003</v>
      </c>
      <c r="BM2441" s="2">
        <v>4.53</v>
      </c>
      <c r="BN2441" s="2">
        <v>36.909999999999997</v>
      </c>
      <c r="BO2441" s="2">
        <v>36.909999999999997</v>
      </c>
      <c r="BP2441" s="2"/>
      <c r="BQ2441" s="2" t="s">
        <v>288</v>
      </c>
      <c r="BR2441" s="2" t="s">
        <v>84</v>
      </c>
      <c r="BS2441" s="3">
        <v>42970</v>
      </c>
      <c r="BT2441" s="4">
        <v>0.35138888888888892</v>
      </c>
      <c r="BU2441" s="2" t="s">
        <v>2633</v>
      </c>
      <c r="BV2441" s="2" t="s">
        <v>95</v>
      </c>
      <c r="BW2441" s="2"/>
      <c r="BX2441" s="2"/>
      <c r="BY2441" s="2">
        <v>1200</v>
      </c>
      <c r="BZ2441" s="2"/>
      <c r="CA2441" s="2" t="s">
        <v>1355</v>
      </c>
      <c r="CB2441" s="2"/>
      <c r="CC2441" s="2" t="s">
        <v>145</v>
      </c>
      <c r="CD2441" s="2">
        <v>2013</v>
      </c>
      <c r="CE2441" s="2" t="s">
        <v>104</v>
      </c>
      <c r="CF2441" s="5">
        <v>42971</v>
      </c>
      <c r="CG2441" s="2"/>
      <c r="CH2441" s="2"/>
      <c r="CI2441" s="2">
        <v>1</v>
      </c>
      <c r="CJ2441" s="2">
        <v>1</v>
      </c>
      <c r="CK2441" s="2">
        <v>22</v>
      </c>
      <c r="CL2441" s="2" t="s">
        <v>86</v>
      </c>
      <c r="CM2441" s="2"/>
    </row>
    <row r="2442" spans="1:91">
      <c r="A2442" s="2" t="s">
        <v>71</v>
      </c>
      <c r="B2442" s="2" t="s">
        <v>72</v>
      </c>
      <c r="C2442" s="2" t="s">
        <v>73</v>
      </c>
      <c r="D2442" s="2"/>
      <c r="E2442" s="2" t="str">
        <f>"FES1162570622"</f>
        <v>FES1162570622</v>
      </c>
      <c r="F2442" s="3">
        <v>42969</v>
      </c>
      <c r="G2442" s="2">
        <v>201802</v>
      </c>
      <c r="H2442" s="2" t="s">
        <v>74</v>
      </c>
      <c r="I2442" s="2" t="s">
        <v>75</v>
      </c>
      <c r="J2442" s="2" t="s">
        <v>76</v>
      </c>
      <c r="K2442" s="2" t="s">
        <v>77</v>
      </c>
      <c r="L2442" s="2" t="s">
        <v>539</v>
      </c>
      <c r="M2442" s="2" t="s">
        <v>540</v>
      </c>
      <c r="N2442" s="2" t="s">
        <v>1633</v>
      </c>
      <c r="O2442" s="2" t="s">
        <v>100</v>
      </c>
      <c r="P2442" s="2" t="str">
        <f>"2170586369                    "</f>
        <v xml:space="preserve">2170586369  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3.13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1</v>
      </c>
      <c r="BI2442" s="2">
        <v>1</v>
      </c>
      <c r="BJ2442" s="2">
        <v>0.2</v>
      </c>
      <c r="BK2442" s="2">
        <v>1</v>
      </c>
      <c r="BL2442" s="2">
        <v>32.380000000000003</v>
      </c>
      <c r="BM2442" s="2">
        <v>4.53</v>
      </c>
      <c r="BN2442" s="2">
        <v>36.909999999999997</v>
      </c>
      <c r="BO2442" s="2">
        <v>36.909999999999997</v>
      </c>
      <c r="BP2442" s="2"/>
      <c r="BQ2442" s="2" t="s">
        <v>83</v>
      </c>
      <c r="BR2442" s="2" t="s">
        <v>84</v>
      </c>
      <c r="BS2442" s="3">
        <v>42970</v>
      </c>
      <c r="BT2442" s="4">
        <v>0.47222222222222227</v>
      </c>
      <c r="BU2442" s="2" t="s">
        <v>1634</v>
      </c>
      <c r="BV2442" s="2" t="s">
        <v>86</v>
      </c>
      <c r="BW2442" s="2" t="s">
        <v>1007</v>
      </c>
      <c r="BX2442" s="2" t="s">
        <v>1452</v>
      </c>
      <c r="BY2442" s="2">
        <v>1200</v>
      </c>
      <c r="BZ2442" s="2"/>
      <c r="CA2442" s="2" t="s">
        <v>722</v>
      </c>
      <c r="CB2442" s="2"/>
      <c r="CC2442" s="2" t="s">
        <v>540</v>
      </c>
      <c r="CD2442" s="2">
        <v>2170</v>
      </c>
      <c r="CE2442" s="2" t="s">
        <v>104</v>
      </c>
      <c r="CF2442" s="5">
        <v>42971</v>
      </c>
      <c r="CG2442" s="2"/>
      <c r="CH2442" s="2"/>
      <c r="CI2442" s="2">
        <v>1</v>
      </c>
      <c r="CJ2442" s="2">
        <v>1</v>
      </c>
      <c r="CK2442" s="2">
        <v>22</v>
      </c>
      <c r="CL2442" s="2" t="s">
        <v>86</v>
      </c>
      <c r="CM2442" s="2"/>
    </row>
    <row r="2443" spans="1:91">
      <c r="A2443" s="2" t="s">
        <v>71</v>
      </c>
      <c r="B2443" s="2" t="s">
        <v>72</v>
      </c>
      <c r="C2443" s="2" t="s">
        <v>73</v>
      </c>
      <c r="D2443" s="2"/>
      <c r="E2443" s="2" t="str">
        <f>"FES1162570421"</f>
        <v>FES1162570421</v>
      </c>
      <c r="F2443" s="3">
        <v>42969</v>
      </c>
      <c r="G2443" s="2">
        <v>201802</v>
      </c>
      <c r="H2443" s="2" t="s">
        <v>74</v>
      </c>
      <c r="I2443" s="2" t="s">
        <v>75</v>
      </c>
      <c r="J2443" s="2" t="s">
        <v>76</v>
      </c>
      <c r="K2443" s="2" t="s">
        <v>77</v>
      </c>
      <c r="L2443" s="2" t="s">
        <v>244</v>
      </c>
      <c r="M2443" s="2" t="s">
        <v>245</v>
      </c>
      <c r="N2443" s="2" t="s">
        <v>246</v>
      </c>
      <c r="O2443" s="2" t="s">
        <v>100</v>
      </c>
      <c r="P2443" s="2" t="str">
        <f>"2170585978                    "</f>
        <v xml:space="preserve">2170585978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3.13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1</v>
      </c>
      <c r="BI2443" s="2">
        <v>1.6</v>
      </c>
      <c r="BJ2443" s="2">
        <v>0.6</v>
      </c>
      <c r="BK2443" s="2">
        <v>2</v>
      </c>
      <c r="BL2443" s="2">
        <v>32.380000000000003</v>
      </c>
      <c r="BM2443" s="2">
        <v>4.53</v>
      </c>
      <c r="BN2443" s="2">
        <v>36.909999999999997</v>
      </c>
      <c r="BO2443" s="2">
        <v>36.909999999999997</v>
      </c>
      <c r="BP2443" s="2"/>
      <c r="BQ2443" s="2" t="s">
        <v>2908</v>
      </c>
      <c r="BR2443" s="2" t="s">
        <v>84</v>
      </c>
      <c r="BS2443" s="3">
        <v>42971</v>
      </c>
      <c r="BT2443" s="4">
        <v>0.4375</v>
      </c>
      <c r="BU2443" s="2" t="s">
        <v>2623</v>
      </c>
      <c r="BV2443" s="2" t="s">
        <v>86</v>
      </c>
      <c r="BW2443" s="2" t="s">
        <v>124</v>
      </c>
      <c r="BX2443" s="2" t="s">
        <v>498</v>
      </c>
      <c r="BY2443" s="2">
        <v>3230.87</v>
      </c>
      <c r="BZ2443" s="2"/>
      <c r="CA2443" s="2" t="s">
        <v>2902</v>
      </c>
      <c r="CB2443" s="2"/>
      <c r="CC2443" s="2" t="s">
        <v>245</v>
      </c>
      <c r="CD2443" s="2">
        <v>1459</v>
      </c>
      <c r="CE2443" s="2" t="s">
        <v>89</v>
      </c>
      <c r="CF2443" s="5">
        <v>42972</v>
      </c>
      <c r="CG2443" s="2"/>
      <c r="CH2443" s="2"/>
      <c r="CI2443" s="2">
        <v>1</v>
      </c>
      <c r="CJ2443" s="2">
        <v>2</v>
      </c>
      <c r="CK2443" s="2">
        <v>22</v>
      </c>
      <c r="CL2443" s="2" t="s">
        <v>86</v>
      </c>
      <c r="CM2443" s="2"/>
    </row>
    <row r="2444" spans="1:91">
      <c r="A2444" s="2" t="s">
        <v>71</v>
      </c>
      <c r="B2444" s="2" t="s">
        <v>72</v>
      </c>
      <c r="C2444" s="2" t="s">
        <v>73</v>
      </c>
      <c r="D2444" s="2"/>
      <c r="E2444" s="2" t="str">
        <f>"FES1162570559"</f>
        <v>FES1162570559</v>
      </c>
      <c r="F2444" s="3">
        <v>42969</v>
      </c>
      <c r="G2444" s="2">
        <v>201802</v>
      </c>
      <c r="H2444" s="2" t="s">
        <v>74</v>
      </c>
      <c r="I2444" s="2" t="s">
        <v>75</v>
      </c>
      <c r="J2444" s="2" t="s">
        <v>76</v>
      </c>
      <c r="K2444" s="2" t="s">
        <v>77</v>
      </c>
      <c r="L2444" s="2" t="s">
        <v>144</v>
      </c>
      <c r="M2444" s="2" t="s">
        <v>145</v>
      </c>
      <c r="N2444" s="2" t="s">
        <v>295</v>
      </c>
      <c r="O2444" s="2" t="s">
        <v>100</v>
      </c>
      <c r="P2444" s="2" t="str">
        <f>"2170584124                    "</f>
        <v xml:space="preserve">2170584124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3.13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1</v>
      </c>
      <c r="BI2444" s="2">
        <v>1.1000000000000001</v>
      </c>
      <c r="BJ2444" s="2">
        <v>0.9</v>
      </c>
      <c r="BK2444" s="2">
        <v>2</v>
      </c>
      <c r="BL2444" s="2">
        <v>32.380000000000003</v>
      </c>
      <c r="BM2444" s="2">
        <v>4.53</v>
      </c>
      <c r="BN2444" s="2">
        <v>36.909999999999997</v>
      </c>
      <c r="BO2444" s="2">
        <v>36.909999999999997</v>
      </c>
      <c r="BP2444" s="2"/>
      <c r="BQ2444" s="2" t="s">
        <v>288</v>
      </c>
      <c r="BR2444" s="2" t="s">
        <v>84</v>
      </c>
      <c r="BS2444" s="3">
        <v>42970</v>
      </c>
      <c r="BT2444" s="4">
        <v>0.35069444444444442</v>
      </c>
      <c r="BU2444" s="2" t="s">
        <v>2633</v>
      </c>
      <c r="BV2444" s="2" t="s">
        <v>95</v>
      </c>
      <c r="BW2444" s="2"/>
      <c r="BX2444" s="2"/>
      <c r="BY2444" s="2">
        <v>4266.84</v>
      </c>
      <c r="BZ2444" s="2"/>
      <c r="CA2444" s="2" t="s">
        <v>1355</v>
      </c>
      <c r="CB2444" s="2"/>
      <c r="CC2444" s="2" t="s">
        <v>145</v>
      </c>
      <c r="CD2444" s="2">
        <v>2013</v>
      </c>
      <c r="CE2444" s="2" t="s">
        <v>135</v>
      </c>
      <c r="CF2444" s="5">
        <v>42971</v>
      </c>
      <c r="CG2444" s="2"/>
      <c r="CH2444" s="2"/>
      <c r="CI2444" s="2">
        <v>1</v>
      </c>
      <c r="CJ2444" s="2">
        <v>1</v>
      </c>
      <c r="CK2444" s="2">
        <v>22</v>
      </c>
      <c r="CL2444" s="2" t="s">
        <v>86</v>
      </c>
      <c r="CM2444" s="2"/>
    </row>
    <row r="2445" spans="1:91">
      <c r="A2445" s="2" t="s">
        <v>71</v>
      </c>
      <c r="B2445" s="2" t="s">
        <v>72</v>
      </c>
      <c r="C2445" s="2" t="s">
        <v>73</v>
      </c>
      <c r="D2445" s="2"/>
      <c r="E2445" s="2" t="str">
        <f>"FES1162570539"</f>
        <v>FES1162570539</v>
      </c>
      <c r="F2445" s="3">
        <v>42969</v>
      </c>
      <c r="G2445" s="2">
        <v>201802</v>
      </c>
      <c r="H2445" s="2" t="s">
        <v>74</v>
      </c>
      <c r="I2445" s="2" t="s">
        <v>75</v>
      </c>
      <c r="J2445" s="2" t="s">
        <v>76</v>
      </c>
      <c r="K2445" s="2" t="s">
        <v>77</v>
      </c>
      <c r="L2445" s="2" t="s">
        <v>97</v>
      </c>
      <c r="M2445" s="2" t="s">
        <v>98</v>
      </c>
      <c r="N2445" s="2" t="s">
        <v>99</v>
      </c>
      <c r="O2445" s="2" t="s">
        <v>100</v>
      </c>
      <c r="P2445" s="2" t="str">
        <f>"2170583855                    "</f>
        <v xml:space="preserve">2170583855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4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1</v>
      </c>
      <c r="BJ2445" s="2">
        <v>0.2</v>
      </c>
      <c r="BK2445" s="2">
        <v>1</v>
      </c>
      <c r="BL2445" s="2">
        <v>41.44</v>
      </c>
      <c r="BM2445" s="2">
        <v>5.8</v>
      </c>
      <c r="BN2445" s="2">
        <v>47.24</v>
      </c>
      <c r="BO2445" s="2">
        <v>47.24</v>
      </c>
      <c r="BP2445" s="2"/>
      <c r="BQ2445" s="2" t="s">
        <v>83</v>
      </c>
      <c r="BR2445" s="2" t="s">
        <v>84</v>
      </c>
      <c r="BS2445" s="3">
        <v>42970</v>
      </c>
      <c r="BT2445" s="4">
        <v>0.3527777777777778</v>
      </c>
      <c r="BU2445" s="2" t="s">
        <v>102</v>
      </c>
      <c r="BV2445" s="2" t="s">
        <v>95</v>
      </c>
      <c r="BW2445" s="2"/>
      <c r="BX2445" s="2"/>
      <c r="BY2445" s="2">
        <v>1200</v>
      </c>
      <c r="BZ2445" s="2"/>
      <c r="CA2445" s="2" t="s">
        <v>103</v>
      </c>
      <c r="CB2445" s="2"/>
      <c r="CC2445" s="2" t="s">
        <v>98</v>
      </c>
      <c r="CD2445" s="2">
        <v>6210</v>
      </c>
      <c r="CE2445" s="2" t="s">
        <v>104</v>
      </c>
      <c r="CF2445" s="5">
        <v>42971</v>
      </c>
      <c r="CG2445" s="2"/>
      <c r="CH2445" s="2"/>
      <c r="CI2445" s="2">
        <v>1</v>
      </c>
      <c r="CJ2445" s="2">
        <v>1</v>
      </c>
      <c r="CK2445" s="2">
        <v>21</v>
      </c>
      <c r="CL2445" s="2" t="s">
        <v>86</v>
      </c>
      <c r="CM2445" s="2"/>
    </row>
    <row r="2446" spans="1:91">
      <c r="A2446" s="2" t="s">
        <v>71</v>
      </c>
      <c r="B2446" s="2" t="s">
        <v>72</v>
      </c>
      <c r="C2446" s="2" t="s">
        <v>73</v>
      </c>
      <c r="D2446" s="2"/>
      <c r="E2446" s="2" t="str">
        <f>"FES1162570557"</f>
        <v>FES1162570557</v>
      </c>
      <c r="F2446" s="3">
        <v>42969</v>
      </c>
      <c r="G2446" s="2">
        <v>201802</v>
      </c>
      <c r="H2446" s="2" t="s">
        <v>74</v>
      </c>
      <c r="I2446" s="2" t="s">
        <v>75</v>
      </c>
      <c r="J2446" s="2" t="s">
        <v>76</v>
      </c>
      <c r="K2446" s="2" t="s">
        <v>77</v>
      </c>
      <c r="L2446" s="2" t="s">
        <v>170</v>
      </c>
      <c r="M2446" s="2" t="s">
        <v>171</v>
      </c>
      <c r="N2446" s="2" t="s">
        <v>2909</v>
      </c>
      <c r="O2446" s="2" t="s">
        <v>100</v>
      </c>
      <c r="P2446" s="2" t="str">
        <f>"2170584084                    "</f>
        <v xml:space="preserve">2170584084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3.13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1</v>
      </c>
      <c r="BI2446" s="2">
        <v>1.2</v>
      </c>
      <c r="BJ2446" s="2">
        <v>3.2</v>
      </c>
      <c r="BK2446" s="2">
        <v>4</v>
      </c>
      <c r="BL2446" s="2">
        <v>32.380000000000003</v>
      </c>
      <c r="BM2446" s="2">
        <v>4.53</v>
      </c>
      <c r="BN2446" s="2">
        <v>36.909999999999997</v>
      </c>
      <c r="BO2446" s="2">
        <v>36.909999999999997</v>
      </c>
      <c r="BP2446" s="2"/>
      <c r="BQ2446" s="2" t="s">
        <v>83</v>
      </c>
      <c r="BR2446" s="2" t="s">
        <v>84</v>
      </c>
      <c r="BS2446" s="3">
        <v>42970</v>
      </c>
      <c r="BT2446" s="4">
        <v>0.4375</v>
      </c>
      <c r="BU2446" s="2" t="s">
        <v>2910</v>
      </c>
      <c r="BV2446" s="2" t="s">
        <v>95</v>
      </c>
      <c r="BW2446" s="2"/>
      <c r="BX2446" s="2"/>
      <c r="BY2446" s="2">
        <v>15964.66</v>
      </c>
      <c r="BZ2446" s="2"/>
      <c r="CA2446" s="2"/>
      <c r="CB2446" s="2"/>
      <c r="CC2446" s="2" t="s">
        <v>171</v>
      </c>
      <c r="CD2446" s="2">
        <v>1401</v>
      </c>
      <c r="CE2446" s="2" t="s">
        <v>89</v>
      </c>
      <c r="CF2446" s="5">
        <v>42971</v>
      </c>
      <c r="CG2446" s="2"/>
      <c r="CH2446" s="2"/>
      <c r="CI2446" s="2">
        <v>1</v>
      </c>
      <c r="CJ2446" s="2">
        <v>1</v>
      </c>
      <c r="CK2446" s="2">
        <v>22</v>
      </c>
      <c r="CL2446" s="2" t="s">
        <v>86</v>
      </c>
      <c r="CM2446" s="2"/>
    </row>
    <row r="2447" spans="1:91">
      <c r="A2447" s="2" t="s">
        <v>71</v>
      </c>
      <c r="B2447" s="2" t="s">
        <v>72</v>
      </c>
      <c r="C2447" s="2" t="s">
        <v>73</v>
      </c>
      <c r="D2447" s="2"/>
      <c r="E2447" s="2" t="str">
        <f>"FES1162570451"</f>
        <v>FES1162570451</v>
      </c>
      <c r="F2447" s="3">
        <v>42969</v>
      </c>
      <c r="G2447" s="2">
        <v>201802</v>
      </c>
      <c r="H2447" s="2" t="s">
        <v>74</v>
      </c>
      <c r="I2447" s="2" t="s">
        <v>75</v>
      </c>
      <c r="J2447" s="2" t="s">
        <v>76</v>
      </c>
      <c r="K2447" s="2" t="s">
        <v>77</v>
      </c>
      <c r="L2447" s="2" t="s">
        <v>244</v>
      </c>
      <c r="M2447" s="2" t="s">
        <v>245</v>
      </c>
      <c r="N2447" s="2" t="s">
        <v>2911</v>
      </c>
      <c r="O2447" s="2" t="s">
        <v>100</v>
      </c>
      <c r="P2447" s="2" t="str">
        <f>"2170585856                    "</f>
        <v xml:space="preserve">2170585856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3.13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4.5999999999999996</v>
      </c>
      <c r="BJ2447" s="2">
        <v>2.2000000000000002</v>
      </c>
      <c r="BK2447" s="2">
        <v>5</v>
      </c>
      <c r="BL2447" s="2">
        <v>32.380000000000003</v>
      </c>
      <c r="BM2447" s="2">
        <v>4.53</v>
      </c>
      <c r="BN2447" s="2">
        <v>36.909999999999997</v>
      </c>
      <c r="BO2447" s="2">
        <v>36.909999999999997</v>
      </c>
      <c r="BP2447" s="2"/>
      <c r="BQ2447" s="2" t="s">
        <v>227</v>
      </c>
      <c r="BR2447" s="2" t="s">
        <v>84</v>
      </c>
      <c r="BS2447" s="3">
        <v>42970</v>
      </c>
      <c r="BT2447" s="4">
        <v>0.44791666666666669</v>
      </c>
      <c r="BU2447" s="2" t="s">
        <v>2912</v>
      </c>
      <c r="BV2447" s="2" t="s">
        <v>95</v>
      </c>
      <c r="BW2447" s="2"/>
      <c r="BX2447" s="2"/>
      <c r="BY2447" s="2">
        <v>10943.53</v>
      </c>
      <c r="BZ2447" s="2"/>
      <c r="CA2447" s="2" t="s">
        <v>733</v>
      </c>
      <c r="CB2447" s="2"/>
      <c r="CC2447" s="2" t="s">
        <v>245</v>
      </c>
      <c r="CD2447" s="2">
        <v>1459</v>
      </c>
      <c r="CE2447" s="2" t="s">
        <v>135</v>
      </c>
      <c r="CF2447" s="5">
        <v>42971</v>
      </c>
      <c r="CG2447" s="2"/>
      <c r="CH2447" s="2"/>
      <c r="CI2447" s="2">
        <v>1</v>
      </c>
      <c r="CJ2447" s="2">
        <v>1</v>
      </c>
      <c r="CK2447" s="2">
        <v>22</v>
      </c>
      <c r="CL2447" s="2" t="s">
        <v>86</v>
      </c>
      <c r="CM2447" s="2"/>
    </row>
    <row r="2448" spans="1:91">
      <c r="A2448" s="2" t="s">
        <v>71</v>
      </c>
      <c r="B2448" s="2" t="s">
        <v>72</v>
      </c>
      <c r="C2448" s="2" t="s">
        <v>73</v>
      </c>
      <c r="D2448" s="2"/>
      <c r="E2448" s="2" t="str">
        <f>"FES1162570458"</f>
        <v>FES1162570458</v>
      </c>
      <c r="F2448" s="3">
        <v>42969</v>
      </c>
      <c r="G2448" s="2">
        <v>201802</v>
      </c>
      <c r="H2448" s="2" t="s">
        <v>74</v>
      </c>
      <c r="I2448" s="2" t="s">
        <v>75</v>
      </c>
      <c r="J2448" s="2" t="s">
        <v>76</v>
      </c>
      <c r="K2448" s="2" t="s">
        <v>77</v>
      </c>
      <c r="L2448" s="2" t="s">
        <v>170</v>
      </c>
      <c r="M2448" s="2" t="s">
        <v>171</v>
      </c>
      <c r="N2448" s="2" t="s">
        <v>730</v>
      </c>
      <c r="O2448" s="2" t="s">
        <v>100</v>
      </c>
      <c r="P2448" s="2" t="str">
        <f>"2170586230                    "</f>
        <v xml:space="preserve">2170586230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3.13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2</v>
      </c>
      <c r="BJ2448" s="2">
        <v>0.2</v>
      </c>
      <c r="BK2448" s="2">
        <v>2</v>
      </c>
      <c r="BL2448" s="2">
        <v>32.380000000000003</v>
      </c>
      <c r="BM2448" s="2">
        <v>4.53</v>
      </c>
      <c r="BN2448" s="2">
        <v>36.909999999999997</v>
      </c>
      <c r="BO2448" s="2">
        <v>36.909999999999997</v>
      </c>
      <c r="BP2448" s="2"/>
      <c r="BQ2448" s="2" t="s">
        <v>108</v>
      </c>
      <c r="BR2448" s="2" t="s">
        <v>84</v>
      </c>
      <c r="BS2448" s="3">
        <v>42970</v>
      </c>
      <c r="BT2448" s="4">
        <v>0.4375</v>
      </c>
      <c r="BU2448" s="2" t="s">
        <v>2610</v>
      </c>
      <c r="BV2448" s="2" t="s">
        <v>95</v>
      </c>
      <c r="BW2448" s="2"/>
      <c r="BX2448" s="2"/>
      <c r="BY2448" s="2">
        <v>1200</v>
      </c>
      <c r="BZ2448" s="2"/>
      <c r="CA2448" s="2"/>
      <c r="CB2448" s="2"/>
      <c r="CC2448" s="2" t="s">
        <v>171</v>
      </c>
      <c r="CD2448" s="2">
        <v>1428</v>
      </c>
      <c r="CE2448" s="2" t="s">
        <v>104</v>
      </c>
      <c r="CF2448" s="5">
        <v>42971</v>
      </c>
      <c r="CG2448" s="2"/>
      <c r="CH2448" s="2"/>
      <c r="CI2448" s="2">
        <v>1</v>
      </c>
      <c r="CJ2448" s="2">
        <v>1</v>
      </c>
      <c r="CK2448" s="2">
        <v>22</v>
      </c>
      <c r="CL2448" s="2" t="s">
        <v>86</v>
      </c>
      <c r="CM2448" s="2"/>
    </row>
    <row r="2449" spans="1:91">
      <c r="A2449" s="2" t="s">
        <v>71</v>
      </c>
      <c r="B2449" s="2" t="s">
        <v>72</v>
      </c>
      <c r="C2449" s="2" t="s">
        <v>73</v>
      </c>
      <c r="D2449" s="2"/>
      <c r="E2449" s="2" t="str">
        <f>"FES1162570449"</f>
        <v>FES1162570449</v>
      </c>
      <c r="F2449" s="3">
        <v>42969</v>
      </c>
      <c r="G2449" s="2">
        <v>201802</v>
      </c>
      <c r="H2449" s="2" t="s">
        <v>74</v>
      </c>
      <c r="I2449" s="2" t="s">
        <v>75</v>
      </c>
      <c r="J2449" s="2" t="s">
        <v>76</v>
      </c>
      <c r="K2449" s="2" t="s">
        <v>77</v>
      </c>
      <c r="L2449" s="2" t="s">
        <v>170</v>
      </c>
      <c r="M2449" s="2" t="s">
        <v>171</v>
      </c>
      <c r="N2449" s="2" t="s">
        <v>730</v>
      </c>
      <c r="O2449" s="2" t="s">
        <v>100</v>
      </c>
      <c r="P2449" s="2" t="str">
        <f>"2170586218                    "</f>
        <v xml:space="preserve">2170586218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3.13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1</v>
      </c>
      <c r="BJ2449" s="2">
        <v>0.2</v>
      </c>
      <c r="BK2449" s="2">
        <v>1</v>
      </c>
      <c r="BL2449" s="2">
        <v>32.380000000000003</v>
      </c>
      <c r="BM2449" s="2">
        <v>4.53</v>
      </c>
      <c r="BN2449" s="2">
        <v>36.909999999999997</v>
      </c>
      <c r="BO2449" s="2">
        <v>36.909999999999997</v>
      </c>
      <c r="BP2449" s="2"/>
      <c r="BQ2449" s="2" t="s">
        <v>108</v>
      </c>
      <c r="BR2449" s="2" t="s">
        <v>84</v>
      </c>
      <c r="BS2449" s="3">
        <v>42970</v>
      </c>
      <c r="BT2449" s="4">
        <v>0.4375</v>
      </c>
      <c r="BU2449" s="2" t="s">
        <v>469</v>
      </c>
      <c r="BV2449" s="2" t="s">
        <v>95</v>
      </c>
      <c r="BW2449" s="2"/>
      <c r="BX2449" s="2"/>
      <c r="BY2449" s="2">
        <v>1200</v>
      </c>
      <c r="BZ2449" s="2"/>
      <c r="CA2449" s="2"/>
      <c r="CB2449" s="2"/>
      <c r="CC2449" s="2" t="s">
        <v>171</v>
      </c>
      <c r="CD2449" s="2">
        <v>1428</v>
      </c>
      <c r="CE2449" s="2" t="s">
        <v>104</v>
      </c>
      <c r="CF2449" s="5">
        <v>42971</v>
      </c>
      <c r="CG2449" s="2"/>
      <c r="CH2449" s="2"/>
      <c r="CI2449" s="2">
        <v>1</v>
      </c>
      <c r="CJ2449" s="2">
        <v>1</v>
      </c>
      <c r="CK2449" s="2">
        <v>22</v>
      </c>
      <c r="CL2449" s="2" t="s">
        <v>86</v>
      </c>
      <c r="CM2449" s="2"/>
    </row>
    <row r="2450" spans="1:91">
      <c r="A2450" s="2" t="s">
        <v>71</v>
      </c>
      <c r="B2450" s="2" t="s">
        <v>72</v>
      </c>
      <c r="C2450" s="2" t="s">
        <v>73</v>
      </c>
      <c r="D2450" s="2"/>
      <c r="E2450" s="2" t="str">
        <f>"FES1162570462"</f>
        <v>FES1162570462</v>
      </c>
      <c r="F2450" s="3">
        <v>42969</v>
      </c>
      <c r="G2450" s="2">
        <v>201802</v>
      </c>
      <c r="H2450" s="2" t="s">
        <v>74</v>
      </c>
      <c r="I2450" s="2" t="s">
        <v>75</v>
      </c>
      <c r="J2450" s="2" t="s">
        <v>76</v>
      </c>
      <c r="K2450" s="2" t="s">
        <v>77</v>
      </c>
      <c r="L2450" s="2" t="s">
        <v>216</v>
      </c>
      <c r="M2450" s="2" t="s">
        <v>217</v>
      </c>
      <c r="N2450" s="2" t="s">
        <v>351</v>
      </c>
      <c r="O2450" s="2" t="s">
        <v>100</v>
      </c>
      <c r="P2450" s="2" t="str">
        <f>"2170586234                    "</f>
        <v xml:space="preserve">2170586234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3.13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1</v>
      </c>
      <c r="BJ2450" s="2">
        <v>0.2</v>
      </c>
      <c r="BK2450" s="2">
        <v>1</v>
      </c>
      <c r="BL2450" s="2">
        <v>32.380000000000003</v>
      </c>
      <c r="BM2450" s="2">
        <v>4.53</v>
      </c>
      <c r="BN2450" s="2">
        <v>36.909999999999997</v>
      </c>
      <c r="BO2450" s="2">
        <v>36.909999999999997</v>
      </c>
      <c r="BP2450" s="2"/>
      <c r="BQ2450" s="2" t="s">
        <v>227</v>
      </c>
      <c r="BR2450" s="2" t="s">
        <v>84</v>
      </c>
      <c r="BS2450" s="3">
        <v>42970</v>
      </c>
      <c r="BT2450" s="4">
        <v>0.40416666666666662</v>
      </c>
      <c r="BU2450" s="2" t="s">
        <v>1451</v>
      </c>
      <c r="BV2450" s="2" t="s">
        <v>95</v>
      </c>
      <c r="BW2450" s="2"/>
      <c r="BX2450" s="2"/>
      <c r="BY2450" s="2">
        <v>1200</v>
      </c>
      <c r="BZ2450" s="2"/>
      <c r="CA2450" s="2"/>
      <c r="CB2450" s="2"/>
      <c r="CC2450" s="2" t="s">
        <v>217</v>
      </c>
      <c r="CD2450" s="2">
        <v>1451</v>
      </c>
      <c r="CE2450" s="2" t="s">
        <v>104</v>
      </c>
      <c r="CF2450" s="5">
        <v>42971</v>
      </c>
      <c r="CG2450" s="2"/>
      <c r="CH2450" s="2"/>
      <c r="CI2450" s="2">
        <v>1</v>
      </c>
      <c r="CJ2450" s="2">
        <v>1</v>
      </c>
      <c r="CK2450" s="2">
        <v>22</v>
      </c>
      <c r="CL2450" s="2" t="s">
        <v>86</v>
      </c>
      <c r="CM2450" s="2"/>
    </row>
    <row r="2451" spans="1:91">
      <c r="A2451" s="2" t="s">
        <v>71</v>
      </c>
      <c r="B2451" s="2" t="s">
        <v>72</v>
      </c>
      <c r="C2451" s="2" t="s">
        <v>73</v>
      </c>
      <c r="D2451" s="2"/>
      <c r="E2451" s="2" t="str">
        <f>"FES1162570469"</f>
        <v>FES1162570469</v>
      </c>
      <c r="F2451" s="3">
        <v>42969</v>
      </c>
      <c r="G2451" s="2">
        <v>201802</v>
      </c>
      <c r="H2451" s="2" t="s">
        <v>74</v>
      </c>
      <c r="I2451" s="2" t="s">
        <v>75</v>
      </c>
      <c r="J2451" s="2" t="s">
        <v>76</v>
      </c>
      <c r="K2451" s="2" t="s">
        <v>77</v>
      </c>
      <c r="L2451" s="2" t="s">
        <v>74</v>
      </c>
      <c r="M2451" s="2" t="s">
        <v>75</v>
      </c>
      <c r="N2451" s="2" t="s">
        <v>407</v>
      </c>
      <c r="O2451" s="2" t="s">
        <v>100</v>
      </c>
      <c r="P2451" s="2" t="str">
        <f>"2170586250                    "</f>
        <v xml:space="preserve">2170586250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3.13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1</v>
      </c>
      <c r="BI2451" s="2">
        <v>1</v>
      </c>
      <c r="BJ2451" s="2">
        <v>0.2</v>
      </c>
      <c r="BK2451" s="2">
        <v>1</v>
      </c>
      <c r="BL2451" s="2">
        <v>32.380000000000003</v>
      </c>
      <c r="BM2451" s="2">
        <v>4.53</v>
      </c>
      <c r="BN2451" s="2">
        <v>36.909999999999997</v>
      </c>
      <c r="BO2451" s="2">
        <v>36.909999999999997</v>
      </c>
      <c r="BP2451" s="2"/>
      <c r="BQ2451" s="2" t="s">
        <v>108</v>
      </c>
      <c r="BR2451" s="2" t="s">
        <v>84</v>
      </c>
      <c r="BS2451" s="3">
        <v>42970</v>
      </c>
      <c r="BT2451" s="4">
        <v>0.41666666666666669</v>
      </c>
      <c r="BU2451" s="2" t="s">
        <v>1946</v>
      </c>
      <c r="BV2451" s="2" t="s">
        <v>95</v>
      </c>
      <c r="BW2451" s="2"/>
      <c r="BX2451" s="2"/>
      <c r="BY2451" s="2">
        <v>1200</v>
      </c>
      <c r="BZ2451" s="2"/>
      <c r="CA2451" s="2" t="s">
        <v>267</v>
      </c>
      <c r="CB2451" s="2"/>
      <c r="CC2451" s="2" t="s">
        <v>75</v>
      </c>
      <c r="CD2451" s="2">
        <v>1645</v>
      </c>
      <c r="CE2451" s="2" t="s">
        <v>104</v>
      </c>
      <c r="CF2451" s="5">
        <v>42971</v>
      </c>
      <c r="CG2451" s="2"/>
      <c r="CH2451" s="2"/>
      <c r="CI2451" s="2">
        <v>1</v>
      </c>
      <c r="CJ2451" s="2">
        <v>1</v>
      </c>
      <c r="CK2451" s="2">
        <v>22</v>
      </c>
      <c r="CL2451" s="2" t="s">
        <v>86</v>
      </c>
      <c r="CM2451" s="2"/>
    </row>
    <row r="2452" spans="1:91">
      <c r="A2452" s="2" t="s">
        <v>71</v>
      </c>
      <c r="B2452" s="2" t="s">
        <v>72</v>
      </c>
      <c r="C2452" s="2" t="s">
        <v>73</v>
      </c>
      <c r="D2452" s="2"/>
      <c r="E2452" s="2" t="str">
        <f>"FES1162569702"</f>
        <v>FES1162569702</v>
      </c>
      <c r="F2452" s="3">
        <v>42969</v>
      </c>
      <c r="G2452" s="2">
        <v>201802</v>
      </c>
      <c r="H2452" s="2" t="s">
        <v>74</v>
      </c>
      <c r="I2452" s="2" t="s">
        <v>75</v>
      </c>
      <c r="J2452" s="2" t="s">
        <v>76</v>
      </c>
      <c r="K2452" s="2" t="s">
        <v>77</v>
      </c>
      <c r="L2452" s="2" t="s">
        <v>144</v>
      </c>
      <c r="M2452" s="2" t="s">
        <v>145</v>
      </c>
      <c r="N2452" s="2" t="s">
        <v>146</v>
      </c>
      <c r="O2452" s="2" t="s">
        <v>100</v>
      </c>
      <c r="P2452" s="2" t="str">
        <f>"2170585297                    "</f>
        <v xml:space="preserve">2170585297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3.13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1</v>
      </c>
      <c r="BI2452" s="2">
        <v>1</v>
      </c>
      <c r="BJ2452" s="2">
        <v>0.2</v>
      </c>
      <c r="BK2452" s="2">
        <v>1</v>
      </c>
      <c r="BL2452" s="2">
        <v>32.380000000000003</v>
      </c>
      <c r="BM2452" s="2">
        <v>4.53</v>
      </c>
      <c r="BN2452" s="2">
        <v>36.909999999999997</v>
      </c>
      <c r="BO2452" s="2">
        <v>36.909999999999997</v>
      </c>
      <c r="BP2452" s="2"/>
      <c r="BQ2452" s="2" t="s">
        <v>83</v>
      </c>
      <c r="BR2452" s="2" t="s">
        <v>84</v>
      </c>
      <c r="BS2452" s="3">
        <v>42970</v>
      </c>
      <c r="BT2452" s="4">
        <v>0.39930555555555558</v>
      </c>
      <c r="BU2452" s="2" t="s">
        <v>728</v>
      </c>
      <c r="BV2452" s="2" t="s">
        <v>95</v>
      </c>
      <c r="BW2452" s="2"/>
      <c r="BX2452" s="2"/>
      <c r="BY2452" s="2">
        <v>1200</v>
      </c>
      <c r="BZ2452" s="2"/>
      <c r="CA2452" s="2" t="s">
        <v>729</v>
      </c>
      <c r="CB2452" s="2"/>
      <c r="CC2452" s="2" t="s">
        <v>145</v>
      </c>
      <c r="CD2452" s="2">
        <v>2094</v>
      </c>
      <c r="CE2452" s="2" t="s">
        <v>104</v>
      </c>
      <c r="CF2452" s="5">
        <v>42971</v>
      </c>
      <c r="CG2452" s="2"/>
      <c r="CH2452" s="2"/>
      <c r="CI2452" s="2">
        <v>1</v>
      </c>
      <c r="CJ2452" s="2">
        <v>1</v>
      </c>
      <c r="CK2452" s="2">
        <v>22</v>
      </c>
      <c r="CL2452" s="2" t="s">
        <v>86</v>
      </c>
      <c r="CM2452" s="2"/>
    </row>
    <row r="2453" spans="1:91">
      <c r="A2453" s="2" t="s">
        <v>71</v>
      </c>
      <c r="B2453" s="2" t="s">
        <v>72</v>
      </c>
      <c r="C2453" s="2" t="s">
        <v>73</v>
      </c>
      <c r="D2453" s="2"/>
      <c r="E2453" s="2" t="str">
        <f>"FES1162569845"</f>
        <v>FES1162569845</v>
      </c>
      <c r="F2453" s="3">
        <v>42969</v>
      </c>
      <c r="G2453" s="2">
        <v>201802</v>
      </c>
      <c r="H2453" s="2" t="s">
        <v>74</v>
      </c>
      <c r="I2453" s="2" t="s">
        <v>75</v>
      </c>
      <c r="J2453" s="2" t="s">
        <v>76</v>
      </c>
      <c r="K2453" s="2" t="s">
        <v>77</v>
      </c>
      <c r="L2453" s="2" t="s">
        <v>715</v>
      </c>
      <c r="M2453" s="2" t="s">
        <v>716</v>
      </c>
      <c r="N2453" s="2" t="s">
        <v>2542</v>
      </c>
      <c r="O2453" s="2" t="s">
        <v>100</v>
      </c>
      <c r="P2453" s="2" t="str">
        <f>"2170585648                    "</f>
        <v xml:space="preserve">2170585648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4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1</v>
      </c>
      <c r="BI2453" s="2">
        <v>1</v>
      </c>
      <c r="BJ2453" s="2">
        <v>0.2</v>
      </c>
      <c r="BK2453" s="2">
        <v>1</v>
      </c>
      <c r="BL2453" s="2">
        <v>41.44</v>
      </c>
      <c r="BM2453" s="2">
        <v>5.8</v>
      </c>
      <c r="BN2453" s="2">
        <v>47.24</v>
      </c>
      <c r="BO2453" s="2">
        <v>47.24</v>
      </c>
      <c r="BP2453" s="2"/>
      <c r="BQ2453" s="2" t="s">
        <v>227</v>
      </c>
      <c r="BR2453" s="2" t="s">
        <v>84</v>
      </c>
      <c r="BS2453" s="3">
        <v>42970</v>
      </c>
      <c r="BT2453" s="4">
        <v>0.50555555555555554</v>
      </c>
      <c r="BU2453" s="2" t="s">
        <v>2913</v>
      </c>
      <c r="BV2453" s="2" t="s">
        <v>95</v>
      </c>
      <c r="BW2453" s="2"/>
      <c r="BX2453" s="2"/>
      <c r="BY2453" s="2">
        <v>1200</v>
      </c>
      <c r="BZ2453" s="2"/>
      <c r="CA2453" s="2" t="s">
        <v>1380</v>
      </c>
      <c r="CB2453" s="2"/>
      <c r="CC2453" s="2" t="s">
        <v>716</v>
      </c>
      <c r="CD2453" s="2">
        <v>3280</v>
      </c>
      <c r="CE2453" s="2" t="s">
        <v>104</v>
      </c>
      <c r="CF2453" s="5">
        <v>42972</v>
      </c>
      <c r="CG2453" s="2"/>
      <c r="CH2453" s="2"/>
      <c r="CI2453" s="2">
        <v>1</v>
      </c>
      <c r="CJ2453" s="2">
        <v>1</v>
      </c>
      <c r="CK2453" s="2">
        <v>21</v>
      </c>
      <c r="CL2453" s="2" t="s">
        <v>86</v>
      </c>
      <c r="CM2453" s="2"/>
    </row>
    <row r="2454" spans="1:91">
      <c r="A2454" s="2" t="s">
        <v>71</v>
      </c>
      <c r="B2454" s="2" t="s">
        <v>72</v>
      </c>
      <c r="C2454" s="2" t="s">
        <v>73</v>
      </c>
      <c r="D2454" s="2"/>
      <c r="E2454" s="2" t="str">
        <f>"FES1162570516"</f>
        <v>FES1162570516</v>
      </c>
      <c r="F2454" s="3">
        <v>42969</v>
      </c>
      <c r="G2454" s="2">
        <v>201802</v>
      </c>
      <c r="H2454" s="2" t="s">
        <v>74</v>
      </c>
      <c r="I2454" s="2" t="s">
        <v>75</v>
      </c>
      <c r="J2454" s="2" t="s">
        <v>76</v>
      </c>
      <c r="K2454" s="2" t="s">
        <v>77</v>
      </c>
      <c r="L2454" s="2" t="s">
        <v>539</v>
      </c>
      <c r="M2454" s="2" t="s">
        <v>540</v>
      </c>
      <c r="N2454" s="2" t="s">
        <v>602</v>
      </c>
      <c r="O2454" s="2" t="s">
        <v>100</v>
      </c>
      <c r="P2454" s="2" t="str">
        <f>"2170586285                    "</f>
        <v xml:space="preserve">2170586285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3.13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1</v>
      </c>
      <c r="BI2454" s="2">
        <v>1</v>
      </c>
      <c r="BJ2454" s="2">
        <v>0.2</v>
      </c>
      <c r="BK2454" s="2">
        <v>1</v>
      </c>
      <c r="BL2454" s="2">
        <v>32.380000000000003</v>
      </c>
      <c r="BM2454" s="2">
        <v>4.53</v>
      </c>
      <c r="BN2454" s="2">
        <v>36.909999999999997</v>
      </c>
      <c r="BO2454" s="2">
        <v>36.909999999999997</v>
      </c>
      <c r="BP2454" s="2"/>
      <c r="BQ2454" s="2" t="s">
        <v>83</v>
      </c>
      <c r="BR2454" s="2" t="s">
        <v>84</v>
      </c>
      <c r="BS2454" s="3">
        <v>42970</v>
      </c>
      <c r="BT2454" s="4">
        <v>0.40625</v>
      </c>
      <c r="BU2454" s="2" t="s">
        <v>2802</v>
      </c>
      <c r="BV2454" s="2" t="s">
        <v>95</v>
      </c>
      <c r="BW2454" s="2"/>
      <c r="BX2454" s="2"/>
      <c r="BY2454" s="2">
        <v>1200</v>
      </c>
      <c r="BZ2454" s="2"/>
      <c r="CA2454" s="2" t="s">
        <v>722</v>
      </c>
      <c r="CB2454" s="2"/>
      <c r="CC2454" s="2" t="s">
        <v>540</v>
      </c>
      <c r="CD2454" s="2">
        <v>2162</v>
      </c>
      <c r="CE2454" s="2" t="s">
        <v>104</v>
      </c>
      <c r="CF2454" s="5">
        <v>42971</v>
      </c>
      <c r="CG2454" s="2"/>
      <c r="CH2454" s="2"/>
      <c r="CI2454" s="2">
        <v>1</v>
      </c>
      <c r="CJ2454" s="2">
        <v>1</v>
      </c>
      <c r="CK2454" s="2">
        <v>22</v>
      </c>
      <c r="CL2454" s="2" t="s">
        <v>86</v>
      </c>
      <c r="CM2454" s="2"/>
    </row>
    <row r="2455" spans="1:91">
      <c r="A2455" s="2" t="s">
        <v>71</v>
      </c>
      <c r="B2455" s="2" t="s">
        <v>72</v>
      </c>
      <c r="C2455" s="2" t="s">
        <v>73</v>
      </c>
      <c r="D2455" s="2"/>
      <c r="E2455" s="2" t="str">
        <f>"FES1162570614"</f>
        <v>FES1162570614</v>
      </c>
      <c r="F2455" s="3">
        <v>42969</v>
      </c>
      <c r="G2455" s="2">
        <v>201802</v>
      </c>
      <c r="H2455" s="2" t="s">
        <v>74</v>
      </c>
      <c r="I2455" s="2" t="s">
        <v>75</v>
      </c>
      <c r="J2455" s="2" t="s">
        <v>76</v>
      </c>
      <c r="K2455" s="2" t="s">
        <v>77</v>
      </c>
      <c r="L2455" s="2" t="s">
        <v>97</v>
      </c>
      <c r="M2455" s="2" t="s">
        <v>98</v>
      </c>
      <c r="N2455" s="2" t="s">
        <v>292</v>
      </c>
      <c r="O2455" s="2" t="s">
        <v>100</v>
      </c>
      <c r="P2455" s="2" t="str">
        <f>"2170586361                    "</f>
        <v xml:space="preserve">2170586361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4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1</v>
      </c>
      <c r="BI2455" s="2">
        <v>1</v>
      </c>
      <c r="BJ2455" s="2">
        <v>0.2</v>
      </c>
      <c r="BK2455" s="2">
        <v>1</v>
      </c>
      <c r="BL2455" s="2">
        <v>41.44</v>
      </c>
      <c r="BM2455" s="2">
        <v>5.8</v>
      </c>
      <c r="BN2455" s="2">
        <v>47.24</v>
      </c>
      <c r="BO2455" s="2">
        <v>47.24</v>
      </c>
      <c r="BP2455" s="2"/>
      <c r="BQ2455" s="2" t="s">
        <v>83</v>
      </c>
      <c r="BR2455" s="2" t="s">
        <v>84</v>
      </c>
      <c r="BS2455" s="3">
        <v>42970</v>
      </c>
      <c r="BT2455" s="4">
        <v>0.3125</v>
      </c>
      <c r="BU2455" s="2" t="s">
        <v>2413</v>
      </c>
      <c r="BV2455" s="2" t="s">
        <v>95</v>
      </c>
      <c r="BW2455" s="2"/>
      <c r="BX2455" s="2"/>
      <c r="BY2455" s="2">
        <v>1200</v>
      </c>
      <c r="BZ2455" s="2"/>
      <c r="CA2455" s="2" t="s">
        <v>804</v>
      </c>
      <c r="CB2455" s="2"/>
      <c r="CC2455" s="2" t="s">
        <v>98</v>
      </c>
      <c r="CD2455" s="2">
        <v>6001</v>
      </c>
      <c r="CE2455" s="2" t="s">
        <v>104</v>
      </c>
      <c r="CF2455" s="5">
        <v>42971</v>
      </c>
      <c r="CG2455" s="2"/>
      <c r="CH2455" s="2"/>
      <c r="CI2455" s="2">
        <v>1</v>
      </c>
      <c r="CJ2455" s="2">
        <v>1</v>
      </c>
      <c r="CK2455" s="2">
        <v>21</v>
      </c>
      <c r="CL2455" s="2" t="s">
        <v>86</v>
      </c>
      <c r="CM2455" s="2"/>
    </row>
    <row r="2456" spans="1:91">
      <c r="A2456" s="2" t="s">
        <v>71</v>
      </c>
      <c r="B2456" s="2" t="s">
        <v>72</v>
      </c>
      <c r="C2456" s="2" t="s">
        <v>73</v>
      </c>
      <c r="D2456" s="2"/>
      <c r="E2456" s="2" t="str">
        <f>"FES1162569873"</f>
        <v>FES1162569873</v>
      </c>
      <c r="F2456" s="3">
        <v>42969</v>
      </c>
      <c r="G2456" s="2">
        <v>201802</v>
      </c>
      <c r="H2456" s="2" t="s">
        <v>74</v>
      </c>
      <c r="I2456" s="2" t="s">
        <v>75</v>
      </c>
      <c r="J2456" s="2" t="s">
        <v>76</v>
      </c>
      <c r="K2456" s="2" t="s">
        <v>77</v>
      </c>
      <c r="L2456" s="2" t="s">
        <v>237</v>
      </c>
      <c r="M2456" s="2" t="s">
        <v>238</v>
      </c>
      <c r="N2456" s="2" t="s">
        <v>1530</v>
      </c>
      <c r="O2456" s="2" t="s">
        <v>100</v>
      </c>
      <c r="P2456" s="2" t="str">
        <f>"2170585681                    "</f>
        <v xml:space="preserve">2170585681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4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1</v>
      </c>
      <c r="BJ2456" s="2">
        <v>0.2</v>
      </c>
      <c r="BK2456" s="2">
        <v>1</v>
      </c>
      <c r="BL2456" s="2">
        <v>41.44</v>
      </c>
      <c r="BM2456" s="2">
        <v>5.8</v>
      </c>
      <c r="BN2456" s="2">
        <v>47.24</v>
      </c>
      <c r="BO2456" s="2">
        <v>47.24</v>
      </c>
      <c r="BP2456" s="2"/>
      <c r="BQ2456" s="2" t="s">
        <v>227</v>
      </c>
      <c r="BR2456" s="2" t="s">
        <v>84</v>
      </c>
      <c r="BS2456" s="3">
        <v>42970</v>
      </c>
      <c r="BT2456" s="4">
        <v>0.40972222222222227</v>
      </c>
      <c r="BU2456" s="2" t="s">
        <v>2859</v>
      </c>
      <c r="BV2456" s="2" t="s">
        <v>95</v>
      </c>
      <c r="BW2456" s="2"/>
      <c r="BX2456" s="2"/>
      <c r="BY2456" s="2">
        <v>1200</v>
      </c>
      <c r="BZ2456" s="2"/>
      <c r="CA2456" s="2" t="s">
        <v>672</v>
      </c>
      <c r="CB2456" s="2"/>
      <c r="CC2456" s="2" t="s">
        <v>238</v>
      </c>
      <c r="CD2456" s="2">
        <v>3610</v>
      </c>
      <c r="CE2456" s="2" t="s">
        <v>104</v>
      </c>
      <c r="CF2456" s="5">
        <v>42971</v>
      </c>
      <c r="CG2456" s="2"/>
      <c r="CH2456" s="2"/>
      <c r="CI2456" s="2">
        <v>1</v>
      </c>
      <c r="CJ2456" s="2">
        <v>1</v>
      </c>
      <c r="CK2456" s="2">
        <v>21</v>
      </c>
      <c r="CL2456" s="2" t="s">
        <v>86</v>
      </c>
      <c r="CM2456" s="2"/>
    </row>
    <row r="2457" spans="1:91">
      <c r="A2457" s="2" t="s">
        <v>71</v>
      </c>
      <c r="B2457" s="2" t="s">
        <v>72</v>
      </c>
      <c r="C2457" s="2" t="s">
        <v>73</v>
      </c>
      <c r="D2457" s="2"/>
      <c r="E2457" s="2" t="str">
        <f>"FES1162570535"</f>
        <v>FES1162570535</v>
      </c>
      <c r="F2457" s="3">
        <v>42969</v>
      </c>
      <c r="G2457" s="2">
        <v>201802</v>
      </c>
      <c r="H2457" s="2" t="s">
        <v>74</v>
      </c>
      <c r="I2457" s="2" t="s">
        <v>75</v>
      </c>
      <c r="J2457" s="2" t="s">
        <v>76</v>
      </c>
      <c r="K2457" s="2" t="s">
        <v>77</v>
      </c>
      <c r="L2457" s="2" t="s">
        <v>97</v>
      </c>
      <c r="M2457" s="2" t="s">
        <v>98</v>
      </c>
      <c r="N2457" s="2" t="s">
        <v>99</v>
      </c>
      <c r="O2457" s="2" t="s">
        <v>100</v>
      </c>
      <c r="P2457" s="2" t="str">
        <f>"2170583839                    "</f>
        <v xml:space="preserve">2170583839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4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1</v>
      </c>
      <c r="BJ2457" s="2">
        <v>0.2</v>
      </c>
      <c r="BK2457" s="2">
        <v>1</v>
      </c>
      <c r="BL2457" s="2">
        <v>41.44</v>
      </c>
      <c r="BM2457" s="2">
        <v>5.8</v>
      </c>
      <c r="BN2457" s="2">
        <v>47.24</v>
      </c>
      <c r="BO2457" s="2">
        <v>47.24</v>
      </c>
      <c r="BP2457" s="2"/>
      <c r="BQ2457" s="2" t="s">
        <v>83</v>
      </c>
      <c r="BR2457" s="2" t="s">
        <v>84</v>
      </c>
      <c r="BS2457" s="3">
        <v>42970</v>
      </c>
      <c r="BT2457" s="4">
        <v>0.3520833333333333</v>
      </c>
      <c r="BU2457" s="2" t="s">
        <v>102</v>
      </c>
      <c r="BV2457" s="2" t="s">
        <v>95</v>
      </c>
      <c r="BW2457" s="2"/>
      <c r="BX2457" s="2"/>
      <c r="BY2457" s="2">
        <v>1200</v>
      </c>
      <c r="BZ2457" s="2"/>
      <c r="CA2457" s="2" t="s">
        <v>103</v>
      </c>
      <c r="CB2457" s="2"/>
      <c r="CC2457" s="2" t="s">
        <v>98</v>
      </c>
      <c r="CD2457" s="2">
        <v>6210</v>
      </c>
      <c r="CE2457" s="2" t="s">
        <v>104</v>
      </c>
      <c r="CF2457" s="5">
        <v>42971</v>
      </c>
      <c r="CG2457" s="2"/>
      <c r="CH2457" s="2"/>
      <c r="CI2457" s="2">
        <v>1</v>
      </c>
      <c r="CJ2457" s="2">
        <v>1</v>
      </c>
      <c r="CK2457" s="2">
        <v>21</v>
      </c>
      <c r="CL2457" s="2" t="s">
        <v>86</v>
      </c>
      <c r="CM2457" s="2"/>
    </row>
    <row r="2458" spans="1:91">
      <c r="A2458" s="2" t="s">
        <v>71</v>
      </c>
      <c r="B2458" s="2" t="s">
        <v>72</v>
      </c>
      <c r="C2458" s="2" t="s">
        <v>73</v>
      </c>
      <c r="D2458" s="2"/>
      <c r="E2458" s="2" t="str">
        <f>"FES1162569746"</f>
        <v>FES1162569746</v>
      </c>
      <c r="F2458" s="3">
        <v>42969</v>
      </c>
      <c r="G2458" s="2">
        <v>201802</v>
      </c>
      <c r="H2458" s="2" t="s">
        <v>74</v>
      </c>
      <c r="I2458" s="2" t="s">
        <v>75</v>
      </c>
      <c r="J2458" s="2" t="s">
        <v>76</v>
      </c>
      <c r="K2458" s="2" t="s">
        <v>77</v>
      </c>
      <c r="L2458" s="2" t="s">
        <v>144</v>
      </c>
      <c r="M2458" s="2" t="s">
        <v>145</v>
      </c>
      <c r="N2458" s="2" t="s">
        <v>2605</v>
      </c>
      <c r="O2458" s="2" t="s">
        <v>100</v>
      </c>
      <c r="P2458" s="2" t="str">
        <f>"2170584910                    "</f>
        <v xml:space="preserve">2170584910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3.13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1</v>
      </c>
      <c r="BI2458" s="2">
        <v>1</v>
      </c>
      <c r="BJ2458" s="2">
        <v>0.2</v>
      </c>
      <c r="BK2458" s="2">
        <v>1</v>
      </c>
      <c r="BL2458" s="2">
        <v>32.380000000000003</v>
      </c>
      <c r="BM2458" s="2">
        <v>4.53</v>
      </c>
      <c r="BN2458" s="2">
        <v>36.909999999999997</v>
      </c>
      <c r="BO2458" s="2">
        <v>36.909999999999997</v>
      </c>
      <c r="BP2458" s="2"/>
      <c r="BQ2458" s="2" t="s">
        <v>83</v>
      </c>
      <c r="BR2458" s="2" t="s">
        <v>84</v>
      </c>
      <c r="BS2458" s="3">
        <v>42970</v>
      </c>
      <c r="BT2458" s="4">
        <v>0.38541666666666669</v>
      </c>
      <c r="BU2458" s="2" t="s">
        <v>2914</v>
      </c>
      <c r="BV2458" s="2" t="s">
        <v>95</v>
      </c>
      <c r="BW2458" s="2"/>
      <c r="BX2458" s="2"/>
      <c r="BY2458" s="2">
        <v>1200</v>
      </c>
      <c r="BZ2458" s="2"/>
      <c r="CA2458" s="2" t="s">
        <v>267</v>
      </c>
      <c r="CB2458" s="2"/>
      <c r="CC2458" s="2" t="s">
        <v>145</v>
      </c>
      <c r="CD2458" s="2">
        <v>2065</v>
      </c>
      <c r="CE2458" s="2" t="s">
        <v>104</v>
      </c>
      <c r="CF2458" s="5">
        <v>42971</v>
      </c>
      <c r="CG2458" s="2"/>
      <c r="CH2458" s="2"/>
      <c r="CI2458" s="2">
        <v>1</v>
      </c>
      <c r="CJ2458" s="2">
        <v>1</v>
      </c>
      <c r="CK2458" s="2">
        <v>22</v>
      </c>
      <c r="CL2458" s="2" t="s">
        <v>86</v>
      </c>
      <c r="CM2458" s="2"/>
    </row>
    <row r="2459" spans="1:91">
      <c r="A2459" s="2" t="s">
        <v>71</v>
      </c>
      <c r="B2459" s="2" t="s">
        <v>72</v>
      </c>
      <c r="C2459" s="2" t="s">
        <v>73</v>
      </c>
      <c r="D2459" s="2"/>
      <c r="E2459" s="2" t="str">
        <f>"FES1162570505"</f>
        <v>FES1162570505</v>
      </c>
      <c r="F2459" s="3">
        <v>42969</v>
      </c>
      <c r="G2459" s="2">
        <v>201802</v>
      </c>
      <c r="H2459" s="2" t="s">
        <v>74</v>
      </c>
      <c r="I2459" s="2" t="s">
        <v>75</v>
      </c>
      <c r="J2459" s="2" t="s">
        <v>76</v>
      </c>
      <c r="K2459" s="2" t="s">
        <v>77</v>
      </c>
      <c r="L2459" s="2" t="s">
        <v>841</v>
      </c>
      <c r="M2459" s="2" t="s">
        <v>842</v>
      </c>
      <c r="N2459" s="2" t="s">
        <v>843</v>
      </c>
      <c r="O2459" s="2" t="s">
        <v>100</v>
      </c>
      <c r="P2459" s="2" t="str">
        <f>"2170586265                    "</f>
        <v xml:space="preserve">2170586265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7.75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1</v>
      </c>
      <c r="BJ2459" s="2">
        <v>0.2</v>
      </c>
      <c r="BK2459" s="2">
        <v>1</v>
      </c>
      <c r="BL2459" s="2">
        <v>80.290000000000006</v>
      </c>
      <c r="BM2459" s="2">
        <v>11.24</v>
      </c>
      <c r="BN2459" s="2">
        <v>91.53</v>
      </c>
      <c r="BO2459" s="2">
        <v>91.53</v>
      </c>
      <c r="BP2459" s="2"/>
      <c r="BQ2459" s="2" t="s">
        <v>83</v>
      </c>
      <c r="BR2459" s="2" t="s">
        <v>84</v>
      </c>
      <c r="BS2459" s="3">
        <v>42970</v>
      </c>
      <c r="BT2459" s="4">
        <v>0.6</v>
      </c>
      <c r="BU2459" s="2" t="s">
        <v>1328</v>
      </c>
      <c r="BV2459" s="2" t="s">
        <v>95</v>
      </c>
      <c r="BW2459" s="2"/>
      <c r="BX2459" s="2"/>
      <c r="BY2459" s="2">
        <v>1200</v>
      </c>
      <c r="BZ2459" s="2"/>
      <c r="CA2459" s="2" t="s">
        <v>845</v>
      </c>
      <c r="CB2459" s="2"/>
      <c r="CC2459" s="2" t="s">
        <v>842</v>
      </c>
      <c r="CD2459" s="2">
        <v>3370</v>
      </c>
      <c r="CE2459" s="2" t="s">
        <v>104</v>
      </c>
      <c r="CF2459" s="5">
        <v>42972</v>
      </c>
      <c r="CG2459" s="2"/>
      <c r="CH2459" s="2"/>
      <c r="CI2459" s="2">
        <v>3</v>
      </c>
      <c r="CJ2459" s="2">
        <v>1</v>
      </c>
      <c r="CK2459" s="2">
        <v>23</v>
      </c>
      <c r="CL2459" s="2" t="s">
        <v>86</v>
      </c>
      <c r="CM2459" s="2"/>
    </row>
    <row r="2460" spans="1:91">
      <c r="A2460" s="2" t="s">
        <v>71</v>
      </c>
      <c r="B2460" s="2" t="s">
        <v>72</v>
      </c>
      <c r="C2460" s="2" t="s">
        <v>73</v>
      </c>
      <c r="D2460" s="2"/>
      <c r="E2460" s="2" t="str">
        <f>"FES1162570500"</f>
        <v>FES1162570500</v>
      </c>
      <c r="F2460" s="3">
        <v>42969</v>
      </c>
      <c r="G2460" s="2">
        <v>201802</v>
      </c>
      <c r="H2460" s="2" t="s">
        <v>74</v>
      </c>
      <c r="I2460" s="2" t="s">
        <v>75</v>
      </c>
      <c r="J2460" s="2" t="s">
        <v>76</v>
      </c>
      <c r="K2460" s="2" t="s">
        <v>77</v>
      </c>
      <c r="L2460" s="2" t="s">
        <v>97</v>
      </c>
      <c r="M2460" s="2" t="s">
        <v>98</v>
      </c>
      <c r="N2460" s="2" t="s">
        <v>1210</v>
      </c>
      <c r="O2460" s="2" t="s">
        <v>100</v>
      </c>
      <c r="P2460" s="2" t="str">
        <f>"2170585799                    "</f>
        <v xml:space="preserve">2170585799  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4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1</v>
      </c>
      <c r="BI2460" s="2">
        <v>1</v>
      </c>
      <c r="BJ2460" s="2">
        <v>0.2</v>
      </c>
      <c r="BK2460" s="2">
        <v>1</v>
      </c>
      <c r="BL2460" s="2">
        <v>41.44</v>
      </c>
      <c r="BM2460" s="2">
        <v>5.8</v>
      </c>
      <c r="BN2460" s="2">
        <v>47.24</v>
      </c>
      <c r="BO2460" s="2">
        <v>47.24</v>
      </c>
      <c r="BP2460" s="2"/>
      <c r="BQ2460" s="2" t="s">
        <v>108</v>
      </c>
      <c r="BR2460" s="2" t="s">
        <v>84</v>
      </c>
      <c r="BS2460" s="3">
        <v>42970</v>
      </c>
      <c r="BT2460" s="4">
        <v>0.30486111111111108</v>
      </c>
      <c r="BU2460" s="2" t="s">
        <v>2873</v>
      </c>
      <c r="BV2460" s="2" t="s">
        <v>95</v>
      </c>
      <c r="BW2460" s="2"/>
      <c r="BX2460" s="2"/>
      <c r="BY2460" s="2">
        <v>1200</v>
      </c>
      <c r="BZ2460" s="2"/>
      <c r="CA2460" s="2" t="s">
        <v>804</v>
      </c>
      <c r="CB2460" s="2"/>
      <c r="CC2460" s="2" t="s">
        <v>98</v>
      </c>
      <c r="CD2460" s="2">
        <v>6012</v>
      </c>
      <c r="CE2460" s="2" t="s">
        <v>104</v>
      </c>
      <c r="CF2460" s="5">
        <v>42971</v>
      </c>
      <c r="CG2460" s="2"/>
      <c r="CH2460" s="2"/>
      <c r="CI2460" s="2">
        <v>1</v>
      </c>
      <c r="CJ2460" s="2">
        <v>1</v>
      </c>
      <c r="CK2460" s="2">
        <v>21</v>
      </c>
      <c r="CL2460" s="2" t="s">
        <v>86</v>
      </c>
      <c r="CM2460" s="2"/>
    </row>
    <row r="2461" spans="1:91">
      <c r="A2461" s="2" t="s">
        <v>71</v>
      </c>
      <c r="B2461" s="2" t="s">
        <v>72</v>
      </c>
      <c r="C2461" s="2" t="s">
        <v>73</v>
      </c>
      <c r="D2461" s="2"/>
      <c r="E2461" s="2" t="str">
        <f>"FES1162570547"</f>
        <v>FES1162570547</v>
      </c>
      <c r="F2461" s="3">
        <v>42969</v>
      </c>
      <c r="G2461" s="2">
        <v>201802</v>
      </c>
      <c r="H2461" s="2" t="s">
        <v>74</v>
      </c>
      <c r="I2461" s="2" t="s">
        <v>75</v>
      </c>
      <c r="J2461" s="2" t="s">
        <v>76</v>
      </c>
      <c r="K2461" s="2" t="s">
        <v>77</v>
      </c>
      <c r="L2461" s="2" t="s">
        <v>97</v>
      </c>
      <c r="M2461" s="2" t="s">
        <v>98</v>
      </c>
      <c r="N2461" s="2" t="s">
        <v>248</v>
      </c>
      <c r="O2461" s="2" t="s">
        <v>100</v>
      </c>
      <c r="P2461" s="2" t="str">
        <f>"2170583996                    "</f>
        <v xml:space="preserve">2170583996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4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1</v>
      </c>
      <c r="BI2461" s="2">
        <v>1</v>
      </c>
      <c r="BJ2461" s="2">
        <v>0.2</v>
      </c>
      <c r="BK2461" s="2">
        <v>1</v>
      </c>
      <c r="BL2461" s="2">
        <v>41.44</v>
      </c>
      <c r="BM2461" s="2">
        <v>5.8</v>
      </c>
      <c r="BN2461" s="2">
        <v>47.24</v>
      </c>
      <c r="BO2461" s="2">
        <v>47.24</v>
      </c>
      <c r="BP2461" s="2"/>
      <c r="BQ2461" s="2" t="s">
        <v>83</v>
      </c>
      <c r="BR2461" s="2" t="s">
        <v>84</v>
      </c>
      <c r="BS2461" s="3">
        <v>42970</v>
      </c>
      <c r="BT2461" s="4">
        <v>0.34722222222222227</v>
      </c>
      <c r="BU2461" s="2" t="s">
        <v>1130</v>
      </c>
      <c r="BV2461" s="2" t="s">
        <v>95</v>
      </c>
      <c r="BW2461" s="2"/>
      <c r="BX2461" s="2"/>
      <c r="BY2461" s="2">
        <v>1200</v>
      </c>
      <c r="BZ2461" s="2"/>
      <c r="CA2461" s="2" t="s">
        <v>804</v>
      </c>
      <c r="CB2461" s="2"/>
      <c r="CC2461" s="2" t="s">
        <v>98</v>
      </c>
      <c r="CD2461" s="2">
        <v>6001</v>
      </c>
      <c r="CE2461" s="2" t="s">
        <v>104</v>
      </c>
      <c r="CF2461" s="5">
        <v>42971</v>
      </c>
      <c r="CG2461" s="2"/>
      <c r="CH2461" s="2"/>
      <c r="CI2461" s="2">
        <v>1</v>
      </c>
      <c r="CJ2461" s="2">
        <v>1</v>
      </c>
      <c r="CK2461" s="2">
        <v>21</v>
      </c>
      <c r="CL2461" s="2" t="s">
        <v>86</v>
      </c>
      <c r="CM2461" s="2"/>
    </row>
    <row r="2462" spans="1:91">
      <c r="A2462" s="2" t="s">
        <v>71</v>
      </c>
      <c r="B2462" s="2" t="s">
        <v>72</v>
      </c>
      <c r="C2462" s="2" t="s">
        <v>73</v>
      </c>
      <c r="D2462" s="2"/>
      <c r="E2462" s="2" t="str">
        <f>"FES1162570531"</f>
        <v>FES1162570531</v>
      </c>
      <c r="F2462" s="3">
        <v>42969</v>
      </c>
      <c r="G2462" s="2">
        <v>201802</v>
      </c>
      <c r="H2462" s="2" t="s">
        <v>74</v>
      </c>
      <c r="I2462" s="2" t="s">
        <v>75</v>
      </c>
      <c r="J2462" s="2" t="s">
        <v>76</v>
      </c>
      <c r="K2462" s="2" t="s">
        <v>77</v>
      </c>
      <c r="L2462" s="2" t="s">
        <v>221</v>
      </c>
      <c r="M2462" s="2" t="s">
        <v>222</v>
      </c>
      <c r="N2462" s="2" t="s">
        <v>675</v>
      </c>
      <c r="O2462" s="2" t="s">
        <v>100</v>
      </c>
      <c r="P2462" s="2" t="str">
        <f>"2170583831                    "</f>
        <v xml:space="preserve">2170583831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4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1</v>
      </c>
      <c r="BJ2462" s="2">
        <v>0.2</v>
      </c>
      <c r="BK2462" s="2">
        <v>1</v>
      </c>
      <c r="BL2462" s="2">
        <v>41.44</v>
      </c>
      <c r="BM2462" s="2">
        <v>5.8</v>
      </c>
      <c r="BN2462" s="2">
        <v>47.24</v>
      </c>
      <c r="BO2462" s="2">
        <v>47.24</v>
      </c>
      <c r="BP2462" s="2"/>
      <c r="BQ2462" s="2" t="s">
        <v>83</v>
      </c>
      <c r="BR2462" s="2" t="s">
        <v>84</v>
      </c>
      <c r="BS2462" s="3">
        <v>42970</v>
      </c>
      <c r="BT2462" s="4">
        <v>0.38472222222222219</v>
      </c>
      <c r="BU2462" s="2" t="s">
        <v>2915</v>
      </c>
      <c r="BV2462" s="2" t="s">
        <v>95</v>
      </c>
      <c r="BW2462" s="2"/>
      <c r="BX2462" s="2"/>
      <c r="BY2462" s="2">
        <v>1200</v>
      </c>
      <c r="BZ2462" s="2"/>
      <c r="CA2462" s="2" t="s">
        <v>934</v>
      </c>
      <c r="CB2462" s="2"/>
      <c r="CC2462" s="2" t="s">
        <v>222</v>
      </c>
      <c r="CD2462" s="2">
        <v>4300</v>
      </c>
      <c r="CE2462" s="2" t="s">
        <v>104</v>
      </c>
      <c r="CF2462" s="5">
        <v>42971</v>
      </c>
      <c r="CG2462" s="2"/>
      <c r="CH2462" s="2"/>
      <c r="CI2462" s="2">
        <v>1</v>
      </c>
      <c r="CJ2462" s="2">
        <v>1</v>
      </c>
      <c r="CK2462" s="2">
        <v>21</v>
      </c>
      <c r="CL2462" s="2" t="s">
        <v>86</v>
      </c>
      <c r="CM2462" s="2"/>
    </row>
    <row r="2463" spans="1:91">
      <c r="A2463" s="2" t="s">
        <v>71</v>
      </c>
      <c r="B2463" s="2" t="s">
        <v>72</v>
      </c>
      <c r="C2463" s="2" t="s">
        <v>73</v>
      </c>
      <c r="D2463" s="2"/>
      <c r="E2463" s="2" t="str">
        <f>"FES1162570533"</f>
        <v>FES1162570533</v>
      </c>
      <c r="F2463" s="3">
        <v>42969</v>
      </c>
      <c r="G2463" s="2">
        <v>201802</v>
      </c>
      <c r="H2463" s="2" t="s">
        <v>74</v>
      </c>
      <c r="I2463" s="2" t="s">
        <v>75</v>
      </c>
      <c r="J2463" s="2" t="s">
        <v>76</v>
      </c>
      <c r="K2463" s="2" t="s">
        <v>77</v>
      </c>
      <c r="L2463" s="2" t="s">
        <v>78</v>
      </c>
      <c r="M2463" s="2" t="s">
        <v>79</v>
      </c>
      <c r="N2463" s="2" t="s">
        <v>450</v>
      </c>
      <c r="O2463" s="2" t="s">
        <v>100</v>
      </c>
      <c r="P2463" s="2" t="str">
        <f>"2170583836                    "</f>
        <v xml:space="preserve">2170583836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4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1</v>
      </c>
      <c r="BI2463" s="2">
        <v>1</v>
      </c>
      <c r="BJ2463" s="2">
        <v>0.2</v>
      </c>
      <c r="BK2463" s="2">
        <v>1</v>
      </c>
      <c r="BL2463" s="2">
        <v>41.44</v>
      </c>
      <c r="BM2463" s="2">
        <v>5.8</v>
      </c>
      <c r="BN2463" s="2">
        <v>47.24</v>
      </c>
      <c r="BO2463" s="2">
        <v>47.24</v>
      </c>
      <c r="BP2463" s="2"/>
      <c r="BQ2463" s="2" t="s">
        <v>288</v>
      </c>
      <c r="BR2463" s="2" t="s">
        <v>84</v>
      </c>
      <c r="BS2463" s="3">
        <v>42970</v>
      </c>
      <c r="BT2463" s="4">
        <v>0.37013888888888885</v>
      </c>
      <c r="BU2463" s="2" t="s">
        <v>517</v>
      </c>
      <c r="BV2463" s="2" t="s">
        <v>95</v>
      </c>
      <c r="BW2463" s="2"/>
      <c r="BX2463" s="2"/>
      <c r="BY2463" s="2">
        <v>1200</v>
      </c>
      <c r="BZ2463" s="2"/>
      <c r="CA2463" s="2" t="s">
        <v>518</v>
      </c>
      <c r="CB2463" s="2"/>
      <c r="CC2463" s="2" t="s">
        <v>79</v>
      </c>
      <c r="CD2463" s="2">
        <v>9300</v>
      </c>
      <c r="CE2463" s="2" t="s">
        <v>104</v>
      </c>
      <c r="CF2463" s="5">
        <v>42971</v>
      </c>
      <c r="CG2463" s="2"/>
      <c r="CH2463" s="2"/>
      <c r="CI2463" s="2">
        <v>1</v>
      </c>
      <c r="CJ2463" s="2">
        <v>1</v>
      </c>
      <c r="CK2463" s="2">
        <v>21</v>
      </c>
      <c r="CL2463" s="2" t="s">
        <v>86</v>
      </c>
      <c r="CM2463" s="2"/>
    </row>
    <row r="2464" spans="1:91">
      <c r="A2464" s="2" t="s">
        <v>71</v>
      </c>
      <c r="B2464" s="2" t="s">
        <v>72</v>
      </c>
      <c r="C2464" s="2" t="s">
        <v>73</v>
      </c>
      <c r="D2464" s="2"/>
      <c r="E2464" s="2" t="str">
        <f>"FES1162570475"</f>
        <v>FES1162570475</v>
      </c>
      <c r="F2464" s="3">
        <v>42969</v>
      </c>
      <c r="G2464" s="2">
        <v>201802</v>
      </c>
      <c r="H2464" s="2" t="s">
        <v>74</v>
      </c>
      <c r="I2464" s="2" t="s">
        <v>75</v>
      </c>
      <c r="J2464" s="2" t="s">
        <v>76</v>
      </c>
      <c r="K2464" s="2" t="s">
        <v>77</v>
      </c>
      <c r="L2464" s="2" t="s">
        <v>144</v>
      </c>
      <c r="M2464" s="2" t="s">
        <v>145</v>
      </c>
      <c r="N2464" s="2" t="s">
        <v>2916</v>
      </c>
      <c r="O2464" s="2" t="s">
        <v>100</v>
      </c>
      <c r="P2464" s="2" t="str">
        <f>"2170586257                    "</f>
        <v xml:space="preserve">2170586257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3.13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1</v>
      </c>
      <c r="BI2464" s="2">
        <v>1</v>
      </c>
      <c r="BJ2464" s="2">
        <v>0.2</v>
      </c>
      <c r="BK2464" s="2">
        <v>1</v>
      </c>
      <c r="BL2464" s="2">
        <v>32.380000000000003</v>
      </c>
      <c r="BM2464" s="2">
        <v>4.53</v>
      </c>
      <c r="BN2464" s="2">
        <v>36.909999999999997</v>
      </c>
      <c r="BO2464" s="2">
        <v>36.909999999999997</v>
      </c>
      <c r="BP2464" s="2"/>
      <c r="BQ2464" s="2" t="s">
        <v>227</v>
      </c>
      <c r="BR2464" s="2" t="s">
        <v>84</v>
      </c>
      <c r="BS2464" s="3">
        <v>42970</v>
      </c>
      <c r="BT2464" s="4">
        <v>0.42777777777777781</v>
      </c>
      <c r="BU2464" s="2" t="s">
        <v>2917</v>
      </c>
      <c r="BV2464" s="2" t="s">
        <v>95</v>
      </c>
      <c r="BW2464" s="2"/>
      <c r="BX2464" s="2"/>
      <c r="BY2464" s="2">
        <v>1200</v>
      </c>
      <c r="BZ2464" s="2"/>
      <c r="CA2464" s="2" t="s">
        <v>267</v>
      </c>
      <c r="CB2464" s="2"/>
      <c r="CC2464" s="2" t="s">
        <v>145</v>
      </c>
      <c r="CD2464" s="2">
        <v>2157</v>
      </c>
      <c r="CE2464" s="2" t="s">
        <v>104</v>
      </c>
      <c r="CF2464" s="5">
        <v>42971</v>
      </c>
      <c r="CG2464" s="2"/>
      <c r="CH2464" s="2"/>
      <c r="CI2464" s="2">
        <v>1</v>
      </c>
      <c r="CJ2464" s="2">
        <v>1</v>
      </c>
      <c r="CK2464" s="2">
        <v>22</v>
      </c>
      <c r="CL2464" s="2" t="s">
        <v>86</v>
      </c>
      <c r="CM2464" s="2"/>
    </row>
    <row r="2465" spans="1:91">
      <c r="A2465" s="2" t="s">
        <v>71</v>
      </c>
      <c r="B2465" s="2" t="s">
        <v>72</v>
      </c>
      <c r="C2465" s="2" t="s">
        <v>73</v>
      </c>
      <c r="D2465" s="2"/>
      <c r="E2465" s="2" t="str">
        <f>"FES1162570465"</f>
        <v>FES1162570465</v>
      </c>
      <c r="F2465" s="3">
        <v>42969</v>
      </c>
      <c r="G2465" s="2">
        <v>201802</v>
      </c>
      <c r="H2465" s="2" t="s">
        <v>74</v>
      </c>
      <c r="I2465" s="2" t="s">
        <v>75</v>
      </c>
      <c r="J2465" s="2" t="s">
        <v>76</v>
      </c>
      <c r="K2465" s="2" t="s">
        <v>77</v>
      </c>
      <c r="L2465" s="2" t="s">
        <v>1202</v>
      </c>
      <c r="M2465" s="2" t="s">
        <v>1203</v>
      </c>
      <c r="N2465" s="2" t="s">
        <v>2918</v>
      </c>
      <c r="O2465" s="2" t="s">
        <v>100</v>
      </c>
      <c r="P2465" s="2" t="str">
        <f>"2170586243                    "</f>
        <v xml:space="preserve">2170586243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3.13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1</v>
      </c>
      <c r="BJ2465" s="2">
        <v>0.2</v>
      </c>
      <c r="BK2465" s="2">
        <v>1</v>
      </c>
      <c r="BL2465" s="2">
        <v>32.380000000000003</v>
      </c>
      <c r="BM2465" s="2">
        <v>4.53</v>
      </c>
      <c r="BN2465" s="2">
        <v>36.909999999999997</v>
      </c>
      <c r="BO2465" s="2">
        <v>36.909999999999997</v>
      </c>
      <c r="BP2465" s="2"/>
      <c r="BQ2465" s="2" t="s">
        <v>288</v>
      </c>
      <c r="BR2465" s="2" t="s">
        <v>84</v>
      </c>
      <c r="BS2465" s="3">
        <v>42970</v>
      </c>
      <c r="BT2465" s="4">
        <v>0.29583333333333334</v>
      </c>
      <c r="BU2465" s="2" t="s">
        <v>2919</v>
      </c>
      <c r="BV2465" s="2" t="s">
        <v>95</v>
      </c>
      <c r="BW2465" s="2"/>
      <c r="BX2465" s="2"/>
      <c r="BY2465" s="2">
        <v>1200</v>
      </c>
      <c r="BZ2465" s="2"/>
      <c r="CA2465" s="2" t="s">
        <v>499</v>
      </c>
      <c r="CB2465" s="2"/>
      <c r="CC2465" s="2" t="s">
        <v>1203</v>
      </c>
      <c r="CD2465" s="2">
        <v>1501</v>
      </c>
      <c r="CE2465" s="2" t="s">
        <v>104</v>
      </c>
      <c r="CF2465" s="5">
        <v>42971</v>
      </c>
      <c r="CG2465" s="2"/>
      <c r="CH2465" s="2"/>
      <c r="CI2465" s="2">
        <v>1</v>
      </c>
      <c r="CJ2465" s="2">
        <v>1</v>
      </c>
      <c r="CK2465" s="2">
        <v>22</v>
      </c>
      <c r="CL2465" s="2" t="s">
        <v>86</v>
      </c>
      <c r="CM2465" s="2"/>
    </row>
    <row r="2466" spans="1:91">
      <c r="A2466" s="2" t="s">
        <v>71</v>
      </c>
      <c r="B2466" s="2" t="s">
        <v>72</v>
      </c>
      <c r="C2466" s="2" t="s">
        <v>73</v>
      </c>
      <c r="D2466" s="2"/>
      <c r="E2466" s="2" t="str">
        <f>"FES1162570472"</f>
        <v>FES1162570472</v>
      </c>
      <c r="F2466" s="3">
        <v>42969</v>
      </c>
      <c r="G2466" s="2">
        <v>201802</v>
      </c>
      <c r="H2466" s="2" t="s">
        <v>74</v>
      </c>
      <c r="I2466" s="2" t="s">
        <v>75</v>
      </c>
      <c r="J2466" s="2" t="s">
        <v>76</v>
      </c>
      <c r="K2466" s="2" t="s">
        <v>77</v>
      </c>
      <c r="L2466" s="2" t="s">
        <v>74</v>
      </c>
      <c r="M2466" s="2" t="s">
        <v>75</v>
      </c>
      <c r="N2466" s="2" t="s">
        <v>2920</v>
      </c>
      <c r="O2466" s="2" t="s">
        <v>100</v>
      </c>
      <c r="P2466" s="2" t="str">
        <f>"2170586253                    "</f>
        <v xml:space="preserve">2170586253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3.13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1</v>
      </c>
      <c r="BI2466" s="2">
        <v>2</v>
      </c>
      <c r="BJ2466" s="2">
        <v>0.2</v>
      </c>
      <c r="BK2466" s="2">
        <v>2</v>
      </c>
      <c r="BL2466" s="2">
        <v>32.380000000000003</v>
      </c>
      <c r="BM2466" s="2">
        <v>4.53</v>
      </c>
      <c r="BN2466" s="2">
        <v>36.909999999999997</v>
      </c>
      <c r="BO2466" s="2">
        <v>36.909999999999997</v>
      </c>
      <c r="BP2466" s="2"/>
      <c r="BQ2466" s="2" t="s">
        <v>288</v>
      </c>
      <c r="BR2466" s="2" t="s">
        <v>84</v>
      </c>
      <c r="BS2466" s="3">
        <v>42970</v>
      </c>
      <c r="BT2466" s="4">
        <v>0.41666666666666669</v>
      </c>
      <c r="BU2466" s="2" t="s">
        <v>2921</v>
      </c>
      <c r="BV2466" s="2" t="s">
        <v>95</v>
      </c>
      <c r="BW2466" s="2"/>
      <c r="BX2466" s="2"/>
      <c r="BY2466" s="2">
        <v>1200</v>
      </c>
      <c r="BZ2466" s="2"/>
      <c r="CA2466" s="2" t="s">
        <v>570</v>
      </c>
      <c r="CB2466" s="2"/>
      <c r="CC2466" s="2" t="s">
        <v>75</v>
      </c>
      <c r="CD2466" s="2">
        <v>1682</v>
      </c>
      <c r="CE2466" s="2" t="s">
        <v>104</v>
      </c>
      <c r="CF2466" s="5">
        <v>42971</v>
      </c>
      <c r="CG2466" s="2"/>
      <c r="CH2466" s="2"/>
      <c r="CI2466" s="2">
        <v>1</v>
      </c>
      <c r="CJ2466" s="2">
        <v>1</v>
      </c>
      <c r="CK2466" s="2">
        <v>22</v>
      </c>
      <c r="CL2466" s="2" t="s">
        <v>86</v>
      </c>
      <c r="CM2466" s="2"/>
    </row>
    <row r="2467" spans="1:91">
      <c r="A2467" s="2" t="s">
        <v>71</v>
      </c>
      <c r="B2467" s="2" t="s">
        <v>72</v>
      </c>
      <c r="C2467" s="2" t="s">
        <v>73</v>
      </c>
      <c r="D2467" s="2"/>
      <c r="E2467" s="2" t="str">
        <f>"FES1162570552"</f>
        <v>FES1162570552</v>
      </c>
      <c r="F2467" s="3">
        <v>42969</v>
      </c>
      <c r="G2467" s="2">
        <v>201802</v>
      </c>
      <c r="H2467" s="2" t="s">
        <v>74</v>
      </c>
      <c r="I2467" s="2" t="s">
        <v>75</v>
      </c>
      <c r="J2467" s="2" t="s">
        <v>76</v>
      </c>
      <c r="K2467" s="2" t="s">
        <v>77</v>
      </c>
      <c r="L2467" s="2" t="s">
        <v>149</v>
      </c>
      <c r="M2467" s="2" t="s">
        <v>150</v>
      </c>
      <c r="N2467" s="2" t="s">
        <v>2082</v>
      </c>
      <c r="O2467" s="2" t="s">
        <v>100</v>
      </c>
      <c r="P2467" s="2" t="str">
        <f>"2170584038                    "</f>
        <v xml:space="preserve">2170584038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7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3.2</v>
      </c>
      <c r="BJ2467" s="2">
        <v>1.9</v>
      </c>
      <c r="BK2467" s="2">
        <v>3.5</v>
      </c>
      <c r="BL2467" s="2">
        <v>72.52</v>
      </c>
      <c r="BM2467" s="2">
        <v>10.15</v>
      </c>
      <c r="BN2467" s="2">
        <v>82.67</v>
      </c>
      <c r="BO2467" s="2">
        <v>82.67</v>
      </c>
      <c r="BP2467" s="2"/>
      <c r="BQ2467" s="2" t="s">
        <v>288</v>
      </c>
      <c r="BR2467" s="2" t="s">
        <v>84</v>
      </c>
      <c r="BS2467" s="3">
        <v>42970</v>
      </c>
      <c r="BT2467" s="4">
        <v>0.3888888888888889</v>
      </c>
      <c r="BU2467" s="2" t="s">
        <v>2084</v>
      </c>
      <c r="BV2467" s="2" t="s">
        <v>95</v>
      </c>
      <c r="BW2467" s="2"/>
      <c r="BX2467" s="2"/>
      <c r="BY2467" s="2">
        <v>9698.98</v>
      </c>
      <c r="BZ2467" s="2"/>
      <c r="CA2467" s="2" t="s">
        <v>1163</v>
      </c>
      <c r="CB2467" s="2"/>
      <c r="CC2467" s="2" t="s">
        <v>150</v>
      </c>
      <c r="CD2467" s="2">
        <v>4001</v>
      </c>
      <c r="CE2467" s="2" t="s">
        <v>89</v>
      </c>
      <c r="CF2467" s="5">
        <v>42971</v>
      </c>
      <c r="CG2467" s="2"/>
      <c r="CH2467" s="2"/>
      <c r="CI2467" s="2">
        <v>1</v>
      </c>
      <c r="CJ2467" s="2">
        <v>1</v>
      </c>
      <c r="CK2467" s="2">
        <v>21</v>
      </c>
      <c r="CL2467" s="2" t="s">
        <v>86</v>
      </c>
      <c r="CM2467" s="2"/>
    </row>
    <row r="2468" spans="1:91">
      <c r="A2468" s="2" t="s">
        <v>71</v>
      </c>
      <c r="B2468" s="2" t="s">
        <v>72</v>
      </c>
      <c r="C2468" s="2" t="s">
        <v>73</v>
      </c>
      <c r="D2468" s="2"/>
      <c r="E2468" s="2" t="str">
        <f>"FES1162570501"</f>
        <v>FES1162570501</v>
      </c>
      <c r="F2468" s="3">
        <v>42969</v>
      </c>
      <c r="G2468" s="2">
        <v>201802</v>
      </c>
      <c r="H2468" s="2" t="s">
        <v>74</v>
      </c>
      <c r="I2468" s="2" t="s">
        <v>75</v>
      </c>
      <c r="J2468" s="2" t="s">
        <v>76</v>
      </c>
      <c r="K2468" s="2" t="s">
        <v>77</v>
      </c>
      <c r="L2468" s="2" t="s">
        <v>105</v>
      </c>
      <c r="M2468" s="2" t="s">
        <v>106</v>
      </c>
      <c r="N2468" s="2" t="s">
        <v>870</v>
      </c>
      <c r="O2468" s="2" t="s">
        <v>100</v>
      </c>
      <c r="P2468" s="2" t="str">
        <f>"2170585824                    "</f>
        <v xml:space="preserve">2170585824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4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1</v>
      </c>
      <c r="BJ2468" s="2">
        <v>0.2</v>
      </c>
      <c r="BK2468" s="2">
        <v>1</v>
      </c>
      <c r="BL2468" s="2">
        <v>41.44</v>
      </c>
      <c r="BM2468" s="2">
        <v>5.8</v>
      </c>
      <c r="BN2468" s="2">
        <v>47.24</v>
      </c>
      <c r="BO2468" s="2">
        <v>47.24</v>
      </c>
      <c r="BP2468" s="2"/>
      <c r="BQ2468" s="2" t="s">
        <v>108</v>
      </c>
      <c r="BR2468" s="2" t="s">
        <v>84</v>
      </c>
      <c r="BS2468" s="3">
        <v>42970</v>
      </c>
      <c r="BT2468" s="4">
        <v>0.36944444444444446</v>
      </c>
      <c r="BU2468" s="2" t="s">
        <v>2922</v>
      </c>
      <c r="BV2468" s="2" t="s">
        <v>95</v>
      </c>
      <c r="BW2468" s="2"/>
      <c r="BX2468" s="2"/>
      <c r="BY2468" s="2">
        <v>1200</v>
      </c>
      <c r="BZ2468" s="2"/>
      <c r="CA2468" s="2" t="s">
        <v>350</v>
      </c>
      <c r="CB2468" s="2"/>
      <c r="CC2468" s="2" t="s">
        <v>106</v>
      </c>
      <c r="CD2468" s="2">
        <v>8000</v>
      </c>
      <c r="CE2468" s="2" t="s">
        <v>104</v>
      </c>
      <c r="CF2468" s="5">
        <v>42971</v>
      </c>
      <c r="CG2468" s="2"/>
      <c r="CH2468" s="2"/>
      <c r="CI2468" s="2">
        <v>1</v>
      </c>
      <c r="CJ2468" s="2">
        <v>1</v>
      </c>
      <c r="CK2468" s="2">
        <v>21</v>
      </c>
      <c r="CL2468" s="2" t="s">
        <v>86</v>
      </c>
      <c r="CM2468" s="2"/>
    </row>
    <row r="2469" spans="1:91">
      <c r="A2469" s="2" t="s">
        <v>71</v>
      </c>
      <c r="B2469" s="2" t="s">
        <v>72</v>
      </c>
      <c r="C2469" s="2" t="s">
        <v>73</v>
      </c>
      <c r="D2469" s="2"/>
      <c r="E2469" s="2" t="str">
        <f>"FES1162570615"</f>
        <v>FES1162570615</v>
      </c>
      <c r="F2469" s="3">
        <v>42969</v>
      </c>
      <c r="G2469" s="2">
        <v>201802</v>
      </c>
      <c r="H2469" s="2" t="s">
        <v>74</v>
      </c>
      <c r="I2469" s="2" t="s">
        <v>75</v>
      </c>
      <c r="J2469" s="2" t="s">
        <v>76</v>
      </c>
      <c r="K2469" s="2" t="s">
        <v>77</v>
      </c>
      <c r="L2469" s="2" t="s">
        <v>97</v>
      </c>
      <c r="M2469" s="2" t="s">
        <v>98</v>
      </c>
      <c r="N2469" s="2" t="s">
        <v>292</v>
      </c>
      <c r="O2469" s="2" t="s">
        <v>100</v>
      </c>
      <c r="P2469" s="2" t="str">
        <f>"2170586363                    "</f>
        <v xml:space="preserve">2170586363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4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2</v>
      </c>
      <c r="BJ2469" s="2">
        <v>1.8</v>
      </c>
      <c r="BK2469" s="2">
        <v>2</v>
      </c>
      <c r="BL2469" s="2">
        <v>41.44</v>
      </c>
      <c r="BM2469" s="2">
        <v>5.8</v>
      </c>
      <c r="BN2469" s="2">
        <v>47.24</v>
      </c>
      <c r="BO2469" s="2">
        <v>47.24</v>
      </c>
      <c r="BP2469" s="2"/>
      <c r="BQ2469" s="2" t="s">
        <v>83</v>
      </c>
      <c r="BR2469" s="2" t="s">
        <v>84</v>
      </c>
      <c r="BS2469" s="3">
        <v>42970</v>
      </c>
      <c r="BT2469" s="4">
        <v>0.3125</v>
      </c>
      <c r="BU2469" s="2" t="s">
        <v>2413</v>
      </c>
      <c r="BV2469" s="2" t="s">
        <v>95</v>
      </c>
      <c r="BW2469" s="2"/>
      <c r="BX2469" s="2"/>
      <c r="BY2469" s="2">
        <v>8870.5</v>
      </c>
      <c r="BZ2469" s="2"/>
      <c r="CA2469" s="2" t="s">
        <v>804</v>
      </c>
      <c r="CB2469" s="2"/>
      <c r="CC2469" s="2" t="s">
        <v>98</v>
      </c>
      <c r="CD2469" s="2">
        <v>6001</v>
      </c>
      <c r="CE2469" s="2" t="s">
        <v>104</v>
      </c>
      <c r="CF2469" s="5">
        <v>42971</v>
      </c>
      <c r="CG2469" s="2"/>
      <c r="CH2469" s="2"/>
      <c r="CI2469" s="2">
        <v>1</v>
      </c>
      <c r="CJ2469" s="2">
        <v>1</v>
      </c>
      <c r="CK2469" s="2">
        <v>21</v>
      </c>
      <c r="CL2469" s="2" t="s">
        <v>86</v>
      </c>
      <c r="CM2469" s="2"/>
    </row>
    <row r="2470" spans="1:91">
      <c r="A2470" s="2" t="s">
        <v>71</v>
      </c>
      <c r="B2470" s="2" t="s">
        <v>72</v>
      </c>
      <c r="C2470" s="2" t="s">
        <v>73</v>
      </c>
      <c r="D2470" s="2"/>
      <c r="E2470" s="2" t="str">
        <f>"FES1162570489"</f>
        <v>FES1162570489</v>
      </c>
      <c r="F2470" s="3">
        <v>42969</v>
      </c>
      <c r="G2470" s="2">
        <v>201802</v>
      </c>
      <c r="H2470" s="2" t="s">
        <v>74</v>
      </c>
      <c r="I2470" s="2" t="s">
        <v>75</v>
      </c>
      <c r="J2470" s="2" t="s">
        <v>76</v>
      </c>
      <c r="K2470" s="2" t="s">
        <v>77</v>
      </c>
      <c r="L2470" s="2" t="s">
        <v>97</v>
      </c>
      <c r="M2470" s="2" t="s">
        <v>98</v>
      </c>
      <c r="N2470" s="2" t="s">
        <v>214</v>
      </c>
      <c r="O2470" s="2" t="s">
        <v>100</v>
      </c>
      <c r="P2470" s="2" t="str">
        <f>"2170583653                    "</f>
        <v xml:space="preserve">2170583653  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7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1</v>
      </c>
      <c r="BI2470" s="2">
        <v>1.2</v>
      </c>
      <c r="BJ2470" s="2">
        <v>3.3</v>
      </c>
      <c r="BK2470" s="2">
        <v>3.5</v>
      </c>
      <c r="BL2470" s="2">
        <v>72.52</v>
      </c>
      <c r="BM2470" s="2">
        <v>10.15</v>
      </c>
      <c r="BN2470" s="2">
        <v>82.67</v>
      </c>
      <c r="BO2470" s="2">
        <v>82.67</v>
      </c>
      <c r="BP2470" s="2"/>
      <c r="BQ2470" s="2" t="s">
        <v>108</v>
      </c>
      <c r="BR2470" s="2" t="s">
        <v>84</v>
      </c>
      <c r="BS2470" s="3">
        <v>42970</v>
      </c>
      <c r="BT2470" s="4">
        <v>0.34166666666666662</v>
      </c>
      <c r="BU2470" s="2" t="s">
        <v>2923</v>
      </c>
      <c r="BV2470" s="2" t="s">
        <v>95</v>
      </c>
      <c r="BW2470" s="2"/>
      <c r="BX2470" s="2"/>
      <c r="BY2470" s="2">
        <v>16486.2</v>
      </c>
      <c r="BZ2470" s="2"/>
      <c r="CA2470" s="2" t="s">
        <v>213</v>
      </c>
      <c r="CB2470" s="2"/>
      <c r="CC2470" s="2" t="s">
        <v>98</v>
      </c>
      <c r="CD2470" s="2">
        <v>6001</v>
      </c>
      <c r="CE2470" s="2" t="s">
        <v>89</v>
      </c>
      <c r="CF2470" s="5">
        <v>42971</v>
      </c>
      <c r="CG2470" s="2"/>
      <c r="CH2470" s="2"/>
      <c r="CI2470" s="2">
        <v>1</v>
      </c>
      <c r="CJ2470" s="2">
        <v>1</v>
      </c>
      <c r="CK2470" s="2">
        <v>21</v>
      </c>
      <c r="CL2470" s="2" t="s">
        <v>86</v>
      </c>
      <c r="CM2470" s="2"/>
    </row>
    <row r="2471" spans="1:91">
      <c r="A2471" s="2" t="s">
        <v>71</v>
      </c>
      <c r="B2471" s="2" t="s">
        <v>72</v>
      </c>
      <c r="C2471" s="2" t="s">
        <v>73</v>
      </c>
      <c r="D2471" s="2"/>
      <c r="E2471" s="2" t="str">
        <f>"FES1162570511"</f>
        <v>FES1162570511</v>
      </c>
      <c r="F2471" s="3">
        <v>42969</v>
      </c>
      <c r="G2471" s="2">
        <v>201802</v>
      </c>
      <c r="H2471" s="2" t="s">
        <v>74</v>
      </c>
      <c r="I2471" s="2" t="s">
        <v>75</v>
      </c>
      <c r="J2471" s="2" t="s">
        <v>76</v>
      </c>
      <c r="K2471" s="2" t="s">
        <v>77</v>
      </c>
      <c r="L2471" s="2" t="s">
        <v>97</v>
      </c>
      <c r="M2471" s="2" t="s">
        <v>98</v>
      </c>
      <c r="N2471" s="2" t="s">
        <v>214</v>
      </c>
      <c r="O2471" s="2" t="s">
        <v>100</v>
      </c>
      <c r="P2471" s="2" t="str">
        <f>"2170586277                    "</f>
        <v xml:space="preserve">2170586277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6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2.9</v>
      </c>
      <c r="BJ2471" s="2">
        <v>1.6</v>
      </c>
      <c r="BK2471" s="2">
        <v>3</v>
      </c>
      <c r="BL2471" s="2">
        <v>62.16</v>
      </c>
      <c r="BM2471" s="2">
        <v>8.6999999999999993</v>
      </c>
      <c r="BN2471" s="2">
        <v>70.86</v>
      </c>
      <c r="BO2471" s="2">
        <v>70.86</v>
      </c>
      <c r="BP2471" s="2"/>
      <c r="BQ2471" s="2" t="s">
        <v>108</v>
      </c>
      <c r="BR2471" s="2" t="s">
        <v>84</v>
      </c>
      <c r="BS2471" s="3">
        <v>42970</v>
      </c>
      <c r="BT2471" s="4">
        <v>0.34027777777777773</v>
      </c>
      <c r="BU2471" s="2" t="s">
        <v>1131</v>
      </c>
      <c r="BV2471" s="2" t="s">
        <v>95</v>
      </c>
      <c r="BW2471" s="2"/>
      <c r="BX2471" s="2"/>
      <c r="BY2471" s="2">
        <v>8012</v>
      </c>
      <c r="BZ2471" s="2"/>
      <c r="CA2471" s="2" t="s">
        <v>213</v>
      </c>
      <c r="CB2471" s="2"/>
      <c r="CC2471" s="2" t="s">
        <v>98</v>
      </c>
      <c r="CD2471" s="2">
        <v>6001</v>
      </c>
      <c r="CE2471" s="2" t="s">
        <v>89</v>
      </c>
      <c r="CF2471" s="5">
        <v>42971</v>
      </c>
      <c r="CG2471" s="2"/>
      <c r="CH2471" s="2"/>
      <c r="CI2471" s="2">
        <v>1</v>
      </c>
      <c r="CJ2471" s="2">
        <v>1</v>
      </c>
      <c r="CK2471" s="2">
        <v>21</v>
      </c>
      <c r="CL2471" s="2" t="s">
        <v>86</v>
      </c>
      <c r="CM2471" s="2"/>
    </row>
    <row r="2472" spans="1:91">
      <c r="A2472" s="2" t="s">
        <v>71</v>
      </c>
      <c r="B2472" s="2" t="s">
        <v>72</v>
      </c>
      <c r="C2472" s="2" t="s">
        <v>73</v>
      </c>
      <c r="D2472" s="2"/>
      <c r="E2472" s="2" t="str">
        <f>"FES1162570398"</f>
        <v>FES1162570398</v>
      </c>
      <c r="F2472" s="3">
        <v>42969</v>
      </c>
      <c r="G2472" s="2">
        <v>201802</v>
      </c>
      <c r="H2472" s="2" t="s">
        <v>74</v>
      </c>
      <c r="I2472" s="2" t="s">
        <v>75</v>
      </c>
      <c r="J2472" s="2" t="s">
        <v>76</v>
      </c>
      <c r="K2472" s="2" t="s">
        <v>77</v>
      </c>
      <c r="L2472" s="2" t="s">
        <v>268</v>
      </c>
      <c r="M2472" s="2" t="s">
        <v>269</v>
      </c>
      <c r="N2472" s="2" t="s">
        <v>351</v>
      </c>
      <c r="O2472" s="2" t="s">
        <v>100</v>
      </c>
      <c r="P2472" s="2" t="str">
        <f>"2170582289                    "</f>
        <v xml:space="preserve">2170582289  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4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1</v>
      </c>
      <c r="BJ2472" s="2">
        <v>0.2</v>
      </c>
      <c r="BK2472" s="2">
        <v>1</v>
      </c>
      <c r="BL2472" s="2">
        <v>41.44</v>
      </c>
      <c r="BM2472" s="2">
        <v>5.8</v>
      </c>
      <c r="BN2472" s="2">
        <v>47.24</v>
      </c>
      <c r="BO2472" s="2">
        <v>47.24</v>
      </c>
      <c r="BP2472" s="2"/>
      <c r="BQ2472" s="2" t="s">
        <v>108</v>
      </c>
      <c r="BR2472" s="2" t="s">
        <v>84</v>
      </c>
      <c r="BS2472" s="3">
        <v>42970</v>
      </c>
      <c r="BT2472" s="4">
        <v>0.41666666666666669</v>
      </c>
      <c r="BU2472" s="2" t="s">
        <v>2677</v>
      </c>
      <c r="BV2472" s="2" t="s">
        <v>95</v>
      </c>
      <c r="BW2472" s="2"/>
      <c r="BX2472" s="2"/>
      <c r="BY2472" s="2">
        <v>1200</v>
      </c>
      <c r="BZ2472" s="2"/>
      <c r="CA2472" s="2" t="s">
        <v>148</v>
      </c>
      <c r="CB2472" s="2"/>
      <c r="CC2472" s="2" t="s">
        <v>269</v>
      </c>
      <c r="CD2472" s="2">
        <v>200</v>
      </c>
      <c r="CE2472" s="2" t="s">
        <v>104</v>
      </c>
      <c r="CF2472" s="5">
        <v>42971</v>
      </c>
      <c r="CG2472" s="2"/>
      <c r="CH2472" s="2"/>
      <c r="CI2472" s="2">
        <v>1</v>
      </c>
      <c r="CJ2472" s="2">
        <v>1</v>
      </c>
      <c r="CK2472" s="2">
        <v>21</v>
      </c>
      <c r="CL2472" s="2" t="s">
        <v>86</v>
      </c>
      <c r="CM2472" s="2"/>
    </row>
    <row r="2473" spans="1:91">
      <c r="A2473" s="2" t="s">
        <v>71</v>
      </c>
      <c r="B2473" s="2" t="s">
        <v>72</v>
      </c>
      <c r="C2473" s="2" t="s">
        <v>73</v>
      </c>
      <c r="D2473" s="2"/>
      <c r="E2473" s="2" t="str">
        <f>"FES1162570551"</f>
        <v>FES1162570551</v>
      </c>
      <c r="F2473" s="3">
        <v>42969</v>
      </c>
      <c r="G2473" s="2">
        <v>201802</v>
      </c>
      <c r="H2473" s="2" t="s">
        <v>74</v>
      </c>
      <c r="I2473" s="2" t="s">
        <v>75</v>
      </c>
      <c r="J2473" s="2" t="s">
        <v>76</v>
      </c>
      <c r="K2473" s="2" t="s">
        <v>77</v>
      </c>
      <c r="L2473" s="2" t="s">
        <v>343</v>
      </c>
      <c r="M2473" s="2" t="s">
        <v>344</v>
      </c>
      <c r="N2473" s="2" t="s">
        <v>2794</v>
      </c>
      <c r="O2473" s="2" t="s">
        <v>100</v>
      </c>
      <c r="P2473" s="2" t="str">
        <f>"2170584029                    "</f>
        <v xml:space="preserve">2170584029 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4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1</v>
      </c>
      <c r="BJ2473" s="2">
        <v>0.2</v>
      </c>
      <c r="BK2473" s="2">
        <v>1</v>
      </c>
      <c r="BL2473" s="2">
        <v>41.44</v>
      </c>
      <c r="BM2473" s="2">
        <v>5.8</v>
      </c>
      <c r="BN2473" s="2">
        <v>47.24</v>
      </c>
      <c r="BO2473" s="2">
        <v>47.24</v>
      </c>
      <c r="BP2473" s="2"/>
      <c r="BQ2473" s="2" t="s">
        <v>365</v>
      </c>
      <c r="BR2473" s="2" t="s">
        <v>84</v>
      </c>
      <c r="BS2473" s="3">
        <v>42970</v>
      </c>
      <c r="BT2473" s="4">
        <v>0.42986111111111108</v>
      </c>
      <c r="BU2473" s="2" t="s">
        <v>768</v>
      </c>
      <c r="BV2473" s="2" t="s">
        <v>95</v>
      </c>
      <c r="BW2473" s="2"/>
      <c r="BX2473" s="2"/>
      <c r="BY2473" s="2">
        <v>1200</v>
      </c>
      <c r="BZ2473" s="2"/>
      <c r="CA2473" s="2" t="s">
        <v>347</v>
      </c>
      <c r="CB2473" s="2"/>
      <c r="CC2473" s="2" t="s">
        <v>344</v>
      </c>
      <c r="CD2473" s="2">
        <v>4110</v>
      </c>
      <c r="CE2473" s="2" t="s">
        <v>104</v>
      </c>
      <c r="CF2473" s="5">
        <v>42970</v>
      </c>
      <c r="CG2473" s="2"/>
      <c r="CH2473" s="2"/>
      <c r="CI2473" s="2">
        <v>1</v>
      </c>
      <c r="CJ2473" s="2">
        <v>1</v>
      </c>
      <c r="CK2473" s="2">
        <v>21</v>
      </c>
      <c r="CL2473" s="2" t="s">
        <v>86</v>
      </c>
      <c r="CM2473" s="2"/>
    </row>
    <row r="2474" spans="1:91">
      <c r="A2474" s="2" t="s">
        <v>71</v>
      </c>
      <c r="B2474" s="2" t="s">
        <v>72</v>
      </c>
      <c r="C2474" s="2" t="s">
        <v>73</v>
      </c>
      <c r="D2474" s="2"/>
      <c r="E2474" s="2" t="str">
        <f>"FES1162570490"</f>
        <v>FES1162570490</v>
      </c>
      <c r="F2474" s="3">
        <v>42969</v>
      </c>
      <c r="G2474" s="2">
        <v>201802</v>
      </c>
      <c r="H2474" s="2" t="s">
        <v>74</v>
      </c>
      <c r="I2474" s="2" t="s">
        <v>75</v>
      </c>
      <c r="J2474" s="2" t="s">
        <v>76</v>
      </c>
      <c r="K2474" s="2" t="s">
        <v>77</v>
      </c>
      <c r="L2474" s="2" t="s">
        <v>137</v>
      </c>
      <c r="M2474" s="2" t="s">
        <v>138</v>
      </c>
      <c r="N2474" s="2" t="s">
        <v>2924</v>
      </c>
      <c r="O2474" s="2" t="s">
        <v>100</v>
      </c>
      <c r="P2474" s="2" t="str">
        <f>"2170583769                    "</f>
        <v xml:space="preserve">2170583769               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4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1</v>
      </c>
      <c r="BJ2474" s="2">
        <v>0.2</v>
      </c>
      <c r="BK2474" s="2">
        <v>1</v>
      </c>
      <c r="BL2474" s="2">
        <v>41.44</v>
      </c>
      <c r="BM2474" s="2">
        <v>5.8</v>
      </c>
      <c r="BN2474" s="2">
        <v>47.24</v>
      </c>
      <c r="BO2474" s="2">
        <v>47.24</v>
      </c>
      <c r="BP2474" s="2"/>
      <c r="BQ2474" s="2" t="s">
        <v>288</v>
      </c>
      <c r="BR2474" s="2" t="s">
        <v>84</v>
      </c>
      <c r="BS2474" s="3">
        <v>42970</v>
      </c>
      <c r="BT2474" s="4">
        <v>0.42430555555555555</v>
      </c>
      <c r="BU2474" s="2" t="s">
        <v>2925</v>
      </c>
      <c r="BV2474" s="2" t="s">
        <v>95</v>
      </c>
      <c r="BW2474" s="2"/>
      <c r="BX2474" s="2"/>
      <c r="BY2474" s="2">
        <v>1200</v>
      </c>
      <c r="BZ2474" s="2"/>
      <c r="CA2474" s="2" t="s">
        <v>2676</v>
      </c>
      <c r="CB2474" s="2"/>
      <c r="CC2474" s="2" t="s">
        <v>138</v>
      </c>
      <c r="CD2474" s="2">
        <v>157</v>
      </c>
      <c r="CE2474" s="2" t="s">
        <v>104</v>
      </c>
      <c r="CF2474" s="5">
        <v>42971</v>
      </c>
      <c r="CG2474" s="2"/>
      <c r="CH2474" s="2"/>
      <c r="CI2474" s="2">
        <v>1</v>
      </c>
      <c r="CJ2474" s="2">
        <v>1</v>
      </c>
      <c r="CK2474" s="2">
        <v>21</v>
      </c>
      <c r="CL2474" s="2" t="s">
        <v>86</v>
      </c>
      <c r="CM2474" s="2"/>
    </row>
    <row r="2475" spans="1:91">
      <c r="A2475" s="2" t="s">
        <v>71</v>
      </c>
      <c r="B2475" s="2" t="s">
        <v>72</v>
      </c>
      <c r="C2475" s="2" t="s">
        <v>73</v>
      </c>
      <c r="D2475" s="2"/>
      <c r="E2475" s="2" t="str">
        <f>"FES1162570484"</f>
        <v>FES1162570484</v>
      </c>
      <c r="F2475" s="3">
        <v>42969</v>
      </c>
      <c r="G2475" s="2">
        <v>201802</v>
      </c>
      <c r="H2475" s="2" t="s">
        <v>74</v>
      </c>
      <c r="I2475" s="2" t="s">
        <v>75</v>
      </c>
      <c r="J2475" s="2" t="s">
        <v>76</v>
      </c>
      <c r="K2475" s="2" t="s">
        <v>77</v>
      </c>
      <c r="L2475" s="2" t="s">
        <v>268</v>
      </c>
      <c r="M2475" s="2" t="s">
        <v>269</v>
      </c>
      <c r="N2475" s="2" t="s">
        <v>432</v>
      </c>
      <c r="O2475" s="2" t="s">
        <v>100</v>
      </c>
      <c r="P2475" s="2" t="str">
        <f>"2170581255                    "</f>
        <v xml:space="preserve">2170581255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4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1</v>
      </c>
      <c r="BJ2475" s="2">
        <v>0.2</v>
      </c>
      <c r="BK2475" s="2">
        <v>1</v>
      </c>
      <c r="BL2475" s="2">
        <v>41.44</v>
      </c>
      <c r="BM2475" s="2">
        <v>5.8</v>
      </c>
      <c r="BN2475" s="2">
        <v>47.24</v>
      </c>
      <c r="BO2475" s="2">
        <v>47.24</v>
      </c>
      <c r="BP2475" s="2"/>
      <c r="BQ2475" s="2" t="s">
        <v>288</v>
      </c>
      <c r="BR2475" s="2" t="s">
        <v>84</v>
      </c>
      <c r="BS2475" s="3">
        <v>42970</v>
      </c>
      <c r="BT2475" s="4">
        <v>0.63541666666666663</v>
      </c>
      <c r="BU2475" s="2" t="s">
        <v>2926</v>
      </c>
      <c r="BV2475" s="2" t="s">
        <v>86</v>
      </c>
      <c r="BW2475" s="2" t="s">
        <v>110</v>
      </c>
      <c r="BX2475" s="2" t="s">
        <v>623</v>
      </c>
      <c r="BY2475" s="2">
        <v>1200</v>
      </c>
      <c r="BZ2475" s="2"/>
      <c r="CA2475" s="2"/>
      <c r="CB2475" s="2"/>
      <c r="CC2475" s="2" t="s">
        <v>269</v>
      </c>
      <c r="CD2475" s="2">
        <v>117</v>
      </c>
      <c r="CE2475" s="2" t="s">
        <v>104</v>
      </c>
      <c r="CF2475" s="5">
        <v>42971</v>
      </c>
      <c r="CG2475" s="2"/>
      <c r="CH2475" s="2"/>
      <c r="CI2475" s="2">
        <v>1</v>
      </c>
      <c r="CJ2475" s="2">
        <v>1</v>
      </c>
      <c r="CK2475" s="2">
        <v>21</v>
      </c>
      <c r="CL2475" s="2" t="s">
        <v>86</v>
      </c>
      <c r="CM2475" s="2"/>
    </row>
    <row r="2476" spans="1:91">
      <c r="A2476" s="2" t="s">
        <v>71</v>
      </c>
      <c r="B2476" s="2" t="s">
        <v>72</v>
      </c>
      <c r="C2476" s="2" t="s">
        <v>73</v>
      </c>
      <c r="D2476" s="2"/>
      <c r="E2476" s="2" t="str">
        <f>"FES1162570534"</f>
        <v>FES1162570534</v>
      </c>
      <c r="F2476" s="3">
        <v>42969</v>
      </c>
      <c r="G2476" s="2">
        <v>201802</v>
      </c>
      <c r="H2476" s="2" t="s">
        <v>74</v>
      </c>
      <c r="I2476" s="2" t="s">
        <v>75</v>
      </c>
      <c r="J2476" s="2" t="s">
        <v>76</v>
      </c>
      <c r="K2476" s="2" t="s">
        <v>77</v>
      </c>
      <c r="L2476" s="2" t="s">
        <v>268</v>
      </c>
      <c r="M2476" s="2" t="s">
        <v>269</v>
      </c>
      <c r="N2476" s="2" t="s">
        <v>1320</v>
      </c>
      <c r="O2476" s="2" t="s">
        <v>100</v>
      </c>
      <c r="P2476" s="2" t="str">
        <f>"2170583837                    "</f>
        <v xml:space="preserve">2170583837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4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1</v>
      </c>
      <c r="BJ2476" s="2">
        <v>0.2</v>
      </c>
      <c r="BK2476" s="2">
        <v>1</v>
      </c>
      <c r="BL2476" s="2">
        <v>41.44</v>
      </c>
      <c r="BM2476" s="2">
        <v>5.8</v>
      </c>
      <c r="BN2476" s="2">
        <v>47.24</v>
      </c>
      <c r="BO2476" s="2">
        <v>47.24</v>
      </c>
      <c r="BP2476" s="2"/>
      <c r="BQ2476" s="2" t="s">
        <v>288</v>
      </c>
      <c r="BR2476" s="2" t="s">
        <v>84</v>
      </c>
      <c r="BS2476" s="3">
        <v>42970</v>
      </c>
      <c r="BT2476" s="4">
        <v>0.44791666666666669</v>
      </c>
      <c r="BU2476" s="2" t="s">
        <v>2927</v>
      </c>
      <c r="BV2476" s="2" t="s">
        <v>95</v>
      </c>
      <c r="BW2476" s="2"/>
      <c r="BX2476" s="2"/>
      <c r="BY2476" s="2">
        <v>1200</v>
      </c>
      <c r="BZ2476" s="2"/>
      <c r="CA2476" s="2"/>
      <c r="CB2476" s="2"/>
      <c r="CC2476" s="2" t="s">
        <v>269</v>
      </c>
      <c r="CD2476" s="2">
        <v>2</v>
      </c>
      <c r="CE2476" s="2" t="s">
        <v>104</v>
      </c>
      <c r="CF2476" s="5">
        <v>42971</v>
      </c>
      <c r="CG2476" s="2"/>
      <c r="CH2476" s="2"/>
      <c r="CI2476" s="2">
        <v>1</v>
      </c>
      <c r="CJ2476" s="2">
        <v>1</v>
      </c>
      <c r="CK2476" s="2">
        <v>21</v>
      </c>
      <c r="CL2476" s="2" t="s">
        <v>86</v>
      </c>
      <c r="CM2476" s="2"/>
    </row>
    <row r="2477" spans="1:91">
      <c r="A2477" s="2" t="s">
        <v>71</v>
      </c>
      <c r="B2477" s="2" t="s">
        <v>72</v>
      </c>
      <c r="C2477" s="2" t="s">
        <v>73</v>
      </c>
      <c r="D2477" s="2"/>
      <c r="E2477" s="2" t="str">
        <f>"FES1162570565"</f>
        <v>FES1162570565</v>
      </c>
      <c r="F2477" s="3">
        <v>42969</v>
      </c>
      <c r="G2477" s="2">
        <v>201802</v>
      </c>
      <c r="H2477" s="2" t="s">
        <v>74</v>
      </c>
      <c r="I2477" s="2" t="s">
        <v>75</v>
      </c>
      <c r="J2477" s="2" t="s">
        <v>76</v>
      </c>
      <c r="K2477" s="2" t="s">
        <v>77</v>
      </c>
      <c r="L2477" s="2" t="s">
        <v>105</v>
      </c>
      <c r="M2477" s="2" t="s">
        <v>106</v>
      </c>
      <c r="N2477" s="2" t="s">
        <v>705</v>
      </c>
      <c r="O2477" s="2" t="s">
        <v>100</v>
      </c>
      <c r="P2477" s="2" t="str">
        <f>"2170586295                    "</f>
        <v xml:space="preserve">2170586295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4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1</v>
      </c>
      <c r="BJ2477" s="2">
        <v>0.2</v>
      </c>
      <c r="BK2477" s="2">
        <v>1</v>
      </c>
      <c r="BL2477" s="2">
        <v>41.44</v>
      </c>
      <c r="BM2477" s="2">
        <v>5.8</v>
      </c>
      <c r="BN2477" s="2">
        <v>47.24</v>
      </c>
      <c r="BO2477" s="2">
        <v>47.24</v>
      </c>
      <c r="BP2477" s="2"/>
      <c r="BQ2477" s="2" t="s">
        <v>108</v>
      </c>
      <c r="BR2477" s="2" t="s">
        <v>84</v>
      </c>
      <c r="BS2477" s="3">
        <v>42970</v>
      </c>
      <c r="BT2477" s="4">
        <v>0.37083333333333335</v>
      </c>
      <c r="BU2477" s="2" t="s">
        <v>2887</v>
      </c>
      <c r="BV2477" s="2" t="s">
        <v>95</v>
      </c>
      <c r="BW2477" s="2"/>
      <c r="BX2477" s="2"/>
      <c r="BY2477" s="2">
        <v>1200</v>
      </c>
      <c r="BZ2477" s="2"/>
      <c r="CA2477" s="2" t="s">
        <v>2626</v>
      </c>
      <c r="CB2477" s="2"/>
      <c r="CC2477" s="2" t="s">
        <v>106</v>
      </c>
      <c r="CD2477" s="2">
        <v>7441</v>
      </c>
      <c r="CE2477" s="2" t="s">
        <v>104</v>
      </c>
      <c r="CF2477" s="5">
        <v>42971</v>
      </c>
      <c r="CG2477" s="2"/>
      <c r="CH2477" s="2"/>
      <c r="CI2477" s="2">
        <v>1</v>
      </c>
      <c r="CJ2477" s="2">
        <v>1</v>
      </c>
      <c r="CK2477" s="2">
        <v>21</v>
      </c>
      <c r="CL2477" s="2" t="s">
        <v>86</v>
      </c>
      <c r="CM2477" s="2"/>
    </row>
    <row r="2478" spans="1:91">
      <c r="A2478" s="2" t="s">
        <v>71</v>
      </c>
      <c r="B2478" s="2" t="s">
        <v>72</v>
      </c>
      <c r="C2478" s="2" t="s">
        <v>73</v>
      </c>
      <c r="D2478" s="2"/>
      <c r="E2478" s="2" t="str">
        <f>"FES1162570178"</f>
        <v>FES1162570178</v>
      </c>
      <c r="F2478" s="3">
        <v>42969</v>
      </c>
      <c r="G2478" s="2">
        <v>201802</v>
      </c>
      <c r="H2478" s="2" t="s">
        <v>74</v>
      </c>
      <c r="I2478" s="2" t="s">
        <v>75</v>
      </c>
      <c r="J2478" s="2" t="s">
        <v>76</v>
      </c>
      <c r="K2478" s="2" t="s">
        <v>77</v>
      </c>
      <c r="L2478" s="2" t="s">
        <v>417</v>
      </c>
      <c r="M2478" s="2" t="s">
        <v>417</v>
      </c>
      <c r="N2478" s="2" t="s">
        <v>475</v>
      </c>
      <c r="O2478" s="2" t="s">
        <v>100</v>
      </c>
      <c r="P2478" s="2" t="str">
        <f>"2170585708                    "</f>
        <v xml:space="preserve">2170585708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4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1</v>
      </c>
      <c r="BJ2478" s="2">
        <v>0.2</v>
      </c>
      <c r="BK2478" s="2">
        <v>1</v>
      </c>
      <c r="BL2478" s="2">
        <v>41.44</v>
      </c>
      <c r="BM2478" s="2">
        <v>5.8</v>
      </c>
      <c r="BN2478" s="2">
        <v>47.24</v>
      </c>
      <c r="BO2478" s="2">
        <v>47.24</v>
      </c>
      <c r="BP2478" s="2"/>
      <c r="BQ2478" s="2" t="s">
        <v>108</v>
      </c>
      <c r="BR2478" s="2" t="s">
        <v>84</v>
      </c>
      <c r="BS2478" s="3">
        <v>42970</v>
      </c>
      <c r="BT2478" s="4">
        <v>0.45763888888888887</v>
      </c>
      <c r="BU2478" s="2" t="s">
        <v>2928</v>
      </c>
      <c r="BV2478" s="2" t="s">
        <v>95</v>
      </c>
      <c r="BW2478" s="2"/>
      <c r="BX2478" s="2"/>
      <c r="BY2478" s="2">
        <v>1200</v>
      </c>
      <c r="BZ2478" s="2"/>
      <c r="CA2478" s="2" t="s">
        <v>420</v>
      </c>
      <c r="CB2478" s="2"/>
      <c r="CC2478" s="2" t="s">
        <v>417</v>
      </c>
      <c r="CD2478" s="2">
        <v>7646</v>
      </c>
      <c r="CE2478" s="2" t="s">
        <v>104</v>
      </c>
      <c r="CF2478" s="5">
        <v>42971</v>
      </c>
      <c r="CG2478" s="2"/>
      <c r="CH2478" s="2"/>
      <c r="CI2478" s="2">
        <v>1</v>
      </c>
      <c r="CJ2478" s="2">
        <v>1</v>
      </c>
      <c r="CK2478" s="2">
        <v>21</v>
      </c>
      <c r="CL2478" s="2" t="s">
        <v>86</v>
      </c>
      <c r="CM2478" s="2"/>
    </row>
    <row r="2479" spans="1:91">
      <c r="A2479" s="2" t="s">
        <v>71</v>
      </c>
      <c r="B2479" s="2" t="s">
        <v>72</v>
      </c>
      <c r="C2479" s="2" t="s">
        <v>73</v>
      </c>
      <c r="D2479" s="2"/>
      <c r="E2479" s="2" t="str">
        <f>"FES1162570416"</f>
        <v>FES1162570416</v>
      </c>
      <c r="F2479" s="3">
        <v>42969</v>
      </c>
      <c r="G2479" s="2">
        <v>201802</v>
      </c>
      <c r="H2479" s="2" t="s">
        <v>74</v>
      </c>
      <c r="I2479" s="2" t="s">
        <v>75</v>
      </c>
      <c r="J2479" s="2" t="s">
        <v>76</v>
      </c>
      <c r="K2479" s="2" t="s">
        <v>77</v>
      </c>
      <c r="L2479" s="2" t="s">
        <v>164</v>
      </c>
      <c r="M2479" s="2" t="s">
        <v>165</v>
      </c>
      <c r="N2479" s="2" t="s">
        <v>1191</v>
      </c>
      <c r="O2479" s="2" t="s">
        <v>100</v>
      </c>
      <c r="P2479" s="2" t="str">
        <f>"2170585787                    "</f>
        <v xml:space="preserve">2170585787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4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1</v>
      </c>
      <c r="BI2479" s="2">
        <v>1</v>
      </c>
      <c r="BJ2479" s="2">
        <v>0.2</v>
      </c>
      <c r="BK2479" s="2">
        <v>1</v>
      </c>
      <c r="BL2479" s="2">
        <v>41.44</v>
      </c>
      <c r="BM2479" s="2">
        <v>5.8</v>
      </c>
      <c r="BN2479" s="2">
        <v>47.24</v>
      </c>
      <c r="BO2479" s="2">
        <v>47.24</v>
      </c>
      <c r="BP2479" s="2"/>
      <c r="BQ2479" s="2" t="s">
        <v>288</v>
      </c>
      <c r="BR2479" s="2" t="s">
        <v>84</v>
      </c>
      <c r="BS2479" s="3">
        <v>42970</v>
      </c>
      <c r="BT2479" s="4">
        <v>0.41597222222222219</v>
      </c>
      <c r="BU2479" s="2" t="s">
        <v>2890</v>
      </c>
      <c r="BV2479" s="2" t="s">
        <v>95</v>
      </c>
      <c r="BW2479" s="2"/>
      <c r="BX2479" s="2"/>
      <c r="BY2479" s="2">
        <v>1200</v>
      </c>
      <c r="BZ2479" s="2"/>
      <c r="CA2479" s="2" t="s">
        <v>1193</v>
      </c>
      <c r="CB2479" s="2"/>
      <c r="CC2479" s="2" t="s">
        <v>165</v>
      </c>
      <c r="CD2479" s="2">
        <v>6850</v>
      </c>
      <c r="CE2479" s="2" t="s">
        <v>104</v>
      </c>
      <c r="CF2479" s="5">
        <v>42970</v>
      </c>
      <c r="CG2479" s="2"/>
      <c r="CH2479" s="2"/>
      <c r="CI2479" s="2">
        <v>3</v>
      </c>
      <c r="CJ2479" s="2">
        <v>1</v>
      </c>
      <c r="CK2479" s="2">
        <v>21</v>
      </c>
      <c r="CL2479" s="2" t="s">
        <v>86</v>
      </c>
      <c r="CM2479" s="2"/>
    </row>
    <row r="2480" spans="1:91">
      <c r="A2480" s="2" t="s">
        <v>71</v>
      </c>
      <c r="B2480" s="2" t="s">
        <v>72</v>
      </c>
      <c r="C2480" s="2" t="s">
        <v>73</v>
      </c>
      <c r="D2480" s="2"/>
      <c r="E2480" s="2" t="str">
        <f>"FES1162570519"</f>
        <v>FES1162570519</v>
      </c>
      <c r="F2480" s="3">
        <v>42969</v>
      </c>
      <c r="G2480" s="2">
        <v>201802</v>
      </c>
      <c r="H2480" s="2" t="s">
        <v>74</v>
      </c>
      <c r="I2480" s="2" t="s">
        <v>75</v>
      </c>
      <c r="J2480" s="2" t="s">
        <v>76</v>
      </c>
      <c r="K2480" s="2" t="s">
        <v>77</v>
      </c>
      <c r="L2480" s="2" t="s">
        <v>417</v>
      </c>
      <c r="M2480" s="2" t="s">
        <v>417</v>
      </c>
      <c r="N2480" s="2" t="s">
        <v>475</v>
      </c>
      <c r="O2480" s="2" t="s">
        <v>100</v>
      </c>
      <c r="P2480" s="2" t="str">
        <f>"2170586283                    "</f>
        <v xml:space="preserve">2170586283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4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1</v>
      </c>
      <c r="BI2480" s="2">
        <v>1</v>
      </c>
      <c r="BJ2480" s="2">
        <v>0.2</v>
      </c>
      <c r="BK2480" s="2">
        <v>1</v>
      </c>
      <c r="BL2480" s="2">
        <v>41.44</v>
      </c>
      <c r="BM2480" s="2">
        <v>5.8</v>
      </c>
      <c r="BN2480" s="2">
        <v>47.24</v>
      </c>
      <c r="BO2480" s="2">
        <v>47.24</v>
      </c>
      <c r="BP2480" s="2"/>
      <c r="BQ2480" s="2" t="s">
        <v>108</v>
      </c>
      <c r="BR2480" s="2" t="s">
        <v>84</v>
      </c>
      <c r="BS2480" s="3">
        <v>42970</v>
      </c>
      <c r="BT2480" s="4">
        <v>0.45833333333333331</v>
      </c>
      <c r="BU2480" s="2" t="s">
        <v>2928</v>
      </c>
      <c r="BV2480" s="2" t="s">
        <v>95</v>
      </c>
      <c r="BW2480" s="2"/>
      <c r="BX2480" s="2"/>
      <c r="BY2480" s="2">
        <v>1200</v>
      </c>
      <c r="BZ2480" s="2"/>
      <c r="CA2480" s="2" t="s">
        <v>420</v>
      </c>
      <c r="CB2480" s="2"/>
      <c r="CC2480" s="2" t="s">
        <v>417</v>
      </c>
      <c r="CD2480" s="2">
        <v>7646</v>
      </c>
      <c r="CE2480" s="2" t="s">
        <v>104</v>
      </c>
      <c r="CF2480" s="5">
        <v>42970</v>
      </c>
      <c r="CG2480" s="2"/>
      <c r="CH2480" s="2"/>
      <c r="CI2480" s="2">
        <v>1</v>
      </c>
      <c r="CJ2480" s="2">
        <v>1</v>
      </c>
      <c r="CK2480" s="2">
        <v>21</v>
      </c>
      <c r="CL2480" s="2" t="s">
        <v>86</v>
      </c>
      <c r="CM2480" s="2"/>
    </row>
    <row r="2481" spans="1:91">
      <c r="A2481" s="2" t="s">
        <v>71</v>
      </c>
      <c r="B2481" s="2" t="s">
        <v>72</v>
      </c>
      <c r="C2481" s="2" t="s">
        <v>73</v>
      </c>
      <c r="D2481" s="2"/>
      <c r="E2481" s="2" t="str">
        <f>"FES1162570397"</f>
        <v>FES1162570397</v>
      </c>
      <c r="F2481" s="3">
        <v>42969</v>
      </c>
      <c r="G2481" s="2">
        <v>201802</v>
      </c>
      <c r="H2481" s="2" t="s">
        <v>74</v>
      </c>
      <c r="I2481" s="2" t="s">
        <v>75</v>
      </c>
      <c r="J2481" s="2" t="s">
        <v>76</v>
      </c>
      <c r="K2481" s="2" t="s">
        <v>77</v>
      </c>
      <c r="L2481" s="2" t="s">
        <v>105</v>
      </c>
      <c r="M2481" s="2" t="s">
        <v>106</v>
      </c>
      <c r="N2481" s="2" t="s">
        <v>893</v>
      </c>
      <c r="O2481" s="2" t="s">
        <v>100</v>
      </c>
      <c r="P2481" s="2" t="str">
        <f>"2170582116                    "</f>
        <v xml:space="preserve">2170582116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4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1</v>
      </c>
      <c r="BJ2481" s="2">
        <v>0.2</v>
      </c>
      <c r="BK2481" s="2">
        <v>1</v>
      </c>
      <c r="BL2481" s="2">
        <v>41.44</v>
      </c>
      <c r="BM2481" s="2">
        <v>5.8</v>
      </c>
      <c r="BN2481" s="2">
        <v>47.24</v>
      </c>
      <c r="BO2481" s="2">
        <v>47.24</v>
      </c>
      <c r="BP2481" s="2"/>
      <c r="BQ2481" s="2" t="s">
        <v>227</v>
      </c>
      <c r="BR2481" s="2" t="s">
        <v>84</v>
      </c>
      <c r="BS2481" s="3">
        <v>42970</v>
      </c>
      <c r="BT2481" s="4">
        <v>0.38680555555555557</v>
      </c>
      <c r="BU2481" s="2" t="s">
        <v>2929</v>
      </c>
      <c r="BV2481" s="2" t="s">
        <v>95</v>
      </c>
      <c r="BW2481" s="2"/>
      <c r="BX2481" s="2"/>
      <c r="BY2481" s="2">
        <v>1200</v>
      </c>
      <c r="BZ2481" s="2"/>
      <c r="CA2481" s="2" t="s">
        <v>869</v>
      </c>
      <c r="CB2481" s="2"/>
      <c r="CC2481" s="2" t="s">
        <v>106</v>
      </c>
      <c r="CD2481" s="2">
        <v>7460</v>
      </c>
      <c r="CE2481" s="2" t="s">
        <v>104</v>
      </c>
      <c r="CF2481" s="5">
        <v>42971</v>
      </c>
      <c r="CG2481" s="2"/>
      <c r="CH2481" s="2"/>
      <c r="CI2481" s="2">
        <v>1</v>
      </c>
      <c r="CJ2481" s="2">
        <v>1</v>
      </c>
      <c r="CK2481" s="2">
        <v>21</v>
      </c>
      <c r="CL2481" s="2" t="s">
        <v>86</v>
      </c>
      <c r="CM2481" s="2"/>
    </row>
    <row r="2482" spans="1:91">
      <c r="A2482" s="2" t="s">
        <v>71</v>
      </c>
      <c r="B2482" s="2" t="s">
        <v>72</v>
      </c>
      <c r="C2482" s="2" t="s">
        <v>73</v>
      </c>
      <c r="D2482" s="2"/>
      <c r="E2482" s="2" t="str">
        <f>"FES1162570502"</f>
        <v>FES1162570502</v>
      </c>
      <c r="F2482" s="3">
        <v>42969</v>
      </c>
      <c r="G2482" s="2">
        <v>201802</v>
      </c>
      <c r="H2482" s="2" t="s">
        <v>74</v>
      </c>
      <c r="I2482" s="2" t="s">
        <v>75</v>
      </c>
      <c r="J2482" s="2" t="s">
        <v>76</v>
      </c>
      <c r="K2482" s="2" t="s">
        <v>77</v>
      </c>
      <c r="L2482" s="2" t="s">
        <v>417</v>
      </c>
      <c r="M2482" s="2" t="s">
        <v>417</v>
      </c>
      <c r="N2482" s="2" t="s">
        <v>458</v>
      </c>
      <c r="O2482" s="2" t="s">
        <v>100</v>
      </c>
      <c r="P2482" s="2" t="str">
        <f>"2170586096                    "</f>
        <v xml:space="preserve">2170586096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4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1</v>
      </c>
      <c r="BI2482" s="2">
        <v>1</v>
      </c>
      <c r="BJ2482" s="2">
        <v>0.2</v>
      </c>
      <c r="BK2482" s="2">
        <v>1</v>
      </c>
      <c r="BL2482" s="2">
        <v>41.44</v>
      </c>
      <c r="BM2482" s="2">
        <v>5.8</v>
      </c>
      <c r="BN2482" s="2">
        <v>47.24</v>
      </c>
      <c r="BO2482" s="2">
        <v>47.24</v>
      </c>
      <c r="BP2482" s="2"/>
      <c r="BQ2482" s="2" t="s">
        <v>83</v>
      </c>
      <c r="BR2482" s="2" t="s">
        <v>84</v>
      </c>
      <c r="BS2482" s="3">
        <v>42970</v>
      </c>
      <c r="BT2482" s="4">
        <v>0.48541666666666666</v>
      </c>
      <c r="BU2482" s="2" t="s">
        <v>2930</v>
      </c>
      <c r="BV2482" s="2" t="s">
        <v>95</v>
      </c>
      <c r="BW2482" s="2"/>
      <c r="BX2482" s="2"/>
      <c r="BY2482" s="2">
        <v>1200</v>
      </c>
      <c r="BZ2482" s="2"/>
      <c r="CA2482" s="2" t="s">
        <v>420</v>
      </c>
      <c r="CB2482" s="2"/>
      <c r="CC2482" s="2" t="s">
        <v>417</v>
      </c>
      <c r="CD2482" s="2">
        <v>7646</v>
      </c>
      <c r="CE2482" s="2" t="s">
        <v>104</v>
      </c>
      <c r="CF2482" s="5">
        <v>42970</v>
      </c>
      <c r="CG2482" s="2"/>
      <c r="CH2482" s="2"/>
      <c r="CI2482" s="2">
        <v>1</v>
      </c>
      <c r="CJ2482" s="2">
        <v>1</v>
      </c>
      <c r="CK2482" s="2">
        <v>21</v>
      </c>
      <c r="CL2482" s="2" t="s">
        <v>86</v>
      </c>
      <c r="CM2482" s="2"/>
    </row>
    <row r="2483" spans="1:91">
      <c r="A2483" s="2" t="s">
        <v>71</v>
      </c>
      <c r="B2483" s="2" t="s">
        <v>72</v>
      </c>
      <c r="C2483" s="2" t="s">
        <v>73</v>
      </c>
      <c r="D2483" s="2"/>
      <c r="E2483" s="2" t="str">
        <f>"FES1162570581"</f>
        <v>FES1162570581</v>
      </c>
      <c r="F2483" s="3">
        <v>42969</v>
      </c>
      <c r="G2483" s="2">
        <v>201802</v>
      </c>
      <c r="H2483" s="2" t="s">
        <v>74</v>
      </c>
      <c r="I2483" s="2" t="s">
        <v>75</v>
      </c>
      <c r="J2483" s="2" t="s">
        <v>76</v>
      </c>
      <c r="K2483" s="2" t="s">
        <v>77</v>
      </c>
      <c r="L2483" s="2" t="s">
        <v>105</v>
      </c>
      <c r="M2483" s="2" t="s">
        <v>106</v>
      </c>
      <c r="N2483" s="2" t="s">
        <v>107</v>
      </c>
      <c r="O2483" s="2" t="s">
        <v>100</v>
      </c>
      <c r="P2483" s="2" t="str">
        <f>"2170586324                    "</f>
        <v xml:space="preserve">2170586324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4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1</v>
      </c>
      <c r="BJ2483" s="2">
        <v>0.2</v>
      </c>
      <c r="BK2483" s="2">
        <v>1</v>
      </c>
      <c r="BL2483" s="2">
        <v>41.44</v>
      </c>
      <c r="BM2483" s="2">
        <v>5.8</v>
      </c>
      <c r="BN2483" s="2">
        <v>47.24</v>
      </c>
      <c r="BO2483" s="2">
        <v>47.24</v>
      </c>
      <c r="BP2483" s="2"/>
      <c r="BQ2483" s="2" t="s">
        <v>108</v>
      </c>
      <c r="BR2483" s="2" t="s">
        <v>84</v>
      </c>
      <c r="BS2483" s="3">
        <v>42970</v>
      </c>
      <c r="BT2483" s="4">
        <v>0.41666666666666669</v>
      </c>
      <c r="BU2483" s="2" t="s">
        <v>2931</v>
      </c>
      <c r="BV2483" s="2" t="s">
        <v>95</v>
      </c>
      <c r="BW2483" s="2"/>
      <c r="BX2483" s="2"/>
      <c r="BY2483" s="2">
        <v>1200</v>
      </c>
      <c r="BZ2483" s="2"/>
      <c r="CA2483" s="2"/>
      <c r="CB2483" s="2"/>
      <c r="CC2483" s="2" t="s">
        <v>106</v>
      </c>
      <c r="CD2483" s="2">
        <v>7405</v>
      </c>
      <c r="CE2483" s="2" t="s">
        <v>104</v>
      </c>
      <c r="CF2483" s="5">
        <v>42971</v>
      </c>
      <c r="CG2483" s="2"/>
      <c r="CH2483" s="2"/>
      <c r="CI2483" s="2">
        <v>1</v>
      </c>
      <c r="CJ2483" s="2">
        <v>1</v>
      </c>
      <c r="CK2483" s="2">
        <v>21</v>
      </c>
      <c r="CL2483" s="2" t="s">
        <v>86</v>
      </c>
      <c r="CM2483" s="2"/>
    </row>
    <row r="2484" spans="1:91">
      <c r="A2484" s="2" t="s">
        <v>71</v>
      </c>
      <c r="B2484" s="2" t="s">
        <v>72</v>
      </c>
      <c r="C2484" s="2" t="s">
        <v>73</v>
      </c>
      <c r="D2484" s="2"/>
      <c r="E2484" s="2" t="str">
        <f>"FES1162570437"</f>
        <v>FES1162570437</v>
      </c>
      <c r="F2484" s="3">
        <v>42969</v>
      </c>
      <c r="G2484" s="2">
        <v>201802</v>
      </c>
      <c r="H2484" s="2" t="s">
        <v>74</v>
      </c>
      <c r="I2484" s="2" t="s">
        <v>75</v>
      </c>
      <c r="J2484" s="2" t="s">
        <v>76</v>
      </c>
      <c r="K2484" s="2" t="s">
        <v>77</v>
      </c>
      <c r="L2484" s="2" t="s">
        <v>105</v>
      </c>
      <c r="M2484" s="2" t="s">
        <v>106</v>
      </c>
      <c r="N2484" s="2" t="s">
        <v>397</v>
      </c>
      <c r="O2484" s="2" t="s">
        <v>100</v>
      </c>
      <c r="P2484" s="2" t="str">
        <f>"2170586198                    "</f>
        <v xml:space="preserve">2170586198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4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1</v>
      </c>
      <c r="BJ2484" s="2">
        <v>0.2</v>
      </c>
      <c r="BK2484" s="2">
        <v>1</v>
      </c>
      <c r="BL2484" s="2">
        <v>41.44</v>
      </c>
      <c r="BM2484" s="2">
        <v>5.8</v>
      </c>
      <c r="BN2484" s="2">
        <v>47.24</v>
      </c>
      <c r="BO2484" s="2">
        <v>47.24</v>
      </c>
      <c r="BP2484" s="2"/>
      <c r="BQ2484" s="2" t="s">
        <v>83</v>
      </c>
      <c r="BR2484" s="2" t="s">
        <v>84</v>
      </c>
      <c r="BS2484" s="3">
        <v>42970</v>
      </c>
      <c r="BT2484" s="4">
        <v>0.3888888888888889</v>
      </c>
      <c r="BU2484" s="2" t="s">
        <v>779</v>
      </c>
      <c r="BV2484" s="2" t="s">
        <v>95</v>
      </c>
      <c r="BW2484" s="2"/>
      <c r="BX2484" s="2"/>
      <c r="BY2484" s="2">
        <v>1200</v>
      </c>
      <c r="BZ2484" s="2"/>
      <c r="CA2484" s="2" t="s">
        <v>112</v>
      </c>
      <c r="CB2484" s="2"/>
      <c r="CC2484" s="2" t="s">
        <v>106</v>
      </c>
      <c r="CD2484" s="2">
        <v>7405</v>
      </c>
      <c r="CE2484" s="2" t="s">
        <v>104</v>
      </c>
      <c r="CF2484" s="5">
        <v>42971</v>
      </c>
      <c r="CG2484" s="2"/>
      <c r="CH2484" s="2"/>
      <c r="CI2484" s="2">
        <v>1</v>
      </c>
      <c r="CJ2484" s="2">
        <v>1</v>
      </c>
      <c r="CK2484" s="2">
        <v>21</v>
      </c>
      <c r="CL2484" s="2" t="s">
        <v>86</v>
      </c>
      <c r="CM2484" s="2"/>
    </row>
    <row r="2485" spans="1:91">
      <c r="A2485" s="2" t="s">
        <v>71</v>
      </c>
      <c r="B2485" s="2" t="s">
        <v>72</v>
      </c>
      <c r="C2485" s="2" t="s">
        <v>73</v>
      </c>
      <c r="D2485" s="2"/>
      <c r="E2485" s="2" t="str">
        <f>"FES1162570499"</f>
        <v>FES1162570499</v>
      </c>
      <c r="F2485" s="3">
        <v>42969</v>
      </c>
      <c r="G2485" s="2">
        <v>201802</v>
      </c>
      <c r="H2485" s="2" t="s">
        <v>74</v>
      </c>
      <c r="I2485" s="2" t="s">
        <v>75</v>
      </c>
      <c r="J2485" s="2" t="s">
        <v>76</v>
      </c>
      <c r="K2485" s="2" t="s">
        <v>77</v>
      </c>
      <c r="L2485" s="2" t="s">
        <v>237</v>
      </c>
      <c r="M2485" s="2" t="s">
        <v>238</v>
      </c>
      <c r="N2485" s="2" t="s">
        <v>1766</v>
      </c>
      <c r="O2485" s="2" t="s">
        <v>100</v>
      </c>
      <c r="P2485" s="2" t="str">
        <f>"2170585586                    "</f>
        <v xml:space="preserve">2170585586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6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1.9</v>
      </c>
      <c r="BJ2485" s="2">
        <v>2.9</v>
      </c>
      <c r="BK2485" s="2">
        <v>3</v>
      </c>
      <c r="BL2485" s="2">
        <v>62.16</v>
      </c>
      <c r="BM2485" s="2">
        <v>8.6999999999999993</v>
      </c>
      <c r="BN2485" s="2">
        <v>70.86</v>
      </c>
      <c r="BO2485" s="2">
        <v>70.86</v>
      </c>
      <c r="BP2485" s="2"/>
      <c r="BQ2485" s="2" t="s">
        <v>108</v>
      </c>
      <c r="BR2485" s="2" t="s">
        <v>84</v>
      </c>
      <c r="BS2485" s="3">
        <v>42970</v>
      </c>
      <c r="BT2485" s="4">
        <v>0.43263888888888885</v>
      </c>
      <c r="BU2485" s="2" t="s">
        <v>428</v>
      </c>
      <c r="BV2485" s="2" t="s">
        <v>95</v>
      </c>
      <c r="BW2485" s="2"/>
      <c r="BX2485" s="2"/>
      <c r="BY2485" s="2">
        <v>14718.46</v>
      </c>
      <c r="BZ2485" s="2"/>
      <c r="CA2485" s="2" t="s">
        <v>401</v>
      </c>
      <c r="CB2485" s="2"/>
      <c r="CC2485" s="2" t="s">
        <v>238</v>
      </c>
      <c r="CD2485" s="2">
        <v>3620</v>
      </c>
      <c r="CE2485" s="2" t="s">
        <v>89</v>
      </c>
      <c r="CF2485" s="5">
        <v>42971</v>
      </c>
      <c r="CG2485" s="2"/>
      <c r="CH2485" s="2"/>
      <c r="CI2485" s="2">
        <v>1</v>
      </c>
      <c r="CJ2485" s="2">
        <v>1</v>
      </c>
      <c r="CK2485" s="2">
        <v>21</v>
      </c>
      <c r="CL2485" s="2" t="s">
        <v>86</v>
      </c>
      <c r="CM2485" s="2"/>
    </row>
    <row r="2486" spans="1:91">
      <c r="A2486" s="2" t="s">
        <v>71</v>
      </c>
      <c r="B2486" s="2" t="s">
        <v>72</v>
      </c>
      <c r="C2486" s="2" t="s">
        <v>73</v>
      </c>
      <c r="D2486" s="2"/>
      <c r="E2486" s="2" t="str">
        <f>"FES1162570409"</f>
        <v>FES1162570409</v>
      </c>
      <c r="F2486" s="3">
        <v>42969</v>
      </c>
      <c r="G2486" s="2">
        <v>201802</v>
      </c>
      <c r="H2486" s="2" t="s">
        <v>74</v>
      </c>
      <c r="I2486" s="2" t="s">
        <v>75</v>
      </c>
      <c r="J2486" s="2" t="s">
        <v>76</v>
      </c>
      <c r="K2486" s="2" t="s">
        <v>77</v>
      </c>
      <c r="L2486" s="2" t="s">
        <v>353</v>
      </c>
      <c r="M2486" s="2" t="s">
        <v>354</v>
      </c>
      <c r="N2486" s="2" t="s">
        <v>2932</v>
      </c>
      <c r="O2486" s="2" t="s">
        <v>100</v>
      </c>
      <c r="P2486" s="2" t="str">
        <f>"2170585547                    "</f>
        <v xml:space="preserve">2170585547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4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1</v>
      </c>
      <c r="BI2486" s="2">
        <v>1</v>
      </c>
      <c r="BJ2486" s="2">
        <v>0.2</v>
      </c>
      <c r="BK2486" s="2">
        <v>1</v>
      </c>
      <c r="BL2486" s="2">
        <v>41.44</v>
      </c>
      <c r="BM2486" s="2">
        <v>5.8</v>
      </c>
      <c r="BN2486" s="2">
        <v>47.24</v>
      </c>
      <c r="BO2486" s="2">
        <v>47.24</v>
      </c>
      <c r="BP2486" s="2"/>
      <c r="BQ2486" s="2" t="s">
        <v>288</v>
      </c>
      <c r="BR2486" s="2" t="s">
        <v>84</v>
      </c>
      <c r="BS2486" s="3">
        <v>42970</v>
      </c>
      <c r="BT2486" s="4">
        <v>0.42708333333333331</v>
      </c>
      <c r="BU2486" s="2" t="s">
        <v>2686</v>
      </c>
      <c r="BV2486" s="2" t="s">
        <v>95</v>
      </c>
      <c r="BW2486" s="2"/>
      <c r="BX2486" s="2"/>
      <c r="BY2486" s="2">
        <v>1200</v>
      </c>
      <c r="BZ2486" s="2"/>
      <c r="CA2486" s="2" t="s">
        <v>2305</v>
      </c>
      <c r="CB2486" s="2"/>
      <c r="CC2486" s="2" t="s">
        <v>354</v>
      </c>
      <c r="CD2486" s="2">
        <v>3699</v>
      </c>
      <c r="CE2486" s="2" t="s">
        <v>104</v>
      </c>
      <c r="CF2486" s="5">
        <v>42972</v>
      </c>
      <c r="CG2486" s="2"/>
      <c r="CH2486" s="2"/>
      <c r="CI2486" s="2">
        <v>1</v>
      </c>
      <c r="CJ2486" s="2">
        <v>1</v>
      </c>
      <c r="CK2486" s="2">
        <v>21</v>
      </c>
      <c r="CL2486" s="2" t="s">
        <v>86</v>
      </c>
      <c r="CM2486" s="2"/>
    </row>
    <row r="2487" spans="1:91">
      <c r="A2487" s="2" t="s">
        <v>71</v>
      </c>
      <c r="B2487" s="2" t="s">
        <v>72</v>
      </c>
      <c r="C2487" s="2" t="s">
        <v>73</v>
      </c>
      <c r="D2487" s="2"/>
      <c r="E2487" s="2" t="str">
        <f>"FES1162570526"</f>
        <v>FES1162570526</v>
      </c>
      <c r="F2487" s="3">
        <v>42969</v>
      </c>
      <c r="G2487" s="2">
        <v>201802</v>
      </c>
      <c r="H2487" s="2" t="s">
        <v>74</v>
      </c>
      <c r="I2487" s="2" t="s">
        <v>75</v>
      </c>
      <c r="J2487" s="2" t="s">
        <v>76</v>
      </c>
      <c r="K2487" s="2" t="s">
        <v>77</v>
      </c>
      <c r="L2487" s="2" t="s">
        <v>841</v>
      </c>
      <c r="M2487" s="2" t="s">
        <v>842</v>
      </c>
      <c r="N2487" s="2" t="s">
        <v>843</v>
      </c>
      <c r="O2487" s="2" t="s">
        <v>100</v>
      </c>
      <c r="P2487" s="2" t="str">
        <f>"2170583292                    "</f>
        <v xml:space="preserve">2170583292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7.75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1</v>
      </c>
      <c r="BJ2487" s="2">
        <v>0.2</v>
      </c>
      <c r="BK2487" s="2">
        <v>1</v>
      </c>
      <c r="BL2487" s="2">
        <v>80.290000000000006</v>
      </c>
      <c r="BM2487" s="2">
        <v>11.24</v>
      </c>
      <c r="BN2487" s="2">
        <v>91.53</v>
      </c>
      <c r="BO2487" s="2">
        <v>91.53</v>
      </c>
      <c r="BP2487" s="2"/>
      <c r="BQ2487" s="2" t="s">
        <v>83</v>
      </c>
      <c r="BR2487" s="2" t="s">
        <v>84</v>
      </c>
      <c r="BS2487" s="3">
        <v>42970</v>
      </c>
      <c r="BT2487" s="4">
        <v>0.59861111111111109</v>
      </c>
      <c r="BU2487" s="2" t="s">
        <v>844</v>
      </c>
      <c r="BV2487" s="2" t="s">
        <v>95</v>
      </c>
      <c r="BW2487" s="2"/>
      <c r="BX2487" s="2"/>
      <c r="BY2487" s="2">
        <v>1200</v>
      </c>
      <c r="BZ2487" s="2"/>
      <c r="CA2487" s="2"/>
      <c r="CB2487" s="2"/>
      <c r="CC2487" s="2" t="s">
        <v>842</v>
      </c>
      <c r="CD2487" s="2">
        <v>3370</v>
      </c>
      <c r="CE2487" s="2" t="s">
        <v>104</v>
      </c>
      <c r="CF2487" s="5">
        <v>42972</v>
      </c>
      <c r="CG2487" s="2"/>
      <c r="CH2487" s="2"/>
      <c r="CI2487" s="2">
        <v>3</v>
      </c>
      <c r="CJ2487" s="2">
        <v>1</v>
      </c>
      <c r="CK2487" s="2">
        <v>23</v>
      </c>
      <c r="CL2487" s="2" t="s">
        <v>86</v>
      </c>
      <c r="CM2487" s="2"/>
    </row>
    <row r="2488" spans="1:91">
      <c r="A2488" s="2" t="s">
        <v>71</v>
      </c>
      <c r="B2488" s="2" t="s">
        <v>72</v>
      </c>
      <c r="C2488" s="2" t="s">
        <v>73</v>
      </c>
      <c r="D2488" s="2"/>
      <c r="E2488" s="2" t="str">
        <f>"FES1162570403"</f>
        <v>FES1162570403</v>
      </c>
      <c r="F2488" s="3">
        <v>42969</v>
      </c>
      <c r="G2488" s="2">
        <v>201802</v>
      </c>
      <c r="H2488" s="2" t="s">
        <v>74</v>
      </c>
      <c r="I2488" s="2" t="s">
        <v>75</v>
      </c>
      <c r="J2488" s="2" t="s">
        <v>76</v>
      </c>
      <c r="K2488" s="2" t="s">
        <v>77</v>
      </c>
      <c r="L2488" s="2" t="s">
        <v>362</v>
      </c>
      <c r="M2488" s="2" t="s">
        <v>363</v>
      </c>
      <c r="N2488" s="2" t="s">
        <v>683</v>
      </c>
      <c r="O2488" s="2" t="s">
        <v>100</v>
      </c>
      <c r="P2488" s="2" t="str">
        <f>"2170584133                    "</f>
        <v xml:space="preserve">2170584133 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4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1</v>
      </c>
      <c r="BJ2488" s="2">
        <v>0.2</v>
      </c>
      <c r="BK2488" s="2">
        <v>1</v>
      </c>
      <c r="BL2488" s="2">
        <v>41.44</v>
      </c>
      <c r="BM2488" s="2">
        <v>5.8</v>
      </c>
      <c r="BN2488" s="2">
        <v>47.24</v>
      </c>
      <c r="BO2488" s="2">
        <v>47.24</v>
      </c>
      <c r="BP2488" s="2"/>
      <c r="BQ2488" s="2" t="s">
        <v>108</v>
      </c>
      <c r="BR2488" s="2" t="s">
        <v>84</v>
      </c>
      <c r="BS2488" s="3">
        <v>42970</v>
      </c>
      <c r="BT2488" s="4">
        <v>0.41388888888888892</v>
      </c>
      <c r="BU2488" s="2" t="s">
        <v>2933</v>
      </c>
      <c r="BV2488" s="2" t="s">
        <v>95</v>
      </c>
      <c r="BW2488" s="2"/>
      <c r="BX2488" s="2"/>
      <c r="BY2488" s="2">
        <v>1200</v>
      </c>
      <c r="BZ2488" s="2"/>
      <c r="CA2488" s="2" t="s">
        <v>685</v>
      </c>
      <c r="CB2488" s="2"/>
      <c r="CC2488" s="2" t="s">
        <v>363</v>
      </c>
      <c r="CD2488" s="2">
        <v>3201</v>
      </c>
      <c r="CE2488" s="2" t="s">
        <v>104</v>
      </c>
      <c r="CF2488" s="5">
        <v>42972</v>
      </c>
      <c r="CG2488" s="2"/>
      <c r="CH2488" s="2"/>
      <c r="CI2488" s="2">
        <v>1</v>
      </c>
      <c r="CJ2488" s="2">
        <v>1</v>
      </c>
      <c r="CK2488" s="2">
        <v>21</v>
      </c>
      <c r="CL2488" s="2" t="s">
        <v>86</v>
      </c>
      <c r="CM2488" s="2"/>
    </row>
    <row r="2489" spans="1:91">
      <c r="A2489" s="2" t="s">
        <v>71</v>
      </c>
      <c r="B2489" s="2" t="s">
        <v>72</v>
      </c>
      <c r="C2489" s="2" t="s">
        <v>73</v>
      </c>
      <c r="D2489" s="2"/>
      <c r="E2489" s="2" t="str">
        <f>"FES1162570413"</f>
        <v>FES1162570413</v>
      </c>
      <c r="F2489" s="3">
        <v>42969</v>
      </c>
      <c r="G2489" s="2">
        <v>201802</v>
      </c>
      <c r="H2489" s="2" t="s">
        <v>74</v>
      </c>
      <c r="I2489" s="2" t="s">
        <v>75</v>
      </c>
      <c r="J2489" s="2" t="s">
        <v>76</v>
      </c>
      <c r="K2489" s="2" t="s">
        <v>77</v>
      </c>
      <c r="L2489" s="2" t="s">
        <v>715</v>
      </c>
      <c r="M2489" s="2" t="s">
        <v>716</v>
      </c>
      <c r="N2489" s="2" t="s">
        <v>762</v>
      </c>
      <c r="O2489" s="2" t="s">
        <v>100</v>
      </c>
      <c r="P2489" s="2" t="str">
        <f>"2170585756                    "</f>
        <v xml:space="preserve">2170585756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4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1</v>
      </c>
      <c r="BJ2489" s="2">
        <v>0.2</v>
      </c>
      <c r="BK2489" s="2">
        <v>1</v>
      </c>
      <c r="BL2489" s="2">
        <v>41.44</v>
      </c>
      <c r="BM2489" s="2">
        <v>5.8</v>
      </c>
      <c r="BN2489" s="2">
        <v>47.24</v>
      </c>
      <c r="BO2489" s="2">
        <v>47.24</v>
      </c>
      <c r="BP2489" s="2"/>
      <c r="BQ2489" s="2" t="s">
        <v>365</v>
      </c>
      <c r="BR2489" s="2" t="s">
        <v>84</v>
      </c>
      <c r="BS2489" s="3">
        <v>42970</v>
      </c>
      <c r="BT2489" s="4">
        <v>0.44444444444444442</v>
      </c>
      <c r="BU2489" s="2" t="s">
        <v>2777</v>
      </c>
      <c r="BV2489" s="2" t="s">
        <v>95</v>
      </c>
      <c r="BW2489" s="2"/>
      <c r="BX2489" s="2"/>
      <c r="BY2489" s="2">
        <v>1200</v>
      </c>
      <c r="BZ2489" s="2"/>
      <c r="CA2489" s="2" t="s">
        <v>1380</v>
      </c>
      <c r="CB2489" s="2"/>
      <c r="CC2489" s="2" t="s">
        <v>716</v>
      </c>
      <c r="CD2489" s="2">
        <v>3290</v>
      </c>
      <c r="CE2489" s="2" t="s">
        <v>104</v>
      </c>
      <c r="CF2489" s="5">
        <v>42972</v>
      </c>
      <c r="CG2489" s="2"/>
      <c r="CH2489" s="2"/>
      <c r="CI2489" s="2">
        <v>1</v>
      </c>
      <c r="CJ2489" s="2">
        <v>1</v>
      </c>
      <c r="CK2489" s="2">
        <v>21</v>
      </c>
      <c r="CL2489" s="2" t="s">
        <v>86</v>
      </c>
      <c r="CM2489" s="2"/>
    </row>
    <row r="2490" spans="1:91">
      <c r="A2490" s="2" t="s">
        <v>71</v>
      </c>
      <c r="B2490" s="2" t="s">
        <v>72</v>
      </c>
      <c r="C2490" s="2" t="s">
        <v>73</v>
      </c>
      <c r="D2490" s="2"/>
      <c r="E2490" s="2" t="str">
        <f>"FES1162570477"</f>
        <v>FES1162570477</v>
      </c>
      <c r="F2490" s="3">
        <v>42969</v>
      </c>
      <c r="G2490" s="2">
        <v>201802</v>
      </c>
      <c r="H2490" s="2" t="s">
        <v>74</v>
      </c>
      <c r="I2490" s="2" t="s">
        <v>75</v>
      </c>
      <c r="J2490" s="2" t="s">
        <v>76</v>
      </c>
      <c r="K2490" s="2" t="s">
        <v>77</v>
      </c>
      <c r="L2490" s="2" t="s">
        <v>144</v>
      </c>
      <c r="M2490" s="2" t="s">
        <v>145</v>
      </c>
      <c r="N2490" s="2" t="s">
        <v>146</v>
      </c>
      <c r="O2490" s="2" t="s">
        <v>100</v>
      </c>
      <c r="P2490" s="2" t="str">
        <f>"2170586259                    "</f>
        <v xml:space="preserve">2170586259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3.13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1</v>
      </c>
      <c r="BI2490" s="2">
        <v>3.1</v>
      </c>
      <c r="BJ2490" s="2">
        <v>0.8</v>
      </c>
      <c r="BK2490" s="2">
        <v>4</v>
      </c>
      <c r="BL2490" s="2">
        <v>32.380000000000003</v>
      </c>
      <c r="BM2490" s="2">
        <v>4.53</v>
      </c>
      <c r="BN2490" s="2">
        <v>36.909999999999997</v>
      </c>
      <c r="BO2490" s="2">
        <v>36.909999999999997</v>
      </c>
      <c r="BP2490" s="2"/>
      <c r="BQ2490" s="2" t="s">
        <v>83</v>
      </c>
      <c r="BR2490" s="2" t="s">
        <v>84</v>
      </c>
      <c r="BS2490" s="3">
        <v>42970</v>
      </c>
      <c r="BT2490" s="4">
        <v>0.39930555555555558</v>
      </c>
      <c r="BU2490" s="2" t="s">
        <v>728</v>
      </c>
      <c r="BV2490" s="2" t="s">
        <v>95</v>
      </c>
      <c r="BW2490" s="2"/>
      <c r="BX2490" s="2"/>
      <c r="BY2490" s="2">
        <v>4108.74</v>
      </c>
      <c r="BZ2490" s="2"/>
      <c r="CA2490" s="2" t="s">
        <v>729</v>
      </c>
      <c r="CB2490" s="2"/>
      <c r="CC2490" s="2" t="s">
        <v>145</v>
      </c>
      <c r="CD2490" s="2">
        <v>2094</v>
      </c>
      <c r="CE2490" s="2" t="s">
        <v>89</v>
      </c>
      <c r="CF2490" s="5">
        <v>42971</v>
      </c>
      <c r="CG2490" s="2"/>
      <c r="CH2490" s="2"/>
      <c r="CI2490" s="2">
        <v>1</v>
      </c>
      <c r="CJ2490" s="2">
        <v>1</v>
      </c>
      <c r="CK2490" s="2">
        <v>22</v>
      </c>
      <c r="CL2490" s="2" t="s">
        <v>86</v>
      </c>
      <c r="CM2490" s="2"/>
    </row>
    <row r="2491" spans="1:91">
      <c r="A2491" s="2" t="s">
        <v>71</v>
      </c>
      <c r="B2491" s="2" t="s">
        <v>72</v>
      </c>
      <c r="C2491" s="2" t="s">
        <v>73</v>
      </c>
      <c r="D2491" s="2"/>
      <c r="E2491" s="2" t="str">
        <f>"FES1162570420"</f>
        <v>FES1162570420</v>
      </c>
      <c r="F2491" s="3">
        <v>42969</v>
      </c>
      <c r="G2491" s="2">
        <v>201802</v>
      </c>
      <c r="H2491" s="2" t="s">
        <v>74</v>
      </c>
      <c r="I2491" s="2" t="s">
        <v>75</v>
      </c>
      <c r="J2491" s="2" t="s">
        <v>76</v>
      </c>
      <c r="K2491" s="2" t="s">
        <v>77</v>
      </c>
      <c r="L2491" s="2" t="s">
        <v>362</v>
      </c>
      <c r="M2491" s="2" t="s">
        <v>363</v>
      </c>
      <c r="N2491" s="2" t="s">
        <v>2600</v>
      </c>
      <c r="O2491" s="2" t="s">
        <v>100</v>
      </c>
      <c r="P2491" s="2" t="str">
        <f>"2170585937                    "</f>
        <v xml:space="preserve">2170585937 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4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1</v>
      </c>
      <c r="BJ2491" s="2">
        <v>0.2</v>
      </c>
      <c r="BK2491" s="2">
        <v>1</v>
      </c>
      <c r="BL2491" s="2">
        <v>41.44</v>
      </c>
      <c r="BM2491" s="2">
        <v>5.8</v>
      </c>
      <c r="BN2491" s="2">
        <v>47.24</v>
      </c>
      <c r="BO2491" s="2">
        <v>47.24</v>
      </c>
      <c r="BP2491" s="2"/>
      <c r="BQ2491" s="2" t="s">
        <v>83</v>
      </c>
      <c r="BR2491" s="2" t="s">
        <v>84</v>
      </c>
      <c r="BS2491" s="3">
        <v>42970</v>
      </c>
      <c r="BT2491" s="4">
        <v>0.38680555555555557</v>
      </c>
      <c r="BU2491" s="2" t="s">
        <v>2934</v>
      </c>
      <c r="BV2491" s="2" t="s">
        <v>95</v>
      </c>
      <c r="BW2491" s="2"/>
      <c r="BX2491" s="2"/>
      <c r="BY2491" s="2">
        <v>1200</v>
      </c>
      <c r="BZ2491" s="2"/>
      <c r="CA2491" s="2" t="s">
        <v>685</v>
      </c>
      <c r="CB2491" s="2"/>
      <c r="CC2491" s="2" t="s">
        <v>363</v>
      </c>
      <c r="CD2491" s="2">
        <v>3201</v>
      </c>
      <c r="CE2491" s="2" t="s">
        <v>104</v>
      </c>
      <c r="CF2491" s="5">
        <v>42972</v>
      </c>
      <c r="CG2491" s="2"/>
      <c r="CH2491" s="2"/>
      <c r="CI2491" s="2">
        <v>1</v>
      </c>
      <c r="CJ2491" s="2">
        <v>1</v>
      </c>
      <c r="CK2491" s="2">
        <v>21</v>
      </c>
      <c r="CL2491" s="2" t="s">
        <v>86</v>
      </c>
      <c r="CM2491" s="2"/>
    </row>
    <row r="2492" spans="1:91">
      <c r="A2492" s="2" t="s">
        <v>71</v>
      </c>
      <c r="B2492" s="2" t="s">
        <v>72</v>
      </c>
      <c r="C2492" s="2" t="s">
        <v>73</v>
      </c>
      <c r="D2492" s="2"/>
      <c r="E2492" s="2" t="str">
        <f>"FES1162570560"</f>
        <v>FES1162570560</v>
      </c>
      <c r="F2492" s="3">
        <v>42969</v>
      </c>
      <c r="G2492" s="2">
        <v>201802</v>
      </c>
      <c r="H2492" s="2" t="s">
        <v>74</v>
      </c>
      <c r="I2492" s="2" t="s">
        <v>75</v>
      </c>
      <c r="J2492" s="2" t="s">
        <v>76</v>
      </c>
      <c r="K2492" s="2" t="s">
        <v>77</v>
      </c>
      <c r="L2492" s="2" t="s">
        <v>362</v>
      </c>
      <c r="M2492" s="2" t="s">
        <v>363</v>
      </c>
      <c r="N2492" s="2" t="s">
        <v>683</v>
      </c>
      <c r="O2492" s="2" t="s">
        <v>100</v>
      </c>
      <c r="P2492" s="2" t="str">
        <f>"2170584133                    "</f>
        <v xml:space="preserve">2170584133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7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3.3</v>
      </c>
      <c r="BJ2492" s="2">
        <v>1.4</v>
      </c>
      <c r="BK2492" s="2">
        <v>3.5</v>
      </c>
      <c r="BL2492" s="2">
        <v>72.52</v>
      </c>
      <c r="BM2492" s="2">
        <v>10.15</v>
      </c>
      <c r="BN2492" s="2">
        <v>82.67</v>
      </c>
      <c r="BO2492" s="2">
        <v>82.67</v>
      </c>
      <c r="BP2492" s="2"/>
      <c r="BQ2492" s="2" t="s">
        <v>108</v>
      </c>
      <c r="BR2492" s="2" t="s">
        <v>84</v>
      </c>
      <c r="BS2492" s="3">
        <v>42970</v>
      </c>
      <c r="BT2492" s="4">
        <v>0.41319444444444442</v>
      </c>
      <c r="BU2492" s="2" t="s">
        <v>2933</v>
      </c>
      <c r="BV2492" s="2" t="s">
        <v>95</v>
      </c>
      <c r="BW2492" s="2"/>
      <c r="BX2492" s="2"/>
      <c r="BY2492" s="2">
        <v>6794.88</v>
      </c>
      <c r="BZ2492" s="2"/>
      <c r="CA2492" s="2" t="s">
        <v>685</v>
      </c>
      <c r="CB2492" s="2"/>
      <c r="CC2492" s="2" t="s">
        <v>363</v>
      </c>
      <c r="CD2492" s="2">
        <v>3201</v>
      </c>
      <c r="CE2492" s="2" t="s">
        <v>89</v>
      </c>
      <c r="CF2492" s="5">
        <v>42972</v>
      </c>
      <c r="CG2492" s="2"/>
      <c r="CH2492" s="2"/>
      <c r="CI2492" s="2">
        <v>1</v>
      </c>
      <c r="CJ2492" s="2">
        <v>1</v>
      </c>
      <c r="CK2492" s="2">
        <v>21</v>
      </c>
      <c r="CL2492" s="2" t="s">
        <v>86</v>
      </c>
      <c r="CM2492" s="2"/>
    </row>
    <row r="2493" spans="1:91">
      <c r="A2493" s="2" t="s">
        <v>71</v>
      </c>
      <c r="B2493" s="2" t="s">
        <v>72</v>
      </c>
      <c r="C2493" s="2" t="s">
        <v>73</v>
      </c>
      <c r="D2493" s="2"/>
      <c r="E2493" s="2" t="str">
        <f>"FES1162570457"</f>
        <v>FES1162570457</v>
      </c>
      <c r="F2493" s="3">
        <v>42969</v>
      </c>
      <c r="G2493" s="2">
        <v>201802</v>
      </c>
      <c r="H2493" s="2" t="s">
        <v>74</v>
      </c>
      <c r="I2493" s="2" t="s">
        <v>75</v>
      </c>
      <c r="J2493" s="2" t="s">
        <v>76</v>
      </c>
      <c r="K2493" s="2" t="s">
        <v>77</v>
      </c>
      <c r="L2493" s="2" t="s">
        <v>105</v>
      </c>
      <c r="M2493" s="2" t="s">
        <v>106</v>
      </c>
      <c r="N2493" s="2" t="s">
        <v>2935</v>
      </c>
      <c r="O2493" s="2" t="s">
        <v>100</v>
      </c>
      <c r="P2493" s="2" t="str">
        <f>"2170586229                    "</f>
        <v xml:space="preserve">2170586229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4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1</v>
      </c>
      <c r="BI2493" s="2">
        <v>1</v>
      </c>
      <c r="BJ2493" s="2">
        <v>0.2</v>
      </c>
      <c r="BK2493" s="2">
        <v>1</v>
      </c>
      <c r="BL2493" s="2">
        <v>41.44</v>
      </c>
      <c r="BM2493" s="2">
        <v>5.8</v>
      </c>
      <c r="BN2493" s="2">
        <v>47.24</v>
      </c>
      <c r="BO2493" s="2">
        <v>47.24</v>
      </c>
      <c r="BP2493" s="2"/>
      <c r="BQ2493" s="2" t="s">
        <v>108</v>
      </c>
      <c r="BR2493" s="2" t="s">
        <v>84</v>
      </c>
      <c r="BS2493" s="3">
        <v>42970</v>
      </c>
      <c r="BT2493" s="4">
        <v>0.3298611111111111</v>
      </c>
      <c r="BU2493" s="2" t="s">
        <v>1207</v>
      </c>
      <c r="BV2493" s="2" t="s">
        <v>95</v>
      </c>
      <c r="BW2493" s="2"/>
      <c r="BX2493" s="2"/>
      <c r="BY2493" s="2">
        <v>1200</v>
      </c>
      <c r="BZ2493" s="2"/>
      <c r="CA2493" s="2"/>
      <c r="CB2493" s="2"/>
      <c r="CC2493" s="2" t="s">
        <v>106</v>
      </c>
      <c r="CD2493" s="2">
        <v>7530</v>
      </c>
      <c r="CE2493" s="2" t="s">
        <v>104</v>
      </c>
      <c r="CF2493" s="5">
        <v>42971</v>
      </c>
      <c r="CG2493" s="2"/>
      <c r="CH2493" s="2"/>
      <c r="CI2493" s="2">
        <v>1</v>
      </c>
      <c r="CJ2493" s="2">
        <v>1</v>
      </c>
      <c r="CK2493" s="2">
        <v>21</v>
      </c>
      <c r="CL2493" s="2" t="s">
        <v>86</v>
      </c>
      <c r="CM2493" s="2"/>
    </row>
    <row r="2494" spans="1:91">
      <c r="A2494" s="2" t="s">
        <v>71</v>
      </c>
      <c r="B2494" s="2" t="s">
        <v>72</v>
      </c>
      <c r="C2494" s="2" t="s">
        <v>73</v>
      </c>
      <c r="D2494" s="2"/>
      <c r="E2494" s="2" t="str">
        <f>"FES1162570436"</f>
        <v>FES1162570436</v>
      </c>
      <c r="F2494" s="3">
        <v>42969</v>
      </c>
      <c r="G2494" s="2">
        <v>201802</v>
      </c>
      <c r="H2494" s="2" t="s">
        <v>74</v>
      </c>
      <c r="I2494" s="2" t="s">
        <v>75</v>
      </c>
      <c r="J2494" s="2" t="s">
        <v>76</v>
      </c>
      <c r="K2494" s="2" t="s">
        <v>77</v>
      </c>
      <c r="L2494" s="2" t="s">
        <v>231</v>
      </c>
      <c r="M2494" s="2" t="s">
        <v>232</v>
      </c>
      <c r="N2494" s="2" t="s">
        <v>1899</v>
      </c>
      <c r="O2494" s="2" t="s">
        <v>100</v>
      </c>
      <c r="P2494" s="2" t="str">
        <f>"2170586197                    "</f>
        <v xml:space="preserve">2170586197  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4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1</v>
      </c>
      <c r="BI2494" s="2">
        <v>1</v>
      </c>
      <c r="BJ2494" s="2">
        <v>0.2</v>
      </c>
      <c r="BK2494" s="2">
        <v>1</v>
      </c>
      <c r="BL2494" s="2">
        <v>41.44</v>
      </c>
      <c r="BM2494" s="2">
        <v>5.8</v>
      </c>
      <c r="BN2494" s="2">
        <v>47.24</v>
      </c>
      <c r="BO2494" s="2">
        <v>47.24</v>
      </c>
      <c r="BP2494" s="2"/>
      <c r="BQ2494" s="2" t="s">
        <v>288</v>
      </c>
      <c r="BR2494" s="2" t="s">
        <v>84</v>
      </c>
      <c r="BS2494" s="3">
        <v>42970</v>
      </c>
      <c r="BT2494" s="4">
        <v>0.34930555555555554</v>
      </c>
      <c r="BU2494" s="2" t="s">
        <v>1901</v>
      </c>
      <c r="BV2494" s="2" t="s">
        <v>95</v>
      </c>
      <c r="BW2494" s="2"/>
      <c r="BX2494" s="2"/>
      <c r="BY2494" s="2">
        <v>1200</v>
      </c>
      <c r="BZ2494" s="2"/>
      <c r="CA2494" s="2" t="s">
        <v>235</v>
      </c>
      <c r="CB2494" s="2"/>
      <c r="CC2494" s="2" t="s">
        <v>232</v>
      </c>
      <c r="CD2494" s="2">
        <v>4026</v>
      </c>
      <c r="CE2494" s="2" t="s">
        <v>104</v>
      </c>
      <c r="CF2494" s="5">
        <v>42971</v>
      </c>
      <c r="CG2494" s="2"/>
      <c r="CH2494" s="2"/>
      <c r="CI2494" s="2">
        <v>1</v>
      </c>
      <c r="CJ2494" s="2">
        <v>1</v>
      </c>
      <c r="CK2494" s="2">
        <v>21</v>
      </c>
      <c r="CL2494" s="2" t="s">
        <v>86</v>
      </c>
      <c r="CM2494" s="2"/>
    </row>
    <row r="2495" spans="1:91">
      <c r="A2495" s="2" t="s">
        <v>71</v>
      </c>
      <c r="B2495" s="2" t="s">
        <v>72</v>
      </c>
      <c r="C2495" s="2" t="s">
        <v>73</v>
      </c>
      <c r="D2495" s="2"/>
      <c r="E2495" s="2" t="str">
        <f>"FES1162570473"</f>
        <v>FES1162570473</v>
      </c>
      <c r="F2495" s="3">
        <v>42969</v>
      </c>
      <c r="G2495" s="2">
        <v>201802</v>
      </c>
      <c r="H2495" s="2" t="s">
        <v>74</v>
      </c>
      <c r="I2495" s="2" t="s">
        <v>75</v>
      </c>
      <c r="J2495" s="2" t="s">
        <v>76</v>
      </c>
      <c r="K2495" s="2" t="s">
        <v>77</v>
      </c>
      <c r="L2495" s="2" t="s">
        <v>1663</v>
      </c>
      <c r="M2495" s="2" t="s">
        <v>1664</v>
      </c>
      <c r="N2495" s="2" t="s">
        <v>1996</v>
      </c>
      <c r="O2495" s="2" t="s">
        <v>100</v>
      </c>
      <c r="P2495" s="2" t="str">
        <f>"2170586254                    "</f>
        <v xml:space="preserve">2170586254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4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1</v>
      </c>
      <c r="BJ2495" s="2">
        <v>0.2</v>
      </c>
      <c r="BK2495" s="2">
        <v>1</v>
      </c>
      <c r="BL2495" s="2">
        <v>41.44</v>
      </c>
      <c r="BM2495" s="2">
        <v>5.8</v>
      </c>
      <c r="BN2495" s="2">
        <v>47.24</v>
      </c>
      <c r="BO2495" s="2">
        <v>47.24</v>
      </c>
      <c r="BP2495" s="2"/>
      <c r="BQ2495" s="2" t="s">
        <v>288</v>
      </c>
      <c r="BR2495" s="2" t="s">
        <v>84</v>
      </c>
      <c r="BS2495" s="3">
        <v>42970</v>
      </c>
      <c r="BT2495" s="4">
        <v>0.46458333333333335</v>
      </c>
      <c r="BU2495" s="2" t="s">
        <v>2936</v>
      </c>
      <c r="BV2495" s="2" t="s">
        <v>95</v>
      </c>
      <c r="BW2495" s="2"/>
      <c r="BX2495" s="2"/>
      <c r="BY2495" s="2">
        <v>1200</v>
      </c>
      <c r="BZ2495" s="2"/>
      <c r="CA2495" s="2" t="s">
        <v>1668</v>
      </c>
      <c r="CB2495" s="2"/>
      <c r="CC2495" s="2" t="s">
        <v>1664</v>
      </c>
      <c r="CD2495" s="2">
        <v>3310</v>
      </c>
      <c r="CE2495" s="2" t="s">
        <v>104</v>
      </c>
      <c r="CF2495" s="5">
        <v>42972</v>
      </c>
      <c r="CG2495" s="2"/>
      <c r="CH2495" s="2"/>
      <c r="CI2495" s="2">
        <v>1</v>
      </c>
      <c r="CJ2495" s="2">
        <v>1</v>
      </c>
      <c r="CK2495" s="2">
        <v>21</v>
      </c>
      <c r="CL2495" s="2" t="s">
        <v>86</v>
      </c>
      <c r="CM2495" s="2"/>
    </row>
    <row r="2496" spans="1:91">
      <c r="A2496" s="2" t="s">
        <v>71</v>
      </c>
      <c r="B2496" s="2" t="s">
        <v>72</v>
      </c>
      <c r="C2496" s="2" t="s">
        <v>73</v>
      </c>
      <c r="D2496" s="2"/>
      <c r="E2496" s="2" t="str">
        <f>"FES1162570610"</f>
        <v>FES1162570610</v>
      </c>
      <c r="F2496" s="3">
        <v>42969</v>
      </c>
      <c r="G2496" s="2">
        <v>201802</v>
      </c>
      <c r="H2496" s="2" t="s">
        <v>74</v>
      </c>
      <c r="I2496" s="2" t="s">
        <v>75</v>
      </c>
      <c r="J2496" s="2" t="s">
        <v>76</v>
      </c>
      <c r="K2496" s="2" t="s">
        <v>77</v>
      </c>
      <c r="L2496" s="2" t="s">
        <v>105</v>
      </c>
      <c r="M2496" s="2" t="s">
        <v>106</v>
      </c>
      <c r="N2496" s="2" t="s">
        <v>397</v>
      </c>
      <c r="O2496" s="2" t="s">
        <v>100</v>
      </c>
      <c r="P2496" s="2" t="str">
        <f>"2170586360                    "</f>
        <v xml:space="preserve">2170586360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4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1</v>
      </c>
      <c r="BI2496" s="2">
        <v>1</v>
      </c>
      <c r="BJ2496" s="2">
        <v>0.2</v>
      </c>
      <c r="BK2496" s="2">
        <v>1</v>
      </c>
      <c r="BL2496" s="2">
        <v>41.44</v>
      </c>
      <c r="BM2496" s="2">
        <v>5.8</v>
      </c>
      <c r="BN2496" s="2">
        <v>47.24</v>
      </c>
      <c r="BO2496" s="2">
        <v>47.24</v>
      </c>
      <c r="BP2496" s="2"/>
      <c r="BQ2496" s="2" t="s">
        <v>108</v>
      </c>
      <c r="BR2496" s="2" t="s">
        <v>84</v>
      </c>
      <c r="BS2496" s="3">
        <v>42970</v>
      </c>
      <c r="BT2496" s="4">
        <v>0.38055555555555554</v>
      </c>
      <c r="BU2496" s="2" t="s">
        <v>462</v>
      </c>
      <c r="BV2496" s="2" t="s">
        <v>95</v>
      </c>
      <c r="BW2496" s="2"/>
      <c r="BX2496" s="2"/>
      <c r="BY2496" s="2">
        <v>1200</v>
      </c>
      <c r="BZ2496" s="2"/>
      <c r="CA2496" s="2" t="s">
        <v>302</v>
      </c>
      <c r="CB2496" s="2"/>
      <c r="CC2496" s="2" t="s">
        <v>106</v>
      </c>
      <c r="CD2496" s="2">
        <v>7530</v>
      </c>
      <c r="CE2496" s="2" t="s">
        <v>104</v>
      </c>
      <c r="CF2496" s="5">
        <v>42971</v>
      </c>
      <c r="CG2496" s="2"/>
      <c r="CH2496" s="2"/>
      <c r="CI2496" s="2">
        <v>1</v>
      </c>
      <c r="CJ2496" s="2">
        <v>1</v>
      </c>
      <c r="CK2496" s="2">
        <v>21</v>
      </c>
      <c r="CL2496" s="2" t="s">
        <v>86</v>
      </c>
      <c r="CM2496" s="2"/>
    </row>
    <row r="2497" spans="1:91">
      <c r="A2497" s="2" t="s">
        <v>71</v>
      </c>
      <c r="B2497" s="2" t="s">
        <v>72</v>
      </c>
      <c r="C2497" s="2" t="s">
        <v>73</v>
      </c>
      <c r="D2497" s="2"/>
      <c r="E2497" s="2" t="str">
        <f>"FES1162570538"</f>
        <v>FES1162570538</v>
      </c>
      <c r="F2497" s="3">
        <v>42969</v>
      </c>
      <c r="G2497" s="2">
        <v>201802</v>
      </c>
      <c r="H2497" s="2" t="s">
        <v>74</v>
      </c>
      <c r="I2497" s="2" t="s">
        <v>75</v>
      </c>
      <c r="J2497" s="2" t="s">
        <v>76</v>
      </c>
      <c r="K2497" s="2" t="s">
        <v>77</v>
      </c>
      <c r="L2497" s="2" t="s">
        <v>97</v>
      </c>
      <c r="M2497" s="2" t="s">
        <v>98</v>
      </c>
      <c r="N2497" s="2" t="s">
        <v>99</v>
      </c>
      <c r="O2497" s="2" t="s">
        <v>100</v>
      </c>
      <c r="P2497" s="2" t="str">
        <f>"2170583847                    "</f>
        <v xml:space="preserve">2170583847     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10.01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4.7</v>
      </c>
      <c r="BJ2497" s="2">
        <v>1</v>
      </c>
      <c r="BK2497" s="2">
        <v>5</v>
      </c>
      <c r="BL2497" s="2">
        <v>103.61</v>
      </c>
      <c r="BM2497" s="2">
        <v>14.51</v>
      </c>
      <c r="BN2497" s="2">
        <v>118.12</v>
      </c>
      <c r="BO2497" s="2">
        <v>118.12</v>
      </c>
      <c r="BP2497" s="2"/>
      <c r="BQ2497" s="2" t="s">
        <v>83</v>
      </c>
      <c r="BR2497" s="2" t="s">
        <v>84</v>
      </c>
      <c r="BS2497" s="3">
        <v>42970</v>
      </c>
      <c r="BT2497" s="4">
        <v>0.35138888888888892</v>
      </c>
      <c r="BU2497" s="2" t="s">
        <v>102</v>
      </c>
      <c r="BV2497" s="2" t="s">
        <v>95</v>
      </c>
      <c r="BW2497" s="2"/>
      <c r="BX2497" s="2"/>
      <c r="BY2497" s="2">
        <v>4845.75</v>
      </c>
      <c r="BZ2497" s="2"/>
      <c r="CA2497" s="2" t="s">
        <v>103</v>
      </c>
      <c r="CB2497" s="2"/>
      <c r="CC2497" s="2" t="s">
        <v>98</v>
      </c>
      <c r="CD2497" s="2">
        <v>6210</v>
      </c>
      <c r="CE2497" s="2" t="s">
        <v>89</v>
      </c>
      <c r="CF2497" s="5">
        <v>42971</v>
      </c>
      <c r="CG2497" s="2"/>
      <c r="CH2497" s="2"/>
      <c r="CI2497" s="2">
        <v>1</v>
      </c>
      <c r="CJ2497" s="2">
        <v>1</v>
      </c>
      <c r="CK2497" s="2">
        <v>21</v>
      </c>
      <c r="CL2497" s="2" t="s">
        <v>86</v>
      </c>
      <c r="CM2497" s="2"/>
    </row>
    <row r="2498" spans="1:91">
      <c r="A2498" s="2" t="s">
        <v>71</v>
      </c>
      <c r="B2498" s="2" t="s">
        <v>72</v>
      </c>
      <c r="C2498" s="2" t="s">
        <v>73</v>
      </c>
      <c r="D2498" s="2"/>
      <c r="E2498" s="2" t="str">
        <f>"FES1162570470"</f>
        <v>FES1162570470</v>
      </c>
      <c r="F2498" s="3">
        <v>42969</v>
      </c>
      <c r="G2498" s="2">
        <v>201802</v>
      </c>
      <c r="H2498" s="2" t="s">
        <v>74</v>
      </c>
      <c r="I2498" s="2" t="s">
        <v>75</v>
      </c>
      <c r="J2498" s="2" t="s">
        <v>76</v>
      </c>
      <c r="K2498" s="2" t="s">
        <v>77</v>
      </c>
      <c r="L2498" s="2" t="s">
        <v>105</v>
      </c>
      <c r="M2498" s="2" t="s">
        <v>106</v>
      </c>
      <c r="N2498" s="2" t="s">
        <v>2145</v>
      </c>
      <c r="O2498" s="2" t="s">
        <v>100</v>
      </c>
      <c r="P2498" s="2" t="str">
        <f>"2170586251                    "</f>
        <v xml:space="preserve">2170586251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4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1</v>
      </c>
      <c r="BI2498" s="2">
        <v>1</v>
      </c>
      <c r="BJ2498" s="2">
        <v>0.2</v>
      </c>
      <c r="BK2498" s="2">
        <v>1</v>
      </c>
      <c r="BL2498" s="2">
        <v>41.44</v>
      </c>
      <c r="BM2498" s="2">
        <v>5.8</v>
      </c>
      <c r="BN2498" s="2">
        <v>47.24</v>
      </c>
      <c r="BO2498" s="2">
        <v>47.24</v>
      </c>
      <c r="BP2498" s="2"/>
      <c r="BQ2498" s="2" t="s">
        <v>83</v>
      </c>
      <c r="BR2498" s="2" t="s">
        <v>84</v>
      </c>
      <c r="BS2498" s="3">
        <v>42970</v>
      </c>
      <c r="BT2498" s="4">
        <v>0.44027777777777777</v>
      </c>
      <c r="BU2498" s="2" t="s">
        <v>2937</v>
      </c>
      <c r="BV2498" s="2" t="s">
        <v>95</v>
      </c>
      <c r="BW2498" s="2"/>
      <c r="BX2498" s="2"/>
      <c r="BY2498" s="2">
        <v>1200</v>
      </c>
      <c r="BZ2498" s="2"/>
      <c r="CA2498" s="2" t="s">
        <v>869</v>
      </c>
      <c r="CB2498" s="2"/>
      <c r="CC2498" s="2" t="s">
        <v>106</v>
      </c>
      <c r="CD2498" s="2">
        <v>7460</v>
      </c>
      <c r="CE2498" s="2" t="s">
        <v>104</v>
      </c>
      <c r="CF2498" s="5">
        <v>42971</v>
      </c>
      <c r="CG2498" s="2"/>
      <c r="CH2498" s="2"/>
      <c r="CI2498" s="2">
        <v>1</v>
      </c>
      <c r="CJ2498" s="2">
        <v>1</v>
      </c>
      <c r="CK2498" s="2">
        <v>21</v>
      </c>
      <c r="CL2498" s="2" t="s">
        <v>86</v>
      </c>
      <c r="CM2498" s="2"/>
    </row>
    <row r="2499" spans="1:91">
      <c r="A2499" s="2" t="s">
        <v>71</v>
      </c>
      <c r="B2499" s="2" t="s">
        <v>72</v>
      </c>
      <c r="C2499" s="2" t="s">
        <v>73</v>
      </c>
      <c r="D2499" s="2"/>
      <c r="E2499" s="2" t="str">
        <f>"FES1162570478"</f>
        <v>FES1162570478</v>
      </c>
      <c r="F2499" s="3">
        <v>42969</v>
      </c>
      <c r="G2499" s="2">
        <v>201802</v>
      </c>
      <c r="H2499" s="2" t="s">
        <v>74</v>
      </c>
      <c r="I2499" s="2" t="s">
        <v>75</v>
      </c>
      <c r="J2499" s="2" t="s">
        <v>76</v>
      </c>
      <c r="K2499" s="2" t="s">
        <v>77</v>
      </c>
      <c r="L2499" s="2" t="s">
        <v>174</v>
      </c>
      <c r="M2499" s="2" t="s">
        <v>175</v>
      </c>
      <c r="N2499" s="2" t="s">
        <v>2938</v>
      </c>
      <c r="O2499" s="2" t="s">
        <v>100</v>
      </c>
      <c r="P2499" s="2" t="str">
        <f>"2170586262                    "</f>
        <v xml:space="preserve">2170586262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4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2</v>
      </c>
      <c r="BJ2499" s="2">
        <v>1.4</v>
      </c>
      <c r="BK2499" s="2">
        <v>2</v>
      </c>
      <c r="BL2499" s="2">
        <v>41.44</v>
      </c>
      <c r="BM2499" s="2">
        <v>5.8</v>
      </c>
      <c r="BN2499" s="2">
        <v>47.24</v>
      </c>
      <c r="BO2499" s="2">
        <v>47.24</v>
      </c>
      <c r="BP2499" s="2"/>
      <c r="BQ2499" s="2" t="s">
        <v>288</v>
      </c>
      <c r="BR2499" s="2" t="s">
        <v>84</v>
      </c>
      <c r="BS2499" s="3">
        <v>42971</v>
      </c>
      <c r="BT2499" s="4">
        <v>0.39583333333333331</v>
      </c>
      <c r="BU2499" s="2" t="s">
        <v>2939</v>
      </c>
      <c r="BV2499" s="2" t="s">
        <v>86</v>
      </c>
      <c r="BW2499" s="2" t="s">
        <v>124</v>
      </c>
      <c r="BX2499" s="2" t="s">
        <v>2940</v>
      </c>
      <c r="BY2499" s="2">
        <v>6942.73</v>
      </c>
      <c r="BZ2499" s="2"/>
      <c r="CA2499" s="2" t="s">
        <v>932</v>
      </c>
      <c r="CB2499" s="2"/>
      <c r="CC2499" s="2" t="s">
        <v>175</v>
      </c>
      <c r="CD2499" s="2">
        <v>5201</v>
      </c>
      <c r="CE2499" s="2" t="s">
        <v>89</v>
      </c>
      <c r="CF2499" s="5">
        <v>42972</v>
      </c>
      <c r="CG2499" s="2"/>
      <c r="CH2499" s="2"/>
      <c r="CI2499" s="2">
        <v>1</v>
      </c>
      <c r="CJ2499" s="2">
        <v>2</v>
      </c>
      <c r="CK2499" s="2">
        <v>21</v>
      </c>
      <c r="CL2499" s="2" t="s">
        <v>86</v>
      </c>
      <c r="CM2499" s="2"/>
    </row>
    <row r="2500" spans="1:91">
      <c r="A2500" s="2" t="s">
        <v>71</v>
      </c>
      <c r="B2500" s="2" t="s">
        <v>72</v>
      </c>
      <c r="C2500" s="2" t="s">
        <v>73</v>
      </c>
      <c r="D2500" s="2"/>
      <c r="E2500" s="2" t="str">
        <f>"FES1162570222"</f>
        <v>FES1162570222</v>
      </c>
      <c r="F2500" s="3">
        <v>42969</v>
      </c>
      <c r="G2500" s="2">
        <v>201802</v>
      </c>
      <c r="H2500" s="2" t="s">
        <v>74</v>
      </c>
      <c r="I2500" s="2" t="s">
        <v>75</v>
      </c>
      <c r="J2500" s="2" t="s">
        <v>76</v>
      </c>
      <c r="K2500" s="2" t="s">
        <v>77</v>
      </c>
      <c r="L2500" s="2" t="s">
        <v>206</v>
      </c>
      <c r="M2500" s="2" t="s">
        <v>207</v>
      </c>
      <c r="N2500" s="2" t="s">
        <v>650</v>
      </c>
      <c r="O2500" s="2" t="s">
        <v>100</v>
      </c>
      <c r="P2500" s="2" t="str">
        <f>"2170582572                    "</f>
        <v xml:space="preserve">2170582572  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5.63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1</v>
      </c>
      <c r="BI2500" s="2">
        <v>1</v>
      </c>
      <c r="BJ2500" s="2">
        <v>0.2</v>
      </c>
      <c r="BK2500" s="2">
        <v>1</v>
      </c>
      <c r="BL2500" s="2">
        <v>58.28</v>
      </c>
      <c r="BM2500" s="2">
        <v>8.16</v>
      </c>
      <c r="BN2500" s="2">
        <v>66.44</v>
      </c>
      <c r="BO2500" s="2">
        <v>66.44</v>
      </c>
      <c r="BP2500" s="2"/>
      <c r="BQ2500" s="2" t="s">
        <v>108</v>
      </c>
      <c r="BR2500" s="2" t="s">
        <v>84</v>
      </c>
      <c r="BS2500" s="3">
        <v>42970</v>
      </c>
      <c r="BT2500" s="4">
        <v>0.52083333333333337</v>
      </c>
      <c r="BU2500" s="2" t="s">
        <v>2087</v>
      </c>
      <c r="BV2500" s="2" t="s">
        <v>95</v>
      </c>
      <c r="BW2500" s="2"/>
      <c r="BX2500" s="2"/>
      <c r="BY2500" s="2">
        <v>1200</v>
      </c>
      <c r="BZ2500" s="2"/>
      <c r="CA2500" s="2" t="s">
        <v>640</v>
      </c>
      <c r="CB2500" s="2"/>
      <c r="CC2500" s="2" t="s">
        <v>207</v>
      </c>
      <c r="CD2500" s="2">
        <v>250</v>
      </c>
      <c r="CE2500" s="2" t="s">
        <v>104</v>
      </c>
      <c r="CF2500" s="5">
        <v>42972</v>
      </c>
      <c r="CG2500" s="2"/>
      <c r="CH2500" s="2"/>
      <c r="CI2500" s="2">
        <v>1</v>
      </c>
      <c r="CJ2500" s="2">
        <v>1</v>
      </c>
      <c r="CK2500" s="2">
        <v>24</v>
      </c>
      <c r="CL2500" s="2" t="s">
        <v>86</v>
      </c>
      <c r="CM2500" s="2"/>
    </row>
    <row r="2501" spans="1:91">
      <c r="A2501" s="2" t="s">
        <v>71</v>
      </c>
      <c r="B2501" s="2" t="s">
        <v>72</v>
      </c>
      <c r="C2501" s="2" t="s">
        <v>73</v>
      </c>
      <c r="D2501" s="2"/>
      <c r="E2501" s="2" t="str">
        <f>"FES1162570529"</f>
        <v>FES1162570529</v>
      </c>
      <c r="F2501" s="3">
        <v>42969</v>
      </c>
      <c r="G2501" s="2">
        <v>201802</v>
      </c>
      <c r="H2501" s="2" t="s">
        <v>74</v>
      </c>
      <c r="I2501" s="2" t="s">
        <v>75</v>
      </c>
      <c r="J2501" s="2" t="s">
        <v>76</v>
      </c>
      <c r="K2501" s="2" t="s">
        <v>77</v>
      </c>
      <c r="L2501" s="2" t="s">
        <v>362</v>
      </c>
      <c r="M2501" s="2" t="s">
        <v>363</v>
      </c>
      <c r="N2501" s="2" t="s">
        <v>751</v>
      </c>
      <c r="O2501" s="2" t="s">
        <v>100</v>
      </c>
      <c r="P2501" s="2" t="str">
        <f>"2170583793                    "</f>
        <v xml:space="preserve">2170583793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11.01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5.3</v>
      </c>
      <c r="BJ2501" s="2">
        <v>3.3</v>
      </c>
      <c r="BK2501" s="2">
        <v>5.5</v>
      </c>
      <c r="BL2501" s="2">
        <v>113.97</v>
      </c>
      <c r="BM2501" s="2">
        <v>15.96</v>
      </c>
      <c r="BN2501" s="2">
        <v>129.93</v>
      </c>
      <c r="BO2501" s="2">
        <v>129.93</v>
      </c>
      <c r="BP2501" s="2"/>
      <c r="BQ2501" s="2" t="s">
        <v>288</v>
      </c>
      <c r="BR2501" s="2" t="s">
        <v>84</v>
      </c>
      <c r="BS2501" s="3">
        <v>42970</v>
      </c>
      <c r="BT2501" s="4">
        <v>0.38680555555555557</v>
      </c>
      <c r="BU2501" s="2" t="s">
        <v>2934</v>
      </c>
      <c r="BV2501" s="2" t="s">
        <v>95</v>
      </c>
      <c r="BW2501" s="2"/>
      <c r="BX2501" s="2"/>
      <c r="BY2501" s="2">
        <v>16617</v>
      </c>
      <c r="BZ2501" s="2"/>
      <c r="CA2501" s="2" t="s">
        <v>685</v>
      </c>
      <c r="CB2501" s="2"/>
      <c r="CC2501" s="2" t="s">
        <v>363</v>
      </c>
      <c r="CD2501" s="2">
        <v>3201</v>
      </c>
      <c r="CE2501" s="2" t="s">
        <v>89</v>
      </c>
      <c r="CF2501" s="5">
        <v>42972</v>
      </c>
      <c r="CG2501" s="2"/>
      <c r="CH2501" s="2"/>
      <c r="CI2501" s="2">
        <v>1</v>
      </c>
      <c r="CJ2501" s="2">
        <v>1</v>
      </c>
      <c r="CK2501" s="2">
        <v>21</v>
      </c>
      <c r="CL2501" s="2" t="s">
        <v>86</v>
      </c>
      <c r="CM2501" s="2"/>
    </row>
    <row r="2502" spans="1:91">
      <c r="A2502" s="2" t="s">
        <v>71</v>
      </c>
      <c r="B2502" s="2" t="s">
        <v>72</v>
      </c>
      <c r="C2502" s="2" t="s">
        <v>73</v>
      </c>
      <c r="D2502" s="2"/>
      <c r="E2502" s="2" t="str">
        <f>"FES1162570419"</f>
        <v>FES1162570419</v>
      </c>
      <c r="F2502" s="3">
        <v>42969</v>
      </c>
      <c r="G2502" s="2">
        <v>201802</v>
      </c>
      <c r="H2502" s="2" t="s">
        <v>74</v>
      </c>
      <c r="I2502" s="2" t="s">
        <v>75</v>
      </c>
      <c r="J2502" s="2" t="s">
        <v>76</v>
      </c>
      <c r="K2502" s="2" t="s">
        <v>77</v>
      </c>
      <c r="L2502" s="2" t="s">
        <v>137</v>
      </c>
      <c r="M2502" s="2" t="s">
        <v>138</v>
      </c>
      <c r="N2502" s="2" t="s">
        <v>976</v>
      </c>
      <c r="O2502" s="2" t="s">
        <v>100</v>
      </c>
      <c r="P2502" s="2" t="str">
        <f>"2170585881                    "</f>
        <v xml:space="preserve">2170585881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4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1</v>
      </c>
      <c r="BJ2502" s="2">
        <v>0.2</v>
      </c>
      <c r="BK2502" s="2">
        <v>1</v>
      </c>
      <c r="BL2502" s="2">
        <v>41.44</v>
      </c>
      <c r="BM2502" s="2">
        <v>5.8</v>
      </c>
      <c r="BN2502" s="2">
        <v>47.24</v>
      </c>
      <c r="BO2502" s="2">
        <v>47.24</v>
      </c>
      <c r="BP2502" s="2"/>
      <c r="BQ2502" s="2" t="s">
        <v>227</v>
      </c>
      <c r="BR2502" s="2" t="s">
        <v>84</v>
      </c>
      <c r="BS2502" s="3">
        <v>42970</v>
      </c>
      <c r="BT2502" s="4">
        <v>0.57638888888888895</v>
      </c>
      <c r="BU2502" s="2" t="s">
        <v>491</v>
      </c>
      <c r="BV2502" s="2" t="s">
        <v>95</v>
      </c>
      <c r="BW2502" s="2"/>
      <c r="BX2502" s="2"/>
      <c r="BY2502" s="2">
        <v>1200</v>
      </c>
      <c r="BZ2502" s="2"/>
      <c r="CA2502" s="2"/>
      <c r="CB2502" s="2"/>
      <c r="CC2502" s="2" t="s">
        <v>138</v>
      </c>
      <c r="CD2502" s="2">
        <v>157</v>
      </c>
      <c r="CE2502" s="2" t="s">
        <v>104</v>
      </c>
      <c r="CF2502" s="5">
        <v>42971</v>
      </c>
      <c r="CG2502" s="2"/>
      <c r="CH2502" s="2"/>
      <c r="CI2502" s="2">
        <v>1</v>
      </c>
      <c r="CJ2502" s="2">
        <v>1</v>
      </c>
      <c r="CK2502" s="2">
        <v>21</v>
      </c>
      <c r="CL2502" s="2" t="s">
        <v>86</v>
      </c>
      <c r="CM2502" s="2"/>
    </row>
    <row r="2503" spans="1:91">
      <c r="A2503" s="2" t="s">
        <v>71</v>
      </c>
      <c r="B2503" s="2" t="s">
        <v>72</v>
      </c>
      <c r="C2503" s="2" t="s">
        <v>73</v>
      </c>
      <c r="D2503" s="2"/>
      <c r="E2503" s="2" t="str">
        <f>"FES1162570564"</f>
        <v>FES1162570564</v>
      </c>
      <c r="F2503" s="3">
        <v>42969</v>
      </c>
      <c r="G2503" s="2">
        <v>201802</v>
      </c>
      <c r="H2503" s="2" t="s">
        <v>74</v>
      </c>
      <c r="I2503" s="2" t="s">
        <v>75</v>
      </c>
      <c r="J2503" s="2" t="s">
        <v>76</v>
      </c>
      <c r="K2503" s="2" t="s">
        <v>77</v>
      </c>
      <c r="L2503" s="2" t="s">
        <v>105</v>
      </c>
      <c r="M2503" s="2" t="s">
        <v>106</v>
      </c>
      <c r="N2503" s="2" t="s">
        <v>486</v>
      </c>
      <c r="O2503" s="2" t="s">
        <v>100</v>
      </c>
      <c r="P2503" s="2" t="str">
        <f>"2170586294                    "</f>
        <v xml:space="preserve">2170586294  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4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1</v>
      </c>
      <c r="BI2503" s="2">
        <v>1</v>
      </c>
      <c r="BJ2503" s="2">
        <v>0.2</v>
      </c>
      <c r="BK2503" s="2">
        <v>1</v>
      </c>
      <c r="BL2503" s="2">
        <v>41.44</v>
      </c>
      <c r="BM2503" s="2">
        <v>5.8</v>
      </c>
      <c r="BN2503" s="2">
        <v>47.24</v>
      </c>
      <c r="BO2503" s="2">
        <v>47.24</v>
      </c>
      <c r="BP2503" s="2"/>
      <c r="BQ2503" s="2" t="s">
        <v>108</v>
      </c>
      <c r="BR2503" s="2" t="s">
        <v>84</v>
      </c>
      <c r="BS2503" s="3">
        <v>42970</v>
      </c>
      <c r="BT2503" s="4">
        <v>0.47638888888888892</v>
      </c>
      <c r="BU2503" s="2" t="s">
        <v>2625</v>
      </c>
      <c r="BV2503" s="2" t="s">
        <v>86</v>
      </c>
      <c r="BW2503" s="2" t="s">
        <v>110</v>
      </c>
      <c r="BX2503" s="2" t="s">
        <v>111</v>
      </c>
      <c r="BY2503" s="2">
        <v>1200</v>
      </c>
      <c r="BZ2503" s="2"/>
      <c r="CA2503" s="2" t="s">
        <v>2626</v>
      </c>
      <c r="CB2503" s="2"/>
      <c r="CC2503" s="2" t="s">
        <v>106</v>
      </c>
      <c r="CD2503" s="2">
        <v>7441</v>
      </c>
      <c r="CE2503" s="2" t="s">
        <v>104</v>
      </c>
      <c r="CF2503" s="5">
        <v>42970</v>
      </c>
      <c r="CG2503" s="2"/>
      <c r="CH2503" s="2"/>
      <c r="CI2503" s="2">
        <v>1</v>
      </c>
      <c r="CJ2503" s="2">
        <v>1</v>
      </c>
      <c r="CK2503" s="2">
        <v>21</v>
      </c>
      <c r="CL2503" s="2" t="s">
        <v>86</v>
      </c>
      <c r="CM2503" s="2"/>
    </row>
    <row r="2504" spans="1:91">
      <c r="A2504" s="2" t="s">
        <v>71</v>
      </c>
      <c r="B2504" s="2" t="s">
        <v>72</v>
      </c>
      <c r="C2504" s="2" t="s">
        <v>73</v>
      </c>
      <c r="D2504" s="2"/>
      <c r="E2504" s="2" t="str">
        <f>"FES1162570657"</f>
        <v>FES1162570657</v>
      </c>
      <c r="F2504" s="3">
        <v>42969</v>
      </c>
      <c r="G2504" s="2">
        <v>201802</v>
      </c>
      <c r="H2504" s="2" t="s">
        <v>74</v>
      </c>
      <c r="I2504" s="2" t="s">
        <v>75</v>
      </c>
      <c r="J2504" s="2" t="s">
        <v>76</v>
      </c>
      <c r="K2504" s="2" t="s">
        <v>77</v>
      </c>
      <c r="L2504" s="2" t="s">
        <v>97</v>
      </c>
      <c r="M2504" s="2" t="s">
        <v>98</v>
      </c>
      <c r="N2504" s="2" t="s">
        <v>214</v>
      </c>
      <c r="O2504" s="2" t="s">
        <v>100</v>
      </c>
      <c r="P2504" s="2" t="str">
        <f>"2170586420                    "</f>
        <v xml:space="preserve">2170586420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4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1</v>
      </c>
      <c r="BJ2504" s="2">
        <v>0.2</v>
      </c>
      <c r="BK2504" s="2">
        <v>1</v>
      </c>
      <c r="BL2504" s="2">
        <v>41.44</v>
      </c>
      <c r="BM2504" s="2">
        <v>5.8</v>
      </c>
      <c r="BN2504" s="2">
        <v>47.24</v>
      </c>
      <c r="BO2504" s="2">
        <v>47.24</v>
      </c>
      <c r="BP2504" s="2"/>
      <c r="BQ2504" s="2" t="s">
        <v>108</v>
      </c>
      <c r="BR2504" s="2" t="s">
        <v>84</v>
      </c>
      <c r="BS2504" s="3">
        <v>42970</v>
      </c>
      <c r="BT2504" s="4">
        <v>0.34027777777777773</v>
      </c>
      <c r="BU2504" s="2" t="s">
        <v>2941</v>
      </c>
      <c r="BV2504" s="2" t="s">
        <v>95</v>
      </c>
      <c r="BW2504" s="2"/>
      <c r="BX2504" s="2"/>
      <c r="BY2504" s="2">
        <v>1200</v>
      </c>
      <c r="BZ2504" s="2"/>
      <c r="CA2504" s="2" t="s">
        <v>213</v>
      </c>
      <c r="CB2504" s="2"/>
      <c r="CC2504" s="2" t="s">
        <v>98</v>
      </c>
      <c r="CD2504" s="2">
        <v>6001</v>
      </c>
      <c r="CE2504" s="2" t="s">
        <v>104</v>
      </c>
      <c r="CF2504" s="5">
        <v>42971</v>
      </c>
      <c r="CG2504" s="2"/>
      <c r="CH2504" s="2"/>
      <c r="CI2504" s="2">
        <v>1</v>
      </c>
      <c r="CJ2504" s="2">
        <v>1</v>
      </c>
      <c r="CK2504" s="2">
        <v>21</v>
      </c>
      <c r="CL2504" s="2" t="s">
        <v>86</v>
      </c>
      <c r="CM2504" s="2"/>
    </row>
    <row r="2505" spans="1:91">
      <c r="A2505" s="2" t="s">
        <v>71</v>
      </c>
      <c r="B2505" s="2" t="s">
        <v>72</v>
      </c>
      <c r="C2505" s="2" t="s">
        <v>73</v>
      </c>
      <c r="D2505" s="2"/>
      <c r="E2505" s="2" t="str">
        <f>"FES1162570578"</f>
        <v>FES1162570578</v>
      </c>
      <c r="F2505" s="3">
        <v>42969</v>
      </c>
      <c r="G2505" s="2">
        <v>201802</v>
      </c>
      <c r="H2505" s="2" t="s">
        <v>74</v>
      </c>
      <c r="I2505" s="2" t="s">
        <v>75</v>
      </c>
      <c r="J2505" s="2" t="s">
        <v>76</v>
      </c>
      <c r="K2505" s="2" t="s">
        <v>77</v>
      </c>
      <c r="L2505" s="2" t="s">
        <v>221</v>
      </c>
      <c r="M2505" s="2" t="s">
        <v>222</v>
      </c>
      <c r="N2505" s="2" t="s">
        <v>1275</v>
      </c>
      <c r="O2505" s="2" t="s">
        <v>100</v>
      </c>
      <c r="P2505" s="2" t="str">
        <f>"2170586319                    "</f>
        <v xml:space="preserve">2170586319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4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1</v>
      </c>
      <c r="BI2505" s="2">
        <v>1</v>
      </c>
      <c r="BJ2505" s="2">
        <v>0.2</v>
      </c>
      <c r="BK2505" s="2">
        <v>1</v>
      </c>
      <c r="BL2505" s="2">
        <v>41.44</v>
      </c>
      <c r="BM2505" s="2">
        <v>5.8</v>
      </c>
      <c r="BN2505" s="2">
        <v>47.24</v>
      </c>
      <c r="BO2505" s="2">
        <v>47.24</v>
      </c>
      <c r="BP2505" s="2"/>
      <c r="BQ2505" s="2" t="s">
        <v>227</v>
      </c>
      <c r="BR2505" s="2" t="s">
        <v>84</v>
      </c>
      <c r="BS2505" s="3">
        <v>42970</v>
      </c>
      <c r="BT2505" s="4">
        <v>0.38055555555555554</v>
      </c>
      <c r="BU2505" s="2" t="s">
        <v>1535</v>
      </c>
      <c r="BV2505" s="2" t="s">
        <v>95</v>
      </c>
      <c r="BW2505" s="2"/>
      <c r="BX2505" s="2"/>
      <c r="BY2505" s="2">
        <v>1200</v>
      </c>
      <c r="BZ2505" s="2"/>
      <c r="CA2505" s="2" t="s">
        <v>1536</v>
      </c>
      <c r="CB2505" s="2"/>
      <c r="CC2505" s="2" t="s">
        <v>222</v>
      </c>
      <c r="CD2505" s="2">
        <v>4300</v>
      </c>
      <c r="CE2505" s="2" t="s">
        <v>104</v>
      </c>
      <c r="CF2505" s="5">
        <v>42971</v>
      </c>
      <c r="CG2505" s="2"/>
      <c r="CH2505" s="2"/>
      <c r="CI2505" s="2">
        <v>1</v>
      </c>
      <c r="CJ2505" s="2">
        <v>1</v>
      </c>
      <c r="CK2505" s="2">
        <v>21</v>
      </c>
      <c r="CL2505" s="2" t="s">
        <v>86</v>
      </c>
      <c r="CM2505" s="2"/>
    </row>
    <row r="2506" spans="1:91">
      <c r="A2506" s="2" t="s">
        <v>71</v>
      </c>
      <c r="B2506" s="2" t="s">
        <v>72</v>
      </c>
      <c r="C2506" s="2" t="s">
        <v>73</v>
      </c>
      <c r="D2506" s="2"/>
      <c r="E2506" s="2" t="str">
        <f>"FES1162570627"</f>
        <v>FES1162570627</v>
      </c>
      <c r="F2506" s="3">
        <v>42969</v>
      </c>
      <c r="G2506" s="2">
        <v>201802</v>
      </c>
      <c r="H2506" s="2" t="s">
        <v>74</v>
      </c>
      <c r="I2506" s="2" t="s">
        <v>75</v>
      </c>
      <c r="J2506" s="2" t="s">
        <v>76</v>
      </c>
      <c r="K2506" s="2" t="s">
        <v>77</v>
      </c>
      <c r="L2506" s="2" t="s">
        <v>268</v>
      </c>
      <c r="M2506" s="2" t="s">
        <v>269</v>
      </c>
      <c r="N2506" s="2" t="s">
        <v>1341</v>
      </c>
      <c r="O2506" s="2" t="s">
        <v>100</v>
      </c>
      <c r="P2506" s="2" t="str">
        <f>"2170586377                    "</f>
        <v xml:space="preserve">2170586377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4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2</v>
      </c>
      <c r="BJ2506" s="2">
        <v>0.2</v>
      </c>
      <c r="BK2506" s="2">
        <v>2</v>
      </c>
      <c r="BL2506" s="2">
        <v>41.44</v>
      </c>
      <c r="BM2506" s="2">
        <v>5.8</v>
      </c>
      <c r="BN2506" s="2">
        <v>47.24</v>
      </c>
      <c r="BO2506" s="2">
        <v>47.24</v>
      </c>
      <c r="BP2506" s="2"/>
      <c r="BQ2506" s="2" t="s">
        <v>288</v>
      </c>
      <c r="BR2506" s="2" t="s">
        <v>84</v>
      </c>
      <c r="BS2506" s="3">
        <v>42970</v>
      </c>
      <c r="BT2506" s="4">
        <v>0.38750000000000001</v>
      </c>
      <c r="BU2506" s="2" t="s">
        <v>2942</v>
      </c>
      <c r="BV2506" s="2" t="s">
        <v>95</v>
      </c>
      <c r="BW2506" s="2"/>
      <c r="BX2506" s="2"/>
      <c r="BY2506" s="2">
        <v>1200</v>
      </c>
      <c r="BZ2506" s="2"/>
      <c r="CA2506" s="2"/>
      <c r="CB2506" s="2"/>
      <c r="CC2506" s="2" t="s">
        <v>269</v>
      </c>
      <c r="CD2506" s="2">
        <v>184</v>
      </c>
      <c r="CE2506" s="2" t="s">
        <v>104</v>
      </c>
      <c r="CF2506" s="5">
        <v>42971</v>
      </c>
      <c r="CG2506" s="2"/>
      <c r="CH2506" s="2"/>
      <c r="CI2506" s="2">
        <v>1</v>
      </c>
      <c r="CJ2506" s="2">
        <v>1</v>
      </c>
      <c r="CK2506" s="2">
        <v>21</v>
      </c>
      <c r="CL2506" s="2" t="s">
        <v>86</v>
      </c>
      <c r="CM2506" s="2"/>
    </row>
    <row r="2507" spans="1:91">
      <c r="A2507" s="2" t="s">
        <v>71</v>
      </c>
      <c r="B2507" s="2" t="s">
        <v>72</v>
      </c>
      <c r="C2507" s="2" t="s">
        <v>73</v>
      </c>
      <c r="D2507" s="2"/>
      <c r="E2507" s="2" t="str">
        <f>"FES1162570652"</f>
        <v>FES1162570652</v>
      </c>
      <c r="F2507" s="3">
        <v>42969</v>
      </c>
      <c r="G2507" s="2">
        <v>201802</v>
      </c>
      <c r="H2507" s="2" t="s">
        <v>74</v>
      </c>
      <c r="I2507" s="2" t="s">
        <v>75</v>
      </c>
      <c r="J2507" s="2" t="s">
        <v>76</v>
      </c>
      <c r="K2507" s="2" t="s">
        <v>77</v>
      </c>
      <c r="L2507" s="2" t="s">
        <v>97</v>
      </c>
      <c r="M2507" s="2" t="s">
        <v>98</v>
      </c>
      <c r="N2507" s="2" t="s">
        <v>2772</v>
      </c>
      <c r="O2507" s="2" t="s">
        <v>100</v>
      </c>
      <c r="P2507" s="2" t="str">
        <f>"2170586414                    "</f>
        <v xml:space="preserve">2170586414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4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</v>
      </c>
      <c r="BJ2507" s="2">
        <v>0.2</v>
      </c>
      <c r="BK2507" s="2">
        <v>1</v>
      </c>
      <c r="BL2507" s="2">
        <v>41.44</v>
      </c>
      <c r="BM2507" s="2">
        <v>5.8</v>
      </c>
      <c r="BN2507" s="2">
        <v>47.24</v>
      </c>
      <c r="BO2507" s="2">
        <v>47.24</v>
      </c>
      <c r="BP2507" s="2"/>
      <c r="BQ2507" s="2" t="s">
        <v>83</v>
      </c>
      <c r="BR2507" s="2" t="s">
        <v>84</v>
      </c>
      <c r="BS2507" s="3">
        <v>42970</v>
      </c>
      <c r="BT2507" s="4">
        <v>0.4236111111111111</v>
      </c>
      <c r="BU2507" s="2" t="s">
        <v>2773</v>
      </c>
      <c r="BV2507" s="2" t="s">
        <v>95</v>
      </c>
      <c r="BW2507" s="2"/>
      <c r="BX2507" s="2"/>
      <c r="BY2507" s="2">
        <v>1200</v>
      </c>
      <c r="BZ2507" s="2"/>
      <c r="CA2507" s="2" t="s">
        <v>213</v>
      </c>
      <c r="CB2507" s="2"/>
      <c r="CC2507" s="2" t="s">
        <v>98</v>
      </c>
      <c r="CD2507" s="2">
        <v>6001</v>
      </c>
      <c r="CE2507" s="2" t="s">
        <v>104</v>
      </c>
      <c r="CF2507" s="5">
        <v>42970</v>
      </c>
      <c r="CG2507" s="2"/>
      <c r="CH2507" s="2"/>
      <c r="CI2507" s="2">
        <v>1</v>
      </c>
      <c r="CJ2507" s="2">
        <v>1</v>
      </c>
      <c r="CK2507" s="2">
        <v>21</v>
      </c>
      <c r="CL2507" s="2" t="s">
        <v>86</v>
      </c>
      <c r="CM2507" s="2"/>
    </row>
    <row r="2508" spans="1:91">
      <c r="A2508" s="2" t="s">
        <v>71</v>
      </c>
      <c r="B2508" s="2" t="s">
        <v>72</v>
      </c>
      <c r="C2508" s="2" t="s">
        <v>73</v>
      </c>
      <c r="D2508" s="2"/>
      <c r="E2508" s="2" t="str">
        <f>"FES1162570572"</f>
        <v>FES1162570572</v>
      </c>
      <c r="F2508" s="3">
        <v>42969</v>
      </c>
      <c r="G2508" s="2">
        <v>201802</v>
      </c>
      <c r="H2508" s="2" t="s">
        <v>74</v>
      </c>
      <c r="I2508" s="2" t="s">
        <v>75</v>
      </c>
      <c r="J2508" s="2" t="s">
        <v>76</v>
      </c>
      <c r="K2508" s="2" t="s">
        <v>77</v>
      </c>
      <c r="L2508" s="2" t="s">
        <v>237</v>
      </c>
      <c r="M2508" s="2" t="s">
        <v>238</v>
      </c>
      <c r="N2508" s="2" t="s">
        <v>2002</v>
      </c>
      <c r="O2508" s="2" t="s">
        <v>100</v>
      </c>
      <c r="P2508" s="2" t="str">
        <f>"2170586311                    "</f>
        <v xml:space="preserve">2170586311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4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1</v>
      </c>
      <c r="BI2508" s="2">
        <v>1</v>
      </c>
      <c r="BJ2508" s="2">
        <v>0.2</v>
      </c>
      <c r="BK2508" s="2">
        <v>1</v>
      </c>
      <c r="BL2508" s="2">
        <v>41.44</v>
      </c>
      <c r="BM2508" s="2">
        <v>5.8</v>
      </c>
      <c r="BN2508" s="2">
        <v>47.24</v>
      </c>
      <c r="BO2508" s="2">
        <v>47.24</v>
      </c>
      <c r="BP2508" s="2"/>
      <c r="BQ2508" s="2" t="s">
        <v>365</v>
      </c>
      <c r="BR2508" s="2" t="s">
        <v>84</v>
      </c>
      <c r="BS2508" s="3">
        <v>42970</v>
      </c>
      <c r="BT2508" s="4">
        <v>0.39861111111111108</v>
      </c>
      <c r="BU2508" s="2" t="s">
        <v>2682</v>
      </c>
      <c r="BV2508" s="2" t="s">
        <v>95</v>
      </c>
      <c r="BW2508" s="2"/>
      <c r="BX2508" s="2"/>
      <c r="BY2508" s="2">
        <v>1200</v>
      </c>
      <c r="BZ2508" s="2"/>
      <c r="CA2508" s="2" t="s">
        <v>672</v>
      </c>
      <c r="CB2508" s="2"/>
      <c r="CC2508" s="2" t="s">
        <v>238</v>
      </c>
      <c r="CD2508" s="2">
        <v>3610</v>
      </c>
      <c r="CE2508" s="2" t="s">
        <v>104</v>
      </c>
      <c r="CF2508" s="5">
        <v>42971</v>
      </c>
      <c r="CG2508" s="2"/>
      <c r="CH2508" s="2"/>
      <c r="CI2508" s="2">
        <v>1</v>
      </c>
      <c r="CJ2508" s="2">
        <v>1</v>
      </c>
      <c r="CK2508" s="2">
        <v>21</v>
      </c>
      <c r="CL2508" s="2" t="s">
        <v>86</v>
      </c>
      <c r="CM2508" s="2"/>
    </row>
    <row r="2509" spans="1:91">
      <c r="A2509" s="2" t="s">
        <v>71</v>
      </c>
      <c r="B2509" s="2" t="s">
        <v>72</v>
      </c>
      <c r="C2509" s="2" t="s">
        <v>73</v>
      </c>
      <c r="D2509" s="2"/>
      <c r="E2509" s="2" t="str">
        <f>"FES1162570575"</f>
        <v>FES1162570575</v>
      </c>
      <c r="F2509" s="3">
        <v>42969</v>
      </c>
      <c r="G2509" s="2">
        <v>201802</v>
      </c>
      <c r="H2509" s="2" t="s">
        <v>74</v>
      </c>
      <c r="I2509" s="2" t="s">
        <v>75</v>
      </c>
      <c r="J2509" s="2" t="s">
        <v>76</v>
      </c>
      <c r="K2509" s="2" t="s">
        <v>77</v>
      </c>
      <c r="L2509" s="2" t="s">
        <v>715</v>
      </c>
      <c r="M2509" s="2" t="s">
        <v>716</v>
      </c>
      <c r="N2509" s="2" t="s">
        <v>762</v>
      </c>
      <c r="O2509" s="2" t="s">
        <v>100</v>
      </c>
      <c r="P2509" s="2" t="str">
        <f>"2170586313                    "</f>
        <v xml:space="preserve">2170586313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7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2.2000000000000002</v>
      </c>
      <c r="BJ2509" s="2">
        <v>3.5</v>
      </c>
      <c r="BK2509" s="2">
        <v>3.5</v>
      </c>
      <c r="BL2509" s="2">
        <v>72.52</v>
      </c>
      <c r="BM2509" s="2">
        <v>10.15</v>
      </c>
      <c r="BN2509" s="2">
        <v>82.67</v>
      </c>
      <c r="BO2509" s="2">
        <v>82.67</v>
      </c>
      <c r="BP2509" s="2"/>
      <c r="BQ2509" s="2" t="s">
        <v>365</v>
      </c>
      <c r="BR2509" s="2" t="s">
        <v>84</v>
      </c>
      <c r="BS2509" s="3">
        <v>42970</v>
      </c>
      <c r="BT2509" s="4">
        <v>0.44444444444444442</v>
      </c>
      <c r="BU2509" s="2" t="s">
        <v>2777</v>
      </c>
      <c r="BV2509" s="2" t="s">
        <v>95</v>
      </c>
      <c r="BW2509" s="2"/>
      <c r="BX2509" s="2"/>
      <c r="BY2509" s="2">
        <v>17347.72</v>
      </c>
      <c r="BZ2509" s="2"/>
      <c r="CA2509" s="2" t="s">
        <v>1380</v>
      </c>
      <c r="CB2509" s="2"/>
      <c r="CC2509" s="2" t="s">
        <v>716</v>
      </c>
      <c r="CD2509" s="2">
        <v>3290</v>
      </c>
      <c r="CE2509" s="2" t="s">
        <v>89</v>
      </c>
      <c r="CF2509" s="5">
        <v>42972</v>
      </c>
      <c r="CG2509" s="2"/>
      <c r="CH2509" s="2"/>
      <c r="CI2509" s="2">
        <v>1</v>
      </c>
      <c r="CJ2509" s="2">
        <v>1</v>
      </c>
      <c r="CK2509" s="2">
        <v>21</v>
      </c>
      <c r="CL2509" s="2" t="s">
        <v>86</v>
      </c>
      <c r="CM2509" s="2"/>
    </row>
    <row r="2510" spans="1:91">
      <c r="A2510" s="2" t="s">
        <v>71</v>
      </c>
      <c r="B2510" s="2" t="s">
        <v>72</v>
      </c>
      <c r="C2510" s="2" t="s">
        <v>73</v>
      </c>
      <c r="D2510" s="2"/>
      <c r="E2510" s="2" t="str">
        <f>"FES1162570641"</f>
        <v>FES1162570641</v>
      </c>
      <c r="F2510" s="3">
        <v>42969</v>
      </c>
      <c r="G2510" s="2">
        <v>201802</v>
      </c>
      <c r="H2510" s="2" t="s">
        <v>74</v>
      </c>
      <c r="I2510" s="2" t="s">
        <v>75</v>
      </c>
      <c r="J2510" s="2" t="s">
        <v>76</v>
      </c>
      <c r="K2510" s="2" t="s">
        <v>77</v>
      </c>
      <c r="L2510" s="2" t="s">
        <v>539</v>
      </c>
      <c r="M2510" s="2" t="s">
        <v>540</v>
      </c>
      <c r="N2510" s="2" t="s">
        <v>556</v>
      </c>
      <c r="O2510" s="2" t="s">
        <v>100</v>
      </c>
      <c r="P2510" s="2" t="str">
        <f>"2170585967                    "</f>
        <v xml:space="preserve">2170585967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3.13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6.5</v>
      </c>
      <c r="BJ2510" s="2">
        <v>3.3</v>
      </c>
      <c r="BK2510" s="2">
        <v>7</v>
      </c>
      <c r="BL2510" s="2">
        <v>32.380000000000003</v>
      </c>
      <c r="BM2510" s="2">
        <v>4.53</v>
      </c>
      <c r="BN2510" s="2">
        <v>36.909999999999997</v>
      </c>
      <c r="BO2510" s="2">
        <v>36.909999999999997</v>
      </c>
      <c r="BP2510" s="2"/>
      <c r="BQ2510" s="2" t="s">
        <v>83</v>
      </c>
      <c r="BR2510" s="2" t="s">
        <v>84</v>
      </c>
      <c r="BS2510" s="3">
        <v>42970</v>
      </c>
      <c r="BT2510" s="4">
        <v>0.39583333333333331</v>
      </c>
      <c r="BU2510" s="2" t="s">
        <v>2943</v>
      </c>
      <c r="BV2510" s="2" t="s">
        <v>95</v>
      </c>
      <c r="BW2510" s="2"/>
      <c r="BX2510" s="2"/>
      <c r="BY2510" s="2">
        <v>16493.400000000001</v>
      </c>
      <c r="BZ2510" s="2"/>
      <c r="CA2510" s="2" t="s">
        <v>722</v>
      </c>
      <c r="CB2510" s="2"/>
      <c r="CC2510" s="2" t="s">
        <v>540</v>
      </c>
      <c r="CD2510" s="2">
        <v>2162</v>
      </c>
      <c r="CE2510" s="2" t="s">
        <v>89</v>
      </c>
      <c r="CF2510" s="5">
        <v>42971</v>
      </c>
      <c r="CG2510" s="2"/>
      <c r="CH2510" s="2"/>
      <c r="CI2510" s="2">
        <v>1</v>
      </c>
      <c r="CJ2510" s="2">
        <v>1</v>
      </c>
      <c r="CK2510" s="2">
        <v>22</v>
      </c>
      <c r="CL2510" s="2" t="s">
        <v>86</v>
      </c>
      <c r="CM2510" s="2"/>
    </row>
    <row r="2511" spans="1:91">
      <c r="A2511" s="2" t="s">
        <v>71</v>
      </c>
      <c r="B2511" s="2" t="s">
        <v>72</v>
      </c>
      <c r="C2511" s="2" t="s">
        <v>73</v>
      </c>
      <c r="D2511" s="2"/>
      <c r="E2511" s="2" t="str">
        <f>"FES1162570717"</f>
        <v>FES1162570717</v>
      </c>
      <c r="F2511" s="3">
        <v>42969</v>
      </c>
      <c r="G2511" s="2">
        <v>201802</v>
      </c>
      <c r="H2511" s="2" t="s">
        <v>74</v>
      </c>
      <c r="I2511" s="2" t="s">
        <v>75</v>
      </c>
      <c r="J2511" s="2" t="s">
        <v>76</v>
      </c>
      <c r="K2511" s="2" t="s">
        <v>77</v>
      </c>
      <c r="L2511" s="2" t="s">
        <v>97</v>
      </c>
      <c r="M2511" s="2" t="s">
        <v>98</v>
      </c>
      <c r="N2511" s="2" t="s">
        <v>1029</v>
      </c>
      <c r="O2511" s="2" t="s">
        <v>100</v>
      </c>
      <c r="P2511" s="2" t="str">
        <f>"2170585374                    "</f>
        <v xml:space="preserve">2170585374 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13.01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6.5</v>
      </c>
      <c r="BJ2511" s="2">
        <v>3.9</v>
      </c>
      <c r="BK2511" s="2">
        <v>6.5</v>
      </c>
      <c r="BL2511" s="2">
        <v>134.69</v>
      </c>
      <c r="BM2511" s="2">
        <v>18.86</v>
      </c>
      <c r="BN2511" s="2">
        <v>153.55000000000001</v>
      </c>
      <c r="BO2511" s="2">
        <v>153.55000000000001</v>
      </c>
      <c r="BP2511" s="2"/>
      <c r="BQ2511" s="2" t="s">
        <v>288</v>
      </c>
      <c r="BR2511" s="2" t="s">
        <v>84</v>
      </c>
      <c r="BS2511" s="3">
        <v>42970</v>
      </c>
      <c r="BT2511" s="4">
        <v>0.34166666666666662</v>
      </c>
      <c r="BU2511" s="2" t="s">
        <v>2944</v>
      </c>
      <c r="BV2511" s="2" t="s">
        <v>95</v>
      </c>
      <c r="BW2511" s="2"/>
      <c r="BX2511" s="2"/>
      <c r="BY2511" s="2">
        <v>19319.650000000001</v>
      </c>
      <c r="BZ2511" s="2"/>
      <c r="CA2511" s="2" t="s">
        <v>213</v>
      </c>
      <c r="CB2511" s="2"/>
      <c r="CC2511" s="2" t="s">
        <v>98</v>
      </c>
      <c r="CD2511" s="2">
        <v>6001</v>
      </c>
      <c r="CE2511" s="2" t="s">
        <v>89</v>
      </c>
      <c r="CF2511" s="5">
        <v>42971</v>
      </c>
      <c r="CG2511" s="2"/>
      <c r="CH2511" s="2"/>
      <c r="CI2511" s="2">
        <v>1</v>
      </c>
      <c r="CJ2511" s="2">
        <v>1</v>
      </c>
      <c r="CK2511" s="2">
        <v>21</v>
      </c>
      <c r="CL2511" s="2" t="s">
        <v>86</v>
      </c>
      <c r="CM2511" s="2"/>
    </row>
    <row r="2512" spans="1:91">
      <c r="A2512" s="2" t="s">
        <v>71</v>
      </c>
      <c r="B2512" s="2" t="s">
        <v>72</v>
      </c>
      <c r="C2512" s="2" t="s">
        <v>73</v>
      </c>
      <c r="D2512" s="2"/>
      <c r="E2512" s="2" t="str">
        <f>"FES1162570587"</f>
        <v>FES1162570587</v>
      </c>
      <c r="F2512" s="3">
        <v>42969</v>
      </c>
      <c r="G2512" s="2">
        <v>201802</v>
      </c>
      <c r="H2512" s="2" t="s">
        <v>74</v>
      </c>
      <c r="I2512" s="2" t="s">
        <v>75</v>
      </c>
      <c r="J2512" s="2" t="s">
        <v>76</v>
      </c>
      <c r="K2512" s="2" t="s">
        <v>77</v>
      </c>
      <c r="L2512" s="2" t="s">
        <v>237</v>
      </c>
      <c r="M2512" s="2" t="s">
        <v>238</v>
      </c>
      <c r="N2512" s="2" t="s">
        <v>669</v>
      </c>
      <c r="O2512" s="2" t="s">
        <v>100</v>
      </c>
      <c r="P2512" s="2" t="str">
        <f>"2170586332                    "</f>
        <v xml:space="preserve">2170586332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4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1</v>
      </c>
      <c r="BJ2512" s="2">
        <v>0.2</v>
      </c>
      <c r="BK2512" s="2">
        <v>1</v>
      </c>
      <c r="BL2512" s="2">
        <v>41.44</v>
      </c>
      <c r="BM2512" s="2">
        <v>5.8</v>
      </c>
      <c r="BN2512" s="2">
        <v>47.24</v>
      </c>
      <c r="BO2512" s="2">
        <v>47.24</v>
      </c>
      <c r="BP2512" s="2"/>
      <c r="BQ2512" s="2" t="s">
        <v>288</v>
      </c>
      <c r="BR2512" s="2" t="s">
        <v>84</v>
      </c>
      <c r="BS2512" s="3">
        <v>42970</v>
      </c>
      <c r="BT2512" s="4">
        <v>0.4375</v>
      </c>
      <c r="BU2512" s="2" t="s">
        <v>671</v>
      </c>
      <c r="BV2512" s="2" t="s">
        <v>95</v>
      </c>
      <c r="BW2512" s="2"/>
      <c r="BX2512" s="2"/>
      <c r="BY2512" s="2">
        <v>1200</v>
      </c>
      <c r="BZ2512" s="2"/>
      <c r="CA2512" s="2" t="s">
        <v>672</v>
      </c>
      <c r="CB2512" s="2"/>
      <c r="CC2512" s="2" t="s">
        <v>238</v>
      </c>
      <c r="CD2512" s="2">
        <v>3610</v>
      </c>
      <c r="CE2512" s="2" t="s">
        <v>104</v>
      </c>
      <c r="CF2512" s="5">
        <v>42971</v>
      </c>
      <c r="CG2512" s="2"/>
      <c r="CH2512" s="2"/>
      <c r="CI2512" s="2">
        <v>1</v>
      </c>
      <c r="CJ2512" s="2">
        <v>1</v>
      </c>
      <c r="CK2512" s="2">
        <v>21</v>
      </c>
      <c r="CL2512" s="2" t="s">
        <v>86</v>
      </c>
      <c r="CM2512" s="2"/>
    </row>
    <row r="2513" spans="1:91">
      <c r="A2513" s="2" t="s">
        <v>71</v>
      </c>
      <c r="B2513" s="2" t="s">
        <v>72</v>
      </c>
      <c r="C2513" s="2" t="s">
        <v>73</v>
      </c>
      <c r="D2513" s="2"/>
      <c r="E2513" s="2" t="str">
        <f>"FES1162570674"</f>
        <v>FES1162570674</v>
      </c>
      <c r="F2513" s="3">
        <v>42969</v>
      </c>
      <c r="G2513" s="2">
        <v>201802</v>
      </c>
      <c r="H2513" s="2" t="s">
        <v>74</v>
      </c>
      <c r="I2513" s="2" t="s">
        <v>75</v>
      </c>
      <c r="J2513" s="2" t="s">
        <v>76</v>
      </c>
      <c r="K2513" s="2" t="s">
        <v>77</v>
      </c>
      <c r="L2513" s="2" t="s">
        <v>97</v>
      </c>
      <c r="M2513" s="2" t="s">
        <v>98</v>
      </c>
      <c r="N2513" s="2" t="s">
        <v>2945</v>
      </c>
      <c r="O2513" s="2" t="s">
        <v>100</v>
      </c>
      <c r="P2513" s="2" t="str">
        <f>"2170586446                    "</f>
        <v xml:space="preserve">2170586446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4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1</v>
      </c>
      <c r="BJ2513" s="2">
        <v>0.2</v>
      </c>
      <c r="BK2513" s="2">
        <v>1</v>
      </c>
      <c r="BL2513" s="2">
        <v>41.44</v>
      </c>
      <c r="BM2513" s="2">
        <v>5.8</v>
      </c>
      <c r="BN2513" s="2">
        <v>47.24</v>
      </c>
      <c r="BO2513" s="2">
        <v>47.24</v>
      </c>
      <c r="BP2513" s="2"/>
      <c r="BQ2513" s="2" t="s">
        <v>83</v>
      </c>
      <c r="BR2513" s="2" t="s">
        <v>84</v>
      </c>
      <c r="BS2513" s="3">
        <v>42970</v>
      </c>
      <c r="BT2513" s="4">
        <v>0.36458333333333331</v>
      </c>
      <c r="BU2513" s="2" t="s">
        <v>2946</v>
      </c>
      <c r="BV2513" s="2" t="s">
        <v>95</v>
      </c>
      <c r="BW2513" s="2"/>
      <c r="BX2513" s="2"/>
      <c r="BY2513" s="2">
        <v>1200</v>
      </c>
      <c r="BZ2513" s="2"/>
      <c r="CA2513" s="2" t="s">
        <v>1775</v>
      </c>
      <c r="CB2513" s="2"/>
      <c r="CC2513" s="2" t="s">
        <v>98</v>
      </c>
      <c r="CD2513" s="2">
        <v>6001</v>
      </c>
      <c r="CE2513" s="2" t="s">
        <v>104</v>
      </c>
      <c r="CF2513" s="5">
        <v>42971</v>
      </c>
      <c r="CG2513" s="2"/>
      <c r="CH2513" s="2"/>
      <c r="CI2513" s="2">
        <v>1</v>
      </c>
      <c r="CJ2513" s="2">
        <v>1</v>
      </c>
      <c r="CK2513" s="2">
        <v>21</v>
      </c>
      <c r="CL2513" s="2" t="s">
        <v>86</v>
      </c>
      <c r="CM2513" s="2"/>
    </row>
    <row r="2514" spans="1:91">
      <c r="A2514" s="2" t="s">
        <v>71</v>
      </c>
      <c r="B2514" s="2" t="s">
        <v>72</v>
      </c>
      <c r="C2514" s="2" t="s">
        <v>73</v>
      </c>
      <c r="D2514" s="2"/>
      <c r="E2514" s="2" t="str">
        <f>"FES1162570601"</f>
        <v>FES1162570601</v>
      </c>
      <c r="F2514" s="3">
        <v>42969</v>
      </c>
      <c r="G2514" s="2">
        <v>201802</v>
      </c>
      <c r="H2514" s="2" t="s">
        <v>74</v>
      </c>
      <c r="I2514" s="2" t="s">
        <v>75</v>
      </c>
      <c r="J2514" s="2" t="s">
        <v>76</v>
      </c>
      <c r="K2514" s="2" t="s">
        <v>77</v>
      </c>
      <c r="L2514" s="2" t="s">
        <v>149</v>
      </c>
      <c r="M2514" s="2" t="s">
        <v>150</v>
      </c>
      <c r="N2514" s="2" t="s">
        <v>183</v>
      </c>
      <c r="O2514" s="2" t="s">
        <v>100</v>
      </c>
      <c r="P2514" s="2" t="str">
        <f>"2170586350                    "</f>
        <v xml:space="preserve">2170586350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4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1</v>
      </c>
      <c r="BI2514" s="2">
        <v>1</v>
      </c>
      <c r="BJ2514" s="2">
        <v>0.2</v>
      </c>
      <c r="BK2514" s="2">
        <v>1</v>
      </c>
      <c r="BL2514" s="2">
        <v>41.44</v>
      </c>
      <c r="BM2514" s="2">
        <v>5.8</v>
      </c>
      <c r="BN2514" s="2">
        <v>47.24</v>
      </c>
      <c r="BO2514" s="2">
        <v>47.24</v>
      </c>
      <c r="BP2514" s="2"/>
      <c r="BQ2514" s="2" t="s">
        <v>288</v>
      </c>
      <c r="BR2514" s="2" t="s">
        <v>84</v>
      </c>
      <c r="BS2514" s="3">
        <v>42970</v>
      </c>
      <c r="BT2514" s="4">
        <v>0.33749999999999997</v>
      </c>
      <c r="BU2514" s="2" t="s">
        <v>1285</v>
      </c>
      <c r="BV2514" s="2" t="s">
        <v>95</v>
      </c>
      <c r="BW2514" s="2"/>
      <c r="BX2514" s="2"/>
      <c r="BY2514" s="2">
        <v>1200</v>
      </c>
      <c r="BZ2514" s="2"/>
      <c r="CA2514" s="2" t="s">
        <v>1286</v>
      </c>
      <c r="CB2514" s="2"/>
      <c r="CC2514" s="2" t="s">
        <v>150</v>
      </c>
      <c r="CD2514" s="2">
        <v>4001</v>
      </c>
      <c r="CE2514" s="2" t="s">
        <v>104</v>
      </c>
      <c r="CF2514" s="5">
        <v>42971</v>
      </c>
      <c r="CG2514" s="2"/>
      <c r="CH2514" s="2"/>
      <c r="CI2514" s="2">
        <v>1</v>
      </c>
      <c r="CJ2514" s="2">
        <v>1</v>
      </c>
      <c r="CK2514" s="2">
        <v>21</v>
      </c>
      <c r="CL2514" s="2" t="s">
        <v>86</v>
      </c>
      <c r="CM2514" s="2"/>
    </row>
    <row r="2515" spans="1:91">
      <c r="A2515" s="2" t="s">
        <v>71</v>
      </c>
      <c r="B2515" s="2" t="s">
        <v>72</v>
      </c>
      <c r="C2515" s="2" t="s">
        <v>73</v>
      </c>
      <c r="D2515" s="2"/>
      <c r="E2515" s="2" t="str">
        <f>"FES1162570605"</f>
        <v>FES1162570605</v>
      </c>
      <c r="F2515" s="3">
        <v>42969</v>
      </c>
      <c r="G2515" s="2">
        <v>201802</v>
      </c>
      <c r="H2515" s="2" t="s">
        <v>74</v>
      </c>
      <c r="I2515" s="2" t="s">
        <v>75</v>
      </c>
      <c r="J2515" s="2" t="s">
        <v>76</v>
      </c>
      <c r="K2515" s="2" t="s">
        <v>77</v>
      </c>
      <c r="L2515" s="2" t="s">
        <v>841</v>
      </c>
      <c r="M2515" s="2" t="s">
        <v>842</v>
      </c>
      <c r="N2515" s="2" t="s">
        <v>843</v>
      </c>
      <c r="O2515" s="2" t="s">
        <v>100</v>
      </c>
      <c r="P2515" s="2" t="str">
        <f>"2170586355                    "</f>
        <v xml:space="preserve">2170586355 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7.75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1</v>
      </c>
      <c r="BI2515" s="2">
        <v>1</v>
      </c>
      <c r="BJ2515" s="2">
        <v>0.2</v>
      </c>
      <c r="BK2515" s="2">
        <v>1</v>
      </c>
      <c r="BL2515" s="2">
        <v>80.290000000000006</v>
      </c>
      <c r="BM2515" s="2">
        <v>11.24</v>
      </c>
      <c r="BN2515" s="2">
        <v>91.53</v>
      </c>
      <c r="BO2515" s="2">
        <v>91.53</v>
      </c>
      <c r="BP2515" s="2"/>
      <c r="BQ2515" s="2" t="s">
        <v>83</v>
      </c>
      <c r="BR2515" s="2" t="s">
        <v>84</v>
      </c>
      <c r="BS2515" s="3">
        <v>42970</v>
      </c>
      <c r="BT2515" s="4">
        <v>0.59930555555555554</v>
      </c>
      <c r="BU2515" s="2" t="s">
        <v>1328</v>
      </c>
      <c r="BV2515" s="2" t="s">
        <v>95</v>
      </c>
      <c r="BW2515" s="2"/>
      <c r="BX2515" s="2"/>
      <c r="BY2515" s="2">
        <v>1200</v>
      </c>
      <c r="BZ2515" s="2"/>
      <c r="CA2515" s="2" t="s">
        <v>845</v>
      </c>
      <c r="CB2515" s="2"/>
      <c r="CC2515" s="2" t="s">
        <v>842</v>
      </c>
      <c r="CD2515" s="2">
        <v>3370</v>
      </c>
      <c r="CE2515" s="2" t="s">
        <v>104</v>
      </c>
      <c r="CF2515" s="5">
        <v>42972</v>
      </c>
      <c r="CG2515" s="2"/>
      <c r="CH2515" s="2"/>
      <c r="CI2515" s="2">
        <v>3</v>
      </c>
      <c r="CJ2515" s="2">
        <v>1</v>
      </c>
      <c r="CK2515" s="2">
        <v>23</v>
      </c>
      <c r="CL2515" s="2" t="s">
        <v>86</v>
      </c>
      <c r="CM2515" s="2"/>
    </row>
    <row r="2516" spans="1:91">
      <c r="A2516" s="2" t="s">
        <v>71</v>
      </c>
      <c r="B2516" s="2" t="s">
        <v>72</v>
      </c>
      <c r="C2516" s="2" t="s">
        <v>73</v>
      </c>
      <c r="D2516" s="2"/>
      <c r="E2516" s="2" t="str">
        <f>"FES1162570710"</f>
        <v>FES1162570710</v>
      </c>
      <c r="F2516" s="3">
        <v>42969</v>
      </c>
      <c r="G2516" s="2">
        <v>201802</v>
      </c>
      <c r="H2516" s="2" t="s">
        <v>74</v>
      </c>
      <c r="I2516" s="2" t="s">
        <v>75</v>
      </c>
      <c r="J2516" s="2" t="s">
        <v>76</v>
      </c>
      <c r="K2516" s="2" t="s">
        <v>77</v>
      </c>
      <c r="L2516" s="2" t="s">
        <v>74</v>
      </c>
      <c r="M2516" s="2" t="s">
        <v>75</v>
      </c>
      <c r="N2516" s="2" t="s">
        <v>1214</v>
      </c>
      <c r="O2516" s="2" t="s">
        <v>100</v>
      </c>
      <c r="P2516" s="2" t="str">
        <f>"2170586231                    "</f>
        <v xml:space="preserve">2170586231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3.13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4.5999999999999996</v>
      </c>
      <c r="BJ2516" s="2">
        <v>1.7</v>
      </c>
      <c r="BK2516" s="2">
        <v>5</v>
      </c>
      <c r="BL2516" s="2">
        <v>32.380000000000003</v>
      </c>
      <c r="BM2516" s="2">
        <v>4.53</v>
      </c>
      <c r="BN2516" s="2">
        <v>36.909999999999997</v>
      </c>
      <c r="BO2516" s="2">
        <v>36.909999999999997</v>
      </c>
      <c r="BP2516" s="2"/>
      <c r="BQ2516" s="2" t="s">
        <v>288</v>
      </c>
      <c r="BR2516" s="2" t="s">
        <v>84</v>
      </c>
      <c r="BS2516" s="3">
        <v>42970</v>
      </c>
      <c r="BT2516" s="4">
        <v>0.35486111111111113</v>
      </c>
      <c r="BU2516" s="2" t="s">
        <v>2947</v>
      </c>
      <c r="BV2516" s="2" t="s">
        <v>95</v>
      </c>
      <c r="BW2516" s="2"/>
      <c r="BX2516" s="2"/>
      <c r="BY2516" s="2">
        <v>8686.7999999999993</v>
      </c>
      <c r="BZ2516" s="2"/>
      <c r="CA2516" s="2" t="s">
        <v>194</v>
      </c>
      <c r="CB2516" s="2"/>
      <c r="CC2516" s="2" t="s">
        <v>75</v>
      </c>
      <c r="CD2516" s="2">
        <v>1666</v>
      </c>
      <c r="CE2516" s="2" t="s">
        <v>89</v>
      </c>
      <c r="CF2516" s="5">
        <v>42971</v>
      </c>
      <c r="CG2516" s="2"/>
      <c r="CH2516" s="2"/>
      <c r="CI2516" s="2">
        <v>1</v>
      </c>
      <c r="CJ2516" s="2">
        <v>1</v>
      </c>
      <c r="CK2516" s="2">
        <v>22</v>
      </c>
      <c r="CL2516" s="2" t="s">
        <v>86</v>
      </c>
      <c r="CM2516" s="2"/>
    </row>
    <row r="2517" spans="1:91">
      <c r="A2517" s="2" t="s">
        <v>71</v>
      </c>
      <c r="B2517" s="2" t="s">
        <v>72</v>
      </c>
      <c r="C2517" s="2" t="s">
        <v>73</v>
      </c>
      <c r="D2517" s="2"/>
      <c r="E2517" s="2" t="str">
        <f>"FES1162570541"</f>
        <v>FES1162570541</v>
      </c>
      <c r="F2517" s="3">
        <v>42969</v>
      </c>
      <c r="G2517" s="2">
        <v>201802</v>
      </c>
      <c r="H2517" s="2" t="s">
        <v>74</v>
      </c>
      <c r="I2517" s="2" t="s">
        <v>75</v>
      </c>
      <c r="J2517" s="2" t="s">
        <v>76</v>
      </c>
      <c r="K2517" s="2" t="s">
        <v>77</v>
      </c>
      <c r="L2517" s="2" t="s">
        <v>144</v>
      </c>
      <c r="M2517" s="2" t="s">
        <v>145</v>
      </c>
      <c r="N2517" s="2" t="s">
        <v>146</v>
      </c>
      <c r="O2517" s="2" t="s">
        <v>100</v>
      </c>
      <c r="P2517" s="2" t="str">
        <f>"2170583895                    "</f>
        <v xml:space="preserve">2170583895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3.13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1</v>
      </c>
      <c r="BJ2517" s="2">
        <v>0.2</v>
      </c>
      <c r="BK2517" s="2">
        <v>1</v>
      </c>
      <c r="BL2517" s="2">
        <v>32.380000000000003</v>
      </c>
      <c r="BM2517" s="2">
        <v>4.53</v>
      </c>
      <c r="BN2517" s="2">
        <v>36.909999999999997</v>
      </c>
      <c r="BO2517" s="2">
        <v>36.909999999999997</v>
      </c>
      <c r="BP2517" s="2"/>
      <c r="BQ2517" s="2" t="s">
        <v>83</v>
      </c>
      <c r="BR2517" s="2" t="s">
        <v>84</v>
      </c>
      <c r="BS2517" s="3">
        <v>42970</v>
      </c>
      <c r="BT2517" s="4">
        <v>0.39930555555555558</v>
      </c>
      <c r="BU2517" s="2" t="s">
        <v>728</v>
      </c>
      <c r="BV2517" s="2" t="s">
        <v>95</v>
      </c>
      <c r="BW2517" s="2"/>
      <c r="BX2517" s="2"/>
      <c r="BY2517" s="2">
        <v>1200</v>
      </c>
      <c r="BZ2517" s="2"/>
      <c r="CA2517" s="2" t="s">
        <v>729</v>
      </c>
      <c r="CB2517" s="2"/>
      <c r="CC2517" s="2" t="s">
        <v>145</v>
      </c>
      <c r="CD2517" s="2">
        <v>2094</v>
      </c>
      <c r="CE2517" s="2" t="s">
        <v>104</v>
      </c>
      <c r="CF2517" s="5">
        <v>42971</v>
      </c>
      <c r="CG2517" s="2"/>
      <c r="CH2517" s="2"/>
      <c r="CI2517" s="2">
        <v>1</v>
      </c>
      <c r="CJ2517" s="2">
        <v>1</v>
      </c>
      <c r="CK2517" s="2">
        <v>22</v>
      </c>
      <c r="CL2517" s="2" t="s">
        <v>86</v>
      </c>
      <c r="CM2517" s="2"/>
    </row>
    <row r="2518" spans="1:91">
      <c r="A2518" s="2" t="s">
        <v>71</v>
      </c>
      <c r="B2518" s="2" t="s">
        <v>72</v>
      </c>
      <c r="C2518" s="2" t="s">
        <v>73</v>
      </c>
      <c r="D2518" s="2"/>
      <c r="E2518" s="2" t="str">
        <f>"FES1162570600"</f>
        <v>FES1162570600</v>
      </c>
      <c r="F2518" s="3">
        <v>42969</v>
      </c>
      <c r="G2518" s="2">
        <v>201802</v>
      </c>
      <c r="H2518" s="2" t="s">
        <v>74</v>
      </c>
      <c r="I2518" s="2" t="s">
        <v>75</v>
      </c>
      <c r="J2518" s="2" t="s">
        <v>76</v>
      </c>
      <c r="K2518" s="2" t="s">
        <v>77</v>
      </c>
      <c r="L2518" s="2" t="s">
        <v>339</v>
      </c>
      <c r="M2518" s="2" t="s">
        <v>340</v>
      </c>
      <c r="N2518" s="2" t="s">
        <v>2948</v>
      </c>
      <c r="O2518" s="2" t="s">
        <v>100</v>
      </c>
      <c r="P2518" s="2" t="str">
        <f>"2170586347                    "</f>
        <v xml:space="preserve">2170586347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4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1</v>
      </c>
      <c r="BJ2518" s="2">
        <v>0.2</v>
      </c>
      <c r="BK2518" s="2">
        <v>1</v>
      </c>
      <c r="BL2518" s="2">
        <v>41.44</v>
      </c>
      <c r="BM2518" s="2">
        <v>5.8</v>
      </c>
      <c r="BN2518" s="2">
        <v>47.24</v>
      </c>
      <c r="BO2518" s="2">
        <v>47.24</v>
      </c>
      <c r="BP2518" s="2"/>
      <c r="BQ2518" s="2" t="s">
        <v>83</v>
      </c>
      <c r="BR2518" s="2" t="s">
        <v>84</v>
      </c>
      <c r="BS2518" s="3">
        <v>42970</v>
      </c>
      <c r="BT2518" s="4">
        <v>0.33819444444444446</v>
      </c>
      <c r="BU2518" s="2" t="s">
        <v>2949</v>
      </c>
      <c r="BV2518" s="2" t="s">
        <v>95</v>
      </c>
      <c r="BW2518" s="2"/>
      <c r="BX2518" s="2"/>
      <c r="BY2518" s="2">
        <v>1200</v>
      </c>
      <c r="BZ2518" s="2"/>
      <c r="CA2518" s="2" t="s">
        <v>2236</v>
      </c>
      <c r="CB2518" s="2"/>
      <c r="CC2518" s="2" t="s">
        <v>340</v>
      </c>
      <c r="CD2518" s="2">
        <v>1947</v>
      </c>
      <c r="CE2518" s="2" t="s">
        <v>104</v>
      </c>
      <c r="CF2518" s="5">
        <v>42971</v>
      </c>
      <c r="CG2518" s="2"/>
      <c r="CH2518" s="2"/>
      <c r="CI2518" s="2">
        <v>1</v>
      </c>
      <c r="CJ2518" s="2">
        <v>1</v>
      </c>
      <c r="CK2518" s="2">
        <v>21</v>
      </c>
      <c r="CL2518" s="2" t="s">
        <v>86</v>
      </c>
      <c r="CM2518" s="2"/>
    </row>
    <row r="2519" spans="1:91">
      <c r="A2519" s="2" t="s">
        <v>71</v>
      </c>
      <c r="B2519" s="2" t="s">
        <v>72</v>
      </c>
      <c r="C2519" s="2" t="s">
        <v>73</v>
      </c>
      <c r="D2519" s="2"/>
      <c r="E2519" s="2" t="str">
        <f>"FES1162570633"</f>
        <v>FES1162570633</v>
      </c>
      <c r="F2519" s="3">
        <v>42969</v>
      </c>
      <c r="G2519" s="2">
        <v>201802</v>
      </c>
      <c r="H2519" s="2" t="s">
        <v>74</v>
      </c>
      <c r="I2519" s="2" t="s">
        <v>75</v>
      </c>
      <c r="J2519" s="2" t="s">
        <v>76</v>
      </c>
      <c r="K2519" s="2" t="s">
        <v>77</v>
      </c>
      <c r="L2519" s="2" t="s">
        <v>237</v>
      </c>
      <c r="M2519" s="2" t="s">
        <v>238</v>
      </c>
      <c r="N2519" s="2" t="s">
        <v>695</v>
      </c>
      <c r="O2519" s="2" t="s">
        <v>100</v>
      </c>
      <c r="P2519" s="2" t="str">
        <f>"2170586392                    "</f>
        <v xml:space="preserve">2170586392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4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1</v>
      </c>
      <c r="BI2519" s="2">
        <v>1</v>
      </c>
      <c r="BJ2519" s="2">
        <v>0.2</v>
      </c>
      <c r="BK2519" s="2">
        <v>1</v>
      </c>
      <c r="BL2519" s="2">
        <v>41.44</v>
      </c>
      <c r="BM2519" s="2">
        <v>5.8</v>
      </c>
      <c r="BN2519" s="2">
        <v>47.24</v>
      </c>
      <c r="BO2519" s="2">
        <v>47.24</v>
      </c>
      <c r="BP2519" s="2"/>
      <c r="BQ2519" s="2" t="s">
        <v>209</v>
      </c>
      <c r="BR2519" s="2" t="s">
        <v>84</v>
      </c>
      <c r="BS2519" s="3">
        <v>42970</v>
      </c>
      <c r="BT2519" s="4">
        <v>0.37013888888888885</v>
      </c>
      <c r="BU2519" s="2" t="s">
        <v>109</v>
      </c>
      <c r="BV2519" s="2" t="s">
        <v>95</v>
      </c>
      <c r="BW2519" s="2"/>
      <c r="BX2519" s="2"/>
      <c r="BY2519" s="2">
        <v>1200</v>
      </c>
      <c r="BZ2519" s="2"/>
      <c r="CA2519" s="2" t="s">
        <v>389</v>
      </c>
      <c r="CB2519" s="2"/>
      <c r="CC2519" s="2" t="s">
        <v>238</v>
      </c>
      <c r="CD2519" s="2">
        <v>3600</v>
      </c>
      <c r="CE2519" s="2" t="s">
        <v>104</v>
      </c>
      <c r="CF2519" s="5">
        <v>42971</v>
      </c>
      <c r="CG2519" s="2"/>
      <c r="CH2519" s="2"/>
      <c r="CI2519" s="2">
        <v>1</v>
      </c>
      <c r="CJ2519" s="2">
        <v>1</v>
      </c>
      <c r="CK2519" s="2">
        <v>21</v>
      </c>
      <c r="CL2519" s="2" t="s">
        <v>86</v>
      </c>
      <c r="CM2519" s="2"/>
    </row>
    <row r="2520" spans="1:91">
      <c r="A2520" s="2" t="s">
        <v>71</v>
      </c>
      <c r="B2520" s="2" t="s">
        <v>72</v>
      </c>
      <c r="C2520" s="2" t="s">
        <v>73</v>
      </c>
      <c r="D2520" s="2"/>
      <c r="E2520" s="2" t="str">
        <f>"FES1162570634"</f>
        <v>FES1162570634</v>
      </c>
      <c r="F2520" s="3">
        <v>42969</v>
      </c>
      <c r="G2520" s="2">
        <v>201802</v>
      </c>
      <c r="H2520" s="2" t="s">
        <v>74</v>
      </c>
      <c r="I2520" s="2" t="s">
        <v>75</v>
      </c>
      <c r="J2520" s="2" t="s">
        <v>76</v>
      </c>
      <c r="K2520" s="2" t="s">
        <v>77</v>
      </c>
      <c r="L2520" s="2" t="s">
        <v>244</v>
      </c>
      <c r="M2520" s="2" t="s">
        <v>245</v>
      </c>
      <c r="N2520" s="2" t="s">
        <v>246</v>
      </c>
      <c r="O2520" s="2" t="s">
        <v>100</v>
      </c>
      <c r="P2520" s="2" t="str">
        <f>"2170586393                    "</f>
        <v xml:space="preserve">2170586393  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3.13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1</v>
      </c>
      <c r="BI2520" s="2">
        <v>1</v>
      </c>
      <c r="BJ2520" s="2">
        <v>0.2</v>
      </c>
      <c r="BK2520" s="2">
        <v>1</v>
      </c>
      <c r="BL2520" s="2">
        <v>32.380000000000003</v>
      </c>
      <c r="BM2520" s="2">
        <v>4.53</v>
      </c>
      <c r="BN2520" s="2">
        <v>36.909999999999997</v>
      </c>
      <c r="BO2520" s="2">
        <v>36.909999999999997</v>
      </c>
      <c r="BP2520" s="2"/>
      <c r="BQ2520" s="2" t="s">
        <v>209</v>
      </c>
      <c r="BR2520" s="2" t="s">
        <v>84</v>
      </c>
      <c r="BS2520" s="3">
        <v>42971</v>
      </c>
      <c r="BT2520" s="4">
        <v>0.46388888888888885</v>
      </c>
      <c r="BU2520" s="2" t="s">
        <v>2901</v>
      </c>
      <c r="BV2520" s="2" t="s">
        <v>86</v>
      </c>
      <c r="BW2520" s="2" t="s">
        <v>124</v>
      </c>
      <c r="BX2520" s="2" t="s">
        <v>498</v>
      </c>
      <c r="BY2520" s="2">
        <v>1200</v>
      </c>
      <c r="BZ2520" s="2"/>
      <c r="CA2520" s="2" t="s">
        <v>2902</v>
      </c>
      <c r="CB2520" s="2"/>
      <c r="CC2520" s="2" t="s">
        <v>245</v>
      </c>
      <c r="CD2520" s="2">
        <v>1459</v>
      </c>
      <c r="CE2520" s="2" t="s">
        <v>104</v>
      </c>
      <c r="CF2520" s="5">
        <v>42972</v>
      </c>
      <c r="CG2520" s="2"/>
      <c r="CH2520" s="2"/>
      <c r="CI2520" s="2">
        <v>1</v>
      </c>
      <c r="CJ2520" s="2">
        <v>2</v>
      </c>
      <c r="CK2520" s="2">
        <v>22</v>
      </c>
      <c r="CL2520" s="2" t="s">
        <v>86</v>
      </c>
      <c r="CM2520" s="2"/>
    </row>
    <row r="2521" spans="1:91">
      <c r="A2521" s="2" t="s">
        <v>71</v>
      </c>
      <c r="B2521" s="2" t="s">
        <v>72</v>
      </c>
      <c r="C2521" s="2" t="s">
        <v>73</v>
      </c>
      <c r="D2521" s="2"/>
      <c r="E2521" s="2" t="str">
        <f>"FES1162570624"</f>
        <v>FES1162570624</v>
      </c>
      <c r="F2521" s="3">
        <v>42969</v>
      </c>
      <c r="G2521" s="2">
        <v>201802</v>
      </c>
      <c r="H2521" s="2" t="s">
        <v>74</v>
      </c>
      <c r="I2521" s="2" t="s">
        <v>75</v>
      </c>
      <c r="J2521" s="2" t="s">
        <v>76</v>
      </c>
      <c r="K2521" s="2" t="s">
        <v>77</v>
      </c>
      <c r="L2521" s="2" t="s">
        <v>1202</v>
      </c>
      <c r="M2521" s="2" t="s">
        <v>1203</v>
      </c>
      <c r="N2521" s="2" t="s">
        <v>2883</v>
      </c>
      <c r="O2521" s="2" t="s">
        <v>100</v>
      </c>
      <c r="P2521" s="2" t="str">
        <f>"2170586371                    "</f>
        <v xml:space="preserve">2170586371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3.13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1</v>
      </c>
      <c r="BI2521" s="2">
        <v>0.8</v>
      </c>
      <c r="BJ2521" s="2">
        <v>0.9</v>
      </c>
      <c r="BK2521" s="2">
        <v>1</v>
      </c>
      <c r="BL2521" s="2">
        <v>32.380000000000003</v>
      </c>
      <c r="BM2521" s="2">
        <v>4.53</v>
      </c>
      <c r="BN2521" s="2">
        <v>36.909999999999997</v>
      </c>
      <c r="BO2521" s="2">
        <v>36.909999999999997</v>
      </c>
      <c r="BP2521" s="2"/>
      <c r="BQ2521" s="2" t="s">
        <v>288</v>
      </c>
      <c r="BR2521" s="2" t="s">
        <v>84</v>
      </c>
      <c r="BS2521" s="3">
        <v>42970</v>
      </c>
      <c r="BT2521" s="4">
        <v>0.30138888888888887</v>
      </c>
      <c r="BU2521" s="2" t="s">
        <v>2884</v>
      </c>
      <c r="BV2521" s="2" t="s">
        <v>95</v>
      </c>
      <c r="BW2521" s="2"/>
      <c r="BX2521" s="2"/>
      <c r="BY2521" s="2">
        <v>4406.3999999999996</v>
      </c>
      <c r="BZ2521" s="2"/>
      <c r="CA2521" s="2" t="s">
        <v>499</v>
      </c>
      <c r="CB2521" s="2"/>
      <c r="CC2521" s="2" t="s">
        <v>1203</v>
      </c>
      <c r="CD2521" s="2">
        <v>1508</v>
      </c>
      <c r="CE2521" s="2" t="s">
        <v>89</v>
      </c>
      <c r="CF2521" s="5">
        <v>42971</v>
      </c>
      <c r="CG2521" s="2"/>
      <c r="CH2521" s="2"/>
      <c r="CI2521" s="2">
        <v>1</v>
      </c>
      <c r="CJ2521" s="2">
        <v>1</v>
      </c>
      <c r="CK2521" s="2">
        <v>22</v>
      </c>
      <c r="CL2521" s="2" t="s">
        <v>86</v>
      </c>
      <c r="CM2521" s="2"/>
    </row>
    <row r="2522" spans="1:91">
      <c r="A2522" s="2" t="s">
        <v>71</v>
      </c>
      <c r="B2522" s="2" t="s">
        <v>72</v>
      </c>
      <c r="C2522" s="2" t="s">
        <v>73</v>
      </c>
      <c r="D2522" s="2"/>
      <c r="E2522" s="2" t="str">
        <f>"FES1162570655"</f>
        <v>FES1162570655</v>
      </c>
      <c r="F2522" s="3">
        <v>42969</v>
      </c>
      <c r="G2522" s="2">
        <v>201802</v>
      </c>
      <c r="H2522" s="2" t="s">
        <v>74</v>
      </c>
      <c r="I2522" s="2" t="s">
        <v>75</v>
      </c>
      <c r="J2522" s="2" t="s">
        <v>76</v>
      </c>
      <c r="K2522" s="2" t="s">
        <v>77</v>
      </c>
      <c r="L2522" s="2" t="s">
        <v>244</v>
      </c>
      <c r="M2522" s="2" t="s">
        <v>245</v>
      </c>
      <c r="N2522" s="2" t="s">
        <v>246</v>
      </c>
      <c r="O2522" s="2" t="s">
        <v>100</v>
      </c>
      <c r="P2522" s="2" t="str">
        <f>"2170586184                    "</f>
        <v xml:space="preserve">2170586184 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3.13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1</v>
      </c>
      <c r="BJ2522" s="2">
        <v>0.2</v>
      </c>
      <c r="BK2522" s="2">
        <v>1</v>
      </c>
      <c r="BL2522" s="2">
        <v>32.380000000000003</v>
      </c>
      <c r="BM2522" s="2">
        <v>4.53</v>
      </c>
      <c r="BN2522" s="2">
        <v>36.909999999999997</v>
      </c>
      <c r="BO2522" s="2">
        <v>36.909999999999997</v>
      </c>
      <c r="BP2522" s="2"/>
      <c r="BQ2522" s="2" t="s">
        <v>209</v>
      </c>
      <c r="BR2522" s="2" t="s">
        <v>84</v>
      </c>
      <c r="BS2522" s="3">
        <v>42971</v>
      </c>
      <c r="BT2522" s="4">
        <v>0.39652777777777781</v>
      </c>
      <c r="BU2522" s="2" t="s">
        <v>2623</v>
      </c>
      <c r="BV2522" s="2" t="s">
        <v>86</v>
      </c>
      <c r="BW2522" s="2" t="s">
        <v>124</v>
      </c>
      <c r="BX2522" s="2" t="s">
        <v>498</v>
      </c>
      <c r="BY2522" s="2">
        <v>1200</v>
      </c>
      <c r="BZ2522" s="2"/>
      <c r="CA2522" s="2"/>
      <c r="CB2522" s="2"/>
      <c r="CC2522" s="2" t="s">
        <v>245</v>
      </c>
      <c r="CD2522" s="2">
        <v>1459</v>
      </c>
      <c r="CE2522" s="2" t="s">
        <v>104</v>
      </c>
      <c r="CF2522" s="5">
        <v>42972</v>
      </c>
      <c r="CG2522" s="2"/>
      <c r="CH2522" s="2"/>
      <c r="CI2522" s="2">
        <v>1</v>
      </c>
      <c r="CJ2522" s="2">
        <v>2</v>
      </c>
      <c r="CK2522" s="2">
        <v>22</v>
      </c>
      <c r="CL2522" s="2" t="s">
        <v>86</v>
      </c>
      <c r="CM2522" s="2"/>
    </row>
    <row r="2523" spans="1:91">
      <c r="A2523" s="2" t="s">
        <v>71</v>
      </c>
      <c r="B2523" s="2" t="s">
        <v>72</v>
      </c>
      <c r="C2523" s="2" t="s">
        <v>73</v>
      </c>
      <c r="D2523" s="2"/>
      <c r="E2523" s="2" t="str">
        <f>"FES1162570694"</f>
        <v>FES1162570694</v>
      </c>
      <c r="F2523" s="3">
        <v>42969</v>
      </c>
      <c r="G2523" s="2">
        <v>201802</v>
      </c>
      <c r="H2523" s="2" t="s">
        <v>74</v>
      </c>
      <c r="I2523" s="2" t="s">
        <v>75</v>
      </c>
      <c r="J2523" s="2" t="s">
        <v>76</v>
      </c>
      <c r="K2523" s="2" t="s">
        <v>77</v>
      </c>
      <c r="L2523" s="2" t="s">
        <v>244</v>
      </c>
      <c r="M2523" s="2" t="s">
        <v>245</v>
      </c>
      <c r="N2523" s="2" t="s">
        <v>2950</v>
      </c>
      <c r="O2523" s="2" t="s">
        <v>100</v>
      </c>
      <c r="P2523" s="2" t="str">
        <f>"2170586465                    "</f>
        <v xml:space="preserve">2170586465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4.63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1</v>
      </c>
      <c r="BI2523" s="2">
        <v>7</v>
      </c>
      <c r="BJ2523" s="2">
        <v>11.1</v>
      </c>
      <c r="BK2523" s="2">
        <v>12</v>
      </c>
      <c r="BL2523" s="2">
        <v>47.92</v>
      </c>
      <c r="BM2523" s="2">
        <v>6.71</v>
      </c>
      <c r="BN2523" s="2">
        <v>54.63</v>
      </c>
      <c r="BO2523" s="2">
        <v>54.63</v>
      </c>
      <c r="BP2523" s="2"/>
      <c r="BQ2523" s="2" t="s">
        <v>288</v>
      </c>
      <c r="BR2523" s="2" t="s">
        <v>84</v>
      </c>
      <c r="BS2523" s="3">
        <v>42970</v>
      </c>
      <c r="BT2523" s="4">
        <v>0.375</v>
      </c>
      <c r="BU2523" s="2" t="s">
        <v>2951</v>
      </c>
      <c r="BV2523" s="2" t="s">
        <v>95</v>
      </c>
      <c r="BW2523" s="2"/>
      <c r="BX2523" s="2"/>
      <c r="BY2523" s="2">
        <v>55296</v>
      </c>
      <c r="BZ2523" s="2"/>
      <c r="CA2523" s="2" t="s">
        <v>733</v>
      </c>
      <c r="CB2523" s="2"/>
      <c r="CC2523" s="2" t="s">
        <v>245</v>
      </c>
      <c r="CD2523" s="2">
        <v>1469</v>
      </c>
      <c r="CE2523" s="2" t="s">
        <v>89</v>
      </c>
      <c r="CF2523" s="5">
        <v>42971</v>
      </c>
      <c r="CG2523" s="2"/>
      <c r="CH2523" s="2"/>
      <c r="CI2523" s="2">
        <v>1</v>
      </c>
      <c r="CJ2523" s="2">
        <v>1</v>
      </c>
      <c r="CK2523" s="2">
        <v>22</v>
      </c>
      <c r="CL2523" s="2" t="s">
        <v>86</v>
      </c>
      <c r="CM2523" s="2"/>
    </row>
    <row r="2524" spans="1:91">
      <c r="A2524" s="2" t="s">
        <v>71</v>
      </c>
      <c r="B2524" s="2" t="s">
        <v>72</v>
      </c>
      <c r="C2524" s="2" t="s">
        <v>73</v>
      </c>
      <c r="D2524" s="2"/>
      <c r="E2524" s="2" t="str">
        <f>"FES1162570687"</f>
        <v>FES1162570687</v>
      </c>
      <c r="F2524" s="3">
        <v>42969</v>
      </c>
      <c r="G2524" s="2">
        <v>201802</v>
      </c>
      <c r="H2524" s="2" t="s">
        <v>74</v>
      </c>
      <c r="I2524" s="2" t="s">
        <v>75</v>
      </c>
      <c r="J2524" s="2" t="s">
        <v>76</v>
      </c>
      <c r="K2524" s="2" t="s">
        <v>77</v>
      </c>
      <c r="L2524" s="2" t="s">
        <v>170</v>
      </c>
      <c r="M2524" s="2" t="s">
        <v>171</v>
      </c>
      <c r="N2524" s="2" t="s">
        <v>172</v>
      </c>
      <c r="O2524" s="2" t="s">
        <v>100</v>
      </c>
      <c r="P2524" s="2" t="str">
        <f>"2170586202                    "</f>
        <v xml:space="preserve">2170586202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3.13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2.8</v>
      </c>
      <c r="BJ2524" s="2">
        <v>1.1000000000000001</v>
      </c>
      <c r="BK2524" s="2">
        <v>3</v>
      </c>
      <c r="BL2524" s="2">
        <v>32.380000000000003</v>
      </c>
      <c r="BM2524" s="2">
        <v>4.53</v>
      </c>
      <c r="BN2524" s="2">
        <v>36.909999999999997</v>
      </c>
      <c r="BO2524" s="2">
        <v>36.909999999999997</v>
      </c>
      <c r="BP2524" s="2"/>
      <c r="BQ2524" s="2" t="s">
        <v>288</v>
      </c>
      <c r="BR2524" s="2" t="s">
        <v>84</v>
      </c>
      <c r="BS2524" s="3">
        <v>42970</v>
      </c>
      <c r="BT2524" s="4">
        <v>0.4375</v>
      </c>
      <c r="BU2524" s="2" t="s">
        <v>173</v>
      </c>
      <c r="BV2524" s="2" t="s">
        <v>95</v>
      </c>
      <c r="BW2524" s="2"/>
      <c r="BX2524" s="2"/>
      <c r="BY2524" s="2">
        <v>5630.63</v>
      </c>
      <c r="BZ2524" s="2"/>
      <c r="CA2524" s="2"/>
      <c r="CB2524" s="2"/>
      <c r="CC2524" s="2" t="s">
        <v>171</v>
      </c>
      <c r="CD2524" s="2">
        <v>1401</v>
      </c>
      <c r="CE2524" s="2" t="s">
        <v>89</v>
      </c>
      <c r="CF2524" s="5">
        <v>42971</v>
      </c>
      <c r="CG2524" s="2"/>
      <c r="CH2524" s="2"/>
      <c r="CI2524" s="2">
        <v>1</v>
      </c>
      <c r="CJ2524" s="2">
        <v>1</v>
      </c>
      <c r="CK2524" s="2">
        <v>22</v>
      </c>
      <c r="CL2524" s="2" t="s">
        <v>86</v>
      </c>
      <c r="CM2524" s="2"/>
    </row>
    <row r="2525" spans="1:91">
      <c r="A2525" s="2" t="s">
        <v>71</v>
      </c>
      <c r="B2525" s="2" t="s">
        <v>72</v>
      </c>
      <c r="C2525" s="2" t="s">
        <v>73</v>
      </c>
      <c r="D2525" s="2"/>
      <c r="E2525" s="2" t="str">
        <f>"FES1162570642"</f>
        <v>FES1162570642</v>
      </c>
      <c r="F2525" s="3">
        <v>42969</v>
      </c>
      <c r="G2525" s="2">
        <v>201802</v>
      </c>
      <c r="H2525" s="2" t="s">
        <v>74</v>
      </c>
      <c r="I2525" s="2" t="s">
        <v>75</v>
      </c>
      <c r="J2525" s="2" t="s">
        <v>76</v>
      </c>
      <c r="K2525" s="2" t="s">
        <v>77</v>
      </c>
      <c r="L2525" s="2" t="s">
        <v>105</v>
      </c>
      <c r="M2525" s="2" t="s">
        <v>106</v>
      </c>
      <c r="N2525" s="2" t="s">
        <v>486</v>
      </c>
      <c r="O2525" s="2" t="s">
        <v>100</v>
      </c>
      <c r="P2525" s="2" t="str">
        <f>"2170586386                    "</f>
        <v xml:space="preserve">2170586386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7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3.2</v>
      </c>
      <c r="BJ2525" s="2">
        <v>1.4</v>
      </c>
      <c r="BK2525" s="2">
        <v>3.5</v>
      </c>
      <c r="BL2525" s="2">
        <v>72.52</v>
      </c>
      <c r="BM2525" s="2">
        <v>10.15</v>
      </c>
      <c r="BN2525" s="2">
        <v>82.67</v>
      </c>
      <c r="BO2525" s="2">
        <v>82.67</v>
      </c>
      <c r="BP2525" s="2"/>
      <c r="BQ2525" s="2" t="s">
        <v>108</v>
      </c>
      <c r="BR2525" s="2" t="s">
        <v>84</v>
      </c>
      <c r="BS2525" s="3">
        <v>42970</v>
      </c>
      <c r="BT2525" s="4">
        <v>0.48888888888888887</v>
      </c>
      <c r="BU2525" s="2" t="s">
        <v>2952</v>
      </c>
      <c r="BV2525" s="2" t="s">
        <v>86</v>
      </c>
      <c r="BW2525" s="2" t="s">
        <v>110</v>
      </c>
      <c r="BX2525" s="2" t="s">
        <v>111</v>
      </c>
      <c r="BY2525" s="2">
        <v>7047.04</v>
      </c>
      <c r="BZ2525" s="2"/>
      <c r="CA2525" s="2" t="s">
        <v>2626</v>
      </c>
      <c r="CB2525" s="2"/>
      <c r="CC2525" s="2" t="s">
        <v>106</v>
      </c>
      <c r="CD2525" s="2">
        <v>7441</v>
      </c>
      <c r="CE2525" s="2" t="s">
        <v>89</v>
      </c>
      <c r="CF2525" s="5">
        <v>42970</v>
      </c>
      <c r="CG2525" s="2"/>
      <c r="CH2525" s="2"/>
      <c r="CI2525" s="2">
        <v>1</v>
      </c>
      <c r="CJ2525" s="2">
        <v>1</v>
      </c>
      <c r="CK2525" s="2">
        <v>21</v>
      </c>
      <c r="CL2525" s="2" t="s">
        <v>86</v>
      </c>
      <c r="CM2525" s="2"/>
    </row>
    <row r="2526" spans="1:91">
      <c r="A2526" s="2" t="s">
        <v>71</v>
      </c>
      <c r="B2526" s="2" t="s">
        <v>72</v>
      </c>
      <c r="C2526" s="2" t="s">
        <v>73</v>
      </c>
      <c r="D2526" s="2"/>
      <c r="E2526" s="2" t="str">
        <f>"FES1162570574"</f>
        <v>FES1162570574</v>
      </c>
      <c r="F2526" s="3">
        <v>42969</v>
      </c>
      <c r="G2526" s="2">
        <v>201802</v>
      </c>
      <c r="H2526" s="2" t="s">
        <v>74</v>
      </c>
      <c r="I2526" s="2" t="s">
        <v>75</v>
      </c>
      <c r="J2526" s="2" t="s">
        <v>76</v>
      </c>
      <c r="K2526" s="2" t="s">
        <v>77</v>
      </c>
      <c r="L2526" s="2" t="s">
        <v>417</v>
      </c>
      <c r="M2526" s="2" t="s">
        <v>417</v>
      </c>
      <c r="N2526" s="2" t="s">
        <v>475</v>
      </c>
      <c r="O2526" s="2" t="s">
        <v>100</v>
      </c>
      <c r="P2526" s="2" t="str">
        <f>"2170586312                    "</f>
        <v xml:space="preserve">2170586312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7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1</v>
      </c>
      <c r="BI2526" s="2">
        <v>3.5</v>
      </c>
      <c r="BJ2526" s="2">
        <v>1</v>
      </c>
      <c r="BK2526" s="2">
        <v>3.5</v>
      </c>
      <c r="BL2526" s="2">
        <v>72.52</v>
      </c>
      <c r="BM2526" s="2">
        <v>10.15</v>
      </c>
      <c r="BN2526" s="2">
        <v>82.67</v>
      </c>
      <c r="BO2526" s="2">
        <v>82.67</v>
      </c>
      <c r="BP2526" s="2"/>
      <c r="BQ2526" s="2" t="s">
        <v>108</v>
      </c>
      <c r="BR2526" s="2" t="s">
        <v>84</v>
      </c>
      <c r="BS2526" s="3">
        <v>42970</v>
      </c>
      <c r="BT2526" s="4">
        <v>0.45763888888888887</v>
      </c>
      <c r="BU2526" s="2" t="s">
        <v>2928</v>
      </c>
      <c r="BV2526" s="2" t="s">
        <v>95</v>
      </c>
      <c r="BW2526" s="2"/>
      <c r="BX2526" s="2"/>
      <c r="BY2526" s="2">
        <v>5249.6</v>
      </c>
      <c r="BZ2526" s="2"/>
      <c r="CA2526" s="2" t="s">
        <v>420</v>
      </c>
      <c r="CB2526" s="2"/>
      <c r="CC2526" s="2" t="s">
        <v>417</v>
      </c>
      <c r="CD2526" s="2">
        <v>7646</v>
      </c>
      <c r="CE2526" s="2" t="s">
        <v>89</v>
      </c>
      <c r="CF2526" s="5">
        <v>42970</v>
      </c>
      <c r="CG2526" s="2"/>
      <c r="CH2526" s="2"/>
      <c r="CI2526" s="2">
        <v>1</v>
      </c>
      <c r="CJ2526" s="2">
        <v>1</v>
      </c>
      <c r="CK2526" s="2">
        <v>21</v>
      </c>
      <c r="CL2526" s="2" t="s">
        <v>86</v>
      </c>
      <c r="CM2526" s="2"/>
    </row>
    <row r="2527" spans="1:91">
      <c r="A2527" s="2" t="s">
        <v>71</v>
      </c>
      <c r="B2527" s="2" t="s">
        <v>72</v>
      </c>
      <c r="C2527" s="2" t="s">
        <v>73</v>
      </c>
      <c r="D2527" s="2"/>
      <c r="E2527" s="2" t="str">
        <f>"FES1162570635"</f>
        <v>FES1162570635</v>
      </c>
      <c r="F2527" s="3">
        <v>42969</v>
      </c>
      <c r="G2527" s="2">
        <v>201802</v>
      </c>
      <c r="H2527" s="2" t="s">
        <v>74</v>
      </c>
      <c r="I2527" s="2" t="s">
        <v>75</v>
      </c>
      <c r="J2527" s="2" t="s">
        <v>76</v>
      </c>
      <c r="K2527" s="2" t="s">
        <v>77</v>
      </c>
      <c r="L2527" s="2" t="s">
        <v>105</v>
      </c>
      <c r="M2527" s="2" t="s">
        <v>106</v>
      </c>
      <c r="N2527" s="2" t="s">
        <v>2953</v>
      </c>
      <c r="O2527" s="2" t="s">
        <v>100</v>
      </c>
      <c r="P2527" s="2" t="str">
        <f>"2170586389                    "</f>
        <v xml:space="preserve">2170586389  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15.01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7.2</v>
      </c>
      <c r="BJ2527" s="2">
        <v>3.2</v>
      </c>
      <c r="BK2527" s="2">
        <v>7.5</v>
      </c>
      <c r="BL2527" s="2">
        <v>155.41</v>
      </c>
      <c r="BM2527" s="2">
        <v>21.76</v>
      </c>
      <c r="BN2527" s="2">
        <v>177.17</v>
      </c>
      <c r="BO2527" s="2">
        <v>177.17</v>
      </c>
      <c r="BP2527" s="2"/>
      <c r="BQ2527" s="2" t="s">
        <v>108</v>
      </c>
      <c r="BR2527" s="2" t="s">
        <v>84</v>
      </c>
      <c r="BS2527" s="3">
        <v>42970</v>
      </c>
      <c r="BT2527" s="4">
        <v>0.33888888888888885</v>
      </c>
      <c r="BU2527" s="2" t="s">
        <v>2954</v>
      </c>
      <c r="BV2527" s="2" t="s">
        <v>95</v>
      </c>
      <c r="BW2527" s="2"/>
      <c r="BX2527" s="2"/>
      <c r="BY2527" s="2">
        <v>15897.42</v>
      </c>
      <c r="BZ2527" s="2"/>
      <c r="CA2527" s="2" t="s">
        <v>869</v>
      </c>
      <c r="CB2527" s="2"/>
      <c r="CC2527" s="2" t="s">
        <v>106</v>
      </c>
      <c r="CD2527" s="2">
        <v>7475</v>
      </c>
      <c r="CE2527" s="2" t="s">
        <v>89</v>
      </c>
      <c r="CF2527" s="5">
        <v>42971</v>
      </c>
      <c r="CG2527" s="2"/>
      <c r="CH2527" s="2"/>
      <c r="CI2527" s="2">
        <v>1</v>
      </c>
      <c r="CJ2527" s="2">
        <v>1</v>
      </c>
      <c r="CK2527" s="2">
        <v>21</v>
      </c>
      <c r="CL2527" s="2" t="s">
        <v>86</v>
      </c>
      <c r="CM2527" s="2"/>
    </row>
    <row r="2528" spans="1:91">
      <c r="A2528" s="2" t="s">
        <v>71</v>
      </c>
      <c r="B2528" s="2" t="s">
        <v>72</v>
      </c>
      <c r="C2528" s="2" t="s">
        <v>73</v>
      </c>
      <c r="D2528" s="2"/>
      <c r="E2528" s="2" t="str">
        <f>"FES1162570621"</f>
        <v>FES1162570621</v>
      </c>
      <c r="F2528" s="3">
        <v>42969</v>
      </c>
      <c r="G2528" s="2">
        <v>201802</v>
      </c>
      <c r="H2528" s="2" t="s">
        <v>74</v>
      </c>
      <c r="I2528" s="2" t="s">
        <v>75</v>
      </c>
      <c r="J2528" s="2" t="s">
        <v>76</v>
      </c>
      <c r="K2528" s="2" t="s">
        <v>77</v>
      </c>
      <c r="L2528" s="2" t="s">
        <v>105</v>
      </c>
      <c r="M2528" s="2" t="s">
        <v>106</v>
      </c>
      <c r="N2528" s="2" t="s">
        <v>782</v>
      </c>
      <c r="O2528" s="2" t="s">
        <v>100</v>
      </c>
      <c r="P2528" s="2" t="str">
        <f>"2170586246                    "</f>
        <v xml:space="preserve">2170586246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9.01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2</v>
      </c>
      <c r="BJ2528" s="2">
        <v>4.0999999999999996</v>
      </c>
      <c r="BK2528" s="2">
        <v>4.5</v>
      </c>
      <c r="BL2528" s="2">
        <v>93.25</v>
      </c>
      <c r="BM2528" s="2">
        <v>13.06</v>
      </c>
      <c r="BN2528" s="2">
        <v>106.31</v>
      </c>
      <c r="BO2528" s="2">
        <v>106.31</v>
      </c>
      <c r="BP2528" s="2"/>
      <c r="BQ2528" s="2" t="s">
        <v>108</v>
      </c>
      <c r="BR2528" s="2" t="s">
        <v>84</v>
      </c>
      <c r="BS2528" s="3">
        <v>42970</v>
      </c>
      <c r="BT2528" s="4">
        <v>0.48958333333333331</v>
      </c>
      <c r="BU2528" s="2" t="s">
        <v>2955</v>
      </c>
      <c r="BV2528" s="2" t="s">
        <v>86</v>
      </c>
      <c r="BW2528" s="2" t="s">
        <v>110</v>
      </c>
      <c r="BX2528" s="2" t="s">
        <v>111</v>
      </c>
      <c r="BY2528" s="2">
        <v>20700</v>
      </c>
      <c r="BZ2528" s="2"/>
      <c r="CA2528" s="2" t="s">
        <v>784</v>
      </c>
      <c r="CB2528" s="2"/>
      <c r="CC2528" s="2" t="s">
        <v>106</v>
      </c>
      <c r="CD2528" s="2">
        <v>7802</v>
      </c>
      <c r="CE2528" s="2" t="s">
        <v>135</v>
      </c>
      <c r="CF2528" s="5">
        <v>42970</v>
      </c>
      <c r="CG2528" s="2"/>
      <c r="CH2528" s="2"/>
      <c r="CI2528" s="2">
        <v>1</v>
      </c>
      <c r="CJ2528" s="2">
        <v>1</v>
      </c>
      <c r="CK2528" s="2">
        <v>21</v>
      </c>
      <c r="CL2528" s="2" t="s">
        <v>86</v>
      </c>
      <c r="CM2528" s="2"/>
    </row>
    <row r="2529" spans="1:91">
      <c r="A2529" s="2" t="s">
        <v>71</v>
      </c>
      <c r="B2529" s="2" t="s">
        <v>72</v>
      </c>
      <c r="C2529" s="2" t="s">
        <v>73</v>
      </c>
      <c r="D2529" s="2"/>
      <c r="E2529" s="2" t="str">
        <f>"FES1162570596"</f>
        <v>FES1162570596</v>
      </c>
      <c r="F2529" s="3">
        <v>42969</v>
      </c>
      <c r="G2529" s="2">
        <v>201802</v>
      </c>
      <c r="H2529" s="2" t="s">
        <v>74</v>
      </c>
      <c r="I2529" s="2" t="s">
        <v>75</v>
      </c>
      <c r="J2529" s="2" t="s">
        <v>76</v>
      </c>
      <c r="K2529" s="2" t="s">
        <v>77</v>
      </c>
      <c r="L2529" s="2" t="s">
        <v>237</v>
      </c>
      <c r="M2529" s="2" t="s">
        <v>238</v>
      </c>
      <c r="N2529" s="2" t="s">
        <v>673</v>
      </c>
      <c r="O2529" s="2" t="s">
        <v>100</v>
      </c>
      <c r="P2529" s="2" t="str">
        <f>"2170586340                    "</f>
        <v xml:space="preserve">2170586340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4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1</v>
      </c>
      <c r="BJ2529" s="2">
        <v>0.2</v>
      </c>
      <c r="BK2529" s="2">
        <v>1</v>
      </c>
      <c r="BL2529" s="2">
        <v>41.44</v>
      </c>
      <c r="BM2529" s="2">
        <v>5.8</v>
      </c>
      <c r="BN2529" s="2">
        <v>47.24</v>
      </c>
      <c r="BO2529" s="2">
        <v>47.24</v>
      </c>
      <c r="BP2529" s="2"/>
      <c r="BQ2529" s="2" t="s">
        <v>83</v>
      </c>
      <c r="BR2529" s="2" t="s">
        <v>84</v>
      </c>
      <c r="BS2529" s="3">
        <v>42970</v>
      </c>
      <c r="BT2529" s="4">
        <v>0.42638888888888887</v>
      </c>
      <c r="BU2529" s="2" t="s">
        <v>2956</v>
      </c>
      <c r="BV2529" s="2" t="s">
        <v>95</v>
      </c>
      <c r="BW2529" s="2"/>
      <c r="BX2529" s="2"/>
      <c r="BY2529" s="2">
        <v>1200</v>
      </c>
      <c r="BZ2529" s="2"/>
      <c r="CA2529" s="2" t="s">
        <v>401</v>
      </c>
      <c r="CB2529" s="2"/>
      <c r="CC2529" s="2" t="s">
        <v>238</v>
      </c>
      <c r="CD2529" s="2">
        <v>3610</v>
      </c>
      <c r="CE2529" s="2" t="s">
        <v>104</v>
      </c>
      <c r="CF2529" s="5">
        <v>42971</v>
      </c>
      <c r="CG2529" s="2"/>
      <c r="CH2529" s="2"/>
      <c r="CI2529" s="2">
        <v>1</v>
      </c>
      <c r="CJ2529" s="2">
        <v>1</v>
      </c>
      <c r="CK2529" s="2">
        <v>21</v>
      </c>
      <c r="CL2529" s="2" t="s">
        <v>86</v>
      </c>
      <c r="CM2529" s="2"/>
    </row>
    <row r="2530" spans="1:91">
      <c r="A2530" s="2" t="s">
        <v>71</v>
      </c>
      <c r="B2530" s="2" t="s">
        <v>72</v>
      </c>
      <c r="C2530" s="2" t="s">
        <v>73</v>
      </c>
      <c r="D2530" s="2"/>
      <c r="E2530" s="2" t="str">
        <f>"FES1162570645"</f>
        <v>FES1162570645</v>
      </c>
      <c r="F2530" s="3">
        <v>42969</v>
      </c>
      <c r="G2530" s="2">
        <v>201802</v>
      </c>
      <c r="H2530" s="2" t="s">
        <v>74</v>
      </c>
      <c r="I2530" s="2" t="s">
        <v>75</v>
      </c>
      <c r="J2530" s="2" t="s">
        <v>76</v>
      </c>
      <c r="K2530" s="2" t="s">
        <v>77</v>
      </c>
      <c r="L2530" s="2" t="s">
        <v>362</v>
      </c>
      <c r="M2530" s="2" t="s">
        <v>363</v>
      </c>
      <c r="N2530" s="2" t="s">
        <v>564</v>
      </c>
      <c r="O2530" s="2" t="s">
        <v>100</v>
      </c>
      <c r="P2530" s="2" t="str">
        <f>"2170586403                    "</f>
        <v xml:space="preserve">2170586403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4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1</v>
      </c>
      <c r="BJ2530" s="2">
        <v>0.2</v>
      </c>
      <c r="BK2530" s="2">
        <v>1</v>
      </c>
      <c r="BL2530" s="2">
        <v>41.44</v>
      </c>
      <c r="BM2530" s="2">
        <v>5.8</v>
      </c>
      <c r="BN2530" s="2">
        <v>47.24</v>
      </c>
      <c r="BO2530" s="2">
        <v>47.24</v>
      </c>
      <c r="BP2530" s="2"/>
      <c r="BQ2530" s="2" t="s">
        <v>108</v>
      </c>
      <c r="BR2530" s="2" t="s">
        <v>84</v>
      </c>
      <c r="BS2530" s="3">
        <v>42970</v>
      </c>
      <c r="BT2530" s="4">
        <v>0.48819444444444443</v>
      </c>
      <c r="BU2530" s="2" t="s">
        <v>2957</v>
      </c>
      <c r="BV2530" s="2" t="s">
        <v>86</v>
      </c>
      <c r="BW2530" s="2" t="s">
        <v>124</v>
      </c>
      <c r="BX2530" s="2" t="s">
        <v>2958</v>
      </c>
      <c r="BY2530" s="2">
        <v>1200</v>
      </c>
      <c r="BZ2530" s="2"/>
      <c r="CA2530" s="2" t="s">
        <v>1380</v>
      </c>
      <c r="CB2530" s="2"/>
      <c r="CC2530" s="2" t="s">
        <v>363</v>
      </c>
      <c r="CD2530" s="2">
        <v>3201</v>
      </c>
      <c r="CE2530" s="2" t="s">
        <v>104</v>
      </c>
      <c r="CF2530" s="5">
        <v>42972</v>
      </c>
      <c r="CG2530" s="2"/>
      <c r="CH2530" s="2"/>
      <c r="CI2530" s="2">
        <v>1</v>
      </c>
      <c r="CJ2530" s="2">
        <v>1</v>
      </c>
      <c r="CK2530" s="2">
        <v>21</v>
      </c>
      <c r="CL2530" s="2" t="s">
        <v>86</v>
      </c>
      <c r="CM2530" s="2"/>
    </row>
    <row r="2531" spans="1:91">
      <c r="A2531" s="2" t="s">
        <v>71</v>
      </c>
      <c r="B2531" s="2" t="s">
        <v>72</v>
      </c>
      <c r="C2531" s="2" t="s">
        <v>73</v>
      </c>
      <c r="D2531" s="2"/>
      <c r="E2531" s="2" t="str">
        <f>"FES1162570648"</f>
        <v>FES1162570648</v>
      </c>
      <c r="F2531" s="3">
        <v>42969</v>
      </c>
      <c r="G2531" s="2">
        <v>201802</v>
      </c>
      <c r="H2531" s="2" t="s">
        <v>74</v>
      </c>
      <c r="I2531" s="2" t="s">
        <v>75</v>
      </c>
      <c r="J2531" s="2" t="s">
        <v>76</v>
      </c>
      <c r="K2531" s="2" t="s">
        <v>77</v>
      </c>
      <c r="L2531" s="2" t="s">
        <v>362</v>
      </c>
      <c r="M2531" s="2" t="s">
        <v>363</v>
      </c>
      <c r="N2531" s="2" t="s">
        <v>2959</v>
      </c>
      <c r="O2531" s="2" t="s">
        <v>100</v>
      </c>
      <c r="P2531" s="2" t="str">
        <f>"2170586410                    "</f>
        <v xml:space="preserve">2170586410 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7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3.1</v>
      </c>
      <c r="BJ2531" s="2">
        <v>1.4</v>
      </c>
      <c r="BK2531" s="2">
        <v>3.5</v>
      </c>
      <c r="BL2531" s="2">
        <v>72.52</v>
      </c>
      <c r="BM2531" s="2">
        <v>10.15</v>
      </c>
      <c r="BN2531" s="2">
        <v>82.67</v>
      </c>
      <c r="BO2531" s="2">
        <v>82.67</v>
      </c>
      <c r="BP2531" s="2"/>
      <c r="BQ2531" s="2" t="s">
        <v>288</v>
      </c>
      <c r="BR2531" s="2" t="s">
        <v>84</v>
      </c>
      <c r="BS2531" s="3">
        <v>42970</v>
      </c>
      <c r="BT2531" s="4">
        <v>0.39583333333333331</v>
      </c>
      <c r="BU2531" s="2" t="s">
        <v>2960</v>
      </c>
      <c r="BV2531" s="2" t="s">
        <v>95</v>
      </c>
      <c r="BW2531" s="2"/>
      <c r="BX2531" s="2"/>
      <c r="BY2531" s="2">
        <v>7120.85</v>
      </c>
      <c r="BZ2531" s="2"/>
      <c r="CA2531" s="2" t="s">
        <v>2961</v>
      </c>
      <c r="CB2531" s="2"/>
      <c r="CC2531" s="2" t="s">
        <v>363</v>
      </c>
      <c r="CD2531" s="2">
        <v>3201</v>
      </c>
      <c r="CE2531" s="2" t="s">
        <v>89</v>
      </c>
      <c r="CF2531" s="5">
        <v>42972</v>
      </c>
      <c r="CG2531" s="2"/>
      <c r="CH2531" s="2"/>
      <c r="CI2531" s="2">
        <v>1</v>
      </c>
      <c r="CJ2531" s="2">
        <v>1</v>
      </c>
      <c r="CK2531" s="2">
        <v>21</v>
      </c>
      <c r="CL2531" s="2" t="s">
        <v>86</v>
      </c>
      <c r="CM2531" s="2"/>
    </row>
    <row r="2532" spans="1:91">
      <c r="A2532" s="2" t="s">
        <v>71</v>
      </c>
      <c r="B2532" s="2" t="s">
        <v>72</v>
      </c>
      <c r="C2532" s="2" t="s">
        <v>73</v>
      </c>
      <c r="D2532" s="2"/>
      <c r="E2532" s="2" t="str">
        <f>"FES1162570662"</f>
        <v>FES1162570662</v>
      </c>
      <c r="F2532" s="3">
        <v>42969</v>
      </c>
      <c r="G2532" s="2">
        <v>201802</v>
      </c>
      <c r="H2532" s="2" t="s">
        <v>74</v>
      </c>
      <c r="I2532" s="2" t="s">
        <v>75</v>
      </c>
      <c r="J2532" s="2" t="s">
        <v>76</v>
      </c>
      <c r="K2532" s="2" t="s">
        <v>77</v>
      </c>
      <c r="L2532" s="2" t="s">
        <v>311</v>
      </c>
      <c r="M2532" s="2" t="s">
        <v>312</v>
      </c>
      <c r="N2532" s="2" t="s">
        <v>2962</v>
      </c>
      <c r="O2532" s="2" t="s">
        <v>100</v>
      </c>
      <c r="P2532" s="2" t="str">
        <f>"2170586429                    "</f>
        <v xml:space="preserve">2170586429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3.13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1.1000000000000001</v>
      </c>
      <c r="BJ2532" s="2">
        <v>1.3</v>
      </c>
      <c r="BK2532" s="2">
        <v>2</v>
      </c>
      <c r="BL2532" s="2">
        <v>32.380000000000003</v>
      </c>
      <c r="BM2532" s="2">
        <v>4.53</v>
      </c>
      <c r="BN2532" s="2">
        <v>36.909999999999997</v>
      </c>
      <c r="BO2532" s="2">
        <v>36.909999999999997</v>
      </c>
      <c r="BP2532" s="2"/>
      <c r="BQ2532" s="2" t="s">
        <v>288</v>
      </c>
      <c r="BR2532" s="2" t="s">
        <v>84</v>
      </c>
      <c r="BS2532" s="3">
        <v>42970</v>
      </c>
      <c r="BT2532" s="4">
        <v>0.43611111111111112</v>
      </c>
      <c r="BU2532" s="2" t="s">
        <v>1054</v>
      </c>
      <c r="BV2532" s="2" t="s">
        <v>95</v>
      </c>
      <c r="BW2532" s="2"/>
      <c r="BX2532" s="2"/>
      <c r="BY2532" s="2">
        <v>6429.5</v>
      </c>
      <c r="BZ2532" s="2"/>
      <c r="CA2532" s="2"/>
      <c r="CB2532" s="2"/>
      <c r="CC2532" s="2" t="s">
        <v>312</v>
      </c>
      <c r="CD2532" s="2">
        <v>1559</v>
      </c>
      <c r="CE2532" s="2" t="s">
        <v>89</v>
      </c>
      <c r="CF2532" s="5">
        <v>42971</v>
      </c>
      <c r="CG2532" s="2"/>
      <c r="CH2532" s="2"/>
      <c r="CI2532" s="2">
        <v>1</v>
      </c>
      <c r="CJ2532" s="2">
        <v>1</v>
      </c>
      <c r="CK2532" s="2">
        <v>22</v>
      </c>
      <c r="CL2532" s="2" t="s">
        <v>86</v>
      </c>
      <c r="CM2532" s="2"/>
    </row>
    <row r="2533" spans="1:91">
      <c r="A2533" s="2" t="s">
        <v>71</v>
      </c>
      <c r="B2533" s="2" t="s">
        <v>72</v>
      </c>
      <c r="C2533" s="2" t="s">
        <v>73</v>
      </c>
      <c r="D2533" s="2"/>
      <c r="E2533" s="2" t="str">
        <f>"FES1162570693"</f>
        <v>FES1162570693</v>
      </c>
      <c r="F2533" s="3">
        <v>42969</v>
      </c>
      <c r="G2533" s="2">
        <v>201802</v>
      </c>
      <c r="H2533" s="2" t="s">
        <v>74</v>
      </c>
      <c r="I2533" s="2" t="s">
        <v>75</v>
      </c>
      <c r="J2533" s="2" t="s">
        <v>76</v>
      </c>
      <c r="K2533" s="2" t="s">
        <v>77</v>
      </c>
      <c r="L2533" s="2" t="s">
        <v>268</v>
      </c>
      <c r="M2533" s="2" t="s">
        <v>269</v>
      </c>
      <c r="N2533" s="2" t="s">
        <v>982</v>
      </c>
      <c r="O2533" s="2" t="s">
        <v>100</v>
      </c>
      <c r="P2533" s="2" t="str">
        <f>"2170586463                    "</f>
        <v xml:space="preserve">2170586463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4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1</v>
      </c>
      <c r="BJ2533" s="2">
        <v>0.2</v>
      </c>
      <c r="BK2533" s="2">
        <v>1</v>
      </c>
      <c r="BL2533" s="2">
        <v>41.44</v>
      </c>
      <c r="BM2533" s="2">
        <v>5.8</v>
      </c>
      <c r="BN2533" s="2">
        <v>47.24</v>
      </c>
      <c r="BO2533" s="2">
        <v>47.24</v>
      </c>
      <c r="BP2533" s="2"/>
      <c r="BQ2533" s="2" t="s">
        <v>108</v>
      </c>
      <c r="BR2533" s="2" t="s">
        <v>84</v>
      </c>
      <c r="BS2533" s="3">
        <v>42970</v>
      </c>
      <c r="BT2533" s="4">
        <v>0.41666666666666669</v>
      </c>
      <c r="BU2533" s="2" t="s">
        <v>2963</v>
      </c>
      <c r="BV2533" s="2" t="s">
        <v>95</v>
      </c>
      <c r="BW2533" s="2"/>
      <c r="BX2533" s="2"/>
      <c r="BY2533" s="2">
        <v>1200</v>
      </c>
      <c r="BZ2533" s="2"/>
      <c r="CA2533" s="2" t="s">
        <v>148</v>
      </c>
      <c r="CB2533" s="2"/>
      <c r="CC2533" s="2" t="s">
        <v>269</v>
      </c>
      <c r="CD2533" s="2">
        <v>200</v>
      </c>
      <c r="CE2533" s="2" t="s">
        <v>104</v>
      </c>
      <c r="CF2533" s="5">
        <v>42971</v>
      </c>
      <c r="CG2533" s="2"/>
      <c r="CH2533" s="2"/>
      <c r="CI2533" s="2">
        <v>1</v>
      </c>
      <c r="CJ2533" s="2">
        <v>1</v>
      </c>
      <c r="CK2533" s="2">
        <v>21</v>
      </c>
      <c r="CL2533" s="2" t="s">
        <v>86</v>
      </c>
      <c r="CM2533" s="2"/>
    </row>
    <row r="2534" spans="1:91">
      <c r="A2534" s="2" t="s">
        <v>71</v>
      </c>
      <c r="B2534" s="2" t="s">
        <v>72</v>
      </c>
      <c r="C2534" s="2" t="s">
        <v>73</v>
      </c>
      <c r="D2534" s="2"/>
      <c r="E2534" s="2" t="str">
        <f>"FES1162570690"</f>
        <v>FES1162570690</v>
      </c>
      <c r="F2534" s="3">
        <v>42969</v>
      </c>
      <c r="G2534" s="2">
        <v>201802</v>
      </c>
      <c r="H2534" s="2" t="s">
        <v>74</v>
      </c>
      <c r="I2534" s="2" t="s">
        <v>75</v>
      </c>
      <c r="J2534" s="2" t="s">
        <v>76</v>
      </c>
      <c r="K2534" s="2" t="s">
        <v>77</v>
      </c>
      <c r="L2534" s="2" t="s">
        <v>924</v>
      </c>
      <c r="M2534" s="2" t="s">
        <v>925</v>
      </c>
      <c r="N2534" s="2" t="s">
        <v>1684</v>
      </c>
      <c r="O2534" s="2" t="s">
        <v>100</v>
      </c>
      <c r="P2534" s="2" t="str">
        <f>"2170586459                    "</f>
        <v xml:space="preserve">2170586459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5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2.2000000000000002</v>
      </c>
      <c r="BJ2534" s="2">
        <v>2.1</v>
      </c>
      <c r="BK2534" s="2">
        <v>2.5</v>
      </c>
      <c r="BL2534" s="2">
        <v>51.8</v>
      </c>
      <c r="BM2534" s="2">
        <v>7.25</v>
      </c>
      <c r="BN2534" s="2">
        <v>59.05</v>
      </c>
      <c r="BO2534" s="2">
        <v>59.05</v>
      </c>
      <c r="BP2534" s="2"/>
      <c r="BQ2534" s="2" t="s">
        <v>83</v>
      </c>
      <c r="BR2534" s="2" t="s">
        <v>84</v>
      </c>
      <c r="BS2534" s="3">
        <v>42970</v>
      </c>
      <c r="BT2534" s="4">
        <v>0.35625000000000001</v>
      </c>
      <c r="BU2534" s="2" t="s">
        <v>1685</v>
      </c>
      <c r="BV2534" s="2" t="s">
        <v>95</v>
      </c>
      <c r="BW2534" s="2"/>
      <c r="BX2534" s="2"/>
      <c r="BY2534" s="2">
        <v>10745.07</v>
      </c>
      <c r="BZ2534" s="2"/>
      <c r="CA2534" s="2" t="s">
        <v>1071</v>
      </c>
      <c r="CB2534" s="2"/>
      <c r="CC2534" s="2" t="s">
        <v>925</v>
      </c>
      <c r="CD2534" s="2">
        <v>7600</v>
      </c>
      <c r="CE2534" s="2" t="s">
        <v>89</v>
      </c>
      <c r="CF2534" s="5">
        <v>42971</v>
      </c>
      <c r="CG2534" s="2"/>
      <c r="CH2534" s="2"/>
      <c r="CI2534" s="2">
        <v>1</v>
      </c>
      <c r="CJ2534" s="2">
        <v>1</v>
      </c>
      <c r="CK2534" s="2">
        <v>21</v>
      </c>
      <c r="CL2534" s="2" t="s">
        <v>86</v>
      </c>
      <c r="CM2534" s="2"/>
    </row>
    <row r="2535" spans="1:91">
      <c r="A2535" s="2" t="s">
        <v>71</v>
      </c>
      <c r="B2535" s="2" t="s">
        <v>72</v>
      </c>
      <c r="C2535" s="2" t="s">
        <v>73</v>
      </c>
      <c r="D2535" s="2"/>
      <c r="E2535" s="2" t="str">
        <f>"FES1162570686"</f>
        <v>FES1162570686</v>
      </c>
      <c r="F2535" s="3">
        <v>42969</v>
      </c>
      <c r="G2535" s="2">
        <v>201802</v>
      </c>
      <c r="H2535" s="2" t="s">
        <v>74</v>
      </c>
      <c r="I2535" s="2" t="s">
        <v>75</v>
      </c>
      <c r="J2535" s="2" t="s">
        <v>76</v>
      </c>
      <c r="K2535" s="2" t="s">
        <v>77</v>
      </c>
      <c r="L2535" s="2" t="s">
        <v>97</v>
      </c>
      <c r="M2535" s="2" t="s">
        <v>98</v>
      </c>
      <c r="N2535" s="2" t="s">
        <v>214</v>
      </c>
      <c r="O2535" s="2" t="s">
        <v>100</v>
      </c>
      <c r="P2535" s="2" t="str">
        <f>"2170586154                    "</f>
        <v xml:space="preserve">2170586154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4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1.9</v>
      </c>
      <c r="BJ2535" s="2">
        <v>1.2</v>
      </c>
      <c r="BK2535" s="2">
        <v>2</v>
      </c>
      <c r="BL2535" s="2">
        <v>41.44</v>
      </c>
      <c r="BM2535" s="2">
        <v>5.8</v>
      </c>
      <c r="BN2535" s="2">
        <v>47.24</v>
      </c>
      <c r="BO2535" s="2">
        <v>47.24</v>
      </c>
      <c r="BP2535" s="2"/>
      <c r="BQ2535" s="2" t="s">
        <v>108</v>
      </c>
      <c r="BR2535" s="2" t="s">
        <v>84</v>
      </c>
      <c r="BS2535" s="3">
        <v>42970</v>
      </c>
      <c r="BT2535" s="4">
        <v>0.34097222222222223</v>
      </c>
      <c r="BU2535" s="2" t="s">
        <v>2923</v>
      </c>
      <c r="BV2535" s="2" t="s">
        <v>95</v>
      </c>
      <c r="BW2535" s="2"/>
      <c r="BX2535" s="2"/>
      <c r="BY2535" s="2">
        <v>6099.24</v>
      </c>
      <c r="BZ2535" s="2"/>
      <c r="CA2535" s="2" t="s">
        <v>213</v>
      </c>
      <c r="CB2535" s="2"/>
      <c r="CC2535" s="2" t="s">
        <v>98</v>
      </c>
      <c r="CD2535" s="2">
        <v>6001</v>
      </c>
      <c r="CE2535" s="2" t="s">
        <v>89</v>
      </c>
      <c r="CF2535" s="5">
        <v>42971</v>
      </c>
      <c r="CG2535" s="2"/>
      <c r="CH2535" s="2"/>
      <c r="CI2535" s="2">
        <v>1</v>
      </c>
      <c r="CJ2535" s="2">
        <v>1</v>
      </c>
      <c r="CK2535" s="2">
        <v>21</v>
      </c>
      <c r="CL2535" s="2" t="s">
        <v>86</v>
      </c>
      <c r="CM2535" s="2"/>
    </row>
    <row r="2536" spans="1:91">
      <c r="A2536" s="2" t="s">
        <v>71</v>
      </c>
      <c r="B2536" s="2" t="s">
        <v>72</v>
      </c>
      <c r="C2536" s="2" t="s">
        <v>73</v>
      </c>
      <c r="D2536" s="2"/>
      <c r="E2536" s="2" t="str">
        <f>"FES1162570707"</f>
        <v>FES1162570707</v>
      </c>
      <c r="F2536" s="3">
        <v>42969</v>
      </c>
      <c r="G2536" s="2">
        <v>201802</v>
      </c>
      <c r="H2536" s="2" t="s">
        <v>74</v>
      </c>
      <c r="I2536" s="2" t="s">
        <v>75</v>
      </c>
      <c r="J2536" s="2" t="s">
        <v>76</v>
      </c>
      <c r="K2536" s="2" t="s">
        <v>77</v>
      </c>
      <c r="L2536" s="2" t="s">
        <v>510</v>
      </c>
      <c r="M2536" s="2" t="s">
        <v>511</v>
      </c>
      <c r="N2536" s="2" t="s">
        <v>2964</v>
      </c>
      <c r="O2536" s="2" t="s">
        <v>100</v>
      </c>
      <c r="P2536" s="2" t="str">
        <f>"2170586477                    "</f>
        <v xml:space="preserve">2170586477 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4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1</v>
      </c>
      <c r="BJ2536" s="2">
        <v>0.2</v>
      </c>
      <c r="BK2536" s="2">
        <v>1</v>
      </c>
      <c r="BL2536" s="2">
        <v>41.44</v>
      </c>
      <c r="BM2536" s="2">
        <v>5.8</v>
      </c>
      <c r="BN2536" s="2">
        <v>47.24</v>
      </c>
      <c r="BO2536" s="2">
        <v>47.24</v>
      </c>
      <c r="BP2536" s="2"/>
      <c r="BQ2536" s="2" t="s">
        <v>288</v>
      </c>
      <c r="BR2536" s="2" t="s">
        <v>84</v>
      </c>
      <c r="BS2536" s="3">
        <v>42970</v>
      </c>
      <c r="BT2536" s="4">
        <v>0.3444444444444445</v>
      </c>
      <c r="BU2536" s="2" t="s">
        <v>2965</v>
      </c>
      <c r="BV2536" s="2" t="s">
        <v>95</v>
      </c>
      <c r="BW2536" s="2"/>
      <c r="BX2536" s="2"/>
      <c r="BY2536" s="2">
        <v>1200</v>
      </c>
      <c r="BZ2536" s="2"/>
      <c r="CA2536" s="2" t="s">
        <v>514</v>
      </c>
      <c r="CB2536" s="2"/>
      <c r="CC2536" s="2" t="s">
        <v>511</v>
      </c>
      <c r="CD2536" s="2">
        <v>6229</v>
      </c>
      <c r="CE2536" s="2" t="s">
        <v>104</v>
      </c>
      <c r="CF2536" s="5">
        <v>42971</v>
      </c>
      <c r="CG2536" s="2"/>
      <c r="CH2536" s="2"/>
      <c r="CI2536" s="2">
        <v>1</v>
      </c>
      <c r="CJ2536" s="2">
        <v>1</v>
      </c>
      <c r="CK2536" s="2">
        <v>21</v>
      </c>
      <c r="CL2536" s="2" t="s">
        <v>86</v>
      </c>
      <c r="CM2536" s="2"/>
    </row>
    <row r="2537" spans="1:91">
      <c r="A2537" s="2" t="s">
        <v>71</v>
      </c>
      <c r="B2537" s="2" t="s">
        <v>72</v>
      </c>
      <c r="C2537" s="2" t="s">
        <v>73</v>
      </c>
      <c r="D2537" s="2"/>
      <c r="E2537" s="2" t="str">
        <f>"FES1162570684"</f>
        <v>FES1162570684</v>
      </c>
      <c r="F2537" s="3">
        <v>42969</v>
      </c>
      <c r="G2537" s="2">
        <v>201802</v>
      </c>
      <c r="H2537" s="2" t="s">
        <v>74</v>
      </c>
      <c r="I2537" s="2" t="s">
        <v>75</v>
      </c>
      <c r="J2537" s="2" t="s">
        <v>76</v>
      </c>
      <c r="K2537" s="2" t="s">
        <v>77</v>
      </c>
      <c r="L2537" s="2" t="s">
        <v>97</v>
      </c>
      <c r="M2537" s="2" t="s">
        <v>98</v>
      </c>
      <c r="N2537" s="2" t="s">
        <v>1252</v>
      </c>
      <c r="O2537" s="2" t="s">
        <v>100</v>
      </c>
      <c r="P2537" s="2" t="str">
        <f>"2170586091                    "</f>
        <v xml:space="preserve">2170586091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4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1</v>
      </c>
      <c r="BJ2537" s="2">
        <v>0.2</v>
      </c>
      <c r="BK2537" s="2">
        <v>1</v>
      </c>
      <c r="BL2537" s="2">
        <v>41.44</v>
      </c>
      <c r="BM2537" s="2">
        <v>5.8</v>
      </c>
      <c r="BN2537" s="2">
        <v>47.24</v>
      </c>
      <c r="BO2537" s="2">
        <v>47.24</v>
      </c>
      <c r="BP2537" s="2"/>
      <c r="BQ2537" s="2" t="s">
        <v>288</v>
      </c>
      <c r="BR2537" s="2" t="s">
        <v>84</v>
      </c>
      <c r="BS2537" s="3">
        <v>42970</v>
      </c>
      <c r="BT2537" s="4">
        <v>0.43402777777777773</v>
      </c>
      <c r="BU2537" s="2" t="s">
        <v>1253</v>
      </c>
      <c r="BV2537" s="2" t="s">
        <v>95</v>
      </c>
      <c r="BW2537" s="2"/>
      <c r="BX2537" s="2"/>
      <c r="BY2537" s="2">
        <v>1200</v>
      </c>
      <c r="BZ2537" s="2"/>
      <c r="CA2537" s="2" t="s">
        <v>213</v>
      </c>
      <c r="CB2537" s="2"/>
      <c r="CC2537" s="2" t="s">
        <v>98</v>
      </c>
      <c r="CD2537" s="2">
        <v>6001</v>
      </c>
      <c r="CE2537" s="2" t="s">
        <v>104</v>
      </c>
      <c r="CF2537" s="5">
        <v>42971</v>
      </c>
      <c r="CG2537" s="2"/>
      <c r="CH2537" s="2"/>
      <c r="CI2537" s="2">
        <v>1</v>
      </c>
      <c r="CJ2537" s="2">
        <v>1</v>
      </c>
      <c r="CK2537" s="2">
        <v>21</v>
      </c>
      <c r="CL2537" s="2" t="s">
        <v>86</v>
      </c>
      <c r="CM2537" s="2"/>
    </row>
    <row r="2538" spans="1:91">
      <c r="A2538" s="2" t="s">
        <v>71</v>
      </c>
      <c r="B2538" s="2" t="s">
        <v>72</v>
      </c>
      <c r="C2538" s="2" t="s">
        <v>73</v>
      </c>
      <c r="D2538" s="2"/>
      <c r="E2538" s="2" t="str">
        <f>"FES1162570678"</f>
        <v>FES1162570678</v>
      </c>
      <c r="F2538" s="3">
        <v>42969</v>
      </c>
      <c r="G2538" s="2">
        <v>201802</v>
      </c>
      <c r="H2538" s="2" t="s">
        <v>74</v>
      </c>
      <c r="I2538" s="2" t="s">
        <v>75</v>
      </c>
      <c r="J2538" s="2" t="s">
        <v>76</v>
      </c>
      <c r="K2538" s="2" t="s">
        <v>77</v>
      </c>
      <c r="L2538" s="2" t="s">
        <v>105</v>
      </c>
      <c r="M2538" s="2" t="s">
        <v>106</v>
      </c>
      <c r="N2538" s="2" t="s">
        <v>660</v>
      </c>
      <c r="O2538" s="2" t="s">
        <v>100</v>
      </c>
      <c r="P2538" s="2" t="str">
        <f>"2170586450                    "</f>
        <v xml:space="preserve">2170586450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4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1</v>
      </c>
      <c r="BJ2538" s="2">
        <v>0.2</v>
      </c>
      <c r="BK2538" s="2">
        <v>1</v>
      </c>
      <c r="BL2538" s="2">
        <v>41.44</v>
      </c>
      <c r="BM2538" s="2">
        <v>5.8</v>
      </c>
      <c r="BN2538" s="2">
        <v>47.24</v>
      </c>
      <c r="BO2538" s="2">
        <v>47.24</v>
      </c>
      <c r="BP2538" s="2"/>
      <c r="BQ2538" s="2" t="s">
        <v>288</v>
      </c>
      <c r="BR2538" s="2" t="s">
        <v>84</v>
      </c>
      <c r="BS2538" s="3">
        <v>42970</v>
      </c>
      <c r="BT2538" s="4">
        <v>0.34513888888888888</v>
      </c>
      <c r="BU2538" s="2" t="s">
        <v>2966</v>
      </c>
      <c r="BV2538" s="2" t="s">
        <v>95</v>
      </c>
      <c r="BW2538" s="2"/>
      <c r="BX2538" s="2"/>
      <c r="BY2538" s="2">
        <v>1200</v>
      </c>
      <c r="BZ2538" s="2"/>
      <c r="CA2538" s="2" t="s">
        <v>663</v>
      </c>
      <c r="CB2538" s="2"/>
      <c r="CC2538" s="2" t="s">
        <v>106</v>
      </c>
      <c r="CD2538" s="2">
        <v>7500</v>
      </c>
      <c r="CE2538" s="2" t="s">
        <v>104</v>
      </c>
      <c r="CF2538" s="5">
        <v>42971</v>
      </c>
      <c r="CG2538" s="2"/>
      <c r="CH2538" s="2"/>
      <c r="CI2538" s="2">
        <v>1</v>
      </c>
      <c r="CJ2538" s="2">
        <v>1</v>
      </c>
      <c r="CK2538" s="2">
        <v>21</v>
      </c>
      <c r="CL2538" s="2" t="s">
        <v>86</v>
      </c>
      <c r="CM2538" s="2"/>
    </row>
    <row r="2539" spans="1:91">
      <c r="A2539" s="2" t="s">
        <v>71</v>
      </c>
      <c r="B2539" s="2" t="s">
        <v>72</v>
      </c>
      <c r="C2539" s="2" t="s">
        <v>73</v>
      </c>
      <c r="D2539" s="2"/>
      <c r="E2539" s="2" t="str">
        <f>"FES1162570692"</f>
        <v>FES1162570692</v>
      </c>
      <c r="F2539" s="3">
        <v>42969</v>
      </c>
      <c r="G2539" s="2">
        <v>201802</v>
      </c>
      <c r="H2539" s="2" t="s">
        <v>74</v>
      </c>
      <c r="I2539" s="2" t="s">
        <v>75</v>
      </c>
      <c r="J2539" s="2" t="s">
        <v>76</v>
      </c>
      <c r="K2539" s="2" t="s">
        <v>77</v>
      </c>
      <c r="L2539" s="2" t="s">
        <v>1487</v>
      </c>
      <c r="M2539" s="2" t="s">
        <v>1488</v>
      </c>
      <c r="N2539" s="2" t="s">
        <v>1489</v>
      </c>
      <c r="O2539" s="2" t="s">
        <v>100</v>
      </c>
      <c r="P2539" s="2" t="str">
        <f>"2170586461                    "</f>
        <v xml:space="preserve">2170586461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5.63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1.8</v>
      </c>
      <c r="BJ2539" s="2">
        <v>1.4</v>
      </c>
      <c r="BK2539" s="2">
        <v>2</v>
      </c>
      <c r="BL2539" s="2">
        <v>58.28</v>
      </c>
      <c r="BM2539" s="2">
        <v>8.16</v>
      </c>
      <c r="BN2539" s="2">
        <v>66.44</v>
      </c>
      <c r="BO2539" s="2">
        <v>66.44</v>
      </c>
      <c r="BP2539" s="2"/>
      <c r="BQ2539" s="2" t="s">
        <v>288</v>
      </c>
      <c r="BR2539" s="2" t="s">
        <v>84</v>
      </c>
      <c r="BS2539" s="3">
        <v>42970</v>
      </c>
      <c r="BT2539" s="4">
        <v>0.52083333333333337</v>
      </c>
      <c r="BU2539" s="2" t="s">
        <v>2967</v>
      </c>
      <c r="BV2539" s="2" t="s">
        <v>95</v>
      </c>
      <c r="BW2539" s="2"/>
      <c r="BX2539" s="2"/>
      <c r="BY2539" s="2">
        <v>6914.57</v>
      </c>
      <c r="BZ2539" s="2"/>
      <c r="CA2539" s="2"/>
      <c r="CB2539" s="2"/>
      <c r="CC2539" s="2" t="s">
        <v>1488</v>
      </c>
      <c r="CD2539" s="2">
        <v>284</v>
      </c>
      <c r="CE2539" s="2" t="s">
        <v>89</v>
      </c>
      <c r="CF2539" s="5">
        <v>42972</v>
      </c>
      <c r="CG2539" s="2"/>
      <c r="CH2539" s="2"/>
      <c r="CI2539" s="2">
        <v>1</v>
      </c>
      <c r="CJ2539" s="2">
        <v>1</v>
      </c>
      <c r="CK2539" s="2">
        <v>24</v>
      </c>
      <c r="CL2539" s="2" t="s">
        <v>86</v>
      </c>
      <c r="CM2539" s="2"/>
    </row>
    <row r="2540" spans="1:91">
      <c r="A2540" s="2" t="s">
        <v>71</v>
      </c>
      <c r="B2540" s="2" t="s">
        <v>72</v>
      </c>
      <c r="C2540" s="2" t="s">
        <v>73</v>
      </c>
      <c r="D2540" s="2"/>
      <c r="E2540" s="2" t="str">
        <f>"FES1162570647"</f>
        <v>FES1162570647</v>
      </c>
      <c r="F2540" s="3">
        <v>42969</v>
      </c>
      <c r="G2540" s="2">
        <v>201802</v>
      </c>
      <c r="H2540" s="2" t="s">
        <v>74</v>
      </c>
      <c r="I2540" s="2" t="s">
        <v>75</v>
      </c>
      <c r="J2540" s="2" t="s">
        <v>76</v>
      </c>
      <c r="K2540" s="2" t="s">
        <v>77</v>
      </c>
      <c r="L2540" s="2" t="s">
        <v>244</v>
      </c>
      <c r="M2540" s="2" t="s">
        <v>245</v>
      </c>
      <c r="N2540" s="2" t="s">
        <v>246</v>
      </c>
      <c r="O2540" s="2" t="s">
        <v>100</v>
      </c>
      <c r="P2540" s="2" t="str">
        <f>"2170586409                    "</f>
        <v xml:space="preserve">2170586409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3.13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2</v>
      </c>
      <c r="BJ2540" s="2">
        <v>0.2</v>
      </c>
      <c r="BK2540" s="2">
        <v>2</v>
      </c>
      <c r="BL2540" s="2">
        <v>32.380000000000003</v>
      </c>
      <c r="BM2540" s="2">
        <v>4.53</v>
      </c>
      <c r="BN2540" s="2">
        <v>36.909999999999997</v>
      </c>
      <c r="BO2540" s="2">
        <v>36.909999999999997</v>
      </c>
      <c r="BP2540" s="2"/>
      <c r="BQ2540" s="2" t="s">
        <v>209</v>
      </c>
      <c r="BR2540" s="2" t="s">
        <v>84</v>
      </c>
      <c r="BS2540" s="3">
        <v>42971</v>
      </c>
      <c r="BT2540" s="4">
        <v>0.46388888888888885</v>
      </c>
      <c r="BU2540" s="2" t="s">
        <v>2901</v>
      </c>
      <c r="BV2540" s="2" t="s">
        <v>86</v>
      </c>
      <c r="BW2540" s="2" t="s">
        <v>124</v>
      </c>
      <c r="BX2540" s="2" t="s">
        <v>498</v>
      </c>
      <c r="BY2540" s="2">
        <v>1200</v>
      </c>
      <c r="BZ2540" s="2"/>
      <c r="CA2540" s="2" t="s">
        <v>2902</v>
      </c>
      <c r="CB2540" s="2"/>
      <c r="CC2540" s="2" t="s">
        <v>245</v>
      </c>
      <c r="CD2540" s="2">
        <v>1459</v>
      </c>
      <c r="CE2540" s="2" t="s">
        <v>104</v>
      </c>
      <c r="CF2540" s="5">
        <v>42972</v>
      </c>
      <c r="CG2540" s="2"/>
      <c r="CH2540" s="2"/>
      <c r="CI2540" s="2">
        <v>1</v>
      </c>
      <c r="CJ2540" s="2">
        <v>2</v>
      </c>
      <c r="CK2540" s="2">
        <v>22</v>
      </c>
      <c r="CL2540" s="2" t="s">
        <v>86</v>
      </c>
      <c r="CM2540" s="2"/>
    </row>
    <row r="2541" spans="1:91">
      <c r="A2541" s="2" t="s">
        <v>71</v>
      </c>
      <c r="B2541" s="2" t="s">
        <v>72</v>
      </c>
      <c r="C2541" s="2" t="s">
        <v>73</v>
      </c>
      <c r="D2541" s="2"/>
      <c r="E2541" s="2" t="str">
        <f>"FES1162570671"</f>
        <v>FES1162570671</v>
      </c>
      <c r="F2541" s="3">
        <v>42969</v>
      </c>
      <c r="G2541" s="2">
        <v>201802</v>
      </c>
      <c r="H2541" s="2" t="s">
        <v>74</v>
      </c>
      <c r="I2541" s="2" t="s">
        <v>75</v>
      </c>
      <c r="J2541" s="2" t="s">
        <v>76</v>
      </c>
      <c r="K2541" s="2" t="s">
        <v>77</v>
      </c>
      <c r="L2541" s="2" t="s">
        <v>105</v>
      </c>
      <c r="M2541" s="2" t="s">
        <v>106</v>
      </c>
      <c r="N2541" s="2" t="s">
        <v>2968</v>
      </c>
      <c r="O2541" s="2" t="s">
        <v>100</v>
      </c>
      <c r="P2541" s="2" t="str">
        <f>"2170586439                    "</f>
        <v xml:space="preserve">2170586439      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4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1</v>
      </c>
      <c r="BJ2541" s="2">
        <v>0.2</v>
      </c>
      <c r="BK2541" s="2">
        <v>1</v>
      </c>
      <c r="BL2541" s="2">
        <v>41.44</v>
      </c>
      <c r="BM2541" s="2">
        <v>5.8</v>
      </c>
      <c r="BN2541" s="2">
        <v>47.24</v>
      </c>
      <c r="BO2541" s="2">
        <v>47.24</v>
      </c>
      <c r="BP2541" s="2"/>
      <c r="BQ2541" s="2" t="s">
        <v>288</v>
      </c>
      <c r="BR2541" s="2" t="s">
        <v>84</v>
      </c>
      <c r="BS2541" s="3">
        <v>42970</v>
      </c>
      <c r="BT2541" s="4">
        <v>0.40416666666666662</v>
      </c>
      <c r="BU2541" s="2" t="s">
        <v>2969</v>
      </c>
      <c r="BV2541" s="2" t="s">
        <v>95</v>
      </c>
      <c r="BW2541" s="2"/>
      <c r="BX2541" s="2"/>
      <c r="BY2541" s="2">
        <v>1200</v>
      </c>
      <c r="BZ2541" s="2"/>
      <c r="CA2541" s="2" t="s">
        <v>654</v>
      </c>
      <c r="CB2541" s="2"/>
      <c r="CC2541" s="2" t="s">
        <v>106</v>
      </c>
      <c r="CD2541" s="2">
        <v>7490</v>
      </c>
      <c r="CE2541" s="2" t="s">
        <v>104</v>
      </c>
      <c r="CF2541" s="5">
        <v>42971</v>
      </c>
      <c r="CG2541" s="2"/>
      <c r="CH2541" s="2"/>
      <c r="CI2541" s="2">
        <v>1</v>
      </c>
      <c r="CJ2541" s="2">
        <v>1</v>
      </c>
      <c r="CK2541" s="2">
        <v>21</v>
      </c>
      <c r="CL2541" s="2" t="s">
        <v>86</v>
      </c>
      <c r="CM2541" s="2"/>
    </row>
    <row r="2542" spans="1:91">
      <c r="A2542" s="2" t="s">
        <v>71</v>
      </c>
      <c r="B2542" s="2" t="s">
        <v>72</v>
      </c>
      <c r="C2542" s="2" t="s">
        <v>73</v>
      </c>
      <c r="D2542" s="2"/>
      <c r="E2542" s="2" t="str">
        <f>"FES1162570697"</f>
        <v>FES1162570697</v>
      </c>
      <c r="F2542" s="3">
        <v>42969</v>
      </c>
      <c r="G2542" s="2">
        <v>201802</v>
      </c>
      <c r="H2542" s="2" t="s">
        <v>74</v>
      </c>
      <c r="I2542" s="2" t="s">
        <v>75</v>
      </c>
      <c r="J2542" s="2" t="s">
        <v>76</v>
      </c>
      <c r="K2542" s="2" t="s">
        <v>77</v>
      </c>
      <c r="L2542" s="2" t="s">
        <v>417</v>
      </c>
      <c r="M2542" s="2" t="s">
        <v>417</v>
      </c>
      <c r="N2542" s="2" t="s">
        <v>475</v>
      </c>
      <c r="O2542" s="2" t="s">
        <v>100</v>
      </c>
      <c r="P2542" s="2" t="str">
        <f>"2170586466                    "</f>
        <v xml:space="preserve">2170586466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4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</v>
      </c>
      <c r="BJ2542" s="2">
        <v>0.2</v>
      </c>
      <c r="BK2542" s="2">
        <v>1</v>
      </c>
      <c r="BL2542" s="2">
        <v>41.44</v>
      </c>
      <c r="BM2542" s="2">
        <v>5.8</v>
      </c>
      <c r="BN2542" s="2">
        <v>47.24</v>
      </c>
      <c r="BO2542" s="2">
        <v>47.24</v>
      </c>
      <c r="BP2542" s="2"/>
      <c r="BQ2542" s="2" t="s">
        <v>108</v>
      </c>
      <c r="BR2542" s="2" t="s">
        <v>84</v>
      </c>
      <c r="BS2542" s="3">
        <v>42970</v>
      </c>
      <c r="BT2542" s="4">
        <v>0.45833333333333331</v>
      </c>
      <c r="BU2542" s="2" t="s">
        <v>2928</v>
      </c>
      <c r="BV2542" s="2" t="s">
        <v>95</v>
      </c>
      <c r="BW2542" s="2"/>
      <c r="BX2542" s="2"/>
      <c r="BY2542" s="2">
        <v>1200</v>
      </c>
      <c r="BZ2542" s="2"/>
      <c r="CA2542" s="2" t="s">
        <v>420</v>
      </c>
      <c r="CB2542" s="2"/>
      <c r="CC2542" s="2" t="s">
        <v>417</v>
      </c>
      <c r="CD2542" s="2">
        <v>7646</v>
      </c>
      <c r="CE2542" s="2" t="s">
        <v>104</v>
      </c>
      <c r="CF2542" s="5">
        <v>42970</v>
      </c>
      <c r="CG2542" s="2"/>
      <c r="CH2542" s="2"/>
      <c r="CI2542" s="2">
        <v>1</v>
      </c>
      <c r="CJ2542" s="2">
        <v>1</v>
      </c>
      <c r="CK2542" s="2">
        <v>21</v>
      </c>
      <c r="CL2542" s="2" t="s">
        <v>86</v>
      </c>
      <c r="CM2542" s="2"/>
    </row>
    <row r="2543" spans="1:91">
      <c r="A2543" s="2" t="s">
        <v>71</v>
      </c>
      <c r="B2543" s="2" t="s">
        <v>72</v>
      </c>
      <c r="C2543" s="2" t="s">
        <v>73</v>
      </c>
      <c r="D2543" s="2"/>
      <c r="E2543" s="2" t="str">
        <f>"FES1162570691"</f>
        <v>FES1162570691</v>
      </c>
      <c r="F2543" s="3">
        <v>42969</v>
      </c>
      <c r="G2543" s="2">
        <v>201802</v>
      </c>
      <c r="H2543" s="2" t="s">
        <v>74</v>
      </c>
      <c r="I2543" s="2" t="s">
        <v>75</v>
      </c>
      <c r="J2543" s="2" t="s">
        <v>76</v>
      </c>
      <c r="K2543" s="2" t="s">
        <v>77</v>
      </c>
      <c r="L2543" s="2" t="s">
        <v>105</v>
      </c>
      <c r="M2543" s="2" t="s">
        <v>106</v>
      </c>
      <c r="N2543" s="2" t="s">
        <v>253</v>
      </c>
      <c r="O2543" s="2" t="s">
        <v>100</v>
      </c>
      <c r="P2543" s="2" t="str">
        <f>"2170586460                    "</f>
        <v xml:space="preserve">2170586460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4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1</v>
      </c>
      <c r="BJ2543" s="2">
        <v>0.2</v>
      </c>
      <c r="BK2543" s="2">
        <v>1</v>
      </c>
      <c r="BL2543" s="2">
        <v>41.44</v>
      </c>
      <c r="BM2543" s="2">
        <v>5.8</v>
      </c>
      <c r="BN2543" s="2">
        <v>47.24</v>
      </c>
      <c r="BO2543" s="2">
        <v>47.24</v>
      </c>
      <c r="BP2543" s="2"/>
      <c r="BQ2543" s="2" t="s">
        <v>108</v>
      </c>
      <c r="BR2543" s="2" t="s">
        <v>84</v>
      </c>
      <c r="BS2543" s="3">
        <v>42970</v>
      </c>
      <c r="BT2543" s="4">
        <v>0.40833333333333338</v>
      </c>
      <c r="BU2543" s="2" t="s">
        <v>215</v>
      </c>
      <c r="BV2543" s="2" t="s">
        <v>95</v>
      </c>
      <c r="BW2543" s="2"/>
      <c r="BX2543" s="2"/>
      <c r="BY2543" s="2">
        <v>1200</v>
      </c>
      <c r="BZ2543" s="2"/>
      <c r="CA2543" s="2" t="s">
        <v>654</v>
      </c>
      <c r="CB2543" s="2"/>
      <c r="CC2543" s="2" t="s">
        <v>106</v>
      </c>
      <c r="CD2543" s="2">
        <v>7490</v>
      </c>
      <c r="CE2543" s="2" t="s">
        <v>104</v>
      </c>
      <c r="CF2543" s="5">
        <v>42971</v>
      </c>
      <c r="CG2543" s="2"/>
      <c r="CH2543" s="2"/>
      <c r="CI2543" s="2">
        <v>1</v>
      </c>
      <c r="CJ2543" s="2">
        <v>1</v>
      </c>
      <c r="CK2543" s="2">
        <v>21</v>
      </c>
      <c r="CL2543" s="2" t="s">
        <v>86</v>
      </c>
      <c r="CM2543" s="2"/>
    </row>
    <row r="2544" spans="1:91">
      <c r="A2544" s="2" t="s">
        <v>71</v>
      </c>
      <c r="B2544" s="2" t="s">
        <v>72</v>
      </c>
      <c r="C2544" s="2" t="s">
        <v>73</v>
      </c>
      <c r="D2544" s="2"/>
      <c r="E2544" s="2" t="str">
        <f>"FES1162570658"</f>
        <v>FES1162570658</v>
      </c>
      <c r="F2544" s="3">
        <v>42969</v>
      </c>
      <c r="G2544" s="2">
        <v>201802</v>
      </c>
      <c r="H2544" s="2" t="s">
        <v>74</v>
      </c>
      <c r="I2544" s="2" t="s">
        <v>75</v>
      </c>
      <c r="J2544" s="2" t="s">
        <v>76</v>
      </c>
      <c r="K2544" s="2" t="s">
        <v>77</v>
      </c>
      <c r="L2544" s="2" t="s">
        <v>105</v>
      </c>
      <c r="M2544" s="2" t="s">
        <v>106</v>
      </c>
      <c r="N2544" s="2" t="s">
        <v>397</v>
      </c>
      <c r="O2544" s="2" t="s">
        <v>100</v>
      </c>
      <c r="P2544" s="2" t="str">
        <f>"2170586422                    "</f>
        <v xml:space="preserve">2170586422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4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1</v>
      </c>
      <c r="BI2544" s="2">
        <v>1</v>
      </c>
      <c r="BJ2544" s="2">
        <v>0.2</v>
      </c>
      <c r="BK2544" s="2">
        <v>1</v>
      </c>
      <c r="BL2544" s="2">
        <v>41.44</v>
      </c>
      <c r="BM2544" s="2">
        <v>5.8</v>
      </c>
      <c r="BN2544" s="2">
        <v>47.24</v>
      </c>
      <c r="BO2544" s="2">
        <v>47.24</v>
      </c>
      <c r="BP2544" s="2"/>
      <c r="BQ2544" s="2" t="s">
        <v>83</v>
      </c>
      <c r="BR2544" s="2" t="s">
        <v>84</v>
      </c>
      <c r="BS2544" s="3">
        <v>42970</v>
      </c>
      <c r="BT2544" s="4">
        <v>0.3888888888888889</v>
      </c>
      <c r="BU2544" s="2" t="s">
        <v>779</v>
      </c>
      <c r="BV2544" s="2" t="s">
        <v>95</v>
      </c>
      <c r="BW2544" s="2"/>
      <c r="BX2544" s="2"/>
      <c r="BY2544" s="2">
        <v>1200</v>
      </c>
      <c r="BZ2544" s="2"/>
      <c r="CA2544" s="2" t="s">
        <v>112</v>
      </c>
      <c r="CB2544" s="2"/>
      <c r="CC2544" s="2" t="s">
        <v>106</v>
      </c>
      <c r="CD2544" s="2">
        <v>7405</v>
      </c>
      <c r="CE2544" s="2" t="s">
        <v>104</v>
      </c>
      <c r="CF2544" s="5">
        <v>42971</v>
      </c>
      <c r="CG2544" s="2"/>
      <c r="CH2544" s="2"/>
      <c r="CI2544" s="2">
        <v>1</v>
      </c>
      <c r="CJ2544" s="2">
        <v>1</v>
      </c>
      <c r="CK2544" s="2">
        <v>21</v>
      </c>
      <c r="CL2544" s="2" t="s">
        <v>86</v>
      </c>
      <c r="CM2544" s="2"/>
    </row>
    <row r="2545" spans="1:91">
      <c r="A2545" s="2" t="s">
        <v>71</v>
      </c>
      <c r="B2545" s="2" t="s">
        <v>72</v>
      </c>
      <c r="C2545" s="2" t="s">
        <v>73</v>
      </c>
      <c r="D2545" s="2"/>
      <c r="E2545" s="2" t="str">
        <f>"FES1162570705"</f>
        <v>FES1162570705</v>
      </c>
      <c r="F2545" s="3">
        <v>42969</v>
      </c>
      <c r="G2545" s="2">
        <v>201802</v>
      </c>
      <c r="H2545" s="2" t="s">
        <v>74</v>
      </c>
      <c r="I2545" s="2" t="s">
        <v>75</v>
      </c>
      <c r="J2545" s="2" t="s">
        <v>76</v>
      </c>
      <c r="K2545" s="2" t="s">
        <v>77</v>
      </c>
      <c r="L2545" s="2" t="s">
        <v>268</v>
      </c>
      <c r="M2545" s="2" t="s">
        <v>269</v>
      </c>
      <c r="N2545" s="2" t="s">
        <v>351</v>
      </c>
      <c r="O2545" s="2" t="s">
        <v>100</v>
      </c>
      <c r="P2545" s="2" t="str">
        <f>"2170586381                    "</f>
        <v xml:space="preserve">2170586381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4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1</v>
      </c>
      <c r="BJ2545" s="2">
        <v>0.2</v>
      </c>
      <c r="BK2545" s="2">
        <v>1</v>
      </c>
      <c r="BL2545" s="2">
        <v>41.44</v>
      </c>
      <c r="BM2545" s="2">
        <v>5.8</v>
      </c>
      <c r="BN2545" s="2">
        <v>47.24</v>
      </c>
      <c r="BO2545" s="2">
        <v>47.24</v>
      </c>
      <c r="BP2545" s="2"/>
      <c r="BQ2545" s="2" t="s">
        <v>108</v>
      </c>
      <c r="BR2545" s="2" t="s">
        <v>84</v>
      </c>
      <c r="BS2545" s="3">
        <v>42970</v>
      </c>
      <c r="BT2545" s="4">
        <v>0.41666666666666669</v>
      </c>
      <c r="BU2545" s="2" t="s">
        <v>85</v>
      </c>
      <c r="BV2545" s="2" t="s">
        <v>95</v>
      </c>
      <c r="BW2545" s="2"/>
      <c r="BX2545" s="2"/>
      <c r="BY2545" s="2">
        <v>1200</v>
      </c>
      <c r="BZ2545" s="2"/>
      <c r="CA2545" s="2"/>
      <c r="CB2545" s="2"/>
      <c r="CC2545" s="2" t="s">
        <v>269</v>
      </c>
      <c r="CD2545" s="2">
        <v>200</v>
      </c>
      <c r="CE2545" s="2" t="s">
        <v>104</v>
      </c>
      <c r="CF2545" s="5">
        <v>42971</v>
      </c>
      <c r="CG2545" s="2"/>
      <c r="CH2545" s="2"/>
      <c r="CI2545" s="2">
        <v>1</v>
      </c>
      <c r="CJ2545" s="2">
        <v>1</v>
      </c>
      <c r="CK2545" s="2">
        <v>21</v>
      </c>
      <c r="CL2545" s="2" t="s">
        <v>86</v>
      </c>
      <c r="CM2545" s="2"/>
    </row>
    <row r="2546" spans="1:91">
      <c r="A2546" s="2" t="s">
        <v>71</v>
      </c>
      <c r="B2546" s="2" t="s">
        <v>72</v>
      </c>
      <c r="C2546" s="2" t="s">
        <v>73</v>
      </c>
      <c r="D2546" s="2"/>
      <c r="E2546" s="2" t="str">
        <f>"FES1162570650"</f>
        <v>FES1162570650</v>
      </c>
      <c r="F2546" s="3">
        <v>42969</v>
      </c>
      <c r="G2546" s="2">
        <v>201802</v>
      </c>
      <c r="H2546" s="2" t="s">
        <v>74</v>
      </c>
      <c r="I2546" s="2" t="s">
        <v>75</v>
      </c>
      <c r="J2546" s="2" t="s">
        <v>76</v>
      </c>
      <c r="K2546" s="2" t="s">
        <v>77</v>
      </c>
      <c r="L2546" s="2" t="s">
        <v>105</v>
      </c>
      <c r="M2546" s="2" t="s">
        <v>106</v>
      </c>
      <c r="N2546" s="2" t="s">
        <v>2970</v>
      </c>
      <c r="O2546" s="2" t="s">
        <v>100</v>
      </c>
      <c r="P2546" s="2" t="str">
        <f>"2170582100                    "</f>
        <v xml:space="preserve">2170582100         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4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1</v>
      </c>
      <c r="BJ2546" s="2">
        <v>0.2</v>
      </c>
      <c r="BK2546" s="2">
        <v>1</v>
      </c>
      <c r="BL2546" s="2">
        <v>41.44</v>
      </c>
      <c r="BM2546" s="2">
        <v>5.8</v>
      </c>
      <c r="BN2546" s="2">
        <v>47.24</v>
      </c>
      <c r="BO2546" s="2">
        <v>47.24</v>
      </c>
      <c r="BP2546" s="2"/>
      <c r="BQ2546" s="2" t="s">
        <v>83</v>
      </c>
      <c r="BR2546" s="2" t="s">
        <v>84</v>
      </c>
      <c r="BS2546" s="3">
        <v>42970</v>
      </c>
      <c r="BT2546" s="4">
        <v>0.34791666666666665</v>
      </c>
      <c r="BU2546" s="2" t="s">
        <v>2971</v>
      </c>
      <c r="BV2546" s="2" t="s">
        <v>95</v>
      </c>
      <c r="BW2546" s="2"/>
      <c r="BX2546" s="2"/>
      <c r="BY2546" s="2">
        <v>1200</v>
      </c>
      <c r="BZ2546" s="2"/>
      <c r="CA2546" s="2" t="s">
        <v>654</v>
      </c>
      <c r="CB2546" s="2"/>
      <c r="CC2546" s="2" t="s">
        <v>106</v>
      </c>
      <c r="CD2546" s="2">
        <v>7493</v>
      </c>
      <c r="CE2546" s="2" t="s">
        <v>104</v>
      </c>
      <c r="CF2546" s="5">
        <v>42971</v>
      </c>
      <c r="CG2546" s="2"/>
      <c r="CH2546" s="2"/>
      <c r="CI2546" s="2">
        <v>1</v>
      </c>
      <c r="CJ2546" s="2">
        <v>1</v>
      </c>
      <c r="CK2546" s="2">
        <v>21</v>
      </c>
      <c r="CL2546" s="2" t="s">
        <v>86</v>
      </c>
      <c r="CM2546" s="2"/>
    </row>
    <row r="2547" spans="1:91">
      <c r="A2547" s="2" t="s">
        <v>71</v>
      </c>
      <c r="B2547" s="2" t="s">
        <v>72</v>
      </c>
      <c r="C2547" s="2" t="s">
        <v>73</v>
      </c>
      <c r="D2547" s="2"/>
      <c r="E2547" s="2" t="str">
        <f>"FES1162570683"</f>
        <v>FES1162570683</v>
      </c>
      <c r="F2547" s="3">
        <v>42969</v>
      </c>
      <c r="G2547" s="2">
        <v>201802</v>
      </c>
      <c r="H2547" s="2" t="s">
        <v>74</v>
      </c>
      <c r="I2547" s="2" t="s">
        <v>75</v>
      </c>
      <c r="J2547" s="2" t="s">
        <v>76</v>
      </c>
      <c r="K2547" s="2" t="s">
        <v>77</v>
      </c>
      <c r="L2547" s="2" t="s">
        <v>105</v>
      </c>
      <c r="M2547" s="2" t="s">
        <v>106</v>
      </c>
      <c r="N2547" s="2" t="s">
        <v>2970</v>
      </c>
      <c r="O2547" s="2" t="s">
        <v>100</v>
      </c>
      <c r="P2547" s="2" t="str">
        <f>"2170582094                    "</f>
        <v xml:space="preserve">2170582094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4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1</v>
      </c>
      <c r="BJ2547" s="2">
        <v>0.2</v>
      </c>
      <c r="BK2547" s="2">
        <v>1</v>
      </c>
      <c r="BL2547" s="2">
        <v>41.44</v>
      </c>
      <c r="BM2547" s="2">
        <v>5.8</v>
      </c>
      <c r="BN2547" s="2">
        <v>47.24</v>
      </c>
      <c r="BO2547" s="2">
        <v>47.24</v>
      </c>
      <c r="BP2547" s="2"/>
      <c r="BQ2547" s="2" t="s">
        <v>83</v>
      </c>
      <c r="BR2547" s="2" t="s">
        <v>84</v>
      </c>
      <c r="BS2547" s="3">
        <v>42970</v>
      </c>
      <c r="BT2547" s="4">
        <v>0.34791666666666665</v>
      </c>
      <c r="BU2547" s="2" t="s">
        <v>2971</v>
      </c>
      <c r="BV2547" s="2" t="s">
        <v>95</v>
      </c>
      <c r="BW2547" s="2"/>
      <c r="BX2547" s="2"/>
      <c r="BY2547" s="2">
        <v>1200</v>
      </c>
      <c r="BZ2547" s="2"/>
      <c r="CA2547" s="2" t="s">
        <v>654</v>
      </c>
      <c r="CB2547" s="2"/>
      <c r="CC2547" s="2" t="s">
        <v>106</v>
      </c>
      <c r="CD2547" s="2">
        <v>7493</v>
      </c>
      <c r="CE2547" s="2" t="s">
        <v>104</v>
      </c>
      <c r="CF2547" s="5">
        <v>42971</v>
      </c>
      <c r="CG2547" s="2"/>
      <c r="CH2547" s="2"/>
      <c r="CI2547" s="2">
        <v>1</v>
      </c>
      <c r="CJ2547" s="2">
        <v>1</v>
      </c>
      <c r="CK2547" s="2">
        <v>21</v>
      </c>
      <c r="CL2547" s="2" t="s">
        <v>86</v>
      </c>
      <c r="CM2547" s="2"/>
    </row>
    <row r="2548" spans="1:91">
      <c r="A2548" s="2" t="s">
        <v>71</v>
      </c>
      <c r="B2548" s="2" t="s">
        <v>72</v>
      </c>
      <c r="C2548" s="2" t="s">
        <v>73</v>
      </c>
      <c r="D2548" s="2"/>
      <c r="E2548" s="2" t="str">
        <f>"FES1162570709"</f>
        <v>FES1162570709</v>
      </c>
      <c r="F2548" s="3">
        <v>42969</v>
      </c>
      <c r="G2548" s="2">
        <v>201802</v>
      </c>
      <c r="H2548" s="2" t="s">
        <v>74</v>
      </c>
      <c r="I2548" s="2" t="s">
        <v>75</v>
      </c>
      <c r="J2548" s="2" t="s">
        <v>76</v>
      </c>
      <c r="K2548" s="2" t="s">
        <v>77</v>
      </c>
      <c r="L2548" s="2" t="s">
        <v>174</v>
      </c>
      <c r="M2548" s="2" t="s">
        <v>175</v>
      </c>
      <c r="N2548" s="2" t="s">
        <v>930</v>
      </c>
      <c r="O2548" s="2" t="s">
        <v>100</v>
      </c>
      <c r="P2548" s="2" t="str">
        <f>"2170586483                    "</f>
        <v xml:space="preserve">2170586483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7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3.1</v>
      </c>
      <c r="BJ2548" s="2">
        <v>1.7</v>
      </c>
      <c r="BK2548" s="2">
        <v>3.5</v>
      </c>
      <c r="BL2548" s="2">
        <v>72.52</v>
      </c>
      <c r="BM2548" s="2">
        <v>10.15</v>
      </c>
      <c r="BN2548" s="2">
        <v>82.67</v>
      </c>
      <c r="BO2548" s="2">
        <v>82.67</v>
      </c>
      <c r="BP2548" s="2"/>
      <c r="BQ2548" s="2" t="s">
        <v>83</v>
      </c>
      <c r="BR2548" s="2" t="s">
        <v>84</v>
      </c>
      <c r="BS2548" s="3">
        <v>42970</v>
      </c>
      <c r="BT2548" s="4">
        <v>0.45555555555555555</v>
      </c>
      <c r="BU2548" s="2" t="s">
        <v>1372</v>
      </c>
      <c r="BV2548" s="2" t="s">
        <v>95</v>
      </c>
      <c r="BW2548" s="2"/>
      <c r="BX2548" s="2"/>
      <c r="BY2548" s="2">
        <v>8388.93</v>
      </c>
      <c r="BZ2548" s="2"/>
      <c r="CA2548" s="2" t="s">
        <v>1373</v>
      </c>
      <c r="CB2548" s="2"/>
      <c r="CC2548" s="2" t="s">
        <v>175</v>
      </c>
      <c r="CD2548" s="2">
        <v>5201</v>
      </c>
      <c r="CE2548" s="2" t="s">
        <v>89</v>
      </c>
      <c r="CF2548" s="5">
        <v>42972</v>
      </c>
      <c r="CG2548" s="2"/>
      <c r="CH2548" s="2"/>
      <c r="CI2548" s="2">
        <v>1</v>
      </c>
      <c r="CJ2548" s="2">
        <v>1</v>
      </c>
      <c r="CK2548" s="2">
        <v>21</v>
      </c>
      <c r="CL2548" s="2" t="s">
        <v>86</v>
      </c>
      <c r="CM2548" s="2"/>
    </row>
    <row r="2549" spans="1:91">
      <c r="A2549" s="2" t="s">
        <v>71</v>
      </c>
      <c r="B2549" s="2" t="s">
        <v>72</v>
      </c>
      <c r="C2549" s="2" t="s">
        <v>73</v>
      </c>
      <c r="D2549" s="2"/>
      <c r="E2549" s="2" t="str">
        <f>"FES1162570706"</f>
        <v>FES1162570706</v>
      </c>
      <c r="F2549" s="3">
        <v>42969</v>
      </c>
      <c r="G2549" s="2">
        <v>201802</v>
      </c>
      <c r="H2549" s="2" t="s">
        <v>74</v>
      </c>
      <c r="I2549" s="2" t="s">
        <v>75</v>
      </c>
      <c r="J2549" s="2" t="s">
        <v>76</v>
      </c>
      <c r="K2549" s="2" t="s">
        <v>77</v>
      </c>
      <c r="L2549" s="2" t="s">
        <v>417</v>
      </c>
      <c r="M2549" s="2" t="s">
        <v>417</v>
      </c>
      <c r="N2549" s="2" t="s">
        <v>1849</v>
      </c>
      <c r="O2549" s="2" t="s">
        <v>100</v>
      </c>
      <c r="P2549" s="2" t="str">
        <f>"2170586476                    "</f>
        <v xml:space="preserve">2170586476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4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1</v>
      </c>
      <c r="BJ2549" s="2">
        <v>0.2</v>
      </c>
      <c r="BK2549" s="2">
        <v>1</v>
      </c>
      <c r="BL2549" s="2">
        <v>41.44</v>
      </c>
      <c r="BM2549" s="2">
        <v>5.8</v>
      </c>
      <c r="BN2549" s="2">
        <v>47.24</v>
      </c>
      <c r="BO2549" s="2">
        <v>47.24</v>
      </c>
      <c r="BP2549" s="2"/>
      <c r="BQ2549" s="2" t="s">
        <v>288</v>
      </c>
      <c r="BR2549" s="2" t="s">
        <v>84</v>
      </c>
      <c r="BS2549" s="3">
        <v>42970</v>
      </c>
      <c r="BT2549" s="4">
        <v>0.48125000000000001</v>
      </c>
      <c r="BU2549" s="2" t="s">
        <v>2972</v>
      </c>
      <c r="BV2549" s="2" t="s">
        <v>95</v>
      </c>
      <c r="BW2549" s="2"/>
      <c r="BX2549" s="2"/>
      <c r="BY2549" s="2">
        <v>1200</v>
      </c>
      <c r="BZ2549" s="2"/>
      <c r="CA2549" s="2" t="s">
        <v>420</v>
      </c>
      <c r="CB2549" s="2"/>
      <c r="CC2549" s="2" t="s">
        <v>417</v>
      </c>
      <c r="CD2549" s="2">
        <v>7620</v>
      </c>
      <c r="CE2549" s="2" t="s">
        <v>104</v>
      </c>
      <c r="CF2549" s="5">
        <v>42970</v>
      </c>
      <c r="CG2549" s="2"/>
      <c r="CH2549" s="2"/>
      <c r="CI2549" s="2">
        <v>1</v>
      </c>
      <c r="CJ2549" s="2">
        <v>1</v>
      </c>
      <c r="CK2549" s="2">
        <v>21</v>
      </c>
      <c r="CL2549" s="2" t="s">
        <v>86</v>
      </c>
      <c r="CM2549" s="2"/>
    </row>
    <row r="2550" spans="1:91">
      <c r="A2550" s="2" t="s">
        <v>71</v>
      </c>
      <c r="B2550" s="2" t="s">
        <v>72</v>
      </c>
      <c r="C2550" s="2" t="s">
        <v>73</v>
      </c>
      <c r="D2550" s="2"/>
      <c r="E2550" s="2" t="str">
        <f>"FES1162570714"</f>
        <v>FES1162570714</v>
      </c>
      <c r="F2550" s="3">
        <v>42969</v>
      </c>
      <c r="G2550" s="2">
        <v>201802</v>
      </c>
      <c r="H2550" s="2" t="s">
        <v>74</v>
      </c>
      <c r="I2550" s="2" t="s">
        <v>75</v>
      </c>
      <c r="J2550" s="2" t="s">
        <v>76</v>
      </c>
      <c r="K2550" s="2" t="s">
        <v>77</v>
      </c>
      <c r="L2550" s="2" t="s">
        <v>97</v>
      </c>
      <c r="M2550" s="2" t="s">
        <v>98</v>
      </c>
      <c r="N2550" s="2" t="s">
        <v>119</v>
      </c>
      <c r="O2550" s="2" t="s">
        <v>100</v>
      </c>
      <c r="P2550" s="2" t="str">
        <f>"2170586093                    "</f>
        <v xml:space="preserve">2170586093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10.01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5</v>
      </c>
      <c r="BJ2550" s="2">
        <v>1.8</v>
      </c>
      <c r="BK2550" s="2">
        <v>5</v>
      </c>
      <c r="BL2550" s="2">
        <v>103.61</v>
      </c>
      <c r="BM2550" s="2">
        <v>14.51</v>
      </c>
      <c r="BN2550" s="2">
        <v>118.12</v>
      </c>
      <c r="BO2550" s="2">
        <v>118.12</v>
      </c>
      <c r="BP2550" s="2"/>
      <c r="BQ2550" s="2" t="s">
        <v>108</v>
      </c>
      <c r="BR2550" s="2" t="s">
        <v>84</v>
      </c>
      <c r="BS2550" s="3">
        <v>42970</v>
      </c>
      <c r="BT2550" s="4">
        <v>0.34375</v>
      </c>
      <c r="BU2550" s="2" t="s">
        <v>798</v>
      </c>
      <c r="BV2550" s="2" t="s">
        <v>95</v>
      </c>
      <c r="BW2550" s="2"/>
      <c r="BX2550" s="2"/>
      <c r="BY2550" s="2">
        <v>9107.17</v>
      </c>
      <c r="BZ2550" s="2"/>
      <c r="CA2550" s="2" t="s">
        <v>213</v>
      </c>
      <c r="CB2550" s="2"/>
      <c r="CC2550" s="2" t="s">
        <v>98</v>
      </c>
      <c r="CD2550" s="2">
        <v>6001</v>
      </c>
      <c r="CE2550" s="2" t="s">
        <v>89</v>
      </c>
      <c r="CF2550" s="5">
        <v>42971</v>
      </c>
      <c r="CG2550" s="2"/>
      <c r="CH2550" s="2"/>
      <c r="CI2550" s="2">
        <v>1</v>
      </c>
      <c r="CJ2550" s="2">
        <v>1</v>
      </c>
      <c r="CK2550" s="2">
        <v>21</v>
      </c>
      <c r="CL2550" s="2" t="s">
        <v>86</v>
      </c>
      <c r="CM2550" s="2"/>
    </row>
    <row r="2551" spans="1:91">
      <c r="A2551" s="2" t="s">
        <v>71</v>
      </c>
      <c r="B2551" s="2" t="s">
        <v>72</v>
      </c>
      <c r="C2551" s="2" t="s">
        <v>73</v>
      </c>
      <c r="D2551" s="2"/>
      <c r="E2551" s="2" t="str">
        <f>"FES1162570701"</f>
        <v>FES1162570701</v>
      </c>
      <c r="F2551" s="3">
        <v>42969</v>
      </c>
      <c r="G2551" s="2">
        <v>201802</v>
      </c>
      <c r="H2551" s="2" t="s">
        <v>74</v>
      </c>
      <c r="I2551" s="2" t="s">
        <v>75</v>
      </c>
      <c r="J2551" s="2" t="s">
        <v>76</v>
      </c>
      <c r="K2551" s="2" t="s">
        <v>77</v>
      </c>
      <c r="L2551" s="2" t="s">
        <v>244</v>
      </c>
      <c r="M2551" s="2" t="s">
        <v>245</v>
      </c>
      <c r="N2551" s="2" t="s">
        <v>918</v>
      </c>
      <c r="O2551" s="2" t="s">
        <v>100</v>
      </c>
      <c r="P2551" s="2" t="str">
        <f>"2170586472                    "</f>
        <v xml:space="preserve">2170586472 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3.13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4.4000000000000004</v>
      </c>
      <c r="BJ2551" s="2">
        <v>4</v>
      </c>
      <c r="BK2551" s="2">
        <v>5</v>
      </c>
      <c r="BL2551" s="2">
        <v>32.380000000000003</v>
      </c>
      <c r="BM2551" s="2">
        <v>4.53</v>
      </c>
      <c r="BN2551" s="2">
        <v>36.909999999999997</v>
      </c>
      <c r="BO2551" s="2">
        <v>36.909999999999997</v>
      </c>
      <c r="BP2551" s="2"/>
      <c r="BQ2551" s="2" t="s">
        <v>288</v>
      </c>
      <c r="BR2551" s="2" t="s">
        <v>84</v>
      </c>
      <c r="BS2551" s="3">
        <v>42970</v>
      </c>
      <c r="BT2551" s="4">
        <v>0.34027777777777773</v>
      </c>
      <c r="BU2551" s="2" t="s">
        <v>919</v>
      </c>
      <c r="BV2551" s="2" t="s">
        <v>95</v>
      </c>
      <c r="BW2551" s="2"/>
      <c r="BX2551" s="2"/>
      <c r="BY2551" s="2">
        <v>20033.73</v>
      </c>
      <c r="BZ2551" s="2"/>
      <c r="CA2551" s="2" t="s">
        <v>499</v>
      </c>
      <c r="CB2551" s="2"/>
      <c r="CC2551" s="2" t="s">
        <v>245</v>
      </c>
      <c r="CD2551" s="2">
        <v>1459</v>
      </c>
      <c r="CE2551" s="2" t="s">
        <v>89</v>
      </c>
      <c r="CF2551" s="5">
        <v>42971</v>
      </c>
      <c r="CG2551" s="2"/>
      <c r="CH2551" s="2"/>
      <c r="CI2551" s="2">
        <v>1</v>
      </c>
      <c r="CJ2551" s="2">
        <v>1</v>
      </c>
      <c r="CK2551" s="2">
        <v>22</v>
      </c>
      <c r="CL2551" s="2" t="s">
        <v>86</v>
      </c>
      <c r="CM2551" s="2"/>
    </row>
    <row r="2552" spans="1:91">
      <c r="A2552" s="2" t="s">
        <v>71</v>
      </c>
      <c r="B2552" s="2" t="s">
        <v>72</v>
      </c>
      <c r="C2552" s="2" t="s">
        <v>73</v>
      </c>
      <c r="D2552" s="2"/>
      <c r="E2552" s="2" t="str">
        <f>"FES1162570700"</f>
        <v>FES1162570700</v>
      </c>
      <c r="F2552" s="3">
        <v>42969</v>
      </c>
      <c r="G2552" s="2">
        <v>201802</v>
      </c>
      <c r="H2552" s="2" t="s">
        <v>74</v>
      </c>
      <c r="I2552" s="2" t="s">
        <v>75</v>
      </c>
      <c r="J2552" s="2" t="s">
        <v>76</v>
      </c>
      <c r="K2552" s="2" t="s">
        <v>77</v>
      </c>
      <c r="L2552" s="2" t="s">
        <v>74</v>
      </c>
      <c r="M2552" s="2" t="s">
        <v>75</v>
      </c>
      <c r="N2552" s="2" t="s">
        <v>567</v>
      </c>
      <c r="O2552" s="2" t="s">
        <v>100</v>
      </c>
      <c r="P2552" s="2" t="str">
        <f>"2175866471                    "</f>
        <v xml:space="preserve">2175866471  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3.13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1</v>
      </c>
      <c r="BI2552" s="2">
        <v>1</v>
      </c>
      <c r="BJ2552" s="2">
        <v>0.2</v>
      </c>
      <c r="BK2552" s="2">
        <v>1</v>
      </c>
      <c r="BL2552" s="2">
        <v>32.380000000000003</v>
      </c>
      <c r="BM2552" s="2">
        <v>4.53</v>
      </c>
      <c r="BN2552" s="2">
        <v>36.909999999999997</v>
      </c>
      <c r="BO2552" s="2">
        <v>36.909999999999997</v>
      </c>
      <c r="BP2552" s="2"/>
      <c r="BQ2552" s="2" t="s">
        <v>108</v>
      </c>
      <c r="BR2552" s="2" t="s">
        <v>84</v>
      </c>
      <c r="BS2552" s="3">
        <v>42970</v>
      </c>
      <c r="BT2552" s="4">
        <v>0.36805555555555558</v>
      </c>
      <c r="BU2552" s="2" t="s">
        <v>569</v>
      </c>
      <c r="BV2552" s="2" t="s">
        <v>95</v>
      </c>
      <c r="BW2552" s="2"/>
      <c r="BX2552" s="2"/>
      <c r="BY2552" s="2">
        <v>1200</v>
      </c>
      <c r="BZ2552" s="2"/>
      <c r="CA2552" s="2" t="s">
        <v>570</v>
      </c>
      <c r="CB2552" s="2"/>
      <c r="CC2552" s="2" t="s">
        <v>75</v>
      </c>
      <c r="CD2552" s="2">
        <v>1682</v>
      </c>
      <c r="CE2552" s="2" t="s">
        <v>104</v>
      </c>
      <c r="CF2552" s="5">
        <v>42971</v>
      </c>
      <c r="CG2552" s="2"/>
      <c r="CH2552" s="2"/>
      <c r="CI2552" s="2">
        <v>1</v>
      </c>
      <c r="CJ2552" s="2">
        <v>1</v>
      </c>
      <c r="CK2552" s="2">
        <v>22</v>
      </c>
      <c r="CL2552" s="2" t="s">
        <v>86</v>
      </c>
      <c r="CM2552" s="2"/>
    </row>
    <row r="2553" spans="1:91">
      <c r="A2553" s="2" t="s">
        <v>71</v>
      </c>
      <c r="B2553" s="2" t="s">
        <v>72</v>
      </c>
      <c r="C2553" s="2" t="s">
        <v>73</v>
      </c>
      <c r="D2553" s="2"/>
      <c r="E2553" s="2" t="str">
        <f>"FES1162570689"</f>
        <v>FES1162570689</v>
      </c>
      <c r="F2553" s="3">
        <v>42969</v>
      </c>
      <c r="G2553" s="2">
        <v>201802</v>
      </c>
      <c r="H2553" s="2" t="s">
        <v>74</v>
      </c>
      <c r="I2553" s="2" t="s">
        <v>75</v>
      </c>
      <c r="J2553" s="2" t="s">
        <v>76</v>
      </c>
      <c r="K2553" s="2" t="s">
        <v>77</v>
      </c>
      <c r="L2553" s="2" t="s">
        <v>170</v>
      </c>
      <c r="M2553" s="2" t="s">
        <v>171</v>
      </c>
      <c r="N2553" s="2" t="s">
        <v>730</v>
      </c>
      <c r="O2553" s="2" t="s">
        <v>100</v>
      </c>
      <c r="P2553" s="2" t="str">
        <f>"2170586457                    "</f>
        <v xml:space="preserve">2170586457 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3.13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1</v>
      </c>
      <c r="BJ2553" s="2">
        <v>0.2</v>
      </c>
      <c r="BK2553" s="2">
        <v>1</v>
      </c>
      <c r="BL2553" s="2">
        <v>32.380000000000003</v>
      </c>
      <c r="BM2553" s="2">
        <v>4.53</v>
      </c>
      <c r="BN2553" s="2">
        <v>36.909999999999997</v>
      </c>
      <c r="BO2553" s="2">
        <v>36.909999999999997</v>
      </c>
      <c r="BP2553" s="2"/>
      <c r="BQ2553" s="2" t="s">
        <v>108</v>
      </c>
      <c r="BR2553" s="2" t="s">
        <v>84</v>
      </c>
      <c r="BS2553" s="3">
        <v>42970</v>
      </c>
      <c r="BT2553" s="4">
        <v>0.4375</v>
      </c>
      <c r="BU2553" s="2" t="s">
        <v>469</v>
      </c>
      <c r="BV2553" s="2" t="s">
        <v>95</v>
      </c>
      <c r="BW2553" s="2"/>
      <c r="BX2553" s="2"/>
      <c r="BY2553" s="2">
        <v>1200</v>
      </c>
      <c r="BZ2553" s="2"/>
      <c r="CA2553" s="2"/>
      <c r="CB2553" s="2"/>
      <c r="CC2553" s="2" t="s">
        <v>171</v>
      </c>
      <c r="CD2553" s="2">
        <v>1428</v>
      </c>
      <c r="CE2553" s="2" t="s">
        <v>104</v>
      </c>
      <c r="CF2553" s="5">
        <v>42971</v>
      </c>
      <c r="CG2553" s="2"/>
      <c r="CH2553" s="2"/>
      <c r="CI2553" s="2">
        <v>1</v>
      </c>
      <c r="CJ2553" s="2">
        <v>1</v>
      </c>
      <c r="CK2553" s="2">
        <v>22</v>
      </c>
      <c r="CL2553" s="2" t="s">
        <v>86</v>
      </c>
      <c r="CM2553" s="2"/>
    </row>
    <row r="2554" spans="1:91">
      <c r="A2554" s="2" t="s">
        <v>71</v>
      </c>
      <c r="B2554" s="2" t="s">
        <v>72</v>
      </c>
      <c r="C2554" s="2" t="s">
        <v>73</v>
      </c>
      <c r="D2554" s="2"/>
      <c r="E2554" s="2" t="str">
        <f>"009935791642"</f>
        <v>009935791642</v>
      </c>
      <c r="F2554" s="3">
        <v>42969</v>
      </c>
      <c r="G2554" s="2">
        <v>201802</v>
      </c>
      <c r="H2554" s="2" t="s">
        <v>74</v>
      </c>
      <c r="I2554" s="2" t="s">
        <v>75</v>
      </c>
      <c r="J2554" s="2" t="s">
        <v>76</v>
      </c>
      <c r="K2554" s="2" t="s">
        <v>77</v>
      </c>
      <c r="L2554" s="2" t="s">
        <v>221</v>
      </c>
      <c r="M2554" s="2" t="s">
        <v>222</v>
      </c>
      <c r="N2554" s="2" t="s">
        <v>2293</v>
      </c>
      <c r="O2554" s="2" t="s">
        <v>100</v>
      </c>
      <c r="P2554" s="2" t="str">
        <f>"2170583305 1162567401         "</f>
        <v xml:space="preserve">2170583305 1162567401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5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1</v>
      </c>
      <c r="BI2554" s="2">
        <v>2.4</v>
      </c>
      <c r="BJ2554" s="2">
        <v>0.9</v>
      </c>
      <c r="BK2554" s="2">
        <v>2.5</v>
      </c>
      <c r="BL2554" s="2">
        <v>51.8</v>
      </c>
      <c r="BM2554" s="2">
        <v>7.25</v>
      </c>
      <c r="BN2554" s="2">
        <v>59.05</v>
      </c>
      <c r="BO2554" s="2">
        <v>59.05</v>
      </c>
      <c r="BP2554" s="2" t="s">
        <v>2973</v>
      </c>
      <c r="BQ2554" s="2" t="s">
        <v>2974</v>
      </c>
      <c r="BR2554" s="2" t="s">
        <v>84</v>
      </c>
      <c r="BS2554" s="3">
        <v>42970</v>
      </c>
      <c r="BT2554" s="4">
        <v>0.375</v>
      </c>
      <c r="BU2554" s="2" t="s">
        <v>2975</v>
      </c>
      <c r="BV2554" s="2" t="s">
        <v>95</v>
      </c>
      <c r="BW2554" s="2"/>
      <c r="BX2554" s="2"/>
      <c r="BY2554" s="2">
        <v>4620.67</v>
      </c>
      <c r="BZ2554" s="2"/>
      <c r="CA2554" s="2" t="s">
        <v>934</v>
      </c>
      <c r="CB2554" s="2"/>
      <c r="CC2554" s="2" t="s">
        <v>222</v>
      </c>
      <c r="CD2554" s="2">
        <v>4302</v>
      </c>
      <c r="CE2554" s="2" t="s">
        <v>135</v>
      </c>
      <c r="CF2554" s="2"/>
      <c r="CG2554" s="2"/>
      <c r="CH2554" s="2"/>
      <c r="CI2554" s="2">
        <v>1</v>
      </c>
      <c r="CJ2554" s="2">
        <v>1</v>
      </c>
      <c r="CK2554" s="2">
        <v>21</v>
      </c>
      <c r="CL2554" s="2" t="s">
        <v>86</v>
      </c>
      <c r="CM2554" s="2"/>
    </row>
    <row r="2555" spans="1:91">
      <c r="A2555" s="2" t="s">
        <v>71</v>
      </c>
      <c r="B2555" s="2" t="s">
        <v>72</v>
      </c>
      <c r="C2555" s="2" t="s">
        <v>73</v>
      </c>
      <c r="D2555" s="2"/>
      <c r="E2555" s="2" t="str">
        <f>"FES1162570711"</f>
        <v>FES1162570711</v>
      </c>
      <c r="F2555" s="3">
        <v>42969</v>
      </c>
      <c r="G2555" s="2">
        <v>201802</v>
      </c>
      <c r="H2555" s="2" t="s">
        <v>74</v>
      </c>
      <c r="I2555" s="2" t="s">
        <v>75</v>
      </c>
      <c r="J2555" s="2" t="s">
        <v>76</v>
      </c>
      <c r="K2555" s="2" t="s">
        <v>77</v>
      </c>
      <c r="L2555" s="2" t="s">
        <v>216</v>
      </c>
      <c r="M2555" s="2" t="s">
        <v>217</v>
      </c>
      <c r="N2555" s="2" t="s">
        <v>2899</v>
      </c>
      <c r="O2555" s="2" t="s">
        <v>100</v>
      </c>
      <c r="P2555" s="2" t="str">
        <f>"2170586258                    "</f>
        <v xml:space="preserve">2170586258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3.13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1.9</v>
      </c>
      <c r="BJ2555" s="2">
        <v>1</v>
      </c>
      <c r="BK2555" s="2">
        <v>2</v>
      </c>
      <c r="BL2555" s="2">
        <v>32.380000000000003</v>
      </c>
      <c r="BM2555" s="2">
        <v>4.53</v>
      </c>
      <c r="BN2555" s="2">
        <v>36.909999999999997</v>
      </c>
      <c r="BO2555" s="2">
        <v>36.909999999999997</v>
      </c>
      <c r="BP2555" s="2"/>
      <c r="BQ2555" s="2" t="s">
        <v>288</v>
      </c>
      <c r="BR2555" s="2" t="s">
        <v>84</v>
      </c>
      <c r="BS2555" s="3">
        <v>42970</v>
      </c>
      <c r="BT2555" s="4">
        <v>0.37152777777777773</v>
      </c>
      <c r="BU2555" s="2" t="s">
        <v>2843</v>
      </c>
      <c r="BV2555" s="2" t="s">
        <v>95</v>
      </c>
      <c r="BW2555" s="2"/>
      <c r="BX2555" s="2"/>
      <c r="BY2555" s="2">
        <v>5182.8500000000004</v>
      </c>
      <c r="BZ2555" s="2"/>
      <c r="CA2555" s="2"/>
      <c r="CB2555" s="2"/>
      <c r="CC2555" s="2" t="s">
        <v>217</v>
      </c>
      <c r="CD2555" s="2">
        <v>1451</v>
      </c>
      <c r="CE2555" s="2" t="s">
        <v>135</v>
      </c>
      <c r="CF2555" s="5">
        <v>42971</v>
      </c>
      <c r="CG2555" s="2"/>
      <c r="CH2555" s="2"/>
      <c r="CI2555" s="2">
        <v>1</v>
      </c>
      <c r="CJ2555" s="2">
        <v>1</v>
      </c>
      <c r="CK2555" s="2">
        <v>22</v>
      </c>
      <c r="CL2555" s="2" t="s">
        <v>86</v>
      </c>
      <c r="CM2555" s="2"/>
    </row>
    <row r="2556" spans="1:91">
      <c r="A2556" s="2" t="s">
        <v>71</v>
      </c>
      <c r="B2556" s="2" t="s">
        <v>72</v>
      </c>
      <c r="C2556" s="2" t="s">
        <v>73</v>
      </c>
      <c r="D2556" s="2"/>
      <c r="E2556" s="2" t="str">
        <f>"FES1162570699"</f>
        <v>FES1162570699</v>
      </c>
      <c r="F2556" s="3">
        <v>42969</v>
      </c>
      <c r="G2556" s="2">
        <v>201802</v>
      </c>
      <c r="H2556" s="2" t="s">
        <v>74</v>
      </c>
      <c r="I2556" s="2" t="s">
        <v>75</v>
      </c>
      <c r="J2556" s="2" t="s">
        <v>76</v>
      </c>
      <c r="K2556" s="2" t="s">
        <v>77</v>
      </c>
      <c r="L2556" s="2" t="s">
        <v>237</v>
      </c>
      <c r="M2556" s="2" t="s">
        <v>238</v>
      </c>
      <c r="N2556" s="2" t="s">
        <v>1766</v>
      </c>
      <c r="O2556" s="2" t="s">
        <v>100</v>
      </c>
      <c r="P2556" s="2" t="str">
        <f>"2170586470                    "</f>
        <v xml:space="preserve">2170586470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4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1</v>
      </c>
      <c r="BJ2556" s="2">
        <v>0.2</v>
      </c>
      <c r="BK2556" s="2">
        <v>1</v>
      </c>
      <c r="BL2556" s="2">
        <v>41.44</v>
      </c>
      <c r="BM2556" s="2">
        <v>5.8</v>
      </c>
      <c r="BN2556" s="2">
        <v>47.24</v>
      </c>
      <c r="BO2556" s="2">
        <v>47.24</v>
      </c>
      <c r="BP2556" s="2"/>
      <c r="BQ2556" s="2" t="s">
        <v>108</v>
      </c>
      <c r="BR2556" s="2" t="s">
        <v>84</v>
      </c>
      <c r="BS2556" s="3">
        <v>42970</v>
      </c>
      <c r="BT2556" s="4">
        <v>0.43263888888888885</v>
      </c>
      <c r="BU2556" s="2" t="s">
        <v>428</v>
      </c>
      <c r="BV2556" s="2" t="s">
        <v>95</v>
      </c>
      <c r="BW2556" s="2"/>
      <c r="BX2556" s="2"/>
      <c r="BY2556" s="2">
        <v>1200</v>
      </c>
      <c r="BZ2556" s="2"/>
      <c r="CA2556" s="2" t="s">
        <v>401</v>
      </c>
      <c r="CB2556" s="2"/>
      <c r="CC2556" s="2" t="s">
        <v>238</v>
      </c>
      <c r="CD2556" s="2">
        <v>3620</v>
      </c>
      <c r="CE2556" s="2" t="s">
        <v>104</v>
      </c>
      <c r="CF2556" s="5">
        <v>42971</v>
      </c>
      <c r="CG2556" s="2"/>
      <c r="CH2556" s="2"/>
      <c r="CI2556" s="2">
        <v>1</v>
      </c>
      <c r="CJ2556" s="2">
        <v>1</v>
      </c>
      <c r="CK2556" s="2">
        <v>21</v>
      </c>
      <c r="CL2556" s="2" t="s">
        <v>86</v>
      </c>
      <c r="CM2556" s="2"/>
    </row>
    <row r="2557" spans="1:91">
      <c r="A2557" s="2" t="s">
        <v>71</v>
      </c>
      <c r="B2557" s="2" t="s">
        <v>72</v>
      </c>
      <c r="C2557" s="2" t="s">
        <v>73</v>
      </c>
      <c r="D2557" s="2"/>
      <c r="E2557" s="2" t="str">
        <f>"FES1162570638"</f>
        <v>FES1162570638</v>
      </c>
      <c r="F2557" s="3">
        <v>42969</v>
      </c>
      <c r="G2557" s="2">
        <v>201802</v>
      </c>
      <c r="H2557" s="2" t="s">
        <v>74</v>
      </c>
      <c r="I2557" s="2" t="s">
        <v>75</v>
      </c>
      <c r="J2557" s="2" t="s">
        <v>76</v>
      </c>
      <c r="K2557" s="2" t="s">
        <v>77</v>
      </c>
      <c r="L2557" s="2" t="s">
        <v>105</v>
      </c>
      <c r="M2557" s="2" t="s">
        <v>106</v>
      </c>
      <c r="N2557" s="2" t="s">
        <v>644</v>
      </c>
      <c r="O2557" s="2" t="s">
        <v>100</v>
      </c>
      <c r="P2557" s="2" t="str">
        <f>"2170586398                    "</f>
        <v xml:space="preserve">2170586398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4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1</v>
      </c>
      <c r="BJ2557" s="2">
        <v>0.2</v>
      </c>
      <c r="BK2557" s="2">
        <v>1</v>
      </c>
      <c r="BL2557" s="2">
        <v>41.44</v>
      </c>
      <c r="BM2557" s="2">
        <v>5.8</v>
      </c>
      <c r="BN2557" s="2">
        <v>47.24</v>
      </c>
      <c r="BO2557" s="2">
        <v>47.24</v>
      </c>
      <c r="BP2557" s="2"/>
      <c r="BQ2557" s="2" t="s">
        <v>108</v>
      </c>
      <c r="BR2557" s="2" t="s">
        <v>84</v>
      </c>
      <c r="BS2557" s="3">
        <v>42970</v>
      </c>
      <c r="BT2557" s="4">
        <v>0.44097222222222227</v>
      </c>
      <c r="BU2557" s="2" t="s">
        <v>796</v>
      </c>
      <c r="BV2557" s="2" t="s">
        <v>95</v>
      </c>
      <c r="BW2557" s="2"/>
      <c r="BX2557" s="2"/>
      <c r="BY2557" s="2">
        <v>1200</v>
      </c>
      <c r="BZ2557" s="2"/>
      <c r="CA2557" s="2" t="s">
        <v>112</v>
      </c>
      <c r="CB2557" s="2"/>
      <c r="CC2557" s="2" t="s">
        <v>106</v>
      </c>
      <c r="CD2557" s="2">
        <v>7441</v>
      </c>
      <c r="CE2557" s="2" t="s">
        <v>104</v>
      </c>
      <c r="CF2557" s="5">
        <v>42971</v>
      </c>
      <c r="CG2557" s="2"/>
      <c r="CH2557" s="2"/>
      <c r="CI2557" s="2">
        <v>1</v>
      </c>
      <c r="CJ2557" s="2">
        <v>1</v>
      </c>
      <c r="CK2557" s="2">
        <v>21</v>
      </c>
      <c r="CL2557" s="2" t="s">
        <v>86</v>
      </c>
      <c r="CM2557" s="2"/>
    </row>
    <row r="2558" spans="1:91">
      <c r="A2558" s="2" t="s">
        <v>71</v>
      </c>
      <c r="B2558" s="2" t="s">
        <v>72</v>
      </c>
      <c r="C2558" s="2" t="s">
        <v>73</v>
      </c>
      <c r="D2558" s="2"/>
      <c r="E2558" s="2" t="str">
        <f>"FES1162570595"</f>
        <v>FES1162570595</v>
      </c>
      <c r="F2558" s="3">
        <v>42969</v>
      </c>
      <c r="G2558" s="2">
        <v>201802</v>
      </c>
      <c r="H2558" s="2" t="s">
        <v>74</v>
      </c>
      <c r="I2558" s="2" t="s">
        <v>75</v>
      </c>
      <c r="J2558" s="2" t="s">
        <v>76</v>
      </c>
      <c r="K2558" s="2" t="s">
        <v>77</v>
      </c>
      <c r="L2558" s="2" t="s">
        <v>105</v>
      </c>
      <c r="M2558" s="2" t="s">
        <v>106</v>
      </c>
      <c r="N2558" s="2" t="s">
        <v>1093</v>
      </c>
      <c r="O2558" s="2" t="s">
        <v>100</v>
      </c>
      <c r="P2558" s="2" t="str">
        <f>"2170586339                    "</f>
        <v xml:space="preserve">2170586339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4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1</v>
      </c>
      <c r="BJ2558" s="2">
        <v>0.2</v>
      </c>
      <c r="BK2558" s="2">
        <v>1</v>
      </c>
      <c r="BL2558" s="2">
        <v>41.44</v>
      </c>
      <c r="BM2558" s="2">
        <v>5.8</v>
      </c>
      <c r="BN2558" s="2">
        <v>47.24</v>
      </c>
      <c r="BO2558" s="2">
        <v>47.24</v>
      </c>
      <c r="BP2558" s="2"/>
      <c r="BQ2558" s="2" t="s">
        <v>83</v>
      </c>
      <c r="BR2558" s="2" t="s">
        <v>84</v>
      </c>
      <c r="BS2558" s="3">
        <v>42970</v>
      </c>
      <c r="BT2558" s="4">
        <v>0.3840277777777778</v>
      </c>
      <c r="BU2558" s="2" t="s">
        <v>1094</v>
      </c>
      <c r="BV2558" s="2" t="s">
        <v>95</v>
      </c>
      <c r="BW2558" s="2"/>
      <c r="BX2558" s="2"/>
      <c r="BY2558" s="2">
        <v>1200</v>
      </c>
      <c r="BZ2558" s="2"/>
      <c r="CA2558" s="2" t="s">
        <v>1095</v>
      </c>
      <c r="CB2558" s="2"/>
      <c r="CC2558" s="2" t="s">
        <v>106</v>
      </c>
      <c r="CD2558" s="2">
        <v>7975</v>
      </c>
      <c r="CE2558" s="2" t="s">
        <v>104</v>
      </c>
      <c r="CF2558" s="5">
        <v>42971</v>
      </c>
      <c r="CG2558" s="2"/>
      <c r="CH2558" s="2"/>
      <c r="CI2558" s="2">
        <v>1</v>
      </c>
      <c r="CJ2558" s="2">
        <v>1</v>
      </c>
      <c r="CK2558" s="2">
        <v>21</v>
      </c>
      <c r="CL2558" s="2" t="s">
        <v>86</v>
      </c>
      <c r="CM2558" s="2"/>
    </row>
    <row r="2559" spans="1:91">
      <c r="A2559" s="2" t="s">
        <v>71</v>
      </c>
      <c r="B2559" s="2" t="s">
        <v>72</v>
      </c>
      <c r="C2559" s="2" t="s">
        <v>73</v>
      </c>
      <c r="D2559" s="2"/>
      <c r="E2559" s="2" t="str">
        <f>"FES1162570653"</f>
        <v>FES1162570653</v>
      </c>
      <c r="F2559" s="3">
        <v>42969</v>
      </c>
      <c r="G2559" s="2">
        <v>201802</v>
      </c>
      <c r="H2559" s="2" t="s">
        <v>74</v>
      </c>
      <c r="I2559" s="2" t="s">
        <v>75</v>
      </c>
      <c r="J2559" s="2" t="s">
        <v>76</v>
      </c>
      <c r="K2559" s="2" t="s">
        <v>77</v>
      </c>
      <c r="L2559" s="2" t="s">
        <v>244</v>
      </c>
      <c r="M2559" s="2" t="s">
        <v>245</v>
      </c>
      <c r="N2559" s="2" t="s">
        <v>882</v>
      </c>
      <c r="O2559" s="2" t="s">
        <v>100</v>
      </c>
      <c r="P2559" s="2" t="str">
        <f>"2170586415                    "</f>
        <v xml:space="preserve">2170586415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3.13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1</v>
      </c>
      <c r="BJ2559" s="2">
        <v>0.2</v>
      </c>
      <c r="BK2559" s="2">
        <v>1</v>
      </c>
      <c r="BL2559" s="2">
        <v>32.380000000000003</v>
      </c>
      <c r="BM2559" s="2">
        <v>4.53</v>
      </c>
      <c r="BN2559" s="2">
        <v>36.909999999999997</v>
      </c>
      <c r="BO2559" s="2">
        <v>36.909999999999997</v>
      </c>
      <c r="BP2559" s="2"/>
      <c r="BQ2559" s="2" t="s">
        <v>108</v>
      </c>
      <c r="BR2559" s="2" t="s">
        <v>84</v>
      </c>
      <c r="BS2559" s="3">
        <v>42970</v>
      </c>
      <c r="BT2559" s="4">
        <v>0.40486111111111112</v>
      </c>
      <c r="BU2559" s="2" t="s">
        <v>883</v>
      </c>
      <c r="BV2559" s="2" t="s">
        <v>95</v>
      </c>
      <c r="BW2559" s="2"/>
      <c r="BX2559" s="2"/>
      <c r="BY2559" s="2">
        <v>1200</v>
      </c>
      <c r="BZ2559" s="2"/>
      <c r="CA2559" s="2" t="s">
        <v>733</v>
      </c>
      <c r="CB2559" s="2"/>
      <c r="CC2559" s="2" t="s">
        <v>245</v>
      </c>
      <c r="CD2559" s="2">
        <v>1459</v>
      </c>
      <c r="CE2559" s="2" t="s">
        <v>104</v>
      </c>
      <c r="CF2559" s="5">
        <v>42971</v>
      </c>
      <c r="CG2559" s="2"/>
      <c r="CH2559" s="2"/>
      <c r="CI2559" s="2">
        <v>1</v>
      </c>
      <c r="CJ2559" s="2">
        <v>1</v>
      </c>
      <c r="CK2559" s="2">
        <v>22</v>
      </c>
      <c r="CL2559" s="2" t="s">
        <v>86</v>
      </c>
      <c r="CM2559" s="2"/>
    </row>
    <row r="2560" spans="1:91">
      <c r="A2560" s="2" t="s">
        <v>71</v>
      </c>
      <c r="B2560" s="2" t="s">
        <v>72</v>
      </c>
      <c r="C2560" s="2" t="s">
        <v>73</v>
      </c>
      <c r="D2560" s="2"/>
      <c r="E2560" s="2" t="str">
        <f>"FES1162570659"</f>
        <v>FES1162570659</v>
      </c>
      <c r="F2560" s="3">
        <v>42969</v>
      </c>
      <c r="G2560" s="2">
        <v>201802</v>
      </c>
      <c r="H2560" s="2" t="s">
        <v>74</v>
      </c>
      <c r="I2560" s="2" t="s">
        <v>75</v>
      </c>
      <c r="J2560" s="2" t="s">
        <v>76</v>
      </c>
      <c r="K2560" s="2" t="s">
        <v>77</v>
      </c>
      <c r="L2560" s="2" t="s">
        <v>137</v>
      </c>
      <c r="M2560" s="2" t="s">
        <v>138</v>
      </c>
      <c r="N2560" s="2" t="s">
        <v>368</v>
      </c>
      <c r="O2560" s="2" t="s">
        <v>100</v>
      </c>
      <c r="P2560" s="2" t="str">
        <f>"2170586425                    "</f>
        <v xml:space="preserve">2170586425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4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1</v>
      </c>
      <c r="BJ2560" s="2">
        <v>0.2</v>
      </c>
      <c r="BK2560" s="2">
        <v>1</v>
      </c>
      <c r="BL2560" s="2">
        <v>41.44</v>
      </c>
      <c r="BM2560" s="2">
        <v>5.8</v>
      </c>
      <c r="BN2560" s="2">
        <v>47.24</v>
      </c>
      <c r="BO2560" s="2">
        <v>47.24</v>
      </c>
      <c r="BP2560" s="2"/>
      <c r="BQ2560" s="2" t="s">
        <v>108</v>
      </c>
      <c r="BR2560" s="2" t="s">
        <v>84</v>
      </c>
      <c r="BS2560" s="3">
        <v>42970</v>
      </c>
      <c r="BT2560" s="4">
        <v>0.34166666666666662</v>
      </c>
      <c r="BU2560" s="2" t="s">
        <v>2976</v>
      </c>
      <c r="BV2560" s="2" t="s">
        <v>95</v>
      </c>
      <c r="BW2560" s="2"/>
      <c r="BX2560" s="2"/>
      <c r="BY2560" s="2">
        <v>1200</v>
      </c>
      <c r="BZ2560" s="2"/>
      <c r="CA2560" s="2" t="s">
        <v>2977</v>
      </c>
      <c r="CB2560" s="2"/>
      <c r="CC2560" s="2" t="s">
        <v>138</v>
      </c>
      <c r="CD2560" s="2">
        <v>157</v>
      </c>
      <c r="CE2560" s="2" t="s">
        <v>104</v>
      </c>
      <c r="CF2560" s="5">
        <v>42971</v>
      </c>
      <c r="CG2560" s="2"/>
      <c r="CH2560" s="2"/>
      <c r="CI2560" s="2">
        <v>1</v>
      </c>
      <c r="CJ2560" s="2">
        <v>1</v>
      </c>
      <c r="CK2560" s="2">
        <v>21</v>
      </c>
      <c r="CL2560" s="2" t="s">
        <v>86</v>
      </c>
      <c r="CM2560" s="2"/>
    </row>
    <row r="2561" spans="1:91">
      <c r="A2561" s="2" t="s">
        <v>71</v>
      </c>
      <c r="B2561" s="2" t="s">
        <v>72</v>
      </c>
      <c r="C2561" s="2" t="s">
        <v>73</v>
      </c>
      <c r="D2561" s="2"/>
      <c r="E2561" s="2" t="str">
        <f>"FES1162570639"</f>
        <v>FES1162570639</v>
      </c>
      <c r="F2561" s="3">
        <v>42969</v>
      </c>
      <c r="G2561" s="2">
        <v>201802</v>
      </c>
      <c r="H2561" s="2" t="s">
        <v>74</v>
      </c>
      <c r="I2561" s="2" t="s">
        <v>75</v>
      </c>
      <c r="J2561" s="2" t="s">
        <v>76</v>
      </c>
      <c r="K2561" s="2" t="s">
        <v>77</v>
      </c>
      <c r="L2561" s="2" t="s">
        <v>417</v>
      </c>
      <c r="M2561" s="2" t="s">
        <v>417</v>
      </c>
      <c r="N2561" s="2" t="s">
        <v>1849</v>
      </c>
      <c r="O2561" s="2" t="s">
        <v>100</v>
      </c>
      <c r="P2561" s="2" t="str">
        <f>"2170586399                    "</f>
        <v xml:space="preserve">2170586399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4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1</v>
      </c>
      <c r="BJ2561" s="2">
        <v>0.2</v>
      </c>
      <c r="BK2561" s="2">
        <v>1</v>
      </c>
      <c r="BL2561" s="2">
        <v>41.44</v>
      </c>
      <c r="BM2561" s="2">
        <v>5.8</v>
      </c>
      <c r="BN2561" s="2">
        <v>47.24</v>
      </c>
      <c r="BO2561" s="2">
        <v>47.24</v>
      </c>
      <c r="BP2561" s="2"/>
      <c r="BQ2561" s="2" t="s">
        <v>288</v>
      </c>
      <c r="BR2561" s="2" t="s">
        <v>84</v>
      </c>
      <c r="BS2561" s="3">
        <v>42970</v>
      </c>
      <c r="BT2561" s="4">
        <v>0.48125000000000001</v>
      </c>
      <c r="BU2561" s="2" t="s">
        <v>2972</v>
      </c>
      <c r="BV2561" s="2" t="s">
        <v>95</v>
      </c>
      <c r="BW2561" s="2"/>
      <c r="BX2561" s="2"/>
      <c r="BY2561" s="2">
        <v>1200</v>
      </c>
      <c r="BZ2561" s="2"/>
      <c r="CA2561" s="2" t="s">
        <v>420</v>
      </c>
      <c r="CB2561" s="2"/>
      <c r="CC2561" s="2" t="s">
        <v>417</v>
      </c>
      <c r="CD2561" s="2">
        <v>7620</v>
      </c>
      <c r="CE2561" s="2" t="s">
        <v>104</v>
      </c>
      <c r="CF2561" s="5">
        <v>42970</v>
      </c>
      <c r="CG2561" s="2"/>
      <c r="CH2561" s="2"/>
      <c r="CI2561" s="2">
        <v>1</v>
      </c>
      <c r="CJ2561" s="2">
        <v>1</v>
      </c>
      <c r="CK2561" s="2">
        <v>21</v>
      </c>
      <c r="CL2561" s="2" t="s">
        <v>86</v>
      </c>
      <c r="CM2561" s="2"/>
    </row>
    <row r="2562" spans="1:91">
      <c r="A2562" s="2" t="s">
        <v>71</v>
      </c>
      <c r="B2562" s="2" t="s">
        <v>72</v>
      </c>
      <c r="C2562" s="2" t="s">
        <v>73</v>
      </c>
      <c r="D2562" s="2"/>
      <c r="E2562" s="2" t="str">
        <f>"FES1162570660"</f>
        <v>FES1162570660</v>
      </c>
      <c r="F2562" s="3">
        <v>42969</v>
      </c>
      <c r="G2562" s="2">
        <v>201802</v>
      </c>
      <c r="H2562" s="2" t="s">
        <v>74</v>
      </c>
      <c r="I2562" s="2" t="s">
        <v>75</v>
      </c>
      <c r="J2562" s="2" t="s">
        <v>76</v>
      </c>
      <c r="K2562" s="2" t="s">
        <v>77</v>
      </c>
      <c r="L2562" s="2" t="s">
        <v>144</v>
      </c>
      <c r="M2562" s="2" t="s">
        <v>145</v>
      </c>
      <c r="N2562" s="2" t="s">
        <v>2319</v>
      </c>
      <c r="O2562" s="2" t="s">
        <v>100</v>
      </c>
      <c r="P2562" s="2" t="str">
        <f>"2170586427                    "</f>
        <v xml:space="preserve">2170586427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3.13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1</v>
      </c>
      <c r="BJ2562" s="2">
        <v>0.2</v>
      </c>
      <c r="BK2562" s="2">
        <v>1</v>
      </c>
      <c r="BL2562" s="2">
        <v>32.380000000000003</v>
      </c>
      <c r="BM2562" s="2">
        <v>4.53</v>
      </c>
      <c r="BN2562" s="2">
        <v>36.909999999999997</v>
      </c>
      <c r="BO2562" s="2">
        <v>36.909999999999997</v>
      </c>
      <c r="BP2562" s="2"/>
      <c r="BQ2562" s="2" t="s">
        <v>288</v>
      </c>
      <c r="BR2562" s="2" t="s">
        <v>84</v>
      </c>
      <c r="BS2562" s="3">
        <v>42970</v>
      </c>
      <c r="BT2562" s="4">
        <v>0.44791666666666669</v>
      </c>
      <c r="BU2562" s="2" t="s">
        <v>2320</v>
      </c>
      <c r="BV2562" s="2" t="s">
        <v>95</v>
      </c>
      <c r="BW2562" s="2"/>
      <c r="BX2562" s="2"/>
      <c r="BY2562" s="2">
        <v>1200</v>
      </c>
      <c r="BZ2562" s="2"/>
      <c r="CA2562" s="2" t="s">
        <v>1714</v>
      </c>
      <c r="CB2562" s="2"/>
      <c r="CC2562" s="2" t="s">
        <v>145</v>
      </c>
      <c r="CD2562" s="2">
        <v>2090</v>
      </c>
      <c r="CE2562" s="2" t="s">
        <v>104</v>
      </c>
      <c r="CF2562" s="5">
        <v>42971</v>
      </c>
      <c r="CG2562" s="2"/>
      <c r="CH2562" s="2"/>
      <c r="CI2562" s="2">
        <v>1</v>
      </c>
      <c r="CJ2562" s="2">
        <v>1</v>
      </c>
      <c r="CK2562" s="2">
        <v>22</v>
      </c>
      <c r="CL2562" s="2" t="s">
        <v>86</v>
      </c>
      <c r="CM2562" s="2"/>
    </row>
    <row r="2563" spans="1:91">
      <c r="A2563" s="2" t="s">
        <v>71</v>
      </c>
      <c r="B2563" s="2" t="s">
        <v>72</v>
      </c>
      <c r="C2563" s="2" t="s">
        <v>73</v>
      </c>
      <c r="D2563" s="2"/>
      <c r="E2563" s="2" t="str">
        <f>"FES1162570643"</f>
        <v>FES1162570643</v>
      </c>
      <c r="F2563" s="3">
        <v>42969</v>
      </c>
      <c r="G2563" s="2">
        <v>201802</v>
      </c>
      <c r="H2563" s="2" t="s">
        <v>74</v>
      </c>
      <c r="I2563" s="2" t="s">
        <v>75</v>
      </c>
      <c r="J2563" s="2" t="s">
        <v>76</v>
      </c>
      <c r="K2563" s="2" t="s">
        <v>77</v>
      </c>
      <c r="L2563" s="2" t="s">
        <v>944</v>
      </c>
      <c r="M2563" s="2" t="s">
        <v>944</v>
      </c>
      <c r="N2563" s="2" t="s">
        <v>1137</v>
      </c>
      <c r="O2563" s="2" t="s">
        <v>100</v>
      </c>
      <c r="P2563" s="2" t="str">
        <f>"2170586387                    "</f>
        <v xml:space="preserve">2170586387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5.63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1</v>
      </c>
      <c r="BJ2563" s="2">
        <v>0.2</v>
      </c>
      <c r="BK2563" s="2">
        <v>1</v>
      </c>
      <c r="BL2563" s="2">
        <v>58.28</v>
      </c>
      <c r="BM2563" s="2">
        <v>8.16</v>
      </c>
      <c r="BN2563" s="2">
        <v>66.44</v>
      </c>
      <c r="BO2563" s="2">
        <v>66.44</v>
      </c>
      <c r="BP2563" s="2"/>
      <c r="BQ2563" s="2" t="s">
        <v>288</v>
      </c>
      <c r="BR2563" s="2" t="s">
        <v>84</v>
      </c>
      <c r="BS2563" s="3">
        <v>42970</v>
      </c>
      <c r="BT2563" s="4">
        <v>0.3888888888888889</v>
      </c>
      <c r="BU2563" s="2" t="s">
        <v>1507</v>
      </c>
      <c r="BV2563" s="2" t="s">
        <v>95</v>
      </c>
      <c r="BW2563" s="2"/>
      <c r="BX2563" s="2"/>
      <c r="BY2563" s="2">
        <v>1200</v>
      </c>
      <c r="BZ2563" s="2"/>
      <c r="CA2563" s="2" t="s">
        <v>1098</v>
      </c>
      <c r="CB2563" s="2"/>
      <c r="CC2563" s="2" t="s">
        <v>944</v>
      </c>
      <c r="CD2563" s="2">
        <v>1490</v>
      </c>
      <c r="CE2563" s="2" t="s">
        <v>104</v>
      </c>
      <c r="CF2563" s="5">
        <v>42971</v>
      </c>
      <c r="CG2563" s="2"/>
      <c r="CH2563" s="2"/>
      <c r="CI2563" s="2">
        <v>1</v>
      </c>
      <c r="CJ2563" s="2">
        <v>1</v>
      </c>
      <c r="CK2563" s="2">
        <v>24</v>
      </c>
      <c r="CL2563" s="2" t="s">
        <v>86</v>
      </c>
      <c r="CM2563" s="2"/>
    </row>
    <row r="2564" spans="1:91">
      <c r="A2564" s="2" t="s">
        <v>71</v>
      </c>
      <c r="B2564" s="2" t="s">
        <v>72</v>
      </c>
      <c r="C2564" s="2" t="s">
        <v>73</v>
      </c>
      <c r="D2564" s="2"/>
      <c r="E2564" s="2" t="str">
        <f>"FES1162570604"</f>
        <v>FES1162570604</v>
      </c>
      <c r="F2564" s="3">
        <v>42969</v>
      </c>
      <c r="G2564" s="2">
        <v>201802</v>
      </c>
      <c r="H2564" s="2" t="s">
        <v>74</v>
      </c>
      <c r="I2564" s="2" t="s">
        <v>75</v>
      </c>
      <c r="J2564" s="2" t="s">
        <v>76</v>
      </c>
      <c r="K2564" s="2" t="s">
        <v>77</v>
      </c>
      <c r="L2564" s="2" t="s">
        <v>105</v>
      </c>
      <c r="M2564" s="2" t="s">
        <v>106</v>
      </c>
      <c r="N2564" s="2" t="s">
        <v>397</v>
      </c>
      <c r="O2564" s="2" t="s">
        <v>100</v>
      </c>
      <c r="P2564" s="2" t="str">
        <f>"2170586353                    "</f>
        <v xml:space="preserve">2170586353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4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1</v>
      </c>
      <c r="BJ2564" s="2">
        <v>0.2</v>
      </c>
      <c r="BK2564" s="2">
        <v>1</v>
      </c>
      <c r="BL2564" s="2">
        <v>41.44</v>
      </c>
      <c r="BM2564" s="2">
        <v>5.8</v>
      </c>
      <c r="BN2564" s="2">
        <v>47.24</v>
      </c>
      <c r="BO2564" s="2">
        <v>47.24</v>
      </c>
      <c r="BP2564" s="2"/>
      <c r="BQ2564" s="2" t="s">
        <v>108</v>
      </c>
      <c r="BR2564" s="2" t="s">
        <v>84</v>
      </c>
      <c r="BS2564" s="3">
        <v>42970</v>
      </c>
      <c r="BT2564" s="4">
        <v>0.38055555555555554</v>
      </c>
      <c r="BU2564" s="2" t="s">
        <v>462</v>
      </c>
      <c r="BV2564" s="2" t="s">
        <v>95</v>
      </c>
      <c r="BW2564" s="2"/>
      <c r="BX2564" s="2"/>
      <c r="BY2564" s="2">
        <v>1200</v>
      </c>
      <c r="BZ2564" s="2"/>
      <c r="CA2564" s="2" t="s">
        <v>302</v>
      </c>
      <c r="CB2564" s="2"/>
      <c r="CC2564" s="2" t="s">
        <v>106</v>
      </c>
      <c r="CD2564" s="2">
        <v>7530</v>
      </c>
      <c r="CE2564" s="2" t="s">
        <v>104</v>
      </c>
      <c r="CF2564" s="5">
        <v>42971</v>
      </c>
      <c r="CG2564" s="2"/>
      <c r="CH2564" s="2"/>
      <c r="CI2564" s="2">
        <v>1</v>
      </c>
      <c r="CJ2564" s="2">
        <v>1</v>
      </c>
      <c r="CK2564" s="2">
        <v>21</v>
      </c>
      <c r="CL2564" s="2" t="s">
        <v>86</v>
      </c>
      <c r="CM2564" s="2"/>
    </row>
    <row r="2565" spans="1:91">
      <c r="A2565" s="2" t="s">
        <v>71</v>
      </c>
      <c r="B2565" s="2" t="s">
        <v>72</v>
      </c>
      <c r="C2565" s="2" t="s">
        <v>73</v>
      </c>
      <c r="D2565" s="2"/>
      <c r="E2565" s="2" t="str">
        <f>"FES1162570679"</f>
        <v>FES1162570679</v>
      </c>
      <c r="F2565" s="3">
        <v>42969</v>
      </c>
      <c r="G2565" s="2">
        <v>201802</v>
      </c>
      <c r="H2565" s="2" t="s">
        <v>74</v>
      </c>
      <c r="I2565" s="2" t="s">
        <v>75</v>
      </c>
      <c r="J2565" s="2" t="s">
        <v>76</v>
      </c>
      <c r="K2565" s="2" t="s">
        <v>77</v>
      </c>
      <c r="L2565" s="2" t="s">
        <v>268</v>
      </c>
      <c r="M2565" s="2" t="s">
        <v>269</v>
      </c>
      <c r="N2565" s="2" t="s">
        <v>351</v>
      </c>
      <c r="O2565" s="2" t="s">
        <v>100</v>
      </c>
      <c r="P2565" s="2" t="str">
        <f>"2170586455                    "</f>
        <v xml:space="preserve">2170586455 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4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1</v>
      </c>
      <c r="BJ2565" s="2">
        <v>0.2</v>
      </c>
      <c r="BK2565" s="2">
        <v>1</v>
      </c>
      <c r="BL2565" s="2">
        <v>41.44</v>
      </c>
      <c r="BM2565" s="2">
        <v>5.8</v>
      </c>
      <c r="BN2565" s="2">
        <v>47.24</v>
      </c>
      <c r="BO2565" s="2">
        <v>47.24</v>
      </c>
      <c r="BP2565" s="2"/>
      <c r="BQ2565" s="2" t="s">
        <v>108</v>
      </c>
      <c r="BR2565" s="2" t="s">
        <v>84</v>
      </c>
      <c r="BS2565" s="3">
        <v>42970</v>
      </c>
      <c r="BT2565" s="4">
        <v>0.41666666666666669</v>
      </c>
      <c r="BU2565" s="2" t="s">
        <v>85</v>
      </c>
      <c r="BV2565" s="2" t="s">
        <v>95</v>
      </c>
      <c r="BW2565" s="2"/>
      <c r="BX2565" s="2"/>
      <c r="BY2565" s="2">
        <v>1200</v>
      </c>
      <c r="BZ2565" s="2"/>
      <c r="CA2565" s="2"/>
      <c r="CB2565" s="2"/>
      <c r="CC2565" s="2" t="s">
        <v>269</v>
      </c>
      <c r="CD2565" s="2">
        <v>200</v>
      </c>
      <c r="CE2565" s="2" t="s">
        <v>104</v>
      </c>
      <c r="CF2565" s="5">
        <v>42971</v>
      </c>
      <c r="CG2565" s="2"/>
      <c r="CH2565" s="2"/>
      <c r="CI2565" s="2">
        <v>1</v>
      </c>
      <c r="CJ2565" s="2">
        <v>1</v>
      </c>
      <c r="CK2565" s="2">
        <v>21</v>
      </c>
      <c r="CL2565" s="2" t="s">
        <v>86</v>
      </c>
      <c r="CM2565" s="2"/>
    </row>
    <row r="2566" spans="1:91">
      <c r="A2566" s="2" t="s">
        <v>71</v>
      </c>
      <c r="B2566" s="2" t="s">
        <v>72</v>
      </c>
      <c r="C2566" s="2" t="s">
        <v>73</v>
      </c>
      <c r="D2566" s="2"/>
      <c r="E2566" s="2" t="str">
        <f>"FES1162570654"</f>
        <v>FES1162570654</v>
      </c>
      <c r="F2566" s="3">
        <v>42969</v>
      </c>
      <c r="G2566" s="2">
        <v>201802</v>
      </c>
      <c r="H2566" s="2" t="s">
        <v>74</v>
      </c>
      <c r="I2566" s="2" t="s">
        <v>75</v>
      </c>
      <c r="J2566" s="2" t="s">
        <v>76</v>
      </c>
      <c r="K2566" s="2" t="s">
        <v>77</v>
      </c>
      <c r="L2566" s="2" t="s">
        <v>105</v>
      </c>
      <c r="M2566" s="2" t="s">
        <v>106</v>
      </c>
      <c r="N2566" s="2" t="s">
        <v>397</v>
      </c>
      <c r="O2566" s="2" t="s">
        <v>100</v>
      </c>
      <c r="P2566" s="2" t="str">
        <f>"2170586416                    "</f>
        <v xml:space="preserve">2170586416 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4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1</v>
      </c>
      <c r="BJ2566" s="2">
        <v>0.2</v>
      </c>
      <c r="BK2566" s="2">
        <v>1</v>
      </c>
      <c r="BL2566" s="2">
        <v>41.44</v>
      </c>
      <c r="BM2566" s="2">
        <v>5.8</v>
      </c>
      <c r="BN2566" s="2">
        <v>47.24</v>
      </c>
      <c r="BO2566" s="2">
        <v>47.24</v>
      </c>
      <c r="BP2566" s="2"/>
      <c r="BQ2566" s="2" t="s">
        <v>108</v>
      </c>
      <c r="BR2566" s="2" t="s">
        <v>84</v>
      </c>
      <c r="BS2566" s="3">
        <v>42970</v>
      </c>
      <c r="BT2566" s="4">
        <v>0.38055555555555554</v>
      </c>
      <c r="BU2566" s="2" t="s">
        <v>462</v>
      </c>
      <c r="BV2566" s="2" t="s">
        <v>95</v>
      </c>
      <c r="BW2566" s="2"/>
      <c r="BX2566" s="2"/>
      <c r="BY2566" s="2">
        <v>1200</v>
      </c>
      <c r="BZ2566" s="2"/>
      <c r="CA2566" s="2" t="s">
        <v>302</v>
      </c>
      <c r="CB2566" s="2"/>
      <c r="CC2566" s="2" t="s">
        <v>106</v>
      </c>
      <c r="CD2566" s="2">
        <v>7530</v>
      </c>
      <c r="CE2566" s="2" t="s">
        <v>104</v>
      </c>
      <c r="CF2566" s="5">
        <v>42971</v>
      </c>
      <c r="CG2566" s="2"/>
      <c r="CH2566" s="2"/>
      <c r="CI2566" s="2">
        <v>1</v>
      </c>
      <c r="CJ2566" s="2">
        <v>1</v>
      </c>
      <c r="CK2566" s="2">
        <v>21</v>
      </c>
      <c r="CL2566" s="2" t="s">
        <v>86</v>
      </c>
      <c r="CM2566" s="2"/>
    </row>
    <row r="2567" spans="1:91">
      <c r="A2567" s="2" t="s">
        <v>71</v>
      </c>
      <c r="B2567" s="2" t="s">
        <v>72</v>
      </c>
      <c r="C2567" s="2" t="s">
        <v>73</v>
      </c>
      <c r="D2567" s="2"/>
      <c r="E2567" s="2" t="str">
        <f>"FES1162570589"</f>
        <v>FES1162570589</v>
      </c>
      <c r="F2567" s="3">
        <v>42969</v>
      </c>
      <c r="G2567" s="2">
        <v>201802</v>
      </c>
      <c r="H2567" s="2" t="s">
        <v>74</v>
      </c>
      <c r="I2567" s="2" t="s">
        <v>75</v>
      </c>
      <c r="J2567" s="2" t="s">
        <v>76</v>
      </c>
      <c r="K2567" s="2" t="s">
        <v>77</v>
      </c>
      <c r="L2567" s="2" t="s">
        <v>105</v>
      </c>
      <c r="M2567" s="2" t="s">
        <v>106</v>
      </c>
      <c r="N2567" s="2" t="s">
        <v>348</v>
      </c>
      <c r="O2567" s="2" t="s">
        <v>100</v>
      </c>
      <c r="P2567" s="2" t="str">
        <f>"2170586334                    "</f>
        <v xml:space="preserve">2170586334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4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1</v>
      </c>
      <c r="BJ2567" s="2">
        <v>0.2</v>
      </c>
      <c r="BK2567" s="2">
        <v>1</v>
      </c>
      <c r="BL2567" s="2">
        <v>41.44</v>
      </c>
      <c r="BM2567" s="2">
        <v>5.8</v>
      </c>
      <c r="BN2567" s="2">
        <v>47.24</v>
      </c>
      <c r="BO2567" s="2">
        <v>47.24</v>
      </c>
      <c r="BP2567" s="2"/>
      <c r="BQ2567" s="2" t="s">
        <v>108</v>
      </c>
      <c r="BR2567" s="2" t="s">
        <v>84</v>
      </c>
      <c r="BS2567" s="3">
        <v>42970</v>
      </c>
      <c r="BT2567" s="4">
        <v>0.41666666666666669</v>
      </c>
      <c r="BU2567" s="2" t="s">
        <v>778</v>
      </c>
      <c r="BV2567" s="2" t="s">
        <v>95</v>
      </c>
      <c r="BW2567" s="2"/>
      <c r="BX2567" s="2"/>
      <c r="BY2567" s="2">
        <v>1200</v>
      </c>
      <c r="BZ2567" s="2"/>
      <c r="CA2567" s="2"/>
      <c r="CB2567" s="2"/>
      <c r="CC2567" s="2" t="s">
        <v>106</v>
      </c>
      <c r="CD2567" s="2">
        <v>7945</v>
      </c>
      <c r="CE2567" s="2" t="s">
        <v>104</v>
      </c>
      <c r="CF2567" s="5">
        <v>42971</v>
      </c>
      <c r="CG2567" s="2"/>
      <c r="CH2567" s="2"/>
      <c r="CI2567" s="2">
        <v>1</v>
      </c>
      <c r="CJ2567" s="2">
        <v>1</v>
      </c>
      <c r="CK2567" s="2">
        <v>21</v>
      </c>
      <c r="CL2567" s="2" t="s">
        <v>86</v>
      </c>
      <c r="CM2567" s="2"/>
    </row>
    <row r="2568" spans="1:91">
      <c r="A2568" s="2" t="s">
        <v>71</v>
      </c>
      <c r="B2568" s="2" t="s">
        <v>72</v>
      </c>
      <c r="C2568" s="2" t="s">
        <v>73</v>
      </c>
      <c r="D2568" s="2"/>
      <c r="E2568" s="2" t="str">
        <f>"FES1162570570"</f>
        <v>FES1162570570</v>
      </c>
      <c r="F2568" s="3">
        <v>42969</v>
      </c>
      <c r="G2568" s="2">
        <v>201802</v>
      </c>
      <c r="H2568" s="2" t="s">
        <v>74</v>
      </c>
      <c r="I2568" s="2" t="s">
        <v>75</v>
      </c>
      <c r="J2568" s="2" t="s">
        <v>76</v>
      </c>
      <c r="K2568" s="2" t="s">
        <v>77</v>
      </c>
      <c r="L2568" s="2" t="s">
        <v>149</v>
      </c>
      <c r="M2568" s="2" t="s">
        <v>150</v>
      </c>
      <c r="N2568" s="2" t="s">
        <v>2548</v>
      </c>
      <c r="O2568" s="2" t="s">
        <v>100</v>
      </c>
      <c r="P2568" s="2" t="str">
        <f>"2170586305                    "</f>
        <v xml:space="preserve">2170586305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7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3.1</v>
      </c>
      <c r="BJ2568" s="2">
        <v>2.4</v>
      </c>
      <c r="BK2568" s="2">
        <v>3.5</v>
      </c>
      <c r="BL2568" s="2">
        <v>72.52</v>
      </c>
      <c r="BM2568" s="2">
        <v>10.15</v>
      </c>
      <c r="BN2568" s="2">
        <v>82.67</v>
      </c>
      <c r="BO2568" s="2">
        <v>82.67</v>
      </c>
      <c r="BP2568" s="2"/>
      <c r="BQ2568" s="2" t="s">
        <v>365</v>
      </c>
      <c r="BR2568" s="2" t="s">
        <v>84</v>
      </c>
      <c r="BS2568" s="3">
        <v>42970</v>
      </c>
      <c r="BT2568" s="4">
        <v>0.40208333333333335</v>
      </c>
      <c r="BU2568" s="2" t="s">
        <v>2978</v>
      </c>
      <c r="BV2568" s="2" t="s">
        <v>95</v>
      </c>
      <c r="BW2568" s="2"/>
      <c r="BX2568" s="2"/>
      <c r="BY2568" s="2">
        <v>11856.38</v>
      </c>
      <c r="BZ2568" s="2"/>
      <c r="CA2568" s="2" t="s">
        <v>1163</v>
      </c>
      <c r="CB2568" s="2"/>
      <c r="CC2568" s="2" t="s">
        <v>150</v>
      </c>
      <c r="CD2568" s="2">
        <v>4072</v>
      </c>
      <c r="CE2568" s="2" t="s">
        <v>89</v>
      </c>
      <c r="CF2568" s="5">
        <v>42971</v>
      </c>
      <c r="CG2568" s="2"/>
      <c r="CH2568" s="2"/>
      <c r="CI2568" s="2">
        <v>1</v>
      </c>
      <c r="CJ2568" s="2">
        <v>1</v>
      </c>
      <c r="CK2568" s="2">
        <v>21</v>
      </c>
      <c r="CL2568" s="2" t="s">
        <v>86</v>
      </c>
      <c r="CM2568" s="2"/>
    </row>
    <row r="2569" spans="1:91">
      <c r="A2569" s="2" t="s">
        <v>71</v>
      </c>
      <c r="B2569" s="2" t="s">
        <v>72</v>
      </c>
      <c r="C2569" s="2" t="s">
        <v>73</v>
      </c>
      <c r="D2569" s="2"/>
      <c r="E2569" s="2" t="str">
        <f>"FES1162570670"</f>
        <v>FES1162570670</v>
      </c>
      <c r="F2569" s="3">
        <v>42969</v>
      </c>
      <c r="G2569" s="2">
        <v>201802</v>
      </c>
      <c r="H2569" s="2" t="s">
        <v>74</v>
      </c>
      <c r="I2569" s="2" t="s">
        <v>75</v>
      </c>
      <c r="J2569" s="2" t="s">
        <v>76</v>
      </c>
      <c r="K2569" s="2" t="s">
        <v>77</v>
      </c>
      <c r="L2569" s="2" t="s">
        <v>97</v>
      </c>
      <c r="M2569" s="2" t="s">
        <v>98</v>
      </c>
      <c r="N2569" s="2" t="s">
        <v>250</v>
      </c>
      <c r="O2569" s="2" t="s">
        <v>100</v>
      </c>
      <c r="P2569" s="2" t="str">
        <f>"2170586438                    "</f>
        <v xml:space="preserve">2170586438 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4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1</v>
      </c>
      <c r="BJ2569" s="2">
        <v>0.2</v>
      </c>
      <c r="BK2569" s="2">
        <v>1</v>
      </c>
      <c r="BL2569" s="2">
        <v>41.44</v>
      </c>
      <c r="BM2569" s="2">
        <v>5.8</v>
      </c>
      <c r="BN2569" s="2">
        <v>47.24</v>
      </c>
      <c r="BO2569" s="2">
        <v>47.24</v>
      </c>
      <c r="BP2569" s="2"/>
      <c r="BQ2569" s="2" t="s">
        <v>288</v>
      </c>
      <c r="BR2569" s="2" t="s">
        <v>84</v>
      </c>
      <c r="BS2569" s="3">
        <v>42970</v>
      </c>
      <c r="BT2569" s="4">
        <v>0.30555555555555552</v>
      </c>
      <c r="BU2569" s="2" t="s">
        <v>890</v>
      </c>
      <c r="BV2569" s="2" t="s">
        <v>95</v>
      </c>
      <c r="BW2569" s="2"/>
      <c r="BX2569" s="2"/>
      <c r="BY2569" s="2">
        <v>1200</v>
      </c>
      <c r="BZ2569" s="2"/>
      <c r="CA2569" s="2" t="s">
        <v>804</v>
      </c>
      <c r="CB2569" s="2"/>
      <c r="CC2569" s="2" t="s">
        <v>98</v>
      </c>
      <c r="CD2569" s="2">
        <v>6012</v>
      </c>
      <c r="CE2569" s="2" t="s">
        <v>104</v>
      </c>
      <c r="CF2569" s="5">
        <v>42971</v>
      </c>
      <c r="CG2569" s="2"/>
      <c r="CH2569" s="2"/>
      <c r="CI2569" s="2">
        <v>1</v>
      </c>
      <c r="CJ2569" s="2">
        <v>1</v>
      </c>
      <c r="CK2569" s="2">
        <v>21</v>
      </c>
      <c r="CL2569" s="2" t="s">
        <v>86</v>
      </c>
      <c r="CM2569" s="2"/>
    </row>
    <row r="2570" spans="1:91">
      <c r="A2570" s="2" t="s">
        <v>71</v>
      </c>
      <c r="B2570" s="2" t="s">
        <v>72</v>
      </c>
      <c r="C2570" s="2" t="s">
        <v>73</v>
      </c>
      <c r="D2570" s="2"/>
      <c r="E2570" s="2" t="str">
        <f>"FES1162570672"</f>
        <v>FES1162570672</v>
      </c>
      <c r="F2570" s="3">
        <v>42969</v>
      </c>
      <c r="G2570" s="2">
        <v>201802</v>
      </c>
      <c r="H2570" s="2" t="s">
        <v>74</v>
      </c>
      <c r="I2570" s="2" t="s">
        <v>75</v>
      </c>
      <c r="J2570" s="2" t="s">
        <v>76</v>
      </c>
      <c r="K2570" s="2" t="s">
        <v>77</v>
      </c>
      <c r="L2570" s="2" t="s">
        <v>237</v>
      </c>
      <c r="M2570" s="2" t="s">
        <v>238</v>
      </c>
      <c r="N2570" s="2" t="s">
        <v>2510</v>
      </c>
      <c r="O2570" s="2" t="s">
        <v>100</v>
      </c>
      <c r="P2570" s="2" t="str">
        <f>"2170586442                    "</f>
        <v xml:space="preserve">2170586442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4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1</v>
      </c>
      <c r="BJ2570" s="2">
        <v>0.2</v>
      </c>
      <c r="BK2570" s="2">
        <v>1</v>
      </c>
      <c r="BL2570" s="2">
        <v>41.44</v>
      </c>
      <c r="BM2570" s="2">
        <v>5.8</v>
      </c>
      <c r="BN2570" s="2">
        <v>47.24</v>
      </c>
      <c r="BO2570" s="2">
        <v>47.24</v>
      </c>
      <c r="BP2570" s="2"/>
      <c r="BQ2570" s="2" t="s">
        <v>83</v>
      </c>
      <c r="BR2570" s="2" t="s">
        <v>84</v>
      </c>
      <c r="BS2570" s="3">
        <v>42970</v>
      </c>
      <c r="BT2570" s="4">
        <v>0.40138888888888885</v>
      </c>
      <c r="BU2570" s="2" t="s">
        <v>392</v>
      </c>
      <c r="BV2570" s="2" t="s">
        <v>95</v>
      </c>
      <c r="BW2570" s="2"/>
      <c r="BX2570" s="2"/>
      <c r="BY2570" s="2">
        <v>1200</v>
      </c>
      <c r="BZ2570" s="2"/>
      <c r="CA2570" s="2"/>
      <c r="CB2570" s="2"/>
      <c r="CC2570" s="2" t="s">
        <v>238</v>
      </c>
      <c r="CD2570" s="2">
        <v>3610</v>
      </c>
      <c r="CE2570" s="2" t="s">
        <v>104</v>
      </c>
      <c r="CF2570" s="5">
        <v>42971</v>
      </c>
      <c r="CG2570" s="2"/>
      <c r="CH2570" s="2"/>
      <c r="CI2570" s="2">
        <v>1</v>
      </c>
      <c r="CJ2570" s="2">
        <v>1</v>
      </c>
      <c r="CK2570" s="2">
        <v>21</v>
      </c>
      <c r="CL2570" s="2" t="s">
        <v>86</v>
      </c>
      <c r="CM2570" s="2"/>
    </row>
    <row r="2571" spans="1:91">
      <c r="A2571" s="2" t="s">
        <v>71</v>
      </c>
      <c r="B2571" s="2" t="s">
        <v>72</v>
      </c>
      <c r="C2571" s="2" t="s">
        <v>73</v>
      </c>
      <c r="D2571" s="2"/>
      <c r="E2571" s="2" t="str">
        <f>"FES1162570508"</f>
        <v>FES1162570508</v>
      </c>
      <c r="F2571" s="3">
        <v>42969</v>
      </c>
      <c r="G2571" s="2">
        <v>201802</v>
      </c>
      <c r="H2571" s="2" t="s">
        <v>74</v>
      </c>
      <c r="I2571" s="2" t="s">
        <v>75</v>
      </c>
      <c r="J2571" s="2" t="s">
        <v>76</v>
      </c>
      <c r="K2571" s="2" t="s">
        <v>77</v>
      </c>
      <c r="L2571" s="2" t="s">
        <v>97</v>
      </c>
      <c r="M2571" s="2" t="s">
        <v>98</v>
      </c>
      <c r="N2571" s="2" t="s">
        <v>1029</v>
      </c>
      <c r="O2571" s="2" t="s">
        <v>81</v>
      </c>
      <c r="P2571" s="2" t="str">
        <f>"2170585145                    "</f>
        <v xml:space="preserve">2170585145              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18.36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44</v>
      </c>
      <c r="BJ2571" s="2">
        <v>16</v>
      </c>
      <c r="BK2571" s="2">
        <v>44</v>
      </c>
      <c r="BL2571" s="2">
        <v>195.12</v>
      </c>
      <c r="BM2571" s="2">
        <v>27.32</v>
      </c>
      <c r="BN2571" s="2">
        <v>222.44</v>
      </c>
      <c r="BO2571" s="2">
        <v>222.44</v>
      </c>
      <c r="BP2571" s="2"/>
      <c r="BQ2571" s="2" t="s">
        <v>288</v>
      </c>
      <c r="BR2571" s="2" t="s">
        <v>84</v>
      </c>
      <c r="BS2571" s="3">
        <v>42971</v>
      </c>
      <c r="BT2571" s="4">
        <v>0.35416666666666669</v>
      </c>
      <c r="BU2571" s="2" t="s">
        <v>273</v>
      </c>
      <c r="BV2571" s="2" t="s">
        <v>95</v>
      </c>
      <c r="BW2571" s="2"/>
      <c r="BX2571" s="2"/>
      <c r="BY2571" s="2">
        <v>80142</v>
      </c>
      <c r="BZ2571" s="2"/>
      <c r="CA2571" s="2" t="s">
        <v>618</v>
      </c>
      <c r="CB2571" s="2"/>
      <c r="CC2571" s="2" t="s">
        <v>98</v>
      </c>
      <c r="CD2571" s="2">
        <v>6001</v>
      </c>
      <c r="CE2571" s="2" t="s">
        <v>89</v>
      </c>
      <c r="CF2571" s="5">
        <v>42972</v>
      </c>
      <c r="CG2571" s="2"/>
      <c r="CH2571" s="2"/>
      <c r="CI2571" s="2">
        <v>2</v>
      </c>
      <c r="CJ2571" s="2">
        <v>2</v>
      </c>
      <c r="CK2571" s="2" t="s">
        <v>136</v>
      </c>
      <c r="CL2571" s="2" t="s">
        <v>86</v>
      </c>
      <c r="CM2571" s="2"/>
    </row>
    <row r="2572" spans="1:91">
      <c r="A2572" s="2" t="s">
        <v>71</v>
      </c>
      <c r="B2572" s="2" t="s">
        <v>72</v>
      </c>
      <c r="C2572" s="2" t="s">
        <v>73</v>
      </c>
      <c r="D2572" s="2"/>
      <c r="E2572" s="2" t="str">
        <f>"FES1162567883"</f>
        <v>FES1162567883</v>
      </c>
      <c r="F2572" s="3">
        <v>42955</v>
      </c>
      <c r="G2572" s="2">
        <v>201802</v>
      </c>
      <c r="H2572" s="2" t="s">
        <v>74</v>
      </c>
      <c r="I2572" s="2" t="s">
        <v>75</v>
      </c>
      <c r="J2572" s="2" t="s">
        <v>118</v>
      </c>
      <c r="K2572" s="2" t="s">
        <v>77</v>
      </c>
      <c r="L2572" s="2" t="s">
        <v>149</v>
      </c>
      <c r="M2572" s="2" t="s">
        <v>150</v>
      </c>
      <c r="N2572" s="2" t="s">
        <v>1592</v>
      </c>
      <c r="O2572" s="2" t="s">
        <v>81</v>
      </c>
      <c r="P2572" s="2" t="str">
        <f>"2170583542                    "</f>
        <v xml:space="preserve">2170583542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5.63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10.7</v>
      </c>
      <c r="BJ2572" s="2">
        <v>1.9</v>
      </c>
      <c r="BK2572" s="2">
        <v>11</v>
      </c>
      <c r="BL2572" s="2">
        <v>63.28</v>
      </c>
      <c r="BM2572" s="2">
        <v>8.86</v>
      </c>
      <c r="BN2572" s="2">
        <v>72.14</v>
      </c>
      <c r="BO2572" s="2">
        <v>72.14</v>
      </c>
      <c r="BP2572" s="2" t="s">
        <v>101</v>
      </c>
      <c r="BQ2572" s="2" t="s">
        <v>83</v>
      </c>
      <c r="BR2572" s="2" t="s">
        <v>122</v>
      </c>
      <c r="BS2572" s="3">
        <v>42957</v>
      </c>
      <c r="BT2572" s="4">
        <v>0.39305555555555555</v>
      </c>
      <c r="BU2572" s="2" t="s">
        <v>1593</v>
      </c>
      <c r="BV2572" s="2" t="s">
        <v>86</v>
      </c>
      <c r="BW2572" s="2" t="s">
        <v>87</v>
      </c>
      <c r="BX2572" s="2" t="s">
        <v>337</v>
      </c>
      <c r="BY2572" s="2">
        <v>9408</v>
      </c>
      <c r="BZ2572" s="2"/>
      <c r="CA2572" s="2" t="s">
        <v>1163</v>
      </c>
      <c r="CB2572" s="2"/>
      <c r="CC2572" s="2" t="s">
        <v>150</v>
      </c>
      <c r="CD2572" s="2">
        <v>4094</v>
      </c>
      <c r="CE2572" s="2" t="s">
        <v>2979</v>
      </c>
      <c r="CF2572" s="5">
        <v>42958</v>
      </c>
      <c r="CG2572" s="2"/>
      <c r="CH2572" s="2"/>
      <c r="CI2572" s="2">
        <v>0</v>
      </c>
      <c r="CJ2572" s="2">
        <v>0</v>
      </c>
      <c r="CK2572" s="2" t="s">
        <v>153</v>
      </c>
      <c r="CL2572" s="2" t="s">
        <v>86</v>
      </c>
      <c r="CM2572" s="2"/>
    </row>
    <row r="2573" spans="1:91">
      <c r="A2573" s="2" t="s">
        <v>71</v>
      </c>
      <c r="B2573" s="2" t="s">
        <v>72</v>
      </c>
      <c r="C2573" s="2" t="s">
        <v>73</v>
      </c>
      <c r="D2573" s="2"/>
      <c r="E2573" s="2" t="str">
        <f>"FES1162570481"</f>
        <v>FES1162570481</v>
      </c>
      <c r="F2573" s="3">
        <v>42969</v>
      </c>
      <c r="G2573" s="2">
        <v>201802</v>
      </c>
      <c r="H2573" s="2" t="s">
        <v>74</v>
      </c>
      <c r="I2573" s="2" t="s">
        <v>75</v>
      </c>
      <c r="J2573" s="2" t="s">
        <v>76</v>
      </c>
      <c r="K2573" s="2" t="s">
        <v>77</v>
      </c>
      <c r="L2573" s="2" t="s">
        <v>470</v>
      </c>
      <c r="M2573" s="2" t="s">
        <v>471</v>
      </c>
      <c r="N2573" s="2" t="s">
        <v>2980</v>
      </c>
      <c r="O2573" s="2" t="s">
        <v>81</v>
      </c>
      <c r="P2573" s="2" t="str">
        <f>"2170578911                    "</f>
        <v xml:space="preserve">2170578911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7.94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19.7</v>
      </c>
      <c r="BJ2573" s="2">
        <v>14.2</v>
      </c>
      <c r="BK2573" s="2">
        <v>20</v>
      </c>
      <c r="BL2573" s="2">
        <v>87.24</v>
      </c>
      <c r="BM2573" s="2">
        <v>12.21</v>
      </c>
      <c r="BN2573" s="2">
        <v>99.45</v>
      </c>
      <c r="BO2573" s="2">
        <v>99.45</v>
      </c>
      <c r="BP2573" s="2"/>
      <c r="BQ2573" s="2" t="s">
        <v>2981</v>
      </c>
      <c r="BR2573" s="2" t="s">
        <v>84</v>
      </c>
      <c r="BS2573" s="3">
        <v>42970</v>
      </c>
      <c r="BT2573" s="4">
        <v>0.3979166666666667</v>
      </c>
      <c r="BU2573" s="2" t="s">
        <v>1129</v>
      </c>
      <c r="BV2573" s="2" t="s">
        <v>95</v>
      </c>
      <c r="BW2573" s="2"/>
      <c r="BX2573" s="2"/>
      <c r="BY2573" s="2">
        <v>71153.539999999994</v>
      </c>
      <c r="BZ2573" s="2"/>
      <c r="CA2573" s="2" t="s">
        <v>2982</v>
      </c>
      <c r="CB2573" s="2"/>
      <c r="CC2573" s="2" t="s">
        <v>471</v>
      </c>
      <c r="CD2573" s="2">
        <v>1911</v>
      </c>
      <c r="CE2573" s="2" t="s">
        <v>89</v>
      </c>
      <c r="CF2573" s="5">
        <v>42971</v>
      </c>
      <c r="CG2573" s="2"/>
      <c r="CH2573" s="2"/>
      <c r="CI2573" s="2">
        <v>1</v>
      </c>
      <c r="CJ2573" s="2">
        <v>1</v>
      </c>
      <c r="CK2573" s="2" t="s">
        <v>143</v>
      </c>
      <c r="CL2573" s="2" t="s">
        <v>86</v>
      </c>
      <c r="CM2573" s="2"/>
    </row>
    <row r="2574" spans="1:91">
      <c r="A2574" s="2" t="s">
        <v>71</v>
      </c>
      <c r="B2574" s="2" t="s">
        <v>72</v>
      </c>
      <c r="C2574" s="2" t="s">
        <v>73</v>
      </c>
      <c r="D2574" s="2"/>
      <c r="E2574" s="2" t="str">
        <f>"FES1162567873"</f>
        <v>FES1162567873</v>
      </c>
      <c r="F2574" s="3">
        <v>42955</v>
      </c>
      <c r="G2574" s="2">
        <v>201802</v>
      </c>
      <c r="H2574" s="2" t="s">
        <v>74</v>
      </c>
      <c r="I2574" s="2" t="s">
        <v>75</v>
      </c>
      <c r="J2574" s="2" t="s">
        <v>118</v>
      </c>
      <c r="K2574" s="2" t="s">
        <v>77</v>
      </c>
      <c r="L2574" s="2" t="s">
        <v>237</v>
      </c>
      <c r="M2574" s="2" t="s">
        <v>238</v>
      </c>
      <c r="N2574" s="2" t="s">
        <v>765</v>
      </c>
      <c r="O2574" s="2" t="s">
        <v>81</v>
      </c>
      <c r="P2574" s="2" t="str">
        <f>"2170584033                    "</f>
        <v xml:space="preserve">2170584033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5.87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1</v>
      </c>
      <c r="BI2574" s="2">
        <v>15.2</v>
      </c>
      <c r="BJ2574" s="2">
        <v>8.9</v>
      </c>
      <c r="BK2574" s="2">
        <v>16</v>
      </c>
      <c r="BL2574" s="2">
        <v>65.739999999999995</v>
      </c>
      <c r="BM2574" s="2">
        <v>9.1999999999999993</v>
      </c>
      <c r="BN2574" s="2">
        <v>74.94</v>
      </c>
      <c r="BO2574" s="2">
        <v>74.94</v>
      </c>
      <c r="BP2574" s="2" t="s">
        <v>101</v>
      </c>
      <c r="BQ2574" s="2" t="s">
        <v>83</v>
      </c>
      <c r="BR2574" s="2" t="s">
        <v>122</v>
      </c>
      <c r="BS2574" s="3">
        <v>42957</v>
      </c>
      <c r="BT2574" s="4">
        <v>0.31944444444444448</v>
      </c>
      <c r="BU2574" s="2" t="s">
        <v>766</v>
      </c>
      <c r="BV2574" s="2" t="s">
        <v>86</v>
      </c>
      <c r="BW2574" s="2" t="s">
        <v>87</v>
      </c>
      <c r="BX2574" s="2" t="s">
        <v>337</v>
      </c>
      <c r="BY2574" s="2">
        <v>44689.919999999998</v>
      </c>
      <c r="BZ2574" s="2"/>
      <c r="CA2574" s="2" t="s">
        <v>401</v>
      </c>
      <c r="CB2574" s="2"/>
      <c r="CC2574" s="2" t="s">
        <v>238</v>
      </c>
      <c r="CD2574" s="2">
        <v>3610</v>
      </c>
      <c r="CE2574" s="2" t="s">
        <v>948</v>
      </c>
      <c r="CF2574" s="5">
        <v>42958</v>
      </c>
      <c r="CG2574" s="2"/>
      <c r="CH2574" s="2"/>
      <c r="CI2574" s="2">
        <v>0</v>
      </c>
      <c r="CJ2574" s="2">
        <v>0</v>
      </c>
      <c r="CK2574" s="2" t="s">
        <v>153</v>
      </c>
      <c r="CL2574" s="2" t="s">
        <v>86</v>
      </c>
      <c r="CM2574" s="2"/>
    </row>
    <row r="2575" spans="1:91">
      <c r="A2575" s="2" t="s">
        <v>71</v>
      </c>
      <c r="B2575" s="2" t="s">
        <v>72</v>
      </c>
      <c r="C2575" s="2" t="s">
        <v>73</v>
      </c>
      <c r="D2575" s="2"/>
      <c r="E2575" s="2" t="str">
        <f>"080001714960"</f>
        <v>080001714960</v>
      </c>
      <c r="F2575" s="3">
        <v>42969</v>
      </c>
      <c r="G2575" s="2">
        <v>201802</v>
      </c>
      <c r="H2575" s="2" t="s">
        <v>237</v>
      </c>
      <c r="I2575" s="2" t="s">
        <v>238</v>
      </c>
      <c r="J2575" s="2" t="s">
        <v>239</v>
      </c>
      <c r="K2575" s="2" t="s">
        <v>77</v>
      </c>
      <c r="L2575" s="2" t="s">
        <v>74</v>
      </c>
      <c r="M2575" s="2" t="s">
        <v>75</v>
      </c>
      <c r="N2575" s="2" t="s">
        <v>118</v>
      </c>
      <c r="O2575" s="2" t="s">
        <v>81</v>
      </c>
      <c r="P2575" s="2" t="str">
        <f>"2170582897                    "</f>
        <v xml:space="preserve">2170582897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7.5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4</v>
      </c>
      <c r="BJ2575" s="2">
        <v>8.3000000000000007</v>
      </c>
      <c r="BK2575" s="2">
        <v>9</v>
      </c>
      <c r="BL2575" s="2">
        <v>82.7</v>
      </c>
      <c r="BM2575" s="2">
        <v>11.58</v>
      </c>
      <c r="BN2575" s="2">
        <v>94.28</v>
      </c>
      <c r="BO2575" s="2">
        <v>94.28</v>
      </c>
      <c r="BP2575" s="2" t="s">
        <v>2983</v>
      </c>
      <c r="BQ2575" s="2" t="s">
        <v>241</v>
      </c>
      <c r="BR2575" s="2" t="s">
        <v>242</v>
      </c>
      <c r="BS2575" s="3">
        <v>42971</v>
      </c>
      <c r="BT2575" s="4">
        <v>0.40277777777777773</v>
      </c>
      <c r="BU2575" s="2" t="s">
        <v>814</v>
      </c>
      <c r="BV2575" s="2" t="s">
        <v>86</v>
      </c>
      <c r="BW2575" s="2" t="s">
        <v>124</v>
      </c>
      <c r="BX2575" s="2" t="s">
        <v>199</v>
      </c>
      <c r="BY2575" s="2">
        <v>41400</v>
      </c>
      <c r="BZ2575" s="2"/>
      <c r="CA2575" s="2"/>
      <c r="CB2575" s="2"/>
      <c r="CC2575" s="2" t="s">
        <v>75</v>
      </c>
      <c r="CD2575" s="2">
        <v>1600</v>
      </c>
      <c r="CE2575" s="2" t="s">
        <v>89</v>
      </c>
      <c r="CF2575" s="5">
        <v>42972</v>
      </c>
      <c r="CG2575" s="2"/>
      <c r="CH2575" s="2"/>
      <c r="CI2575" s="2">
        <v>1</v>
      </c>
      <c r="CJ2575" s="2">
        <v>2</v>
      </c>
      <c r="CK2575" s="2" t="s">
        <v>180</v>
      </c>
      <c r="CL2575" s="2" t="s">
        <v>86</v>
      </c>
      <c r="CM2575" s="2"/>
    </row>
    <row r="2576" spans="1:91">
      <c r="A2576" s="2" t="s">
        <v>71</v>
      </c>
      <c r="B2576" s="2" t="s">
        <v>72</v>
      </c>
      <c r="C2576" s="2" t="s">
        <v>73</v>
      </c>
      <c r="D2576" s="2"/>
      <c r="E2576" s="2" t="str">
        <f>"FES1162567858"</f>
        <v>FES1162567858</v>
      </c>
      <c r="F2576" s="3">
        <v>42955</v>
      </c>
      <c r="G2576" s="2">
        <v>201802</v>
      </c>
      <c r="H2576" s="2" t="s">
        <v>74</v>
      </c>
      <c r="I2576" s="2" t="s">
        <v>75</v>
      </c>
      <c r="J2576" s="2" t="s">
        <v>118</v>
      </c>
      <c r="K2576" s="2" t="s">
        <v>77</v>
      </c>
      <c r="L2576" s="2" t="s">
        <v>149</v>
      </c>
      <c r="M2576" s="2" t="s">
        <v>150</v>
      </c>
      <c r="N2576" s="2" t="s">
        <v>435</v>
      </c>
      <c r="O2576" s="2" t="s">
        <v>81</v>
      </c>
      <c r="P2576" s="2" t="str">
        <f>"2170575444                    "</f>
        <v xml:space="preserve">2170575444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5.63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9.5</v>
      </c>
      <c r="BJ2576" s="2">
        <v>3.7</v>
      </c>
      <c r="BK2576" s="2">
        <v>10</v>
      </c>
      <c r="BL2576" s="2">
        <v>63.28</v>
      </c>
      <c r="BM2576" s="2">
        <v>8.86</v>
      </c>
      <c r="BN2576" s="2">
        <v>72.14</v>
      </c>
      <c r="BO2576" s="2">
        <v>72.14</v>
      </c>
      <c r="BP2576" s="2" t="s">
        <v>101</v>
      </c>
      <c r="BQ2576" s="2" t="s">
        <v>2984</v>
      </c>
      <c r="BR2576" s="2" t="s">
        <v>122</v>
      </c>
      <c r="BS2576" s="3">
        <v>42957</v>
      </c>
      <c r="BT2576" s="4">
        <v>0.36458333333333331</v>
      </c>
      <c r="BU2576" s="2" t="s">
        <v>436</v>
      </c>
      <c r="BV2576" s="2" t="s">
        <v>86</v>
      </c>
      <c r="BW2576" s="2" t="s">
        <v>87</v>
      </c>
      <c r="BX2576" s="2" t="s">
        <v>337</v>
      </c>
      <c r="BY2576" s="2">
        <v>18424.099999999999</v>
      </c>
      <c r="BZ2576" s="2"/>
      <c r="CA2576" s="2" t="s">
        <v>429</v>
      </c>
      <c r="CB2576" s="2"/>
      <c r="CC2576" s="2" t="s">
        <v>150</v>
      </c>
      <c r="CD2576" s="2">
        <v>4001</v>
      </c>
      <c r="CE2576" s="2" t="s">
        <v>948</v>
      </c>
      <c r="CF2576" s="5">
        <v>42958</v>
      </c>
      <c r="CG2576" s="2"/>
      <c r="CH2576" s="2"/>
      <c r="CI2576" s="2">
        <v>0</v>
      </c>
      <c r="CJ2576" s="2">
        <v>0</v>
      </c>
      <c r="CK2576" s="2" t="s">
        <v>153</v>
      </c>
      <c r="CL2576" s="2" t="s">
        <v>86</v>
      </c>
      <c r="CM2576" s="2"/>
    </row>
    <row r="2577" spans="1:91">
      <c r="A2577" s="2" t="s">
        <v>71</v>
      </c>
      <c r="B2577" s="2" t="s">
        <v>72</v>
      </c>
      <c r="C2577" s="2" t="s">
        <v>73</v>
      </c>
      <c r="D2577" s="2"/>
      <c r="E2577" s="2" t="str">
        <f>"FES1162570425"</f>
        <v>FES1162570425</v>
      </c>
      <c r="F2577" s="3">
        <v>42969</v>
      </c>
      <c r="G2577" s="2">
        <v>201802</v>
      </c>
      <c r="H2577" s="2" t="s">
        <v>74</v>
      </c>
      <c r="I2577" s="2" t="s">
        <v>75</v>
      </c>
      <c r="J2577" s="2" t="s">
        <v>76</v>
      </c>
      <c r="K2577" s="2" t="s">
        <v>77</v>
      </c>
      <c r="L2577" s="2" t="s">
        <v>149</v>
      </c>
      <c r="M2577" s="2" t="s">
        <v>150</v>
      </c>
      <c r="N2577" s="2" t="s">
        <v>246</v>
      </c>
      <c r="O2577" s="2" t="s">
        <v>81</v>
      </c>
      <c r="P2577" s="2" t="str">
        <f>"2170586127                    "</f>
        <v xml:space="preserve">2170586127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5.63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1</v>
      </c>
      <c r="BI2577" s="2">
        <v>9.8000000000000007</v>
      </c>
      <c r="BJ2577" s="2">
        <v>5</v>
      </c>
      <c r="BK2577" s="2">
        <v>10</v>
      </c>
      <c r="BL2577" s="2">
        <v>63.28</v>
      </c>
      <c r="BM2577" s="2">
        <v>8.86</v>
      </c>
      <c r="BN2577" s="2">
        <v>72.14</v>
      </c>
      <c r="BO2577" s="2">
        <v>72.14</v>
      </c>
      <c r="BP2577" s="2"/>
      <c r="BQ2577" s="2" t="s">
        <v>365</v>
      </c>
      <c r="BR2577" s="2" t="s">
        <v>84</v>
      </c>
      <c r="BS2577" s="3">
        <v>42970</v>
      </c>
      <c r="BT2577" s="4">
        <v>0.44791666666666669</v>
      </c>
      <c r="BU2577" s="2" t="s">
        <v>2985</v>
      </c>
      <c r="BV2577" s="2" t="s">
        <v>95</v>
      </c>
      <c r="BW2577" s="2"/>
      <c r="BX2577" s="2"/>
      <c r="BY2577" s="2">
        <v>24814.5</v>
      </c>
      <c r="BZ2577" s="2"/>
      <c r="CA2577" s="2" t="s">
        <v>1061</v>
      </c>
      <c r="CB2577" s="2"/>
      <c r="CC2577" s="2" t="s">
        <v>150</v>
      </c>
      <c r="CD2577" s="2">
        <v>4068</v>
      </c>
      <c r="CE2577" s="2" t="s">
        <v>89</v>
      </c>
      <c r="CF2577" s="5">
        <v>42971</v>
      </c>
      <c r="CG2577" s="2"/>
      <c r="CH2577" s="2"/>
      <c r="CI2577" s="2">
        <v>1</v>
      </c>
      <c r="CJ2577" s="2">
        <v>1</v>
      </c>
      <c r="CK2577" s="2" t="s">
        <v>153</v>
      </c>
      <c r="CL2577" s="2" t="s">
        <v>86</v>
      </c>
      <c r="CM2577" s="2"/>
    </row>
    <row r="2578" spans="1:91">
      <c r="A2578" s="2" t="s">
        <v>71</v>
      </c>
      <c r="B2578" s="2" t="s">
        <v>72</v>
      </c>
      <c r="C2578" s="2" t="s">
        <v>73</v>
      </c>
      <c r="D2578" s="2"/>
      <c r="E2578" s="2" t="str">
        <f>"080001714858"</f>
        <v>080001714858</v>
      </c>
      <c r="F2578" s="3">
        <v>42969</v>
      </c>
      <c r="G2578" s="2">
        <v>201802</v>
      </c>
      <c r="H2578" s="2" t="s">
        <v>97</v>
      </c>
      <c r="I2578" s="2" t="s">
        <v>98</v>
      </c>
      <c r="J2578" s="2" t="s">
        <v>500</v>
      </c>
      <c r="K2578" s="2" t="s">
        <v>77</v>
      </c>
      <c r="L2578" s="2" t="s">
        <v>74</v>
      </c>
      <c r="M2578" s="2" t="s">
        <v>75</v>
      </c>
      <c r="N2578" s="2" t="s">
        <v>118</v>
      </c>
      <c r="O2578" s="2" t="s">
        <v>81</v>
      </c>
      <c r="P2578" s="2" t="str">
        <f>"ZA1000660520                  "</f>
        <v xml:space="preserve">ZA1000660520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8.19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1</v>
      </c>
      <c r="BI2578" s="2">
        <v>1</v>
      </c>
      <c r="BJ2578" s="2">
        <v>0.2</v>
      </c>
      <c r="BK2578" s="2">
        <v>1</v>
      </c>
      <c r="BL2578" s="2">
        <v>89.83</v>
      </c>
      <c r="BM2578" s="2">
        <v>12.58</v>
      </c>
      <c r="BN2578" s="2">
        <v>102.41</v>
      </c>
      <c r="BO2578" s="2">
        <v>102.41</v>
      </c>
      <c r="BP2578" s="2" t="s">
        <v>2986</v>
      </c>
      <c r="BQ2578" s="2" t="s">
        <v>241</v>
      </c>
      <c r="BR2578" s="2" t="s">
        <v>2987</v>
      </c>
      <c r="BS2578" s="3">
        <v>42971</v>
      </c>
      <c r="BT2578" s="4">
        <v>0.40277777777777773</v>
      </c>
      <c r="BU2578" s="2" t="s">
        <v>814</v>
      </c>
      <c r="BV2578" s="2" t="s">
        <v>95</v>
      </c>
      <c r="BW2578" s="2"/>
      <c r="BX2578" s="2"/>
      <c r="BY2578" s="2">
        <v>1200</v>
      </c>
      <c r="BZ2578" s="2"/>
      <c r="CA2578" s="2"/>
      <c r="CB2578" s="2"/>
      <c r="CC2578" s="2" t="s">
        <v>75</v>
      </c>
      <c r="CD2578" s="2">
        <v>1600</v>
      </c>
      <c r="CE2578" s="2" t="s">
        <v>89</v>
      </c>
      <c r="CF2578" s="5">
        <v>42972</v>
      </c>
      <c r="CG2578" s="2"/>
      <c r="CH2578" s="2"/>
      <c r="CI2578" s="2">
        <v>2</v>
      </c>
      <c r="CJ2578" s="2">
        <v>2</v>
      </c>
      <c r="CK2578" s="2" t="s">
        <v>136</v>
      </c>
      <c r="CL2578" s="2" t="s">
        <v>86</v>
      </c>
      <c r="CM2578" s="2"/>
    </row>
    <row r="2579" spans="1:91">
      <c r="A2579" s="2" t="s">
        <v>71</v>
      </c>
      <c r="B2579" s="2" t="s">
        <v>72</v>
      </c>
      <c r="C2579" s="2" t="s">
        <v>73</v>
      </c>
      <c r="D2579" s="2"/>
      <c r="E2579" s="2" t="str">
        <f>"FES1162567691"</f>
        <v>FES1162567691</v>
      </c>
      <c r="F2579" s="3">
        <v>42955</v>
      </c>
      <c r="G2579" s="2">
        <v>201802</v>
      </c>
      <c r="H2579" s="2" t="s">
        <v>74</v>
      </c>
      <c r="I2579" s="2" t="s">
        <v>75</v>
      </c>
      <c r="J2579" s="2" t="s">
        <v>118</v>
      </c>
      <c r="K2579" s="2" t="s">
        <v>77</v>
      </c>
      <c r="L2579" s="2" t="s">
        <v>604</v>
      </c>
      <c r="M2579" s="2" t="s">
        <v>605</v>
      </c>
      <c r="N2579" s="2" t="s">
        <v>1907</v>
      </c>
      <c r="O2579" s="2" t="s">
        <v>81</v>
      </c>
      <c r="P2579" s="2" t="str">
        <f>"2170576698                    "</f>
        <v xml:space="preserve">2170576698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7.05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18</v>
      </c>
      <c r="BJ2579" s="2">
        <v>20.8</v>
      </c>
      <c r="BK2579" s="2">
        <v>21</v>
      </c>
      <c r="BL2579" s="2">
        <v>78.02</v>
      </c>
      <c r="BM2579" s="2">
        <v>10.92</v>
      </c>
      <c r="BN2579" s="2">
        <v>88.94</v>
      </c>
      <c r="BO2579" s="2">
        <v>88.94</v>
      </c>
      <c r="BP2579" s="2" t="s">
        <v>101</v>
      </c>
      <c r="BQ2579" s="2" t="s">
        <v>288</v>
      </c>
      <c r="BR2579" s="2" t="s">
        <v>122</v>
      </c>
      <c r="BS2579" s="3">
        <v>42957</v>
      </c>
      <c r="BT2579" s="4">
        <v>0.41319444444444442</v>
      </c>
      <c r="BU2579" s="2" t="s">
        <v>215</v>
      </c>
      <c r="BV2579" s="2" t="s">
        <v>86</v>
      </c>
      <c r="BW2579" s="2" t="s">
        <v>87</v>
      </c>
      <c r="BX2579" s="2" t="s">
        <v>337</v>
      </c>
      <c r="BY2579" s="2">
        <v>104040</v>
      </c>
      <c r="BZ2579" s="2"/>
      <c r="CA2579" s="2" t="s">
        <v>607</v>
      </c>
      <c r="CB2579" s="2"/>
      <c r="CC2579" s="2" t="s">
        <v>605</v>
      </c>
      <c r="CD2579" s="2">
        <v>4126</v>
      </c>
      <c r="CE2579" s="2" t="s">
        <v>89</v>
      </c>
      <c r="CF2579" s="5">
        <v>42958</v>
      </c>
      <c r="CG2579" s="2"/>
      <c r="CH2579" s="2"/>
      <c r="CI2579" s="2">
        <v>0</v>
      </c>
      <c r="CJ2579" s="2">
        <v>0</v>
      </c>
      <c r="CK2579" s="2" t="s">
        <v>153</v>
      </c>
      <c r="CL2579" s="2" t="s">
        <v>86</v>
      </c>
      <c r="CM2579" s="2"/>
    </row>
    <row r="2580" spans="1:91">
      <c r="A2580" s="2" t="s">
        <v>71</v>
      </c>
      <c r="B2580" s="2" t="s">
        <v>72</v>
      </c>
      <c r="C2580" s="2" t="s">
        <v>73</v>
      </c>
      <c r="D2580" s="2"/>
      <c r="E2580" s="2" t="str">
        <f>"FES1162567756"</f>
        <v>FES1162567756</v>
      </c>
      <c r="F2580" s="3">
        <v>42955</v>
      </c>
      <c r="G2580" s="2">
        <v>201802</v>
      </c>
      <c r="H2580" s="2" t="s">
        <v>74</v>
      </c>
      <c r="I2580" s="2" t="s">
        <v>75</v>
      </c>
      <c r="J2580" s="2" t="s">
        <v>118</v>
      </c>
      <c r="K2580" s="2" t="s">
        <v>77</v>
      </c>
      <c r="L2580" s="2" t="s">
        <v>97</v>
      </c>
      <c r="M2580" s="2" t="s">
        <v>98</v>
      </c>
      <c r="N2580" s="2" t="s">
        <v>2988</v>
      </c>
      <c r="O2580" s="2" t="s">
        <v>81</v>
      </c>
      <c r="P2580" s="2" t="str">
        <f>"2170583896                    "</f>
        <v xml:space="preserve">2170583896  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14.15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9.9</v>
      </c>
      <c r="BJ2580" s="2">
        <v>31.2</v>
      </c>
      <c r="BK2580" s="2">
        <v>32</v>
      </c>
      <c r="BL2580" s="2">
        <v>151.55000000000001</v>
      </c>
      <c r="BM2580" s="2">
        <v>21.22</v>
      </c>
      <c r="BN2580" s="2">
        <v>172.77</v>
      </c>
      <c r="BO2580" s="2">
        <v>172.77</v>
      </c>
      <c r="BP2580" s="2" t="s">
        <v>101</v>
      </c>
      <c r="BQ2580" s="2" t="s">
        <v>2989</v>
      </c>
      <c r="BR2580" s="2" t="s">
        <v>122</v>
      </c>
      <c r="BS2580" s="3">
        <v>42957</v>
      </c>
      <c r="BT2580" s="4">
        <v>0.33819444444444446</v>
      </c>
      <c r="BU2580" s="2" t="s">
        <v>2990</v>
      </c>
      <c r="BV2580" s="2" t="s">
        <v>86</v>
      </c>
      <c r="BW2580" s="2"/>
      <c r="BX2580" s="2"/>
      <c r="BY2580" s="2">
        <v>156004.49</v>
      </c>
      <c r="BZ2580" s="2"/>
      <c r="CA2580" s="2" t="s">
        <v>600</v>
      </c>
      <c r="CB2580" s="2"/>
      <c r="CC2580" s="2" t="s">
        <v>98</v>
      </c>
      <c r="CD2580" s="2">
        <v>6045</v>
      </c>
      <c r="CE2580" s="2" t="s">
        <v>89</v>
      </c>
      <c r="CF2580" s="5">
        <v>42958</v>
      </c>
      <c r="CG2580" s="2"/>
      <c r="CH2580" s="2"/>
      <c r="CI2580" s="2">
        <v>0</v>
      </c>
      <c r="CJ2580" s="2">
        <v>0</v>
      </c>
      <c r="CK2580" s="2" t="s">
        <v>136</v>
      </c>
      <c r="CL2580" s="2" t="s">
        <v>86</v>
      </c>
      <c r="CM2580" s="2"/>
    </row>
    <row r="2581" spans="1:91">
      <c r="A2581" s="2" t="s">
        <v>71</v>
      </c>
      <c r="B2581" s="2" t="s">
        <v>72</v>
      </c>
      <c r="C2581" s="2" t="s">
        <v>73</v>
      </c>
      <c r="D2581" s="2"/>
      <c r="E2581" s="2" t="str">
        <f>"Rfes1162566617"</f>
        <v>Rfes1162566617</v>
      </c>
      <c r="F2581" s="3">
        <v>42955</v>
      </c>
      <c r="G2581" s="2">
        <v>201802</v>
      </c>
      <c r="H2581" s="2" t="s">
        <v>268</v>
      </c>
      <c r="I2581" s="2" t="s">
        <v>269</v>
      </c>
      <c r="J2581" s="2" t="s">
        <v>2991</v>
      </c>
      <c r="K2581" s="2" t="s">
        <v>77</v>
      </c>
      <c r="L2581" s="2" t="s">
        <v>74</v>
      </c>
      <c r="M2581" s="2" t="s">
        <v>75</v>
      </c>
      <c r="N2581" s="2" t="s">
        <v>118</v>
      </c>
      <c r="O2581" s="2" t="s">
        <v>81</v>
      </c>
      <c r="P2581" s="2" t="str">
        <f>"2170580921                    "</f>
        <v xml:space="preserve">2170580921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5.63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1</v>
      </c>
      <c r="BI2581" s="2">
        <v>5.6</v>
      </c>
      <c r="BJ2581" s="2">
        <v>1.3</v>
      </c>
      <c r="BK2581" s="2">
        <v>6</v>
      </c>
      <c r="BL2581" s="2">
        <v>63.28</v>
      </c>
      <c r="BM2581" s="2">
        <v>8.86</v>
      </c>
      <c r="BN2581" s="2">
        <v>72.14</v>
      </c>
      <c r="BO2581" s="2">
        <v>72.14</v>
      </c>
      <c r="BP2581" s="2"/>
      <c r="BQ2581" s="2" t="s">
        <v>122</v>
      </c>
      <c r="BR2581" s="2" t="s">
        <v>2992</v>
      </c>
      <c r="BS2581" s="3">
        <v>42957</v>
      </c>
      <c r="BT2581" s="4">
        <v>0.39583333333333331</v>
      </c>
      <c r="BU2581" s="2" t="s">
        <v>2993</v>
      </c>
      <c r="BV2581" s="2"/>
      <c r="BW2581" s="2" t="s">
        <v>124</v>
      </c>
      <c r="BX2581" s="2" t="s">
        <v>327</v>
      </c>
      <c r="BY2581" s="2">
        <v>6697.11</v>
      </c>
      <c r="BZ2581" s="2"/>
      <c r="CA2581" s="2" t="s">
        <v>953</v>
      </c>
      <c r="CB2581" s="2"/>
      <c r="CC2581" s="2" t="s">
        <v>75</v>
      </c>
      <c r="CD2581" s="2">
        <v>1600</v>
      </c>
      <c r="CE2581" s="2" t="s">
        <v>89</v>
      </c>
      <c r="CF2581" s="5">
        <v>42957</v>
      </c>
      <c r="CG2581" s="2"/>
      <c r="CH2581" s="2"/>
      <c r="CI2581" s="2">
        <v>0</v>
      </c>
      <c r="CJ2581" s="2">
        <v>0</v>
      </c>
      <c r="CK2581" s="2" t="s">
        <v>2123</v>
      </c>
      <c r="CL2581" s="2" t="s">
        <v>86</v>
      </c>
      <c r="CM2581" s="2"/>
    </row>
    <row r="2582" spans="1:91">
      <c r="A2582" s="2" t="s">
        <v>71</v>
      </c>
      <c r="B2582" s="2" t="s">
        <v>72</v>
      </c>
      <c r="C2582" s="2" t="s">
        <v>73</v>
      </c>
      <c r="D2582" s="2"/>
      <c r="E2582" s="2" t="str">
        <f>"FES1162567597"</f>
        <v>FES1162567597</v>
      </c>
      <c r="F2582" s="3">
        <v>42954</v>
      </c>
      <c r="G2582" s="2">
        <v>201802</v>
      </c>
      <c r="H2582" s="2" t="s">
        <v>74</v>
      </c>
      <c r="I2582" s="2" t="s">
        <v>75</v>
      </c>
      <c r="J2582" s="2" t="s">
        <v>118</v>
      </c>
      <c r="K2582" s="2" t="s">
        <v>77</v>
      </c>
      <c r="L2582" s="2" t="s">
        <v>252</v>
      </c>
      <c r="M2582" s="2" t="s">
        <v>106</v>
      </c>
      <c r="N2582" s="2" t="s">
        <v>397</v>
      </c>
      <c r="O2582" s="2" t="s">
        <v>81</v>
      </c>
      <c r="P2582" s="2" t="str">
        <f>"2170583745                    "</f>
        <v xml:space="preserve">2170583745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13.8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1</v>
      </c>
      <c r="BI2582" s="2">
        <v>18.8</v>
      </c>
      <c r="BJ2582" s="2">
        <v>30.1</v>
      </c>
      <c r="BK2582" s="2">
        <v>31</v>
      </c>
      <c r="BL2582" s="2">
        <v>147.91999999999999</v>
      </c>
      <c r="BM2582" s="2">
        <v>20.71</v>
      </c>
      <c r="BN2582" s="2">
        <v>168.63</v>
      </c>
      <c r="BO2582" s="2">
        <v>168.63</v>
      </c>
      <c r="BP2582" s="2"/>
      <c r="BQ2582" s="2" t="s">
        <v>83</v>
      </c>
      <c r="BR2582" s="2" t="s">
        <v>122</v>
      </c>
      <c r="BS2582" s="3">
        <v>42955</v>
      </c>
      <c r="BT2582" s="4">
        <v>0.3833333333333333</v>
      </c>
      <c r="BU2582" s="2" t="s">
        <v>779</v>
      </c>
      <c r="BV2582" s="2" t="s">
        <v>95</v>
      </c>
      <c r="BW2582" s="2"/>
      <c r="BX2582" s="2"/>
      <c r="BY2582" s="2">
        <v>150525.76000000001</v>
      </c>
      <c r="BZ2582" s="2"/>
      <c r="CA2582" s="2" t="s">
        <v>112</v>
      </c>
      <c r="CB2582" s="2"/>
      <c r="CC2582" s="2" t="s">
        <v>106</v>
      </c>
      <c r="CD2582" s="2">
        <v>7405</v>
      </c>
      <c r="CE2582" s="2" t="s">
        <v>89</v>
      </c>
      <c r="CF2582" s="5">
        <v>42957</v>
      </c>
      <c r="CG2582" s="2"/>
      <c r="CH2582" s="2"/>
      <c r="CI2582" s="2">
        <v>0</v>
      </c>
      <c r="CJ2582" s="2">
        <v>0</v>
      </c>
      <c r="CK2582" s="2" t="s">
        <v>136</v>
      </c>
      <c r="CL2582" s="2" t="s">
        <v>86</v>
      </c>
      <c r="CM2582" s="2"/>
    </row>
    <row r="2583" spans="1:91">
      <c r="A2583" s="2" t="s">
        <v>71</v>
      </c>
      <c r="B2583" s="2" t="s">
        <v>72</v>
      </c>
      <c r="C2583" s="2" t="s">
        <v>73</v>
      </c>
      <c r="D2583" s="2"/>
      <c r="E2583" s="2" t="str">
        <f>"FES1162567546"</f>
        <v>FES1162567546</v>
      </c>
      <c r="F2583" s="3">
        <v>42954</v>
      </c>
      <c r="G2583" s="2">
        <v>201802</v>
      </c>
      <c r="H2583" s="2" t="s">
        <v>74</v>
      </c>
      <c r="I2583" s="2" t="s">
        <v>75</v>
      </c>
      <c r="J2583" s="2" t="s">
        <v>118</v>
      </c>
      <c r="K2583" s="2" t="s">
        <v>77</v>
      </c>
      <c r="L2583" s="2" t="s">
        <v>252</v>
      </c>
      <c r="M2583" s="2" t="s">
        <v>106</v>
      </c>
      <c r="N2583" s="2" t="s">
        <v>2994</v>
      </c>
      <c r="O2583" s="2" t="s">
        <v>81</v>
      </c>
      <c r="P2583" s="2" t="str">
        <f>"2170583694                    "</f>
        <v xml:space="preserve">2170583694  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8.19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8.4</v>
      </c>
      <c r="BJ2583" s="2">
        <v>3.4</v>
      </c>
      <c r="BK2583" s="2">
        <v>9</v>
      </c>
      <c r="BL2583" s="2">
        <v>89.83</v>
      </c>
      <c r="BM2583" s="2">
        <v>12.58</v>
      </c>
      <c r="BN2583" s="2">
        <v>102.41</v>
      </c>
      <c r="BO2583" s="2">
        <v>102.41</v>
      </c>
      <c r="BP2583" s="2"/>
      <c r="BQ2583" s="2" t="s">
        <v>365</v>
      </c>
      <c r="BR2583" s="2" t="s">
        <v>122</v>
      </c>
      <c r="BS2583" s="3">
        <v>42957</v>
      </c>
      <c r="BT2583" s="4">
        <v>0.33958333333333335</v>
      </c>
      <c r="BU2583" s="2" t="s">
        <v>2995</v>
      </c>
      <c r="BV2583" s="2" t="s">
        <v>86</v>
      </c>
      <c r="BW2583" s="2" t="s">
        <v>110</v>
      </c>
      <c r="BX2583" s="2" t="s">
        <v>111</v>
      </c>
      <c r="BY2583" s="2">
        <v>17204.259999999998</v>
      </c>
      <c r="BZ2583" s="2"/>
      <c r="CA2583" s="2" t="s">
        <v>2996</v>
      </c>
      <c r="CB2583" s="2"/>
      <c r="CC2583" s="2" t="s">
        <v>106</v>
      </c>
      <c r="CD2583" s="2">
        <v>7530</v>
      </c>
      <c r="CE2583" s="2" t="s">
        <v>2997</v>
      </c>
      <c r="CF2583" s="5">
        <v>42958</v>
      </c>
      <c r="CG2583" s="2"/>
      <c r="CH2583" s="2"/>
      <c r="CI2583" s="2">
        <v>0</v>
      </c>
      <c r="CJ2583" s="2">
        <v>0</v>
      </c>
      <c r="CK2583" s="2" t="s">
        <v>136</v>
      </c>
      <c r="CL2583" s="2" t="s">
        <v>86</v>
      </c>
      <c r="CM2583" s="2"/>
    </row>
    <row r="2584" spans="1:91">
      <c r="A2584" s="2" t="s">
        <v>71</v>
      </c>
      <c r="B2584" s="2" t="s">
        <v>72</v>
      </c>
      <c r="C2584" s="2" t="s">
        <v>73</v>
      </c>
      <c r="D2584" s="2"/>
      <c r="E2584" s="2" t="str">
        <f>"FES1162567508"</f>
        <v>FES1162567508</v>
      </c>
      <c r="F2584" s="3">
        <v>42954</v>
      </c>
      <c r="G2584" s="2">
        <v>201802</v>
      </c>
      <c r="H2584" s="2" t="s">
        <v>74</v>
      </c>
      <c r="I2584" s="2" t="s">
        <v>75</v>
      </c>
      <c r="J2584" s="2" t="s">
        <v>118</v>
      </c>
      <c r="K2584" s="2" t="s">
        <v>77</v>
      </c>
      <c r="L2584" s="2" t="s">
        <v>604</v>
      </c>
      <c r="M2584" s="2" t="s">
        <v>605</v>
      </c>
      <c r="N2584" s="2" t="s">
        <v>1907</v>
      </c>
      <c r="O2584" s="2" t="s">
        <v>81</v>
      </c>
      <c r="P2584" s="2" t="str">
        <f>"2170574448                    "</f>
        <v xml:space="preserve">2170574448 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22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1</v>
      </c>
      <c r="BI2584" s="2">
        <v>35</v>
      </c>
      <c r="BJ2584" s="2">
        <v>83.4</v>
      </c>
      <c r="BK2584" s="2">
        <v>84</v>
      </c>
      <c r="BL2584" s="2">
        <v>232.83</v>
      </c>
      <c r="BM2584" s="2">
        <v>32.6</v>
      </c>
      <c r="BN2584" s="2">
        <v>265.43</v>
      </c>
      <c r="BO2584" s="2">
        <v>265.43</v>
      </c>
      <c r="BP2584" s="2"/>
      <c r="BQ2584" s="2" t="s">
        <v>83</v>
      </c>
      <c r="BR2584" s="2" t="s">
        <v>122</v>
      </c>
      <c r="BS2584" s="3">
        <v>42955</v>
      </c>
      <c r="BT2584" s="4">
        <v>0.44791666666666669</v>
      </c>
      <c r="BU2584" s="2" t="s">
        <v>2998</v>
      </c>
      <c r="BV2584" s="2" t="s">
        <v>95</v>
      </c>
      <c r="BW2584" s="2"/>
      <c r="BX2584" s="2"/>
      <c r="BY2584" s="2">
        <v>416888</v>
      </c>
      <c r="BZ2584" s="2"/>
      <c r="CA2584" s="2" t="s">
        <v>2999</v>
      </c>
      <c r="CB2584" s="2"/>
      <c r="CC2584" s="2" t="s">
        <v>605</v>
      </c>
      <c r="CD2584" s="2">
        <v>4126</v>
      </c>
      <c r="CE2584" s="2" t="s">
        <v>89</v>
      </c>
      <c r="CF2584" s="5">
        <v>42957</v>
      </c>
      <c r="CG2584" s="2"/>
      <c r="CH2584" s="2"/>
      <c r="CI2584" s="2">
        <v>0</v>
      </c>
      <c r="CJ2584" s="2">
        <v>0</v>
      </c>
      <c r="CK2584" s="2" t="s">
        <v>153</v>
      </c>
      <c r="CL2584" s="2" t="s">
        <v>86</v>
      </c>
      <c r="CM2584" s="2"/>
    </row>
    <row r="2585" spans="1:91">
      <c r="A2585" s="2" t="s">
        <v>71</v>
      </c>
      <c r="B2585" s="2" t="s">
        <v>72</v>
      </c>
      <c r="C2585" s="2" t="s">
        <v>73</v>
      </c>
      <c r="D2585" s="2"/>
      <c r="E2585" s="2" t="str">
        <f>"FES1162567536"</f>
        <v>FES1162567536</v>
      </c>
      <c r="F2585" s="3">
        <v>42954</v>
      </c>
      <c r="G2585" s="2">
        <v>201802</v>
      </c>
      <c r="H2585" s="2" t="s">
        <v>74</v>
      </c>
      <c r="I2585" s="2" t="s">
        <v>75</v>
      </c>
      <c r="J2585" s="2" t="s">
        <v>118</v>
      </c>
      <c r="K2585" s="2" t="s">
        <v>77</v>
      </c>
      <c r="L2585" s="2" t="s">
        <v>97</v>
      </c>
      <c r="M2585" s="2" t="s">
        <v>98</v>
      </c>
      <c r="N2585" s="2" t="s">
        <v>292</v>
      </c>
      <c r="O2585" s="2" t="s">
        <v>81</v>
      </c>
      <c r="P2585" s="2" t="str">
        <f>"2170579299                    "</f>
        <v xml:space="preserve">2170579299  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9.9499999999999993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19.3</v>
      </c>
      <c r="BJ2585" s="2">
        <v>9</v>
      </c>
      <c r="BK2585" s="2">
        <v>20</v>
      </c>
      <c r="BL2585" s="2">
        <v>107.99</v>
      </c>
      <c r="BM2585" s="2">
        <v>15.12</v>
      </c>
      <c r="BN2585" s="2">
        <v>123.11</v>
      </c>
      <c r="BO2585" s="2">
        <v>123.11</v>
      </c>
      <c r="BP2585" s="2"/>
      <c r="BQ2585" s="2" t="s">
        <v>83</v>
      </c>
      <c r="BR2585" s="2" t="s">
        <v>122</v>
      </c>
      <c r="BS2585" s="3">
        <v>42955</v>
      </c>
      <c r="BT2585" s="4">
        <v>0.33333333333333331</v>
      </c>
      <c r="BU2585" s="2" t="s">
        <v>1288</v>
      </c>
      <c r="BV2585" s="2" t="s">
        <v>95</v>
      </c>
      <c r="BW2585" s="2"/>
      <c r="BX2585" s="2"/>
      <c r="BY2585" s="2">
        <v>45170.55</v>
      </c>
      <c r="BZ2585" s="2"/>
      <c r="CA2585" s="2" t="s">
        <v>294</v>
      </c>
      <c r="CB2585" s="2"/>
      <c r="CC2585" s="2" t="s">
        <v>98</v>
      </c>
      <c r="CD2585" s="2">
        <v>6001</v>
      </c>
      <c r="CE2585" s="2" t="s">
        <v>89</v>
      </c>
      <c r="CF2585" s="5">
        <v>42957</v>
      </c>
      <c r="CG2585" s="2"/>
      <c r="CH2585" s="2"/>
      <c r="CI2585" s="2">
        <v>0</v>
      </c>
      <c r="CJ2585" s="2">
        <v>0</v>
      </c>
      <c r="CK2585" s="2" t="s">
        <v>136</v>
      </c>
      <c r="CL2585" s="2" t="s">
        <v>86</v>
      </c>
      <c r="CM2585" s="2"/>
    </row>
    <row r="2586" spans="1:91">
      <c r="A2586" s="2" t="s">
        <v>71</v>
      </c>
      <c r="B2586" s="2" t="s">
        <v>72</v>
      </c>
      <c r="C2586" s="2" t="s">
        <v>73</v>
      </c>
      <c r="D2586" s="2"/>
      <c r="E2586" s="2" t="str">
        <f>"FES1162567411"</f>
        <v>FES1162567411</v>
      </c>
      <c r="F2586" s="3">
        <v>42954</v>
      </c>
      <c r="G2586" s="2">
        <v>201802</v>
      </c>
      <c r="H2586" s="2" t="s">
        <v>74</v>
      </c>
      <c r="I2586" s="2" t="s">
        <v>75</v>
      </c>
      <c r="J2586" s="2" t="s">
        <v>118</v>
      </c>
      <c r="K2586" s="2" t="s">
        <v>77</v>
      </c>
      <c r="L2586" s="2" t="s">
        <v>252</v>
      </c>
      <c r="M2586" s="2" t="s">
        <v>106</v>
      </c>
      <c r="N2586" s="2" t="s">
        <v>644</v>
      </c>
      <c r="O2586" s="2" t="s">
        <v>81</v>
      </c>
      <c r="P2586" s="2" t="str">
        <f>"2170583567                    "</f>
        <v xml:space="preserve">2170583567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13.45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1</v>
      </c>
      <c r="BI2586" s="2">
        <v>13.1</v>
      </c>
      <c r="BJ2586" s="2">
        <v>29.9</v>
      </c>
      <c r="BK2586" s="2">
        <v>30</v>
      </c>
      <c r="BL2586" s="2">
        <v>144.29</v>
      </c>
      <c r="BM2586" s="2">
        <v>20.2</v>
      </c>
      <c r="BN2586" s="2">
        <v>164.49</v>
      </c>
      <c r="BO2586" s="2">
        <v>164.49</v>
      </c>
      <c r="BP2586" s="2"/>
      <c r="BQ2586" s="2" t="s">
        <v>83</v>
      </c>
      <c r="BR2586" s="2" t="s">
        <v>122</v>
      </c>
      <c r="BS2586" s="3">
        <v>42955</v>
      </c>
      <c r="BT2586" s="4">
        <v>0.4548611111111111</v>
      </c>
      <c r="BU2586" s="2" t="s">
        <v>1369</v>
      </c>
      <c r="BV2586" s="2" t="s">
        <v>95</v>
      </c>
      <c r="BW2586" s="2"/>
      <c r="BX2586" s="2"/>
      <c r="BY2586" s="2">
        <v>149420.26</v>
      </c>
      <c r="BZ2586" s="2"/>
      <c r="CA2586" s="2" t="s">
        <v>112</v>
      </c>
      <c r="CB2586" s="2"/>
      <c r="CC2586" s="2" t="s">
        <v>106</v>
      </c>
      <c r="CD2586" s="2">
        <v>7441</v>
      </c>
      <c r="CE2586" s="2" t="s">
        <v>89</v>
      </c>
      <c r="CF2586" s="5">
        <v>42955</v>
      </c>
      <c r="CG2586" s="2"/>
      <c r="CH2586" s="2"/>
      <c r="CI2586" s="2">
        <v>0</v>
      </c>
      <c r="CJ2586" s="2">
        <v>0</v>
      </c>
      <c r="CK2586" s="2" t="s">
        <v>136</v>
      </c>
      <c r="CL2586" s="2" t="s">
        <v>86</v>
      </c>
      <c r="CM2586" s="2"/>
    </row>
    <row r="2587" spans="1:91">
      <c r="A2587" s="2" t="s">
        <v>71</v>
      </c>
      <c r="B2587" s="2" t="s">
        <v>72</v>
      </c>
      <c r="C2587" s="2" t="s">
        <v>73</v>
      </c>
      <c r="D2587" s="2"/>
      <c r="E2587" s="2" t="str">
        <f>"FES1162567259"</f>
        <v>FES1162567259</v>
      </c>
      <c r="F2587" s="3">
        <v>42954</v>
      </c>
      <c r="G2587" s="2">
        <v>201802</v>
      </c>
      <c r="H2587" s="2" t="s">
        <v>74</v>
      </c>
      <c r="I2587" s="2" t="s">
        <v>75</v>
      </c>
      <c r="J2587" s="2" t="s">
        <v>118</v>
      </c>
      <c r="K2587" s="2" t="s">
        <v>77</v>
      </c>
      <c r="L2587" s="2" t="s">
        <v>252</v>
      </c>
      <c r="M2587" s="2" t="s">
        <v>106</v>
      </c>
      <c r="N2587" s="2" t="s">
        <v>1143</v>
      </c>
      <c r="O2587" s="2" t="s">
        <v>81</v>
      </c>
      <c r="P2587" s="2" t="str">
        <f>"2170583411                    "</f>
        <v xml:space="preserve">2170583411 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13.45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14.7</v>
      </c>
      <c r="BJ2587" s="2">
        <v>29.1</v>
      </c>
      <c r="BK2587" s="2">
        <v>30</v>
      </c>
      <c r="BL2587" s="2">
        <v>144.29</v>
      </c>
      <c r="BM2587" s="2">
        <v>20.2</v>
      </c>
      <c r="BN2587" s="2">
        <v>164.49</v>
      </c>
      <c r="BO2587" s="2">
        <v>164.49</v>
      </c>
      <c r="BP2587" s="2"/>
      <c r="BQ2587" s="2" t="s">
        <v>83</v>
      </c>
      <c r="BR2587" s="2" t="s">
        <v>122</v>
      </c>
      <c r="BS2587" s="3">
        <v>42955</v>
      </c>
      <c r="BT2587" s="4">
        <v>0.47291666666666665</v>
      </c>
      <c r="BU2587" s="2" t="s">
        <v>1144</v>
      </c>
      <c r="BV2587" s="2" t="s">
        <v>86</v>
      </c>
      <c r="BW2587" s="2" t="s">
        <v>110</v>
      </c>
      <c r="BX2587" s="2" t="s">
        <v>111</v>
      </c>
      <c r="BY2587" s="2">
        <v>145584.19</v>
      </c>
      <c r="BZ2587" s="2"/>
      <c r="CA2587" s="2" t="s">
        <v>643</v>
      </c>
      <c r="CB2587" s="2"/>
      <c r="CC2587" s="2" t="s">
        <v>106</v>
      </c>
      <c r="CD2587" s="2">
        <v>7925</v>
      </c>
      <c r="CE2587" s="2" t="s">
        <v>89</v>
      </c>
      <c r="CF2587" s="5">
        <v>42957</v>
      </c>
      <c r="CG2587" s="2"/>
      <c r="CH2587" s="2"/>
      <c r="CI2587" s="2">
        <v>0</v>
      </c>
      <c r="CJ2587" s="2">
        <v>0</v>
      </c>
      <c r="CK2587" s="2" t="s">
        <v>136</v>
      </c>
      <c r="CL2587" s="2" t="s">
        <v>86</v>
      </c>
      <c r="CM2587" s="2"/>
    </row>
    <row r="2588" spans="1:91">
      <c r="A2588" s="2" t="s">
        <v>71</v>
      </c>
      <c r="B2588" s="2" t="s">
        <v>72</v>
      </c>
      <c r="C2588" s="2" t="s">
        <v>73</v>
      </c>
      <c r="D2588" s="2"/>
      <c r="E2588" s="2" t="str">
        <f>"FES1162567031"</f>
        <v>FES1162567031</v>
      </c>
      <c r="F2588" s="3">
        <v>42951</v>
      </c>
      <c r="G2588" s="2">
        <v>201802</v>
      </c>
      <c r="H2588" s="2" t="s">
        <v>74</v>
      </c>
      <c r="I2588" s="2" t="s">
        <v>75</v>
      </c>
      <c r="J2588" s="2" t="s">
        <v>118</v>
      </c>
      <c r="K2588" s="2" t="s">
        <v>77</v>
      </c>
      <c r="L2588" s="2" t="s">
        <v>343</v>
      </c>
      <c r="M2588" s="2" t="s">
        <v>344</v>
      </c>
      <c r="N2588" s="2" t="s">
        <v>345</v>
      </c>
      <c r="O2588" s="2" t="s">
        <v>81</v>
      </c>
      <c r="P2588" s="2" t="str">
        <f>"2170580167                    "</f>
        <v xml:space="preserve">2170580167                    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8.24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12.7</v>
      </c>
      <c r="BJ2588" s="2">
        <v>25.9</v>
      </c>
      <c r="BK2588" s="2">
        <v>26</v>
      </c>
      <c r="BL2588" s="2">
        <v>90.31</v>
      </c>
      <c r="BM2588" s="2">
        <v>12.64</v>
      </c>
      <c r="BN2588" s="2">
        <v>102.95</v>
      </c>
      <c r="BO2588" s="2">
        <v>102.95</v>
      </c>
      <c r="BP2588" s="2"/>
      <c r="BQ2588" s="2" t="s">
        <v>3000</v>
      </c>
      <c r="BR2588" s="2" t="s">
        <v>122</v>
      </c>
      <c r="BS2588" s="3">
        <v>42961</v>
      </c>
      <c r="BT2588" s="4">
        <v>0.4375</v>
      </c>
      <c r="BU2588" s="2" t="s">
        <v>346</v>
      </c>
      <c r="BV2588" s="2" t="s">
        <v>86</v>
      </c>
      <c r="BW2588" s="2" t="s">
        <v>124</v>
      </c>
      <c r="BX2588" s="2" t="s">
        <v>337</v>
      </c>
      <c r="BY2588" s="2">
        <v>129524.21</v>
      </c>
      <c r="BZ2588" s="2"/>
      <c r="CA2588" s="2" t="s">
        <v>347</v>
      </c>
      <c r="CB2588" s="2"/>
      <c r="CC2588" s="2" t="s">
        <v>344</v>
      </c>
      <c r="CD2588" s="2">
        <v>4133</v>
      </c>
      <c r="CE2588" s="2" t="s">
        <v>948</v>
      </c>
      <c r="CF2588" s="5">
        <v>42962</v>
      </c>
      <c r="CG2588" s="2"/>
      <c r="CH2588" s="2"/>
      <c r="CI2588" s="2">
        <v>0</v>
      </c>
      <c r="CJ2588" s="2">
        <v>0</v>
      </c>
      <c r="CK2588" s="2" t="s">
        <v>153</v>
      </c>
      <c r="CL2588" s="2" t="s">
        <v>86</v>
      </c>
      <c r="CM2588" s="2"/>
    </row>
    <row r="2589" spans="1:91">
      <c r="A2589" s="2" t="s">
        <v>71</v>
      </c>
      <c r="B2589" s="2" t="s">
        <v>72</v>
      </c>
      <c r="C2589" s="2" t="s">
        <v>73</v>
      </c>
      <c r="D2589" s="2"/>
      <c r="E2589" s="2" t="str">
        <f>"FES1162566737"</f>
        <v>FES1162566737</v>
      </c>
      <c r="F2589" s="3">
        <v>42950</v>
      </c>
      <c r="G2589" s="2">
        <v>201802</v>
      </c>
      <c r="H2589" s="2" t="s">
        <v>74</v>
      </c>
      <c r="I2589" s="2" t="s">
        <v>75</v>
      </c>
      <c r="J2589" s="2" t="s">
        <v>118</v>
      </c>
      <c r="K2589" s="2" t="s">
        <v>77</v>
      </c>
      <c r="L2589" s="2" t="s">
        <v>252</v>
      </c>
      <c r="M2589" s="2" t="s">
        <v>106</v>
      </c>
      <c r="N2589" s="2" t="s">
        <v>3001</v>
      </c>
      <c r="O2589" s="2" t="s">
        <v>81</v>
      </c>
      <c r="P2589" s="2" t="str">
        <f>"2170583017                    "</f>
        <v xml:space="preserve">2170583017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14.15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1</v>
      </c>
      <c r="BI2589" s="2">
        <v>9.8000000000000007</v>
      </c>
      <c r="BJ2589" s="2">
        <v>31.4</v>
      </c>
      <c r="BK2589" s="2">
        <v>32</v>
      </c>
      <c r="BL2589" s="2">
        <v>151.55000000000001</v>
      </c>
      <c r="BM2589" s="2">
        <v>21.22</v>
      </c>
      <c r="BN2589" s="2">
        <v>172.77</v>
      </c>
      <c r="BO2589" s="2">
        <v>172.77</v>
      </c>
      <c r="BP2589" s="2"/>
      <c r="BQ2589" s="2" t="s">
        <v>3002</v>
      </c>
      <c r="BR2589" s="2" t="s">
        <v>122</v>
      </c>
      <c r="BS2589" s="3">
        <v>42951</v>
      </c>
      <c r="BT2589" s="4">
        <v>0.41180555555555554</v>
      </c>
      <c r="BU2589" s="2" t="s">
        <v>3003</v>
      </c>
      <c r="BV2589" s="2"/>
      <c r="BW2589" s="2"/>
      <c r="BX2589" s="2"/>
      <c r="BY2589" s="2">
        <v>156831.48000000001</v>
      </c>
      <c r="BZ2589" s="2"/>
      <c r="CA2589" s="2" t="s">
        <v>856</v>
      </c>
      <c r="CB2589" s="2"/>
      <c r="CC2589" s="2" t="s">
        <v>106</v>
      </c>
      <c r="CD2589" s="2">
        <v>7405</v>
      </c>
      <c r="CE2589" s="2" t="s">
        <v>89</v>
      </c>
      <c r="CF2589" s="5">
        <v>42951</v>
      </c>
      <c r="CG2589" s="2"/>
      <c r="CH2589" s="2"/>
      <c r="CI2589" s="2">
        <v>0</v>
      </c>
      <c r="CJ2589" s="2">
        <v>0</v>
      </c>
      <c r="CK2589" s="2" t="s">
        <v>136</v>
      </c>
      <c r="CL2589" s="2" t="s">
        <v>86</v>
      </c>
      <c r="CM2589" s="2"/>
    </row>
    <row r="2590" spans="1:91">
      <c r="A2590" s="2" t="s">
        <v>71</v>
      </c>
      <c r="B2590" s="2" t="s">
        <v>72</v>
      </c>
      <c r="C2590" s="2" t="s">
        <v>73</v>
      </c>
      <c r="D2590" s="2"/>
      <c r="E2590" s="2" t="str">
        <f>"FES1162570407"</f>
        <v>FES1162570407</v>
      </c>
      <c r="F2590" s="3">
        <v>42969</v>
      </c>
      <c r="G2590" s="2">
        <v>201802</v>
      </c>
      <c r="H2590" s="2" t="s">
        <v>74</v>
      </c>
      <c r="I2590" s="2" t="s">
        <v>75</v>
      </c>
      <c r="J2590" s="2" t="s">
        <v>76</v>
      </c>
      <c r="K2590" s="2" t="s">
        <v>77</v>
      </c>
      <c r="L2590" s="2" t="s">
        <v>144</v>
      </c>
      <c r="M2590" s="2" t="s">
        <v>145</v>
      </c>
      <c r="N2590" s="2" t="s">
        <v>295</v>
      </c>
      <c r="O2590" s="2" t="s">
        <v>100</v>
      </c>
      <c r="P2590" s="2" t="str">
        <f>"2170584924                    "</f>
        <v xml:space="preserve">2170584924  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3.13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1</v>
      </c>
      <c r="BI2590" s="2">
        <v>1.3</v>
      </c>
      <c r="BJ2590" s="2">
        <v>2.2000000000000002</v>
      </c>
      <c r="BK2590" s="2">
        <v>3</v>
      </c>
      <c r="BL2590" s="2">
        <v>32.380000000000003</v>
      </c>
      <c r="BM2590" s="2">
        <v>4.53</v>
      </c>
      <c r="BN2590" s="2">
        <v>36.909999999999997</v>
      </c>
      <c r="BO2590" s="2">
        <v>36.909999999999997</v>
      </c>
      <c r="BP2590" s="2"/>
      <c r="BQ2590" s="2" t="s">
        <v>288</v>
      </c>
      <c r="BR2590" s="2" t="s">
        <v>84</v>
      </c>
      <c r="BS2590" s="3">
        <v>42970</v>
      </c>
      <c r="BT2590" s="4">
        <v>0.3520833333333333</v>
      </c>
      <c r="BU2590" s="2" t="s">
        <v>2633</v>
      </c>
      <c r="BV2590" s="2" t="s">
        <v>95</v>
      </c>
      <c r="BW2590" s="2"/>
      <c r="BX2590" s="2"/>
      <c r="BY2590" s="2">
        <v>10767.76</v>
      </c>
      <c r="BZ2590" s="2"/>
      <c r="CA2590" s="2" t="s">
        <v>1355</v>
      </c>
      <c r="CB2590" s="2"/>
      <c r="CC2590" s="2" t="s">
        <v>145</v>
      </c>
      <c r="CD2590" s="2">
        <v>2013</v>
      </c>
      <c r="CE2590" s="2" t="s">
        <v>104</v>
      </c>
      <c r="CF2590" s="5">
        <v>42971</v>
      </c>
      <c r="CG2590" s="2"/>
      <c r="CH2590" s="2"/>
      <c r="CI2590" s="2">
        <v>1</v>
      </c>
      <c r="CJ2590" s="2">
        <v>1</v>
      </c>
      <c r="CK2590" s="2">
        <v>22</v>
      </c>
      <c r="CL2590" s="2" t="s">
        <v>86</v>
      </c>
      <c r="CM2590" s="2"/>
    </row>
    <row r="2591" spans="1:91">
      <c r="A2591" s="2" t="s">
        <v>71</v>
      </c>
      <c r="B2591" s="2" t="s">
        <v>72</v>
      </c>
      <c r="C2591" s="2" t="s">
        <v>73</v>
      </c>
      <c r="D2591" s="2"/>
      <c r="E2591" s="2" t="str">
        <f>"FES1162570536"</f>
        <v>FES1162570536</v>
      </c>
      <c r="F2591" s="3">
        <v>42969</v>
      </c>
      <c r="G2591" s="2">
        <v>201802</v>
      </c>
      <c r="H2591" s="2" t="s">
        <v>74</v>
      </c>
      <c r="I2591" s="2" t="s">
        <v>75</v>
      </c>
      <c r="J2591" s="2" t="s">
        <v>76</v>
      </c>
      <c r="K2591" s="2" t="s">
        <v>77</v>
      </c>
      <c r="L2591" s="2" t="s">
        <v>97</v>
      </c>
      <c r="M2591" s="2" t="s">
        <v>98</v>
      </c>
      <c r="N2591" s="2" t="s">
        <v>99</v>
      </c>
      <c r="O2591" s="2" t="s">
        <v>100</v>
      </c>
      <c r="P2591" s="2" t="str">
        <f>"                              "</f>
        <v xml:space="preserve">          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7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0.4</v>
      </c>
      <c r="BJ2591" s="2">
        <v>3.1</v>
      </c>
      <c r="BK2591" s="2">
        <v>3.5</v>
      </c>
      <c r="BL2591" s="2">
        <v>72.52</v>
      </c>
      <c r="BM2591" s="2">
        <v>10.15</v>
      </c>
      <c r="BN2591" s="2">
        <v>82.67</v>
      </c>
      <c r="BO2591" s="2">
        <v>82.67</v>
      </c>
      <c r="BP2591" s="2">
        <v>2170583840</v>
      </c>
      <c r="BQ2591" s="2" t="s">
        <v>83</v>
      </c>
      <c r="BR2591" s="2" t="s">
        <v>84</v>
      </c>
      <c r="BS2591" s="3">
        <v>42970</v>
      </c>
      <c r="BT2591" s="4">
        <v>0.3520833333333333</v>
      </c>
      <c r="BU2591" s="2" t="s">
        <v>102</v>
      </c>
      <c r="BV2591" s="2" t="s">
        <v>95</v>
      </c>
      <c r="BW2591" s="2"/>
      <c r="BX2591" s="2"/>
      <c r="BY2591" s="2">
        <v>15250.95</v>
      </c>
      <c r="BZ2591" s="2"/>
      <c r="CA2591" s="2" t="s">
        <v>103</v>
      </c>
      <c r="CB2591" s="2"/>
      <c r="CC2591" s="2" t="s">
        <v>98</v>
      </c>
      <c r="CD2591" s="2">
        <v>6210</v>
      </c>
      <c r="CE2591" s="2" t="s">
        <v>104</v>
      </c>
      <c r="CF2591" s="5">
        <v>42971</v>
      </c>
      <c r="CG2591" s="2"/>
      <c r="CH2591" s="2"/>
      <c r="CI2591" s="2">
        <v>1</v>
      </c>
      <c r="CJ2591" s="2">
        <v>1</v>
      </c>
      <c r="CK2591" s="2">
        <v>21</v>
      </c>
      <c r="CL2591" s="2" t="s">
        <v>86</v>
      </c>
      <c r="CM2591" s="2"/>
    </row>
    <row r="2592" spans="1:91">
      <c r="A2592" s="2" t="s">
        <v>71</v>
      </c>
      <c r="B2592" s="2" t="s">
        <v>72</v>
      </c>
      <c r="C2592" s="2" t="s">
        <v>73</v>
      </c>
      <c r="D2592" s="2"/>
      <c r="E2592" s="2" t="str">
        <f>"FES1162570632"</f>
        <v>FES1162570632</v>
      </c>
      <c r="F2592" s="3">
        <v>42969</v>
      </c>
      <c r="G2592" s="2">
        <v>201802</v>
      </c>
      <c r="H2592" s="2" t="s">
        <v>74</v>
      </c>
      <c r="I2592" s="2" t="s">
        <v>75</v>
      </c>
      <c r="J2592" s="2" t="s">
        <v>76</v>
      </c>
      <c r="K2592" s="2" t="s">
        <v>77</v>
      </c>
      <c r="L2592" s="2" t="s">
        <v>97</v>
      </c>
      <c r="M2592" s="2" t="s">
        <v>98</v>
      </c>
      <c r="N2592" s="2" t="s">
        <v>822</v>
      </c>
      <c r="O2592" s="2" t="s">
        <v>100</v>
      </c>
      <c r="P2592" s="2" t="str">
        <f>"2170586390                    "</f>
        <v xml:space="preserve">2170586390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4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1.2</v>
      </c>
      <c r="BJ2592" s="2">
        <v>1.8</v>
      </c>
      <c r="BK2592" s="2">
        <v>2</v>
      </c>
      <c r="BL2592" s="2">
        <v>41.44</v>
      </c>
      <c r="BM2592" s="2">
        <v>5.8</v>
      </c>
      <c r="BN2592" s="2">
        <v>47.24</v>
      </c>
      <c r="BO2592" s="2">
        <v>47.24</v>
      </c>
      <c r="BP2592" s="2"/>
      <c r="BQ2592" s="2" t="s">
        <v>83</v>
      </c>
      <c r="BR2592" s="2" t="s">
        <v>84</v>
      </c>
      <c r="BS2592" s="3">
        <v>42970</v>
      </c>
      <c r="BT2592" s="4">
        <v>0.4069444444444445</v>
      </c>
      <c r="BU2592" s="2" t="s">
        <v>3004</v>
      </c>
      <c r="BV2592" s="2" t="s">
        <v>95</v>
      </c>
      <c r="BW2592" s="2"/>
      <c r="BX2592" s="2"/>
      <c r="BY2592" s="2">
        <v>8982.0400000000009</v>
      </c>
      <c r="BZ2592" s="2"/>
      <c r="CA2592" s="2" t="s">
        <v>213</v>
      </c>
      <c r="CB2592" s="2"/>
      <c r="CC2592" s="2" t="s">
        <v>98</v>
      </c>
      <c r="CD2592" s="2">
        <v>6014</v>
      </c>
      <c r="CE2592" s="2" t="s">
        <v>104</v>
      </c>
      <c r="CF2592" s="5">
        <v>42970</v>
      </c>
      <c r="CG2592" s="2"/>
      <c r="CH2592" s="2"/>
      <c r="CI2592" s="2">
        <v>1</v>
      </c>
      <c r="CJ2592" s="2">
        <v>1</v>
      </c>
      <c r="CK2592" s="2">
        <v>21</v>
      </c>
      <c r="CL2592" s="2" t="s">
        <v>86</v>
      </c>
      <c r="CM2592" s="2"/>
    </row>
    <row r="2593" spans="1:91">
      <c r="A2593" s="2" t="s">
        <v>71</v>
      </c>
      <c r="B2593" s="2" t="s">
        <v>72</v>
      </c>
      <c r="C2593" s="2" t="s">
        <v>73</v>
      </c>
      <c r="D2593" s="2"/>
      <c r="E2593" s="2" t="str">
        <f>"FES1162570417"</f>
        <v>FES1162570417</v>
      </c>
      <c r="F2593" s="3">
        <v>42969</v>
      </c>
      <c r="G2593" s="2">
        <v>201802</v>
      </c>
      <c r="H2593" s="2" t="s">
        <v>74</v>
      </c>
      <c r="I2593" s="2" t="s">
        <v>75</v>
      </c>
      <c r="J2593" s="2" t="s">
        <v>76</v>
      </c>
      <c r="K2593" s="2" t="s">
        <v>77</v>
      </c>
      <c r="L2593" s="2" t="s">
        <v>97</v>
      </c>
      <c r="M2593" s="2" t="s">
        <v>98</v>
      </c>
      <c r="N2593" s="2" t="s">
        <v>1210</v>
      </c>
      <c r="O2593" s="2" t="s">
        <v>100</v>
      </c>
      <c r="P2593" s="2" t="str">
        <f>"2170585799                    "</f>
        <v xml:space="preserve">2170585799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5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1.2</v>
      </c>
      <c r="BJ2593" s="2">
        <v>2.4</v>
      </c>
      <c r="BK2593" s="2">
        <v>2.5</v>
      </c>
      <c r="BL2593" s="2">
        <v>51.8</v>
      </c>
      <c r="BM2593" s="2">
        <v>7.25</v>
      </c>
      <c r="BN2593" s="2">
        <v>59.05</v>
      </c>
      <c r="BO2593" s="2">
        <v>59.05</v>
      </c>
      <c r="BP2593" s="2"/>
      <c r="BQ2593" s="2" t="s">
        <v>108</v>
      </c>
      <c r="BR2593" s="2" t="s">
        <v>84</v>
      </c>
      <c r="BS2593" s="3">
        <v>42970</v>
      </c>
      <c r="BT2593" s="4">
        <v>0.30486111111111108</v>
      </c>
      <c r="BU2593" s="2" t="s">
        <v>2873</v>
      </c>
      <c r="BV2593" s="2" t="s">
        <v>95</v>
      </c>
      <c r="BW2593" s="2"/>
      <c r="BX2593" s="2"/>
      <c r="BY2593" s="2">
        <v>11762.64</v>
      </c>
      <c r="BZ2593" s="2"/>
      <c r="CA2593" s="2" t="s">
        <v>804</v>
      </c>
      <c r="CB2593" s="2"/>
      <c r="CC2593" s="2" t="s">
        <v>98</v>
      </c>
      <c r="CD2593" s="2">
        <v>6012</v>
      </c>
      <c r="CE2593" s="2" t="s">
        <v>104</v>
      </c>
      <c r="CF2593" s="5">
        <v>42971</v>
      </c>
      <c r="CG2593" s="2"/>
      <c r="CH2593" s="2"/>
      <c r="CI2593" s="2">
        <v>1</v>
      </c>
      <c r="CJ2593" s="2">
        <v>1</v>
      </c>
      <c r="CK2593" s="2">
        <v>21</v>
      </c>
      <c r="CL2593" s="2" t="s">
        <v>86</v>
      </c>
      <c r="CM2593" s="2"/>
    </row>
    <row r="2594" spans="1:91">
      <c r="A2594" s="2" t="s">
        <v>71</v>
      </c>
      <c r="B2594" s="2" t="s">
        <v>72</v>
      </c>
      <c r="C2594" s="2" t="s">
        <v>73</v>
      </c>
      <c r="D2594" s="2"/>
      <c r="E2594" s="2" t="str">
        <f>"FES1162570171"</f>
        <v>FES1162570171</v>
      </c>
      <c r="F2594" s="3">
        <v>42968</v>
      </c>
      <c r="G2594" s="2">
        <v>201802</v>
      </c>
      <c r="H2594" s="2" t="s">
        <v>74</v>
      </c>
      <c r="I2594" s="2" t="s">
        <v>75</v>
      </c>
      <c r="J2594" s="2" t="s">
        <v>76</v>
      </c>
      <c r="K2594" s="2" t="s">
        <v>77</v>
      </c>
      <c r="L2594" s="2" t="s">
        <v>339</v>
      </c>
      <c r="M2594" s="2" t="s">
        <v>340</v>
      </c>
      <c r="N2594" s="2" t="s">
        <v>3005</v>
      </c>
      <c r="O2594" s="2" t="s">
        <v>100</v>
      </c>
      <c r="P2594" s="2" t="str">
        <f>"2170584614                    "</f>
        <v xml:space="preserve">2170584614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4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1</v>
      </c>
      <c r="BI2594" s="2">
        <v>0.7</v>
      </c>
      <c r="BJ2594" s="2">
        <v>1.1000000000000001</v>
      </c>
      <c r="BK2594" s="2">
        <v>1.5</v>
      </c>
      <c r="BL2594" s="2">
        <v>41.44</v>
      </c>
      <c r="BM2594" s="2">
        <v>5.8</v>
      </c>
      <c r="BN2594" s="2">
        <v>47.24</v>
      </c>
      <c r="BO2594" s="2">
        <v>47.24</v>
      </c>
      <c r="BP2594" s="2"/>
      <c r="BQ2594" s="2" t="s">
        <v>83</v>
      </c>
      <c r="BR2594" s="2" t="s">
        <v>84</v>
      </c>
      <c r="BS2594" s="3">
        <v>42971</v>
      </c>
      <c r="BT2594" s="4">
        <v>0.50694444444444442</v>
      </c>
      <c r="BU2594" s="2" t="s">
        <v>990</v>
      </c>
      <c r="BV2594" s="2" t="s">
        <v>86</v>
      </c>
      <c r="BW2594" s="2"/>
      <c r="BX2594" s="2"/>
      <c r="BY2594" s="2">
        <v>5494.4</v>
      </c>
      <c r="BZ2594" s="2"/>
      <c r="CA2594" s="2"/>
      <c r="CB2594" s="2"/>
      <c r="CC2594" s="2" t="s">
        <v>340</v>
      </c>
      <c r="CD2594" s="2">
        <v>1947</v>
      </c>
      <c r="CE2594" s="2" t="s">
        <v>89</v>
      </c>
      <c r="CF2594" s="5">
        <v>42972</v>
      </c>
      <c r="CG2594" s="2"/>
      <c r="CH2594" s="2"/>
      <c r="CI2594" s="2">
        <v>1</v>
      </c>
      <c r="CJ2594" s="2">
        <v>3</v>
      </c>
      <c r="CK2594" s="2">
        <v>21</v>
      </c>
      <c r="CL2594" s="2" t="s">
        <v>86</v>
      </c>
      <c r="CM2594" s="2"/>
    </row>
    <row r="2595" spans="1:91">
      <c r="A2595" s="2" t="s">
        <v>71</v>
      </c>
      <c r="B2595" s="2" t="s">
        <v>72</v>
      </c>
      <c r="C2595" s="2" t="s">
        <v>73</v>
      </c>
      <c r="D2595" s="2"/>
      <c r="E2595" s="2" t="str">
        <f>"FES1162570424"</f>
        <v>FES1162570424</v>
      </c>
      <c r="F2595" s="3">
        <v>42969</v>
      </c>
      <c r="G2595" s="2">
        <v>201802</v>
      </c>
      <c r="H2595" s="2" t="s">
        <v>74</v>
      </c>
      <c r="I2595" s="2" t="s">
        <v>75</v>
      </c>
      <c r="J2595" s="2" t="s">
        <v>76</v>
      </c>
      <c r="K2595" s="2" t="s">
        <v>77</v>
      </c>
      <c r="L2595" s="2" t="s">
        <v>97</v>
      </c>
      <c r="M2595" s="2" t="s">
        <v>98</v>
      </c>
      <c r="N2595" s="2" t="s">
        <v>2895</v>
      </c>
      <c r="O2595" s="2" t="s">
        <v>100</v>
      </c>
      <c r="P2595" s="2" t="str">
        <f>"2170586123                    "</f>
        <v xml:space="preserve">2170586123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9.01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1</v>
      </c>
      <c r="BI2595" s="2">
        <v>1.1000000000000001</v>
      </c>
      <c r="BJ2595" s="2">
        <v>4.4000000000000004</v>
      </c>
      <c r="BK2595" s="2">
        <v>4.5</v>
      </c>
      <c r="BL2595" s="2">
        <v>93.25</v>
      </c>
      <c r="BM2595" s="2">
        <v>13.06</v>
      </c>
      <c r="BN2595" s="2">
        <v>106.31</v>
      </c>
      <c r="BO2595" s="2">
        <v>106.31</v>
      </c>
      <c r="BP2595" s="2"/>
      <c r="BQ2595" s="2" t="s">
        <v>83</v>
      </c>
      <c r="BR2595" s="2" t="s">
        <v>84</v>
      </c>
      <c r="BS2595" s="3">
        <v>42970</v>
      </c>
      <c r="BT2595" s="4">
        <v>0.43888888888888888</v>
      </c>
      <c r="BU2595" s="2" t="s">
        <v>3006</v>
      </c>
      <c r="BV2595" s="2" t="s">
        <v>95</v>
      </c>
      <c r="BW2595" s="2"/>
      <c r="BX2595" s="2"/>
      <c r="BY2595" s="2">
        <v>22142.3</v>
      </c>
      <c r="BZ2595" s="2"/>
      <c r="CA2595" s="2" t="s">
        <v>213</v>
      </c>
      <c r="CB2595" s="2"/>
      <c r="CC2595" s="2" t="s">
        <v>98</v>
      </c>
      <c r="CD2595" s="2">
        <v>6001</v>
      </c>
      <c r="CE2595" s="2" t="s">
        <v>104</v>
      </c>
      <c r="CF2595" s="5">
        <v>42970</v>
      </c>
      <c r="CG2595" s="2"/>
      <c r="CH2595" s="2"/>
      <c r="CI2595" s="2">
        <v>1</v>
      </c>
      <c r="CJ2595" s="2">
        <v>1</v>
      </c>
      <c r="CK2595" s="2">
        <v>21</v>
      </c>
      <c r="CL2595" s="2" t="s">
        <v>86</v>
      </c>
      <c r="CM2595" s="2"/>
    </row>
    <row r="2596" spans="1:91">
      <c r="A2596" s="2" t="s">
        <v>71</v>
      </c>
      <c r="B2596" s="2" t="s">
        <v>72</v>
      </c>
      <c r="C2596" s="2" t="s">
        <v>73</v>
      </c>
      <c r="D2596" s="2"/>
      <c r="E2596" s="2" t="str">
        <f>"FES1162570542"</f>
        <v>FES1162570542</v>
      </c>
      <c r="F2596" s="3">
        <v>42969</v>
      </c>
      <c r="G2596" s="2">
        <v>201802</v>
      </c>
      <c r="H2596" s="2" t="s">
        <v>74</v>
      </c>
      <c r="I2596" s="2" t="s">
        <v>75</v>
      </c>
      <c r="J2596" s="2" t="s">
        <v>76</v>
      </c>
      <c r="K2596" s="2" t="s">
        <v>77</v>
      </c>
      <c r="L2596" s="2" t="s">
        <v>105</v>
      </c>
      <c r="M2596" s="2" t="s">
        <v>106</v>
      </c>
      <c r="N2596" s="2" t="s">
        <v>1143</v>
      </c>
      <c r="O2596" s="2" t="s">
        <v>100</v>
      </c>
      <c r="P2596" s="2" t="str">
        <f>"2170583903                    "</f>
        <v xml:space="preserve">2170583903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6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1</v>
      </c>
      <c r="BI2596" s="2">
        <v>0.9</v>
      </c>
      <c r="BJ2596" s="2">
        <v>3</v>
      </c>
      <c r="BK2596" s="2">
        <v>3</v>
      </c>
      <c r="BL2596" s="2">
        <v>62.16</v>
      </c>
      <c r="BM2596" s="2">
        <v>8.6999999999999993</v>
      </c>
      <c r="BN2596" s="2">
        <v>70.86</v>
      </c>
      <c r="BO2596" s="2">
        <v>70.86</v>
      </c>
      <c r="BP2596" s="2"/>
      <c r="BQ2596" s="2" t="s">
        <v>108</v>
      </c>
      <c r="BR2596" s="2" t="s">
        <v>84</v>
      </c>
      <c r="BS2596" s="3">
        <v>42970</v>
      </c>
      <c r="BT2596" s="4">
        <v>0.4236111111111111</v>
      </c>
      <c r="BU2596" s="2" t="s">
        <v>3007</v>
      </c>
      <c r="BV2596" s="2" t="s">
        <v>95</v>
      </c>
      <c r="BW2596" s="2"/>
      <c r="BX2596" s="2"/>
      <c r="BY2596" s="2">
        <v>14924.64</v>
      </c>
      <c r="BZ2596" s="2"/>
      <c r="CA2596" s="2" t="s">
        <v>643</v>
      </c>
      <c r="CB2596" s="2"/>
      <c r="CC2596" s="2" t="s">
        <v>106</v>
      </c>
      <c r="CD2596" s="2">
        <v>7925</v>
      </c>
      <c r="CE2596" s="2" t="s">
        <v>104</v>
      </c>
      <c r="CF2596" s="5">
        <v>42971</v>
      </c>
      <c r="CG2596" s="2"/>
      <c r="CH2596" s="2"/>
      <c r="CI2596" s="2">
        <v>1</v>
      </c>
      <c r="CJ2596" s="2">
        <v>1</v>
      </c>
      <c r="CK2596" s="2">
        <v>21</v>
      </c>
      <c r="CL2596" s="2" t="s">
        <v>86</v>
      </c>
      <c r="CM2596" s="2"/>
    </row>
    <row r="2597" spans="1:91">
      <c r="A2597" s="2" t="s">
        <v>71</v>
      </c>
      <c r="B2597" s="2" t="s">
        <v>72</v>
      </c>
      <c r="C2597" s="2" t="s">
        <v>73</v>
      </c>
      <c r="D2597" s="2"/>
      <c r="E2597" s="2" t="str">
        <f>"FES1162570507"</f>
        <v>FES1162570507</v>
      </c>
      <c r="F2597" s="3">
        <v>42969</v>
      </c>
      <c r="G2597" s="2">
        <v>201802</v>
      </c>
      <c r="H2597" s="2" t="s">
        <v>74</v>
      </c>
      <c r="I2597" s="2" t="s">
        <v>75</v>
      </c>
      <c r="J2597" s="2" t="s">
        <v>76</v>
      </c>
      <c r="K2597" s="2" t="s">
        <v>77</v>
      </c>
      <c r="L2597" s="2" t="s">
        <v>105</v>
      </c>
      <c r="M2597" s="2" t="s">
        <v>106</v>
      </c>
      <c r="N2597" s="2" t="s">
        <v>534</v>
      </c>
      <c r="O2597" s="2" t="s">
        <v>100</v>
      </c>
      <c r="P2597" s="2" t="str">
        <f>"2170586272                    "</f>
        <v xml:space="preserve">2170586272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37.020000000000003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1</v>
      </c>
      <c r="BI2597" s="2">
        <v>18.399999999999999</v>
      </c>
      <c r="BJ2597" s="2">
        <v>4.5</v>
      </c>
      <c r="BK2597" s="2">
        <v>18.5</v>
      </c>
      <c r="BL2597" s="2">
        <v>383.34</v>
      </c>
      <c r="BM2597" s="2">
        <v>53.67</v>
      </c>
      <c r="BN2597" s="2">
        <v>437.01</v>
      </c>
      <c r="BO2597" s="2">
        <v>437.01</v>
      </c>
      <c r="BP2597" s="2"/>
      <c r="BQ2597" s="2" t="s">
        <v>3008</v>
      </c>
      <c r="BR2597" s="2" t="s">
        <v>84</v>
      </c>
      <c r="BS2597" s="3">
        <v>42970</v>
      </c>
      <c r="BT2597" s="4">
        <v>0.36388888888888887</v>
      </c>
      <c r="BU2597" s="2" t="s">
        <v>2398</v>
      </c>
      <c r="BV2597" s="2" t="s">
        <v>95</v>
      </c>
      <c r="BW2597" s="2"/>
      <c r="BX2597" s="2"/>
      <c r="BY2597" s="2">
        <v>22348.5</v>
      </c>
      <c r="BZ2597" s="2"/>
      <c r="CA2597" s="2" t="s">
        <v>112</v>
      </c>
      <c r="CB2597" s="2"/>
      <c r="CC2597" s="2" t="s">
        <v>106</v>
      </c>
      <c r="CD2597" s="2">
        <v>7405</v>
      </c>
      <c r="CE2597" s="2" t="s">
        <v>89</v>
      </c>
      <c r="CF2597" s="5">
        <v>42971</v>
      </c>
      <c r="CG2597" s="2"/>
      <c r="CH2597" s="2"/>
      <c r="CI2597" s="2">
        <v>1</v>
      </c>
      <c r="CJ2597" s="2">
        <v>1</v>
      </c>
      <c r="CK2597" s="2">
        <v>21</v>
      </c>
      <c r="CL2597" s="2" t="s">
        <v>86</v>
      </c>
      <c r="CM2597" s="2"/>
    </row>
    <row r="2598" spans="1:91">
      <c r="A2598" s="2" t="s">
        <v>71</v>
      </c>
      <c r="B2598" s="2" t="s">
        <v>72</v>
      </c>
      <c r="C2598" s="2" t="s">
        <v>73</v>
      </c>
      <c r="D2598" s="2"/>
      <c r="E2598" s="2" t="str">
        <f>"FES1162570583"</f>
        <v>FES1162570583</v>
      </c>
      <c r="F2598" s="3">
        <v>42969</v>
      </c>
      <c r="G2598" s="2">
        <v>201802</v>
      </c>
      <c r="H2598" s="2" t="s">
        <v>74</v>
      </c>
      <c r="I2598" s="2" t="s">
        <v>75</v>
      </c>
      <c r="J2598" s="2" t="s">
        <v>76</v>
      </c>
      <c r="K2598" s="2" t="s">
        <v>77</v>
      </c>
      <c r="L2598" s="2" t="s">
        <v>417</v>
      </c>
      <c r="M2598" s="2" t="s">
        <v>417</v>
      </c>
      <c r="N2598" s="2" t="s">
        <v>1309</v>
      </c>
      <c r="O2598" s="2" t="s">
        <v>100</v>
      </c>
      <c r="P2598" s="2" t="str">
        <f>"2170586326                    "</f>
        <v xml:space="preserve">2170586326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18.010000000000002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2</v>
      </c>
      <c r="BI2598" s="2">
        <v>8.6</v>
      </c>
      <c r="BJ2598" s="2">
        <v>5.6</v>
      </c>
      <c r="BK2598" s="2">
        <v>9</v>
      </c>
      <c r="BL2598" s="2">
        <v>186.49</v>
      </c>
      <c r="BM2598" s="2">
        <v>26.11</v>
      </c>
      <c r="BN2598" s="2">
        <v>212.6</v>
      </c>
      <c r="BO2598" s="2">
        <v>212.6</v>
      </c>
      <c r="BP2598" s="2"/>
      <c r="BQ2598" s="2" t="s">
        <v>83</v>
      </c>
      <c r="BR2598" s="2" t="s">
        <v>84</v>
      </c>
      <c r="BS2598" s="3">
        <v>42970</v>
      </c>
      <c r="BT2598" s="4">
        <v>0.4513888888888889</v>
      </c>
      <c r="BU2598" s="2" t="s">
        <v>1552</v>
      </c>
      <c r="BV2598" s="2" t="s">
        <v>95</v>
      </c>
      <c r="BW2598" s="2"/>
      <c r="BX2598" s="2"/>
      <c r="BY2598" s="2">
        <v>27799.14</v>
      </c>
      <c r="BZ2598" s="2"/>
      <c r="CA2598" s="2" t="s">
        <v>420</v>
      </c>
      <c r="CB2598" s="2"/>
      <c r="CC2598" s="2" t="s">
        <v>417</v>
      </c>
      <c r="CD2598" s="2">
        <v>7646</v>
      </c>
      <c r="CE2598" s="2" t="s">
        <v>89</v>
      </c>
      <c r="CF2598" s="5">
        <v>42971</v>
      </c>
      <c r="CG2598" s="2"/>
      <c r="CH2598" s="2"/>
      <c r="CI2598" s="2">
        <v>1</v>
      </c>
      <c r="CJ2598" s="2">
        <v>1</v>
      </c>
      <c r="CK2598" s="2">
        <v>21</v>
      </c>
      <c r="CL2598" s="2" t="s">
        <v>86</v>
      </c>
      <c r="CM2598" s="2"/>
    </row>
    <row r="2599" spans="1:91">
      <c r="A2599" s="2" t="s">
        <v>71</v>
      </c>
      <c r="B2599" s="2" t="s">
        <v>72</v>
      </c>
      <c r="C2599" s="2" t="s">
        <v>73</v>
      </c>
      <c r="D2599" s="2"/>
      <c r="E2599" s="2" t="str">
        <f>"FES1162570607"</f>
        <v>FES1162570607</v>
      </c>
      <c r="F2599" s="3">
        <v>42969</v>
      </c>
      <c r="G2599" s="2">
        <v>201802</v>
      </c>
      <c r="H2599" s="2" t="s">
        <v>74</v>
      </c>
      <c r="I2599" s="2" t="s">
        <v>75</v>
      </c>
      <c r="J2599" s="2" t="s">
        <v>118</v>
      </c>
      <c r="K2599" s="2" t="s">
        <v>77</v>
      </c>
      <c r="L2599" s="2" t="s">
        <v>268</v>
      </c>
      <c r="M2599" s="2" t="s">
        <v>269</v>
      </c>
      <c r="N2599" s="2" t="s">
        <v>621</v>
      </c>
      <c r="O2599" s="2" t="s">
        <v>100</v>
      </c>
      <c r="P2599" s="2" t="str">
        <f>"2170586357                    "</f>
        <v xml:space="preserve">2170586357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4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1</v>
      </c>
      <c r="BJ2599" s="2">
        <v>0.2</v>
      </c>
      <c r="BK2599" s="2">
        <v>1</v>
      </c>
      <c r="BL2599" s="2">
        <v>41.44</v>
      </c>
      <c r="BM2599" s="2">
        <v>5.8</v>
      </c>
      <c r="BN2599" s="2">
        <v>47.24</v>
      </c>
      <c r="BO2599" s="2">
        <v>47.24</v>
      </c>
      <c r="BP2599" s="2"/>
      <c r="BQ2599" s="2" t="s">
        <v>288</v>
      </c>
      <c r="BR2599" s="2" t="s">
        <v>122</v>
      </c>
      <c r="BS2599" s="3">
        <v>42971</v>
      </c>
      <c r="BT2599" s="4">
        <v>0.52708333333333335</v>
      </c>
      <c r="BU2599" s="2" t="s">
        <v>469</v>
      </c>
      <c r="BV2599" s="2" t="s">
        <v>86</v>
      </c>
      <c r="BW2599" s="2"/>
      <c r="BX2599" s="2"/>
      <c r="BY2599" s="2">
        <v>1200</v>
      </c>
      <c r="BZ2599" s="2" t="s">
        <v>27</v>
      </c>
      <c r="CA2599" s="2"/>
      <c r="CB2599" s="2"/>
      <c r="CC2599" s="2" t="s">
        <v>269</v>
      </c>
      <c r="CD2599" s="2">
        <v>186</v>
      </c>
      <c r="CE2599" s="2" t="s">
        <v>104</v>
      </c>
      <c r="CF2599" s="5">
        <v>42972</v>
      </c>
      <c r="CG2599" s="2"/>
      <c r="CH2599" s="2"/>
      <c r="CI2599" s="2">
        <v>1</v>
      </c>
      <c r="CJ2599" s="2">
        <v>2</v>
      </c>
      <c r="CK2599" s="2">
        <v>21</v>
      </c>
      <c r="CL2599" s="2" t="s">
        <v>86</v>
      </c>
      <c r="CM2599" s="2"/>
    </row>
    <row r="2600" spans="1:91">
      <c r="A2600" s="2" t="s">
        <v>71</v>
      </c>
      <c r="B2600" s="2" t="s">
        <v>72</v>
      </c>
      <c r="C2600" s="2" t="s">
        <v>73</v>
      </c>
      <c r="D2600" s="2"/>
      <c r="E2600" s="2" t="str">
        <f>"080001716331"</f>
        <v>080001716331</v>
      </c>
      <c r="F2600" s="3">
        <v>42970</v>
      </c>
      <c r="G2600" s="2">
        <v>201802</v>
      </c>
      <c r="H2600" s="2" t="s">
        <v>97</v>
      </c>
      <c r="I2600" s="2" t="s">
        <v>98</v>
      </c>
      <c r="J2600" s="2" t="s">
        <v>119</v>
      </c>
      <c r="K2600" s="2" t="s">
        <v>77</v>
      </c>
      <c r="L2600" s="2" t="s">
        <v>362</v>
      </c>
      <c r="M2600" s="2" t="s">
        <v>363</v>
      </c>
      <c r="N2600" s="2" t="s">
        <v>3009</v>
      </c>
      <c r="O2600" s="2" t="s">
        <v>100</v>
      </c>
      <c r="P2600" s="2" t="str">
        <f>"ZA1000660870                  "</f>
        <v xml:space="preserve">ZA1000660870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5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1</v>
      </c>
      <c r="BI2600" s="2">
        <v>1.4</v>
      </c>
      <c r="BJ2600" s="2">
        <v>2.4</v>
      </c>
      <c r="BK2600" s="2">
        <v>2.5</v>
      </c>
      <c r="BL2600" s="2">
        <v>51.8</v>
      </c>
      <c r="BM2600" s="2">
        <v>7.25</v>
      </c>
      <c r="BN2600" s="2">
        <v>59.05</v>
      </c>
      <c r="BO2600" s="2">
        <v>59.05</v>
      </c>
      <c r="BP2600" s="2" t="s">
        <v>3010</v>
      </c>
      <c r="BQ2600" s="2" t="s">
        <v>3011</v>
      </c>
      <c r="BR2600" s="2" t="s">
        <v>3012</v>
      </c>
      <c r="BS2600" s="3">
        <v>42971</v>
      </c>
      <c r="BT2600" s="4">
        <v>0.3888888888888889</v>
      </c>
      <c r="BU2600" s="2" t="s">
        <v>684</v>
      </c>
      <c r="BV2600" s="2" t="s">
        <v>95</v>
      </c>
      <c r="BW2600" s="2"/>
      <c r="BX2600" s="2"/>
      <c r="BY2600" s="2">
        <v>12000</v>
      </c>
      <c r="BZ2600" s="2"/>
      <c r="CA2600" s="2" t="s">
        <v>685</v>
      </c>
      <c r="CB2600" s="2"/>
      <c r="CC2600" s="2" t="s">
        <v>363</v>
      </c>
      <c r="CD2600" s="2">
        <v>3200</v>
      </c>
      <c r="CE2600" s="2" t="s">
        <v>89</v>
      </c>
      <c r="CF2600" s="5">
        <v>42975</v>
      </c>
      <c r="CG2600" s="2"/>
      <c r="CH2600" s="2"/>
      <c r="CI2600" s="2">
        <v>1</v>
      </c>
      <c r="CJ2600" s="2">
        <v>1</v>
      </c>
      <c r="CK2600" s="2">
        <v>21</v>
      </c>
      <c r="CL2600" s="2" t="s">
        <v>86</v>
      </c>
      <c r="CM2600" s="2"/>
    </row>
    <row r="2601" spans="1:91">
      <c r="A2601" s="2" t="s">
        <v>71</v>
      </c>
      <c r="B2601" s="2" t="s">
        <v>72</v>
      </c>
      <c r="C2601" s="2" t="s">
        <v>73</v>
      </c>
      <c r="D2601" s="2"/>
      <c r="E2601" s="2" t="str">
        <f>"FES1162571074"</f>
        <v>FES1162571074</v>
      </c>
      <c r="F2601" s="3">
        <v>42970</v>
      </c>
      <c r="G2601" s="2">
        <v>201802</v>
      </c>
      <c r="H2601" s="2" t="s">
        <v>74</v>
      </c>
      <c r="I2601" s="2" t="s">
        <v>75</v>
      </c>
      <c r="J2601" s="2" t="s">
        <v>76</v>
      </c>
      <c r="K2601" s="2" t="s">
        <v>77</v>
      </c>
      <c r="L2601" s="2" t="s">
        <v>105</v>
      </c>
      <c r="M2601" s="2" t="s">
        <v>106</v>
      </c>
      <c r="N2601" s="2" t="s">
        <v>3013</v>
      </c>
      <c r="O2601" s="2" t="s">
        <v>100</v>
      </c>
      <c r="P2601" s="2" t="str">
        <f>"2170582348                    "</f>
        <v xml:space="preserve">2170582348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4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1</v>
      </c>
      <c r="BI2601" s="2">
        <v>1</v>
      </c>
      <c r="BJ2601" s="2">
        <v>0.2</v>
      </c>
      <c r="BK2601" s="2">
        <v>1</v>
      </c>
      <c r="BL2601" s="2">
        <v>41.44</v>
      </c>
      <c r="BM2601" s="2">
        <v>5.8</v>
      </c>
      <c r="BN2601" s="2">
        <v>47.24</v>
      </c>
      <c r="BO2601" s="2">
        <v>47.24</v>
      </c>
      <c r="BP2601" s="2"/>
      <c r="BQ2601" s="2" t="s">
        <v>108</v>
      </c>
      <c r="BR2601" s="2" t="s">
        <v>84</v>
      </c>
      <c r="BS2601" s="3">
        <v>42971</v>
      </c>
      <c r="BT2601" s="4">
        <v>0.50277777777777777</v>
      </c>
      <c r="BU2601" s="2" t="s">
        <v>3014</v>
      </c>
      <c r="BV2601" s="2" t="s">
        <v>95</v>
      </c>
      <c r="BW2601" s="2"/>
      <c r="BX2601" s="2"/>
      <c r="BY2601" s="2">
        <v>1200</v>
      </c>
      <c r="BZ2601" s="2"/>
      <c r="CA2601" s="2" t="s">
        <v>3015</v>
      </c>
      <c r="CB2601" s="2"/>
      <c r="CC2601" s="2" t="s">
        <v>106</v>
      </c>
      <c r="CD2601" s="2">
        <v>7441</v>
      </c>
      <c r="CE2601" s="2" t="s">
        <v>104</v>
      </c>
      <c r="CF2601" s="5">
        <v>42972</v>
      </c>
      <c r="CG2601" s="2"/>
      <c r="CH2601" s="2"/>
      <c r="CI2601" s="2">
        <v>1</v>
      </c>
      <c r="CJ2601" s="2">
        <v>1</v>
      </c>
      <c r="CK2601" s="2">
        <v>21</v>
      </c>
      <c r="CL2601" s="2" t="s">
        <v>86</v>
      </c>
      <c r="CM2601" s="2"/>
    </row>
    <row r="2602" spans="1:91">
      <c r="A2602" s="2" t="s">
        <v>71</v>
      </c>
      <c r="B2602" s="2" t="s">
        <v>72</v>
      </c>
      <c r="C2602" s="2" t="s">
        <v>73</v>
      </c>
      <c r="D2602" s="2"/>
      <c r="E2602" s="2" t="str">
        <f>"FES1162570897"</f>
        <v>FES1162570897</v>
      </c>
      <c r="F2602" s="3">
        <v>42970</v>
      </c>
      <c r="G2602" s="2">
        <v>201802</v>
      </c>
      <c r="H2602" s="2" t="s">
        <v>74</v>
      </c>
      <c r="I2602" s="2" t="s">
        <v>75</v>
      </c>
      <c r="J2602" s="2" t="s">
        <v>76</v>
      </c>
      <c r="K2602" s="2" t="s">
        <v>77</v>
      </c>
      <c r="L2602" s="2" t="s">
        <v>144</v>
      </c>
      <c r="M2602" s="2" t="s">
        <v>145</v>
      </c>
      <c r="N2602" s="2" t="s">
        <v>146</v>
      </c>
      <c r="O2602" s="2" t="s">
        <v>100</v>
      </c>
      <c r="P2602" s="2" t="str">
        <f>"2170584585                    "</f>
        <v xml:space="preserve">2170584585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3.13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1</v>
      </c>
      <c r="BJ2602" s="2">
        <v>0.2</v>
      </c>
      <c r="BK2602" s="2">
        <v>1</v>
      </c>
      <c r="BL2602" s="2">
        <v>32.380000000000003</v>
      </c>
      <c r="BM2602" s="2">
        <v>4.53</v>
      </c>
      <c r="BN2602" s="2">
        <v>36.909999999999997</v>
      </c>
      <c r="BO2602" s="2">
        <v>36.909999999999997</v>
      </c>
      <c r="BP2602" s="2"/>
      <c r="BQ2602" s="2" t="s">
        <v>83</v>
      </c>
      <c r="BR2602" s="2" t="s">
        <v>84</v>
      </c>
      <c r="BS2602" s="3">
        <v>42971</v>
      </c>
      <c r="BT2602" s="4">
        <v>0.40902777777777777</v>
      </c>
      <c r="BU2602" s="2" t="s">
        <v>785</v>
      </c>
      <c r="BV2602" s="2" t="s">
        <v>95</v>
      </c>
      <c r="BW2602" s="2"/>
      <c r="BX2602" s="2"/>
      <c r="BY2602" s="2">
        <v>1200</v>
      </c>
      <c r="BZ2602" s="2" t="s">
        <v>27</v>
      </c>
      <c r="CA2602" s="2" t="s">
        <v>729</v>
      </c>
      <c r="CB2602" s="2"/>
      <c r="CC2602" s="2" t="s">
        <v>145</v>
      </c>
      <c r="CD2602" s="2">
        <v>2094</v>
      </c>
      <c r="CE2602" s="2" t="s">
        <v>104</v>
      </c>
      <c r="CF2602" s="5">
        <v>42972</v>
      </c>
      <c r="CG2602" s="2"/>
      <c r="CH2602" s="2"/>
      <c r="CI2602" s="2">
        <v>1</v>
      </c>
      <c r="CJ2602" s="2">
        <v>1</v>
      </c>
      <c r="CK2602" s="2">
        <v>22</v>
      </c>
      <c r="CL2602" s="2" t="s">
        <v>86</v>
      </c>
      <c r="CM2602" s="2"/>
    </row>
    <row r="2603" spans="1:91">
      <c r="A2603" s="2" t="s">
        <v>71</v>
      </c>
      <c r="B2603" s="2" t="s">
        <v>72</v>
      </c>
      <c r="C2603" s="2" t="s">
        <v>73</v>
      </c>
      <c r="D2603" s="2"/>
      <c r="E2603" s="2" t="str">
        <f>"FES1162571063"</f>
        <v>FES1162571063</v>
      </c>
      <c r="F2603" s="3">
        <v>42970</v>
      </c>
      <c r="G2603" s="2">
        <v>201802</v>
      </c>
      <c r="H2603" s="2" t="s">
        <v>74</v>
      </c>
      <c r="I2603" s="2" t="s">
        <v>75</v>
      </c>
      <c r="J2603" s="2" t="s">
        <v>76</v>
      </c>
      <c r="K2603" s="2" t="s">
        <v>77</v>
      </c>
      <c r="L2603" s="2" t="s">
        <v>237</v>
      </c>
      <c r="M2603" s="2" t="s">
        <v>238</v>
      </c>
      <c r="N2603" s="2" t="s">
        <v>2002</v>
      </c>
      <c r="O2603" s="2" t="s">
        <v>100</v>
      </c>
      <c r="P2603" s="2" t="str">
        <f>"2170586740                    "</f>
        <v xml:space="preserve">2170586740 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4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1</v>
      </c>
      <c r="BJ2603" s="2">
        <v>0.2</v>
      </c>
      <c r="BK2603" s="2">
        <v>1</v>
      </c>
      <c r="BL2603" s="2">
        <v>41.44</v>
      </c>
      <c r="BM2603" s="2">
        <v>5.8</v>
      </c>
      <c r="BN2603" s="2">
        <v>47.24</v>
      </c>
      <c r="BO2603" s="2">
        <v>47.24</v>
      </c>
      <c r="BP2603" s="2"/>
      <c r="BQ2603" s="2" t="s">
        <v>365</v>
      </c>
      <c r="BR2603" s="2" t="s">
        <v>84</v>
      </c>
      <c r="BS2603" s="3">
        <v>42971</v>
      </c>
      <c r="BT2603" s="4">
        <v>0.41666666666666669</v>
      </c>
      <c r="BU2603" s="2" t="s">
        <v>2682</v>
      </c>
      <c r="BV2603" s="2" t="s">
        <v>95</v>
      </c>
      <c r="BW2603" s="2"/>
      <c r="BX2603" s="2"/>
      <c r="BY2603" s="2">
        <v>1200</v>
      </c>
      <c r="BZ2603" s="2"/>
      <c r="CA2603" s="2" t="s">
        <v>672</v>
      </c>
      <c r="CB2603" s="2"/>
      <c r="CC2603" s="2" t="s">
        <v>238</v>
      </c>
      <c r="CD2603" s="2">
        <v>3610</v>
      </c>
      <c r="CE2603" s="2" t="s">
        <v>104</v>
      </c>
      <c r="CF2603" s="5">
        <v>42972</v>
      </c>
      <c r="CG2603" s="2"/>
      <c r="CH2603" s="2"/>
      <c r="CI2603" s="2">
        <v>1</v>
      </c>
      <c r="CJ2603" s="2">
        <v>1</v>
      </c>
      <c r="CK2603" s="2">
        <v>21</v>
      </c>
      <c r="CL2603" s="2" t="s">
        <v>86</v>
      </c>
      <c r="CM2603" s="2"/>
    </row>
    <row r="2604" spans="1:91">
      <c r="A2604" s="2" t="s">
        <v>71</v>
      </c>
      <c r="B2604" s="2" t="s">
        <v>72</v>
      </c>
      <c r="C2604" s="2" t="s">
        <v>73</v>
      </c>
      <c r="D2604" s="2"/>
      <c r="E2604" s="2" t="str">
        <f>"FES1162570738"</f>
        <v>FES1162570738</v>
      </c>
      <c r="F2604" s="3">
        <v>42970</v>
      </c>
      <c r="G2604" s="2">
        <v>201802</v>
      </c>
      <c r="H2604" s="2" t="s">
        <v>74</v>
      </c>
      <c r="I2604" s="2" t="s">
        <v>75</v>
      </c>
      <c r="J2604" s="2" t="s">
        <v>76</v>
      </c>
      <c r="K2604" s="2" t="s">
        <v>77</v>
      </c>
      <c r="L2604" s="2" t="s">
        <v>128</v>
      </c>
      <c r="M2604" s="2" t="s">
        <v>129</v>
      </c>
      <c r="N2604" s="2" t="s">
        <v>130</v>
      </c>
      <c r="O2604" s="2" t="s">
        <v>100</v>
      </c>
      <c r="P2604" s="2" t="str">
        <f>"2170584557                    "</f>
        <v xml:space="preserve">2170584557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3.13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1</v>
      </c>
      <c r="BJ2604" s="2">
        <v>0.2</v>
      </c>
      <c r="BK2604" s="2">
        <v>1</v>
      </c>
      <c r="BL2604" s="2">
        <v>32.380000000000003</v>
      </c>
      <c r="BM2604" s="2">
        <v>4.53</v>
      </c>
      <c r="BN2604" s="2">
        <v>36.909999999999997</v>
      </c>
      <c r="BO2604" s="2">
        <v>36.909999999999997</v>
      </c>
      <c r="BP2604" s="2"/>
      <c r="BQ2604" s="2" t="s">
        <v>83</v>
      </c>
      <c r="BR2604" s="2" t="s">
        <v>84</v>
      </c>
      <c r="BS2604" s="3">
        <v>42971</v>
      </c>
      <c r="BT2604" s="4">
        <v>0.38055555555555554</v>
      </c>
      <c r="BU2604" s="2" t="s">
        <v>3016</v>
      </c>
      <c r="BV2604" s="2" t="s">
        <v>95</v>
      </c>
      <c r="BW2604" s="2"/>
      <c r="BX2604" s="2"/>
      <c r="BY2604" s="2">
        <v>1200</v>
      </c>
      <c r="BZ2604" s="2" t="s">
        <v>27</v>
      </c>
      <c r="CA2604" s="2" t="s">
        <v>1333</v>
      </c>
      <c r="CB2604" s="2"/>
      <c r="CC2604" s="2" t="s">
        <v>129</v>
      </c>
      <c r="CD2604" s="2">
        <v>1724</v>
      </c>
      <c r="CE2604" s="2" t="s">
        <v>104</v>
      </c>
      <c r="CF2604" s="5">
        <v>42972</v>
      </c>
      <c r="CG2604" s="2"/>
      <c r="CH2604" s="2"/>
      <c r="CI2604" s="2">
        <v>1</v>
      </c>
      <c r="CJ2604" s="2">
        <v>1</v>
      </c>
      <c r="CK2604" s="2">
        <v>22</v>
      </c>
      <c r="CL2604" s="2" t="s">
        <v>86</v>
      </c>
      <c r="CM2604" s="2"/>
    </row>
    <row r="2605" spans="1:91">
      <c r="A2605" s="2" t="s">
        <v>71</v>
      </c>
      <c r="B2605" s="2" t="s">
        <v>72</v>
      </c>
      <c r="C2605" s="2" t="s">
        <v>73</v>
      </c>
      <c r="D2605" s="2"/>
      <c r="E2605" s="2" t="str">
        <f>"FES1162570778"</f>
        <v>FES1162570778</v>
      </c>
      <c r="F2605" s="3">
        <v>42970</v>
      </c>
      <c r="G2605" s="2">
        <v>201802</v>
      </c>
      <c r="H2605" s="2" t="s">
        <v>74</v>
      </c>
      <c r="I2605" s="2" t="s">
        <v>75</v>
      </c>
      <c r="J2605" s="2" t="s">
        <v>76</v>
      </c>
      <c r="K2605" s="2" t="s">
        <v>77</v>
      </c>
      <c r="L2605" s="2" t="s">
        <v>105</v>
      </c>
      <c r="M2605" s="2" t="s">
        <v>106</v>
      </c>
      <c r="N2605" s="2" t="s">
        <v>824</v>
      </c>
      <c r="O2605" s="2" t="s">
        <v>100</v>
      </c>
      <c r="P2605" s="2" t="str">
        <f>"2170586521                    "</f>
        <v xml:space="preserve">2170586521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5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2.5</v>
      </c>
      <c r="BJ2605" s="2">
        <v>1.1000000000000001</v>
      </c>
      <c r="BK2605" s="2">
        <v>2.5</v>
      </c>
      <c r="BL2605" s="2">
        <v>51.8</v>
      </c>
      <c r="BM2605" s="2">
        <v>7.25</v>
      </c>
      <c r="BN2605" s="2">
        <v>59.05</v>
      </c>
      <c r="BO2605" s="2">
        <v>59.05</v>
      </c>
      <c r="BP2605" s="2"/>
      <c r="BQ2605" s="2" t="s">
        <v>83</v>
      </c>
      <c r="BR2605" s="2" t="s">
        <v>84</v>
      </c>
      <c r="BS2605" s="3">
        <v>42971</v>
      </c>
      <c r="BT2605" s="4">
        <v>0.40972222222222227</v>
      </c>
      <c r="BU2605" s="2" t="s">
        <v>3017</v>
      </c>
      <c r="BV2605" s="2" t="s">
        <v>95</v>
      </c>
      <c r="BW2605" s="2"/>
      <c r="BX2605" s="2"/>
      <c r="BY2605" s="2">
        <v>5313</v>
      </c>
      <c r="BZ2605" s="2" t="s">
        <v>27</v>
      </c>
      <c r="CA2605" s="2" t="s">
        <v>1591</v>
      </c>
      <c r="CB2605" s="2"/>
      <c r="CC2605" s="2" t="s">
        <v>106</v>
      </c>
      <c r="CD2605" s="2">
        <v>7800</v>
      </c>
      <c r="CE2605" s="2" t="s">
        <v>89</v>
      </c>
      <c r="CF2605" s="5">
        <v>42972</v>
      </c>
      <c r="CG2605" s="2"/>
      <c r="CH2605" s="2"/>
      <c r="CI2605" s="2">
        <v>1</v>
      </c>
      <c r="CJ2605" s="2">
        <v>1</v>
      </c>
      <c r="CK2605" s="2">
        <v>21</v>
      </c>
      <c r="CL2605" s="2" t="s">
        <v>86</v>
      </c>
      <c r="CM2605" s="2"/>
    </row>
    <row r="2606" spans="1:91">
      <c r="A2606" s="2" t="s">
        <v>71</v>
      </c>
      <c r="B2606" s="2" t="s">
        <v>72</v>
      </c>
      <c r="C2606" s="2" t="s">
        <v>73</v>
      </c>
      <c r="D2606" s="2"/>
      <c r="E2606" s="2" t="str">
        <f>"FES1162570999"</f>
        <v>FES1162570999</v>
      </c>
      <c r="F2606" s="3">
        <v>42970</v>
      </c>
      <c r="G2606" s="2">
        <v>201802</v>
      </c>
      <c r="H2606" s="2" t="s">
        <v>74</v>
      </c>
      <c r="I2606" s="2" t="s">
        <v>75</v>
      </c>
      <c r="J2606" s="2" t="s">
        <v>76</v>
      </c>
      <c r="K2606" s="2" t="s">
        <v>77</v>
      </c>
      <c r="L2606" s="2" t="s">
        <v>268</v>
      </c>
      <c r="M2606" s="2" t="s">
        <v>269</v>
      </c>
      <c r="N2606" s="2" t="s">
        <v>442</v>
      </c>
      <c r="O2606" s="2" t="s">
        <v>100</v>
      </c>
      <c r="P2606" s="2" t="str">
        <f>"2170586671                    "</f>
        <v xml:space="preserve">2170586671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5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2.5</v>
      </c>
      <c r="BJ2606" s="2">
        <v>1</v>
      </c>
      <c r="BK2606" s="2">
        <v>2.5</v>
      </c>
      <c r="BL2606" s="2">
        <v>51.8</v>
      </c>
      <c r="BM2606" s="2">
        <v>7.25</v>
      </c>
      <c r="BN2606" s="2">
        <v>59.05</v>
      </c>
      <c r="BO2606" s="2">
        <v>59.05</v>
      </c>
      <c r="BP2606" s="2"/>
      <c r="BQ2606" s="2" t="s">
        <v>83</v>
      </c>
      <c r="BR2606" s="2" t="s">
        <v>84</v>
      </c>
      <c r="BS2606" s="3">
        <v>42971</v>
      </c>
      <c r="BT2606" s="4">
        <v>0.39374999999999999</v>
      </c>
      <c r="BU2606" s="2" t="s">
        <v>443</v>
      </c>
      <c r="BV2606" s="2" t="s">
        <v>95</v>
      </c>
      <c r="BW2606" s="2"/>
      <c r="BX2606" s="2"/>
      <c r="BY2606" s="2">
        <v>4895.45</v>
      </c>
      <c r="BZ2606" s="2"/>
      <c r="CA2606" s="2" t="s">
        <v>445</v>
      </c>
      <c r="CB2606" s="2"/>
      <c r="CC2606" s="2" t="s">
        <v>269</v>
      </c>
      <c r="CD2606" s="2">
        <v>1</v>
      </c>
      <c r="CE2606" s="2" t="s">
        <v>89</v>
      </c>
      <c r="CF2606" s="5">
        <v>42972</v>
      </c>
      <c r="CG2606" s="2"/>
      <c r="CH2606" s="2"/>
      <c r="CI2606" s="2">
        <v>1</v>
      </c>
      <c r="CJ2606" s="2">
        <v>1</v>
      </c>
      <c r="CK2606" s="2">
        <v>21</v>
      </c>
      <c r="CL2606" s="2" t="s">
        <v>86</v>
      </c>
      <c r="CM2606" s="2"/>
    </row>
    <row r="2607" spans="1:91">
      <c r="A2607" s="2" t="s">
        <v>71</v>
      </c>
      <c r="B2607" s="2" t="s">
        <v>72</v>
      </c>
      <c r="C2607" s="2" t="s">
        <v>73</v>
      </c>
      <c r="D2607" s="2"/>
      <c r="E2607" s="2" t="str">
        <f>"FES1162570906"</f>
        <v>FES1162570906</v>
      </c>
      <c r="F2607" s="3">
        <v>42970</v>
      </c>
      <c r="G2607" s="2">
        <v>201802</v>
      </c>
      <c r="H2607" s="2" t="s">
        <v>74</v>
      </c>
      <c r="I2607" s="2" t="s">
        <v>75</v>
      </c>
      <c r="J2607" s="2" t="s">
        <v>76</v>
      </c>
      <c r="K2607" s="2" t="s">
        <v>77</v>
      </c>
      <c r="L2607" s="2" t="s">
        <v>105</v>
      </c>
      <c r="M2607" s="2" t="s">
        <v>106</v>
      </c>
      <c r="N2607" s="2" t="s">
        <v>705</v>
      </c>
      <c r="O2607" s="2" t="s">
        <v>100</v>
      </c>
      <c r="P2607" s="2" t="str">
        <f>"2170586584                    "</f>
        <v xml:space="preserve">2170586584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4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1.1000000000000001</v>
      </c>
      <c r="BJ2607" s="2">
        <v>1.4</v>
      </c>
      <c r="BK2607" s="2">
        <v>1.5</v>
      </c>
      <c r="BL2607" s="2">
        <v>41.44</v>
      </c>
      <c r="BM2607" s="2">
        <v>5.8</v>
      </c>
      <c r="BN2607" s="2">
        <v>47.24</v>
      </c>
      <c r="BO2607" s="2">
        <v>47.24</v>
      </c>
      <c r="BP2607" s="2"/>
      <c r="BQ2607" s="2" t="s">
        <v>108</v>
      </c>
      <c r="BR2607" s="2" t="s">
        <v>84</v>
      </c>
      <c r="BS2607" s="3">
        <v>42971</v>
      </c>
      <c r="BT2607" s="4">
        <v>0.35902777777777778</v>
      </c>
      <c r="BU2607" s="2" t="s">
        <v>3018</v>
      </c>
      <c r="BV2607" s="2" t="s">
        <v>95</v>
      </c>
      <c r="BW2607" s="2"/>
      <c r="BX2607" s="2"/>
      <c r="BY2607" s="2">
        <v>6910.32</v>
      </c>
      <c r="BZ2607" s="2" t="s">
        <v>27</v>
      </c>
      <c r="CA2607" s="2" t="s">
        <v>488</v>
      </c>
      <c r="CB2607" s="2"/>
      <c r="CC2607" s="2" t="s">
        <v>106</v>
      </c>
      <c r="CD2607" s="2">
        <v>7441</v>
      </c>
      <c r="CE2607" s="2" t="s">
        <v>89</v>
      </c>
      <c r="CF2607" s="5">
        <v>42972</v>
      </c>
      <c r="CG2607" s="2"/>
      <c r="CH2607" s="2"/>
      <c r="CI2607" s="2">
        <v>1</v>
      </c>
      <c r="CJ2607" s="2">
        <v>1</v>
      </c>
      <c r="CK2607" s="2">
        <v>21</v>
      </c>
      <c r="CL2607" s="2" t="s">
        <v>86</v>
      </c>
      <c r="CM2607" s="2"/>
    </row>
    <row r="2608" spans="1:91">
      <c r="A2608" s="2" t="s">
        <v>71</v>
      </c>
      <c r="B2608" s="2" t="s">
        <v>72</v>
      </c>
      <c r="C2608" s="2" t="s">
        <v>73</v>
      </c>
      <c r="D2608" s="2"/>
      <c r="E2608" s="2" t="str">
        <f>"FES1162571023"</f>
        <v>FES1162571023</v>
      </c>
      <c r="F2608" s="3">
        <v>42970</v>
      </c>
      <c r="G2608" s="2">
        <v>201802</v>
      </c>
      <c r="H2608" s="2" t="s">
        <v>74</v>
      </c>
      <c r="I2608" s="2" t="s">
        <v>75</v>
      </c>
      <c r="J2608" s="2" t="s">
        <v>76</v>
      </c>
      <c r="K2608" s="2" t="s">
        <v>77</v>
      </c>
      <c r="L2608" s="2" t="s">
        <v>237</v>
      </c>
      <c r="M2608" s="2" t="s">
        <v>238</v>
      </c>
      <c r="N2608" s="2" t="s">
        <v>2510</v>
      </c>
      <c r="O2608" s="2" t="s">
        <v>100</v>
      </c>
      <c r="P2608" s="2" t="str">
        <f>"2170586701                    "</f>
        <v xml:space="preserve">2170586701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12.01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4.4000000000000004</v>
      </c>
      <c r="BJ2608" s="2">
        <v>5.6</v>
      </c>
      <c r="BK2608" s="2">
        <v>6</v>
      </c>
      <c r="BL2608" s="2">
        <v>124.33</v>
      </c>
      <c r="BM2608" s="2">
        <v>17.41</v>
      </c>
      <c r="BN2608" s="2">
        <v>141.74</v>
      </c>
      <c r="BO2608" s="2">
        <v>141.74</v>
      </c>
      <c r="BP2608" s="2"/>
      <c r="BQ2608" s="2" t="s">
        <v>83</v>
      </c>
      <c r="BR2608" s="2" t="s">
        <v>84</v>
      </c>
      <c r="BS2608" s="3">
        <v>42971</v>
      </c>
      <c r="BT2608" s="4">
        <v>0.38680555555555557</v>
      </c>
      <c r="BU2608" s="2" t="s">
        <v>3019</v>
      </c>
      <c r="BV2608" s="2" t="s">
        <v>95</v>
      </c>
      <c r="BW2608" s="2"/>
      <c r="BX2608" s="2"/>
      <c r="BY2608" s="2">
        <v>28099.06</v>
      </c>
      <c r="BZ2608" s="2"/>
      <c r="CA2608" s="2" t="s">
        <v>401</v>
      </c>
      <c r="CB2608" s="2"/>
      <c r="CC2608" s="2" t="s">
        <v>238</v>
      </c>
      <c r="CD2608" s="2">
        <v>3610</v>
      </c>
      <c r="CE2608" s="2" t="s">
        <v>135</v>
      </c>
      <c r="CF2608" s="5">
        <v>42972</v>
      </c>
      <c r="CG2608" s="2"/>
      <c r="CH2608" s="2"/>
      <c r="CI2608" s="2">
        <v>1</v>
      </c>
      <c r="CJ2608" s="2">
        <v>1</v>
      </c>
      <c r="CK2608" s="2">
        <v>21</v>
      </c>
      <c r="CL2608" s="2" t="s">
        <v>86</v>
      </c>
      <c r="CM2608" s="2"/>
    </row>
    <row r="2609" spans="1:91">
      <c r="A2609" s="2" t="s">
        <v>71</v>
      </c>
      <c r="B2609" s="2" t="s">
        <v>72</v>
      </c>
      <c r="C2609" s="2" t="s">
        <v>73</v>
      </c>
      <c r="D2609" s="2"/>
      <c r="E2609" s="2" t="str">
        <f>"FES1162570805"</f>
        <v>FES1162570805</v>
      </c>
      <c r="F2609" s="3">
        <v>42970</v>
      </c>
      <c r="G2609" s="2">
        <v>201802</v>
      </c>
      <c r="H2609" s="2" t="s">
        <v>74</v>
      </c>
      <c r="I2609" s="2" t="s">
        <v>75</v>
      </c>
      <c r="J2609" s="2" t="s">
        <v>76</v>
      </c>
      <c r="K2609" s="2" t="s">
        <v>77</v>
      </c>
      <c r="L2609" s="2" t="s">
        <v>3020</v>
      </c>
      <c r="M2609" s="2" t="s">
        <v>3021</v>
      </c>
      <c r="N2609" s="2" t="s">
        <v>3022</v>
      </c>
      <c r="O2609" s="2" t="s">
        <v>100</v>
      </c>
      <c r="P2609" s="2" t="str">
        <f>"2170586542                    "</f>
        <v xml:space="preserve">2170586542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13.01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3.3</v>
      </c>
      <c r="BJ2609" s="2">
        <v>1.9</v>
      </c>
      <c r="BK2609" s="2">
        <v>3.5</v>
      </c>
      <c r="BL2609" s="2">
        <v>134.69</v>
      </c>
      <c r="BM2609" s="2">
        <v>18.86</v>
      </c>
      <c r="BN2609" s="2">
        <v>153.55000000000001</v>
      </c>
      <c r="BO2609" s="2">
        <v>153.55000000000001</v>
      </c>
      <c r="BP2609" s="2"/>
      <c r="BQ2609" s="2" t="s">
        <v>288</v>
      </c>
      <c r="BR2609" s="2" t="s">
        <v>84</v>
      </c>
      <c r="BS2609" s="3">
        <v>42971</v>
      </c>
      <c r="BT2609" s="4">
        <v>0.61805555555555558</v>
      </c>
      <c r="BU2609" s="2" t="s">
        <v>85</v>
      </c>
      <c r="BV2609" s="2" t="s">
        <v>95</v>
      </c>
      <c r="BW2609" s="2"/>
      <c r="BX2609" s="2"/>
      <c r="BY2609" s="2">
        <v>9264.66</v>
      </c>
      <c r="BZ2609" s="2" t="s">
        <v>27</v>
      </c>
      <c r="CA2609" s="2" t="s">
        <v>3023</v>
      </c>
      <c r="CB2609" s="2"/>
      <c r="CC2609" s="2" t="s">
        <v>3021</v>
      </c>
      <c r="CD2609" s="2">
        <v>9750</v>
      </c>
      <c r="CE2609" s="2" t="s">
        <v>89</v>
      </c>
      <c r="CF2609" s="5">
        <v>42976</v>
      </c>
      <c r="CG2609" s="2"/>
      <c r="CH2609" s="2"/>
      <c r="CI2609" s="2">
        <v>3</v>
      </c>
      <c r="CJ2609" s="2">
        <v>1</v>
      </c>
      <c r="CK2609" s="2">
        <v>23</v>
      </c>
      <c r="CL2609" s="2" t="s">
        <v>86</v>
      </c>
      <c r="CM2609" s="2"/>
    </row>
    <row r="2610" spans="1:91">
      <c r="A2610" s="2" t="s">
        <v>71</v>
      </c>
      <c r="B2610" s="2" t="s">
        <v>72</v>
      </c>
      <c r="C2610" s="2" t="s">
        <v>73</v>
      </c>
      <c r="D2610" s="2"/>
      <c r="E2610" s="2" t="str">
        <f>"FES1162570985"</f>
        <v>FES1162570985</v>
      </c>
      <c r="F2610" s="3">
        <v>42970</v>
      </c>
      <c r="G2610" s="2">
        <v>201802</v>
      </c>
      <c r="H2610" s="2" t="s">
        <v>74</v>
      </c>
      <c r="I2610" s="2" t="s">
        <v>75</v>
      </c>
      <c r="J2610" s="2" t="s">
        <v>76</v>
      </c>
      <c r="K2610" s="2" t="s">
        <v>77</v>
      </c>
      <c r="L2610" s="2" t="s">
        <v>221</v>
      </c>
      <c r="M2610" s="2" t="s">
        <v>222</v>
      </c>
      <c r="N2610" s="2" t="s">
        <v>1275</v>
      </c>
      <c r="O2610" s="2" t="s">
        <v>100</v>
      </c>
      <c r="P2610" s="2" t="str">
        <f>"2170586661                    "</f>
        <v xml:space="preserve">2170586661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4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1</v>
      </c>
      <c r="BJ2610" s="2">
        <v>0.2</v>
      </c>
      <c r="BK2610" s="2">
        <v>1</v>
      </c>
      <c r="BL2610" s="2">
        <v>41.44</v>
      </c>
      <c r="BM2610" s="2">
        <v>5.8</v>
      </c>
      <c r="BN2610" s="2">
        <v>47.24</v>
      </c>
      <c r="BO2610" s="2">
        <v>47.24</v>
      </c>
      <c r="BP2610" s="2"/>
      <c r="BQ2610" s="2" t="s">
        <v>227</v>
      </c>
      <c r="BR2610" s="2" t="s">
        <v>84</v>
      </c>
      <c r="BS2610" s="3">
        <v>42971</v>
      </c>
      <c r="BT2610" s="4">
        <v>0.40972222222222227</v>
      </c>
      <c r="BU2610" s="2" t="s">
        <v>1535</v>
      </c>
      <c r="BV2610" s="2" t="s">
        <v>95</v>
      </c>
      <c r="BW2610" s="2"/>
      <c r="BX2610" s="2"/>
      <c r="BY2610" s="2">
        <v>1200</v>
      </c>
      <c r="BZ2610" s="2"/>
      <c r="CA2610" s="2" t="s">
        <v>1536</v>
      </c>
      <c r="CB2610" s="2"/>
      <c r="CC2610" s="2" t="s">
        <v>222</v>
      </c>
      <c r="CD2610" s="2">
        <v>4300</v>
      </c>
      <c r="CE2610" s="2" t="s">
        <v>104</v>
      </c>
      <c r="CF2610" s="5">
        <v>42972</v>
      </c>
      <c r="CG2610" s="2"/>
      <c r="CH2610" s="2"/>
      <c r="CI2610" s="2">
        <v>1</v>
      </c>
      <c r="CJ2610" s="2">
        <v>1</v>
      </c>
      <c r="CK2610" s="2">
        <v>21</v>
      </c>
      <c r="CL2610" s="2" t="s">
        <v>86</v>
      </c>
      <c r="CM2610" s="2"/>
    </row>
    <row r="2611" spans="1:91">
      <c r="A2611" s="2" t="s">
        <v>71</v>
      </c>
      <c r="B2611" s="2" t="s">
        <v>72</v>
      </c>
      <c r="C2611" s="2" t="s">
        <v>73</v>
      </c>
      <c r="D2611" s="2"/>
      <c r="E2611" s="2" t="str">
        <f>"FES1162570880"</f>
        <v>FES1162570880</v>
      </c>
      <c r="F2611" s="3">
        <v>42970</v>
      </c>
      <c r="G2611" s="2">
        <v>201802</v>
      </c>
      <c r="H2611" s="2" t="s">
        <v>74</v>
      </c>
      <c r="I2611" s="2" t="s">
        <v>75</v>
      </c>
      <c r="J2611" s="2" t="s">
        <v>76</v>
      </c>
      <c r="K2611" s="2" t="s">
        <v>77</v>
      </c>
      <c r="L2611" s="2" t="s">
        <v>105</v>
      </c>
      <c r="M2611" s="2" t="s">
        <v>106</v>
      </c>
      <c r="N2611" s="2" t="s">
        <v>1857</v>
      </c>
      <c r="O2611" s="2" t="s">
        <v>100</v>
      </c>
      <c r="P2611" s="2" t="str">
        <f>"2170584351                    "</f>
        <v xml:space="preserve">2170584351 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4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1</v>
      </c>
      <c r="BI2611" s="2">
        <v>1</v>
      </c>
      <c r="BJ2611" s="2">
        <v>0.2</v>
      </c>
      <c r="BK2611" s="2">
        <v>1</v>
      </c>
      <c r="BL2611" s="2">
        <v>41.44</v>
      </c>
      <c r="BM2611" s="2">
        <v>5.8</v>
      </c>
      <c r="BN2611" s="2">
        <v>47.24</v>
      </c>
      <c r="BO2611" s="2">
        <v>47.24</v>
      </c>
      <c r="BP2611" s="2"/>
      <c r="BQ2611" s="2" t="s">
        <v>288</v>
      </c>
      <c r="BR2611" s="2" t="s">
        <v>84</v>
      </c>
      <c r="BS2611" s="3">
        <v>42971</v>
      </c>
      <c r="BT2611" s="4">
        <v>0.42291666666666666</v>
      </c>
      <c r="BU2611" s="2" t="s">
        <v>3024</v>
      </c>
      <c r="BV2611" s="2" t="s">
        <v>95</v>
      </c>
      <c r="BW2611" s="2"/>
      <c r="BX2611" s="2"/>
      <c r="BY2611" s="2">
        <v>1200</v>
      </c>
      <c r="BZ2611" s="2" t="s">
        <v>27</v>
      </c>
      <c r="CA2611" s="2" t="s">
        <v>2626</v>
      </c>
      <c r="CB2611" s="2"/>
      <c r="CC2611" s="2" t="s">
        <v>106</v>
      </c>
      <c r="CD2611" s="2">
        <v>7441</v>
      </c>
      <c r="CE2611" s="2" t="s">
        <v>104</v>
      </c>
      <c r="CF2611" s="5">
        <v>42972</v>
      </c>
      <c r="CG2611" s="2"/>
      <c r="CH2611" s="2"/>
      <c r="CI2611" s="2">
        <v>1</v>
      </c>
      <c r="CJ2611" s="2">
        <v>1</v>
      </c>
      <c r="CK2611" s="2">
        <v>21</v>
      </c>
      <c r="CL2611" s="2" t="s">
        <v>86</v>
      </c>
      <c r="CM2611" s="2"/>
    </row>
    <row r="2612" spans="1:91">
      <c r="A2612" s="2" t="s">
        <v>71</v>
      </c>
      <c r="B2612" s="2" t="s">
        <v>72</v>
      </c>
      <c r="C2612" s="2" t="s">
        <v>73</v>
      </c>
      <c r="D2612" s="2"/>
      <c r="E2612" s="2" t="str">
        <f>"FES1162570971"</f>
        <v>FES1162570971</v>
      </c>
      <c r="F2612" s="3">
        <v>42970</v>
      </c>
      <c r="G2612" s="2">
        <v>201802</v>
      </c>
      <c r="H2612" s="2" t="s">
        <v>74</v>
      </c>
      <c r="I2612" s="2" t="s">
        <v>75</v>
      </c>
      <c r="J2612" s="2" t="s">
        <v>76</v>
      </c>
      <c r="K2612" s="2" t="s">
        <v>77</v>
      </c>
      <c r="L2612" s="2" t="s">
        <v>343</v>
      </c>
      <c r="M2612" s="2" t="s">
        <v>344</v>
      </c>
      <c r="N2612" s="2" t="s">
        <v>3025</v>
      </c>
      <c r="O2612" s="2" t="s">
        <v>100</v>
      </c>
      <c r="P2612" s="2" t="str">
        <f>"2170586645                    "</f>
        <v xml:space="preserve">2170586645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4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1</v>
      </c>
      <c r="BJ2612" s="2">
        <v>0.2</v>
      </c>
      <c r="BK2612" s="2">
        <v>1</v>
      </c>
      <c r="BL2612" s="2">
        <v>41.44</v>
      </c>
      <c r="BM2612" s="2">
        <v>5.8</v>
      </c>
      <c r="BN2612" s="2">
        <v>47.24</v>
      </c>
      <c r="BO2612" s="2">
        <v>47.24</v>
      </c>
      <c r="BP2612" s="2"/>
      <c r="BQ2612" s="2" t="s">
        <v>288</v>
      </c>
      <c r="BR2612" s="2" t="s">
        <v>84</v>
      </c>
      <c r="BS2612" s="3">
        <v>42971</v>
      </c>
      <c r="BT2612" s="4">
        <v>0.45416666666666666</v>
      </c>
      <c r="BU2612" s="2" t="s">
        <v>3026</v>
      </c>
      <c r="BV2612" s="2" t="s">
        <v>95</v>
      </c>
      <c r="BW2612" s="2"/>
      <c r="BX2612" s="2"/>
      <c r="BY2612" s="2">
        <v>1200</v>
      </c>
      <c r="BZ2612" s="2"/>
      <c r="CA2612" s="2" t="s">
        <v>347</v>
      </c>
      <c r="CB2612" s="2"/>
      <c r="CC2612" s="2" t="s">
        <v>344</v>
      </c>
      <c r="CD2612" s="2">
        <v>4110</v>
      </c>
      <c r="CE2612" s="2" t="s">
        <v>104</v>
      </c>
      <c r="CF2612" s="5">
        <v>42972</v>
      </c>
      <c r="CG2612" s="2"/>
      <c r="CH2612" s="2"/>
      <c r="CI2612" s="2">
        <v>1</v>
      </c>
      <c r="CJ2612" s="2">
        <v>1</v>
      </c>
      <c r="CK2612" s="2">
        <v>21</v>
      </c>
      <c r="CL2612" s="2" t="s">
        <v>86</v>
      </c>
      <c r="CM2612" s="2"/>
    </row>
    <row r="2613" spans="1:91">
      <c r="A2613" s="2" t="s">
        <v>71</v>
      </c>
      <c r="B2613" s="2" t="s">
        <v>72</v>
      </c>
      <c r="C2613" s="2" t="s">
        <v>73</v>
      </c>
      <c r="D2613" s="2"/>
      <c r="E2613" s="2" t="str">
        <f>"FES1162571014"</f>
        <v>FES1162571014</v>
      </c>
      <c r="F2613" s="3">
        <v>42970</v>
      </c>
      <c r="G2613" s="2">
        <v>201802</v>
      </c>
      <c r="H2613" s="2" t="s">
        <v>74</v>
      </c>
      <c r="I2613" s="2" t="s">
        <v>75</v>
      </c>
      <c r="J2613" s="2" t="s">
        <v>76</v>
      </c>
      <c r="K2613" s="2" t="s">
        <v>77</v>
      </c>
      <c r="L2613" s="2" t="s">
        <v>237</v>
      </c>
      <c r="M2613" s="2" t="s">
        <v>238</v>
      </c>
      <c r="N2613" s="2" t="s">
        <v>2002</v>
      </c>
      <c r="O2613" s="2" t="s">
        <v>100</v>
      </c>
      <c r="P2613" s="2" t="str">
        <f>"2170586688                    "</f>
        <v xml:space="preserve">2170586688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4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1</v>
      </c>
      <c r="BJ2613" s="2">
        <v>0.2</v>
      </c>
      <c r="BK2613" s="2">
        <v>1</v>
      </c>
      <c r="BL2613" s="2">
        <v>41.44</v>
      </c>
      <c r="BM2613" s="2">
        <v>5.8</v>
      </c>
      <c r="BN2613" s="2">
        <v>47.24</v>
      </c>
      <c r="BO2613" s="2">
        <v>47.24</v>
      </c>
      <c r="BP2613" s="2"/>
      <c r="BQ2613" s="2" t="s">
        <v>108</v>
      </c>
      <c r="BR2613" s="2" t="s">
        <v>84</v>
      </c>
      <c r="BS2613" s="3">
        <v>42971</v>
      </c>
      <c r="BT2613" s="4">
        <v>0.41666666666666669</v>
      </c>
      <c r="BU2613" s="2" t="s">
        <v>2682</v>
      </c>
      <c r="BV2613" s="2" t="s">
        <v>95</v>
      </c>
      <c r="BW2613" s="2"/>
      <c r="BX2613" s="2"/>
      <c r="BY2613" s="2">
        <v>1200</v>
      </c>
      <c r="BZ2613" s="2"/>
      <c r="CA2613" s="2" t="s">
        <v>672</v>
      </c>
      <c r="CB2613" s="2"/>
      <c r="CC2613" s="2" t="s">
        <v>238</v>
      </c>
      <c r="CD2613" s="2">
        <v>3610</v>
      </c>
      <c r="CE2613" s="2" t="s">
        <v>104</v>
      </c>
      <c r="CF2613" s="5">
        <v>42972</v>
      </c>
      <c r="CG2613" s="2"/>
      <c r="CH2613" s="2"/>
      <c r="CI2613" s="2">
        <v>1</v>
      </c>
      <c r="CJ2613" s="2">
        <v>1</v>
      </c>
      <c r="CK2613" s="2">
        <v>21</v>
      </c>
      <c r="CL2613" s="2" t="s">
        <v>86</v>
      </c>
      <c r="CM2613" s="2"/>
    </row>
    <row r="2614" spans="1:91">
      <c r="A2614" s="2" t="s">
        <v>71</v>
      </c>
      <c r="B2614" s="2" t="s">
        <v>72</v>
      </c>
      <c r="C2614" s="2" t="s">
        <v>73</v>
      </c>
      <c r="D2614" s="2"/>
      <c r="E2614" s="2" t="str">
        <f>"FES1162570974"</f>
        <v>FES1162570974</v>
      </c>
      <c r="F2614" s="3">
        <v>42970</v>
      </c>
      <c r="G2614" s="2">
        <v>201802</v>
      </c>
      <c r="H2614" s="2" t="s">
        <v>74</v>
      </c>
      <c r="I2614" s="2" t="s">
        <v>75</v>
      </c>
      <c r="J2614" s="2" t="s">
        <v>76</v>
      </c>
      <c r="K2614" s="2" t="s">
        <v>77</v>
      </c>
      <c r="L2614" s="2" t="s">
        <v>237</v>
      </c>
      <c r="M2614" s="2" t="s">
        <v>238</v>
      </c>
      <c r="N2614" s="2" t="s">
        <v>571</v>
      </c>
      <c r="O2614" s="2" t="s">
        <v>100</v>
      </c>
      <c r="P2614" s="2" t="str">
        <f>"2170586651                    "</f>
        <v xml:space="preserve">2170586651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7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2.8</v>
      </c>
      <c r="BJ2614" s="2">
        <v>3.2</v>
      </c>
      <c r="BK2614" s="2">
        <v>3.5</v>
      </c>
      <c r="BL2614" s="2">
        <v>72.52</v>
      </c>
      <c r="BM2614" s="2">
        <v>10.15</v>
      </c>
      <c r="BN2614" s="2">
        <v>82.67</v>
      </c>
      <c r="BO2614" s="2">
        <v>82.67</v>
      </c>
      <c r="BP2614" s="2"/>
      <c r="BQ2614" s="2" t="s">
        <v>572</v>
      </c>
      <c r="BR2614" s="2" t="s">
        <v>84</v>
      </c>
      <c r="BS2614" s="3">
        <v>42971</v>
      </c>
      <c r="BT2614" s="4">
        <v>0.3756944444444445</v>
      </c>
      <c r="BU2614" s="2" t="s">
        <v>573</v>
      </c>
      <c r="BV2614" s="2" t="s">
        <v>95</v>
      </c>
      <c r="BW2614" s="2"/>
      <c r="BX2614" s="2"/>
      <c r="BY2614" s="2">
        <v>16019.85</v>
      </c>
      <c r="BZ2614" s="2"/>
      <c r="CA2614" s="2" t="s">
        <v>401</v>
      </c>
      <c r="CB2614" s="2"/>
      <c r="CC2614" s="2" t="s">
        <v>238</v>
      </c>
      <c r="CD2614" s="2">
        <v>3610</v>
      </c>
      <c r="CE2614" s="2" t="s">
        <v>89</v>
      </c>
      <c r="CF2614" s="5">
        <v>42972</v>
      </c>
      <c r="CG2614" s="2"/>
      <c r="CH2614" s="2"/>
      <c r="CI2614" s="2">
        <v>1</v>
      </c>
      <c r="CJ2614" s="2">
        <v>1</v>
      </c>
      <c r="CK2614" s="2">
        <v>21</v>
      </c>
      <c r="CL2614" s="2" t="s">
        <v>86</v>
      </c>
      <c r="CM2614" s="2"/>
    </row>
    <row r="2615" spans="1:91">
      <c r="A2615" s="2" t="s">
        <v>71</v>
      </c>
      <c r="B2615" s="2" t="s">
        <v>72</v>
      </c>
      <c r="C2615" s="2" t="s">
        <v>73</v>
      </c>
      <c r="D2615" s="2"/>
      <c r="E2615" s="2" t="str">
        <f>"FES1162570908"</f>
        <v>FES1162570908</v>
      </c>
      <c r="F2615" s="3">
        <v>42970</v>
      </c>
      <c r="G2615" s="2">
        <v>201802</v>
      </c>
      <c r="H2615" s="2" t="s">
        <v>74</v>
      </c>
      <c r="I2615" s="2" t="s">
        <v>75</v>
      </c>
      <c r="J2615" s="2" t="s">
        <v>76</v>
      </c>
      <c r="K2615" s="2" t="s">
        <v>77</v>
      </c>
      <c r="L2615" s="2" t="s">
        <v>97</v>
      </c>
      <c r="M2615" s="2" t="s">
        <v>98</v>
      </c>
      <c r="N2615" s="2" t="s">
        <v>1041</v>
      </c>
      <c r="O2615" s="2" t="s">
        <v>100</v>
      </c>
      <c r="P2615" s="2" t="str">
        <f>"2170586587                    "</f>
        <v xml:space="preserve">2170586587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4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1</v>
      </c>
      <c r="BJ2615" s="2">
        <v>0.2</v>
      </c>
      <c r="BK2615" s="2">
        <v>1</v>
      </c>
      <c r="BL2615" s="2">
        <v>41.44</v>
      </c>
      <c r="BM2615" s="2">
        <v>5.8</v>
      </c>
      <c r="BN2615" s="2">
        <v>47.24</v>
      </c>
      <c r="BO2615" s="2">
        <v>47.24</v>
      </c>
      <c r="BP2615" s="2"/>
      <c r="BQ2615" s="2" t="s">
        <v>108</v>
      </c>
      <c r="BR2615" s="2" t="s">
        <v>84</v>
      </c>
      <c r="BS2615" s="3">
        <v>42971</v>
      </c>
      <c r="BT2615" s="4">
        <v>0.30069444444444443</v>
      </c>
      <c r="BU2615" s="2" t="s">
        <v>3027</v>
      </c>
      <c r="BV2615" s="2" t="s">
        <v>95</v>
      </c>
      <c r="BW2615" s="2"/>
      <c r="BX2615" s="2"/>
      <c r="BY2615" s="2">
        <v>1200</v>
      </c>
      <c r="BZ2615" s="2" t="s">
        <v>27</v>
      </c>
      <c r="CA2615" s="2" t="s">
        <v>804</v>
      </c>
      <c r="CB2615" s="2"/>
      <c r="CC2615" s="2" t="s">
        <v>98</v>
      </c>
      <c r="CD2615" s="2">
        <v>6012</v>
      </c>
      <c r="CE2615" s="2" t="s">
        <v>104</v>
      </c>
      <c r="CF2615" s="5">
        <v>42972</v>
      </c>
      <c r="CG2615" s="2"/>
      <c r="CH2615" s="2"/>
      <c r="CI2615" s="2">
        <v>1</v>
      </c>
      <c r="CJ2615" s="2">
        <v>1</v>
      </c>
      <c r="CK2615" s="2">
        <v>21</v>
      </c>
      <c r="CL2615" s="2" t="s">
        <v>86</v>
      </c>
      <c r="CM2615" s="2"/>
    </row>
    <row r="2616" spans="1:91">
      <c r="A2616" s="2" t="s">
        <v>71</v>
      </c>
      <c r="B2616" s="2" t="s">
        <v>72</v>
      </c>
      <c r="C2616" s="2" t="s">
        <v>73</v>
      </c>
      <c r="D2616" s="2"/>
      <c r="E2616" s="2" t="str">
        <f>"FES1162571038"</f>
        <v>FES1162571038</v>
      </c>
      <c r="F2616" s="3">
        <v>42970</v>
      </c>
      <c r="G2616" s="2">
        <v>201802</v>
      </c>
      <c r="H2616" s="2" t="s">
        <v>74</v>
      </c>
      <c r="I2616" s="2" t="s">
        <v>75</v>
      </c>
      <c r="J2616" s="2" t="s">
        <v>76</v>
      </c>
      <c r="K2616" s="2" t="s">
        <v>77</v>
      </c>
      <c r="L2616" s="2" t="s">
        <v>105</v>
      </c>
      <c r="M2616" s="2" t="s">
        <v>106</v>
      </c>
      <c r="N2616" s="2" t="s">
        <v>486</v>
      </c>
      <c r="O2616" s="2" t="s">
        <v>100</v>
      </c>
      <c r="P2616" s="2" t="str">
        <f>"2170586386                    "</f>
        <v xml:space="preserve">2170586386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4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1</v>
      </c>
      <c r="BJ2616" s="2">
        <v>0.2</v>
      </c>
      <c r="BK2616" s="2">
        <v>1</v>
      </c>
      <c r="BL2616" s="2">
        <v>41.44</v>
      </c>
      <c r="BM2616" s="2">
        <v>5.8</v>
      </c>
      <c r="BN2616" s="2">
        <v>47.24</v>
      </c>
      <c r="BO2616" s="2">
        <v>47.24</v>
      </c>
      <c r="BP2616" s="2"/>
      <c r="BQ2616" s="2" t="s">
        <v>108</v>
      </c>
      <c r="BR2616" s="2" t="s">
        <v>84</v>
      </c>
      <c r="BS2616" s="3">
        <v>42971</v>
      </c>
      <c r="BT2616" s="4">
        <v>0.36874999999999997</v>
      </c>
      <c r="BU2616" s="2" t="s">
        <v>2952</v>
      </c>
      <c r="BV2616" s="2" t="s">
        <v>95</v>
      </c>
      <c r="BW2616" s="2"/>
      <c r="BX2616" s="2"/>
      <c r="BY2616" s="2">
        <v>1200</v>
      </c>
      <c r="BZ2616" s="2"/>
      <c r="CA2616" s="2" t="s">
        <v>2626</v>
      </c>
      <c r="CB2616" s="2"/>
      <c r="CC2616" s="2" t="s">
        <v>106</v>
      </c>
      <c r="CD2616" s="2">
        <v>7441</v>
      </c>
      <c r="CE2616" s="2" t="s">
        <v>104</v>
      </c>
      <c r="CF2616" s="5">
        <v>42972</v>
      </c>
      <c r="CG2616" s="2"/>
      <c r="CH2616" s="2"/>
      <c r="CI2616" s="2">
        <v>1</v>
      </c>
      <c r="CJ2616" s="2">
        <v>1</v>
      </c>
      <c r="CK2616" s="2">
        <v>21</v>
      </c>
      <c r="CL2616" s="2" t="s">
        <v>86</v>
      </c>
      <c r="CM2616" s="2"/>
    </row>
    <row r="2617" spans="1:91">
      <c r="A2617" s="2" t="s">
        <v>71</v>
      </c>
      <c r="B2617" s="2" t="s">
        <v>72</v>
      </c>
      <c r="C2617" s="2" t="s">
        <v>73</v>
      </c>
      <c r="D2617" s="2"/>
      <c r="E2617" s="2" t="str">
        <f>"FES1162570919"</f>
        <v>FES1162570919</v>
      </c>
      <c r="F2617" s="3">
        <v>42970</v>
      </c>
      <c r="G2617" s="2">
        <v>201802</v>
      </c>
      <c r="H2617" s="2" t="s">
        <v>74</v>
      </c>
      <c r="I2617" s="2" t="s">
        <v>75</v>
      </c>
      <c r="J2617" s="2" t="s">
        <v>76</v>
      </c>
      <c r="K2617" s="2" t="s">
        <v>77</v>
      </c>
      <c r="L2617" s="2" t="s">
        <v>97</v>
      </c>
      <c r="M2617" s="2" t="s">
        <v>98</v>
      </c>
      <c r="N2617" s="2" t="s">
        <v>1041</v>
      </c>
      <c r="O2617" s="2" t="s">
        <v>100</v>
      </c>
      <c r="P2617" s="2" t="str">
        <f>"2170586592                    "</f>
        <v xml:space="preserve">2170586592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4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1</v>
      </c>
      <c r="BJ2617" s="2">
        <v>0.2</v>
      </c>
      <c r="BK2617" s="2">
        <v>1</v>
      </c>
      <c r="BL2617" s="2">
        <v>41.44</v>
      </c>
      <c r="BM2617" s="2">
        <v>5.8</v>
      </c>
      <c r="BN2617" s="2">
        <v>47.24</v>
      </c>
      <c r="BO2617" s="2">
        <v>47.24</v>
      </c>
      <c r="BP2617" s="2"/>
      <c r="BQ2617" s="2" t="s">
        <v>108</v>
      </c>
      <c r="BR2617" s="2" t="s">
        <v>84</v>
      </c>
      <c r="BS2617" s="3">
        <v>42971</v>
      </c>
      <c r="BT2617" s="4">
        <v>0.30069444444444443</v>
      </c>
      <c r="BU2617" s="2" t="s">
        <v>3028</v>
      </c>
      <c r="BV2617" s="2" t="s">
        <v>95</v>
      </c>
      <c r="BW2617" s="2"/>
      <c r="BX2617" s="2"/>
      <c r="BY2617" s="2">
        <v>1200</v>
      </c>
      <c r="BZ2617" s="2" t="s">
        <v>27</v>
      </c>
      <c r="CA2617" s="2" t="s">
        <v>804</v>
      </c>
      <c r="CB2617" s="2"/>
      <c r="CC2617" s="2" t="s">
        <v>98</v>
      </c>
      <c r="CD2617" s="2">
        <v>6012</v>
      </c>
      <c r="CE2617" s="2" t="s">
        <v>104</v>
      </c>
      <c r="CF2617" s="5">
        <v>42972</v>
      </c>
      <c r="CG2617" s="2"/>
      <c r="CH2617" s="2"/>
      <c r="CI2617" s="2">
        <v>1</v>
      </c>
      <c r="CJ2617" s="2">
        <v>1</v>
      </c>
      <c r="CK2617" s="2">
        <v>21</v>
      </c>
      <c r="CL2617" s="2" t="s">
        <v>86</v>
      </c>
      <c r="CM2617" s="2"/>
    </row>
    <row r="2618" spans="1:91">
      <c r="A2618" s="2" t="s">
        <v>71</v>
      </c>
      <c r="B2618" s="2" t="s">
        <v>72</v>
      </c>
      <c r="C2618" s="2" t="s">
        <v>73</v>
      </c>
      <c r="D2618" s="2"/>
      <c r="E2618" s="2" t="str">
        <f>"FES1162570902"</f>
        <v>FES1162570902</v>
      </c>
      <c r="F2618" s="3">
        <v>42970</v>
      </c>
      <c r="G2618" s="2">
        <v>201802</v>
      </c>
      <c r="H2618" s="2" t="s">
        <v>74</v>
      </c>
      <c r="I2618" s="2" t="s">
        <v>75</v>
      </c>
      <c r="J2618" s="2" t="s">
        <v>76</v>
      </c>
      <c r="K2618" s="2" t="s">
        <v>77</v>
      </c>
      <c r="L2618" s="2" t="s">
        <v>97</v>
      </c>
      <c r="M2618" s="2" t="s">
        <v>98</v>
      </c>
      <c r="N2618" s="2" t="s">
        <v>1041</v>
      </c>
      <c r="O2618" s="2" t="s">
        <v>100</v>
      </c>
      <c r="P2618" s="2" t="str">
        <f>"2170586580                    "</f>
        <v xml:space="preserve">2170586580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4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1</v>
      </c>
      <c r="BJ2618" s="2">
        <v>0.2</v>
      </c>
      <c r="BK2618" s="2">
        <v>1</v>
      </c>
      <c r="BL2618" s="2">
        <v>41.44</v>
      </c>
      <c r="BM2618" s="2">
        <v>5.8</v>
      </c>
      <c r="BN2618" s="2">
        <v>47.24</v>
      </c>
      <c r="BO2618" s="2">
        <v>47.24</v>
      </c>
      <c r="BP2618" s="2"/>
      <c r="BQ2618" s="2" t="s">
        <v>108</v>
      </c>
      <c r="BR2618" s="2" t="s">
        <v>84</v>
      </c>
      <c r="BS2618" s="3">
        <v>42971</v>
      </c>
      <c r="BT2618" s="4">
        <v>0.30069444444444443</v>
      </c>
      <c r="BU2618" s="2" t="s">
        <v>3027</v>
      </c>
      <c r="BV2618" s="2" t="s">
        <v>95</v>
      </c>
      <c r="BW2618" s="2"/>
      <c r="BX2618" s="2"/>
      <c r="BY2618" s="2">
        <v>1200</v>
      </c>
      <c r="BZ2618" s="2" t="s">
        <v>27</v>
      </c>
      <c r="CA2618" s="2" t="s">
        <v>804</v>
      </c>
      <c r="CB2618" s="2"/>
      <c r="CC2618" s="2" t="s">
        <v>98</v>
      </c>
      <c r="CD2618" s="2">
        <v>6012</v>
      </c>
      <c r="CE2618" s="2" t="s">
        <v>104</v>
      </c>
      <c r="CF2618" s="5">
        <v>42972</v>
      </c>
      <c r="CG2618" s="2"/>
      <c r="CH2618" s="2"/>
      <c r="CI2618" s="2">
        <v>1</v>
      </c>
      <c r="CJ2618" s="2">
        <v>1</v>
      </c>
      <c r="CK2618" s="2">
        <v>21</v>
      </c>
      <c r="CL2618" s="2" t="s">
        <v>86</v>
      </c>
      <c r="CM2618" s="2"/>
    </row>
    <row r="2619" spans="1:91">
      <c r="A2619" s="2" t="s">
        <v>71</v>
      </c>
      <c r="B2619" s="2" t="s">
        <v>72</v>
      </c>
      <c r="C2619" s="2" t="s">
        <v>73</v>
      </c>
      <c r="D2619" s="2"/>
      <c r="E2619" s="2" t="str">
        <f>"FES1162570975"</f>
        <v>FES1162570975</v>
      </c>
      <c r="F2619" s="3">
        <v>42970</v>
      </c>
      <c r="G2619" s="2">
        <v>201802</v>
      </c>
      <c r="H2619" s="2" t="s">
        <v>74</v>
      </c>
      <c r="I2619" s="2" t="s">
        <v>75</v>
      </c>
      <c r="J2619" s="2" t="s">
        <v>76</v>
      </c>
      <c r="K2619" s="2" t="s">
        <v>77</v>
      </c>
      <c r="L2619" s="2" t="s">
        <v>149</v>
      </c>
      <c r="M2619" s="2" t="s">
        <v>150</v>
      </c>
      <c r="N2619" s="2" t="s">
        <v>427</v>
      </c>
      <c r="O2619" s="2" t="s">
        <v>100</v>
      </c>
      <c r="P2619" s="2" t="str">
        <f>"2170586652                    "</f>
        <v xml:space="preserve">2170586652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4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1</v>
      </c>
      <c r="BI2619" s="2">
        <v>1</v>
      </c>
      <c r="BJ2619" s="2">
        <v>0.2</v>
      </c>
      <c r="BK2619" s="2">
        <v>1</v>
      </c>
      <c r="BL2619" s="2">
        <v>41.44</v>
      </c>
      <c r="BM2619" s="2">
        <v>5.8</v>
      </c>
      <c r="BN2619" s="2">
        <v>47.24</v>
      </c>
      <c r="BO2619" s="2">
        <v>47.24</v>
      </c>
      <c r="BP2619" s="2"/>
      <c r="BQ2619" s="2" t="s">
        <v>288</v>
      </c>
      <c r="BR2619" s="2" t="s">
        <v>84</v>
      </c>
      <c r="BS2619" s="3">
        <v>42971</v>
      </c>
      <c r="BT2619" s="4">
        <v>0.41180555555555554</v>
      </c>
      <c r="BU2619" s="2" t="s">
        <v>428</v>
      </c>
      <c r="BV2619" s="2" t="s">
        <v>95</v>
      </c>
      <c r="BW2619" s="2"/>
      <c r="BX2619" s="2"/>
      <c r="BY2619" s="2">
        <v>1200</v>
      </c>
      <c r="BZ2619" s="2"/>
      <c r="CA2619" s="2" t="s">
        <v>429</v>
      </c>
      <c r="CB2619" s="2"/>
      <c r="CC2619" s="2" t="s">
        <v>150</v>
      </c>
      <c r="CD2619" s="2">
        <v>4001</v>
      </c>
      <c r="CE2619" s="2" t="s">
        <v>104</v>
      </c>
      <c r="CF2619" s="5">
        <v>42972</v>
      </c>
      <c r="CG2619" s="2"/>
      <c r="CH2619" s="2"/>
      <c r="CI2619" s="2">
        <v>1</v>
      </c>
      <c r="CJ2619" s="2">
        <v>1</v>
      </c>
      <c r="CK2619" s="2">
        <v>21</v>
      </c>
      <c r="CL2619" s="2" t="s">
        <v>86</v>
      </c>
      <c r="CM2619" s="2"/>
    </row>
    <row r="2620" spans="1:91">
      <c r="A2620" s="2" t="s">
        <v>71</v>
      </c>
      <c r="B2620" s="2" t="s">
        <v>72</v>
      </c>
      <c r="C2620" s="2" t="s">
        <v>73</v>
      </c>
      <c r="D2620" s="2"/>
      <c r="E2620" s="2" t="str">
        <f>"FES1162570751"</f>
        <v>FES1162570751</v>
      </c>
      <c r="F2620" s="3">
        <v>42970</v>
      </c>
      <c r="G2620" s="2">
        <v>201802</v>
      </c>
      <c r="H2620" s="2" t="s">
        <v>74</v>
      </c>
      <c r="I2620" s="2" t="s">
        <v>75</v>
      </c>
      <c r="J2620" s="2" t="s">
        <v>76</v>
      </c>
      <c r="K2620" s="2" t="s">
        <v>77</v>
      </c>
      <c r="L2620" s="2" t="s">
        <v>164</v>
      </c>
      <c r="M2620" s="2" t="s">
        <v>165</v>
      </c>
      <c r="N2620" s="2" t="s">
        <v>1191</v>
      </c>
      <c r="O2620" s="2" t="s">
        <v>100</v>
      </c>
      <c r="P2620" s="2" t="str">
        <f>"2170586385                    "</f>
        <v xml:space="preserve">2170586385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4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1</v>
      </c>
      <c r="BJ2620" s="2">
        <v>0.2</v>
      </c>
      <c r="BK2620" s="2">
        <v>1</v>
      </c>
      <c r="BL2620" s="2">
        <v>41.44</v>
      </c>
      <c r="BM2620" s="2">
        <v>5.8</v>
      </c>
      <c r="BN2620" s="2">
        <v>47.24</v>
      </c>
      <c r="BO2620" s="2">
        <v>47.24</v>
      </c>
      <c r="BP2620" s="2"/>
      <c r="BQ2620" s="2" t="s">
        <v>288</v>
      </c>
      <c r="BR2620" s="2" t="s">
        <v>84</v>
      </c>
      <c r="BS2620" s="3">
        <v>42971</v>
      </c>
      <c r="BT2620" s="4">
        <v>0.38958333333333334</v>
      </c>
      <c r="BU2620" s="2" t="s">
        <v>3029</v>
      </c>
      <c r="BV2620" s="2" t="s">
        <v>95</v>
      </c>
      <c r="BW2620" s="2"/>
      <c r="BX2620" s="2"/>
      <c r="BY2620" s="2">
        <v>1200</v>
      </c>
      <c r="BZ2620" s="2" t="s">
        <v>27</v>
      </c>
      <c r="CA2620" s="2" t="s">
        <v>168</v>
      </c>
      <c r="CB2620" s="2"/>
      <c r="CC2620" s="2" t="s">
        <v>165</v>
      </c>
      <c r="CD2620" s="2">
        <v>6850</v>
      </c>
      <c r="CE2620" s="2" t="s">
        <v>104</v>
      </c>
      <c r="CF2620" s="5">
        <v>42972</v>
      </c>
      <c r="CG2620" s="2"/>
      <c r="CH2620" s="2"/>
      <c r="CI2620" s="2">
        <v>3</v>
      </c>
      <c r="CJ2620" s="2">
        <v>1</v>
      </c>
      <c r="CK2620" s="2">
        <v>21</v>
      </c>
      <c r="CL2620" s="2" t="s">
        <v>86</v>
      </c>
      <c r="CM2620" s="2"/>
    </row>
    <row r="2621" spans="1:91">
      <c r="A2621" s="2" t="s">
        <v>71</v>
      </c>
      <c r="B2621" s="2" t="s">
        <v>72</v>
      </c>
      <c r="C2621" s="2" t="s">
        <v>73</v>
      </c>
      <c r="D2621" s="2"/>
      <c r="E2621" s="2" t="str">
        <f>"FES1162571057"</f>
        <v>FES1162571057</v>
      </c>
      <c r="F2621" s="3">
        <v>42970</v>
      </c>
      <c r="G2621" s="2">
        <v>201802</v>
      </c>
      <c r="H2621" s="2" t="s">
        <v>74</v>
      </c>
      <c r="I2621" s="2" t="s">
        <v>75</v>
      </c>
      <c r="J2621" s="2" t="s">
        <v>76</v>
      </c>
      <c r="K2621" s="2" t="s">
        <v>77</v>
      </c>
      <c r="L2621" s="2" t="s">
        <v>144</v>
      </c>
      <c r="M2621" s="2" t="s">
        <v>145</v>
      </c>
      <c r="N2621" s="2" t="s">
        <v>1578</v>
      </c>
      <c r="O2621" s="2" t="s">
        <v>100</v>
      </c>
      <c r="P2621" s="2" t="str">
        <f>"2170586728                    "</f>
        <v xml:space="preserve">2170586728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3.13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3</v>
      </c>
      <c r="BJ2621" s="2">
        <v>0.2</v>
      </c>
      <c r="BK2621" s="2">
        <v>3</v>
      </c>
      <c r="BL2621" s="2">
        <v>32.380000000000003</v>
      </c>
      <c r="BM2621" s="2">
        <v>4.53</v>
      </c>
      <c r="BN2621" s="2">
        <v>36.909999999999997</v>
      </c>
      <c r="BO2621" s="2">
        <v>36.909999999999997</v>
      </c>
      <c r="BP2621" s="2"/>
      <c r="BQ2621" s="2" t="s">
        <v>108</v>
      </c>
      <c r="BR2621" s="2" t="s">
        <v>84</v>
      </c>
      <c r="BS2621" s="3">
        <v>42971</v>
      </c>
      <c r="BT2621" s="4">
        <v>0.31944444444444448</v>
      </c>
      <c r="BU2621" s="2" t="s">
        <v>1754</v>
      </c>
      <c r="BV2621" s="2" t="s">
        <v>95</v>
      </c>
      <c r="BW2621" s="2"/>
      <c r="BX2621" s="2"/>
      <c r="BY2621" s="2">
        <v>1200</v>
      </c>
      <c r="BZ2621" s="2"/>
      <c r="CA2621" s="2" t="s">
        <v>729</v>
      </c>
      <c r="CB2621" s="2"/>
      <c r="CC2621" s="2" t="s">
        <v>145</v>
      </c>
      <c r="CD2621" s="2">
        <v>2197</v>
      </c>
      <c r="CE2621" s="2" t="s">
        <v>104</v>
      </c>
      <c r="CF2621" s="5">
        <v>42972</v>
      </c>
      <c r="CG2621" s="2"/>
      <c r="CH2621" s="2"/>
      <c r="CI2621" s="2">
        <v>1</v>
      </c>
      <c r="CJ2621" s="2">
        <v>1</v>
      </c>
      <c r="CK2621" s="2">
        <v>22</v>
      </c>
      <c r="CL2621" s="2" t="s">
        <v>86</v>
      </c>
      <c r="CM2621" s="2"/>
    </row>
    <row r="2622" spans="1:91">
      <c r="A2622" s="2" t="s">
        <v>71</v>
      </c>
      <c r="B2622" s="2" t="s">
        <v>72</v>
      </c>
      <c r="C2622" s="2" t="s">
        <v>73</v>
      </c>
      <c r="D2622" s="2"/>
      <c r="E2622" s="2" t="str">
        <f>"FES1162570865"</f>
        <v>FES1162570865</v>
      </c>
      <c r="F2622" s="3">
        <v>42970</v>
      </c>
      <c r="G2622" s="2">
        <v>201802</v>
      </c>
      <c r="H2622" s="2" t="s">
        <v>74</v>
      </c>
      <c r="I2622" s="2" t="s">
        <v>75</v>
      </c>
      <c r="J2622" s="2" t="s">
        <v>76</v>
      </c>
      <c r="K2622" s="2" t="s">
        <v>77</v>
      </c>
      <c r="L2622" s="2" t="s">
        <v>105</v>
      </c>
      <c r="M2622" s="2" t="s">
        <v>106</v>
      </c>
      <c r="N2622" s="2" t="s">
        <v>107</v>
      </c>
      <c r="O2622" s="2" t="s">
        <v>100</v>
      </c>
      <c r="P2622" s="2" t="str">
        <f>"2170586576                    "</f>
        <v xml:space="preserve">2170586576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4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1</v>
      </c>
      <c r="BJ2622" s="2">
        <v>0.2</v>
      </c>
      <c r="BK2622" s="2">
        <v>1</v>
      </c>
      <c r="BL2622" s="2">
        <v>41.44</v>
      </c>
      <c r="BM2622" s="2">
        <v>5.8</v>
      </c>
      <c r="BN2622" s="2">
        <v>47.24</v>
      </c>
      <c r="BO2622" s="2">
        <v>47.24</v>
      </c>
      <c r="BP2622" s="2"/>
      <c r="BQ2622" s="2" t="s">
        <v>108</v>
      </c>
      <c r="BR2622" s="2" t="s">
        <v>84</v>
      </c>
      <c r="BS2622" s="3">
        <v>42971</v>
      </c>
      <c r="BT2622" s="4">
        <v>0.3756944444444445</v>
      </c>
      <c r="BU2622" s="2" t="s">
        <v>236</v>
      </c>
      <c r="BV2622" s="2" t="s">
        <v>95</v>
      </c>
      <c r="BW2622" s="2"/>
      <c r="BX2622" s="2"/>
      <c r="BY2622" s="2">
        <v>1200</v>
      </c>
      <c r="BZ2622" s="2" t="s">
        <v>27</v>
      </c>
      <c r="CA2622" s="2" t="s">
        <v>112</v>
      </c>
      <c r="CB2622" s="2"/>
      <c r="CC2622" s="2" t="s">
        <v>106</v>
      </c>
      <c r="CD2622" s="2">
        <v>7405</v>
      </c>
      <c r="CE2622" s="2" t="s">
        <v>104</v>
      </c>
      <c r="CF2622" s="5">
        <v>42972</v>
      </c>
      <c r="CG2622" s="2"/>
      <c r="CH2622" s="2"/>
      <c r="CI2622" s="2">
        <v>1</v>
      </c>
      <c r="CJ2622" s="2">
        <v>1</v>
      </c>
      <c r="CK2622" s="2">
        <v>21</v>
      </c>
      <c r="CL2622" s="2" t="s">
        <v>86</v>
      </c>
      <c r="CM2622" s="2"/>
    </row>
    <row r="2623" spans="1:91">
      <c r="A2623" s="2" t="s">
        <v>71</v>
      </c>
      <c r="B2623" s="2" t="s">
        <v>72</v>
      </c>
      <c r="C2623" s="2" t="s">
        <v>73</v>
      </c>
      <c r="D2623" s="2"/>
      <c r="E2623" s="2" t="str">
        <f>"FES1162571064"</f>
        <v>FES1162571064</v>
      </c>
      <c r="F2623" s="3">
        <v>42970</v>
      </c>
      <c r="G2623" s="2">
        <v>201802</v>
      </c>
      <c r="H2623" s="2" t="s">
        <v>74</v>
      </c>
      <c r="I2623" s="2" t="s">
        <v>75</v>
      </c>
      <c r="J2623" s="2" t="s">
        <v>76</v>
      </c>
      <c r="K2623" s="2" t="s">
        <v>77</v>
      </c>
      <c r="L2623" s="2" t="s">
        <v>231</v>
      </c>
      <c r="M2623" s="2" t="s">
        <v>232</v>
      </c>
      <c r="N2623" s="2" t="s">
        <v>233</v>
      </c>
      <c r="O2623" s="2" t="s">
        <v>100</v>
      </c>
      <c r="P2623" s="2" t="str">
        <f>"2170586406                    "</f>
        <v xml:space="preserve">2170586406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4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1</v>
      </c>
      <c r="BJ2623" s="2">
        <v>0.2</v>
      </c>
      <c r="BK2623" s="2">
        <v>1</v>
      </c>
      <c r="BL2623" s="2">
        <v>41.44</v>
      </c>
      <c r="BM2623" s="2">
        <v>5.8</v>
      </c>
      <c r="BN2623" s="2">
        <v>47.24</v>
      </c>
      <c r="BO2623" s="2">
        <v>47.24</v>
      </c>
      <c r="BP2623" s="2"/>
      <c r="BQ2623" s="2" t="s">
        <v>83</v>
      </c>
      <c r="BR2623" s="2" t="s">
        <v>84</v>
      </c>
      <c r="BS2623" s="3">
        <v>42971</v>
      </c>
      <c r="BT2623" s="4">
        <v>0.36944444444444446</v>
      </c>
      <c r="BU2623" s="2" t="s">
        <v>3030</v>
      </c>
      <c r="BV2623" s="2" t="s">
        <v>95</v>
      </c>
      <c r="BW2623" s="2"/>
      <c r="BX2623" s="2"/>
      <c r="BY2623" s="2">
        <v>1200</v>
      </c>
      <c r="BZ2623" s="2"/>
      <c r="CA2623" s="2" t="s">
        <v>235</v>
      </c>
      <c r="CB2623" s="2"/>
      <c r="CC2623" s="2" t="s">
        <v>232</v>
      </c>
      <c r="CD2623" s="2">
        <v>4026</v>
      </c>
      <c r="CE2623" s="2" t="s">
        <v>104</v>
      </c>
      <c r="CF2623" s="5">
        <v>42972</v>
      </c>
      <c r="CG2623" s="2"/>
      <c r="CH2623" s="2"/>
      <c r="CI2623" s="2">
        <v>1</v>
      </c>
      <c r="CJ2623" s="2">
        <v>1</v>
      </c>
      <c r="CK2623" s="2">
        <v>21</v>
      </c>
      <c r="CL2623" s="2" t="s">
        <v>86</v>
      </c>
      <c r="CM2623" s="2"/>
    </row>
    <row r="2624" spans="1:91">
      <c r="A2624" s="2" t="s">
        <v>71</v>
      </c>
      <c r="B2624" s="2" t="s">
        <v>72</v>
      </c>
      <c r="C2624" s="2" t="s">
        <v>73</v>
      </c>
      <c r="D2624" s="2"/>
      <c r="E2624" s="2" t="str">
        <f>"FES1162570879"</f>
        <v>FES1162570879</v>
      </c>
      <c r="F2624" s="3">
        <v>42970</v>
      </c>
      <c r="G2624" s="2">
        <v>201802</v>
      </c>
      <c r="H2624" s="2" t="s">
        <v>74</v>
      </c>
      <c r="I2624" s="2" t="s">
        <v>75</v>
      </c>
      <c r="J2624" s="2" t="s">
        <v>76</v>
      </c>
      <c r="K2624" s="2" t="s">
        <v>77</v>
      </c>
      <c r="L2624" s="2" t="s">
        <v>417</v>
      </c>
      <c r="M2624" s="2" t="s">
        <v>417</v>
      </c>
      <c r="N2624" s="2" t="s">
        <v>815</v>
      </c>
      <c r="O2624" s="2" t="s">
        <v>100</v>
      </c>
      <c r="P2624" s="2" t="str">
        <f>"2170584325                    "</f>
        <v xml:space="preserve">2170584325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4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1</v>
      </c>
      <c r="BJ2624" s="2">
        <v>0.2</v>
      </c>
      <c r="BK2624" s="2">
        <v>1</v>
      </c>
      <c r="BL2624" s="2">
        <v>41.44</v>
      </c>
      <c r="BM2624" s="2">
        <v>5.8</v>
      </c>
      <c r="BN2624" s="2">
        <v>47.24</v>
      </c>
      <c r="BO2624" s="2">
        <v>47.24</v>
      </c>
      <c r="BP2624" s="2"/>
      <c r="BQ2624" s="2" t="s">
        <v>209</v>
      </c>
      <c r="BR2624" s="2" t="s">
        <v>84</v>
      </c>
      <c r="BS2624" s="3">
        <v>42971</v>
      </c>
      <c r="BT2624" s="4">
        <v>0.44236111111111115</v>
      </c>
      <c r="BU2624" s="2" t="s">
        <v>3031</v>
      </c>
      <c r="BV2624" s="2" t="s">
        <v>95</v>
      </c>
      <c r="BW2624" s="2"/>
      <c r="BX2624" s="2"/>
      <c r="BY2624" s="2">
        <v>1200</v>
      </c>
      <c r="BZ2624" s="2" t="s">
        <v>27</v>
      </c>
      <c r="CA2624" s="2" t="s">
        <v>420</v>
      </c>
      <c r="CB2624" s="2"/>
      <c r="CC2624" s="2" t="s">
        <v>417</v>
      </c>
      <c r="CD2624" s="2">
        <v>7646</v>
      </c>
      <c r="CE2624" s="2" t="s">
        <v>104</v>
      </c>
      <c r="CF2624" s="5">
        <v>42972</v>
      </c>
      <c r="CG2624" s="2"/>
      <c r="CH2624" s="2"/>
      <c r="CI2624" s="2">
        <v>1</v>
      </c>
      <c r="CJ2624" s="2">
        <v>1</v>
      </c>
      <c r="CK2624" s="2">
        <v>21</v>
      </c>
      <c r="CL2624" s="2" t="s">
        <v>86</v>
      </c>
      <c r="CM2624" s="2"/>
    </row>
    <row r="2625" spans="1:91">
      <c r="A2625" s="2" t="s">
        <v>71</v>
      </c>
      <c r="B2625" s="2" t="s">
        <v>72</v>
      </c>
      <c r="C2625" s="2" t="s">
        <v>73</v>
      </c>
      <c r="D2625" s="2"/>
      <c r="E2625" s="2" t="str">
        <f>"FES1162570775"</f>
        <v>FES1162570775</v>
      </c>
      <c r="F2625" s="3">
        <v>42970</v>
      </c>
      <c r="G2625" s="2">
        <v>201802</v>
      </c>
      <c r="H2625" s="2" t="s">
        <v>74</v>
      </c>
      <c r="I2625" s="2" t="s">
        <v>75</v>
      </c>
      <c r="J2625" s="2" t="s">
        <v>76</v>
      </c>
      <c r="K2625" s="2" t="s">
        <v>77</v>
      </c>
      <c r="L2625" s="2" t="s">
        <v>446</v>
      </c>
      <c r="M2625" s="2" t="s">
        <v>447</v>
      </c>
      <c r="N2625" s="2" t="s">
        <v>961</v>
      </c>
      <c r="O2625" s="2" t="s">
        <v>100</v>
      </c>
      <c r="P2625" s="2" t="str">
        <f>"2170583679                    "</f>
        <v xml:space="preserve">2170583679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5.63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1.4</v>
      </c>
      <c r="BJ2625" s="2">
        <v>1.3</v>
      </c>
      <c r="BK2625" s="2">
        <v>1.5</v>
      </c>
      <c r="BL2625" s="2">
        <v>58.28</v>
      </c>
      <c r="BM2625" s="2">
        <v>8.16</v>
      </c>
      <c r="BN2625" s="2">
        <v>66.44</v>
      </c>
      <c r="BO2625" s="2">
        <v>66.44</v>
      </c>
      <c r="BP2625" s="2"/>
      <c r="BQ2625" s="2" t="s">
        <v>962</v>
      </c>
      <c r="BR2625" s="2" t="s">
        <v>84</v>
      </c>
      <c r="BS2625" s="3">
        <v>42971</v>
      </c>
      <c r="BT2625" s="4">
        <v>0.41666666666666669</v>
      </c>
      <c r="BU2625" s="2" t="s">
        <v>1674</v>
      </c>
      <c r="BV2625" s="2" t="s">
        <v>95</v>
      </c>
      <c r="BW2625" s="2"/>
      <c r="BX2625" s="2"/>
      <c r="BY2625" s="2">
        <v>6366.34</v>
      </c>
      <c r="BZ2625" s="2"/>
      <c r="CA2625" s="2"/>
      <c r="CB2625" s="2"/>
      <c r="CC2625" s="2" t="s">
        <v>447</v>
      </c>
      <c r="CD2625" s="2">
        <v>1759</v>
      </c>
      <c r="CE2625" s="2" t="s">
        <v>135</v>
      </c>
      <c r="CF2625" s="5">
        <v>42972</v>
      </c>
      <c r="CG2625" s="2"/>
      <c r="CH2625" s="2"/>
      <c r="CI2625" s="2">
        <v>1</v>
      </c>
      <c r="CJ2625" s="2">
        <v>1</v>
      </c>
      <c r="CK2625" s="2">
        <v>24</v>
      </c>
      <c r="CL2625" s="2" t="s">
        <v>86</v>
      </c>
      <c r="CM2625" s="2"/>
    </row>
    <row r="2626" spans="1:91">
      <c r="A2626" s="2" t="s">
        <v>71</v>
      </c>
      <c r="B2626" s="2" t="s">
        <v>72</v>
      </c>
      <c r="C2626" s="2" t="s">
        <v>73</v>
      </c>
      <c r="D2626" s="2"/>
      <c r="E2626" s="2" t="str">
        <f>"FES1162570946"</f>
        <v>FES1162570946</v>
      </c>
      <c r="F2626" s="3">
        <v>42970</v>
      </c>
      <c r="G2626" s="2">
        <v>201802</v>
      </c>
      <c r="H2626" s="2" t="s">
        <v>74</v>
      </c>
      <c r="I2626" s="2" t="s">
        <v>75</v>
      </c>
      <c r="J2626" s="2" t="s">
        <v>76</v>
      </c>
      <c r="K2626" s="2" t="s">
        <v>77</v>
      </c>
      <c r="L2626" s="2" t="s">
        <v>164</v>
      </c>
      <c r="M2626" s="2" t="s">
        <v>165</v>
      </c>
      <c r="N2626" s="2" t="s">
        <v>1191</v>
      </c>
      <c r="O2626" s="2" t="s">
        <v>100</v>
      </c>
      <c r="P2626" s="2" t="str">
        <f>"2170586620                    "</f>
        <v xml:space="preserve">2170586620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4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1</v>
      </c>
      <c r="BJ2626" s="2">
        <v>0.2</v>
      </c>
      <c r="BK2626" s="2">
        <v>1</v>
      </c>
      <c r="BL2626" s="2">
        <v>41.44</v>
      </c>
      <c r="BM2626" s="2">
        <v>5.8</v>
      </c>
      <c r="BN2626" s="2">
        <v>47.24</v>
      </c>
      <c r="BO2626" s="2">
        <v>47.24</v>
      </c>
      <c r="BP2626" s="2"/>
      <c r="BQ2626" s="2" t="s">
        <v>288</v>
      </c>
      <c r="BR2626" s="2" t="s">
        <v>84</v>
      </c>
      <c r="BS2626" s="3">
        <v>42971</v>
      </c>
      <c r="BT2626" s="4">
        <v>0.38958333333333334</v>
      </c>
      <c r="BU2626" s="2" t="s">
        <v>3029</v>
      </c>
      <c r="BV2626" s="2" t="s">
        <v>95</v>
      </c>
      <c r="BW2626" s="2"/>
      <c r="BX2626" s="2"/>
      <c r="BY2626" s="2">
        <v>1200</v>
      </c>
      <c r="BZ2626" s="2" t="s">
        <v>27</v>
      </c>
      <c r="CA2626" s="2" t="s">
        <v>168</v>
      </c>
      <c r="CB2626" s="2"/>
      <c r="CC2626" s="2" t="s">
        <v>165</v>
      </c>
      <c r="CD2626" s="2">
        <v>6850</v>
      </c>
      <c r="CE2626" s="2" t="s">
        <v>104</v>
      </c>
      <c r="CF2626" s="5">
        <v>42972</v>
      </c>
      <c r="CG2626" s="2"/>
      <c r="CH2626" s="2"/>
      <c r="CI2626" s="2">
        <v>3</v>
      </c>
      <c r="CJ2626" s="2">
        <v>1</v>
      </c>
      <c r="CK2626" s="2">
        <v>21</v>
      </c>
      <c r="CL2626" s="2" t="s">
        <v>86</v>
      </c>
      <c r="CM2626" s="2"/>
    </row>
    <row r="2627" spans="1:91">
      <c r="A2627" s="2" t="s">
        <v>71</v>
      </c>
      <c r="B2627" s="2" t="s">
        <v>72</v>
      </c>
      <c r="C2627" s="2" t="s">
        <v>73</v>
      </c>
      <c r="D2627" s="2"/>
      <c r="E2627" s="2" t="str">
        <f>"FES1162570817"</f>
        <v>FES1162570817</v>
      </c>
      <c r="F2627" s="3">
        <v>42970</v>
      </c>
      <c r="G2627" s="2">
        <v>201802</v>
      </c>
      <c r="H2627" s="2" t="s">
        <v>74</v>
      </c>
      <c r="I2627" s="2" t="s">
        <v>75</v>
      </c>
      <c r="J2627" s="2" t="s">
        <v>76</v>
      </c>
      <c r="K2627" s="2" t="s">
        <v>77</v>
      </c>
      <c r="L2627" s="2" t="s">
        <v>105</v>
      </c>
      <c r="M2627" s="2" t="s">
        <v>106</v>
      </c>
      <c r="N2627" s="2" t="s">
        <v>1080</v>
      </c>
      <c r="O2627" s="2" t="s">
        <v>100</v>
      </c>
      <c r="P2627" s="2" t="str">
        <f>"2170586182                    "</f>
        <v xml:space="preserve">2170586182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4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1</v>
      </c>
      <c r="BJ2627" s="2">
        <v>0.2</v>
      </c>
      <c r="BK2627" s="2">
        <v>1</v>
      </c>
      <c r="BL2627" s="2">
        <v>41.44</v>
      </c>
      <c r="BM2627" s="2">
        <v>5.8</v>
      </c>
      <c r="BN2627" s="2">
        <v>47.24</v>
      </c>
      <c r="BO2627" s="2">
        <v>47.24</v>
      </c>
      <c r="BP2627" s="2"/>
      <c r="BQ2627" s="2" t="s">
        <v>288</v>
      </c>
      <c r="BR2627" s="2" t="s">
        <v>84</v>
      </c>
      <c r="BS2627" s="3">
        <v>42971</v>
      </c>
      <c r="BT2627" s="4">
        <v>0.36736111111111108</v>
      </c>
      <c r="BU2627" s="2" t="s">
        <v>3032</v>
      </c>
      <c r="BV2627" s="2" t="s">
        <v>95</v>
      </c>
      <c r="BW2627" s="2"/>
      <c r="BX2627" s="2"/>
      <c r="BY2627" s="2">
        <v>1200</v>
      </c>
      <c r="BZ2627" s="2" t="s">
        <v>27</v>
      </c>
      <c r="CA2627" s="2" t="s">
        <v>1308</v>
      </c>
      <c r="CB2627" s="2"/>
      <c r="CC2627" s="2" t="s">
        <v>106</v>
      </c>
      <c r="CD2627" s="2">
        <v>7441</v>
      </c>
      <c r="CE2627" s="2" t="s">
        <v>104</v>
      </c>
      <c r="CF2627" s="5">
        <v>42972</v>
      </c>
      <c r="CG2627" s="2"/>
      <c r="CH2627" s="2"/>
      <c r="CI2627" s="2">
        <v>1</v>
      </c>
      <c r="CJ2627" s="2">
        <v>1</v>
      </c>
      <c r="CK2627" s="2">
        <v>21</v>
      </c>
      <c r="CL2627" s="2" t="s">
        <v>86</v>
      </c>
      <c r="CM2627" s="2"/>
    </row>
    <row r="2628" spans="1:91">
      <c r="A2628" s="2" t="s">
        <v>71</v>
      </c>
      <c r="B2628" s="2" t="s">
        <v>72</v>
      </c>
      <c r="C2628" s="2" t="s">
        <v>73</v>
      </c>
      <c r="D2628" s="2"/>
      <c r="E2628" s="2" t="str">
        <f>"FES1162570962"</f>
        <v>FES1162570962</v>
      </c>
      <c r="F2628" s="3">
        <v>42970</v>
      </c>
      <c r="G2628" s="2">
        <v>201802</v>
      </c>
      <c r="H2628" s="2" t="s">
        <v>74</v>
      </c>
      <c r="I2628" s="2" t="s">
        <v>75</v>
      </c>
      <c r="J2628" s="2" t="s">
        <v>76</v>
      </c>
      <c r="K2628" s="2" t="s">
        <v>77</v>
      </c>
      <c r="L2628" s="2" t="s">
        <v>144</v>
      </c>
      <c r="M2628" s="2" t="s">
        <v>145</v>
      </c>
      <c r="N2628" s="2" t="s">
        <v>146</v>
      </c>
      <c r="O2628" s="2" t="s">
        <v>100</v>
      </c>
      <c r="P2628" s="2" t="str">
        <f>"217570962                     "</f>
        <v xml:space="preserve">217570962 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3.13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6.7</v>
      </c>
      <c r="BJ2628" s="2">
        <v>1.9</v>
      </c>
      <c r="BK2628" s="2">
        <v>7</v>
      </c>
      <c r="BL2628" s="2">
        <v>32.380000000000003</v>
      </c>
      <c r="BM2628" s="2">
        <v>4.53</v>
      </c>
      <c r="BN2628" s="2">
        <v>36.909999999999997</v>
      </c>
      <c r="BO2628" s="2">
        <v>36.909999999999997</v>
      </c>
      <c r="BP2628" s="2"/>
      <c r="BQ2628" s="2" t="s">
        <v>83</v>
      </c>
      <c r="BR2628" s="2" t="s">
        <v>84</v>
      </c>
      <c r="BS2628" s="3">
        <v>42971</v>
      </c>
      <c r="BT2628" s="4">
        <v>0.36736111111111108</v>
      </c>
      <c r="BU2628" s="2" t="s">
        <v>728</v>
      </c>
      <c r="BV2628" s="2" t="s">
        <v>95</v>
      </c>
      <c r="BW2628" s="2"/>
      <c r="BX2628" s="2"/>
      <c r="BY2628" s="2">
        <v>9627.26</v>
      </c>
      <c r="BZ2628" s="2"/>
      <c r="CA2628" s="2" t="s">
        <v>729</v>
      </c>
      <c r="CB2628" s="2"/>
      <c r="CC2628" s="2" t="s">
        <v>145</v>
      </c>
      <c r="CD2628" s="2">
        <v>2094</v>
      </c>
      <c r="CE2628" s="2" t="s">
        <v>89</v>
      </c>
      <c r="CF2628" s="5">
        <v>42972</v>
      </c>
      <c r="CG2628" s="2"/>
      <c r="CH2628" s="2"/>
      <c r="CI2628" s="2">
        <v>1</v>
      </c>
      <c r="CJ2628" s="2">
        <v>1</v>
      </c>
      <c r="CK2628" s="2">
        <v>22</v>
      </c>
      <c r="CL2628" s="2" t="s">
        <v>86</v>
      </c>
      <c r="CM2628" s="2"/>
    </row>
    <row r="2629" spans="1:91">
      <c r="A2629" s="2" t="s">
        <v>71</v>
      </c>
      <c r="B2629" s="2" t="s">
        <v>72</v>
      </c>
      <c r="C2629" s="2" t="s">
        <v>73</v>
      </c>
      <c r="D2629" s="2"/>
      <c r="E2629" s="2" t="str">
        <f>"FES1162570756"</f>
        <v>FES1162570756</v>
      </c>
      <c r="F2629" s="3">
        <v>42970</v>
      </c>
      <c r="G2629" s="2">
        <v>201802</v>
      </c>
      <c r="H2629" s="2" t="s">
        <v>74</v>
      </c>
      <c r="I2629" s="2" t="s">
        <v>75</v>
      </c>
      <c r="J2629" s="2" t="s">
        <v>76</v>
      </c>
      <c r="K2629" s="2" t="s">
        <v>77</v>
      </c>
      <c r="L2629" s="2" t="s">
        <v>105</v>
      </c>
      <c r="M2629" s="2" t="s">
        <v>106</v>
      </c>
      <c r="N2629" s="2" t="s">
        <v>107</v>
      </c>
      <c r="O2629" s="2" t="s">
        <v>100</v>
      </c>
      <c r="P2629" s="2" t="str">
        <f>"2170586493                    "</f>
        <v xml:space="preserve">2170586493  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4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1</v>
      </c>
      <c r="BJ2629" s="2">
        <v>0.2</v>
      </c>
      <c r="BK2629" s="2">
        <v>1</v>
      </c>
      <c r="BL2629" s="2">
        <v>41.44</v>
      </c>
      <c r="BM2629" s="2">
        <v>5.8</v>
      </c>
      <c r="BN2629" s="2">
        <v>47.24</v>
      </c>
      <c r="BO2629" s="2">
        <v>47.24</v>
      </c>
      <c r="BP2629" s="2"/>
      <c r="BQ2629" s="2" t="s">
        <v>108</v>
      </c>
      <c r="BR2629" s="2" t="s">
        <v>84</v>
      </c>
      <c r="BS2629" s="3">
        <v>42971</v>
      </c>
      <c r="BT2629" s="4">
        <v>0.37361111111111112</v>
      </c>
      <c r="BU2629" s="2" t="s">
        <v>236</v>
      </c>
      <c r="BV2629" s="2" t="s">
        <v>95</v>
      </c>
      <c r="BW2629" s="2"/>
      <c r="BX2629" s="2"/>
      <c r="BY2629" s="2">
        <v>1200</v>
      </c>
      <c r="BZ2629" s="2" t="s">
        <v>27</v>
      </c>
      <c r="CA2629" s="2" t="s">
        <v>112</v>
      </c>
      <c r="CB2629" s="2"/>
      <c r="CC2629" s="2" t="s">
        <v>106</v>
      </c>
      <c r="CD2629" s="2">
        <v>7405</v>
      </c>
      <c r="CE2629" s="2" t="s">
        <v>104</v>
      </c>
      <c r="CF2629" s="5">
        <v>42972</v>
      </c>
      <c r="CG2629" s="2"/>
      <c r="CH2629" s="2"/>
      <c r="CI2629" s="2">
        <v>1</v>
      </c>
      <c r="CJ2629" s="2">
        <v>1</v>
      </c>
      <c r="CK2629" s="2">
        <v>21</v>
      </c>
      <c r="CL2629" s="2" t="s">
        <v>86</v>
      </c>
      <c r="CM2629" s="2"/>
    </row>
    <row r="2630" spans="1:91">
      <c r="A2630" s="2" t="s">
        <v>71</v>
      </c>
      <c r="B2630" s="2" t="s">
        <v>72</v>
      </c>
      <c r="C2630" s="2" t="s">
        <v>73</v>
      </c>
      <c r="D2630" s="2"/>
      <c r="E2630" s="2" t="str">
        <f>"FES1162571010"</f>
        <v>FES1162571010</v>
      </c>
      <c r="F2630" s="3">
        <v>42970</v>
      </c>
      <c r="G2630" s="2">
        <v>201802</v>
      </c>
      <c r="H2630" s="2" t="s">
        <v>74</v>
      </c>
      <c r="I2630" s="2" t="s">
        <v>75</v>
      </c>
      <c r="J2630" s="2" t="s">
        <v>76</v>
      </c>
      <c r="K2630" s="2" t="s">
        <v>77</v>
      </c>
      <c r="L2630" s="2" t="s">
        <v>237</v>
      </c>
      <c r="M2630" s="2" t="s">
        <v>238</v>
      </c>
      <c r="N2630" s="2" t="s">
        <v>239</v>
      </c>
      <c r="O2630" s="2" t="s">
        <v>100</v>
      </c>
      <c r="P2630" s="2" t="str">
        <f>"2170586680                    "</f>
        <v xml:space="preserve">2170586680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4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1</v>
      </c>
      <c r="BJ2630" s="2">
        <v>0.2</v>
      </c>
      <c r="BK2630" s="2">
        <v>1</v>
      </c>
      <c r="BL2630" s="2">
        <v>41.44</v>
      </c>
      <c r="BM2630" s="2">
        <v>5.8</v>
      </c>
      <c r="BN2630" s="2">
        <v>47.24</v>
      </c>
      <c r="BO2630" s="2">
        <v>47.24</v>
      </c>
      <c r="BP2630" s="2"/>
      <c r="BQ2630" s="2" t="s">
        <v>83</v>
      </c>
      <c r="BR2630" s="2" t="s">
        <v>84</v>
      </c>
      <c r="BS2630" s="3">
        <v>42971</v>
      </c>
      <c r="BT2630" s="4">
        <v>0.43958333333333338</v>
      </c>
      <c r="BU2630" s="2" t="s">
        <v>825</v>
      </c>
      <c r="BV2630" s="2" t="s">
        <v>95</v>
      </c>
      <c r="BW2630" s="2"/>
      <c r="BX2630" s="2"/>
      <c r="BY2630" s="2">
        <v>1200</v>
      </c>
      <c r="BZ2630" s="2"/>
      <c r="CA2630" s="2" t="s">
        <v>672</v>
      </c>
      <c r="CB2630" s="2"/>
      <c r="CC2630" s="2" t="s">
        <v>238</v>
      </c>
      <c r="CD2630" s="2">
        <v>3610</v>
      </c>
      <c r="CE2630" s="2" t="s">
        <v>104</v>
      </c>
      <c r="CF2630" s="5">
        <v>42972</v>
      </c>
      <c r="CG2630" s="2"/>
      <c r="CH2630" s="2"/>
      <c r="CI2630" s="2">
        <v>1</v>
      </c>
      <c r="CJ2630" s="2">
        <v>1</v>
      </c>
      <c r="CK2630" s="2">
        <v>21</v>
      </c>
      <c r="CL2630" s="2" t="s">
        <v>86</v>
      </c>
      <c r="CM2630" s="2"/>
    </row>
    <row r="2631" spans="1:91">
      <c r="A2631" s="2" t="s">
        <v>71</v>
      </c>
      <c r="B2631" s="2" t="s">
        <v>72</v>
      </c>
      <c r="C2631" s="2" t="s">
        <v>73</v>
      </c>
      <c r="D2631" s="2"/>
      <c r="E2631" s="2" t="str">
        <f>"FES1162570965"</f>
        <v>FES1162570965</v>
      </c>
      <c r="F2631" s="3">
        <v>42970</v>
      </c>
      <c r="G2631" s="2">
        <v>201802</v>
      </c>
      <c r="H2631" s="2" t="s">
        <v>74</v>
      </c>
      <c r="I2631" s="2" t="s">
        <v>75</v>
      </c>
      <c r="J2631" s="2" t="s">
        <v>76</v>
      </c>
      <c r="K2631" s="2" t="s">
        <v>77</v>
      </c>
      <c r="L2631" s="2" t="s">
        <v>144</v>
      </c>
      <c r="M2631" s="2" t="s">
        <v>145</v>
      </c>
      <c r="N2631" s="2" t="s">
        <v>3033</v>
      </c>
      <c r="O2631" s="2" t="s">
        <v>100</v>
      </c>
      <c r="P2631" s="2" t="str">
        <f>"2170586514                    "</f>
        <v xml:space="preserve">2170586514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3.13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2</v>
      </c>
      <c r="BJ2631" s="2">
        <v>3</v>
      </c>
      <c r="BK2631" s="2">
        <v>3</v>
      </c>
      <c r="BL2631" s="2">
        <v>32.380000000000003</v>
      </c>
      <c r="BM2631" s="2">
        <v>4.53</v>
      </c>
      <c r="BN2631" s="2">
        <v>36.909999999999997</v>
      </c>
      <c r="BO2631" s="2">
        <v>36.909999999999997</v>
      </c>
      <c r="BP2631" s="2"/>
      <c r="BQ2631" s="2" t="s">
        <v>83</v>
      </c>
      <c r="BR2631" s="2" t="s">
        <v>84</v>
      </c>
      <c r="BS2631" s="3">
        <v>42971</v>
      </c>
      <c r="BT2631" s="4">
        <v>0.36736111111111108</v>
      </c>
      <c r="BU2631" s="2" t="s">
        <v>728</v>
      </c>
      <c r="BV2631" s="2" t="s">
        <v>95</v>
      </c>
      <c r="BW2631" s="2"/>
      <c r="BX2631" s="2"/>
      <c r="BY2631" s="2">
        <v>14784</v>
      </c>
      <c r="BZ2631" s="2"/>
      <c r="CA2631" s="2" t="s">
        <v>729</v>
      </c>
      <c r="CB2631" s="2"/>
      <c r="CC2631" s="2" t="s">
        <v>145</v>
      </c>
      <c r="CD2631" s="2">
        <v>2043</v>
      </c>
      <c r="CE2631" s="2" t="s">
        <v>135</v>
      </c>
      <c r="CF2631" s="5">
        <v>42972</v>
      </c>
      <c r="CG2631" s="2"/>
      <c r="CH2631" s="2"/>
      <c r="CI2631" s="2">
        <v>1</v>
      </c>
      <c r="CJ2631" s="2">
        <v>1</v>
      </c>
      <c r="CK2631" s="2">
        <v>22</v>
      </c>
      <c r="CL2631" s="2" t="s">
        <v>86</v>
      </c>
      <c r="CM2631" s="2"/>
    </row>
    <row r="2632" spans="1:91">
      <c r="A2632" s="2" t="s">
        <v>71</v>
      </c>
      <c r="B2632" s="2" t="s">
        <v>72</v>
      </c>
      <c r="C2632" s="2" t="s">
        <v>73</v>
      </c>
      <c r="D2632" s="2"/>
      <c r="E2632" s="2" t="str">
        <f>"FES1162571022"</f>
        <v>FES1162571022</v>
      </c>
      <c r="F2632" s="3">
        <v>42970</v>
      </c>
      <c r="G2632" s="2">
        <v>201802</v>
      </c>
      <c r="H2632" s="2" t="s">
        <v>74</v>
      </c>
      <c r="I2632" s="2" t="s">
        <v>75</v>
      </c>
      <c r="J2632" s="2" t="s">
        <v>76</v>
      </c>
      <c r="K2632" s="2" t="s">
        <v>77</v>
      </c>
      <c r="L2632" s="2" t="s">
        <v>149</v>
      </c>
      <c r="M2632" s="2" t="s">
        <v>150</v>
      </c>
      <c r="N2632" s="2" t="s">
        <v>3034</v>
      </c>
      <c r="O2632" s="2" t="s">
        <v>100</v>
      </c>
      <c r="P2632" s="2" t="str">
        <f>"2170586699                    "</f>
        <v xml:space="preserve">2170586699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4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</v>
      </c>
      <c r="BJ2632" s="2">
        <v>0.2</v>
      </c>
      <c r="BK2632" s="2">
        <v>1</v>
      </c>
      <c r="BL2632" s="2">
        <v>41.44</v>
      </c>
      <c r="BM2632" s="2">
        <v>5.8</v>
      </c>
      <c r="BN2632" s="2">
        <v>47.24</v>
      </c>
      <c r="BO2632" s="2">
        <v>47.24</v>
      </c>
      <c r="BP2632" s="2"/>
      <c r="BQ2632" s="2" t="s">
        <v>288</v>
      </c>
      <c r="BR2632" s="2" t="s">
        <v>84</v>
      </c>
      <c r="BS2632" s="3">
        <v>42971</v>
      </c>
      <c r="BT2632" s="4">
        <v>0.32361111111111113</v>
      </c>
      <c r="BU2632" s="2" t="s">
        <v>1181</v>
      </c>
      <c r="BV2632" s="2" t="s">
        <v>95</v>
      </c>
      <c r="BW2632" s="2"/>
      <c r="BX2632" s="2"/>
      <c r="BY2632" s="2">
        <v>1200</v>
      </c>
      <c r="BZ2632" s="2"/>
      <c r="CA2632" s="2" t="s">
        <v>1949</v>
      </c>
      <c r="CB2632" s="2"/>
      <c r="CC2632" s="2" t="s">
        <v>150</v>
      </c>
      <c r="CD2632" s="2">
        <v>4064</v>
      </c>
      <c r="CE2632" s="2" t="s">
        <v>104</v>
      </c>
      <c r="CF2632" s="5">
        <v>42972</v>
      </c>
      <c r="CG2632" s="2"/>
      <c r="CH2632" s="2"/>
      <c r="CI2632" s="2">
        <v>1</v>
      </c>
      <c r="CJ2632" s="2">
        <v>1</v>
      </c>
      <c r="CK2632" s="2">
        <v>21</v>
      </c>
      <c r="CL2632" s="2" t="s">
        <v>86</v>
      </c>
      <c r="CM2632" s="2"/>
    </row>
    <row r="2633" spans="1:91">
      <c r="A2633" s="2" t="s">
        <v>71</v>
      </c>
      <c r="B2633" s="2" t="s">
        <v>72</v>
      </c>
      <c r="C2633" s="2" t="s">
        <v>73</v>
      </c>
      <c r="D2633" s="2"/>
      <c r="E2633" s="2" t="str">
        <f>"FES1162570720"</f>
        <v>FES1162570720</v>
      </c>
      <c r="F2633" s="3">
        <v>42970</v>
      </c>
      <c r="G2633" s="2">
        <v>201802</v>
      </c>
      <c r="H2633" s="2" t="s">
        <v>74</v>
      </c>
      <c r="I2633" s="2" t="s">
        <v>75</v>
      </c>
      <c r="J2633" s="2" t="s">
        <v>76</v>
      </c>
      <c r="K2633" s="2" t="s">
        <v>77</v>
      </c>
      <c r="L2633" s="2" t="s">
        <v>244</v>
      </c>
      <c r="M2633" s="2" t="s">
        <v>245</v>
      </c>
      <c r="N2633" s="2" t="s">
        <v>2817</v>
      </c>
      <c r="O2633" s="2" t="s">
        <v>100</v>
      </c>
      <c r="P2633" s="2" t="str">
        <f>"2170567449                    "</f>
        <v xml:space="preserve">2170567449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3.13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1</v>
      </c>
      <c r="BJ2633" s="2">
        <v>0.2</v>
      </c>
      <c r="BK2633" s="2">
        <v>1</v>
      </c>
      <c r="BL2633" s="2">
        <v>32.380000000000003</v>
      </c>
      <c r="BM2633" s="2">
        <v>4.53</v>
      </c>
      <c r="BN2633" s="2">
        <v>36.909999999999997</v>
      </c>
      <c r="BO2633" s="2">
        <v>36.909999999999997</v>
      </c>
      <c r="BP2633" s="2"/>
      <c r="BQ2633" s="2" t="s">
        <v>83</v>
      </c>
      <c r="BR2633" s="2" t="s">
        <v>84</v>
      </c>
      <c r="BS2633" s="3">
        <v>42971</v>
      </c>
      <c r="BT2633" s="4">
        <v>0.38194444444444442</v>
      </c>
      <c r="BU2633" s="2" t="s">
        <v>1830</v>
      </c>
      <c r="BV2633" s="2" t="s">
        <v>95</v>
      </c>
      <c r="BW2633" s="2"/>
      <c r="BX2633" s="2"/>
      <c r="BY2633" s="2">
        <v>1200</v>
      </c>
      <c r="BZ2633" s="2" t="s">
        <v>27</v>
      </c>
      <c r="CA2633" s="2" t="s">
        <v>499</v>
      </c>
      <c r="CB2633" s="2"/>
      <c r="CC2633" s="2" t="s">
        <v>245</v>
      </c>
      <c r="CD2633" s="2">
        <v>1459</v>
      </c>
      <c r="CE2633" s="2" t="s">
        <v>104</v>
      </c>
      <c r="CF2633" s="5">
        <v>42972</v>
      </c>
      <c r="CG2633" s="2"/>
      <c r="CH2633" s="2"/>
      <c r="CI2633" s="2">
        <v>1</v>
      </c>
      <c r="CJ2633" s="2">
        <v>1</v>
      </c>
      <c r="CK2633" s="2">
        <v>22</v>
      </c>
      <c r="CL2633" s="2" t="s">
        <v>86</v>
      </c>
      <c r="CM2633" s="2"/>
    </row>
    <row r="2634" spans="1:91">
      <c r="A2634" s="2" t="s">
        <v>71</v>
      </c>
      <c r="B2634" s="2" t="s">
        <v>72</v>
      </c>
      <c r="C2634" s="2" t="s">
        <v>73</v>
      </c>
      <c r="D2634" s="2"/>
      <c r="E2634" s="2" t="str">
        <f>"FES1162570990"</f>
        <v>FES1162570990</v>
      </c>
      <c r="F2634" s="3">
        <v>42970</v>
      </c>
      <c r="G2634" s="2">
        <v>201802</v>
      </c>
      <c r="H2634" s="2" t="s">
        <v>74</v>
      </c>
      <c r="I2634" s="2" t="s">
        <v>75</v>
      </c>
      <c r="J2634" s="2" t="s">
        <v>76</v>
      </c>
      <c r="K2634" s="2" t="s">
        <v>77</v>
      </c>
      <c r="L2634" s="2" t="s">
        <v>539</v>
      </c>
      <c r="M2634" s="2" t="s">
        <v>540</v>
      </c>
      <c r="N2634" s="2" t="s">
        <v>1367</v>
      </c>
      <c r="O2634" s="2" t="s">
        <v>100</v>
      </c>
      <c r="P2634" s="2" t="str">
        <f>"2170586669                    "</f>
        <v xml:space="preserve">2170586669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3.13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</v>
      </c>
      <c r="BJ2634" s="2">
        <v>0.2</v>
      </c>
      <c r="BK2634" s="2">
        <v>1</v>
      </c>
      <c r="BL2634" s="2">
        <v>32.380000000000003</v>
      </c>
      <c r="BM2634" s="2">
        <v>4.53</v>
      </c>
      <c r="BN2634" s="2">
        <v>36.909999999999997</v>
      </c>
      <c r="BO2634" s="2">
        <v>36.909999999999997</v>
      </c>
      <c r="BP2634" s="2"/>
      <c r="BQ2634" s="2" t="s">
        <v>288</v>
      </c>
      <c r="BR2634" s="2" t="s">
        <v>84</v>
      </c>
      <c r="BS2634" s="3">
        <v>42971</v>
      </c>
      <c r="BT2634" s="4">
        <v>0.31041666666666667</v>
      </c>
      <c r="BU2634" s="2" t="s">
        <v>3035</v>
      </c>
      <c r="BV2634" s="2" t="s">
        <v>95</v>
      </c>
      <c r="BW2634" s="2"/>
      <c r="BX2634" s="2"/>
      <c r="BY2634" s="2">
        <v>1200</v>
      </c>
      <c r="BZ2634" s="2"/>
      <c r="CA2634" s="2" t="s">
        <v>1368</v>
      </c>
      <c r="CB2634" s="2"/>
      <c r="CC2634" s="2" t="s">
        <v>540</v>
      </c>
      <c r="CD2634" s="2">
        <v>2194</v>
      </c>
      <c r="CE2634" s="2" t="s">
        <v>104</v>
      </c>
      <c r="CF2634" s="5">
        <v>42972</v>
      </c>
      <c r="CG2634" s="2"/>
      <c r="CH2634" s="2"/>
      <c r="CI2634" s="2">
        <v>1</v>
      </c>
      <c r="CJ2634" s="2">
        <v>1</v>
      </c>
      <c r="CK2634" s="2">
        <v>22</v>
      </c>
      <c r="CL2634" s="2" t="s">
        <v>86</v>
      </c>
      <c r="CM2634" s="2"/>
    </row>
    <row r="2635" spans="1:91">
      <c r="A2635" s="2" t="s">
        <v>71</v>
      </c>
      <c r="B2635" s="2" t="s">
        <v>72</v>
      </c>
      <c r="C2635" s="2" t="s">
        <v>73</v>
      </c>
      <c r="D2635" s="2"/>
      <c r="E2635" s="2" t="str">
        <f>"FES1162570767"</f>
        <v>FES1162570767</v>
      </c>
      <c r="F2635" s="3">
        <v>42970</v>
      </c>
      <c r="G2635" s="2">
        <v>201802</v>
      </c>
      <c r="H2635" s="2" t="s">
        <v>74</v>
      </c>
      <c r="I2635" s="2" t="s">
        <v>75</v>
      </c>
      <c r="J2635" s="2" t="s">
        <v>76</v>
      </c>
      <c r="K2635" s="2" t="s">
        <v>77</v>
      </c>
      <c r="L2635" s="2" t="s">
        <v>74</v>
      </c>
      <c r="M2635" s="2" t="s">
        <v>75</v>
      </c>
      <c r="N2635" s="2" t="s">
        <v>407</v>
      </c>
      <c r="O2635" s="2" t="s">
        <v>100</v>
      </c>
      <c r="P2635" s="2" t="str">
        <f>"2170574389                    "</f>
        <v xml:space="preserve">2170574389  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3.13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4</v>
      </c>
      <c r="BJ2635" s="2">
        <v>6.8</v>
      </c>
      <c r="BK2635" s="2">
        <v>7</v>
      </c>
      <c r="BL2635" s="2">
        <v>32.380000000000003</v>
      </c>
      <c r="BM2635" s="2">
        <v>4.53</v>
      </c>
      <c r="BN2635" s="2">
        <v>36.909999999999997</v>
      </c>
      <c r="BO2635" s="2">
        <v>36.909999999999997</v>
      </c>
      <c r="BP2635" s="2"/>
      <c r="BQ2635" s="2" t="s">
        <v>108</v>
      </c>
      <c r="BR2635" s="2" t="s">
        <v>84</v>
      </c>
      <c r="BS2635" s="3">
        <v>42971</v>
      </c>
      <c r="BT2635" s="4">
        <v>0.32291666666666669</v>
      </c>
      <c r="BU2635" s="2" t="s">
        <v>3036</v>
      </c>
      <c r="BV2635" s="2" t="s">
        <v>95</v>
      </c>
      <c r="BW2635" s="2"/>
      <c r="BX2635" s="2"/>
      <c r="BY2635" s="2">
        <v>34216.43</v>
      </c>
      <c r="BZ2635" s="2"/>
      <c r="CA2635" s="2" t="s">
        <v>709</v>
      </c>
      <c r="CB2635" s="2"/>
      <c r="CC2635" s="2" t="s">
        <v>75</v>
      </c>
      <c r="CD2635" s="2">
        <v>1645</v>
      </c>
      <c r="CE2635" s="2" t="s">
        <v>89</v>
      </c>
      <c r="CF2635" s="5">
        <v>42972</v>
      </c>
      <c r="CG2635" s="2"/>
      <c r="CH2635" s="2"/>
      <c r="CI2635" s="2">
        <v>1</v>
      </c>
      <c r="CJ2635" s="2">
        <v>1</v>
      </c>
      <c r="CK2635" s="2">
        <v>22</v>
      </c>
      <c r="CL2635" s="2" t="s">
        <v>86</v>
      </c>
      <c r="CM2635" s="2"/>
    </row>
    <row r="2636" spans="1:91">
      <c r="A2636" s="2" t="s">
        <v>71</v>
      </c>
      <c r="B2636" s="2" t="s">
        <v>72</v>
      </c>
      <c r="C2636" s="2" t="s">
        <v>73</v>
      </c>
      <c r="D2636" s="2"/>
      <c r="E2636" s="2" t="str">
        <f>"FES1162570733"</f>
        <v>FES1162570733</v>
      </c>
      <c r="F2636" s="3">
        <v>42970</v>
      </c>
      <c r="G2636" s="2">
        <v>201802</v>
      </c>
      <c r="H2636" s="2" t="s">
        <v>74</v>
      </c>
      <c r="I2636" s="2" t="s">
        <v>75</v>
      </c>
      <c r="J2636" s="2" t="s">
        <v>76</v>
      </c>
      <c r="K2636" s="2" t="s">
        <v>77</v>
      </c>
      <c r="L2636" s="2" t="s">
        <v>105</v>
      </c>
      <c r="M2636" s="2" t="s">
        <v>106</v>
      </c>
      <c r="N2636" s="2" t="s">
        <v>2197</v>
      </c>
      <c r="O2636" s="2" t="s">
        <v>100</v>
      </c>
      <c r="P2636" s="2" t="str">
        <f>"2170584396                    "</f>
        <v xml:space="preserve">2170584396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4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1</v>
      </c>
      <c r="BI2636" s="2">
        <v>1</v>
      </c>
      <c r="BJ2636" s="2">
        <v>0.2</v>
      </c>
      <c r="BK2636" s="2">
        <v>1</v>
      </c>
      <c r="BL2636" s="2">
        <v>41.44</v>
      </c>
      <c r="BM2636" s="2">
        <v>5.8</v>
      </c>
      <c r="BN2636" s="2">
        <v>47.24</v>
      </c>
      <c r="BO2636" s="2">
        <v>47.24</v>
      </c>
      <c r="BP2636" s="2"/>
      <c r="BQ2636" s="2" t="s">
        <v>288</v>
      </c>
      <c r="BR2636" s="2" t="s">
        <v>84</v>
      </c>
      <c r="BS2636" s="3">
        <v>42971</v>
      </c>
      <c r="BT2636" s="4">
        <v>0.37291666666666662</v>
      </c>
      <c r="BU2636" s="2" t="s">
        <v>3037</v>
      </c>
      <c r="BV2636" s="2" t="s">
        <v>95</v>
      </c>
      <c r="BW2636" s="2"/>
      <c r="BX2636" s="2"/>
      <c r="BY2636" s="2">
        <v>1200</v>
      </c>
      <c r="BZ2636" s="2" t="s">
        <v>27</v>
      </c>
      <c r="CA2636" s="2" t="s">
        <v>654</v>
      </c>
      <c r="CB2636" s="2"/>
      <c r="CC2636" s="2" t="s">
        <v>106</v>
      </c>
      <c r="CD2636" s="2">
        <v>7493</v>
      </c>
      <c r="CE2636" s="2" t="s">
        <v>104</v>
      </c>
      <c r="CF2636" s="5">
        <v>42972</v>
      </c>
      <c r="CG2636" s="2"/>
      <c r="CH2636" s="2"/>
      <c r="CI2636" s="2">
        <v>1</v>
      </c>
      <c r="CJ2636" s="2">
        <v>1</v>
      </c>
      <c r="CK2636" s="2">
        <v>21</v>
      </c>
      <c r="CL2636" s="2" t="s">
        <v>86</v>
      </c>
      <c r="CM2636" s="2"/>
    </row>
    <row r="2637" spans="1:91">
      <c r="A2637" s="2" t="s">
        <v>71</v>
      </c>
      <c r="B2637" s="2" t="s">
        <v>72</v>
      </c>
      <c r="C2637" s="2" t="s">
        <v>73</v>
      </c>
      <c r="D2637" s="2"/>
      <c r="E2637" s="2" t="str">
        <f>"FES1162570952"</f>
        <v>FES1162570952</v>
      </c>
      <c r="F2637" s="3">
        <v>42970</v>
      </c>
      <c r="G2637" s="2">
        <v>201802</v>
      </c>
      <c r="H2637" s="2" t="s">
        <v>74</v>
      </c>
      <c r="I2637" s="2" t="s">
        <v>75</v>
      </c>
      <c r="J2637" s="2" t="s">
        <v>76</v>
      </c>
      <c r="K2637" s="2" t="s">
        <v>77</v>
      </c>
      <c r="L2637" s="2" t="s">
        <v>237</v>
      </c>
      <c r="M2637" s="2" t="s">
        <v>238</v>
      </c>
      <c r="N2637" s="2" t="s">
        <v>669</v>
      </c>
      <c r="O2637" s="2" t="s">
        <v>100</v>
      </c>
      <c r="P2637" s="2" t="str">
        <f>"2170586585                    "</f>
        <v xml:space="preserve">2170586585 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4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1</v>
      </c>
      <c r="BJ2637" s="2">
        <v>0.2</v>
      </c>
      <c r="BK2637" s="2">
        <v>1</v>
      </c>
      <c r="BL2637" s="2">
        <v>41.44</v>
      </c>
      <c r="BM2637" s="2">
        <v>5.8</v>
      </c>
      <c r="BN2637" s="2">
        <v>47.24</v>
      </c>
      <c r="BO2637" s="2">
        <v>47.24</v>
      </c>
      <c r="BP2637" s="2"/>
      <c r="BQ2637" s="2" t="s">
        <v>288</v>
      </c>
      <c r="BR2637" s="2" t="s">
        <v>84</v>
      </c>
      <c r="BS2637" s="3">
        <v>42971</v>
      </c>
      <c r="BT2637" s="4">
        <v>0.39374999999999999</v>
      </c>
      <c r="BU2637" s="2" t="s">
        <v>677</v>
      </c>
      <c r="BV2637" s="2" t="s">
        <v>95</v>
      </c>
      <c r="BW2637" s="2"/>
      <c r="BX2637" s="2"/>
      <c r="BY2637" s="2">
        <v>1200</v>
      </c>
      <c r="BZ2637" s="2"/>
      <c r="CA2637" s="2" t="s">
        <v>672</v>
      </c>
      <c r="CB2637" s="2"/>
      <c r="CC2637" s="2" t="s">
        <v>238</v>
      </c>
      <c r="CD2637" s="2">
        <v>3610</v>
      </c>
      <c r="CE2637" s="2" t="s">
        <v>104</v>
      </c>
      <c r="CF2637" s="5">
        <v>42972</v>
      </c>
      <c r="CG2637" s="2"/>
      <c r="CH2637" s="2"/>
      <c r="CI2637" s="2">
        <v>1</v>
      </c>
      <c r="CJ2637" s="2">
        <v>1</v>
      </c>
      <c r="CK2637" s="2">
        <v>21</v>
      </c>
      <c r="CL2637" s="2" t="s">
        <v>86</v>
      </c>
      <c r="CM2637" s="2"/>
    </row>
    <row r="2638" spans="1:91">
      <c r="A2638" s="2" t="s">
        <v>71</v>
      </c>
      <c r="B2638" s="2" t="s">
        <v>72</v>
      </c>
      <c r="C2638" s="2" t="s">
        <v>73</v>
      </c>
      <c r="D2638" s="2"/>
      <c r="E2638" s="2" t="str">
        <f>"FES1162570901"</f>
        <v>FES1162570901</v>
      </c>
      <c r="F2638" s="3">
        <v>42970</v>
      </c>
      <c r="G2638" s="2">
        <v>201802</v>
      </c>
      <c r="H2638" s="2" t="s">
        <v>74</v>
      </c>
      <c r="I2638" s="2" t="s">
        <v>75</v>
      </c>
      <c r="J2638" s="2" t="s">
        <v>76</v>
      </c>
      <c r="K2638" s="2" t="s">
        <v>77</v>
      </c>
      <c r="L2638" s="2" t="s">
        <v>97</v>
      </c>
      <c r="M2638" s="2" t="s">
        <v>98</v>
      </c>
      <c r="N2638" s="2" t="s">
        <v>1041</v>
      </c>
      <c r="O2638" s="2" t="s">
        <v>100</v>
      </c>
      <c r="P2638" s="2" t="str">
        <f>"2170586578                    "</f>
        <v xml:space="preserve">2170586578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4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1</v>
      </c>
      <c r="BJ2638" s="2">
        <v>0.2</v>
      </c>
      <c r="BK2638" s="2">
        <v>1</v>
      </c>
      <c r="BL2638" s="2">
        <v>41.44</v>
      </c>
      <c r="BM2638" s="2">
        <v>5.8</v>
      </c>
      <c r="BN2638" s="2">
        <v>47.24</v>
      </c>
      <c r="BO2638" s="2">
        <v>47.24</v>
      </c>
      <c r="BP2638" s="2"/>
      <c r="BQ2638" s="2" t="s">
        <v>108</v>
      </c>
      <c r="BR2638" s="2" t="s">
        <v>84</v>
      </c>
      <c r="BS2638" s="3">
        <v>42971</v>
      </c>
      <c r="BT2638" s="4">
        <v>0.30069444444444443</v>
      </c>
      <c r="BU2638" s="2" t="s">
        <v>3027</v>
      </c>
      <c r="BV2638" s="2" t="s">
        <v>95</v>
      </c>
      <c r="BW2638" s="2"/>
      <c r="BX2638" s="2"/>
      <c r="BY2638" s="2">
        <v>1200</v>
      </c>
      <c r="BZ2638" s="2" t="s">
        <v>27</v>
      </c>
      <c r="CA2638" s="2" t="s">
        <v>804</v>
      </c>
      <c r="CB2638" s="2"/>
      <c r="CC2638" s="2" t="s">
        <v>98</v>
      </c>
      <c r="CD2638" s="2">
        <v>6012</v>
      </c>
      <c r="CE2638" s="2" t="s">
        <v>104</v>
      </c>
      <c r="CF2638" s="5">
        <v>42972</v>
      </c>
      <c r="CG2638" s="2"/>
      <c r="CH2638" s="2"/>
      <c r="CI2638" s="2">
        <v>1</v>
      </c>
      <c r="CJ2638" s="2">
        <v>1</v>
      </c>
      <c r="CK2638" s="2">
        <v>21</v>
      </c>
      <c r="CL2638" s="2" t="s">
        <v>86</v>
      </c>
      <c r="CM2638" s="2"/>
    </row>
    <row r="2639" spans="1:91">
      <c r="A2639" s="2" t="s">
        <v>71</v>
      </c>
      <c r="B2639" s="2" t="s">
        <v>72</v>
      </c>
      <c r="C2639" s="2" t="s">
        <v>73</v>
      </c>
      <c r="D2639" s="2"/>
      <c r="E2639" s="2" t="str">
        <f>"FES1162570937"</f>
        <v>FES1162570937</v>
      </c>
      <c r="F2639" s="3">
        <v>42970</v>
      </c>
      <c r="G2639" s="2">
        <v>201802</v>
      </c>
      <c r="H2639" s="2" t="s">
        <v>74</v>
      </c>
      <c r="I2639" s="2" t="s">
        <v>75</v>
      </c>
      <c r="J2639" s="2" t="s">
        <v>76</v>
      </c>
      <c r="K2639" s="2" t="s">
        <v>77</v>
      </c>
      <c r="L2639" s="2" t="s">
        <v>74</v>
      </c>
      <c r="M2639" s="2" t="s">
        <v>75</v>
      </c>
      <c r="N2639" s="2" t="s">
        <v>454</v>
      </c>
      <c r="O2639" s="2" t="s">
        <v>100</v>
      </c>
      <c r="P2639" s="2" t="str">
        <f>"2170586611                    "</f>
        <v xml:space="preserve">2170586611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3.13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2</v>
      </c>
      <c r="BJ2639" s="2">
        <v>0.7</v>
      </c>
      <c r="BK2639" s="2">
        <v>2</v>
      </c>
      <c r="BL2639" s="2">
        <v>32.380000000000003</v>
      </c>
      <c r="BM2639" s="2">
        <v>4.53</v>
      </c>
      <c r="BN2639" s="2">
        <v>36.909999999999997</v>
      </c>
      <c r="BO2639" s="2">
        <v>36.909999999999997</v>
      </c>
      <c r="BP2639" s="2"/>
      <c r="BQ2639" s="2" t="s">
        <v>83</v>
      </c>
      <c r="BR2639" s="2" t="s">
        <v>84</v>
      </c>
      <c r="BS2639" s="3">
        <v>42971</v>
      </c>
      <c r="BT2639" s="4">
        <v>0.33888888888888885</v>
      </c>
      <c r="BU2639" s="2" t="s">
        <v>3038</v>
      </c>
      <c r="BV2639" s="2" t="s">
        <v>95</v>
      </c>
      <c r="BW2639" s="2"/>
      <c r="BX2639" s="2"/>
      <c r="BY2639" s="2">
        <v>3304.48</v>
      </c>
      <c r="BZ2639" s="2"/>
      <c r="CA2639" s="2" t="s">
        <v>328</v>
      </c>
      <c r="CB2639" s="2"/>
      <c r="CC2639" s="2" t="s">
        <v>75</v>
      </c>
      <c r="CD2639" s="2">
        <v>1601</v>
      </c>
      <c r="CE2639" s="2" t="s">
        <v>89</v>
      </c>
      <c r="CF2639" s="5">
        <v>42972</v>
      </c>
      <c r="CG2639" s="2"/>
      <c r="CH2639" s="2"/>
      <c r="CI2639" s="2">
        <v>1</v>
      </c>
      <c r="CJ2639" s="2">
        <v>1</v>
      </c>
      <c r="CK2639" s="2">
        <v>22</v>
      </c>
      <c r="CL2639" s="2" t="s">
        <v>86</v>
      </c>
      <c r="CM2639" s="2"/>
    </row>
    <row r="2640" spans="1:91">
      <c r="A2640" s="2" t="s">
        <v>71</v>
      </c>
      <c r="B2640" s="2" t="s">
        <v>72</v>
      </c>
      <c r="C2640" s="2" t="s">
        <v>73</v>
      </c>
      <c r="D2640" s="2"/>
      <c r="E2640" s="2" t="str">
        <f>"FES1162570896"</f>
        <v>FES1162570896</v>
      </c>
      <c r="F2640" s="3">
        <v>42970</v>
      </c>
      <c r="G2640" s="2">
        <v>201802</v>
      </c>
      <c r="H2640" s="2" t="s">
        <v>74</v>
      </c>
      <c r="I2640" s="2" t="s">
        <v>75</v>
      </c>
      <c r="J2640" s="2" t="s">
        <v>76</v>
      </c>
      <c r="K2640" s="2" t="s">
        <v>77</v>
      </c>
      <c r="L2640" s="2" t="s">
        <v>74</v>
      </c>
      <c r="M2640" s="2" t="s">
        <v>75</v>
      </c>
      <c r="N2640" s="2" t="s">
        <v>2014</v>
      </c>
      <c r="O2640" s="2" t="s">
        <v>100</v>
      </c>
      <c r="P2640" s="2" t="str">
        <f>"2170584570                    "</f>
        <v xml:space="preserve">2170584570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3.13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1</v>
      </c>
      <c r="BJ2640" s="2">
        <v>0.2</v>
      </c>
      <c r="BK2640" s="2">
        <v>1</v>
      </c>
      <c r="BL2640" s="2">
        <v>32.380000000000003</v>
      </c>
      <c r="BM2640" s="2">
        <v>4.53</v>
      </c>
      <c r="BN2640" s="2">
        <v>36.909999999999997</v>
      </c>
      <c r="BO2640" s="2">
        <v>36.909999999999997</v>
      </c>
      <c r="BP2640" s="2"/>
      <c r="BQ2640" s="2" t="s">
        <v>288</v>
      </c>
      <c r="BR2640" s="2" t="s">
        <v>84</v>
      </c>
      <c r="BS2640" s="3">
        <v>42971</v>
      </c>
      <c r="BT2640" s="4">
        <v>0.3215277777777778</v>
      </c>
      <c r="BU2640" s="2" t="s">
        <v>3039</v>
      </c>
      <c r="BV2640" s="2" t="s">
        <v>95</v>
      </c>
      <c r="BW2640" s="2"/>
      <c r="BX2640" s="2"/>
      <c r="BY2640" s="2">
        <v>1200</v>
      </c>
      <c r="BZ2640" s="2" t="s">
        <v>27</v>
      </c>
      <c r="CA2640" s="2" t="s">
        <v>405</v>
      </c>
      <c r="CB2640" s="2"/>
      <c r="CC2640" s="2" t="s">
        <v>75</v>
      </c>
      <c r="CD2640" s="2">
        <v>1666</v>
      </c>
      <c r="CE2640" s="2" t="s">
        <v>104</v>
      </c>
      <c r="CF2640" s="5">
        <v>42972</v>
      </c>
      <c r="CG2640" s="2"/>
      <c r="CH2640" s="2"/>
      <c r="CI2640" s="2">
        <v>1</v>
      </c>
      <c r="CJ2640" s="2">
        <v>1</v>
      </c>
      <c r="CK2640" s="2">
        <v>22</v>
      </c>
      <c r="CL2640" s="2" t="s">
        <v>86</v>
      </c>
      <c r="CM2640" s="2"/>
    </row>
    <row r="2641" spans="1:91">
      <c r="A2641" s="2" t="s">
        <v>71</v>
      </c>
      <c r="B2641" s="2" t="s">
        <v>72</v>
      </c>
      <c r="C2641" s="2" t="s">
        <v>73</v>
      </c>
      <c r="D2641" s="2"/>
      <c r="E2641" s="2" t="str">
        <f>"FES1162571029"</f>
        <v>FES1162571029</v>
      </c>
      <c r="F2641" s="3">
        <v>42970</v>
      </c>
      <c r="G2641" s="2">
        <v>201802</v>
      </c>
      <c r="H2641" s="2" t="s">
        <v>74</v>
      </c>
      <c r="I2641" s="2" t="s">
        <v>75</v>
      </c>
      <c r="J2641" s="2" t="s">
        <v>76</v>
      </c>
      <c r="K2641" s="2" t="s">
        <v>77</v>
      </c>
      <c r="L2641" s="2" t="s">
        <v>268</v>
      </c>
      <c r="M2641" s="2" t="s">
        <v>269</v>
      </c>
      <c r="N2641" s="2" t="s">
        <v>3040</v>
      </c>
      <c r="O2641" s="2" t="s">
        <v>100</v>
      </c>
      <c r="P2641" s="2" t="str">
        <f>"2170586707                    "</f>
        <v xml:space="preserve">2170586707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4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1</v>
      </c>
      <c r="BJ2641" s="2">
        <v>0.2</v>
      </c>
      <c r="BK2641" s="2">
        <v>1</v>
      </c>
      <c r="BL2641" s="2">
        <v>41.44</v>
      </c>
      <c r="BM2641" s="2">
        <v>5.8</v>
      </c>
      <c r="BN2641" s="2">
        <v>47.24</v>
      </c>
      <c r="BO2641" s="2">
        <v>47.24</v>
      </c>
      <c r="BP2641" s="2"/>
      <c r="BQ2641" s="2" t="s">
        <v>108</v>
      </c>
      <c r="BR2641" s="2" t="s">
        <v>84</v>
      </c>
      <c r="BS2641" s="3">
        <v>42971</v>
      </c>
      <c r="BT2641" s="4">
        <v>0.4513888888888889</v>
      </c>
      <c r="BU2641" s="2" t="s">
        <v>3041</v>
      </c>
      <c r="BV2641" s="2" t="s">
        <v>95</v>
      </c>
      <c r="BW2641" s="2"/>
      <c r="BX2641" s="2"/>
      <c r="BY2641" s="2">
        <v>1200</v>
      </c>
      <c r="BZ2641" s="2"/>
      <c r="CA2641" s="2" t="s">
        <v>148</v>
      </c>
      <c r="CB2641" s="2"/>
      <c r="CC2641" s="2" t="s">
        <v>269</v>
      </c>
      <c r="CD2641" s="2">
        <v>200</v>
      </c>
      <c r="CE2641" s="2" t="s">
        <v>104</v>
      </c>
      <c r="CF2641" s="5">
        <v>42972</v>
      </c>
      <c r="CG2641" s="2"/>
      <c r="CH2641" s="2"/>
      <c r="CI2641" s="2">
        <v>1</v>
      </c>
      <c r="CJ2641" s="2">
        <v>1</v>
      </c>
      <c r="CK2641" s="2">
        <v>21</v>
      </c>
      <c r="CL2641" s="2" t="s">
        <v>86</v>
      </c>
      <c r="CM2641" s="2"/>
    </row>
    <row r="2642" spans="1:91">
      <c r="A2642" s="2" t="s">
        <v>71</v>
      </c>
      <c r="B2642" s="2" t="s">
        <v>72</v>
      </c>
      <c r="C2642" s="2" t="s">
        <v>73</v>
      </c>
      <c r="D2642" s="2"/>
      <c r="E2642" s="2" t="str">
        <f>"FES1162570863"</f>
        <v>FES1162570863</v>
      </c>
      <c r="F2642" s="3">
        <v>42970</v>
      </c>
      <c r="G2642" s="2">
        <v>201802</v>
      </c>
      <c r="H2642" s="2" t="s">
        <v>74</v>
      </c>
      <c r="I2642" s="2" t="s">
        <v>75</v>
      </c>
      <c r="J2642" s="2" t="s">
        <v>76</v>
      </c>
      <c r="K2642" s="2" t="s">
        <v>77</v>
      </c>
      <c r="L2642" s="2" t="s">
        <v>74</v>
      </c>
      <c r="M2642" s="2" t="s">
        <v>75</v>
      </c>
      <c r="N2642" s="2" t="s">
        <v>407</v>
      </c>
      <c r="O2642" s="2" t="s">
        <v>100</v>
      </c>
      <c r="P2642" s="2" t="str">
        <f>"2170586573                    "</f>
        <v xml:space="preserve">2170586573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3.13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1</v>
      </c>
      <c r="BJ2642" s="2">
        <v>0.2</v>
      </c>
      <c r="BK2642" s="2">
        <v>1</v>
      </c>
      <c r="BL2642" s="2">
        <v>32.380000000000003</v>
      </c>
      <c r="BM2642" s="2">
        <v>4.53</v>
      </c>
      <c r="BN2642" s="2">
        <v>36.909999999999997</v>
      </c>
      <c r="BO2642" s="2">
        <v>36.909999999999997</v>
      </c>
      <c r="BP2642" s="2"/>
      <c r="BQ2642" s="2" t="s">
        <v>288</v>
      </c>
      <c r="BR2642" s="2" t="s">
        <v>84</v>
      </c>
      <c r="BS2642" s="3">
        <v>42971</v>
      </c>
      <c r="BT2642" s="4">
        <v>0.32291666666666669</v>
      </c>
      <c r="BU2642" s="2" t="s">
        <v>3036</v>
      </c>
      <c r="BV2642" s="2" t="s">
        <v>95</v>
      </c>
      <c r="BW2642" s="2"/>
      <c r="BX2642" s="2"/>
      <c r="BY2642" s="2">
        <v>1200</v>
      </c>
      <c r="BZ2642" s="2" t="s">
        <v>27</v>
      </c>
      <c r="CA2642" s="2" t="s">
        <v>709</v>
      </c>
      <c r="CB2642" s="2"/>
      <c r="CC2642" s="2" t="s">
        <v>75</v>
      </c>
      <c r="CD2642" s="2">
        <v>1645</v>
      </c>
      <c r="CE2642" s="2" t="s">
        <v>104</v>
      </c>
      <c r="CF2642" s="5">
        <v>42972</v>
      </c>
      <c r="CG2642" s="2"/>
      <c r="CH2642" s="2"/>
      <c r="CI2642" s="2">
        <v>1</v>
      </c>
      <c r="CJ2642" s="2">
        <v>1</v>
      </c>
      <c r="CK2642" s="2">
        <v>22</v>
      </c>
      <c r="CL2642" s="2" t="s">
        <v>86</v>
      </c>
      <c r="CM2642" s="2"/>
    </row>
    <row r="2643" spans="1:91">
      <c r="A2643" s="2" t="s">
        <v>71</v>
      </c>
      <c r="B2643" s="2" t="s">
        <v>72</v>
      </c>
      <c r="C2643" s="2" t="s">
        <v>73</v>
      </c>
      <c r="D2643" s="2"/>
      <c r="E2643" s="2" t="str">
        <f>"FES1162571065"</f>
        <v>FES1162571065</v>
      </c>
      <c r="F2643" s="3">
        <v>42970</v>
      </c>
      <c r="G2643" s="2">
        <v>201802</v>
      </c>
      <c r="H2643" s="2" t="s">
        <v>74</v>
      </c>
      <c r="I2643" s="2" t="s">
        <v>75</v>
      </c>
      <c r="J2643" s="2" t="s">
        <v>76</v>
      </c>
      <c r="K2643" s="2" t="s">
        <v>77</v>
      </c>
      <c r="L2643" s="2" t="s">
        <v>105</v>
      </c>
      <c r="M2643" s="2" t="s">
        <v>106</v>
      </c>
      <c r="N2643" s="2" t="s">
        <v>2312</v>
      </c>
      <c r="O2643" s="2" t="s">
        <v>100</v>
      </c>
      <c r="P2643" s="2" t="str">
        <f>"2170584561                    "</f>
        <v xml:space="preserve">2170584561 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4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1</v>
      </c>
      <c r="BJ2643" s="2">
        <v>0.2</v>
      </c>
      <c r="BK2643" s="2">
        <v>1</v>
      </c>
      <c r="BL2643" s="2">
        <v>41.44</v>
      </c>
      <c r="BM2643" s="2">
        <v>5.8</v>
      </c>
      <c r="BN2643" s="2">
        <v>47.24</v>
      </c>
      <c r="BO2643" s="2">
        <v>47.24</v>
      </c>
      <c r="BP2643" s="2"/>
      <c r="BQ2643" s="2" t="s">
        <v>83</v>
      </c>
      <c r="BR2643" s="2" t="s">
        <v>84</v>
      </c>
      <c r="BS2643" s="3">
        <v>42972</v>
      </c>
      <c r="BT2643" s="4">
        <v>0.3743055555555555</v>
      </c>
      <c r="BU2643" s="2" t="s">
        <v>3042</v>
      </c>
      <c r="BV2643" s="2" t="s">
        <v>86</v>
      </c>
      <c r="BW2643" s="2" t="s">
        <v>124</v>
      </c>
      <c r="BX2643" s="2" t="s">
        <v>116</v>
      </c>
      <c r="BY2643" s="2">
        <v>1200</v>
      </c>
      <c r="BZ2643" s="2"/>
      <c r="CA2643" s="2" t="s">
        <v>654</v>
      </c>
      <c r="CB2643" s="2"/>
      <c r="CC2643" s="2" t="s">
        <v>106</v>
      </c>
      <c r="CD2643" s="2">
        <v>7493</v>
      </c>
      <c r="CE2643" s="2" t="s">
        <v>104</v>
      </c>
      <c r="CF2643" s="5">
        <v>42975</v>
      </c>
      <c r="CG2643" s="2"/>
      <c r="CH2643" s="2"/>
      <c r="CI2643" s="2">
        <v>1</v>
      </c>
      <c r="CJ2643" s="2">
        <v>2</v>
      </c>
      <c r="CK2643" s="2">
        <v>21</v>
      </c>
      <c r="CL2643" s="2" t="s">
        <v>86</v>
      </c>
      <c r="CM2643" s="2"/>
    </row>
    <row r="2644" spans="1:91">
      <c r="A2644" s="2" t="s">
        <v>71</v>
      </c>
      <c r="B2644" s="2" t="s">
        <v>72</v>
      </c>
      <c r="C2644" s="2" t="s">
        <v>73</v>
      </c>
      <c r="D2644" s="2"/>
      <c r="E2644" s="2" t="str">
        <f>"FES1162570812"</f>
        <v>FES1162570812</v>
      </c>
      <c r="F2644" s="3">
        <v>42970</v>
      </c>
      <c r="G2644" s="2">
        <v>201802</v>
      </c>
      <c r="H2644" s="2" t="s">
        <v>74</v>
      </c>
      <c r="I2644" s="2" t="s">
        <v>75</v>
      </c>
      <c r="J2644" s="2" t="s">
        <v>76</v>
      </c>
      <c r="K2644" s="2" t="s">
        <v>77</v>
      </c>
      <c r="L2644" s="2" t="s">
        <v>170</v>
      </c>
      <c r="M2644" s="2" t="s">
        <v>171</v>
      </c>
      <c r="N2644" s="2" t="s">
        <v>1894</v>
      </c>
      <c r="O2644" s="2" t="s">
        <v>100</v>
      </c>
      <c r="P2644" s="2" t="str">
        <f>"2170584395                    "</f>
        <v xml:space="preserve">2170584395 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3.13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1</v>
      </c>
      <c r="BI2644" s="2">
        <v>1</v>
      </c>
      <c r="BJ2644" s="2">
        <v>0.2</v>
      </c>
      <c r="BK2644" s="2">
        <v>1</v>
      </c>
      <c r="BL2644" s="2">
        <v>32.380000000000003</v>
      </c>
      <c r="BM2644" s="2">
        <v>4.53</v>
      </c>
      <c r="BN2644" s="2">
        <v>36.909999999999997</v>
      </c>
      <c r="BO2644" s="2">
        <v>36.909999999999997</v>
      </c>
      <c r="BP2644" s="2"/>
      <c r="BQ2644" s="2" t="s">
        <v>288</v>
      </c>
      <c r="BR2644" s="2" t="s">
        <v>84</v>
      </c>
      <c r="BS2644" s="3">
        <v>42971</v>
      </c>
      <c r="BT2644" s="4">
        <v>0.3</v>
      </c>
      <c r="BU2644" s="2" t="s">
        <v>1360</v>
      </c>
      <c r="BV2644" s="2" t="s">
        <v>95</v>
      </c>
      <c r="BW2644" s="2"/>
      <c r="BX2644" s="2"/>
      <c r="BY2644" s="2">
        <v>1200</v>
      </c>
      <c r="BZ2644" s="2" t="s">
        <v>27</v>
      </c>
      <c r="CA2644" s="2" t="s">
        <v>1617</v>
      </c>
      <c r="CB2644" s="2"/>
      <c r="CC2644" s="2" t="s">
        <v>171</v>
      </c>
      <c r="CD2644" s="2">
        <v>1401</v>
      </c>
      <c r="CE2644" s="2" t="s">
        <v>104</v>
      </c>
      <c r="CF2644" s="5">
        <v>42972</v>
      </c>
      <c r="CG2644" s="2"/>
      <c r="CH2644" s="2"/>
      <c r="CI2644" s="2">
        <v>1</v>
      </c>
      <c r="CJ2644" s="2">
        <v>1</v>
      </c>
      <c r="CK2644" s="2">
        <v>22</v>
      </c>
      <c r="CL2644" s="2" t="s">
        <v>86</v>
      </c>
      <c r="CM2644" s="2"/>
    </row>
    <row r="2645" spans="1:91">
      <c r="A2645" s="2" t="s">
        <v>71</v>
      </c>
      <c r="B2645" s="2" t="s">
        <v>72</v>
      </c>
      <c r="C2645" s="2" t="s">
        <v>73</v>
      </c>
      <c r="D2645" s="2"/>
      <c r="E2645" s="2" t="str">
        <f>"FES1162571021"</f>
        <v>FES1162571021</v>
      </c>
      <c r="F2645" s="3">
        <v>42970</v>
      </c>
      <c r="G2645" s="2">
        <v>201802</v>
      </c>
      <c r="H2645" s="2" t="s">
        <v>74</v>
      </c>
      <c r="I2645" s="2" t="s">
        <v>75</v>
      </c>
      <c r="J2645" s="2" t="s">
        <v>76</v>
      </c>
      <c r="K2645" s="2" t="s">
        <v>77</v>
      </c>
      <c r="L2645" s="2" t="s">
        <v>97</v>
      </c>
      <c r="M2645" s="2" t="s">
        <v>98</v>
      </c>
      <c r="N2645" s="2" t="s">
        <v>397</v>
      </c>
      <c r="O2645" s="2" t="s">
        <v>100</v>
      </c>
      <c r="P2645" s="2" t="str">
        <f>"2170586698                    "</f>
        <v xml:space="preserve">2170586698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4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1</v>
      </c>
      <c r="BJ2645" s="2">
        <v>0.2</v>
      </c>
      <c r="BK2645" s="2">
        <v>1</v>
      </c>
      <c r="BL2645" s="2">
        <v>41.44</v>
      </c>
      <c r="BM2645" s="2">
        <v>5.8</v>
      </c>
      <c r="BN2645" s="2">
        <v>47.24</v>
      </c>
      <c r="BO2645" s="2">
        <v>47.24</v>
      </c>
      <c r="BP2645" s="2"/>
      <c r="BQ2645" s="2" t="s">
        <v>83</v>
      </c>
      <c r="BR2645" s="2" t="s">
        <v>84</v>
      </c>
      <c r="BS2645" s="3">
        <v>42971</v>
      </c>
      <c r="BT2645" s="4">
        <v>0.3</v>
      </c>
      <c r="BU2645" s="2" t="s">
        <v>2614</v>
      </c>
      <c r="BV2645" s="2" t="s">
        <v>95</v>
      </c>
      <c r="BW2645" s="2"/>
      <c r="BX2645" s="2"/>
      <c r="BY2645" s="2">
        <v>1200</v>
      </c>
      <c r="BZ2645" s="2"/>
      <c r="CA2645" s="2" t="s">
        <v>213</v>
      </c>
      <c r="CB2645" s="2"/>
      <c r="CC2645" s="2" t="s">
        <v>98</v>
      </c>
      <c r="CD2645" s="2">
        <v>6020</v>
      </c>
      <c r="CE2645" s="2" t="s">
        <v>104</v>
      </c>
      <c r="CF2645" s="5">
        <v>42972</v>
      </c>
      <c r="CG2645" s="2"/>
      <c r="CH2645" s="2"/>
      <c r="CI2645" s="2">
        <v>1</v>
      </c>
      <c r="CJ2645" s="2">
        <v>1</v>
      </c>
      <c r="CK2645" s="2">
        <v>21</v>
      </c>
      <c r="CL2645" s="2" t="s">
        <v>86</v>
      </c>
      <c r="CM2645" s="2"/>
    </row>
    <row r="2646" spans="1:91">
      <c r="A2646" s="2" t="s">
        <v>71</v>
      </c>
      <c r="B2646" s="2" t="s">
        <v>72</v>
      </c>
      <c r="C2646" s="2" t="s">
        <v>73</v>
      </c>
      <c r="D2646" s="2"/>
      <c r="E2646" s="2" t="str">
        <f>"FES1162570907"</f>
        <v>FES1162570907</v>
      </c>
      <c r="F2646" s="3">
        <v>42970</v>
      </c>
      <c r="G2646" s="2">
        <v>201802</v>
      </c>
      <c r="H2646" s="2" t="s">
        <v>74</v>
      </c>
      <c r="I2646" s="2" t="s">
        <v>75</v>
      </c>
      <c r="J2646" s="2" t="s">
        <v>76</v>
      </c>
      <c r="K2646" s="2" t="s">
        <v>77</v>
      </c>
      <c r="L2646" s="2" t="s">
        <v>105</v>
      </c>
      <c r="M2646" s="2" t="s">
        <v>106</v>
      </c>
      <c r="N2646" s="2" t="s">
        <v>644</v>
      </c>
      <c r="O2646" s="2" t="s">
        <v>100</v>
      </c>
      <c r="P2646" s="2" t="str">
        <f>"2170586586                    "</f>
        <v xml:space="preserve">2170586586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4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1</v>
      </c>
      <c r="BJ2646" s="2">
        <v>0.2</v>
      </c>
      <c r="BK2646" s="2">
        <v>1</v>
      </c>
      <c r="BL2646" s="2">
        <v>41.44</v>
      </c>
      <c r="BM2646" s="2">
        <v>5.8</v>
      </c>
      <c r="BN2646" s="2">
        <v>47.24</v>
      </c>
      <c r="BO2646" s="2">
        <v>47.24</v>
      </c>
      <c r="BP2646" s="2"/>
      <c r="BQ2646" s="2" t="s">
        <v>108</v>
      </c>
      <c r="BR2646" s="2" t="s">
        <v>84</v>
      </c>
      <c r="BS2646" s="3">
        <v>42971</v>
      </c>
      <c r="BT2646" s="4">
        <v>0.43888888888888888</v>
      </c>
      <c r="BU2646" s="2" t="s">
        <v>796</v>
      </c>
      <c r="BV2646" s="2" t="s">
        <v>95</v>
      </c>
      <c r="BW2646" s="2"/>
      <c r="BX2646" s="2"/>
      <c r="BY2646" s="2">
        <v>1200</v>
      </c>
      <c r="BZ2646" s="2" t="s">
        <v>27</v>
      </c>
      <c r="CA2646" s="2" t="s">
        <v>112</v>
      </c>
      <c r="CB2646" s="2"/>
      <c r="CC2646" s="2" t="s">
        <v>106</v>
      </c>
      <c r="CD2646" s="2">
        <v>7441</v>
      </c>
      <c r="CE2646" s="2" t="s">
        <v>104</v>
      </c>
      <c r="CF2646" s="5">
        <v>42972</v>
      </c>
      <c r="CG2646" s="2"/>
      <c r="CH2646" s="2"/>
      <c r="CI2646" s="2">
        <v>1</v>
      </c>
      <c r="CJ2646" s="2">
        <v>1</v>
      </c>
      <c r="CK2646" s="2">
        <v>21</v>
      </c>
      <c r="CL2646" s="2" t="s">
        <v>86</v>
      </c>
      <c r="CM2646" s="2"/>
    </row>
    <row r="2647" spans="1:91">
      <c r="A2647" s="2" t="s">
        <v>71</v>
      </c>
      <c r="B2647" s="2" t="s">
        <v>72</v>
      </c>
      <c r="C2647" s="2" t="s">
        <v>73</v>
      </c>
      <c r="D2647" s="2"/>
      <c r="E2647" s="2" t="str">
        <f>"FES1162571020"</f>
        <v>FES1162571020</v>
      </c>
      <c r="F2647" s="3">
        <v>42970</v>
      </c>
      <c r="G2647" s="2">
        <v>201802</v>
      </c>
      <c r="H2647" s="2" t="s">
        <v>74</v>
      </c>
      <c r="I2647" s="2" t="s">
        <v>75</v>
      </c>
      <c r="J2647" s="2" t="s">
        <v>76</v>
      </c>
      <c r="K2647" s="2" t="s">
        <v>77</v>
      </c>
      <c r="L2647" s="2" t="s">
        <v>237</v>
      </c>
      <c r="M2647" s="2" t="s">
        <v>238</v>
      </c>
      <c r="N2647" s="2" t="s">
        <v>2510</v>
      </c>
      <c r="O2647" s="2" t="s">
        <v>100</v>
      </c>
      <c r="P2647" s="2" t="str">
        <f>"2170586697                    "</f>
        <v xml:space="preserve">2170586697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4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1</v>
      </c>
      <c r="BI2647" s="2">
        <v>2</v>
      </c>
      <c r="BJ2647" s="2">
        <v>0.2</v>
      </c>
      <c r="BK2647" s="2">
        <v>2</v>
      </c>
      <c r="BL2647" s="2">
        <v>41.44</v>
      </c>
      <c r="BM2647" s="2">
        <v>5.8</v>
      </c>
      <c r="BN2647" s="2">
        <v>47.24</v>
      </c>
      <c r="BO2647" s="2">
        <v>47.24</v>
      </c>
      <c r="BP2647" s="2"/>
      <c r="BQ2647" s="2" t="s">
        <v>83</v>
      </c>
      <c r="BR2647" s="2" t="s">
        <v>84</v>
      </c>
      <c r="BS2647" s="3">
        <v>42971</v>
      </c>
      <c r="BT2647" s="4">
        <v>0.38680555555555557</v>
      </c>
      <c r="BU2647" s="2" t="s">
        <v>3019</v>
      </c>
      <c r="BV2647" s="2" t="s">
        <v>95</v>
      </c>
      <c r="BW2647" s="2"/>
      <c r="BX2647" s="2"/>
      <c r="BY2647" s="2">
        <v>1200</v>
      </c>
      <c r="BZ2647" s="2"/>
      <c r="CA2647" s="2" t="s">
        <v>401</v>
      </c>
      <c r="CB2647" s="2"/>
      <c r="CC2647" s="2" t="s">
        <v>238</v>
      </c>
      <c r="CD2647" s="2">
        <v>3610</v>
      </c>
      <c r="CE2647" s="2" t="s">
        <v>104</v>
      </c>
      <c r="CF2647" s="5">
        <v>42972</v>
      </c>
      <c r="CG2647" s="2"/>
      <c r="CH2647" s="2"/>
      <c r="CI2647" s="2">
        <v>1</v>
      </c>
      <c r="CJ2647" s="2">
        <v>1</v>
      </c>
      <c r="CK2647" s="2">
        <v>21</v>
      </c>
      <c r="CL2647" s="2" t="s">
        <v>86</v>
      </c>
      <c r="CM2647" s="2"/>
    </row>
    <row r="2648" spans="1:91">
      <c r="A2648" s="2" t="s">
        <v>71</v>
      </c>
      <c r="B2648" s="2" t="s">
        <v>72</v>
      </c>
      <c r="C2648" s="2" t="s">
        <v>73</v>
      </c>
      <c r="D2648" s="2"/>
      <c r="E2648" s="2" t="str">
        <f>"FES1162571062"</f>
        <v>FES1162571062</v>
      </c>
      <c r="F2648" s="3">
        <v>42970</v>
      </c>
      <c r="G2648" s="2">
        <v>201802</v>
      </c>
      <c r="H2648" s="2" t="s">
        <v>74</v>
      </c>
      <c r="I2648" s="2" t="s">
        <v>75</v>
      </c>
      <c r="J2648" s="2" t="s">
        <v>76</v>
      </c>
      <c r="K2648" s="2" t="s">
        <v>77</v>
      </c>
      <c r="L2648" s="2" t="s">
        <v>105</v>
      </c>
      <c r="M2648" s="2" t="s">
        <v>106</v>
      </c>
      <c r="N2648" s="2" t="s">
        <v>397</v>
      </c>
      <c r="O2648" s="2" t="s">
        <v>100</v>
      </c>
      <c r="P2648" s="2" t="str">
        <f>"2170586739                    "</f>
        <v xml:space="preserve">2170586739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4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1</v>
      </c>
      <c r="BI2648" s="2">
        <v>1</v>
      </c>
      <c r="BJ2648" s="2">
        <v>0.2</v>
      </c>
      <c r="BK2648" s="2">
        <v>1</v>
      </c>
      <c r="BL2648" s="2">
        <v>41.44</v>
      </c>
      <c r="BM2648" s="2">
        <v>5.8</v>
      </c>
      <c r="BN2648" s="2">
        <v>47.24</v>
      </c>
      <c r="BO2648" s="2">
        <v>47.24</v>
      </c>
      <c r="BP2648" s="2"/>
      <c r="BQ2648" s="2" t="s">
        <v>83</v>
      </c>
      <c r="BR2648" s="2" t="s">
        <v>84</v>
      </c>
      <c r="BS2648" s="3">
        <v>42971</v>
      </c>
      <c r="BT2648" s="4">
        <v>0.37222222222222223</v>
      </c>
      <c r="BU2648" s="2" t="s">
        <v>3043</v>
      </c>
      <c r="BV2648" s="2" t="s">
        <v>95</v>
      </c>
      <c r="BW2648" s="2"/>
      <c r="BX2648" s="2"/>
      <c r="BY2648" s="2">
        <v>1200</v>
      </c>
      <c r="BZ2648" s="2"/>
      <c r="CA2648" s="2" t="s">
        <v>856</v>
      </c>
      <c r="CB2648" s="2"/>
      <c r="CC2648" s="2" t="s">
        <v>106</v>
      </c>
      <c r="CD2648" s="2">
        <v>7405</v>
      </c>
      <c r="CE2648" s="2" t="s">
        <v>104</v>
      </c>
      <c r="CF2648" s="5">
        <v>42972</v>
      </c>
      <c r="CG2648" s="2"/>
      <c r="CH2648" s="2"/>
      <c r="CI2648" s="2">
        <v>1</v>
      </c>
      <c r="CJ2648" s="2">
        <v>1</v>
      </c>
      <c r="CK2648" s="2">
        <v>21</v>
      </c>
      <c r="CL2648" s="2" t="s">
        <v>86</v>
      </c>
      <c r="CM2648" s="2"/>
    </row>
    <row r="2649" spans="1:91">
      <c r="A2649" s="2" t="s">
        <v>71</v>
      </c>
      <c r="B2649" s="2" t="s">
        <v>72</v>
      </c>
      <c r="C2649" s="2" t="s">
        <v>73</v>
      </c>
      <c r="D2649" s="2"/>
      <c r="E2649" s="2" t="str">
        <f>"FES1162570916"</f>
        <v>FES1162570916</v>
      </c>
      <c r="F2649" s="3">
        <v>42970</v>
      </c>
      <c r="G2649" s="2">
        <v>201802</v>
      </c>
      <c r="H2649" s="2" t="s">
        <v>74</v>
      </c>
      <c r="I2649" s="2" t="s">
        <v>75</v>
      </c>
      <c r="J2649" s="2" t="s">
        <v>76</v>
      </c>
      <c r="K2649" s="2" t="s">
        <v>77</v>
      </c>
      <c r="L2649" s="2" t="s">
        <v>97</v>
      </c>
      <c r="M2649" s="2" t="s">
        <v>98</v>
      </c>
      <c r="N2649" s="2" t="s">
        <v>1041</v>
      </c>
      <c r="O2649" s="2" t="s">
        <v>100</v>
      </c>
      <c r="P2649" s="2" t="str">
        <f>"2170586589                    "</f>
        <v xml:space="preserve">2170586589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4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1</v>
      </c>
      <c r="BJ2649" s="2">
        <v>0.2</v>
      </c>
      <c r="BK2649" s="2">
        <v>1</v>
      </c>
      <c r="BL2649" s="2">
        <v>41.44</v>
      </c>
      <c r="BM2649" s="2">
        <v>5.8</v>
      </c>
      <c r="BN2649" s="2">
        <v>47.24</v>
      </c>
      <c r="BO2649" s="2">
        <v>47.24</v>
      </c>
      <c r="BP2649" s="2"/>
      <c r="BQ2649" s="2" t="s">
        <v>108</v>
      </c>
      <c r="BR2649" s="2" t="s">
        <v>84</v>
      </c>
      <c r="BS2649" s="3">
        <v>42971</v>
      </c>
      <c r="BT2649" s="4">
        <v>0.30069444444444443</v>
      </c>
      <c r="BU2649" s="2" t="s">
        <v>3027</v>
      </c>
      <c r="BV2649" s="2" t="s">
        <v>95</v>
      </c>
      <c r="BW2649" s="2"/>
      <c r="BX2649" s="2"/>
      <c r="BY2649" s="2">
        <v>1200</v>
      </c>
      <c r="BZ2649" s="2" t="s">
        <v>27</v>
      </c>
      <c r="CA2649" s="2" t="s">
        <v>804</v>
      </c>
      <c r="CB2649" s="2"/>
      <c r="CC2649" s="2" t="s">
        <v>98</v>
      </c>
      <c r="CD2649" s="2">
        <v>6012</v>
      </c>
      <c r="CE2649" s="2" t="s">
        <v>104</v>
      </c>
      <c r="CF2649" s="5">
        <v>42972</v>
      </c>
      <c r="CG2649" s="2"/>
      <c r="CH2649" s="2"/>
      <c r="CI2649" s="2">
        <v>1</v>
      </c>
      <c r="CJ2649" s="2">
        <v>1</v>
      </c>
      <c r="CK2649" s="2">
        <v>21</v>
      </c>
      <c r="CL2649" s="2" t="s">
        <v>86</v>
      </c>
      <c r="CM2649" s="2"/>
    </row>
    <row r="2650" spans="1:91">
      <c r="A2650" s="2" t="s">
        <v>71</v>
      </c>
      <c r="B2650" s="2" t="s">
        <v>72</v>
      </c>
      <c r="C2650" s="2" t="s">
        <v>73</v>
      </c>
      <c r="D2650" s="2"/>
      <c r="E2650" s="2" t="str">
        <f>"FES1162571019"</f>
        <v>FES1162571019</v>
      </c>
      <c r="F2650" s="3">
        <v>42970</v>
      </c>
      <c r="G2650" s="2">
        <v>201802</v>
      </c>
      <c r="H2650" s="2" t="s">
        <v>74</v>
      </c>
      <c r="I2650" s="2" t="s">
        <v>75</v>
      </c>
      <c r="J2650" s="2" t="s">
        <v>76</v>
      </c>
      <c r="K2650" s="2" t="s">
        <v>77</v>
      </c>
      <c r="L2650" s="2" t="s">
        <v>97</v>
      </c>
      <c r="M2650" s="2" t="s">
        <v>98</v>
      </c>
      <c r="N2650" s="2" t="s">
        <v>119</v>
      </c>
      <c r="O2650" s="2" t="s">
        <v>100</v>
      </c>
      <c r="P2650" s="2" t="str">
        <f>"2170586696                    "</f>
        <v xml:space="preserve">2170586696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4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1</v>
      </c>
      <c r="BI2650" s="2">
        <v>1</v>
      </c>
      <c r="BJ2650" s="2">
        <v>0.2</v>
      </c>
      <c r="BK2650" s="2">
        <v>1</v>
      </c>
      <c r="BL2650" s="2">
        <v>41.44</v>
      </c>
      <c r="BM2650" s="2">
        <v>5.8</v>
      </c>
      <c r="BN2650" s="2">
        <v>47.24</v>
      </c>
      <c r="BO2650" s="2">
        <v>47.24</v>
      </c>
      <c r="BP2650" s="2"/>
      <c r="BQ2650" s="2" t="s">
        <v>108</v>
      </c>
      <c r="BR2650" s="2" t="s">
        <v>84</v>
      </c>
      <c r="BS2650" s="3">
        <v>42971</v>
      </c>
      <c r="BT2650" s="4">
        <v>0.32847222222222222</v>
      </c>
      <c r="BU2650" s="2" t="s">
        <v>3044</v>
      </c>
      <c r="BV2650" s="2" t="s">
        <v>95</v>
      </c>
      <c r="BW2650" s="2"/>
      <c r="BX2650" s="2"/>
      <c r="BY2650" s="2">
        <v>1200</v>
      </c>
      <c r="BZ2650" s="2"/>
      <c r="CA2650" s="2" t="s">
        <v>213</v>
      </c>
      <c r="CB2650" s="2"/>
      <c r="CC2650" s="2" t="s">
        <v>98</v>
      </c>
      <c r="CD2650" s="2">
        <v>6001</v>
      </c>
      <c r="CE2650" s="2" t="s">
        <v>104</v>
      </c>
      <c r="CF2650" s="5">
        <v>42972</v>
      </c>
      <c r="CG2650" s="2"/>
      <c r="CH2650" s="2"/>
      <c r="CI2650" s="2">
        <v>1</v>
      </c>
      <c r="CJ2650" s="2">
        <v>1</v>
      </c>
      <c r="CK2650" s="2">
        <v>21</v>
      </c>
      <c r="CL2650" s="2" t="s">
        <v>86</v>
      </c>
      <c r="CM2650" s="2"/>
    </row>
    <row r="2651" spans="1:91">
      <c r="A2651" s="2" t="s">
        <v>71</v>
      </c>
      <c r="B2651" s="2" t="s">
        <v>72</v>
      </c>
      <c r="C2651" s="2" t="s">
        <v>73</v>
      </c>
      <c r="D2651" s="2"/>
      <c r="E2651" s="2" t="str">
        <f>"FES1162570727"</f>
        <v>FES1162570727</v>
      </c>
      <c r="F2651" s="3">
        <v>42970</v>
      </c>
      <c r="G2651" s="2">
        <v>201802</v>
      </c>
      <c r="H2651" s="2" t="s">
        <v>74</v>
      </c>
      <c r="I2651" s="2" t="s">
        <v>75</v>
      </c>
      <c r="J2651" s="2" t="s">
        <v>76</v>
      </c>
      <c r="K2651" s="2" t="s">
        <v>77</v>
      </c>
      <c r="L2651" s="2" t="s">
        <v>417</v>
      </c>
      <c r="M2651" s="2" t="s">
        <v>417</v>
      </c>
      <c r="N2651" s="2" t="s">
        <v>3045</v>
      </c>
      <c r="O2651" s="2" t="s">
        <v>100</v>
      </c>
      <c r="P2651" s="2" t="str">
        <f>"2170583834                    "</f>
        <v xml:space="preserve">2170583834   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4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1</v>
      </c>
      <c r="BJ2651" s="2">
        <v>0.2</v>
      </c>
      <c r="BK2651" s="2">
        <v>1</v>
      </c>
      <c r="BL2651" s="2">
        <v>41.44</v>
      </c>
      <c r="BM2651" s="2">
        <v>5.8</v>
      </c>
      <c r="BN2651" s="2">
        <v>47.24</v>
      </c>
      <c r="BO2651" s="2">
        <v>47.24</v>
      </c>
      <c r="BP2651" s="2"/>
      <c r="BQ2651" s="2" t="s">
        <v>108</v>
      </c>
      <c r="BR2651" s="2" t="s">
        <v>84</v>
      </c>
      <c r="BS2651" s="3">
        <v>42971</v>
      </c>
      <c r="BT2651" s="4">
        <v>0.35972222222222222</v>
      </c>
      <c r="BU2651" s="2" t="s">
        <v>3046</v>
      </c>
      <c r="BV2651" s="2" t="s">
        <v>95</v>
      </c>
      <c r="BW2651" s="2"/>
      <c r="BX2651" s="2"/>
      <c r="BY2651" s="2">
        <v>1200</v>
      </c>
      <c r="BZ2651" s="2" t="s">
        <v>27</v>
      </c>
      <c r="CA2651" s="2" t="s">
        <v>420</v>
      </c>
      <c r="CB2651" s="2"/>
      <c r="CC2651" s="2" t="s">
        <v>417</v>
      </c>
      <c r="CD2651" s="2">
        <v>7646</v>
      </c>
      <c r="CE2651" s="2" t="s">
        <v>104</v>
      </c>
      <c r="CF2651" s="5">
        <v>42972</v>
      </c>
      <c r="CG2651" s="2"/>
      <c r="CH2651" s="2"/>
      <c r="CI2651" s="2">
        <v>1</v>
      </c>
      <c r="CJ2651" s="2">
        <v>1</v>
      </c>
      <c r="CK2651" s="2">
        <v>21</v>
      </c>
      <c r="CL2651" s="2" t="s">
        <v>86</v>
      </c>
      <c r="CM2651" s="2"/>
    </row>
    <row r="2652" spans="1:91">
      <c r="A2652" s="2" t="s">
        <v>71</v>
      </c>
      <c r="B2652" s="2" t="s">
        <v>72</v>
      </c>
      <c r="C2652" s="2" t="s">
        <v>73</v>
      </c>
      <c r="D2652" s="2"/>
      <c r="E2652" s="2" t="str">
        <f>"FES1162570909"</f>
        <v>FES1162570909</v>
      </c>
      <c r="F2652" s="3">
        <v>42970</v>
      </c>
      <c r="G2652" s="2">
        <v>201802</v>
      </c>
      <c r="H2652" s="2" t="s">
        <v>74</v>
      </c>
      <c r="I2652" s="2" t="s">
        <v>75</v>
      </c>
      <c r="J2652" s="2" t="s">
        <v>76</v>
      </c>
      <c r="K2652" s="2" t="s">
        <v>77</v>
      </c>
      <c r="L2652" s="2" t="s">
        <v>97</v>
      </c>
      <c r="M2652" s="2" t="s">
        <v>98</v>
      </c>
      <c r="N2652" s="2" t="s">
        <v>1041</v>
      </c>
      <c r="O2652" s="2" t="s">
        <v>100</v>
      </c>
      <c r="P2652" s="2" t="str">
        <f>"2170586588                    "</f>
        <v xml:space="preserve">2170586588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4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1</v>
      </c>
      <c r="BJ2652" s="2">
        <v>0.2</v>
      </c>
      <c r="BK2652" s="2">
        <v>1</v>
      </c>
      <c r="BL2652" s="2">
        <v>41.44</v>
      </c>
      <c r="BM2652" s="2">
        <v>5.8</v>
      </c>
      <c r="BN2652" s="2">
        <v>47.24</v>
      </c>
      <c r="BO2652" s="2">
        <v>47.24</v>
      </c>
      <c r="BP2652" s="2"/>
      <c r="BQ2652" s="2" t="s">
        <v>108</v>
      </c>
      <c r="BR2652" s="2" t="s">
        <v>84</v>
      </c>
      <c r="BS2652" s="3">
        <v>42971</v>
      </c>
      <c r="BT2652" s="4">
        <v>0.30069444444444443</v>
      </c>
      <c r="BU2652" s="2" t="s">
        <v>3027</v>
      </c>
      <c r="BV2652" s="2" t="s">
        <v>95</v>
      </c>
      <c r="BW2652" s="2"/>
      <c r="BX2652" s="2"/>
      <c r="BY2652" s="2">
        <v>1200</v>
      </c>
      <c r="BZ2652" s="2" t="s">
        <v>27</v>
      </c>
      <c r="CA2652" s="2" t="s">
        <v>804</v>
      </c>
      <c r="CB2652" s="2"/>
      <c r="CC2652" s="2" t="s">
        <v>98</v>
      </c>
      <c r="CD2652" s="2">
        <v>6012</v>
      </c>
      <c r="CE2652" s="2" t="s">
        <v>104</v>
      </c>
      <c r="CF2652" s="5">
        <v>42972</v>
      </c>
      <c r="CG2652" s="2"/>
      <c r="CH2652" s="2"/>
      <c r="CI2652" s="2">
        <v>1</v>
      </c>
      <c r="CJ2652" s="2">
        <v>1</v>
      </c>
      <c r="CK2652" s="2">
        <v>21</v>
      </c>
      <c r="CL2652" s="2" t="s">
        <v>86</v>
      </c>
      <c r="CM2652" s="2"/>
    </row>
    <row r="2653" spans="1:91">
      <c r="A2653" s="2" t="s">
        <v>71</v>
      </c>
      <c r="B2653" s="2" t="s">
        <v>72</v>
      </c>
      <c r="C2653" s="2" t="s">
        <v>73</v>
      </c>
      <c r="D2653" s="2"/>
      <c r="E2653" s="2" t="str">
        <f>"FES1162571027"</f>
        <v>FES1162571027</v>
      </c>
      <c r="F2653" s="3">
        <v>42970</v>
      </c>
      <c r="G2653" s="2">
        <v>201802</v>
      </c>
      <c r="H2653" s="2" t="s">
        <v>74</v>
      </c>
      <c r="I2653" s="2" t="s">
        <v>75</v>
      </c>
      <c r="J2653" s="2" t="s">
        <v>76</v>
      </c>
      <c r="K2653" s="2" t="s">
        <v>77</v>
      </c>
      <c r="L2653" s="2" t="s">
        <v>174</v>
      </c>
      <c r="M2653" s="2" t="s">
        <v>175</v>
      </c>
      <c r="N2653" s="2" t="s">
        <v>1746</v>
      </c>
      <c r="O2653" s="2" t="s">
        <v>100</v>
      </c>
      <c r="P2653" s="2" t="str">
        <f>"2170586705                    "</f>
        <v xml:space="preserve">2170586705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4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1</v>
      </c>
      <c r="BJ2653" s="2">
        <v>0.2</v>
      </c>
      <c r="BK2653" s="2">
        <v>1</v>
      </c>
      <c r="BL2653" s="2">
        <v>41.44</v>
      </c>
      <c r="BM2653" s="2">
        <v>5.8</v>
      </c>
      <c r="BN2653" s="2">
        <v>47.24</v>
      </c>
      <c r="BO2653" s="2">
        <v>47.24</v>
      </c>
      <c r="BP2653" s="2"/>
      <c r="BQ2653" s="2" t="s">
        <v>83</v>
      </c>
      <c r="BR2653" s="2" t="s">
        <v>84</v>
      </c>
      <c r="BS2653" s="3">
        <v>42971</v>
      </c>
      <c r="BT2653" s="4">
        <v>0.34861111111111115</v>
      </c>
      <c r="BU2653" s="2" t="s">
        <v>3047</v>
      </c>
      <c r="BV2653" s="2" t="s">
        <v>95</v>
      </c>
      <c r="BW2653" s="2"/>
      <c r="BX2653" s="2"/>
      <c r="BY2653" s="2">
        <v>1200</v>
      </c>
      <c r="BZ2653" s="2"/>
      <c r="CA2653" s="2" t="s">
        <v>932</v>
      </c>
      <c r="CB2653" s="2"/>
      <c r="CC2653" s="2" t="s">
        <v>175</v>
      </c>
      <c r="CD2653" s="2">
        <v>5201</v>
      </c>
      <c r="CE2653" s="2" t="s">
        <v>104</v>
      </c>
      <c r="CF2653" s="5">
        <v>42972</v>
      </c>
      <c r="CG2653" s="2"/>
      <c r="CH2653" s="2"/>
      <c r="CI2653" s="2">
        <v>1</v>
      </c>
      <c r="CJ2653" s="2">
        <v>1</v>
      </c>
      <c r="CK2653" s="2">
        <v>21</v>
      </c>
      <c r="CL2653" s="2" t="s">
        <v>86</v>
      </c>
      <c r="CM2653" s="2"/>
    </row>
    <row r="2654" spans="1:91">
      <c r="A2654" s="2" t="s">
        <v>71</v>
      </c>
      <c r="B2654" s="2" t="s">
        <v>72</v>
      </c>
      <c r="C2654" s="2" t="s">
        <v>73</v>
      </c>
      <c r="D2654" s="2"/>
      <c r="E2654" s="2" t="str">
        <f>"FES1162570753"</f>
        <v>FES1162570753</v>
      </c>
      <c r="F2654" s="3">
        <v>42970</v>
      </c>
      <c r="G2654" s="2">
        <v>201802</v>
      </c>
      <c r="H2654" s="2" t="s">
        <v>74</v>
      </c>
      <c r="I2654" s="2" t="s">
        <v>75</v>
      </c>
      <c r="J2654" s="2" t="s">
        <v>76</v>
      </c>
      <c r="K2654" s="2" t="s">
        <v>77</v>
      </c>
      <c r="L2654" s="2" t="s">
        <v>105</v>
      </c>
      <c r="M2654" s="2" t="s">
        <v>106</v>
      </c>
      <c r="N2654" s="2" t="s">
        <v>107</v>
      </c>
      <c r="O2654" s="2" t="s">
        <v>100</v>
      </c>
      <c r="P2654" s="2" t="str">
        <f>"2170586487                    "</f>
        <v xml:space="preserve">2170586487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4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1</v>
      </c>
      <c r="BJ2654" s="2">
        <v>0.2</v>
      </c>
      <c r="BK2654" s="2">
        <v>1</v>
      </c>
      <c r="BL2654" s="2">
        <v>41.44</v>
      </c>
      <c r="BM2654" s="2">
        <v>5.8</v>
      </c>
      <c r="BN2654" s="2">
        <v>47.24</v>
      </c>
      <c r="BO2654" s="2">
        <v>47.24</v>
      </c>
      <c r="BP2654" s="2"/>
      <c r="BQ2654" s="2" t="s">
        <v>108</v>
      </c>
      <c r="BR2654" s="2" t="s">
        <v>84</v>
      </c>
      <c r="BS2654" s="3">
        <v>42971</v>
      </c>
      <c r="BT2654" s="4">
        <v>0.41666666666666669</v>
      </c>
      <c r="BU2654" s="2" t="s">
        <v>85</v>
      </c>
      <c r="BV2654" s="2" t="s">
        <v>95</v>
      </c>
      <c r="BW2654" s="2"/>
      <c r="BX2654" s="2"/>
      <c r="BY2654" s="2">
        <v>1200</v>
      </c>
      <c r="BZ2654" s="2" t="s">
        <v>27</v>
      </c>
      <c r="CA2654" s="2"/>
      <c r="CB2654" s="2"/>
      <c r="CC2654" s="2" t="s">
        <v>106</v>
      </c>
      <c r="CD2654" s="2">
        <v>7405</v>
      </c>
      <c r="CE2654" s="2" t="s">
        <v>104</v>
      </c>
      <c r="CF2654" s="5">
        <v>42972</v>
      </c>
      <c r="CG2654" s="2"/>
      <c r="CH2654" s="2"/>
      <c r="CI2654" s="2">
        <v>1</v>
      </c>
      <c r="CJ2654" s="2">
        <v>1</v>
      </c>
      <c r="CK2654" s="2">
        <v>21</v>
      </c>
      <c r="CL2654" s="2" t="s">
        <v>86</v>
      </c>
      <c r="CM2654" s="2"/>
    </row>
    <row r="2655" spans="1:91">
      <c r="A2655" s="2" t="s">
        <v>71</v>
      </c>
      <c r="B2655" s="2" t="s">
        <v>72</v>
      </c>
      <c r="C2655" s="2" t="s">
        <v>73</v>
      </c>
      <c r="D2655" s="2"/>
      <c r="E2655" s="2" t="str">
        <f>"FES1162570857"</f>
        <v>FES1162570857</v>
      </c>
      <c r="F2655" s="3">
        <v>42970</v>
      </c>
      <c r="G2655" s="2">
        <v>201802</v>
      </c>
      <c r="H2655" s="2" t="s">
        <v>74</v>
      </c>
      <c r="I2655" s="2" t="s">
        <v>75</v>
      </c>
      <c r="J2655" s="2" t="s">
        <v>76</v>
      </c>
      <c r="K2655" s="2" t="s">
        <v>77</v>
      </c>
      <c r="L2655" s="2" t="s">
        <v>97</v>
      </c>
      <c r="M2655" s="2" t="s">
        <v>98</v>
      </c>
      <c r="N2655" s="2" t="s">
        <v>3048</v>
      </c>
      <c r="O2655" s="2" t="s">
        <v>100</v>
      </c>
      <c r="P2655" s="2" t="str">
        <f>"2170586566                    "</f>
        <v xml:space="preserve">2170586566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4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1</v>
      </c>
      <c r="BJ2655" s="2">
        <v>0.2</v>
      </c>
      <c r="BK2655" s="2">
        <v>1</v>
      </c>
      <c r="BL2655" s="2">
        <v>41.44</v>
      </c>
      <c r="BM2655" s="2">
        <v>5.8</v>
      </c>
      <c r="BN2655" s="2">
        <v>47.24</v>
      </c>
      <c r="BO2655" s="2">
        <v>47.24</v>
      </c>
      <c r="BP2655" s="2"/>
      <c r="BQ2655" s="2" t="s">
        <v>288</v>
      </c>
      <c r="BR2655" s="2" t="s">
        <v>84</v>
      </c>
      <c r="BS2655" s="3">
        <v>42971</v>
      </c>
      <c r="BT2655" s="4">
        <v>0.32430555555555557</v>
      </c>
      <c r="BU2655" s="2" t="s">
        <v>825</v>
      </c>
      <c r="BV2655" s="2" t="s">
        <v>95</v>
      </c>
      <c r="BW2655" s="2"/>
      <c r="BX2655" s="2"/>
      <c r="BY2655" s="2">
        <v>1200</v>
      </c>
      <c r="BZ2655" s="2" t="s">
        <v>27</v>
      </c>
      <c r="CA2655" s="2" t="s">
        <v>600</v>
      </c>
      <c r="CB2655" s="2"/>
      <c r="CC2655" s="2" t="s">
        <v>98</v>
      </c>
      <c r="CD2655" s="2">
        <v>6001</v>
      </c>
      <c r="CE2655" s="2" t="s">
        <v>104</v>
      </c>
      <c r="CF2655" s="5">
        <v>42972</v>
      </c>
      <c r="CG2655" s="2"/>
      <c r="CH2655" s="2"/>
      <c r="CI2655" s="2">
        <v>1</v>
      </c>
      <c r="CJ2655" s="2">
        <v>1</v>
      </c>
      <c r="CK2655" s="2">
        <v>21</v>
      </c>
      <c r="CL2655" s="2" t="s">
        <v>86</v>
      </c>
      <c r="CM2655" s="2"/>
    </row>
    <row r="2656" spans="1:91">
      <c r="A2656" s="2" t="s">
        <v>71</v>
      </c>
      <c r="B2656" s="2" t="s">
        <v>72</v>
      </c>
      <c r="C2656" s="2" t="s">
        <v>73</v>
      </c>
      <c r="D2656" s="2"/>
      <c r="E2656" s="2" t="str">
        <f>"FES1162570830"</f>
        <v>FES1162570830</v>
      </c>
      <c r="F2656" s="3">
        <v>42970</v>
      </c>
      <c r="G2656" s="2">
        <v>201802</v>
      </c>
      <c r="H2656" s="2" t="s">
        <v>74</v>
      </c>
      <c r="I2656" s="2" t="s">
        <v>75</v>
      </c>
      <c r="J2656" s="2" t="s">
        <v>76</v>
      </c>
      <c r="K2656" s="2" t="s">
        <v>77</v>
      </c>
      <c r="L2656" s="2" t="s">
        <v>268</v>
      </c>
      <c r="M2656" s="2" t="s">
        <v>269</v>
      </c>
      <c r="N2656" s="2" t="s">
        <v>3049</v>
      </c>
      <c r="O2656" s="2" t="s">
        <v>100</v>
      </c>
      <c r="P2656" s="2" t="str">
        <f>"2170586556                    "</f>
        <v xml:space="preserve">2170586556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4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1</v>
      </c>
      <c r="BJ2656" s="2">
        <v>0.2</v>
      </c>
      <c r="BK2656" s="2">
        <v>1</v>
      </c>
      <c r="BL2656" s="2">
        <v>41.44</v>
      </c>
      <c r="BM2656" s="2">
        <v>5.8</v>
      </c>
      <c r="BN2656" s="2">
        <v>47.24</v>
      </c>
      <c r="BO2656" s="2">
        <v>47.24</v>
      </c>
      <c r="BP2656" s="2"/>
      <c r="BQ2656" s="2" t="s">
        <v>108</v>
      </c>
      <c r="BR2656" s="2" t="s">
        <v>84</v>
      </c>
      <c r="BS2656" s="3">
        <v>42971</v>
      </c>
      <c r="BT2656" s="4">
        <v>0.45833333333333331</v>
      </c>
      <c r="BU2656" s="2" t="s">
        <v>3050</v>
      </c>
      <c r="BV2656" s="2" t="s">
        <v>86</v>
      </c>
      <c r="BW2656" s="2" t="s">
        <v>110</v>
      </c>
      <c r="BX2656" s="2" t="s">
        <v>444</v>
      </c>
      <c r="BY2656" s="2">
        <v>1200</v>
      </c>
      <c r="BZ2656" s="2"/>
      <c r="CA2656" s="2"/>
      <c r="CB2656" s="2"/>
      <c r="CC2656" s="2" t="s">
        <v>269</v>
      </c>
      <c r="CD2656" s="2">
        <v>1</v>
      </c>
      <c r="CE2656" s="2" t="s">
        <v>104</v>
      </c>
      <c r="CF2656" s="5">
        <v>42972</v>
      </c>
      <c r="CG2656" s="2"/>
      <c r="CH2656" s="2"/>
      <c r="CI2656" s="2">
        <v>1</v>
      </c>
      <c r="CJ2656" s="2">
        <v>1</v>
      </c>
      <c r="CK2656" s="2">
        <v>21</v>
      </c>
      <c r="CL2656" s="2" t="s">
        <v>86</v>
      </c>
      <c r="CM2656" s="2"/>
    </row>
    <row r="2657" spans="1:91">
      <c r="A2657" s="2" t="s">
        <v>71</v>
      </c>
      <c r="B2657" s="2" t="s">
        <v>72</v>
      </c>
      <c r="C2657" s="2" t="s">
        <v>73</v>
      </c>
      <c r="D2657" s="2"/>
      <c r="E2657" s="2" t="str">
        <f>"FES1162570731"</f>
        <v>FES1162570731</v>
      </c>
      <c r="F2657" s="3">
        <v>42970</v>
      </c>
      <c r="G2657" s="2">
        <v>201802</v>
      </c>
      <c r="H2657" s="2" t="s">
        <v>74</v>
      </c>
      <c r="I2657" s="2" t="s">
        <v>75</v>
      </c>
      <c r="J2657" s="2" t="s">
        <v>76</v>
      </c>
      <c r="K2657" s="2" t="s">
        <v>77</v>
      </c>
      <c r="L2657" s="2" t="s">
        <v>144</v>
      </c>
      <c r="M2657" s="2" t="s">
        <v>145</v>
      </c>
      <c r="N2657" s="2" t="s">
        <v>3051</v>
      </c>
      <c r="O2657" s="2" t="s">
        <v>100</v>
      </c>
      <c r="P2657" s="2" t="str">
        <f>"2170584030                    "</f>
        <v xml:space="preserve">2170584030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3.13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1</v>
      </c>
      <c r="BJ2657" s="2">
        <v>0.2</v>
      </c>
      <c r="BK2657" s="2">
        <v>1</v>
      </c>
      <c r="BL2657" s="2">
        <v>32.380000000000003</v>
      </c>
      <c r="BM2657" s="2">
        <v>4.53</v>
      </c>
      <c r="BN2657" s="2">
        <v>36.909999999999997</v>
      </c>
      <c r="BO2657" s="2">
        <v>36.909999999999997</v>
      </c>
      <c r="BP2657" s="2"/>
      <c r="BQ2657" s="2" t="s">
        <v>288</v>
      </c>
      <c r="BR2657" s="2" t="s">
        <v>84</v>
      </c>
      <c r="BS2657" s="3">
        <v>42972</v>
      </c>
      <c r="BT2657" s="4">
        <v>0.35625000000000001</v>
      </c>
      <c r="BU2657" s="2" t="s">
        <v>2529</v>
      </c>
      <c r="BV2657" s="2" t="s">
        <v>86</v>
      </c>
      <c r="BW2657" s="2" t="s">
        <v>124</v>
      </c>
      <c r="BX2657" s="2" t="s">
        <v>498</v>
      </c>
      <c r="BY2657" s="2">
        <v>1200</v>
      </c>
      <c r="BZ2657" s="2" t="s">
        <v>27</v>
      </c>
      <c r="CA2657" s="2" t="s">
        <v>328</v>
      </c>
      <c r="CB2657" s="2"/>
      <c r="CC2657" s="2" t="s">
        <v>145</v>
      </c>
      <c r="CD2657" s="2">
        <v>2000</v>
      </c>
      <c r="CE2657" s="2" t="s">
        <v>104</v>
      </c>
      <c r="CF2657" s="5">
        <v>42975</v>
      </c>
      <c r="CG2657" s="2"/>
      <c r="CH2657" s="2"/>
      <c r="CI2657" s="2">
        <v>1</v>
      </c>
      <c r="CJ2657" s="2">
        <v>2</v>
      </c>
      <c r="CK2657" s="2">
        <v>22</v>
      </c>
      <c r="CL2657" s="2" t="s">
        <v>86</v>
      </c>
      <c r="CM2657" s="2"/>
    </row>
    <row r="2658" spans="1:91">
      <c r="A2658" s="2" t="s">
        <v>71</v>
      </c>
      <c r="B2658" s="2" t="s">
        <v>72</v>
      </c>
      <c r="C2658" s="2" t="s">
        <v>73</v>
      </c>
      <c r="D2658" s="2"/>
      <c r="E2658" s="2" t="str">
        <f>"FES1162571044"</f>
        <v>FES1162571044</v>
      </c>
      <c r="F2658" s="3">
        <v>42970</v>
      </c>
      <c r="G2658" s="2">
        <v>201802</v>
      </c>
      <c r="H2658" s="2" t="s">
        <v>74</v>
      </c>
      <c r="I2658" s="2" t="s">
        <v>75</v>
      </c>
      <c r="J2658" s="2" t="s">
        <v>76</v>
      </c>
      <c r="K2658" s="2" t="s">
        <v>77</v>
      </c>
      <c r="L2658" s="2" t="s">
        <v>510</v>
      </c>
      <c r="M2658" s="2" t="s">
        <v>511</v>
      </c>
      <c r="N2658" s="2" t="s">
        <v>3052</v>
      </c>
      <c r="O2658" s="2" t="s">
        <v>100</v>
      </c>
      <c r="P2658" s="2" t="str">
        <f>"2170586721                    "</f>
        <v xml:space="preserve">2170586721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20.010000000000002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5.3</v>
      </c>
      <c r="BJ2658" s="2">
        <v>10</v>
      </c>
      <c r="BK2658" s="2">
        <v>10</v>
      </c>
      <c r="BL2658" s="2">
        <v>207.21</v>
      </c>
      <c r="BM2658" s="2">
        <v>29.01</v>
      </c>
      <c r="BN2658" s="2">
        <v>236.22</v>
      </c>
      <c r="BO2658" s="2">
        <v>236.22</v>
      </c>
      <c r="BP2658" s="2"/>
      <c r="BQ2658" s="2" t="s">
        <v>288</v>
      </c>
      <c r="BR2658" s="2" t="s">
        <v>84</v>
      </c>
      <c r="BS2658" s="3">
        <v>42971</v>
      </c>
      <c r="BT2658" s="4">
        <v>0.31458333333333333</v>
      </c>
      <c r="BU2658" s="2" t="s">
        <v>3053</v>
      </c>
      <c r="BV2658" s="2" t="s">
        <v>95</v>
      </c>
      <c r="BW2658" s="2"/>
      <c r="BX2658" s="2"/>
      <c r="BY2658" s="2">
        <v>49874.52</v>
      </c>
      <c r="BZ2658" s="2"/>
      <c r="CA2658" s="2" t="s">
        <v>514</v>
      </c>
      <c r="CB2658" s="2"/>
      <c r="CC2658" s="2" t="s">
        <v>511</v>
      </c>
      <c r="CD2658" s="2">
        <v>6229</v>
      </c>
      <c r="CE2658" s="2" t="s">
        <v>89</v>
      </c>
      <c r="CF2658" s="5">
        <v>42972</v>
      </c>
      <c r="CG2658" s="2"/>
      <c r="CH2658" s="2"/>
      <c r="CI2658" s="2">
        <v>1</v>
      </c>
      <c r="CJ2658" s="2">
        <v>1</v>
      </c>
      <c r="CK2658" s="2">
        <v>21</v>
      </c>
      <c r="CL2658" s="2" t="s">
        <v>86</v>
      </c>
      <c r="CM2658" s="2"/>
    </row>
    <row r="2659" spans="1:91">
      <c r="A2659" s="2" t="s">
        <v>71</v>
      </c>
      <c r="B2659" s="2" t="s">
        <v>72</v>
      </c>
      <c r="C2659" s="2" t="s">
        <v>73</v>
      </c>
      <c r="D2659" s="2"/>
      <c r="E2659" s="2" t="str">
        <f>"FES1162570851"</f>
        <v>FES1162570851</v>
      </c>
      <c r="F2659" s="3">
        <v>42970</v>
      </c>
      <c r="G2659" s="2">
        <v>201802</v>
      </c>
      <c r="H2659" s="2" t="s">
        <v>74</v>
      </c>
      <c r="I2659" s="2" t="s">
        <v>75</v>
      </c>
      <c r="J2659" s="2" t="s">
        <v>76</v>
      </c>
      <c r="K2659" s="2" t="s">
        <v>77</v>
      </c>
      <c r="L2659" s="2" t="s">
        <v>128</v>
      </c>
      <c r="M2659" s="2" t="s">
        <v>129</v>
      </c>
      <c r="N2659" s="2" t="s">
        <v>130</v>
      </c>
      <c r="O2659" s="2" t="s">
        <v>100</v>
      </c>
      <c r="P2659" s="2" t="str">
        <f>"2170584557                    "</f>
        <v xml:space="preserve">2170584557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3.13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1</v>
      </c>
      <c r="BJ2659" s="2">
        <v>0.2</v>
      </c>
      <c r="BK2659" s="2">
        <v>1</v>
      </c>
      <c r="BL2659" s="2">
        <v>32.380000000000003</v>
      </c>
      <c r="BM2659" s="2">
        <v>4.53</v>
      </c>
      <c r="BN2659" s="2">
        <v>36.909999999999997</v>
      </c>
      <c r="BO2659" s="2">
        <v>36.909999999999997</v>
      </c>
      <c r="BP2659" s="2"/>
      <c r="BQ2659" s="2" t="s">
        <v>83</v>
      </c>
      <c r="BR2659" s="2" t="s">
        <v>84</v>
      </c>
      <c r="BS2659" s="3">
        <v>42971</v>
      </c>
      <c r="BT2659" s="4">
        <v>0.38055555555555554</v>
      </c>
      <c r="BU2659" s="2" t="s">
        <v>3054</v>
      </c>
      <c r="BV2659" s="2" t="s">
        <v>95</v>
      </c>
      <c r="BW2659" s="2"/>
      <c r="BX2659" s="2"/>
      <c r="BY2659" s="2">
        <v>1200</v>
      </c>
      <c r="BZ2659" s="2" t="s">
        <v>27</v>
      </c>
      <c r="CA2659" s="2" t="s">
        <v>1333</v>
      </c>
      <c r="CB2659" s="2"/>
      <c r="CC2659" s="2" t="s">
        <v>129</v>
      </c>
      <c r="CD2659" s="2">
        <v>1724</v>
      </c>
      <c r="CE2659" s="2" t="s">
        <v>104</v>
      </c>
      <c r="CF2659" s="5">
        <v>42972</v>
      </c>
      <c r="CG2659" s="2"/>
      <c r="CH2659" s="2"/>
      <c r="CI2659" s="2">
        <v>1</v>
      </c>
      <c r="CJ2659" s="2">
        <v>1</v>
      </c>
      <c r="CK2659" s="2">
        <v>22</v>
      </c>
      <c r="CL2659" s="2" t="s">
        <v>86</v>
      </c>
      <c r="CM2659" s="2"/>
    </row>
    <row r="2660" spans="1:91">
      <c r="A2660" s="2" t="s">
        <v>71</v>
      </c>
      <c r="B2660" s="2" t="s">
        <v>72</v>
      </c>
      <c r="C2660" s="2" t="s">
        <v>73</v>
      </c>
      <c r="D2660" s="2"/>
      <c r="E2660" s="2" t="str">
        <f>"FES1162570828"</f>
        <v>FES1162570828</v>
      </c>
      <c r="F2660" s="3">
        <v>42970</v>
      </c>
      <c r="G2660" s="2">
        <v>201802</v>
      </c>
      <c r="H2660" s="2" t="s">
        <v>74</v>
      </c>
      <c r="I2660" s="2" t="s">
        <v>75</v>
      </c>
      <c r="J2660" s="2" t="s">
        <v>76</v>
      </c>
      <c r="K2660" s="2" t="s">
        <v>77</v>
      </c>
      <c r="L2660" s="2" t="s">
        <v>306</v>
      </c>
      <c r="M2660" s="2" t="s">
        <v>307</v>
      </c>
      <c r="N2660" s="2" t="s">
        <v>2330</v>
      </c>
      <c r="O2660" s="2" t="s">
        <v>100</v>
      </c>
      <c r="P2660" s="2" t="str">
        <f>"2170586549                    "</f>
        <v xml:space="preserve">2170586549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4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41.44</v>
      </c>
      <c r="BM2660" s="2">
        <v>5.8</v>
      </c>
      <c r="BN2660" s="2">
        <v>47.24</v>
      </c>
      <c r="BO2660" s="2">
        <v>47.24</v>
      </c>
      <c r="BP2660" s="2"/>
      <c r="BQ2660" s="2" t="s">
        <v>288</v>
      </c>
      <c r="BR2660" s="2" t="s">
        <v>84</v>
      </c>
      <c r="BS2660" s="3">
        <v>42971</v>
      </c>
      <c r="BT2660" s="4">
        <v>0.63888888888888895</v>
      </c>
      <c r="BU2660" s="2" t="s">
        <v>3055</v>
      </c>
      <c r="BV2660" s="2" t="s">
        <v>86</v>
      </c>
      <c r="BW2660" s="2"/>
      <c r="BX2660" s="2"/>
      <c r="BY2660" s="2">
        <v>1200</v>
      </c>
      <c r="BZ2660" s="2"/>
      <c r="CA2660" s="2"/>
      <c r="CB2660" s="2"/>
      <c r="CC2660" s="2" t="s">
        <v>307</v>
      </c>
      <c r="CD2660" s="2">
        <v>1929</v>
      </c>
      <c r="CE2660" s="2" t="s">
        <v>104</v>
      </c>
      <c r="CF2660" s="5">
        <v>42972</v>
      </c>
      <c r="CG2660" s="2"/>
      <c r="CH2660" s="2"/>
      <c r="CI2660" s="2">
        <v>1</v>
      </c>
      <c r="CJ2660" s="2">
        <v>1</v>
      </c>
      <c r="CK2660" s="2">
        <v>21</v>
      </c>
      <c r="CL2660" s="2" t="s">
        <v>86</v>
      </c>
      <c r="CM2660" s="2"/>
    </row>
    <row r="2661" spans="1:91">
      <c r="A2661" s="2" t="s">
        <v>71</v>
      </c>
      <c r="B2661" s="2" t="s">
        <v>72</v>
      </c>
      <c r="C2661" s="2" t="s">
        <v>73</v>
      </c>
      <c r="D2661" s="2"/>
      <c r="E2661" s="2" t="str">
        <f>"FES1162570956"</f>
        <v>FES1162570956</v>
      </c>
      <c r="F2661" s="3">
        <v>42970</v>
      </c>
      <c r="G2661" s="2">
        <v>201802</v>
      </c>
      <c r="H2661" s="2" t="s">
        <v>74</v>
      </c>
      <c r="I2661" s="2" t="s">
        <v>75</v>
      </c>
      <c r="J2661" s="2" t="s">
        <v>76</v>
      </c>
      <c r="K2661" s="2" t="s">
        <v>77</v>
      </c>
      <c r="L2661" s="2" t="s">
        <v>97</v>
      </c>
      <c r="M2661" s="2" t="s">
        <v>98</v>
      </c>
      <c r="N2661" s="2" t="s">
        <v>625</v>
      </c>
      <c r="O2661" s="2" t="s">
        <v>100</v>
      </c>
      <c r="P2661" s="2" t="str">
        <f>"2170582142                    "</f>
        <v xml:space="preserve">2170582142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10.01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4.9000000000000004</v>
      </c>
      <c r="BJ2661" s="2">
        <v>4.0999999999999996</v>
      </c>
      <c r="BK2661" s="2">
        <v>5</v>
      </c>
      <c r="BL2661" s="2">
        <v>103.61</v>
      </c>
      <c r="BM2661" s="2">
        <v>14.51</v>
      </c>
      <c r="BN2661" s="2">
        <v>118.12</v>
      </c>
      <c r="BO2661" s="2">
        <v>118.12</v>
      </c>
      <c r="BP2661" s="2"/>
      <c r="BQ2661" s="2" t="s">
        <v>108</v>
      </c>
      <c r="BR2661" s="2" t="s">
        <v>84</v>
      </c>
      <c r="BS2661" s="3">
        <v>42971</v>
      </c>
      <c r="BT2661" s="4">
        <v>0.36319444444444443</v>
      </c>
      <c r="BU2661" s="2" t="s">
        <v>1087</v>
      </c>
      <c r="BV2661" s="2" t="s">
        <v>95</v>
      </c>
      <c r="BW2661" s="2"/>
      <c r="BX2661" s="2"/>
      <c r="BY2661" s="2">
        <v>20699.28</v>
      </c>
      <c r="BZ2661" s="2" t="s">
        <v>27</v>
      </c>
      <c r="CA2661" s="2" t="s">
        <v>103</v>
      </c>
      <c r="CB2661" s="2"/>
      <c r="CC2661" s="2" t="s">
        <v>98</v>
      </c>
      <c r="CD2661" s="2">
        <v>6001</v>
      </c>
      <c r="CE2661" s="2" t="s">
        <v>89</v>
      </c>
      <c r="CF2661" s="5">
        <v>42972</v>
      </c>
      <c r="CG2661" s="2"/>
      <c r="CH2661" s="2"/>
      <c r="CI2661" s="2">
        <v>1</v>
      </c>
      <c r="CJ2661" s="2">
        <v>1</v>
      </c>
      <c r="CK2661" s="2">
        <v>21</v>
      </c>
      <c r="CL2661" s="2" t="s">
        <v>86</v>
      </c>
      <c r="CM2661" s="2"/>
    </row>
    <row r="2662" spans="1:91">
      <c r="A2662" s="2" t="s">
        <v>71</v>
      </c>
      <c r="B2662" s="2" t="s">
        <v>72</v>
      </c>
      <c r="C2662" s="2" t="s">
        <v>73</v>
      </c>
      <c r="D2662" s="2"/>
      <c r="E2662" s="2" t="str">
        <f>"FES1162570950"</f>
        <v>FES1162570950</v>
      </c>
      <c r="F2662" s="3">
        <v>42970</v>
      </c>
      <c r="G2662" s="2">
        <v>201802</v>
      </c>
      <c r="H2662" s="2" t="s">
        <v>74</v>
      </c>
      <c r="I2662" s="2" t="s">
        <v>75</v>
      </c>
      <c r="J2662" s="2" t="s">
        <v>76</v>
      </c>
      <c r="K2662" s="2" t="s">
        <v>77</v>
      </c>
      <c r="L2662" s="2" t="s">
        <v>97</v>
      </c>
      <c r="M2662" s="2" t="s">
        <v>98</v>
      </c>
      <c r="N2662" s="2" t="s">
        <v>292</v>
      </c>
      <c r="O2662" s="2" t="s">
        <v>100</v>
      </c>
      <c r="P2662" s="2" t="str">
        <f>"2170585123                    "</f>
        <v xml:space="preserve">2170585123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4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1</v>
      </c>
      <c r="BI2662" s="2">
        <v>1</v>
      </c>
      <c r="BJ2662" s="2">
        <v>1.7</v>
      </c>
      <c r="BK2662" s="2">
        <v>2</v>
      </c>
      <c r="BL2662" s="2">
        <v>41.44</v>
      </c>
      <c r="BM2662" s="2">
        <v>5.8</v>
      </c>
      <c r="BN2662" s="2">
        <v>47.24</v>
      </c>
      <c r="BO2662" s="2">
        <v>47.24</v>
      </c>
      <c r="BP2662" s="2"/>
      <c r="BQ2662" s="2" t="s">
        <v>83</v>
      </c>
      <c r="BR2662" s="2" t="s">
        <v>84</v>
      </c>
      <c r="BS2662" s="3">
        <v>42971</v>
      </c>
      <c r="BT2662" s="4">
        <v>0.3263888888888889</v>
      </c>
      <c r="BU2662" s="2" t="s">
        <v>2413</v>
      </c>
      <c r="BV2662" s="2" t="s">
        <v>95</v>
      </c>
      <c r="BW2662" s="2"/>
      <c r="BX2662" s="2"/>
      <c r="BY2662" s="2">
        <v>8685.27</v>
      </c>
      <c r="BZ2662" s="2" t="s">
        <v>27</v>
      </c>
      <c r="CA2662" s="2" t="s">
        <v>804</v>
      </c>
      <c r="CB2662" s="2"/>
      <c r="CC2662" s="2" t="s">
        <v>98</v>
      </c>
      <c r="CD2662" s="2">
        <v>6001</v>
      </c>
      <c r="CE2662" s="2" t="s">
        <v>89</v>
      </c>
      <c r="CF2662" s="5">
        <v>42972</v>
      </c>
      <c r="CG2662" s="2"/>
      <c r="CH2662" s="2"/>
      <c r="CI2662" s="2">
        <v>1</v>
      </c>
      <c r="CJ2662" s="2">
        <v>1</v>
      </c>
      <c r="CK2662" s="2">
        <v>21</v>
      </c>
      <c r="CL2662" s="2" t="s">
        <v>86</v>
      </c>
      <c r="CM2662" s="2"/>
    </row>
    <row r="2663" spans="1:91">
      <c r="A2663" s="2" t="s">
        <v>71</v>
      </c>
      <c r="B2663" s="2" t="s">
        <v>72</v>
      </c>
      <c r="C2663" s="2" t="s">
        <v>73</v>
      </c>
      <c r="D2663" s="2"/>
      <c r="E2663" s="2" t="str">
        <f>"FES1162570930"</f>
        <v>FES1162570930</v>
      </c>
      <c r="F2663" s="3">
        <v>42970</v>
      </c>
      <c r="G2663" s="2">
        <v>201802</v>
      </c>
      <c r="H2663" s="2" t="s">
        <v>74</v>
      </c>
      <c r="I2663" s="2" t="s">
        <v>75</v>
      </c>
      <c r="J2663" s="2" t="s">
        <v>76</v>
      </c>
      <c r="K2663" s="2" t="s">
        <v>77</v>
      </c>
      <c r="L2663" s="2" t="s">
        <v>74</v>
      </c>
      <c r="M2663" s="2" t="s">
        <v>75</v>
      </c>
      <c r="N2663" s="2" t="s">
        <v>985</v>
      </c>
      <c r="O2663" s="2" t="s">
        <v>100</v>
      </c>
      <c r="P2663" s="2" t="str">
        <f>"2170586612                    "</f>
        <v xml:space="preserve">2170586612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3.13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1</v>
      </c>
      <c r="BI2663" s="2">
        <v>4</v>
      </c>
      <c r="BJ2663" s="2">
        <v>6.5</v>
      </c>
      <c r="BK2663" s="2">
        <v>7</v>
      </c>
      <c r="BL2663" s="2">
        <v>32.380000000000003</v>
      </c>
      <c r="BM2663" s="2">
        <v>4.53</v>
      </c>
      <c r="BN2663" s="2">
        <v>36.909999999999997</v>
      </c>
      <c r="BO2663" s="2">
        <v>36.909999999999997</v>
      </c>
      <c r="BP2663" s="2"/>
      <c r="BQ2663" s="2" t="s">
        <v>288</v>
      </c>
      <c r="BR2663" s="2" t="s">
        <v>84</v>
      </c>
      <c r="BS2663" s="3">
        <v>42971</v>
      </c>
      <c r="BT2663" s="4">
        <v>0.28819444444444448</v>
      </c>
      <c r="BU2663" s="2" t="s">
        <v>1486</v>
      </c>
      <c r="BV2663" s="2" t="s">
        <v>95</v>
      </c>
      <c r="BW2663" s="2"/>
      <c r="BX2663" s="2"/>
      <c r="BY2663" s="2">
        <v>32256</v>
      </c>
      <c r="BZ2663" s="2"/>
      <c r="CA2663" s="2" t="s">
        <v>331</v>
      </c>
      <c r="CB2663" s="2"/>
      <c r="CC2663" s="2" t="s">
        <v>75</v>
      </c>
      <c r="CD2663" s="2">
        <v>1600</v>
      </c>
      <c r="CE2663" s="2" t="s">
        <v>89</v>
      </c>
      <c r="CF2663" s="5">
        <v>42972</v>
      </c>
      <c r="CG2663" s="2"/>
      <c r="CH2663" s="2"/>
      <c r="CI2663" s="2">
        <v>1</v>
      </c>
      <c r="CJ2663" s="2">
        <v>1</v>
      </c>
      <c r="CK2663" s="2">
        <v>22</v>
      </c>
      <c r="CL2663" s="2" t="s">
        <v>86</v>
      </c>
      <c r="CM2663" s="2"/>
    </row>
    <row r="2664" spans="1:91">
      <c r="A2664" s="2" t="s">
        <v>71</v>
      </c>
      <c r="B2664" s="2" t="s">
        <v>72</v>
      </c>
      <c r="C2664" s="2" t="s">
        <v>73</v>
      </c>
      <c r="D2664" s="2"/>
      <c r="E2664" s="2" t="str">
        <f>"FES1162570862"</f>
        <v>FES1162570862</v>
      </c>
      <c r="F2664" s="3">
        <v>42970</v>
      </c>
      <c r="G2664" s="2">
        <v>201802</v>
      </c>
      <c r="H2664" s="2" t="s">
        <v>74</v>
      </c>
      <c r="I2664" s="2" t="s">
        <v>75</v>
      </c>
      <c r="J2664" s="2" t="s">
        <v>76</v>
      </c>
      <c r="K2664" s="2" t="s">
        <v>77</v>
      </c>
      <c r="L2664" s="2" t="s">
        <v>221</v>
      </c>
      <c r="M2664" s="2" t="s">
        <v>222</v>
      </c>
      <c r="N2664" s="2" t="s">
        <v>415</v>
      </c>
      <c r="O2664" s="2" t="s">
        <v>100</v>
      </c>
      <c r="P2664" s="2" t="str">
        <f>"2170586568                    "</f>
        <v xml:space="preserve">2170586568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4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1</v>
      </c>
      <c r="BJ2664" s="2">
        <v>0.2</v>
      </c>
      <c r="BK2664" s="2">
        <v>1</v>
      </c>
      <c r="BL2664" s="2">
        <v>41.44</v>
      </c>
      <c r="BM2664" s="2">
        <v>5.8</v>
      </c>
      <c r="BN2664" s="2">
        <v>47.24</v>
      </c>
      <c r="BO2664" s="2">
        <v>47.24</v>
      </c>
      <c r="BP2664" s="2"/>
      <c r="BQ2664" s="2" t="s">
        <v>108</v>
      </c>
      <c r="BR2664" s="2" t="s">
        <v>84</v>
      </c>
      <c r="BS2664" s="3">
        <v>42971</v>
      </c>
      <c r="BT2664" s="4">
        <v>0.37152777777777773</v>
      </c>
      <c r="BU2664" s="2" t="s">
        <v>933</v>
      </c>
      <c r="BV2664" s="2" t="s">
        <v>95</v>
      </c>
      <c r="BW2664" s="2"/>
      <c r="BX2664" s="2"/>
      <c r="BY2664" s="2">
        <v>1200</v>
      </c>
      <c r="BZ2664" s="2" t="s">
        <v>27</v>
      </c>
      <c r="CA2664" s="2" t="s">
        <v>934</v>
      </c>
      <c r="CB2664" s="2"/>
      <c r="CC2664" s="2" t="s">
        <v>222</v>
      </c>
      <c r="CD2664" s="2">
        <v>4302</v>
      </c>
      <c r="CE2664" s="2" t="s">
        <v>104</v>
      </c>
      <c r="CF2664" s="5">
        <v>42972</v>
      </c>
      <c r="CG2664" s="2"/>
      <c r="CH2664" s="2"/>
      <c r="CI2664" s="2">
        <v>1</v>
      </c>
      <c r="CJ2664" s="2">
        <v>1</v>
      </c>
      <c r="CK2664" s="2">
        <v>21</v>
      </c>
      <c r="CL2664" s="2" t="s">
        <v>86</v>
      </c>
      <c r="CM2664" s="2"/>
    </row>
    <row r="2665" spans="1:91">
      <c r="A2665" s="2" t="s">
        <v>71</v>
      </c>
      <c r="B2665" s="2" t="s">
        <v>72</v>
      </c>
      <c r="C2665" s="2" t="s">
        <v>73</v>
      </c>
      <c r="D2665" s="2"/>
      <c r="E2665" s="2" t="str">
        <f>"FES1162570799"</f>
        <v>FES1162570799</v>
      </c>
      <c r="F2665" s="3">
        <v>42970</v>
      </c>
      <c r="G2665" s="2">
        <v>201802</v>
      </c>
      <c r="H2665" s="2" t="s">
        <v>74</v>
      </c>
      <c r="I2665" s="2" t="s">
        <v>75</v>
      </c>
      <c r="J2665" s="2" t="s">
        <v>76</v>
      </c>
      <c r="K2665" s="2" t="s">
        <v>77</v>
      </c>
      <c r="L2665" s="2" t="s">
        <v>221</v>
      </c>
      <c r="M2665" s="2" t="s">
        <v>222</v>
      </c>
      <c r="N2665" s="2" t="s">
        <v>415</v>
      </c>
      <c r="O2665" s="2" t="s">
        <v>100</v>
      </c>
      <c r="P2665" s="2" t="str">
        <f>"2170586538                    "</f>
        <v xml:space="preserve">2170586538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4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1</v>
      </c>
      <c r="BI2665" s="2">
        <v>1</v>
      </c>
      <c r="BJ2665" s="2">
        <v>0.2</v>
      </c>
      <c r="BK2665" s="2">
        <v>1</v>
      </c>
      <c r="BL2665" s="2">
        <v>41.44</v>
      </c>
      <c r="BM2665" s="2">
        <v>5.8</v>
      </c>
      <c r="BN2665" s="2">
        <v>47.24</v>
      </c>
      <c r="BO2665" s="2">
        <v>47.24</v>
      </c>
      <c r="BP2665" s="2"/>
      <c r="BQ2665" s="2" t="s">
        <v>108</v>
      </c>
      <c r="BR2665" s="2" t="s">
        <v>84</v>
      </c>
      <c r="BS2665" s="3">
        <v>42971</v>
      </c>
      <c r="BT2665" s="4">
        <v>0.37152777777777773</v>
      </c>
      <c r="BU2665" s="2" t="s">
        <v>933</v>
      </c>
      <c r="BV2665" s="2" t="s">
        <v>95</v>
      </c>
      <c r="BW2665" s="2"/>
      <c r="BX2665" s="2"/>
      <c r="BY2665" s="2">
        <v>1200</v>
      </c>
      <c r="BZ2665" s="2" t="s">
        <v>27</v>
      </c>
      <c r="CA2665" s="2" t="s">
        <v>934</v>
      </c>
      <c r="CB2665" s="2"/>
      <c r="CC2665" s="2" t="s">
        <v>222</v>
      </c>
      <c r="CD2665" s="2">
        <v>4302</v>
      </c>
      <c r="CE2665" s="2" t="s">
        <v>104</v>
      </c>
      <c r="CF2665" s="5">
        <v>42972</v>
      </c>
      <c r="CG2665" s="2"/>
      <c r="CH2665" s="2"/>
      <c r="CI2665" s="2">
        <v>1</v>
      </c>
      <c r="CJ2665" s="2">
        <v>1</v>
      </c>
      <c r="CK2665" s="2">
        <v>21</v>
      </c>
      <c r="CL2665" s="2" t="s">
        <v>86</v>
      </c>
      <c r="CM2665" s="2"/>
    </row>
    <row r="2666" spans="1:91">
      <c r="A2666" s="2" t="s">
        <v>71</v>
      </c>
      <c r="B2666" s="2" t="s">
        <v>72</v>
      </c>
      <c r="C2666" s="2" t="s">
        <v>73</v>
      </c>
      <c r="D2666" s="2"/>
      <c r="E2666" s="2" t="str">
        <f>"FES1162570934"</f>
        <v>FES1162570934</v>
      </c>
      <c r="F2666" s="3">
        <v>42970</v>
      </c>
      <c r="G2666" s="2">
        <v>201802</v>
      </c>
      <c r="H2666" s="2" t="s">
        <v>74</v>
      </c>
      <c r="I2666" s="2" t="s">
        <v>75</v>
      </c>
      <c r="J2666" s="2" t="s">
        <v>76</v>
      </c>
      <c r="K2666" s="2" t="s">
        <v>77</v>
      </c>
      <c r="L2666" s="2" t="s">
        <v>237</v>
      </c>
      <c r="M2666" s="2" t="s">
        <v>238</v>
      </c>
      <c r="N2666" s="2" t="s">
        <v>3056</v>
      </c>
      <c r="O2666" s="2" t="s">
        <v>100</v>
      </c>
      <c r="P2666" s="2" t="str">
        <f>"2170586605                    "</f>
        <v xml:space="preserve">2170586605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4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1</v>
      </c>
      <c r="BJ2666" s="2">
        <v>0.2</v>
      </c>
      <c r="BK2666" s="2">
        <v>1</v>
      </c>
      <c r="BL2666" s="2">
        <v>41.44</v>
      </c>
      <c r="BM2666" s="2">
        <v>5.8</v>
      </c>
      <c r="BN2666" s="2">
        <v>47.24</v>
      </c>
      <c r="BO2666" s="2">
        <v>47.24</v>
      </c>
      <c r="BP2666" s="2"/>
      <c r="BQ2666" s="2" t="s">
        <v>108</v>
      </c>
      <c r="BR2666" s="2" t="s">
        <v>84</v>
      </c>
      <c r="BS2666" s="3">
        <v>42971</v>
      </c>
      <c r="BT2666" s="4">
        <v>0.4375</v>
      </c>
      <c r="BU2666" s="2" t="s">
        <v>1620</v>
      </c>
      <c r="BV2666" s="2" t="s">
        <v>95</v>
      </c>
      <c r="BW2666" s="2"/>
      <c r="BX2666" s="2"/>
      <c r="BY2666" s="2">
        <v>1200</v>
      </c>
      <c r="BZ2666" s="2"/>
      <c r="CA2666" s="2" t="s">
        <v>672</v>
      </c>
      <c r="CB2666" s="2"/>
      <c r="CC2666" s="2" t="s">
        <v>238</v>
      </c>
      <c r="CD2666" s="2">
        <v>3610</v>
      </c>
      <c r="CE2666" s="2" t="s">
        <v>104</v>
      </c>
      <c r="CF2666" s="5">
        <v>42972</v>
      </c>
      <c r="CG2666" s="2"/>
      <c r="CH2666" s="2"/>
      <c r="CI2666" s="2">
        <v>1</v>
      </c>
      <c r="CJ2666" s="2">
        <v>1</v>
      </c>
      <c r="CK2666" s="2">
        <v>21</v>
      </c>
      <c r="CL2666" s="2" t="s">
        <v>86</v>
      </c>
      <c r="CM2666" s="2"/>
    </row>
    <row r="2667" spans="1:91">
      <c r="A2667" s="2" t="s">
        <v>71</v>
      </c>
      <c r="B2667" s="2" t="s">
        <v>72</v>
      </c>
      <c r="C2667" s="2" t="s">
        <v>73</v>
      </c>
      <c r="D2667" s="2"/>
      <c r="E2667" s="2" t="str">
        <f>"FES1162570841"</f>
        <v>FES1162570841</v>
      </c>
      <c r="F2667" s="3">
        <v>42970</v>
      </c>
      <c r="G2667" s="2">
        <v>201802</v>
      </c>
      <c r="H2667" s="2" t="s">
        <v>74</v>
      </c>
      <c r="I2667" s="2" t="s">
        <v>75</v>
      </c>
      <c r="J2667" s="2" t="s">
        <v>76</v>
      </c>
      <c r="K2667" s="2" t="s">
        <v>77</v>
      </c>
      <c r="L2667" s="2" t="s">
        <v>221</v>
      </c>
      <c r="M2667" s="2" t="s">
        <v>222</v>
      </c>
      <c r="N2667" s="2" t="s">
        <v>415</v>
      </c>
      <c r="O2667" s="2" t="s">
        <v>100</v>
      </c>
      <c r="P2667" s="2" t="str">
        <f>"2170584412                    "</f>
        <v xml:space="preserve">2170584412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4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1</v>
      </c>
      <c r="BJ2667" s="2">
        <v>0.2</v>
      </c>
      <c r="BK2667" s="2">
        <v>1</v>
      </c>
      <c r="BL2667" s="2">
        <v>41.44</v>
      </c>
      <c r="BM2667" s="2">
        <v>5.8</v>
      </c>
      <c r="BN2667" s="2">
        <v>47.24</v>
      </c>
      <c r="BO2667" s="2">
        <v>47.24</v>
      </c>
      <c r="BP2667" s="2"/>
      <c r="BQ2667" s="2" t="s">
        <v>108</v>
      </c>
      <c r="BR2667" s="2" t="s">
        <v>84</v>
      </c>
      <c r="BS2667" s="3">
        <v>42971</v>
      </c>
      <c r="BT2667" s="4">
        <v>0.37152777777777773</v>
      </c>
      <c r="BU2667" s="2" t="s">
        <v>933</v>
      </c>
      <c r="BV2667" s="2" t="s">
        <v>95</v>
      </c>
      <c r="BW2667" s="2"/>
      <c r="BX2667" s="2"/>
      <c r="BY2667" s="2">
        <v>1200</v>
      </c>
      <c r="BZ2667" s="2" t="s">
        <v>27</v>
      </c>
      <c r="CA2667" s="2" t="s">
        <v>934</v>
      </c>
      <c r="CB2667" s="2"/>
      <c r="CC2667" s="2" t="s">
        <v>222</v>
      </c>
      <c r="CD2667" s="2">
        <v>4302</v>
      </c>
      <c r="CE2667" s="2" t="s">
        <v>104</v>
      </c>
      <c r="CF2667" s="5">
        <v>42972</v>
      </c>
      <c r="CG2667" s="2"/>
      <c r="CH2667" s="2"/>
      <c r="CI2667" s="2">
        <v>1</v>
      </c>
      <c r="CJ2667" s="2">
        <v>1</v>
      </c>
      <c r="CK2667" s="2">
        <v>21</v>
      </c>
      <c r="CL2667" s="2" t="s">
        <v>86</v>
      </c>
      <c r="CM2667" s="2"/>
    </row>
    <row r="2668" spans="1:91">
      <c r="A2668" s="2" t="s">
        <v>71</v>
      </c>
      <c r="B2668" s="2" t="s">
        <v>72</v>
      </c>
      <c r="C2668" s="2" t="s">
        <v>73</v>
      </c>
      <c r="D2668" s="2"/>
      <c r="E2668" s="2" t="str">
        <f>"FES1162570935"</f>
        <v>FES1162570935</v>
      </c>
      <c r="F2668" s="3">
        <v>42970</v>
      </c>
      <c r="G2668" s="2">
        <v>201802</v>
      </c>
      <c r="H2668" s="2" t="s">
        <v>74</v>
      </c>
      <c r="I2668" s="2" t="s">
        <v>75</v>
      </c>
      <c r="J2668" s="2" t="s">
        <v>76</v>
      </c>
      <c r="K2668" s="2" t="s">
        <v>77</v>
      </c>
      <c r="L2668" s="2" t="s">
        <v>74</v>
      </c>
      <c r="M2668" s="2" t="s">
        <v>75</v>
      </c>
      <c r="N2668" s="2" t="s">
        <v>454</v>
      </c>
      <c r="O2668" s="2" t="s">
        <v>100</v>
      </c>
      <c r="P2668" s="2" t="str">
        <f>"2170586606                    "</f>
        <v xml:space="preserve">2170586606  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3.13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1</v>
      </c>
      <c r="BI2668" s="2">
        <v>3.7</v>
      </c>
      <c r="BJ2668" s="2">
        <v>1</v>
      </c>
      <c r="BK2668" s="2">
        <v>4</v>
      </c>
      <c r="BL2668" s="2">
        <v>32.380000000000003</v>
      </c>
      <c r="BM2668" s="2">
        <v>4.53</v>
      </c>
      <c r="BN2668" s="2">
        <v>36.909999999999997</v>
      </c>
      <c r="BO2668" s="2">
        <v>36.909999999999997</v>
      </c>
      <c r="BP2668" s="2"/>
      <c r="BQ2668" s="2" t="s">
        <v>288</v>
      </c>
      <c r="BR2668" s="2" t="s">
        <v>84</v>
      </c>
      <c r="BS2668" s="3">
        <v>42971</v>
      </c>
      <c r="BT2668" s="4">
        <v>0.33819444444444446</v>
      </c>
      <c r="BU2668" s="2" t="s">
        <v>2529</v>
      </c>
      <c r="BV2668" s="2" t="s">
        <v>95</v>
      </c>
      <c r="BW2668" s="2"/>
      <c r="BX2668" s="2"/>
      <c r="BY2668" s="2">
        <v>4989.88</v>
      </c>
      <c r="BZ2668" s="2"/>
      <c r="CA2668" s="2" t="s">
        <v>328</v>
      </c>
      <c r="CB2668" s="2"/>
      <c r="CC2668" s="2" t="s">
        <v>75</v>
      </c>
      <c r="CD2668" s="2">
        <v>1601</v>
      </c>
      <c r="CE2668" s="2" t="s">
        <v>89</v>
      </c>
      <c r="CF2668" s="5">
        <v>42972</v>
      </c>
      <c r="CG2668" s="2"/>
      <c r="CH2668" s="2"/>
      <c r="CI2668" s="2">
        <v>1</v>
      </c>
      <c r="CJ2668" s="2">
        <v>1</v>
      </c>
      <c r="CK2668" s="2">
        <v>22</v>
      </c>
      <c r="CL2668" s="2" t="s">
        <v>86</v>
      </c>
      <c r="CM2668" s="2"/>
    </row>
    <row r="2669" spans="1:91">
      <c r="A2669" s="2" t="s">
        <v>71</v>
      </c>
      <c r="B2669" s="2" t="s">
        <v>72</v>
      </c>
      <c r="C2669" s="2" t="s">
        <v>73</v>
      </c>
      <c r="D2669" s="2"/>
      <c r="E2669" s="2" t="str">
        <f>"FES1162570833"</f>
        <v>FES1162570833</v>
      </c>
      <c r="F2669" s="3">
        <v>42970</v>
      </c>
      <c r="G2669" s="2">
        <v>201802</v>
      </c>
      <c r="H2669" s="2" t="s">
        <v>74</v>
      </c>
      <c r="I2669" s="2" t="s">
        <v>75</v>
      </c>
      <c r="J2669" s="2" t="s">
        <v>76</v>
      </c>
      <c r="K2669" s="2" t="s">
        <v>77</v>
      </c>
      <c r="L2669" s="2" t="s">
        <v>237</v>
      </c>
      <c r="M2669" s="2" t="s">
        <v>238</v>
      </c>
      <c r="N2669" s="2" t="s">
        <v>1766</v>
      </c>
      <c r="O2669" s="2" t="s">
        <v>100</v>
      </c>
      <c r="P2669" s="2" t="str">
        <f>"2170584180                    "</f>
        <v xml:space="preserve">2170584180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4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1</v>
      </c>
      <c r="BI2669" s="2">
        <v>1</v>
      </c>
      <c r="BJ2669" s="2">
        <v>0.2</v>
      </c>
      <c r="BK2669" s="2">
        <v>1</v>
      </c>
      <c r="BL2669" s="2">
        <v>41.44</v>
      </c>
      <c r="BM2669" s="2">
        <v>5.8</v>
      </c>
      <c r="BN2669" s="2">
        <v>47.24</v>
      </c>
      <c r="BO2669" s="2">
        <v>47.24</v>
      </c>
      <c r="BP2669" s="2"/>
      <c r="BQ2669" s="2" t="s">
        <v>108</v>
      </c>
      <c r="BR2669" s="2" t="s">
        <v>84</v>
      </c>
      <c r="BS2669" s="3">
        <v>42971</v>
      </c>
      <c r="BT2669" s="4">
        <v>0.41666666666666669</v>
      </c>
      <c r="BU2669" s="2" t="s">
        <v>428</v>
      </c>
      <c r="BV2669" s="2" t="s">
        <v>95</v>
      </c>
      <c r="BW2669" s="2"/>
      <c r="BX2669" s="2"/>
      <c r="BY2669" s="2">
        <v>1200</v>
      </c>
      <c r="BZ2669" s="2" t="s">
        <v>27</v>
      </c>
      <c r="CA2669" s="2" t="s">
        <v>401</v>
      </c>
      <c r="CB2669" s="2"/>
      <c r="CC2669" s="2" t="s">
        <v>238</v>
      </c>
      <c r="CD2669" s="2">
        <v>3620</v>
      </c>
      <c r="CE2669" s="2" t="s">
        <v>104</v>
      </c>
      <c r="CF2669" s="5">
        <v>42972</v>
      </c>
      <c r="CG2669" s="2"/>
      <c r="CH2669" s="2"/>
      <c r="CI2669" s="2">
        <v>1</v>
      </c>
      <c r="CJ2669" s="2">
        <v>1</v>
      </c>
      <c r="CK2669" s="2">
        <v>21</v>
      </c>
      <c r="CL2669" s="2" t="s">
        <v>86</v>
      </c>
      <c r="CM2669" s="2"/>
    </row>
    <row r="2670" spans="1:91">
      <c r="A2670" s="2" t="s">
        <v>71</v>
      </c>
      <c r="B2670" s="2" t="s">
        <v>72</v>
      </c>
      <c r="C2670" s="2" t="s">
        <v>73</v>
      </c>
      <c r="D2670" s="2"/>
      <c r="E2670" s="2" t="str">
        <f>"FES1162571046"</f>
        <v>FES1162571046</v>
      </c>
      <c r="F2670" s="3">
        <v>42970</v>
      </c>
      <c r="G2670" s="2">
        <v>201802</v>
      </c>
      <c r="H2670" s="2" t="s">
        <v>74</v>
      </c>
      <c r="I2670" s="2" t="s">
        <v>75</v>
      </c>
      <c r="J2670" s="2" t="s">
        <v>76</v>
      </c>
      <c r="K2670" s="2" t="s">
        <v>77</v>
      </c>
      <c r="L2670" s="2" t="s">
        <v>105</v>
      </c>
      <c r="M2670" s="2" t="s">
        <v>106</v>
      </c>
      <c r="N2670" s="2" t="s">
        <v>107</v>
      </c>
      <c r="O2670" s="2" t="s">
        <v>100</v>
      </c>
      <c r="P2670" s="2" t="str">
        <f>"2170586724                    "</f>
        <v xml:space="preserve">2170586724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4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1.7</v>
      </c>
      <c r="BJ2670" s="2">
        <v>1</v>
      </c>
      <c r="BK2670" s="2">
        <v>2</v>
      </c>
      <c r="BL2670" s="2">
        <v>41.44</v>
      </c>
      <c r="BM2670" s="2">
        <v>5.8</v>
      </c>
      <c r="BN2670" s="2">
        <v>47.24</v>
      </c>
      <c r="BO2670" s="2">
        <v>47.24</v>
      </c>
      <c r="BP2670" s="2"/>
      <c r="BQ2670" s="2" t="s">
        <v>108</v>
      </c>
      <c r="BR2670" s="2" t="s">
        <v>84</v>
      </c>
      <c r="BS2670" s="3">
        <v>42971</v>
      </c>
      <c r="BT2670" s="4">
        <v>0.375</v>
      </c>
      <c r="BU2670" s="2" t="s">
        <v>236</v>
      </c>
      <c r="BV2670" s="2" t="s">
        <v>95</v>
      </c>
      <c r="BW2670" s="2"/>
      <c r="BX2670" s="2"/>
      <c r="BY2670" s="2">
        <v>5133.6000000000004</v>
      </c>
      <c r="BZ2670" s="2"/>
      <c r="CA2670" s="2" t="s">
        <v>112</v>
      </c>
      <c r="CB2670" s="2"/>
      <c r="CC2670" s="2" t="s">
        <v>106</v>
      </c>
      <c r="CD2670" s="2">
        <v>7405</v>
      </c>
      <c r="CE2670" s="2" t="s">
        <v>89</v>
      </c>
      <c r="CF2670" s="5">
        <v>42972</v>
      </c>
      <c r="CG2670" s="2"/>
      <c r="CH2670" s="2"/>
      <c r="CI2670" s="2">
        <v>1</v>
      </c>
      <c r="CJ2670" s="2">
        <v>1</v>
      </c>
      <c r="CK2670" s="2">
        <v>21</v>
      </c>
      <c r="CL2670" s="2" t="s">
        <v>86</v>
      </c>
      <c r="CM2670" s="2"/>
    </row>
    <row r="2671" spans="1:91">
      <c r="A2671" s="2" t="s">
        <v>71</v>
      </c>
      <c r="B2671" s="2" t="s">
        <v>72</v>
      </c>
      <c r="C2671" s="2" t="s">
        <v>73</v>
      </c>
      <c r="D2671" s="2"/>
      <c r="E2671" s="2" t="str">
        <f>"FES1162570893"</f>
        <v>FES1162570893</v>
      </c>
      <c r="F2671" s="3">
        <v>42970</v>
      </c>
      <c r="G2671" s="2">
        <v>201802</v>
      </c>
      <c r="H2671" s="2" t="s">
        <v>74</v>
      </c>
      <c r="I2671" s="2" t="s">
        <v>75</v>
      </c>
      <c r="J2671" s="2" t="s">
        <v>76</v>
      </c>
      <c r="K2671" s="2" t="s">
        <v>77</v>
      </c>
      <c r="L2671" s="2" t="s">
        <v>332</v>
      </c>
      <c r="M2671" s="2" t="s">
        <v>333</v>
      </c>
      <c r="N2671" s="2" t="s">
        <v>334</v>
      </c>
      <c r="O2671" s="2" t="s">
        <v>100</v>
      </c>
      <c r="P2671" s="2" t="str">
        <f>"2170584511                    "</f>
        <v xml:space="preserve">2170584511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7.75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1</v>
      </c>
      <c r="BJ2671" s="2">
        <v>0.2</v>
      </c>
      <c r="BK2671" s="2">
        <v>1</v>
      </c>
      <c r="BL2671" s="2">
        <v>80.290000000000006</v>
      </c>
      <c r="BM2671" s="2">
        <v>11.24</v>
      </c>
      <c r="BN2671" s="2">
        <v>91.53</v>
      </c>
      <c r="BO2671" s="2">
        <v>91.53</v>
      </c>
      <c r="BP2671" s="2"/>
      <c r="BQ2671" s="2" t="s">
        <v>209</v>
      </c>
      <c r="BR2671" s="2" t="s">
        <v>84</v>
      </c>
      <c r="BS2671" s="3">
        <v>42971</v>
      </c>
      <c r="BT2671" s="4">
        <v>0.45694444444444443</v>
      </c>
      <c r="BU2671" s="2" t="s">
        <v>736</v>
      </c>
      <c r="BV2671" s="2" t="s">
        <v>95</v>
      </c>
      <c r="BW2671" s="2"/>
      <c r="BX2671" s="2"/>
      <c r="BY2671" s="2">
        <v>1200</v>
      </c>
      <c r="BZ2671" s="2" t="s">
        <v>27</v>
      </c>
      <c r="CA2671" s="2" t="s">
        <v>338</v>
      </c>
      <c r="CB2671" s="2"/>
      <c r="CC2671" s="2" t="s">
        <v>333</v>
      </c>
      <c r="CD2671" s="2">
        <v>4450</v>
      </c>
      <c r="CE2671" s="2" t="s">
        <v>104</v>
      </c>
      <c r="CF2671" s="5">
        <v>42972</v>
      </c>
      <c r="CG2671" s="2"/>
      <c r="CH2671" s="2"/>
      <c r="CI2671" s="2">
        <v>1</v>
      </c>
      <c r="CJ2671" s="2">
        <v>1</v>
      </c>
      <c r="CK2671" s="2">
        <v>23</v>
      </c>
      <c r="CL2671" s="2" t="s">
        <v>86</v>
      </c>
      <c r="CM2671" s="2"/>
    </row>
    <row r="2672" spans="1:91">
      <c r="A2672" s="2" t="s">
        <v>71</v>
      </c>
      <c r="B2672" s="2" t="s">
        <v>72</v>
      </c>
      <c r="C2672" s="2" t="s">
        <v>73</v>
      </c>
      <c r="D2672" s="2"/>
      <c r="E2672" s="2" t="str">
        <f>"FES1162571016"</f>
        <v>FES1162571016</v>
      </c>
      <c r="F2672" s="3">
        <v>42970</v>
      </c>
      <c r="G2672" s="2">
        <v>201802</v>
      </c>
      <c r="H2672" s="2" t="s">
        <v>74</v>
      </c>
      <c r="I2672" s="2" t="s">
        <v>75</v>
      </c>
      <c r="J2672" s="2" t="s">
        <v>76</v>
      </c>
      <c r="K2672" s="2" t="s">
        <v>77</v>
      </c>
      <c r="L2672" s="2" t="s">
        <v>174</v>
      </c>
      <c r="M2672" s="2" t="s">
        <v>175</v>
      </c>
      <c r="N2672" s="2" t="s">
        <v>920</v>
      </c>
      <c r="O2672" s="2" t="s">
        <v>100</v>
      </c>
      <c r="P2672" s="2" t="str">
        <f>"2170576868                    "</f>
        <v xml:space="preserve">2170576868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5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1</v>
      </c>
      <c r="BI2672" s="2">
        <v>2.1</v>
      </c>
      <c r="BJ2672" s="2">
        <v>1.9</v>
      </c>
      <c r="BK2672" s="2">
        <v>2.5</v>
      </c>
      <c r="BL2672" s="2">
        <v>51.8</v>
      </c>
      <c r="BM2672" s="2">
        <v>7.25</v>
      </c>
      <c r="BN2672" s="2">
        <v>59.05</v>
      </c>
      <c r="BO2672" s="2">
        <v>59.05</v>
      </c>
      <c r="BP2672" s="2"/>
      <c r="BQ2672" s="2" t="s">
        <v>108</v>
      </c>
      <c r="BR2672" s="2" t="s">
        <v>84</v>
      </c>
      <c r="BS2672" s="3">
        <v>42971</v>
      </c>
      <c r="BT2672" s="4">
        <v>0.4201388888888889</v>
      </c>
      <c r="BU2672" s="2" t="s">
        <v>3057</v>
      </c>
      <c r="BV2672" s="2" t="s">
        <v>95</v>
      </c>
      <c r="BW2672" s="2"/>
      <c r="BX2672" s="2"/>
      <c r="BY2672" s="2">
        <v>9658.83</v>
      </c>
      <c r="BZ2672" s="2"/>
      <c r="CA2672" s="2"/>
      <c r="CB2672" s="2"/>
      <c r="CC2672" s="2" t="s">
        <v>175</v>
      </c>
      <c r="CD2672" s="2">
        <v>5201</v>
      </c>
      <c r="CE2672" s="2" t="s">
        <v>89</v>
      </c>
      <c r="CF2672" s="5">
        <v>42972</v>
      </c>
      <c r="CG2672" s="2"/>
      <c r="CH2672" s="2"/>
      <c r="CI2672" s="2">
        <v>1</v>
      </c>
      <c r="CJ2672" s="2">
        <v>1</v>
      </c>
      <c r="CK2672" s="2">
        <v>21</v>
      </c>
      <c r="CL2672" s="2" t="s">
        <v>86</v>
      </c>
      <c r="CM2672" s="2"/>
    </row>
    <row r="2673" spans="1:91">
      <c r="A2673" s="2" t="s">
        <v>71</v>
      </c>
      <c r="B2673" s="2" t="s">
        <v>72</v>
      </c>
      <c r="C2673" s="2" t="s">
        <v>73</v>
      </c>
      <c r="D2673" s="2"/>
      <c r="E2673" s="2" t="str">
        <f>"FES1162570794"</f>
        <v>FES1162570794</v>
      </c>
      <c r="F2673" s="3">
        <v>42970</v>
      </c>
      <c r="G2673" s="2">
        <v>201802</v>
      </c>
      <c r="H2673" s="2" t="s">
        <v>74</v>
      </c>
      <c r="I2673" s="2" t="s">
        <v>75</v>
      </c>
      <c r="J2673" s="2" t="s">
        <v>76</v>
      </c>
      <c r="K2673" s="2" t="s">
        <v>77</v>
      </c>
      <c r="L2673" s="2" t="s">
        <v>221</v>
      </c>
      <c r="M2673" s="2" t="s">
        <v>222</v>
      </c>
      <c r="N2673" s="2" t="s">
        <v>415</v>
      </c>
      <c r="O2673" s="2" t="s">
        <v>100</v>
      </c>
      <c r="P2673" s="2" t="str">
        <f>"2170586529                    "</f>
        <v xml:space="preserve">2170586529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8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3.8</v>
      </c>
      <c r="BJ2673" s="2">
        <v>3.9</v>
      </c>
      <c r="BK2673" s="2">
        <v>4</v>
      </c>
      <c r="BL2673" s="2">
        <v>82.88</v>
      </c>
      <c r="BM2673" s="2">
        <v>11.6</v>
      </c>
      <c r="BN2673" s="2">
        <v>94.48</v>
      </c>
      <c r="BO2673" s="2">
        <v>94.48</v>
      </c>
      <c r="BP2673" s="2"/>
      <c r="BQ2673" s="2" t="s">
        <v>108</v>
      </c>
      <c r="BR2673" s="2" t="s">
        <v>84</v>
      </c>
      <c r="BS2673" s="3">
        <v>42971</v>
      </c>
      <c r="BT2673" s="4">
        <v>0.37152777777777773</v>
      </c>
      <c r="BU2673" s="2" t="s">
        <v>933</v>
      </c>
      <c r="BV2673" s="2" t="s">
        <v>95</v>
      </c>
      <c r="BW2673" s="2"/>
      <c r="BX2673" s="2"/>
      <c r="BY2673" s="2">
        <v>19718.84</v>
      </c>
      <c r="BZ2673" s="2" t="s">
        <v>27</v>
      </c>
      <c r="CA2673" s="2" t="s">
        <v>934</v>
      </c>
      <c r="CB2673" s="2"/>
      <c r="CC2673" s="2" t="s">
        <v>222</v>
      </c>
      <c r="CD2673" s="2">
        <v>4302</v>
      </c>
      <c r="CE2673" s="2" t="s">
        <v>89</v>
      </c>
      <c r="CF2673" s="5">
        <v>42972</v>
      </c>
      <c r="CG2673" s="2"/>
      <c r="CH2673" s="2"/>
      <c r="CI2673" s="2">
        <v>1</v>
      </c>
      <c r="CJ2673" s="2">
        <v>1</v>
      </c>
      <c r="CK2673" s="2">
        <v>21</v>
      </c>
      <c r="CL2673" s="2" t="s">
        <v>86</v>
      </c>
      <c r="CM2673" s="2"/>
    </row>
    <row r="2674" spans="1:91">
      <c r="A2674" s="2" t="s">
        <v>71</v>
      </c>
      <c r="B2674" s="2" t="s">
        <v>72</v>
      </c>
      <c r="C2674" s="2" t="s">
        <v>73</v>
      </c>
      <c r="D2674" s="2"/>
      <c r="E2674" s="2" t="str">
        <f>"FES1162570773"</f>
        <v>FES1162570773</v>
      </c>
      <c r="F2674" s="3">
        <v>42970</v>
      </c>
      <c r="G2674" s="2">
        <v>201802</v>
      </c>
      <c r="H2674" s="2" t="s">
        <v>74</v>
      </c>
      <c r="I2674" s="2" t="s">
        <v>75</v>
      </c>
      <c r="J2674" s="2" t="s">
        <v>76</v>
      </c>
      <c r="K2674" s="2" t="s">
        <v>77</v>
      </c>
      <c r="L2674" s="2" t="s">
        <v>149</v>
      </c>
      <c r="M2674" s="2" t="s">
        <v>150</v>
      </c>
      <c r="N2674" s="2" t="s">
        <v>482</v>
      </c>
      <c r="O2674" s="2" t="s">
        <v>100</v>
      </c>
      <c r="P2674" s="2" t="str">
        <f>"2170582792                    "</f>
        <v xml:space="preserve">2170582792  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15.01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6.5</v>
      </c>
      <c r="BJ2674" s="2">
        <v>7.5</v>
      </c>
      <c r="BK2674" s="2">
        <v>7.5</v>
      </c>
      <c r="BL2674" s="2">
        <v>155.41</v>
      </c>
      <c r="BM2674" s="2">
        <v>21.76</v>
      </c>
      <c r="BN2674" s="2">
        <v>177.17</v>
      </c>
      <c r="BO2674" s="2">
        <v>177.17</v>
      </c>
      <c r="BP2674" s="2"/>
      <c r="BQ2674" s="2" t="s">
        <v>83</v>
      </c>
      <c r="BR2674" s="2" t="s">
        <v>84</v>
      </c>
      <c r="BS2674" s="3">
        <v>42971</v>
      </c>
      <c r="BT2674" s="4">
        <v>0.4375</v>
      </c>
      <c r="BU2674" s="2" t="s">
        <v>2390</v>
      </c>
      <c r="BV2674" s="2" t="s">
        <v>95</v>
      </c>
      <c r="BW2674" s="2"/>
      <c r="BX2674" s="2"/>
      <c r="BY2674" s="2">
        <v>37393.199999999997</v>
      </c>
      <c r="BZ2674" s="2" t="s">
        <v>27</v>
      </c>
      <c r="CA2674" s="2"/>
      <c r="CB2674" s="2"/>
      <c r="CC2674" s="2" t="s">
        <v>150</v>
      </c>
      <c r="CD2674" s="2">
        <v>4001</v>
      </c>
      <c r="CE2674" s="2" t="s">
        <v>89</v>
      </c>
      <c r="CF2674" s="5">
        <v>42972</v>
      </c>
      <c r="CG2674" s="2"/>
      <c r="CH2674" s="2"/>
      <c r="CI2674" s="2">
        <v>1</v>
      </c>
      <c r="CJ2674" s="2">
        <v>1</v>
      </c>
      <c r="CK2674" s="2">
        <v>21</v>
      </c>
      <c r="CL2674" s="2" t="s">
        <v>86</v>
      </c>
      <c r="CM2674" s="2"/>
    </row>
    <row r="2675" spans="1:91">
      <c r="A2675" s="2" t="s">
        <v>71</v>
      </c>
      <c r="B2675" s="2" t="s">
        <v>72</v>
      </c>
      <c r="C2675" s="2" t="s">
        <v>73</v>
      </c>
      <c r="D2675" s="2"/>
      <c r="E2675" s="2" t="str">
        <f>"FES1162571002"</f>
        <v>FES1162571002</v>
      </c>
      <c r="F2675" s="3">
        <v>42970</v>
      </c>
      <c r="G2675" s="2">
        <v>201802</v>
      </c>
      <c r="H2675" s="2" t="s">
        <v>74</v>
      </c>
      <c r="I2675" s="2" t="s">
        <v>75</v>
      </c>
      <c r="J2675" s="2" t="s">
        <v>76</v>
      </c>
      <c r="K2675" s="2" t="s">
        <v>77</v>
      </c>
      <c r="L2675" s="2" t="s">
        <v>321</v>
      </c>
      <c r="M2675" s="2" t="s">
        <v>322</v>
      </c>
      <c r="N2675" s="2" t="s">
        <v>323</v>
      </c>
      <c r="O2675" s="2" t="s">
        <v>100</v>
      </c>
      <c r="P2675" s="2" t="str">
        <f>"2170585993                    "</f>
        <v xml:space="preserve">2170585993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10.01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4.8</v>
      </c>
      <c r="BJ2675" s="2">
        <v>3.2</v>
      </c>
      <c r="BK2675" s="2">
        <v>5</v>
      </c>
      <c r="BL2675" s="2">
        <v>103.61</v>
      </c>
      <c r="BM2675" s="2">
        <v>14.51</v>
      </c>
      <c r="BN2675" s="2">
        <v>118.12</v>
      </c>
      <c r="BO2675" s="2">
        <v>118.12</v>
      </c>
      <c r="BP2675" s="2"/>
      <c r="BQ2675" s="2" t="s">
        <v>83</v>
      </c>
      <c r="BR2675" s="2" t="s">
        <v>84</v>
      </c>
      <c r="BS2675" s="3">
        <v>42971</v>
      </c>
      <c r="BT2675" s="4">
        <v>0.41041666666666665</v>
      </c>
      <c r="BU2675" s="2" t="s">
        <v>324</v>
      </c>
      <c r="BV2675" s="2" t="s">
        <v>95</v>
      </c>
      <c r="BW2675" s="2"/>
      <c r="BX2675" s="2"/>
      <c r="BY2675" s="2">
        <v>16116.75</v>
      </c>
      <c r="BZ2675" s="2"/>
      <c r="CA2675" s="2" t="s">
        <v>103</v>
      </c>
      <c r="CB2675" s="2"/>
      <c r="CC2675" s="2" t="s">
        <v>322</v>
      </c>
      <c r="CD2675" s="2">
        <v>6220</v>
      </c>
      <c r="CE2675" s="2" t="s">
        <v>89</v>
      </c>
      <c r="CF2675" s="5">
        <v>42972</v>
      </c>
      <c r="CG2675" s="2"/>
      <c r="CH2675" s="2"/>
      <c r="CI2675" s="2">
        <v>1</v>
      </c>
      <c r="CJ2675" s="2">
        <v>1</v>
      </c>
      <c r="CK2675" s="2">
        <v>21</v>
      </c>
      <c r="CL2675" s="2" t="s">
        <v>86</v>
      </c>
      <c r="CM2675" s="2"/>
    </row>
    <row r="2676" spans="1:91">
      <c r="A2676" s="2" t="s">
        <v>71</v>
      </c>
      <c r="B2676" s="2" t="s">
        <v>72</v>
      </c>
      <c r="C2676" s="2" t="s">
        <v>73</v>
      </c>
      <c r="D2676" s="2"/>
      <c r="E2676" s="2" t="str">
        <f>"FES1162570827"</f>
        <v>FES1162570827</v>
      </c>
      <c r="F2676" s="3">
        <v>42970</v>
      </c>
      <c r="G2676" s="2">
        <v>201802</v>
      </c>
      <c r="H2676" s="2" t="s">
        <v>74</v>
      </c>
      <c r="I2676" s="2" t="s">
        <v>75</v>
      </c>
      <c r="J2676" s="2" t="s">
        <v>76</v>
      </c>
      <c r="K2676" s="2" t="s">
        <v>77</v>
      </c>
      <c r="L2676" s="2" t="s">
        <v>1229</v>
      </c>
      <c r="M2676" s="2" t="s">
        <v>1230</v>
      </c>
      <c r="N2676" s="2" t="s">
        <v>1231</v>
      </c>
      <c r="O2676" s="2" t="s">
        <v>100</v>
      </c>
      <c r="P2676" s="2" t="str">
        <f>"2170586546                    "</f>
        <v xml:space="preserve">2170586546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3.13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1</v>
      </c>
      <c r="BJ2676" s="2">
        <v>0.2</v>
      </c>
      <c r="BK2676" s="2">
        <v>1</v>
      </c>
      <c r="BL2676" s="2">
        <v>32.380000000000003</v>
      </c>
      <c r="BM2676" s="2">
        <v>4.53</v>
      </c>
      <c r="BN2676" s="2">
        <v>36.909999999999997</v>
      </c>
      <c r="BO2676" s="2">
        <v>36.909999999999997</v>
      </c>
      <c r="BP2676" s="2"/>
      <c r="BQ2676" s="2" t="s">
        <v>288</v>
      </c>
      <c r="BR2676" s="2" t="s">
        <v>84</v>
      </c>
      <c r="BS2676" s="3">
        <v>42971</v>
      </c>
      <c r="BT2676" s="4">
        <v>0.45833333333333331</v>
      </c>
      <c r="BU2676" s="2" t="s">
        <v>1360</v>
      </c>
      <c r="BV2676" s="2" t="s">
        <v>86</v>
      </c>
      <c r="BW2676" s="2" t="s">
        <v>124</v>
      </c>
      <c r="BX2676" s="2" t="s">
        <v>1024</v>
      </c>
      <c r="BY2676" s="2">
        <v>1200</v>
      </c>
      <c r="BZ2676" s="2" t="s">
        <v>27</v>
      </c>
      <c r="CA2676" s="2" t="s">
        <v>1738</v>
      </c>
      <c r="CB2676" s="2"/>
      <c r="CC2676" s="2" t="s">
        <v>1230</v>
      </c>
      <c r="CD2676" s="2">
        <v>1449</v>
      </c>
      <c r="CE2676" s="2" t="s">
        <v>104</v>
      </c>
      <c r="CF2676" s="5">
        <v>42972</v>
      </c>
      <c r="CG2676" s="2"/>
      <c r="CH2676" s="2"/>
      <c r="CI2676" s="2">
        <v>1</v>
      </c>
      <c r="CJ2676" s="2">
        <v>1</v>
      </c>
      <c r="CK2676" s="2">
        <v>22</v>
      </c>
      <c r="CL2676" s="2" t="s">
        <v>86</v>
      </c>
      <c r="CM2676" s="2"/>
    </row>
    <row r="2677" spans="1:91">
      <c r="A2677" s="2" t="s">
        <v>71</v>
      </c>
      <c r="B2677" s="2" t="s">
        <v>72</v>
      </c>
      <c r="C2677" s="2" t="s">
        <v>73</v>
      </c>
      <c r="D2677" s="2"/>
      <c r="E2677" s="2" t="str">
        <f>"FES1162570943"</f>
        <v>FES1162570943</v>
      </c>
      <c r="F2677" s="3">
        <v>42970</v>
      </c>
      <c r="G2677" s="2">
        <v>201802</v>
      </c>
      <c r="H2677" s="2" t="s">
        <v>74</v>
      </c>
      <c r="I2677" s="2" t="s">
        <v>75</v>
      </c>
      <c r="J2677" s="2" t="s">
        <v>76</v>
      </c>
      <c r="K2677" s="2" t="s">
        <v>77</v>
      </c>
      <c r="L2677" s="2" t="s">
        <v>221</v>
      </c>
      <c r="M2677" s="2" t="s">
        <v>222</v>
      </c>
      <c r="N2677" s="2" t="s">
        <v>415</v>
      </c>
      <c r="O2677" s="2" t="s">
        <v>100</v>
      </c>
      <c r="P2677" s="2" t="str">
        <f>"2170586614                    "</f>
        <v xml:space="preserve">2170586614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14.01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1</v>
      </c>
      <c r="BI2677" s="2">
        <v>7</v>
      </c>
      <c r="BJ2677" s="2">
        <v>4.0999999999999996</v>
      </c>
      <c r="BK2677" s="2">
        <v>7</v>
      </c>
      <c r="BL2677" s="2">
        <v>145.05000000000001</v>
      </c>
      <c r="BM2677" s="2">
        <v>20.309999999999999</v>
      </c>
      <c r="BN2677" s="2">
        <v>165.36</v>
      </c>
      <c r="BO2677" s="2">
        <v>165.36</v>
      </c>
      <c r="BP2677" s="2"/>
      <c r="BQ2677" s="2" t="s">
        <v>108</v>
      </c>
      <c r="BR2677" s="2" t="s">
        <v>84</v>
      </c>
      <c r="BS2677" s="3">
        <v>42971</v>
      </c>
      <c r="BT2677" s="4">
        <v>0.37152777777777773</v>
      </c>
      <c r="BU2677" s="2" t="s">
        <v>933</v>
      </c>
      <c r="BV2677" s="2" t="s">
        <v>95</v>
      </c>
      <c r="BW2677" s="2"/>
      <c r="BX2677" s="2"/>
      <c r="BY2677" s="2">
        <v>20358</v>
      </c>
      <c r="BZ2677" s="2"/>
      <c r="CA2677" s="2" t="s">
        <v>934</v>
      </c>
      <c r="CB2677" s="2"/>
      <c r="CC2677" s="2" t="s">
        <v>222</v>
      </c>
      <c r="CD2677" s="2">
        <v>4302</v>
      </c>
      <c r="CE2677" s="2" t="s">
        <v>89</v>
      </c>
      <c r="CF2677" s="2"/>
      <c r="CG2677" s="2"/>
      <c r="CH2677" s="2"/>
      <c r="CI2677" s="2">
        <v>1</v>
      </c>
      <c r="CJ2677" s="2">
        <v>1</v>
      </c>
      <c r="CK2677" s="2">
        <v>21</v>
      </c>
      <c r="CL2677" s="2" t="s">
        <v>86</v>
      </c>
      <c r="CM2677" s="2"/>
    </row>
    <row r="2678" spans="1:91">
      <c r="A2678" s="2" t="s">
        <v>71</v>
      </c>
      <c r="B2678" s="2" t="s">
        <v>72</v>
      </c>
      <c r="C2678" s="2" t="s">
        <v>73</v>
      </c>
      <c r="D2678" s="2"/>
      <c r="E2678" s="2" t="str">
        <f>"FES1162570795"</f>
        <v>FES1162570795</v>
      </c>
      <c r="F2678" s="3">
        <v>42970</v>
      </c>
      <c r="G2678" s="2">
        <v>201802</v>
      </c>
      <c r="H2678" s="2" t="s">
        <v>74</v>
      </c>
      <c r="I2678" s="2" t="s">
        <v>75</v>
      </c>
      <c r="J2678" s="2" t="s">
        <v>76</v>
      </c>
      <c r="K2678" s="2" t="s">
        <v>77</v>
      </c>
      <c r="L2678" s="2" t="s">
        <v>74</v>
      </c>
      <c r="M2678" s="2" t="s">
        <v>75</v>
      </c>
      <c r="N2678" s="2" t="s">
        <v>407</v>
      </c>
      <c r="O2678" s="2" t="s">
        <v>100</v>
      </c>
      <c r="P2678" s="2" t="str">
        <f>"2170586530                    "</f>
        <v xml:space="preserve">2170586530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3.13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1</v>
      </c>
      <c r="BI2678" s="2">
        <v>1</v>
      </c>
      <c r="BJ2678" s="2">
        <v>0.2</v>
      </c>
      <c r="BK2678" s="2">
        <v>1</v>
      </c>
      <c r="BL2678" s="2">
        <v>32.380000000000003</v>
      </c>
      <c r="BM2678" s="2">
        <v>4.53</v>
      </c>
      <c r="BN2678" s="2">
        <v>36.909999999999997</v>
      </c>
      <c r="BO2678" s="2">
        <v>36.909999999999997</v>
      </c>
      <c r="BP2678" s="2"/>
      <c r="BQ2678" s="2" t="s">
        <v>108</v>
      </c>
      <c r="BR2678" s="2" t="s">
        <v>84</v>
      </c>
      <c r="BS2678" s="3">
        <v>42971</v>
      </c>
      <c r="BT2678" s="4">
        <v>0.32291666666666669</v>
      </c>
      <c r="BU2678" s="2" t="s">
        <v>3036</v>
      </c>
      <c r="BV2678" s="2" t="s">
        <v>95</v>
      </c>
      <c r="BW2678" s="2"/>
      <c r="BX2678" s="2"/>
      <c r="BY2678" s="2">
        <v>1200</v>
      </c>
      <c r="BZ2678" s="2" t="s">
        <v>27</v>
      </c>
      <c r="CA2678" s="2" t="s">
        <v>709</v>
      </c>
      <c r="CB2678" s="2"/>
      <c r="CC2678" s="2" t="s">
        <v>75</v>
      </c>
      <c r="CD2678" s="2">
        <v>1645</v>
      </c>
      <c r="CE2678" s="2" t="s">
        <v>104</v>
      </c>
      <c r="CF2678" s="5">
        <v>42972</v>
      </c>
      <c r="CG2678" s="2"/>
      <c r="CH2678" s="2"/>
      <c r="CI2678" s="2">
        <v>1</v>
      </c>
      <c r="CJ2678" s="2">
        <v>1</v>
      </c>
      <c r="CK2678" s="2">
        <v>22</v>
      </c>
      <c r="CL2678" s="2" t="s">
        <v>86</v>
      </c>
      <c r="CM2678" s="2"/>
    </row>
    <row r="2679" spans="1:91">
      <c r="A2679" s="2" t="s">
        <v>71</v>
      </c>
      <c r="B2679" s="2" t="s">
        <v>72</v>
      </c>
      <c r="C2679" s="2" t="s">
        <v>73</v>
      </c>
      <c r="D2679" s="2"/>
      <c r="E2679" s="2" t="str">
        <f>"FES1162570895"</f>
        <v>FES1162570895</v>
      </c>
      <c r="F2679" s="3">
        <v>42970</v>
      </c>
      <c r="G2679" s="2">
        <v>201802</v>
      </c>
      <c r="H2679" s="2" t="s">
        <v>74</v>
      </c>
      <c r="I2679" s="2" t="s">
        <v>75</v>
      </c>
      <c r="J2679" s="2" t="s">
        <v>76</v>
      </c>
      <c r="K2679" s="2" t="s">
        <v>77</v>
      </c>
      <c r="L2679" s="2" t="s">
        <v>74</v>
      </c>
      <c r="M2679" s="2" t="s">
        <v>75</v>
      </c>
      <c r="N2679" s="2" t="s">
        <v>192</v>
      </c>
      <c r="O2679" s="2" t="s">
        <v>100</v>
      </c>
      <c r="P2679" s="2" t="str">
        <f>"2170584534                    "</f>
        <v xml:space="preserve">2170584534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3.88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8.6</v>
      </c>
      <c r="BJ2679" s="2">
        <v>9.1999999999999993</v>
      </c>
      <c r="BK2679" s="2">
        <v>10</v>
      </c>
      <c r="BL2679" s="2">
        <v>40.15</v>
      </c>
      <c r="BM2679" s="2">
        <v>5.62</v>
      </c>
      <c r="BN2679" s="2">
        <v>45.77</v>
      </c>
      <c r="BO2679" s="2">
        <v>45.77</v>
      </c>
      <c r="BP2679" s="2"/>
      <c r="BQ2679" s="2" t="s">
        <v>288</v>
      </c>
      <c r="BR2679" s="2" t="s">
        <v>84</v>
      </c>
      <c r="BS2679" s="3">
        <v>42971</v>
      </c>
      <c r="BT2679" s="4">
        <v>0.37916666666666665</v>
      </c>
      <c r="BU2679" s="2" t="s">
        <v>3058</v>
      </c>
      <c r="BV2679" s="2" t="s">
        <v>95</v>
      </c>
      <c r="BW2679" s="2"/>
      <c r="BX2679" s="2"/>
      <c r="BY2679" s="2">
        <v>45843.9</v>
      </c>
      <c r="BZ2679" s="2"/>
      <c r="CA2679" s="2"/>
      <c r="CB2679" s="2"/>
      <c r="CC2679" s="2" t="s">
        <v>75</v>
      </c>
      <c r="CD2679" s="2">
        <v>1665</v>
      </c>
      <c r="CE2679" s="2" t="s">
        <v>89</v>
      </c>
      <c r="CF2679" s="5">
        <v>42972</v>
      </c>
      <c r="CG2679" s="2"/>
      <c r="CH2679" s="2"/>
      <c r="CI2679" s="2">
        <v>1</v>
      </c>
      <c r="CJ2679" s="2">
        <v>1</v>
      </c>
      <c r="CK2679" s="2">
        <v>22</v>
      </c>
      <c r="CL2679" s="2" t="s">
        <v>86</v>
      </c>
      <c r="CM2679" s="2"/>
    </row>
    <row r="2680" spans="1:91">
      <c r="A2680" s="2" t="s">
        <v>71</v>
      </c>
      <c r="B2680" s="2" t="s">
        <v>72</v>
      </c>
      <c r="C2680" s="2" t="s">
        <v>73</v>
      </c>
      <c r="D2680" s="2"/>
      <c r="E2680" s="2" t="str">
        <f>"FES1162570849"</f>
        <v>FES1162570849</v>
      </c>
      <c r="F2680" s="3">
        <v>42970</v>
      </c>
      <c r="G2680" s="2">
        <v>201802</v>
      </c>
      <c r="H2680" s="2" t="s">
        <v>74</v>
      </c>
      <c r="I2680" s="2" t="s">
        <v>75</v>
      </c>
      <c r="J2680" s="2" t="s">
        <v>76</v>
      </c>
      <c r="K2680" s="2" t="s">
        <v>77</v>
      </c>
      <c r="L2680" s="2" t="s">
        <v>174</v>
      </c>
      <c r="M2680" s="2" t="s">
        <v>175</v>
      </c>
      <c r="N2680" s="2" t="s">
        <v>1418</v>
      </c>
      <c r="O2680" s="2" t="s">
        <v>100</v>
      </c>
      <c r="P2680" s="2" t="str">
        <f>"2170584522                    "</f>
        <v xml:space="preserve">2170584522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4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1</v>
      </c>
      <c r="BJ2680" s="2">
        <v>0.2</v>
      </c>
      <c r="BK2680" s="2">
        <v>1</v>
      </c>
      <c r="BL2680" s="2">
        <v>41.44</v>
      </c>
      <c r="BM2680" s="2">
        <v>5.8</v>
      </c>
      <c r="BN2680" s="2">
        <v>47.24</v>
      </c>
      <c r="BO2680" s="2">
        <v>47.24</v>
      </c>
      <c r="BP2680" s="2"/>
      <c r="BQ2680" s="2" t="s">
        <v>108</v>
      </c>
      <c r="BR2680" s="2" t="s">
        <v>84</v>
      </c>
      <c r="BS2680" s="3">
        <v>42971</v>
      </c>
      <c r="BT2680" s="4">
        <v>0.35902777777777778</v>
      </c>
      <c r="BU2680" s="2" t="s">
        <v>3059</v>
      </c>
      <c r="BV2680" s="2" t="s">
        <v>95</v>
      </c>
      <c r="BW2680" s="2"/>
      <c r="BX2680" s="2"/>
      <c r="BY2680" s="2">
        <v>1200</v>
      </c>
      <c r="BZ2680" s="2" t="s">
        <v>27</v>
      </c>
      <c r="CA2680" s="2" t="s">
        <v>1420</v>
      </c>
      <c r="CB2680" s="2"/>
      <c r="CC2680" s="2" t="s">
        <v>175</v>
      </c>
      <c r="CD2680" s="2">
        <v>5201</v>
      </c>
      <c r="CE2680" s="2" t="s">
        <v>104</v>
      </c>
      <c r="CF2680" s="5">
        <v>42972</v>
      </c>
      <c r="CG2680" s="2"/>
      <c r="CH2680" s="2"/>
      <c r="CI2680" s="2">
        <v>1</v>
      </c>
      <c r="CJ2680" s="2">
        <v>1</v>
      </c>
      <c r="CK2680" s="2">
        <v>21</v>
      </c>
      <c r="CL2680" s="2" t="s">
        <v>86</v>
      </c>
      <c r="CM2680" s="2"/>
    </row>
    <row r="2681" spans="1:91">
      <c r="A2681" s="2" t="s">
        <v>71</v>
      </c>
      <c r="B2681" s="2" t="s">
        <v>72</v>
      </c>
      <c r="C2681" s="2" t="s">
        <v>73</v>
      </c>
      <c r="D2681" s="2"/>
      <c r="E2681" s="2" t="str">
        <f>"FES1162571078"</f>
        <v>FES1162571078</v>
      </c>
      <c r="F2681" s="3">
        <v>42970</v>
      </c>
      <c r="G2681" s="2">
        <v>201802</v>
      </c>
      <c r="H2681" s="2" t="s">
        <v>74</v>
      </c>
      <c r="I2681" s="2" t="s">
        <v>75</v>
      </c>
      <c r="J2681" s="2" t="s">
        <v>76</v>
      </c>
      <c r="K2681" s="2" t="s">
        <v>77</v>
      </c>
      <c r="L2681" s="2" t="s">
        <v>149</v>
      </c>
      <c r="M2681" s="2" t="s">
        <v>150</v>
      </c>
      <c r="N2681" s="2" t="s">
        <v>2031</v>
      </c>
      <c r="O2681" s="2" t="s">
        <v>100</v>
      </c>
      <c r="P2681" s="2" t="str">
        <f>"2170586760                    "</f>
        <v xml:space="preserve">2170586760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11.01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3</v>
      </c>
      <c r="BJ2681" s="2">
        <v>5.2</v>
      </c>
      <c r="BK2681" s="2">
        <v>5.5</v>
      </c>
      <c r="BL2681" s="2">
        <v>113.97</v>
      </c>
      <c r="BM2681" s="2">
        <v>15.96</v>
      </c>
      <c r="BN2681" s="2">
        <v>129.93</v>
      </c>
      <c r="BO2681" s="2">
        <v>129.93</v>
      </c>
      <c r="BP2681" s="2"/>
      <c r="BQ2681" s="2" t="s">
        <v>83</v>
      </c>
      <c r="BR2681" s="2" t="s">
        <v>84</v>
      </c>
      <c r="BS2681" s="3">
        <v>42971</v>
      </c>
      <c r="BT2681" s="4">
        <v>0.36249999999999999</v>
      </c>
      <c r="BU2681" s="2" t="s">
        <v>2032</v>
      </c>
      <c r="BV2681" s="2" t="s">
        <v>95</v>
      </c>
      <c r="BW2681" s="2"/>
      <c r="BX2681" s="2"/>
      <c r="BY2681" s="2">
        <v>26136</v>
      </c>
      <c r="BZ2681" s="2"/>
      <c r="CA2681" s="2" t="s">
        <v>235</v>
      </c>
      <c r="CB2681" s="2"/>
      <c r="CC2681" s="2" t="s">
        <v>150</v>
      </c>
      <c r="CD2681" s="2">
        <v>4052</v>
      </c>
      <c r="CE2681" s="2" t="s">
        <v>89</v>
      </c>
      <c r="CF2681" s="5">
        <v>42972</v>
      </c>
      <c r="CG2681" s="2"/>
      <c r="CH2681" s="2"/>
      <c r="CI2681" s="2">
        <v>1</v>
      </c>
      <c r="CJ2681" s="2">
        <v>1</v>
      </c>
      <c r="CK2681" s="2">
        <v>21</v>
      </c>
      <c r="CL2681" s="2" t="s">
        <v>86</v>
      </c>
      <c r="CM2681" s="2"/>
    </row>
    <row r="2682" spans="1:91">
      <c r="A2682" s="2" t="s">
        <v>71</v>
      </c>
      <c r="B2682" s="2" t="s">
        <v>72</v>
      </c>
      <c r="C2682" s="2" t="s">
        <v>73</v>
      </c>
      <c r="D2682" s="2"/>
      <c r="E2682" s="2" t="str">
        <f>"FES1162570852"</f>
        <v>FES1162570852</v>
      </c>
      <c r="F2682" s="3">
        <v>42970</v>
      </c>
      <c r="G2682" s="2">
        <v>201802</v>
      </c>
      <c r="H2682" s="2" t="s">
        <v>74</v>
      </c>
      <c r="I2682" s="2" t="s">
        <v>75</v>
      </c>
      <c r="J2682" s="2" t="s">
        <v>76</v>
      </c>
      <c r="K2682" s="2" t="s">
        <v>77</v>
      </c>
      <c r="L2682" s="2" t="s">
        <v>97</v>
      </c>
      <c r="M2682" s="2" t="s">
        <v>98</v>
      </c>
      <c r="N2682" s="2" t="s">
        <v>214</v>
      </c>
      <c r="O2682" s="2" t="s">
        <v>100</v>
      </c>
      <c r="P2682" s="2" t="str">
        <f>"2170584591                    "</f>
        <v xml:space="preserve">2170584591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4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1</v>
      </c>
      <c r="BJ2682" s="2">
        <v>0.2</v>
      </c>
      <c r="BK2682" s="2">
        <v>1</v>
      </c>
      <c r="BL2682" s="2">
        <v>41.44</v>
      </c>
      <c r="BM2682" s="2">
        <v>5.8</v>
      </c>
      <c r="BN2682" s="2">
        <v>47.24</v>
      </c>
      <c r="BO2682" s="2">
        <v>47.24</v>
      </c>
      <c r="BP2682" s="2"/>
      <c r="BQ2682" s="2" t="s">
        <v>108</v>
      </c>
      <c r="BR2682" s="2" t="s">
        <v>84</v>
      </c>
      <c r="BS2682" s="3">
        <v>42971</v>
      </c>
      <c r="BT2682" s="4">
        <v>0.32083333333333336</v>
      </c>
      <c r="BU2682" s="2" t="s">
        <v>1131</v>
      </c>
      <c r="BV2682" s="2" t="s">
        <v>95</v>
      </c>
      <c r="BW2682" s="2"/>
      <c r="BX2682" s="2"/>
      <c r="BY2682" s="2">
        <v>1200</v>
      </c>
      <c r="BZ2682" s="2" t="s">
        <v>27</v>
      </c>
      <c r="CA2682" s="2" t="s">
        <v>213</v>
      </c>
      <c r="CB2682" s="2"/>
      <c r="CC2682" s="2" t="s">
        <v>98</v>
      </c>
      <c r="CD2682" s="2">
        <v>6001</v>
      </c>
      <c r="CE2682" s="2" t="s">
        <v>104</v>
      </c>
      <c r="CF2682" s="5">
        <v>42972</v>
      </c>
      <c r="CG2682" s="2"/>
      <c r="CH2682" s="2"/>
      <c r="CI2682" s="2">
        <v>1</v>
      </c>
      <c r="CJ2682" s="2">
        <v>1</v>
      </c>
      <c r="CK2682" s="2">
        <v>21</v>
      </c>
      <c r="CL2682" s="2" t="s">
        <v>86</v>
      </c>
      <c r="CM2682" s="2"/>
    </row>
    <row r="2683" spans="1:91">
      <c r="A2683" s="2" t="s">
        <v>71</v>
      </c>
      <c r="B2683" s="2" t="s">
        <v>72</v>
      </c>
      <c r="C2683" s="2" t="s">
        <v>73</v>
      </c>
      <c r="D2683" s="2"/>
      <c r="E2683" s="2" t="str">
        <f>"FES1162570900"</f>
        <v>FES1162570900</v>
      </c>
      <c r="F2683" s="3">
        <v>42970</v>
      </c>
      <c r="G2683" s="2">
        <v>201802</v>
      </c>
      <c r="H2683" s="2" t="s">
        <v>74</v>
      </c>
      <c r="I2683" s="2" t="s">
        <v>75</v>
      </c>
      <c r="J2683" s="2" t="s">
        <v>76</v>
      </c>
      <c r="K2683" s="2" t="s">
        <v>77</v>
      </c>
      <c r="L2683" s="2" t="s">
        <v>244</v>
      </c>
      <c r="M2683" s="2" t="s">
        <v>245</v>
      </c>
      <c r="N2683" s="2" t="s">
        <v>882</v>
      </c>
      <c r="O2683" s="2" t="s">
        <v>100</v>
      </c>
      <c r="P2683" s="2" t="str">
        <f>"2170586577                    "</f>
        <v xml:space="preserve">2170586577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3.13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2.7</v>
      </c>
      <c r="BJ2683" s="2">
        <v>3.8</v>
      </c>
      <c r="BK2683" s="2">
        <v>4</v>
      </c>
      <c r="BL2683" s="2">
        <v>32.380000000000003</v>
      </c>
      <c r="BM2683" s="2">
        <v>4.53</v>
      </c>
      <c r="BN2683" s="2">
        <v>36.909999999999997</v>
      </c>
      <c r="BO2683" s="2">
        <v>36.909999999999997</v>
      </c>
      <c r="BP2683" s="2"/>
      <c r="BQ2683" s="2" t="s">
        <v>108</v>
      </c>
      <c r="BR2683" s="2" t="s">
        <v>84</v>
      </c>
      <c r="BS2683" s="3">
        <v>42971</v>
      </c>
      <c r="BT2683" s="4">
        <v>0.4145833333333333</v>
      </c>
      <c r="BU2683" s="2" t="s">
        <v>883</v>
      </c>
      <c r="BV2683" s="2" t="s">
        <v>95</v>
      </c>
      <c r="BW2683" s="2"/>
      <c r="BX2683" s="2"/>
      <c r="BY2683" s="2">
        <v>18931.919999999998</v>
      </c>
      <c r="BZ2683" s="2"/>
      <c r="CA2683" s="2" t="s">
        <v>733</v>
      </c>
      <c r="CB2683" s="2"/>
      <c r="CC2683" s="2" t="s">
        <v>245</v>
      </c>
      <c r="CD2683" s="2">
        <v>1459</v>
      </c>
      <c r="CE2683" s="2" t="s">
        <v>89</v>
      </c>
      <c r="CF2683" s="5">
        <v>42972</v>
      </c>
      <c r="CG2683" s="2"/>
      <c r="CH2683" s="2"/>
      <c r="CI2683" s="2">
        <v>1</v>
      </c>
      <c r="CJ2683" s="2">
        <v>1</v>
      </c>
      <c r="CK2683" s="2">
        <v>22</v>
      </c>
      <c r="CL2683" s="2" t="s">
        <v>86</v>
      </c>
      <c r="CM2683" s="2"/>
    </row>
    <row r="2684" spans="1:91">
      <c r="A2684" s="2" t="s">
        <v>71</v>
      </c>
      <c r="B2684" s="2" t="s">
        <v>72</v>
      </c>
      <c r="C2684" s="2" t="s">
        <v>73</v>
      </c>
      <c r="D2684" s="2"/>
      <c r="E2684" s="2" t="str">
        <f>"FES1162570728"</f>
        <v>FES1162570728</v>
      </c>
      <c r="F2684" s="3">
        <v>42970</v>
      </c>
      <c r="G2684" s="2">
        <v>201802</v>
      </c>
      <c r="H2684" s="2" t="s">
        <v>74</v>
      </c>
      <c r="I2684" s="2" t="s">
        <v>75</v>
      </c>
      <c r="J2684" s="2" t="s">
        <v>76</v>
      </c>
      <c r="K2684" s="2" t="s">
        <v>77</v>
      </c>
      <c r="L2684" s="2" t="s">
        <v>539</v>
      </c>
      <c r="M2684" s="2" t="s">
        <v>540</v>
      </c>
      <c r="N2684" s="2" t="s">
        <v>3060</v>
      </c>
      <c r="O2684" s="2" t="s">
        <v>100</v>
      </c>
      <c r="P2684" s="2" t="str">
        <f>"2170583873                    "</f>
        <v xml:space="preserve">2170583873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3.13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1</v>
      </c>
      <c r="BJ2684" s="2">
        <v>0.2</v>
      </c>
      <c r="BK2684" s="2">
        <v>1</v>
      </c>
      <c r="BL2684" s="2">
        <v>32.380000000000003</v>
      </c>
      <c r="BM2684" s="2">
        <v>4.53</v>
      </c>
      <c r="BN2684" s="2">
        <v>36.909999999999997</v>
      </c>
      <c r="BO2684" s="2">
        <v>36.909999999999997</v>
      </c>
      <c r="BP2684" s="2"/>
      <c r="BQ2684" s="2" t="s">
        <v>288</v>
      </c>
      <c r="BR2684" s="2" t="s">
        <v>84</v>
      </c>
      <c r="BS2684" s="3">
        <v>42971</v>
      </c>
      <c r="BT2684" s="4">
        <v>0.43402777777777773</v>
      </c>
      <c r="BU2684" s="2" t="s">
        <v>3061</v>
      </c>
      <c r="BV2684" s="2" t="s">
        <v>95</v>
      </c>
      <c r="BW2684" s="2"/>
      <c r="BX2684" s="2"/>
      <c r="BY2684" s="2">
        <v>1200</v>
      </c>
      <c r="BZ2684" s="2" t="s">
        <v>27</v>
      </c>
      <c r="CA2684" s="2" t="s">
        <v>722</v>
      </c>
      <c r="CB2684" s="2"/>
      <c r="CC2684" s="2" t="s">
        <v>540</v>
      </c>
      <c r="CD2684" s="2">
        <v>2170</v>
      </c>
      <c r="CE2684" s="2" t="s">
        <v>104</v>
      </c>
      <c r="CF2684" s="5">
        <v>42972</v>
      </c>
      <c r="CG2684" s="2"/>
      <c r="CH2684" s="2"/>
      <c r="CI2684" s="2">
        <v>1</v>
      </c>
      <c r="CJ2684" s="2">
        <v>1</v>
      </c>
      <c r="CK2684" s="2">
        <v>22</v>
      </c>
      <c r="CL2684" s="2" t="s">
        <v>86</v>
      </c>
      <c r="CM2684" s="2"/>
    </row>
    <row r="2685" spans="1:91">
      <c r="A2685" s="2" t="s">
        <v>71</v>
      </c>
      <c r="B2685" s="2" t="s">
        <v>72</v>
      </c>
      <c r="C2685" s="2" t="s">
        <v>73</v>
      </c>
      <c r="D2685" s="2"/>
      <c r="E2685" s="2" t="str">
        <f>"FES1162570870"</f>
        <v>FES1162570870</v>
      </c>
      <c r="F2685" s="3">
        <v>42970</v>
      </c>
      <c r="G2685" s="2">
        <v>201802</v>
      </c>
      <c r="H2685" s="2" t="s">
        <v>74</v>
      </c>
      <c r="I2685" s="2" t="s">
        <v>75</v>
      </c>
      <c r="J2685" s="2" t="s">
        <v>76</v>
      </c>
      <c r="K2685" s="2" t="s">
        <v>77</v>
      </c>
      <c r="L2685" s="2" t="s">
        <v>144</v>
      </c>
      <c r="M2685" s="2" t="s">
        <v>145</v>
      </c>
      <c r="N2685" s="2" t="s">
        <v>197</v>
      </c>
      <c r="O2685" s="2" t="s">
        <v>100</v>
      </c>
      <c r="P2685" s="2" t="str">
        <f>"2170584168                    "</f>
        <v xml:space="preserve">2170584168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3.13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1</v>
      </c>
      <c r="BJ2685" s="2">
        <v>0.2</v>
      </c>
      <c r="BK2685" s="2">
        <v>1</v>
      </c>
      <c r="BL2685" s="2">
        <v>32.380000000000003</v>
      </c>
      <c r="BM2685" s="2">
        <v>4.53</v>
      </c>
      <c r="BN2685" s="2">
        <v>36.909999999999997</v>
      </c>
      <c r="BO2685" s="2">
        <v>36.909999999999997</v>
      </c>
      <c r="BP2685" s="2"/>
      <c r="BQ2685" s="2" t="s">
        <v>108</v>
      </c>
      <c r="BR2685" s="2" t="s">
        <v>84</v>
      </c>
      <c r="BS2685" s="3">
        <v>42971</v>
      </c>
      <c r="BT2685" s="4">
        <v>0.42708333333333331</v>
      </c>
      <c r="BU2685" s="2" t="s">
        <v>785</v>
      </c>
      <c r="BV2685" s="2" t="s">
        <v>95</v>
      </c>
      <c r="BW2685" s="2"/>
      <c r="BX2685" s="2"/>
      <c r="BY2685" s="2">
        <v>1200</v>
      </c>
      <c r="BZ2685" s="2"/>
      <c r="CA2685" s="2" t="s">
        <v>722</v>
      </c>
      <c r="CB2685" s="2"/>
      <c r="CC2685" s="2" t="s">
        <v>145</v>
      </c>
      <c r="CD2685" s="2">
        <v>2040</v>
      </c>
      <c r="CE2685" s="2" t="s">
        <v>104</v>
      </c>
      <c r="CF2685" s="5">
        <v>42972</v>
      </c>
      <c r="CG2685" s="2"/>
      <c r="CH2685" s="2"/>
      <c r="CI2685" s="2">
        <v>1</v>
      </c>
      <c r="CJ2685" s="2">
        <v>1</v>
      </c>
      <c r="CK2685" s="2">
        <v>22</v>
      </c>
      <c r="CL2685" s="2" t="s">
        <v>86</v>
      </c>
      <c r="CM2685" s="2"/>
    </row>
    <row r="2686" spans="1:91">
      <c r="A2686" s="2" t="s">
        <v>71</v>
      </c>
      <c r="B2686" s="2" t="s">
        <v>72</v>
      </c>
      <c r="C2686" s="2" t="s">
        <v>73</v>
      </c>
      <c r="D2686" s="2"/>
      <c r="E2686" s="2" t="str">
        <f>"FES1162570811"</f>
        <v>FES1162570811</v>
      </c>
      <c r="F2686" s="3">
        <v>42970</v>
      </c>
      <c r="G2686" s="2">
        <v>201802</v>
      </c>
      <c r="H2686" s="2" t="s">
        <v>74</v>
      </c>
      <c r="I2686" s="2" t="s">
        <v>75</v>
      </c>
      <c r="J2686" s="2" t="s">
        <v>76</v>
      </c>
      <c r="K2686" s="2" t="s">
        <v>77</v>
      </c>
      <c r="L2686" s="2" t="s">
        <v>128</v>
      </c>
      <c r="M2686" s="2" t="s">
        <v>129</v>
      </c>
      <c r="N2686" s="2" t="s">
        <v>1152</v>
      </c>
      <c r="O2686" s="2" t="s">
        <v>100</v>
      </c>
      <c r="P2686" s="2" t="str">
        <f>"2170584278                    "</f>
        <v xml:space="preserve">2170584278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3.13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1</v>
      </c>
      <c r="BJ2686" s="2">
        <v>0.2</v>
      </c>
      <c r="BK2686" s="2">
        <v>1</v>
      </c>
      <c r="BL2686" s="2">
        <v>32.380000000000003</v>
      </c>
      <c r="BM2686" s="2">
        <v>4.53</v>
      </c>
      <c r="BN2686" s="2">
        <v>36.909999999999997</v>
      </c>
      <c r="BO2686" s="2">
        <v>36.909999999999997</v>
      </c>
      <c r="BP2686" s="2"/>
      <c r="BQ2686" s="2" t="s">
        <v>288</v>
      </c>
      <c r="BR2686" s="2" t="s">
        <v>84</v>
      </c>
      <c r="BS2686" s="3">
        <v>42971</v>
      </c>
      <c r="BT2686" s="4">
        <v>0.37986111111111115</v>
      </c>
      <c r="BU2686" s="2" t="s">
        <v>1316</v>
      </c>
      <c r="BV2686" s="2" t="s">
        <v>95</v>
      </c>
      <c r="BW2686" s="2"/>
      <c r="BX2686" s="2"/>
      <c r="BY2686" s="2">
        <v>1200</v>
      </c>
      <c r="BZ2686" s="2" t="s">
        <v>27</v>
      </c>
      <c r="CA2686" s="2"/>
      <c r="CB2686" s="2"/>
      <c r="CC2686" s="2" t="s">
        <v>129</v>
      </c>
      <c r="CD2686" s="2">
        <v>1700</v>
      </c>
      <c r="CE2686" s="2" t="s">
        <v>104</v>
      </c>
      <c r="CF2686" s="5">
        <v>42972</v>
      </c>
      <c r="CG2686" s="2"/>
      <c r="CH2686" s="2"/>
      <c r="CI2686" s="2">
        <v>1</v>
      </c>
      <c r="CJ2686" s="2">
        <v>1</v>
      </c>
      <c r="CK2686" s="2">
        <v>22</v>
      </c>
      <c r="CL2686" s="2" t="s">
        <v>86</v>
      </c>
      <c r="CM2686" s="2"/>
    </row>
    <row r="2687" spans="1:91">
      <c r="A2687" s="2" t="s">
        <v>71</v>
      </c>
      <c r="B2687" s="2" t="s">
        <v>72</v>
      </c>
      <c r="C2687" s="2" t="s">
        <v>73</v>
      </c>
      <c r="D2687" s="2"/>
      <c r="E2687" s="2" t="str">
        <f>"FES1162570838"</f>
        <v>FES1162570838</v>
      </c>
      <c r="F2687" s="3">
        <v>42970</v>
      </c>
      <c r="G2687" s="2">
        <v>201802</v>
      </c>
      <c r="H2687" s="2" t="s">
        <v>74</v>
      </c>
      <c r="I2687" s="2" t="s">
        <v>75</v>
      </c>
      <c r="J2687" s="2" t="s">
        <v>76</v>
      </c>
      <c r="K2687" s="2" t="s">
        <v>77</v>
      </c>
      <c r="L2687" s="2" t="s">
        <v>97</v>
      </c>
      <c r="M2687" s="2" t="s">
        <v>98</v>
      </c>
      <c r="N2687" s="2" t="s">
        <v>2769</v>
      </c>
      <c r="O2687" s="2" t="s">
        <v>100</v>
      </c>
      <c r="P2687" s="2" t="str">
        <f>"2170584315                    "</f>
        <v xml:space="preserve">2170584315 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4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1</v>
      </c>
      <c r="BJ2687" s="2">
        <v>0.2</v>
      </c>
      <c r="BK2687" s="2">
        <v>1</v>
      </c>
      <c r="BL2687" s="2">
        <v>41.44</v>
      </c>
      <c r="BM2687" s="2">
        <v>5.8</v>
      </c>
      <c r="BN2687" s="2">
        <v>47.24</v>
      </c>
      <c r="BO2687" s="2">
        <v>47.24</v>
      </c>
      <c r="BP2687" s="2"/>
      <c r="BQ2687" s="2" t="s">
        <v>288</v>
      </c>
      <c r="BR2687" s="2" t="s">
        <v>84</v>
      </c>
      <c r="BS2687" s="3">
        <v>42971</v>
      </c>
      <c r="BT2687" s="4">
        <v>0.29652777777777778</v>
      </c>
      <c r="BU2687" s="2" t="s">
        <v>2770</v>
      </c>
      <c r="BV2687" s="2" t="s">
        <v>95</v>
      </c>
      <c r="BW2687" s="2"/>
      <c r="BX2687" s="2"/>
      <c r="BY2687" s="2">
        <v>1200</v>
      </c>
      <c r="BZ2687" s="2" t="s">
        <v>27</v>
      </c>
      <c r="CA2687" s="2" t="s">
        <v>600</v>
      </c>
      <c r="CB2687" s="2"/>
      <c r="CC2687" s="2" t="s">
        <v>98</v>
      </c>
      <c r="CD2687" s="2">
        <v>6001</v>
      </c>
      <c r="CE2687" s="2" t="s">
        <v>104</v>
      </c>
      <c r="CF2687" s="5">
        <v>42972</v>
      </c>
      <c r="CG2687" s="2"/>
      <c r="CH2687" s="2"/>
      <c r="CI2687" s="2">
        <v>1</v>
      </c>
      <c r="CJ2687" s="2">
        <v>1</v>
      </c>
      <c r="CK2687" s="2">
        <v>21</v>
      </c>
      <c r="CL2687" s="2" t="s">
        <v>86</v>
      </c>
      <c r="CM2687" s="2"/>
    </row>
    <row r="2688" spans="1:91">
      <c r="A2688" s="2" t="s">
        <v>71</v>
      </c>
      <c r="B2688" s="2" t="s">
        <v>72</v>
      </c>
      <c r="C2688" s="2" t="s">
        <v>73</v>
      </c>
      <c r="D2688" s="2"/>
      <c r="E2688" s="2" t="str">
        <f>"FES1162571024"</f>
        <v>FES1162571024</v>
      </c>
      <c r="F2688" s="3">
        <v>42970</v>
      </c>
      <c r="G2688" s="2">
        <v>201802</v>
      </c>
      <c r="H2688" s="2" t="s">
        <v>74</v>
      </c>
      <c r="I2688" s="2" t="s">
        <v>75</v>
      </c>
      <c r="J2688" s="2" t="s">
        <v>76</v>
      </c>
      <c r="K2688" s="2" t="s">
        <v>77</v>
      </c>
      <c r="L2688" s="2" t="s">
        <v>244</v>
      </c>
      <c r="M2688" s="2" t="s">
        <v>245</v>
      </c>
      <c r="N2688" s="2" t="s">
        <v>3062</v>
      </c>
      <c r="O2688" s="2" t="s">
        <v>100</v>
      </c>
      <c r="P2688" s="2" t="str">
        <f>"2170586702                    "</f>
        <v xml:space="preserve">2170586702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3.13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1</v>
      </c>
      <c r="BI2688" s="2">
        <v>1.3</v>
      </c>
      <c r="BJ2688" s="2">
        <v>2.1</v>
      </c>
      <c r="BK2688" s="2">
        <v>3</v>
      </c>
      <c r="BL2688" s="2">
        <v>32.380000000000003</v>
      </c>
      <c r="BM2688" s="2">
        <v>4.53</v>
      </c>
      <c r="BN2688" s="2">
        <v>36.909999999999997</v>
      </c>
      <c r="BO2688" s="2">
        <v>36.909999999999997</v>
      </c>
      <c r="BP2688" s="2"/>
      <c r="BQ2688" s="2" t="s">
        <v>288</v>
      </c>
      <c r="BR2688" s="2" t="s">
        <v>84</v>
      </c>
      <c r="BS2688" s="3">
        <v>42971</v>
      </c>
      <c r="BT2688" s="4">
        <v>0.33333333333333331</v>
      </c>
      <c r="BU2688" s="2" t="s">
        <v>2884</v>
      </c>
      <c r="BV2688" s="2" t="s">
        <v>95</v>
      </c>
      <c r="BW2688" s="2"/>
      <c r="BX2688" s="2"/>
      <c r="BY2688" s="2">
        <v>10405.31</v>
      </c>
      <c r="BZ2688" s="2"/>
      <c r="CA2688" s="2" t="s">
        <v>499</v>
      </c>
      <c r="CB2688" s="2"/>
      <c r="CC2688" s="2" t="s">
        <v>245</v>
      </c>
      <c r="CD2688" s="2">
        <v>1459</v>
      </c>
      <c r="CE2688" s="2" t="s">
        <v>104</v>
      </c>
      <c r="CF2688" s="5">
        <v>42972</v>
      </c>
      <c r="CG2688" s="2"/>
      <c r="CH2688" s="2"/>
      <c r="CI2688" s="2">
        <v>1</v>
      </c>
      <c r="CJ2688" s="2">
        <v>1</v>
      </c>
      <c r="CK2688" s="2">
        <v>22</v>
      </c>
      <c r="CL2688" s="2" t="s">
        <v>86</v>
      </c>
      <c r="CM2688" s="2"/>
    </row>
    <row r="2689" spans="1:91">
      <c r="A2689" s="2" t="s">
        <v>71</v>
      </c>
      <c r="B2689" s="2" t="s">
        <v>72</v>
      </c>
      <c r="C2689" s="2" t="s">
        <v>73</v>
      </c>
      <c r="D2689" s="2"/>
      <c r="E2689" s="2" t="str">
        <f>"FES1162570818"</f>
        <v>FES1162570818</v>
      </c>
      <c r="F2689" s="3">
        <v>42970</v>
      </c>
      <c r="G2689" s="2">
        <v>201802</v>
      </c>
      <c r="H2689" s="2" t="s">
        <v>74</v>
      </c>
      <c r="I2689" s="2" t="s">
        <v>75</v>
      </c>
      <c r="J2689" s="2" t="s">
        <v>76</v>
      </c>
      <c r="K2689" s="2" t="s">
        <v>77</v>
      </c>
      <c r="L2689" s="2" t="s">
        <v>170</v>
      </c>
      <c r="M2689" s="2" t="s">
        <v>171</v>
      </c>
      <c r="N2689" s="2" t="s">
        <v>172</v>
      </c>
      <c r="O2689" s="2" t="s">
        <v>100</v>
      </c>
      <c r="P2689" s="2" t="str">
        <f>"2170586202                    "</f>
        <v xml:space="preserve">2170586202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3.13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1</v>
      </c>
      <c r="BJ2689" s="2">
        <v>0.2</v>
      </c>
      <c r="BK2689" s="2">
        <v>1</v>
      </c>
      <c r="BL2689" s="2">
        <v>32.380000000000003</v>
      </c>
      <c r="BM2689" s="2">
        <v>4.53</v>
      </c>
      <c r="BN2689" s="2">
        <v>36.909999999999997</v>
      </c>
      <c r="BO2689" s="2">
        <v>36.909999999999997</v>
      </c>
      <c r="BP2689" s="2"/>
      <c r="BQ2689" s="2" t="s">
        <v>288</v>
      </c>
      <c r="BR2689" s="2" t="s">
        <v>84</v>
      </c>
      <c r="BS2689" s="3">
        <v>42971</v>
      </c>
      <c r="BT2689" s="4">
        <v>0.4375</v>
      </c>
      <c r="BU2689" s="2" t="s">
        <v>3063</v>
      </c>
      <c r="BV2689" s="2" t="s">
        <v>95</v>
      </c>
      <c r="BW2689" s="2"/>
      <c r="BX2689" s="2"/>
      <c r="BY2689" s="2">
        <v>1200</v>
      </c>
      <c r="BZ2689" s="2" t="s">
        <v>27</v>
      </c>
      <c r="CA2689" s="2"/>
      <c r="CB2689" s="2"/>
      <c r="CC2689" s="2" t="s">
        <v>171</v>
      </c>
      <c r="CD2689" s="2">
        <v>1401</v>
      </c>
      <c r="CE2689" s="2" t="s">
        <v>104</v>
      </c>
      <c r="CF2689" s="5">
        <v>42972</v>
      </c>
      <c r="CG2689" s="2"/>
      <c r="CH2689" s="2"/>
      <c r="CI2689" s="2">
        <v>1</v>
      </c>
      <c r="CJ2689" s="2">
        <v>1</v>
      </c>
      <c r="CK2689" s="2">
        <v>22</v>
      </c>
      <c r="CL2689" s="2" t="s">
        <v>86</v>
      </c>
      <c r="CM2689" s="2"/>
    </row>
    <row r="2690" spans="1:91">
      <c r="A2690" s="2" t="s">
        <v>71</v>
      </c>
      <c r="B2690" s="2" t="s">
        <v>72</v>
      </c>
      <c r="C2690" s="2" t="s">
        <v>73</v>
      </c>
      <c r="D2690" s="2"/>
      <c r="E2690" s="2" t="str">
        <f>"FES1162570868"</f>
        <v>FES1162570868</v>
      </c>
      <c r="F2690" s="3">
        <v>42970</v>
      </c>
      <c r="G2690" s="2">
        <v>201802</v>
      </c>
      <c r="H2690" s="2" t="s">
        <v>74</v>
      </c>
      <c r="I2690" s="2" t="s">
        <v>75</v>
      </c>
      <c r="J2690" s="2" t="s">
        <v>76</v>
      </c>
      <c r="K2690" s="2" t="s">
        <v>77</v>
      </c>
      <c r="L2690" s="2" t="s">
        <v>170</v>
      </c>
      <c r="M2690" s="2" t="s">
        <v>171</v>
      </c>
      <c r="N2690" s="2" t="s">
        <v>489</v>
      </c>
      <c r="O2690" s="2" t="s">
        <v>100</v>
      </c>
      <c r="P2690" s="2" t="str">
        <f>"2170580894                    "</f>
        <v xml:space="preserve">2170580894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3.13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1</v>
      </c>
      <c r="BI2690" s="2">
        <v>1</v>
      </c>
      <c r="BJ2690" s="2">
        <v>0.2</v>
      </c>
      <c r="BK2690" s="2">
        <v>1</v>
      </c>
      <c r="BL2690" s="2">
        <v>32.380000000000003</v>
      </c>
      <c r="BM2690" s="2">
        <v>4.53</v>
      </c>
      <c r="BN2690" s="2">
        <v>36.909999999999997</v>
      </c>
      <c r="BO2690" s="2">
        <v>36.909999999999997</v>
      </c>
      <c r="BP2690" s="2"/>
      <c r="BQ2690" s="2" t="s">
        <v>288</v>
      </c>
      <c r="BR2690" s="2" t="s">
        <v>84</v>
      </c>
      <c r="BS2690" s="3">
        <v>42971</v>
      </c>
      <c r="BT2690" s="4">
        <v>0.4375</v>
      </c>
      <c r="BU2690" s="2" t="s">
        <v>3064</v>
      </c>
      <c r="BV2690" s="2" t="s">
        <v>95</v>
      </c>
      <c r="BW2690" s="2"/>
      <c r="BX2690" s="2"/>
      <c r="BY2690" s="2">
        <v>1200</v>
      </c>
      <c r="BZ2690" s="2"/>
      <c r="CA2690" s="2"/>
      <c r="CB2690" s="2"/>
      <c r="CC2690" s="2" t="s">
        <v>171</v>
      </c>
      <c r="CD2690" s="2">
        <v>1401</v>
      </c>
      <c r="CE2690" s="2" t="s">
        <v>104</v>
      </c>
      <c r="CF2690" s="5">
        <v>42972</v>
      </c>
      <c r="CG2690" s="2"/>
      <c r="CH2690" s="2"/>
      <c r="CI2690" s="2">
        <v>1</v>
      </c>
      <c r="CJ2690" s="2">
        <v>1</v>
      </c>
      <c r="CK2690" s="2">
        <v>22</v>
      </c>
      <c r="CL2690" s="2" t="s">
        <v>86</v>
      </c>
      <c r="CM2690" s="2"/>
    </row>
    <row r="2691" spans="1:91">
      <c r="A2691" s="2" t="s">
        <v>71</v>
      </c>
      <c r="B2691" s="2" t="s">
        <v>72</v>
      </c>
      <c r="C2691" s="2" t="s">
        <v>73</v>
      </c>
      <c r="D2691" s="2"/>
      <c r="E2691" s="2" t="str">
        <f>"FES1162570787"</f>
        <v>FES1162570787</v>
      </c>
      <c r="F2691" s="3">
        <v>42970</v>
      </c>
      <c r="G2691" s="2">
        <v>201802</v>
      </c>
      <c r="H2691" s="2" t="s">
        <v>74</v>
      </c>
      <c r="I2691" s="2" t="s">
        <v>75</v>
      </c>
      <c r="J2691" s="2" t="s">
        <v>76</v>
      </c>
      <c r="K2691" s="2" t="s">
        <v>77</v>
      </c>
      <c r="L2691" s="2" t="s">
        <v>237</v>
      </c>
      <c r="M2691" s="2" t="s">
        <v>238</v>
      </c>
      <c r="N2691" s="2" t="s">
        <v>695</v>
      </c>
      <c r="O2691" s="2" t="s">
        <v>100</v>
      </c>
      <c r="P2691" s="2" t="str">
        <f>"2170586269                    "</f>
        <v xml:space="preserve">2170586269 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7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1.8</v>
      </c>
      <c r="BJ2691" s="2">
        <v>3.4</v>
      </c>
      <c r="BK2691" s="2">
        <v>3.5</v>
      </c>
      <c r="BL2691" s="2">
        <v>72.52</v>
      </c>
      <c r="BM2691" s="2">
        <v>10.15</v>
      </c>
      <c r="BN2691" s="2">
        <v>82.67</v>
      </c>
      <c r="BO2691" s="2">
        <v>82.67</v>
      </c>
      <c r="BP2691" s="2"/>
      <c r="BQ2691" s="2" t="s">
        <v>209</v>
      </c>
      <c r="BR2691" s="2" t="s">
        <v>84</v>
      </c>
      <c r="BS2691" s="3">
        <v>42971</v>
      </c>
      <c r="BT2691" s="4">
        <v>0.39444444444444443</v>
      </c>
      <c r="BU2691" s="2" t="s">
        <v>3065</v>
      </c>
      <c r="BV2691" s="2" t="s">
        <v>95</v>
      </c>
      <c r="BW2691" s="2"/>
      <c r="BX2691" s="2"/>
      <c r="BY2691" s="2">
        <v>16991.72</v>
      </c>
      <c r="BZ2691" s="2" t="s">
        <v>27</v>
      </c>
      <c r="CA2691" s="2" t="s">
        <v>1454</v>
      </c>
      <c r="CB2691" s="2"/>
      <c r="CC2691" s="2" t="s">
        <v>238</v>
      </c>
      <c r="CD2691" s="2">
        <v>3600</v>
      </c>
      <c r="CE2691" s="2" t="s">
        <v>89</v>
      </c>
      <c r="CF2691" s="5">
        <v>42972</v>
      </c>
      <c r="CG2691" s="2"/>
      <c r="CH2691" s="2"/>
      <c r="CI2691" s="2">
        <v>1</v>
      </c>
      <c r="CJ2691" s="2">
        <v>1</v>
      </c>
      <c r="CK2691" s="2">
        <v>21</v>
      </c>
      <c r="CL2691" s="2" t="s">
        <v>86</v>
      </c>
      <c r="CM2691" s="2"/>
    </row>
    <row r="2692" spans="1:91">
      <c r="A2692" s="2" t="s">
        <v>71</v>
      </c>
      <c r="B2692" s="2" t="s">
        <v>72</v>
      </c>
      <c r="C2692" s="2" t="s">
        <v>73</v>
      </c>
      <c r="D2692" s="2"/>
      <c r="E2692" s="2" t="str">
        <f>"FES1162570874"</f>
        <v>FES1162570874</v>
      </c>
      <c r="F2692" s="3">
        <v>42970</v>
      </c>
      <c r="G2692" s="2">
        <v>201802</v>
      </c>
      <c r="H2692" s="2" t="s">
        <v>74</v>
      </c>
      <c r="I2692" s="2" t="s">
        <v>75</v>
      </c>
      <c r="J2692" s="2" t="s">
        <v>76</v>
      </c>
      <c r="K2692" s="2" t="s">
        <v>77</v>
      </c>
      <c r="L2692" s="2" t="s">
        <v>97</v>
      </c>
      <c r="M2692" s="2" t="s">
        <v>98</v>
      </c>
      <c r="N2692" s="2" t="s">
        <v>119</v>
      </c>
      <c r="O2692" s="2" t="s">
        <v>100</v>
      </c>
      <c r="P2692" s="2" t="str">
        <f>"2170584269                    "</f>
        <v xml:space="preserve">2170584269 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13.01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1</v>
      </c>
      <c r="BI2692" s="2">
        <v>6.5</v>
      </c>
      <c r="BJ2692" s="2">
        <v>1.8</v>
      </c>
      <c r="BK2692" s="2">
        <v>6.5</v>
      </c>
      <c r="BL2692" s="2">
        <v>134.69</v>
      </c>
      <c r="BM2692" s="2">
        <v>18.86</v>
      </c>
      <c r="BN2692" s="2">
        <v>153.55000000000001</v>
      </c>
      <c r="BO2692" s="2">
        <v>153.55000000000001</v>
      </c>
      <c r="BP2692" s="2"/>
      <c r="BQ2692" s="2" t="s">
        <v>108</v>
      </c>
      <c r="BR2692" s="2" t="s">
        <v>84</v>
      </c>
      <c r="BS2692" s="3">
        <v>42971</v>
      </c>
      <c r="BT2692" s="4">
        <v>0.32777777777777778</v>
      </c>
      <c r="BU2692" s="2" t="s">
        <v>3044</v>
      </c>
      <c r="BV2692" s="2" t="s">
        <v>95</v>
      </c>
      <c r="BW2692" s="2"/>
      <c r="BX2692" s="2"/>
      <c r="BY2692" s="2">
        <v>9182.4500000000007</v>
      </c>
      <c r="BZ2692" s="2" t="s">
        <v>27</v>
      </c>
      <c r="CA2692" s="2" t="s">
        <v>213</v>
      </c>
      <c r="CB2692" s="2"/>
      <c r="CC2692" s="2" t="s">
        <v>98</v>
      </c>
      <c r="CD2692" s="2">
        <v>6001</v>
      </c>
      <c r="CE2692" s="2" t="s">
        <v>89</v>
      </c>
      <c r="CF2692" s="5">
        <v>42972</v>
      </c>
      <c r="CG2692" s="2"/>
      <c r="CH2692" s="2"/>
      <c r="CI2692" s="2">
        <v>1</v>
      </c>
      <c r="CJ2692" s="2">
        <v>1</v>
      </c>
      <c r="CK2692" s="2">
        <v>21</v>
      </c>
      <c r="CL2692" s="2" t="s">
        <v>86</v>
      </c>
      <c r="CM2692" s="2"/>
    </row>
    <row r="2693" spans="1:91">
      <c r="A2693" s="2" t="s">
        <v>71</v>
      </c>
      <c r="B2693" s="2" t="s">
        <v>72</v>
      </c>
      <c r="C2693" s="2" t="s">
        <v>73</v>
      </c>
      <c r="D2693" s="2"/>
      <c r="E2693" s="2" t="str">
        <f>"FES1162570888"</f>
        <v>FES1162570888</v>
      </c>
      <c r="F2693" s="3">
        <v>42970</v>
      </c>
      <c r="G2693" s="2">
        <v>201802</v>
      </c>
      <c r="H2693" s="2" t="s">
        <v>74</v>
      </c>
      <c r="I2693" s="2" t="s">
        <v>75</v>
      </c>
      <c r="J2693" s="2" t="s">
        <v>76</v>
      </c>
      <c r="K2693" s="2" t="s">
        <v>77</v>
      </c>
      <c r="L2693" s="2" t="s">
        <v>74</v>
      </c>
      <c r="M2693" s="2" t="s">
        <v>75</v>
      </c>
      <c r="N2693" s="2" t="s">
        <v>192</v>
      </c>
      <c r="O2693" s="2" t="s">
        <v>100</v>
      </c>
      <c r="P2693" s="2" t="str">
        <f>"2170584456                    "</f>
        <v xml:space="preserve">2170584456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3.13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1</v>
      </c>
      <c r="BI2693" s="2">
        <v>1</v>
      </c>
      <c r="BJ2693" s="2">
        <v>0.2</v>
      </c>
      <c r="BK2693" s="2">
        <v>1</v>
      </c>
      <c r="BL2693" s="2">
        <v>32.380000000000003</v>
      </c>
      <c r="BM2693" s="2">
        <v>4.53</v>
      </c>
      <c r="BN2693" s="2">
        <v>36.909999999999997</v>
      </c>
      <c r="BO2693" s="2">
        <v>36.909999999999997</v>
      </c>
      <c r="BP2693" s="2"/>
      <c r="BQ2693" s="2" t="s">
        <v>288</v>
      </c>
      <c r="BR2693" s="2" t="s">
        <v>84</v>
      </c>
      <c r="BS2693" s="3">
        <v>42971</v>
      </c>
      <c r="BT2693" s="4">
        <v>0.37916666666666665</v>
      </c>
      <c r="BU2693" s="2" t="s">
        <v>3058</v>
      </c>
      <c r="BV2693" s="2" t="s">
        <v>95</v>
      </c>
      <c r="BW2693" s="2"/>
      <c r="BX2693" s="2"/>
      <c r="BY2693" s="2">
        <v>1200</v>
      </c>
      <c r="BZ2693" s="2"/>
      <c r="CA2693" s="2"/>
      <c r="CB2693" s="2"/>
      <c r="CC2693" s="2" t="s">
        <v>75</v>
      </c>
      <c r="CD2693" s="2">
        <v>1665</v>
      </c>
      <c r="CE2693" s="2" t="s">
        <v>104</v>
      </c>
      <c r="CF2693" s="5">
        <v>42972</v>
      </c>
      <c r="CG2693" s="2"/>
      <c r="CH2693" s="2"/>
      <c r="CI2693" s="2">
        <v>1</v>
      </c>
      <c r="CJ2693" s="2">
        <v>1</v>
      </c>
      <c r="CK2693" s="2">
        <v>22</v>
      </c>
      <c r="CL2693" s="2" t="s">
        <v>86</v>
      </c>
      <c r="CM2693" s="2"/>
    </row>
    <row r="2694" spans="1:91">
      <c r="A2694" s="2" t="s">
        <v>71</v>
      </c>
      <c r="B2694" s="2" t="s">
        <v>72</v>
      </c>
      <c r="C2694" s="2" t="s">
        <v>73</v>
      </c>
      <c r="D2694" s="2"/>
      <c r="E2694" s="2" t="str">
        <f>"FES1162570884"</f>
        <v>FES1162570884</v>
      </c>
      <c r="F2694" s="3">
        <v>42970</v>
      </c>
      <c r="G2694" s="2">
        <v>201802</v>
      </c>
      <c r="H2694" s="2" t="s">
        <v>74</v>
      </c>
      <c r="I2694" s="2" t="s">
        <v>75</v>
      </c>
      <c r="J2694" s="2" t="s">
        <v>76</v>
      </c>
      <c r="K2694" s="2" t="s">
        <v>77</v>
      </c>
      <c r="L2694" s="2" t="s">
        <v>97</v>
      </c>
      <c r="M2694" s="2" t="s">
        <v>98</v>
      </c>
      <c r="N2694" s="2" t="s">
        <v>214</v>
      </c>
      <c r="O2694" s="2" t="s">
        <v>100</v>
      </c>
      <c r="P2694" s="2" t="str">
        <f>"3170584397                    "</f>
        <v xml:space="preserve">3170584397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6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1</v>
      </c>
      <c r="BI2694" s="2">
        <v>1.2</v>
      </c>
      <c r="BJ2694" s="2">
        <v>2.8</v>
      </c>
      <c r="BK2694" s="2">
        <v>3</v>
      </c>
      <c r="BL2694" s="2">
        <v>62.16</v>
      </c>
      <c r="BM2694" s="2">
        <v>8.6999999999999993</v>
      </c>
      <c r="BN2694" s="2">
        <v>70.86</v>
      </c>
      <c r="BO2694" s="2">
        <v>70.86</v>
      </c>
      <c r="BP2694" s="2"/>
      <c r="BQ2694" s="2" t="s">
        <v>108</v>
      </c>
      <c r="BR2694" s="2" t="s">
        <v>84</v>
      </c>
      <c r="BS2694" s="3">
        <v>42971</v>
      </c>
      <c r="BT2694" s="4">
        <v>0.3215277777777778</v>
      </c>
      <c r="BU2694" s="2" t="s">
        <v>3066</v>
      </c>
      <c r="BV2694" s="2" t="s">
        <v>95</v>
      </c>
      <c r="BW2694" s="2"/>
      <c r="BX2694" s="2"/>
      <c r="BY2694" s="2">
        <v>14118.72</v>
      </c>
      <c r="BZ2694" s="2" t="s">
        <v>27</v>
      </c>
      <c r="CA2694" s="2" t="s">
        <v>213</v>
      </c>
      <c r="CB2694" s="2"/>
      <c r="CC2694" s="2" t="s">
        <v>98</v>
      </c>
      <c r="CD2694" s="2">
        <v>6001</v>
      </c>
      <c r="CE2694" s="2" t="s">
        <v>89</v>
      </c>
      <c r="CF2694" s="5">
        <v>42972</v>
      </c>
      <c r="CG2694" s="2"/>
      <c r="CH2694" s="2"/>
      <c r="CI2694" s="2">
        <v>1</v>
      </c>
      <c r="CJ2694" s="2">
        <v>1</v>
      </c>
      <c r="CK2694" s="2">
        <v>21</v>
      </c>
      <c r="CL2694" s="2" t="s">
        <v>86</v>
      </c>
      <c r="CM2694" s="2"/>
    </row>
    <row r="2695" spans="1:91">
      <c r="A2695" s="2" t="s">
        <v>71</v>
      </c>
      <c r="B2695" s="2" t="s">
        <v>72</v>
      </c>
      <c r="C2695" s="2" t="s">
        <v>73</v>
      </c>
      <c r="D2695" s="2"/>
      <c r="E2695" s="2" t="str">
        <f>"FES1162570839"</f>
        <v>FES1162570839</v>
      </c>
      <c r="F2695" s="3">
        <v>42970</v>
      </c>
      <c r="G2695" s="2">
        <v>201802</v>
      </c>
      <c r="H2695" s="2" t="s">
        <v>74</v>
      </c>
      <c r="I2695" s="2" t="s">
        <v>75</v>
      </c>
      <c r="J2695" s="2" t="s">
        <v>76</v>
      </c>
      <c r="K2695" s="2" t="s">
        <v>77</v>
      </c>
      <c r="L2695" s="2" t="s">
        <v>74</v>
      </c>
      <c r="M2695" s="2" t="s">
        <v>75</v>
      </c>
      <c r="N2695" s="2" t="s">
        <v>329</v>
      </c>
      <c r="O2695" s="2" t="s">
        <v>100</v>
      </c>
      <c r="P2695" s="2" t="str">
        <f>"2170584343                    "</f>
        <v xml:space="preserve">2170584343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3.13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1</v>
      </c>
      <c r="BI2695" s="2">
        <v>1</v>
      </c>
      <c r="BJ2695" s="2">
        <v>0.2</v>
      </c>
      <c r="BK2695" s="2">
        <v>1</v>
      </c>
      <c r="BL2695" s="2">
        <v>32.380000000000003</v>
      </c>
      <c r="BM2695" s="2">
        <v>4.53</v>
      </c>
      <c r="BN2695" s="2">
        <v>36.909999999999997</v>
      </c>
      <c r="BO2695" s="2">
        <v>36.909999999999997</v>
      </c>
      <c r="BP2695" s="2"/>
      <c r="BQ2695" s="2" t="s">
        <v>83</v>
      </c>
      <c r="BR2695" s="2" t="s">
        <v>84</v>
      </c>
      <c r="BS2695" s="3">
        <v>42971</v>
      </c>
      <c r="BT2695" s="4">
        <v>0.35416666666666669</v>
      </c>
      <c r="BU2695" s="2" t="s">
        <v>3067</v>
      </c>
      <c r="BV2695" s="2" t="s">
        <v>95</v>
      </c>
      <c r="BW2695" s="2"/>
      <c r="BX2695" s="2"/>
      <c r="BY2695" s="2">
        <v>1200</v>
      </c>
      <c r="BZ2695" s="2"/>
      <c r="CA2695" s="2" t="s">
        <v>331</v>
      </c>
      <c r="CB2695" s="2"/>
      <c r="CC2695" s="2" t="s">
        <v>75</v>
      </c>
      <c r="CD2695" s="2">
        <v>1600</v>
      </c>
      <c r="CE2695" s="2" t="s">
        <v>104</v>
      </c>
      <c r="CF2695" s="5">
        <v>42972</v>
      </c>
      <c r="CG2695" s="2"/>
      <c r="CH2695" s="2"/>
      <c r="CI2695" s="2">
        <v>1</v>
      </c>
      <c r="CJ2695" s="2">
        <v>1</v>
      </c>
      <c r="CK2695" s="2">
        <v>22</v>
      </c>
      <c r="CL2695" s="2" t="s">
        <v>86</v>
      </c>
      <c r="CM2695" s="2"/>
    </row>
    <row r="2696" spans="1:91">
      <c r="A2696" s="2" t="s">
        <v>71</v>
      </c>
      <c r="B2696" s="2" t="s">
        <v>72</v>
      </c>
      <c r="C2696" s="2" t="s">
        <v>73</v>
      </c>
      <c r="D2696" s="2"/>
      <c r="E2696" s="2" t="str">
        <f>"FES1162570810"</f>
        <v>FES1162570810</v>
      </c>
      <c r="F2696" s="3">
        <v>42970</v>
      </c>
      <c r="G2696" s="2">
        <v>201802</v>
      </c>
      <c r="H2696" s="2" t="s">
        <v>74</v>
      </c>
      <c r="I2696" s="2" t="s">
        <v>75</v>
      </c>
      <c r="J2696" s="2" t="s">
        <v>76</v>
      </c>
      <c r="K2696" s="2" t="s">
        <v>77</v>
      </c>
      <c r="L2696" s="2" t="s">
        <v>97</v>
      </c>
      <c r="M2696" s="2" t="s">
        <v>98</v>
      </c>
      <c r="N2696" s="2" t="s">
        <v>99</v>
      </c>
      <c r="O2696" s="2" t="s">
        <v>100</v>
      </c>
      <c r="P2696" s="2" t="str">
        <f>"2170583849                    "</f>
        <v xml:space="preserve">2170583849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12.01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6</v>
      </c>
      <c r="BJ2696" s="2">
        <v>2.1</v>
      </c>
      <c r="BK2696" s="2">
        <v>6</v>
      </c>
      <c r="BL2696" s="2">
        <v>124.33</v>
      </c>
      <c r="BM2696" s="2">
        <v>17.41</v>
      </c>
      <c r="BN2696" s="2">
        <v>141.74</v>
      </c>
      <c r="BO2696" s="2">
        <v>141.74</v>
      </c>
      <c r="BP2696" s="2"/>
      <c r="BQ2696" s="2" t="s">
        <v>83</v>
      </c>
      <c r="BR2696" s="2" t="s">
        <v>84</v>
      </c>
      <c r="BS2696" s="3">
        <v>42971</v>
      </c>
      <c r="BT2696" s="4">
        <v>0.4284722222222222</v>
      </c>
      <c r="BU2696" s="2" t="s">
        <v>102</v>
      </c>
      <c r="BV2696" s="2" t="s">
        <v>95</v>
      </c>
      <c r="BW2696" s="2"/>
      <c r="BX2696" s="2"/>
      <c r="BY2696" s="2">
        <v>10455.02</v>
      </c>
      <c r="BZ2696" s="2" t="s">
        <v>27</v>
      </c>
      <c r="CA2696" s="2" t="s">
        <v>103</v>
      </c>
      <c r="CB2696" s="2"/>
      <c r="CC2696" s="2" t="s">
        <v>98</v>
      </c>
      <c r="CD2696" s="2">
        <v>6210</v>
      </c>
      <c r="CE2696" s="2" t="s">
        <v>89</v>
      </c>
      <c r="CF2696" s="5">
        <v>42972</v>
      </c>
      <c r="CG2696" s="2"/>
      <c r="CH2696" s="2"/>
      <c r="CI2696" s="2">
        <v>1</v>
      </c>
      <c r="CJ2696" s="2">
        <v>1</v>
      </c>
      <c r="CK2696" s="2">
        <v>21</v>
      </c>
      <c r="CL2696" s="2" t="s">
        <v>86</v>
      </c>
      <c r="CM2696" s="2"/>
    </row>
    <row r="2697" spans="1:91">
      <c r="A2697" s="2" t="s">
        <v>71</v>
      </c>
      <c r="B2697" s="2" t="s">
        <v>72</v>
      </c>
      <c r="C2697" s="2" t="s">
        <v>73</v>
      </c>
      <c r="D2697" s="2"/>
      <c r="E2697" s="2" t="str">
        <f>"FES1162571026"</f>
        <v>FES1162571026</v>
      </c>
      <c r="F2697" s="3">
        <v>42970</v>
      </c>
      <c r="G2697" s="2">
        <v>201802</v>
      </c>
      <c r="H2697" s="2" t="s">
        <v>74</v>
      </c>
      <c r="I2697" s="2" t="s">
        <v>75</v>
      </c>
      <c r="J2697" s="2" t="s">
        <v>76</v>
      </c>
      <c r="K2697" s="2" t="s">
        <v>77</v>
      </c>
      <c r="L2697" s="2" t="s">
        <v>74</v>
      </c>
      <c r="M2697" s="2" t="s">
        <v>75</v>
      </c>
      <c r="N2697" s="2" t="s">
        <v>454</v>
      </c>
      <c r="O2697" s="2" t="s">
        <v>100</v>
      </c>
      <c r="P2697" s="2" t="str">
        <f>"2170586704                    "</f>
        <v xml:space="preserve">2170586704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3.13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1</v>
      </c>
      <c r="BJ2697" s="2">
        <v>0.2</v>
      </c>
      <c r="BK2697" s="2">
        <v>1</v>
      </c>
      <c r="BL2697" s="2">
        <v>32.380000000000003</v>
      </c>
      <c r="BM2697" s="2">
        <v>4.53</v>
      </c>
      <c r="BN2697" s="2">
        <v>36.909999999999997</v>
      </c>
      <c r="BO2697" s="2">
        <v>36.909999999999997</v>
      </c>
      <c r="BP2697" s="2"/>
      <c r="BQ2697" s="2" t="s">
        <v>288</v>
      </c>
      <c r="BR2697" s="2" t="s">
        <v>84</v>
      </c>
      <c r="BS2697" s="3">
        <v>42971</v>
      </c>
      <c r="BT2697" s="4">
        <v>0.33958333333333335</v>
      </c>
      <c r="BU2697" s="2" t="s">
        <v>3038</v>
      </c>
      <c r="BV2697" s="2" t="s">
        <v>95</v>
      </c>
      <c r="BW2697" s="2"/>
      <c r="BX2697" s="2"/>
      <c r="BY2697" s="2">
        <v>1200</v>
      </c>
      <c r="BZ2697" s="2"/>
      <c r="CA2697" s="2" t="s">
        <v>328</v>
      </c>
      <c r="CB2697" s="2"/>
      <c r="CC2697" s="2" t="s">
        <v>75</v>
      </c>
      <c r="CD2697" s="2">
        <v>1601</v>
      </c>
      <c r="CE2697" s="2" t="s">
        <v>104</v>
      </c>
      <c r="CF2697" s="5">
        <v>42972</v>
      </c>
      <c r="CG2697" s="2"/>
      <c r="CH2697" s="2"/>
      <c r="CI2697" s="2">
        <v>1</v>
      </c>
      <c r="CJ2697" s="2">
        <v>1</v>
      </c>
      <c r="CK2697" s="2">
        <v>22</v>
      </c>
      <c r="CL2697" s="2" t="s">
        <v>86</v>
      </c>
      <c r="CM2697" s="2"/>
    </row>
    <row r="2698" spans="1:91">
      <c r="A2698" s="2" t="s">
        <v>71</v>
      </c>
      <c r="B2698" s="2" t="s">
        <v>72</v>
      </c>
      <c r="C2698" s="2" t="s">
        <v>73</v>
      </c>
      <c r="D2698" s="2"/>
      <c r="E2698" s="2" t="str">
        <f>"FES1162570911"</f>
        <v>FES1162570911</v>
      </c>
      <c r="F2698" s="3">
        <v>42970</v>
      </c>
      <c r="G2698" s="2">
        <v>201802</v>
      </c>
      <c r="H2698" s="2" t="s">
        <v>74</v>
      </c>
      <c r="I2698" s="2" t="s">
        <v>75</v>
      </c>
      <c r="J2698" s="2" t="s">
        <v>76</v>
      </c>
      <c r="K2698" s="2" t="s">
        <v>77</v>
      </c>
      <c r="L2698" s="2" t="s">
        <v>1781</v>
      </c>
      <c r="M2698" s="2" t="s">
        <v>1781</v>
      </c>
      <c r="N2698" s="2" t="s">
        <v>1782</v>
      </c>
      <c r="O2698" s="2" t="s">
        <v>100</v>
      </c>
      <c r="P2698" s="2" t="str">
        <f>"2170585983                    "</f>
        <v xml:space="preserve">2170585983 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21.76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1</v>
      </c>
      <c r="BI2698" s="2">
        <v>6</v>
      </c>
      <c r="BJ2698" s="2">
        <v>4.4000000000000004</v>
      </c>
      <c r="BK2698" s="2">
        <v>6</v>
      </c>
      <c r="BL2698" s="2">
        <v>225.34</v>
      </c>
      <c r="BM2698" s="2">
        <v>31.55</v>
      </c>
      <c r="BN2698" s="2">
        <v>256.89</v>
      </c>
      <c r="BO2698" s="2">
        <v>256.89</v>
      </c>
      <c r="BP2698" s="2"/>
      <c r="BQ2698" s="2" t="s">
        <v>365</v>
      </c>
      <c r="BR2698" s="2" t="s">
        <v>84</v>
      </c>
      <c r="BS2698" s="3">
        <v>42972</v>
      </c>
      <c r="BT2698" s="4">
        <v>0.5</v>
      </c>
      <c r="BU2698" s="2" t="s">
        <v>3068</v>
      </c>
      <c r="BV2698" s="2" t="s">
        <v>95</v>
      </c>
      <c r="BW2698" s="2"/>
      <c r="BX2698" s="2"/>
      <c r="BY2698" s="2">
        <v>21868</v>
      </c>
      <c r="BZ2698" s="2" t="s">
        <v>27</v>
      </c>
      <c r="CA2698" s="2"/>
      <c r="CB2698" s="2"/>
      <c r="CC2698" s="2" t="s">
        <v>1781</v>
      </c>
      <c r="CD2698" s="2">
        <v>5470</v>
      </c>
      <c r="CE2698" s="2" t="s">
        <v>89</v>
      </c>
      <c r="CF2698" s="5">
        <v>42977</v>
      </c>
      <c r="CG2698" s="2"/>
      <c r="CH2698" s="2"/>
      <c r="CI2698" s="2">
        <v>4</v>
      </c>
      <c r="CJ2698" s="2">
        <v>2</v>
      </c>
      <c r="CK2698" s="2">
        <v>23</v>
      </c>
      <c r="CL2698" s="2" t="s">
        <v>86</v>
      </c>
      <c r="CM2698" s="2"/>
    </row>
    <row r="2699" spans="1:91">
      <c r="A2699" s="2" t="s">
        <v>71</v>
      </c>
      <c r="B2699" s="2" t="s">
        <v>72</v>
      </c>
      <c r="C2699" s="2" t="s">
        <v>73</v>
      </c>
      <c r="D2699" s="2"/>
      <c r="E2699" s="2" t="str">
        <f>"FES1162571087"</f>
        <v>FES1162571087</v>
      </c>
      <c r="F2699" s="3">
        <v>42970</v>
      </c>
      <c r="G2699" s="2">
        <v>201802</v>
      </c>
      <c r="H2699" s="2" t="s">
        <v>74</v>
      </c>
      <c r="I2699" s="2" t="s">
        <v>75</v>
      </c>
      <c r="J2699" s="2" t="s">
        <v>76</v>
      </c>
      <c r="K2699" s="2" t="s">
        <v>77</v>
      </c>
      <c r="L2699" s="2" t="s">
        <v>97</v>
      </c>
      <c r="M2699" s="2" t="s">
        <v>98</v>
      </c>
      <c r="N2699" s="2" t="s">
        <v>822</v>
      </c>
      <c r="O2699" s="2" t="s">
        <v>100</v>
      </c>
      <c r="P2699" s="2" t="str">
        <f>"2170582579                    "</f>
        <v xml:space="preserve">2170582579 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13.01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6.4</v>
      </c>
      <c r="BJ2699" s="2">
        <v>1.8</v>
      </c>
      <c r="BK2699" s="2">
        <v>6.5</v>
      </c>
      <c r="BL2699" s="2">
        <v>134.69</v>
      </c>
      <c r="BM2699" s="2">
        <v>18.86</v>
      </c>
      <c r="BN2699" s="2">
        <v>153.55000000000001</v>
      </c>
      <c r="BO2699" s="2">
        <v>153.55000000000001</v>
      </c>
      <c r="BP2699" s="2"/>
      <c r="BQ2699" s="2" t="s">
        <v>83</v>
      </c>
      <c r="BR2699" s="2" t="s">
        <v>84</v>
      </c>
      <c r="BS2699" s="3">
        <v>42971</v>
      </c>
      <c r="BT2699" s="4">
        <v>0.33611111111111108</v>
      </c>
      <c r="BU2699" s="2" t="s">
        <v>903</v>
      </c>
      <c r="BV2699" s="2" t="s">
        <v>95</v>
      </c>
      <c r="BW2699" s="2"/>
      <c r="BX2699" s="2"/>
      <c r="BY2699" s="2">
        <v>9042.02</v>
      </c>
      <c r="BZ2699" s="2"/>
      <c r="CA2699" s="2" t="s">
        <v>804</v>
      </c>
      <c r="CB2699" s="2"/>
      <c r="CC2699" s="2" t="s">
        <v>98</v>
      </c>
      <c r="CD2699" s="2">
        <v>6014</v>
      </c>
      <c r="CE2699" s="2" t="s">
        <v>89</v>
      </c>
      <c r="CF2699" s="5">
        <v>42972</v>
      </c>
      <c r="CG2699" s="2"/>
      <c r="CH2699" s="2"/>
      <c r="CI2699" s="2">
        <v>1</v>
      </c>
      <c r="CJ2699" s="2">
        <v>1</v>
      </c>
      <c r="CK2699" s="2">
        <v>21</v>
      </c>
      <c r="CL2699" s="2" t="s">
        <v>86</v>
      </c>
      <c r="CM2699" s="2"/>
    </row>
    <row r="2700" spans="1:91">
      <c r="A2700" s="2" t="s">
        <v>71</v>
      </c>
      <c r="B2700" s="2" t="s">
        <v>72</v>
      </c>
      <c r="C2700" s="2" t="s">
        <v>73</v>
      </c>
      <c r="D2700" s="2"/>
      <c r="E2700" s="2" t="str">
        <f>"FES1162571049"</f>
        <v>FES1162571049</v>
      </c>
      <c r="F2700" s="3">
        <v>42970</v>
      </c>
      <c r="G2700" s="2">
        <v>201802</v>
      </c>
      <c r="H2700" s="2" t="s">
        <v>74</v>
      </c>
      <c r="I2700" s="2" t="s">
        <v>75</v>
      </c>
      <c r="J2700" s="2" t="s">
        <v>76</v>
      </c>
      <c r="K2700" s="2" t="s">
        <v>77</v>
      </c>
      <c r="L2700" s="2" t="s">
        <v>841</v>
      </c>
      <c r="M2700" s="2" t="s">
        <v>842</v>
      </c>
      <c r="N2700" s="2" t="s">
        <v>843</v>
      </c>
      <c r="O2700" s="2" t="s">
        <v>100</v>
      </c>
      <c r="P2700" s="2" t="str">
        <f>"2170586727                    "</f>
        <v xml:space="preserve">2170586727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7.75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1</v>
      </c>
      <c r="BJ2700" s="2">
        <v>0.2</v>
      </c>
      <c r="BK2700" s="2">
        <v>1</v>
      </c>
      <c r="BL2700" s="2">
        <v>80.290000000000006</v>
      </c>
      <c r="BM2700" s="2">
        <v>11.24</v>
      </c>
      <c r="BN2700" s="2">
        <v>91.53</v>
      </c>
      <c r="BO2700" s="2">
        <v>91.53</v>
      </c>
      <c r="BP2700" s="2"/>
      <c r="BQ2700" s="2" t="s">
        <v>83</v>
      </c>
      <c r="BR2700" s="2" t="s">
        <v>84</v>
      </c>
      <c r="BS2700" s="3">
        <v>42971</v>
      </c>
      <c r="BT2700" s="4">
        <v>0.59861111111111109</v>
      </c>
      <c r="BU2700" s="2" t="s">
        <v>844</v>
      </c>
      <c r="BV2700" s="2" t="s">
        <v>95</v>
      </c>
      <c r="BW2700" s="2"/>
      <c r="BX2700" s="2"/>
      <c r="BY2700" s="2">
        <v>1200</v>
      </c>
      <c r="BZ2700" s="2"/>
      <c r="CA2700" s="2"/>
      <c r="CB2700" s="2"/>
      <c r="CC2700" s="2" t="s">
        <v>842</v>
      </c>
      <c r="CD2700" s="2">
        <v>3370</v>
      </c>
      <c r="CE2700" s="2" t="s">
        <v>104</v>
      </c>
      <c r="CF2700" s="5">
        <v>42975</v>
      </c>
      <c r="CG2700" s="2"/>
      <c r="CH2700" s="2"/>
      <c r="CI2700" s="2">
        <v>3</v>
      </c>
      <c r="CJ2700" s="2">
        <v>1</v>
      </c>
      <c r="CK2700" s="2">
        <v>23</v>
      </c>
      <c r="CL2700" s="2" t="s">
        <v>86</v>
      </c>
      <c r="CM2700" s="2"/>
    </row>
    <row r="2701" spans="1:91">
      <c r="A2701" s="2" t="s">
        <v>71</v>
      </c>
      <c r="B2701" s="2" t="s">
        <v>72</v>
      </c>
      <c r="C2701" s="2" t="s">
        <v>73</v>
      </c>
      <c r="D2701" s="2"/>
      <c r="E2701" s="2" t="str">
        <f>"FES1162570967"</f>
        <v>FES1162570967</v>
      </c>
      <c r="F2701" s="3">
        <v>42970</v>
      </c>
      <c r="G2701" s="2">
        <v>201802</v>
      </c>
      <c r="H2701" s="2" t="s">
        <v>74</v>
      </c>
      <c r="I2701" s="2" t="s">
        <v>75</v>
      </c>
      <c r="J2701" s="2" t="s">
        <v>76</v>
      </c>
      <c r="K2701" s="2" t="s">
        <v>77</v>
      </c>
      <c r="L2701" s="2" t="s">
        <v>144</v>
      </c>
      <c r="M2701" s="2" t="s">
        <v>145</v>
      </c>
      <c r="N2701" s="2" t="s">
        <v>282</v>
      </c>
      <c r="O2701" s="2" t="s">
        <v>100</v>
      </c>
      <c r="P2701" s="2" t="str">
        <f>"2170586638                    "</f>
        <v xml:space="preserve">2170586638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3.13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1</v>
      </c>
      <c r="BI2701" s="2">
        <v>3</v>
      </c>
      <c r="BJ2701" s="2">
        <v>0.2</v>
      </c>
      <c r="BK2701" s="2">
        <v>3</v>
      </c>
      <c r="BL2701" s="2">
        <v>32.380000000000003</v>
      </c>
      <c r="BM2701" s="2">
        <v>4.53</v>
      </c>
      <c r="BN2701" s="2">
        <v>36.909999999999997</v>
      </c>
      <c r="BO2701" s="2">
        <v>36.909999999999997</v>
      </c>
      <c r="BP2701" s="2"/>
      <c r="BQ2701" s="2" t="s">
        <v>83</v>
      </c>
      <c r="BR2701" s="2" t="s">
        <v>84</v>
      </c>
      <c r="BS2701" s="3">
        <v>42972</v>
      </c>
      <c r="BT2701" s="4">
        <v>0.32569444444444445</v>
      </c>
      <c r="BU2701" s="2" t="s">
        <v>3069</v>
      </c>
      <c r="BV2701" s="2" t="s">
        <v>86</v>
      </c>
      <c r="BW2701" s="2" t="s">
        <v>124</v>
      </c>
      <c r="BX2701" s="2" t="s">
        <v>498</v>
      </c>
      <c r="BY2701" s="2">
        <v>1200</v>
      </c>
      <c r="BZ2701" s="2"/>
      <c r="CA2701" s="2" t="s">
        <v>1238</v>
      </c>
      <c r="CB2701" s="2"/>
      <c r="CC2701" s="2" t="s">
        <v>145</v>
      </c>
      <c r="CD2701" s="2">
        <v>2094</v>
      </c>
      <c r="CE2701" s="2" t="s">
        <v>104</v>
      </c>
      <c r="CF2701" s="5">
        <v>42975</v>
      </c>
      <c r="CG2701" s="2"/>
      <c r="CH2701" s="2"/>
      <c r="CI2701" s="2">
        <v>1</v>
      </c>
      <c r="CJ2701" s="2">
        <v>2</v>
      </c>
      <c r="CK2701" s="2">
        <v>22</v>
      </c>
      <c r="CL2701" s="2" t="s">
        <v>86</v>
      </c>
      <c r="CM2701" s="2"/>
    </row>
    <row r="2702" spans="1:91">
      <c r="A2702" s="2" t="s">
        <v>71</v>
      </c>
      <c r="B2702" s="2" t="s">
        <v>72</v>
      </c>
      <c r="C2702" s="2" t="s">
        <v>73</v>
      </c>
      <c r="D2702" s="2"/>
      <c r="E2702" s="2" t="str">
        <f>"FES1162570755"</f>
        <v>FES1162570755</v>
      </c>
      <c r="F2702" s="3">
        <v>42970</v>
      </c>
      <c r="G2702" s="2">
        <v>201802</v>
      </c>
      <c r="H2702" s="2" t="s">
        <v>74</v>
      </c>
      <c r="I2702" s="2" t="s">
        <v>75</v>
      </c>
      <c r="J2702" s="2" t="s">
        <v>76</v>
      </c>
      <c r="K2702" s="2" t="s">
        <v>77</v>
      </c>
      <c r="L2702" s="2" t="s">
        <v>1202</v>
      </c>
      <c r="M2702" s="2" t="s">
        <v>1203</v>
      </c>
      <c r="N2702" s="2" t="s">
        <v>1982</v>
      </c>
      <c r="O2702" s="2" t="s">
        <v>100</v>
      </c>
      <c r="P2702" s="2" t="str">
        <f>"2170586489                    "</f>
        <v xml:space="preserve">2170586489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3.13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1</v>
      </c>
      <c r="BI2702" s="2">
        <v>1</v>
      </c>
      <c r="BJ2702" s="2">
        <v>0.2</v>
      </c>
      <c r="BK2702" s="2">
        <v>1</v>
      </c>
      <c r="BL2702" s="2">
        <v>32.380000000000003</v>
      </c>
      <c r="BM2702" s="2">
        <v>4.53</v>
      </c>
      <c r="BN2702" s="2">
        <v>36.909999999999997</v>
      </c>
      <c r="BO2702" s="2">
        <v>36.909999999999997</v>
      </c>
      <c r="BP2702" s="2"/>
      <c r="BQ2702" s="2" t="s">
        <v>288</v>
      </c>
      <c r="BR2702" s="2" t="s">
        <v>84</v>
      </c>
      <c r="BS2702" s="3">
        <v>42971</v>
      </c>
      <c r="BT2702" s="4">
        <v>0.29722222222222222</v>
      </c>
      <c r="BU2702" s="2" t="s">
        <v>1984</v>
      </c>
      <c r="BV2702" s="2" t="s">
        <v>95</v>
      </c>
      <c r="BW2702" s="2"/>
      <c r="BX2702" s="2"/>
      <c r="BY2702" s="2">
        <v>1200</v>
      </c>
      <c r="BZ2702" s="2" t="s">
        <v>27</v>
      </c>
      <c r="CA2702" s="2" t="s">
        <v>499</v>
      </c>
      <c r="CB2702" s="2"/>
      <c r="CC2702" s="2" t="s">
        <v>1203</v>
      </c>
      <c r="CD2702" s="2">
        <v>1501</v>
      </c>
      <c r="CE2702" s="2" t="s">
        <v>104</v>
      </c>
      <c r="CF2702" s="5">
        <v>42972</v>
      </c>
      <c r="CG2702" s="2"/>
      <c r="CH2702" s="2"/>
      <c r="CI2702" s="2">
        <v>1</v>
      </c>
      <c r="CJ2702" s="2">
        <v>1</v>
      </c>
      <c r="CK2702" s="2">
        <v>22</v>
      </c>
      <c r="CL2702" s="2" t="s">
        <v>86</v>
      </c>
      <c r="CM2702" s="2"/>
    </row>
    <row r="2703" spans="1:91">
      <c r="A2703" s="2" t="s">
        <v>71</v>
      </c>
      <c r="B2703" s="2" t="s">
        <v>72</v>
      </c>
      <c r="C2703" s="2" t="s">
        <v>73</v>
      </c>
      <c r="D2703" s="2"/>
      <c r="E2703" s="2" t="str">
        <f>"FES1162571004"</f>
        <v>FES1162571004</v>
      </c>
      <c r="F2703" s="3">
        <v>42970</v>
      </c>
      <c r="G2703" s="2">
        <v>201802</v>
      </c>
      <c r="H2703" s="2" t="s">
        <v>74</v>
      </c>
      <c r="I2703" s="2" t="s">
        <v>75</v>
      </c>
      <c r="J2703" s="2" t="s">
        <v>76</v>
      </c>
      <c r="K2703" s="2" t="s">
        <v>77</v>
      </c>
      <c r="L2703" s="2" t="s">
        <v>321</v>
      </c>
      <c r="M2703" s="2" t="s">
        <v>322</v>
      </c>
      <c r="N2703" s="2" t="s">
        <v>323</v>
      </c>
      <c r="O2703" s="2" t="s">
        <v>100</v>
      </c>
      <c r="P2703" s="2" t="str">
        <f>"2170585993                    "</f>
        <v xml:space="preserve">2170585993  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6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2.6</v>
      </c>
      <c r="BJ2703" s="2">
        <v>2</v>
      </c>
      <c r="BK2703" s="2">
        <v>3</v>
      </c>
      <c r="BL2703" s="2">
        <v>62.16</v>
      </c>
      <c r="BM2703" s="2">
        <v>8.6999999999999993</v>
      </c>
      <c r="BN2703" s="2">
        <v>70.86</v>
      </c>
      <c r="BO2703" s="2">
        <v>70.86</v>
      </c>
      <c r="BP2703" s="2"/>
      <c r="BQ2703" s="2" t="s">
        <v>83</v>
      </c>
      <c r="BR2703" s="2" t="s">
        <v>84</v>
      </c>
      <c r="BS2703" s="3">
        <v>42971</v>
      </c>
      <c r="BT2703" s="4">
        <v>0.40972222222222227</v>
      </c>
      <c r="BU2703" s="2" t="s">
        <v>324</v>
      </c>
      <c r="BV2703" s="2" t="s">
        <v>95</v>
      </c>
      <c r="BW2703" s="2"/>
      <c r="BX2703" s="2"/>
      <c r="BY2703" s="2">
        <v>9756.98</v>
      </c>
      <c r="BZ2703" s="2"/>
      <c r="CA2703" s="2" t="s">
        <v>103</v>
      </c>
      <c r="CB2703" s="2"/>
      <c r="CC2703" s="2" t="s">
        <v>322</v>
      </c>
      <c r="CD2703" s="2">
        <v>6220</v>
      </c>
      <c r="CE2703" s="2" t="s">
        <v>89</v>
      </c>
      <c r="CF2703" s="5">
        <v>42972</v>
      </c>
      <c r="CG2703" s="2"/>
      <c r="CH2703" s="2"/>
      <c r="CI2703" s="2">
        <v>1</v>
      </c>
      <c r="CJ2703" s="2">
        <v>1</v>
      </c>
      <c r="CK2703" s="2">
        <v>21</v>
      </c>
      <c r="CL2703" s="2" t="s">
        <v>86</v>
      </c>
      <c r="CM2703" s="2"/>
    </row>
    <row r="2704" spans="1:91">
      <c r="A2704" s="2" t="s">
        <v>71</v>
      </c>
      <c r="B2704" s="2" t="s">
        <v>72</v>
      </c>
      <c r="C2704" s="2" t="s">
        <v>73</v>
      </c>
      <c r="D2704" s="2"/>
      <c r="E2704" s="2" t="str">
        <f>"FES1162570726"</f>
        <v>FES1162570726</v>
      </c>
      <c r="F2704" s="3">
        <v>42970</v>
      </c>
      <c r="G2704" s="2">
        <v>201802</v>
      </c>
      <c r="H2704" s="2" t="s">
        <v>74</v>
      </c>
      <c r="I2704" s="2" t="s">
        <v>75</v>
      </c>
      <c r="J2704" s="2" t="s">
        <v>76</v>
      </c>
      <c r="K2704" s="2" t="s">
        <v>77</v>
      </c>
      <c r="L2704" s="2" t="s">
        <v>74</v>
      </c>
      <c r="M2704" s="2" t="s">
        <v>75</v>
      </c>
      <c r="N2704" s="2" t="s">
        <v>467</v>
      </c>
      <c r="O2704" s="2" t="s">
        <v>100</v>
      </c>
      <c r="P2704" s="2" t="str">
        <f>"2170583549                    "</f>
        <v xml:space="preserve">2170583549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3.13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1</v>
      </c>
      <c r="BI2704" s="2">
        <v>1</v>
      </c>
      <c r="BJ2704" s="2">
        <v>0.2</v>
      </c>
      <c r="BK2704" s="2">
        <v>1</v>
      </c>
      <c r="BL2704" s="2">
        <v>32.380000000000003</v>
      </c>
      <c r="BM2704" s="2">
        <v>4.53</v>
      </c>
      <c r="BN2704" s="2">
        <v>36.909999999999997</v>
      </c>
      <c r="BO2704" s="2">
        <v>36.909999999999997</v>
      </c>
      <c r="BP2704" s="2"/>
      <c r="BQ2704" s="2" t="s">
        <v>468</v>
      </c>
      <c r="BR2704" s="2" t="s">
        <v>84</v>
      </c>
      <c r="BS2704" s="3">
        <v>42971</v>
      </c>
      <c r="BT2704" s="4">
        <v>0.43055555555555558</v>
      </c>
      <c r="BU2704" s="2" t="s">
        <v>1360</v>
      </c>
      <c r="BV2704" s="2" t="s">
        <v>95</v>
      </c>
      <c r="BW2704" s="2"/>
      <c r="BX2704" s="2"/>
      <c r="BY2704" s="2">
        <v>1200</v>
      </c>
      <c r="BZ2704" s="2" t="s">
        <v>27</v>
      </c>
      <c r="CA2704" s="2"/>
      <c r="CB2704" s="2"/>
      <c r="CC2704" s="2" t="s">
        <v>75</v>
      </c>
      <c r="CD2704" s="2">
        <v>1601</v>
      </c>
      <c r="CE2704" s="2" t="s">
        <v>104</v>
      </c>
      <c r="CF2704" s="5">
        <v>42972</v>
      </c>
      <c r="CG2704" s="2"/>
      <c r="CH2704" s="2"/>
      <c r="CI2704" s="2">
        <v>1</v>
      </c>
      <c r="CJ2704" s="2">
        <v>1</v>
      </c>
      <c r="CK2704" s="2">
        <v>22</v>
      </c>
      <c r="CL2704" s="2" t="s">
        <v>86</v>
      </c>
      <c r="CM2704" s="2"/>
    </row>
    <row r="2705" spans="1:91">
      <c r="A2705" s="2" t="s">
        <v>71</v>
      </c>
      <c r="B2705" s="2" t="s">
        <v>72</v>
      </c>
      <c r="C2705" s="2" t="s">
        <v>73</v>
      </c>
      <c r="D2705" s="2"/>
      <c r="E2705" s="2" t="str">
        <f>"FES1162570781"</f>
        <v>FES1162570781</v>
      </c>
      <c r="F2705" s="3">
        <v>42970</v>
      </c>
      <c r="G2705" s="2">
        <v>201802</v>
      </c>
      <c r="H2705" s="2" t="s">
        <v>74</v>
      </c>
      <c r="I2705" s="2" t="s">
        <v>75</v>
      </c>
      <c r="J2705" s="2" t="s">
        <v>76</v>
      </c>
      <c r="K2705" s="2" t="s">
        <v>77</v>
      </c>
      <c r="L2705" s="2" t="s">
        <v>128</v>
      </c>
      <c r="M2705" s="2" t="s">
        <v>129</v>
      </c>
      <c r="N2705" s="2" t="s">
        <v>3070</v>
      </c>
      <c r="O2705" s="2" t="s">
        <v>100</v>
      </c>
      <c r="P2705" s="2" t="str">
        <f>"2170586369                    "</f>
        <v xml:space="preserve">2170586369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3.13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1</v>
      </c>
      <c r="BJ2705" s="2">
        <v>0.2</v>
      </c>
      <c r="BK2705" s="2">
        <v>1</v>
      </c>
      <c r="BL2705" s="2">
        <v>32.380000000000003</v>
      </c>
      <c r="BM2705" s="2">
        <v>4.53</v>
      </c>
      <c r="BN2705" s="2">
        <v>36.909999999999997</v>
      </c>
      <c r="BO2705" s="2">
        <v>36.909999999999997</v>
      </c>
      <c r="BP2705" s="2"/>
      <c r="BQ2705" s="2" t="s">
        <v>288</v>
      </c>
      <c r="BR2705" s="2" t="s">
        <v>84</v>
      </c>
      <c r="BS2705" s="3">
        <v>42971</v>
      </c>
      <c r="BT2705" s="4">
        <v>0.44097222222222227</v>
      </c>
      <c r="BU2705" s="2" t="s">
        <v>1634</v>
      </c>
      <c r="BV2705" s="2" t="s">
        <v>95</v>
      </c>
      <c r="BW2705" s="2"/>
      <c r="BX2705" s="2"/>
      <c r="BY2705" s="2">
        <v>1200</v>
      </c>
      <c r="BZ2705" s="2" t="s">
        <v>27</v>
      </c>
      <c r="CA2705" s="2" t="s">
        <v>722</v>
      </c>
      <c r="CB2705" s="2"/>
      <c r="CC2705" s="2" t="s">
        <v>129</v>
      </c>
      <c r="CD2705" s="2">
        <v>1724</v>
      </c>
      <c r="CE2705" s="2" t="s">
        <v>104</v>
      </c>
      <c r="CF2705" s="5">
        <v>42972</v>
      </c>
      <c r="CG2705" s="2"/>
      <c r="CH2705" s="2"/>
      <c r="CI2705" s="2">
        <v>1</v>
      </c>
      <c r="CJ2705" s="2">
        <v>1</v>
      </c>
      <c r="CK2705" s="2">
        <v>22</v>
      </c>
      <c r="CL2705" s="2" t="s">
        <v>86</v>
      </c>
      <c r="CM2705" s="2"/>
    </row>
    <row r="2706" spans="1:91">
      <c r="A2706" s="2" t="s">
        <v>71</v>
      </c>
      <c r="B2706" s="2" t="s">
        <v>72</v>
      </c>
      <c r="C2706" s="2" t="s">
        <v>73</v>
      </c>
      <c r="D2706" s="2"/>
      <c r="E2706" s="2" t="str">
        <f>"FES1162571018"</f>
        <v>FES1162571018</v>
      </c>
      <c r="F2706" s="3">
        <v>42970</v>
      </c>
      <c r="G2706" s="2">
        <v>201802</v>
      </c>
      <c r="H2706" s="2" t="s">
        <v>74</v>
      </c>
      <c r="I2706" s="2" t="s">
        <v>75</v>
      </c>
      <c r="J2706" s="2" t="s">
        <v>76</v>
      </c>
      <c r="K2706" s="2" t="s">
        <v>77</v>
      </c>
      <c r="L2706" s="2" t="s">
        <v>144</v>
      </c>
      <c r="M2706" s="2" t="s">
        <v>145</v>
      </c>
      <c r="N2706" s="2" t="s">
        <v>402</v>
      </c>
      <c r="O2706" s="2" t="s">
        <v>100</v>
      </c>
      <c r="P2706" s="2" t="str">
        <f>"2170586695                    "</f>
        <v xml:space="preserve">2170586695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3.13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2.2999999999999998</v>
      </c>
      <c r="BJ2706" s="2">
        <v>1</v>
      </c>
      <c r="BK2706" s="2">
        <v>3</v>
      </c>
      <c r="BL2706" s="2">
        <v>32.380000000000003</v>
      </c>
      <c r="BM2706" s="2">
        <v>4.53</v>
      </c>
      <c r="BN2706" s="2">
        <v>36.909999999999997</v>
      </c>
      <c r="BO2706" s="2">
        <v>36.909999999999997</v>
      </c>
      <c r="BP2706" s="2"/>
      <c r="BQ2706" s="2" t="s">
        <v>288</v>
      </c>
      <c r="BR2706" s="2" t="s">
        <v>84</v>
      </c>
      <c r="BS2706" s="3">
        <v>42971</v>
      </c>
      <c r="BT2706" s="4">
        <v>0.5</v>
      </c>
      <c r="BU2706" s="2" t="s">
        <v>85</v>
      </c>
      <c r="BV2706" s="2" t="s">
        <v>95</v>
      </c>
      <c r="BW2706" s="2"/>
      <c r="BX2706" s="2"/>
      <c r="BY2706" s="2">
        <v>5114.2299999999996</v>
      </c>
      <c r="BZ2706" s="2"/>
      <c r="CA2706" s="2"/>
      <c r="CB2706" s="2"/>
      <c r="CC2706" s="2" t="s">
        <v>145</v>
      </c>
      <c r="CD2706" s="2">
        <v>1832</v>
      </c>
      <c r="CE2706" s="2" t="s">
        <v>89</v>
      </c>
      <c r="CF2706" s="5">
        <v>42972</v>
      </c>
      <c r="CG2706" s="2"/>
      <c r="CH2706" s="2"/>
      <c r="CI2706" s="2">
        <v>1</v>
      </c>
      <c r="CJ2706" s="2">
        <v>1</v>
      </c>
      <c r="CK2706" s="2">
        <v>22</v>
      </c>
      <c r="CL2706" s="2" t="s">
        <v>86</v>
      </c>
      <c r="CM2706" s="2"/>
    </row>
    <row r="2707" spans="1:91">
      <c r="A2707" s="2" t="s">
        <v>71</v>
      </c>
      <c r="B2707" s="2" t="s">
        <v>72</v>
      </c>
      <c r="C2707" s="2" t="s">
        <v>73</v>
      </c>
      <c r="D2707" s="2"/>
      <c r="E2707" s="2" t="str">
        <f>"FES1162570384"</f>
        <v>FES1162570384</v>
      </c>
      <c r="F2707" s="3">
        <v>42970</v>
      </c>
      <c r="G2707" s="2">
        <v>201802</v>
      </c>
      <c r="H2707" s="2" t="s">
        <v>74</v>
      </c>
      <c r="I2707" s="2" t="s">
        <v>75</v>
      </c>
      <c r="J2707" s="2" t="s">
        <v>76</v>
      </c>
      <c r="K2707" s="2" t="s">
        <v>77</v>
      </c>
      <c r="L2707" s="2" t="s">
        <v>144</v>
      </c>
      <c r="M2707" s="2" t="s">
        <v>145</v>
      </c>
      <c r="N2707" s="2" t="s">
        <v>3071</v>
      </c>
      <c r="O2707" s="2" t="s">
        <v>100</v>
      </c>
      <c r="P2707" s="2" t="str">
        <f>"2170585908                    "</f>
        <v xml:space="preserve">2170585908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3.13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1</v>
      </c>
      <c r="BJ2707" s="2">
        <v>0.2</v>
      </c>
      <c r="BK2707" s="2">
        <v>1</v>
      </c>
      <c r="BL2707" s="2">
        <v>32.380000000000003</v>
      </c>
      <c r="BM2707" s="2">
        <v>4.53</v>
      </c>
      <c r="BN2707" s="2">
        <v>36.909999999999997</v>
      </c>
      <c r="BO2707" s="2">
        <v>36.909999999999997</v>
      </c>
      <c r="BP2707" s="2"/>
      <c r="BQ2707" s="2" t="s">
        <v>288</v>
      </c>
      <c r="BR2707" s="2" t="s">
        <v>84</v>
      </c>
      <c r="BS2707" s="3">
        <v>42971</v>
      </c>
      <c r="BT2707" s="4">
        <v>0.4236111111111111</v>
      </c>
      <c r="BU2707" s="2" t="s">
        <v>3072</v>
      </c>
      <c r="BV2707" s="2" t="s">
        <v>95</v>
      </c>
      <c r="BW2707" s="2"/>
      <c r="BX2707" s="2"/>
      <c r="BY2707" s="2">
        <v>1200</v>
      </c>
      <c r="BZ2707" s="2" t="s">
        <v>27</v>
      </c>
      <c r="CA2707" s="2" t="s">
        <v>722</v>
      </c>
      <c r="CB2707" s="2"/>
      <c r="CC2707" s="2" t="s">
        <v>145</v>
      </c>
      <c r="CD2707" s="2">
        <v>2040</v>
      </c>
      <c r="CE2707" s="2" t="s">
        <v>104</v>
      </c>
      <c r="CF2707" s="5">
        <v>42972</v>
      </c>
      <c r="CG2707" s="2"/>
      <c r="CH2707" s="2"/>
      <c r="CI2707" s="2">
        <v>1</v>
      </c>
      <c r="CJ2707" s="2">
        <v>1</v>
      </c>
      <c r="CK2707" s="2">
        <v>22</v>
      </c>
      <c r="CL2707" s="2" t="s">
        <v>86</v>
      </c>
      <c r="CM2707" s="2"/>
    </row>
    <row r="2708" spans="1:91">
      <c r="A2708" s="2" t="s">
        <v>71</v>
      </c>
      <c r="B2708" s="2" t="s">
        <v>72</v>
      </c>
      <c r="C2708" s="2" t="s">
        <v>73</v>
      </c>
      <c r="D2708" s="2"/>
      <c r="E2708" s="2" t="str">
        <f>"FES1162570809"</f>
        <v>FES1162570809</v>
      </c>
      <c r="F2708" s="3">
        <v>42970</v>
      </c>
      <c r="G2708" s="2">
        <v>201802</v>
      </c>
      <c r="H2708" s="2" t="s">
        <v>74</v>
      </c>
      <c r="I2708" s="2" t="s">
        <v>75</v>
      </c>
      <c r="J2708" s="2" t="s">
        <v>76</v>
      </c>
      <c r="K2708" s="2" t="s">
        <v>77</v>
      </c>
      <c r="L2708" s="2" t="s">
        <v>144</v>
      </c>
      <c r="M2708" s="2" t="s">
        <v>145</v>
      </c>
      <c r="N2708" s="2" t="s">
        <v>146</v>
      </c>
      <c r="O2708" s="2" t="s">
        <v>100</v>
      </c>
      <c r="P2708" s="2" t="str">
        <f>"2170581911                    "</f>
        <v xml:space="preserve">2170581911           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3.13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1</v>
      </c>
      <c r="BJ2708" s="2">
        <v>0.2</v>
      </c>
      <c r="BK2708" s="2">
        <v>1</v>
      </c>
      <c r="BL2708" s="2">
        <v>32.380000000000003</v>
      </c>
      <c r="BM2708" s="2">
        <v>4.53</v>
      </c>
      <c r="BN2708" s="2">
        <v>36.909999999999997</v>
      </c>
      <c r="BO2708" s="2">
        <v>36.909999999999997</v>
      </c>
      <c r="BP2708" s="2"/>
      <c r="BQ2708" s="2" t="s">
        <v>83</v>
      </c>
      <c r="BR2708" s="2" t="s">
        <v>84</v>
      </c>
      <c r="BS2708" s="3">
        <v>42971</v>
      </c>
      <c r="BT2708" s="4">
        <v>0.36736111111111108</v>
      </c>
      <c r="BU2708" s="2" t="s">
        <v>728</v>
      </c>
      <c r="BV2708" s="2" t="s">
        <v>95</v>
      </c>
      <c r="BW2708" s="2"/>
      <c r="BX2708" s="2"/>
      <c r="BY2708" s="2">
        <v>1200</v>
      </c>
      <c r="BZ2708" s="2" t="s">
        <v>27</v>
      </c>
      <c r="CA2708" s="2" t="s">
        <v>729</v>
      </c>
      <c r="CB2708" s="2"/>
      <c r="CC2708" s="2" t="s">
        <v>145</v>
      </c>
      <c r="CD2708" s="2">
        <v>2094</v>
      </c>
      <c r="CE2708" s="2" t="s">
        <v>104</v>
      </c>
      <c r="CF2708" s="5">
        <v>42972</v>
      </c>
      <c r="CG2708" s="2"/>
      <c r="CH2708" s="2"/>
      <c r="CI2708" s="2">
        <v>1</v>
      </c>
      <c r="CJ2708" s="2">
        <v>1</v>
      </c>
      <c r="CK2708" s="2">
        <v>22</v>
      </c>
      <c r="CL2708" s="2" t="s">
        <v>86</v>
      </c>
      <c r="CM2708" s="2"/>
    </row>
    <row r="2709" spans="1:91">
      <c r="A2709" s="2" t="s">
        <v>71</v>
      </c>
      <c r="B2709" s="2" t="s">
        <v>72</v>
      </c>
      <c r="C2709" s="2" t="s">
        <v>73</v>
      </c>
      <c r="D2709" s="2"/>
      <c r="E2709" s="2" t="str">
        <f>"FES1162571055"</f>
        <v>FES1162571055</v>
      </c>
      <c r="F2709" s="3">
        <v>42970</v>
      </c>
      <c r="G2709" s="2">
        <v>201802</v>
      </c>
      <c r="H2709" s="2" t="s">
        <v>74</v>
      </c>
      <c r="I2709" s="2" t="s">
        <v>75</v>
      </c>
      <c r="J2709" s="2" t="s">
        <v>76</v>
      </c>
      <c r="K2709" s="2" t="s">
        <v>77</v>
      </c>
      <c r="L2709" s="2" t="s">
        <v>688</v>
      </c>
      <c r="M2709" s="2" t="s">
        <v>689</v>
      </c>
      <c r="N2709" s="2" t="s">
        <v>690</v>
      </c>
      <c r="O2709" s="2" t="s">
        <v>100</v>
      </c>
      <c r="P2709" s="2" t="str">
        <f>"2170586735                    "</f>
        <v xml:space="preserve">2170586735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13.01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1</v>
      </c>
      <c r="BI2709" s="2">
        <v>2.1</v>
      </c>
      <c r="BJ2709" s="2">
        <v>3.4</v>
      </c>
      <c r="BK2709" s="2">
        <v>3.5</v>
      </c>
      <c r="BL2709" s="2">
        <v>134.69</v>
      </c>
      <c r="BM2709" s="2">
        <v>18.86</v>
      </c>
      <c r="BN2709" s="2">
        <v>153.55000000000001</v>
      </c>
      <c r="BO2709" s="2">
        <v>153.55000000000001</v>
      </c>
      <c r="BP2709" s="2"/>
      <c r="BQ2709" s="2" t="s">
        <v>83</v>
      </c>
      <c r="BR2709" s="2" t="s">
        <v>84</v>
      </c>
      <c r="BS2709" s="3">
        <v>42971</v>
      </c>
      <c r="BT2709" s="4">
        <v>0.55069444444444449</v>
      </c>
      <c r="BU2709" s="2" t="s">
        <v>3073</v>
      </c>
      <c r="BV2709" s="2" t="s">
        <v>95</v>
      </c>
      <c r="BW2709" s="2"/>
      <c r="BX2709" s="2"/>
      <c r="BY2709" s="2">
        <v>16864.54</v>
      </c>
      <c r="BZ2709" s="2"/>
      <c r="CA2709" s="2" t="s">
        <v>1427</v>
      </c>
      <c r="CB2709" s="2"/>
      <c r="CC2709" s="2" t="s">
        <v>689</v>
      </c>
      <c r="CD2709" s="2">
        <v>9880</v>
      </c>
      <c r="CE2709" s="2" t="s">
        <v>89</v>
      </c>
      <c r="CF2709" s="5">
        <v>42975</v>
      </c>
      <c r="CG2709" s="2"/>
      <c r="CH2709" s="2"/>
      <c r="CI2709" s="2">
        <v>1</v>
      </c>
      <c r="CJ2709" s="2">
        <v>1</v>
      </c>
      <c r="CK2709" s="2">
        <v>23</v>
      </c>
      <c r="CL2709" s="2" t="s">
        <v>86</v>
      </c>
      <c r="CM2709" s="2"/>
    </row>
    <row r="2710" spans="1:91">
      <c r="A2710" s="2" t="s">
        <v>71</v>
      </c>
      <c r="B2710" s="2" t="s">
        <v>72</v>
      </c>
      <c r="C2710" s="2" t="s">
        <v>73</v>
      </c>
      <c r="D2710" s="2"/>
      <c r="E2710" s="2" t="str">
        <f>"FES1162570737"</f>
        <v>FES1162570737</v>
      </c>
      <c r="F2710" s="3">
        <v>42970</v>
      </c>
      <c r="G2710" s="2">
        <v>201802</v>
      </c>
      <c r="H2710" s="2" t="s">
        <v>74</v>
      </c>
      <c r="I2710" s="2" t="s">
        <v>75</v>
      </c>
      <c r="J2710" s="2" t="s">
        <v>76</v>
      </c>
      <c r="K2710" s="2" t="s">
        <v>77</v>
      </c>
      <c r="L2710" s="2" t="s">
        <v>74</v>
      </c>
      <c r="M2710" s="2" t="s">
        <v>75</v>
      </c>
      <c r="N2710" s="2" t="s">
        <v>192</v>
      </c>
      <c r="O2710" s="2" t="s">
        <v>100</v>
      </c>
      <c r="P2710" s="2" t="str">
        <f>"2170584533                    "</f>
        <v xml:space="preserve">2170584533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3.13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1</v>
      </c>
      <c r="BI2710" s="2">
        <v>2</v>
      </c>
      <c r="BJ2710" s="2">
        <v>0.2</v>
      </c>
      <c r="BK2710" s="2">
        <v>2</v>
      </c>
      <c r="BL2710" s="2">
        <v>32.380000000000003</v>
      </c>
      <c r="BM2710" s="2">
        <v>4.53</v>
      </c>
      <c r="BN2710" s="2">
        <v>36.909999999999997</v>
      </c>
      <c r="BO2710" s="2">
        <v>36.909999999999997</v>
      </c>
      <c r="BP2710" s="2"/>
      <c r="BQ2710" s="2" t="s">
        <v>288</v>
      </c>
      <c r="BR2710" s="2" t="s">
        <v>84</v>
      </c>
      <c r="BS2710" s="3">
        <v>42971</v>
      </c>
      <c r="BT2710" s="4">
        <v>0.37916666666666665</v>
      </c>
      <c r="BU2710" s="2" t="s">
        <v>3058</v>
      </c>
      <c r="BV2710" s="2" t="s">
        <v>95</v>
      </c>
      <c r="BW2710" s="2"/>
      <c r="BX2710" s="2"/>
      <c r="BY2710" s="2">
        <v>1200</v>
      </c>
      <c r="BZ2710" s="2" t="s">
        <v>27</v>
      </c>
      <c r="CA2710" s="2"/>
      <c r="CB2710" s="2"/>
      <c r="CC2710" s="2" t="s">
        <v>75</v>
      </c>
      <c r="CD2710" s="2">
        <v>1665</v>
      </c>
      <c r="CE2710" s="2" t="s">
        <v>104</v>
      </c>
      <c r="CF2710" s="5">
        <v>42972</v>
      </c>
      <c r="CG2710" s="2"/>
      <c r="CH2710" s="2"/>
      <c r="CI2710" s="2">
        <v>1</v>
      </c>
      <c r="CJ2710" s="2">
        <v>1</v>
      </c>
      <c r="CK2710" s="2">
        <v>22</v>
      </c>
      <c r="CL2710" s="2" t="s">
        <v>86</v>
      </c>
      <c r="CM2710" s="2"/>
    </row>
    <row r="2711" spans="1:91">
      <c r="A2711" s="2" t="s">
        <v>71</v>
      </c>
      <c r="B2711" s="2" t="s">
        <v>72</v>
      </c>
      <c r="C2711" s="2" t="s">
        <v>73</v>
      </c>
      <c r="D2711" s="2"/>
      <c r="E2711" s="2" t="str">
        <f>"FES1162571052"</f>
        <v>FES1162571052</v>
      </c>
      <c r="F2711" s="3">
        <v>42970</v>
      </c>
      <c r="G2711" s="2">
        <v>201802</v>
      </c>
      <c r="H2711" s="2" t="s">
        <v>74</v>
      </c>
      <c r="I2711" s="2" t="s">
        <v>75</v>
      </c>
      <c r="J2711" s="2" t="s">
        <v>76</v>
      </c>
      <c r="K2711" s="2" t="s">
        <v>77</v>
      </c>
      <c r="L2711" s="2" t="s">
        <v>144</v>
      </c>
      <c r="M2711" s="2" t="s">
        <v>145</v>
      </c>
      <c r="N2711" s="2" t="s">
        <v>1578</v>
      </c>
      <c r="O2711" s="2" t="s">
        <v>100</v>
      </c>
      <c r="P2711" s="2" t="str">
        <f>"2170586270                    "</f>
        <v xml:space="preserve">2170586270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3.5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8.1</v>
      </c>
      <c r="BJ2711" s="2">
        <v>3.2</v>
      </c>
      <c r="BK2711" s="2">
        <v>9</v>
      </c>
      <c r="BL2711" s="2">
        <v>36.26</v>
      </c>
      <c r="BM2711" s="2">
        <v>5.08</v>
      </c>
      <c r="BN2711" s="2">
        <v>41.34</v>
      </c>
      <c r="BO2711" s="2">
        <v>41.34</v>
      </c>
      <c r="BP2711" s="2"/>
      <c r="BQ2711" s="2" t="s">
        <v>108</v>
      </c>
      <c r="BR2711" s="2" t="s">
        <v>84</v>
      </c>
      <c r="BS2711" s="3">
        <v>42971</v>
      </c>
      <c r="BT2711" s="4">
        <v>0.32569444444444445</v>
      </c>
      <c r="BU2711" s="2" t="s">
        <v>1754</v>
      </c>
      <c r="BV2711" s="2" t="s">
        <v>95</v>
      </c>
      <c r="BW2711" s="2"/>
      <c r="BX2711" s="2"/>
      <c r="BY2711" s="2">
        <v>16092.89</v>
      </c>
      <c r="BZ2711" s="2"/>
      <c r="CA2711" s="2" t="s">
        <v>729</v>
      </c>
      <c r="CB2711" s="2"/>
      <c r="CC2711" s="2" t="s">
        <v>145</v>
      </c>
      <c r="CD2711" s="2">
        <v>2197</v>
      </c>
      <c r="CE2711" s="2" t="s">
        <v>89</v>
      </c>
      <c r="CF2711" s="5">
        <v>42972</v>
      </c>
      <c r="CG2711" s="2"/>
      <c r="CH2711" s="2"/>
      <c r="CI2711" s="2">
        <v>1</v>
      </c>
      <c r="CJ2711" s="2">
        <v>1</v>
      </c>
      <c r="CK2711" s="2">
        <v>22</v>
      </c>
      <c r="CL2711" s="2" t="s">
        <v>86</v>
      </c>
      <c r="CM2711" s="2"/>
    </row>
    <row r="2712" spans="1:91">
      <c r="A2712" s="2" t="s">
        <v>71</v>
      </c>
      <c r="B2712" s="2" t="s">
        <v>72</v>
      </c>
      <c r="C2712" s="2" t="s">
        <v>73</v>
      </c>
      <c r="D2712" s="2"/>
      <c r="E2712" s="2" t="str">
        <f>"FES1162570779"</f>
        <v>FES1162570779</v>
      </c>
      <c r="F2712" s="3">
        <v>42970</v>
      </c>
      <c r="G2712" s="2">
        <v>201802</v>
      </c>
      <c r="H2712" s="2" t="s">
        <v>74</v>
      </c>
      <c r="I2712" s="2" t="s">
        <v>75</v>
      </c>
      <c r="J2712" s="2" t="s">
        <v>76</v>
      </c>
      <c r="K2712" s="2" t="s">
        <v>77</v>
      </c>
      <c r="L2712" s="2" t="s">
        <v>244</v>
      </c>
      <c r="M2712" s="2" t="s">
        <v>245</v>
      </c>
      <c r="N2712" s="2" t="s">
        <v>246</v>
      </c>
      <c r="O2712" s="2" t="s">
        <v>100</v>
      </c>
      <c r="P2712" s="2" t="str">
        <f>"2170586524                    "</f>
        <v xml:space="preserve">2170586524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3.13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1</v>
      </c>
      <c r="BJ2712" s="2">
        <v>0.2</v>
      </c>
      <c r="BK2712" s="2">
        <v>1</v>
      </c>
      <c r="BL2712" s="2">
        <v>32.380000000000003</v>
      </c>
      <c r="BM2712" s="2">
        <v>4.53</v>
      </c>
      <c r="BN2712" s="2">
        <v>36.909999999999997</v>
      </c>
      <c r="BO2712" s="2">
        <v>36.909999999999997</v>
      </c>
      <c r="BP2712" s="2"/>
      <c r="BQ2712" s="2" t="s">
        <v>108</v>
      </c>
      <c r="BR2712" s="2" t="s">
        <v>84</v>
      </c>
      <c r="BS2712" s="3">
        <v>42971</v>
      </c>
      <c r="BT2712" s="4">
        <v>0.46388888888888885</v>
      </c>
      <c r="BU2712" s="2" t="s">
        <v>2901</v>
      </c>
      <c r="BV2712" s="2" t="s">
        <v>86</v>
      </c>
      <c r="BW2712" s="2"/>
      <c r="BX2712" s="2"/>
      <c r="BY2712" s="2">
        <v>1200</v>
      </c>
      <c r="BZ2712" s="2" t="s">
        <v>27</v>
      </c>
      <c r="CA2712" s="2" t="s">
        <v>2902</v>
      </c>
      <c r="CB2712" s="2"/>
      <c r="CC2712" s="2" t="s">
        <v>245</v>
      </c>
      <c r="CD2712" s="2">
        <v>1459</v>
      </c>
      <c r="CE2712" s="2" t="s">
        <v>104</v>
      </c>
      <c r="CF2712" s="5">
        <v>42972</v>
      </c>
      <c r="CG2712" s="2"/>
      <c r="CH2712" s="2"/>
      <c r="CI2712" s="2">
        <v>1</v>
      </c>
      <c r="CJ2712" s="2">
        <v>1</v>
      </c>
      <c r="CK2712" s="2">
        <v>22</v>
      </c>
      <c r="CL2712" s="2" t="s">
        <v>86</v>
      </c>
      <c r="CM2712" s="2"/>
    </row>
    <row r="2713" spans="1:91">
      <c r="A2713" s="2" t="s">
        <v>71</v>
      </c>
      <c r="B2713" s="2" t="s">
        <v>72</v>
      </c>
      <c r="C2713" s="2" t="s">
        <v>73</v>
      </c>
      <c r="D2713" s="2"/>
      <c r="E2713" s="2" t="str">
        <f>"FES1162570998"</f>
        <v>FES1162570998</v>
      </c>
      <c r="F2713" s="3">
        <v>42970</v>
      </c>
      <c r="G2713" s="2">
        <v>201802</v>
      </c>
      <c r="H2713" s="2" t="s">
        <v>74</v>
      </c>
      <c r="I2713" s="2" t="s">
        <v>75</v>
      </c>
      <c r="J2713" s="2" t="s">
        <v>76</v>
      </c>
      <c r="K2713" s="2" t="s">
        <v>77</v>
      </c>
      <c r="L2713" s="2" t="s">
        <v>539</v>
      </c>
      <c r="M2713" s="2" t="s">
        <v>540</v>
      </c>
      <c r="N2713" s="2" t="s">
        <v>737</v>
      </c>
      <c r="O2713" s="2" t="s">
        <v>100</v>
      </c>
      <c r="P2713" s="2" t="str">
        <f>"2170586511                    "</f>
        <v xml:space="preserve">2170586511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3.13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</v>
      </c>
      <c r="BI2713" s="2">
        <v>4.2</v>
      </c>
      <c r="BJ2713" s="2">
        <v>1.3</v>
      </c>
      <c r="BK2713" s="2">
        <v>5</v>
      </c>
      <c r="BL2713" s="2">
        <v>32.380000000000003</v>
      </c>
      <c r="BM2713" s="2">
        <v>4.53</v>
      </c>
      <c r="BN2713" s="2">
        <v>36.909999999999997</v>
      </c>
      <c r="BO2713" s="2">
        <v>36.909999999999997</v>
      </c>
      <c r="BP2713" s="2"/>
      <c r="BQ2713" s="2" t="s">
        <v>738</v>
      </c>
      <c r="BR2713" s="2" t="s">
        <v>84</v>
      </c>
      <c r="BS2713" s="3">
        <v>42971</v>
      </c>
      <c r="BT2713" s="4">
        <v>0.57847222222222217</v>
      </c>
      <c r="BU2713" s="2" t="s">
        <v>739</v>
      </c>
      <c r="BV2713" s="2" t="s">
        <v>95</v>
      </c>
      <c r="BW2713" s="2"/>
      <c r="BX2713" s="2"/>
      <c r="BY2713" s="2">
        <v>6475.79</v>
      </c>
      <c r="BZ2713" s="2"/>
      <c r="CA2713" s="2"/>
      <c r="CB2713" s="2"/>
      <c r="CC2713" s="2" t="s">
        <v>540</v>
      </c>
      <c r="CD2713" s="2">
        <v>2163</v>
      </c>
      <c r="CE2713" s="2" t="s">
        <v>135</v>
      </c>
      <c r="CF2713" s="5">
        <v>42972</v>
      </c>
      <c r="CG2713" s="2"/>
      <c r="CH2713" s="2"/>
      <c r="CI2713" s="2">
        <v>1</v>
      </c>
      <c r="CJ2713" s="2">
        <v>1</v>
      </c>
      <c r="CK2713" s="2">
        <v>22</v>
      </c>
      <c r="CL2713" s="2" t="s">
        <v>86</v>
      </c>
      <c r="CM2713" s="2"/>
    </row>
    <row r="2714" spans="1:91">
      <c r="A2714" s="2" t="s">
        <v>71</v>
      </c>
      <c r="B2714" s="2" t="s">
        <v>72</v>
      </c>
      <c r="C2714" s="2" t="s">
        <v>73</v>
      </c>
      <c r="D2714" s="2"/>
      <c r="E2714" s="2" t="str">
        <f>"FES1162570746"</f>
        <v>FES1162570746</v>
      </c>
      <c r="F2714" s="3">
        <v>42970</v>
      </c>
      <c r="G2714" s="2">
        <v>201802</v>
      </c>
      <c r="H2714" s="2" t="s">
        <v>74</v>
      </c>
      <c r="I2714" s="2" t="s">
        <v>75</v>
      </c>
      <c r="J2714" s="2" t="s">
        <v>76</v>
      </c>
      <c r="K2714" s="2" t="s">
        <v>77</v>
      </c>
      <c r="L2714" s="2" t="s">
        <v>97</v>
      </c>
      <c r="M2714" s="2" t="s">
        <v>98</v>
      </c>
      <c r="N2714" s="2" t="s">
        <v>3074</v>
      </c>
      <c r="O2714" s="2" t="s">
        <v>100</v>
      </c>
      <c r="P2714" s="2" t="str">
        <f>"2170586106                    "</f>
        <v xml:space="preserve">2170586106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5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1</v>
      </c>
      <c r="BI2714" s="2">
        <v>2.2000000000000002</v>
      </c>
      <c r="BJ2714" s="2">
        <v>1.8</v>
      </c>
      <c r="BK2714" s="2">
        <v>2.5</v>
      </c>
      <c r="BL2714" s="2">
        <v>51.8</v>
      </c>
      <c r="BM2714" s="2">
        <v>7.25</v>
      </c>
      <c r="BN2714" s="2">
        <v>59.05</v>
      </c>
      <c r="BO2714" s="2">
        <v>59.05</v>
      </c>
      <c r="BP2714" s="2"/>
      <c r="BQ2714" s="2" t="s">
        <v>3075</v>
      </c>
      <c r="BR2714" s="2" t="s">
        <v>84</v>
      </c>
      <c r="BS2714" s="3">
        <v>42971</v>
      </c>
      <c r="BT2714" s="4">
        <v>0.41319444444444442</v>
      </c>
      <c r="BU2714" s="2" t="s">
        <v>3076</v>
      </c>
      <c r="BV2714" s="2" t="s">
        <v>95</v>
      </c>
      <c r="BW2714" s="2"/>
      <c r="BX2714" s="2"/>
      <c r="BY2714" s="2">
        <v>8781.48</v>
      </c>
      <c r="BZ2714" s="2" t="s">
        <v>27</v>
      </c>
      <c r="CA2714" s="2" t="s">
        <v>1187</v>
      </c>
      <c r="CB2714" s="2"/>
      <c r="CC2714" s="2" t="s">
        <v>98</v>
      </c>
      <c r="CD2714" s="2">
        <v>6001</v>
      </c>
      <c r="CE2714" s="2" t="s">
        <v>89</v>
      </c>
      <c r="CF2714" s="5">
        <v>42972</v>
      </c>
      <c r="CG2714" s="2"/>
      <c r="CH2714" s="2"/>
      <c r="CI2714" s="2">
        <v>1</v>
      </c>
      <c r="CJ2714" s="2">
        <v>1</v>
      </c>
      <c r="CK2714" s="2">
        <v>21</v>
      </c>
      <c r="CL2714" s="2" t="s">
        <v>86</v>
      </c>
      <c r="CM2714" s="2"/>
    </row>
    <row r="2715" spans="1:91">
      <c r="A2715" s="2" t="s">
        <v>71</v>
      </c>
      <c r="B2715" s="2" t="s">
        <v>72</v>
      </c>
      <c r="C2715" s="2" t="s">
        <v>73</v>
      </c>
      <c r="D2715" s="2"/>
      <c r="E2715" s="2" t="str">
        <f>"FES1162570953"</f>
        <v>FES1162570953</v>
      </c>
      <c r="F2715" s="3">
        <v>42970</v>
      </c>
      <c r="G2715" s="2">
        <v>201802</v>
      </c>
      <c r="H2715" s="2" t="s">
        <v>74</v>
      </c>
      <c r="I2715" s="2" t="s">
        <v>75</v>
      </c>
      <c r="J2715" s="2" t="s">
        <v>76</v>
      </c>
      <c r="K2715" s="2" t="s">
        <v>77</v>
      </c>
      <c r="L2715" s="2" t="s">
        <v>221</v>
      </c>
      <c r="M2715" s="2" t="s">
        <v>222</v>
      </c>
      <c r="N2715" s="2" t="s">
        <v>1275</v>
      </c>
      <c r="O2715" s="2" t="s">
        <v>100</v>
      </c>
      <c r="P2715" s="2" t="str">
        <f>"2170586627                    "</f>
        <v xml:space="preserve">2170586627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8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1</v>
      </c>
      <c r="BI2715" s="2">
        <v>3.6</v>
      </c>
      <c r="BJ2715" s="2">
        <v>1.6</v>
      </c>
      <c r="BK2715" s="2">
        <v>4</v>
      </c>
      <c r="BL2715" s="2">
        <v>82.88</v>
      </c>
      <c r="BM2715" s="2">
        <v>11.6</v>
      </c>
      <c r="BN2715" s="2">
        <v>94.48</v>
      </c>
      <c r="BO2715" s="2">
        <v>94.48</v>
      </c>
      <c r="BP2715" s="2"/>
      <c r="BQ2715" s="2" t="s">
        <v>227</v>
      </c>
      <c r="BR2715" s="2" t="s">
        <v>84</v>
      </c>
      <c r="BS2715" s="3">
        <v>42971</v>
      </c>
      <c r="BT2715" s="4">
        <v>0.40972222222222227</v>
      </c>
      <c r="BU2715" s="2" t="s">
        <v>1535</v>
      </c>
      <c r="BV2715" s="2" t="s">
        <v>95</v>
      </c>
      <c r="BW2715" s="2"/>
      <c r="BX2715" s="2"/>
      <c r="BY2715" s="2">
        <v>8140</v>
      </c>
      <c r="BZ2715" s="2"/>
      <c r="CA2715" s="2" t="s">
        <v>1536</v>
      </c>
      <c r="CB2715" s="2"/>
      <c r="CC2715" s="2" t="s">
        <v>222</v>
      </c>
      <c r="CD2715" s="2">
        <v>4300</v>
      </c>
      <c r="CE2715" s="2" t="s">
        <v>89</v>
      </c>
      <c r="CF2715" s="5">
        <v>42972</v>
      </c>
      <c r="CG2715" s="2"/>
      <c r="CH2715" s="2"/>
      <c r="CI2715" s="2">
        <v>1</v>
      </c>
      <c r="CJ2715" s="2">
        <v>1</v>
      </c>
      <c r="CK2715" s="2">
        <v>21</v>
      </c>
      <c r="CL2715" s="2" t="s">
        <v>86</v>
      </c>
      <c r="CM2715" s="2"/>
    </row>
    <row r="2716" spans="1:91">
      <c r="A2716" s="2" t="s">
        <v>71</v>
      </c>
      <c r="B2716" s="2" t="s">
        <v>72</v>
      </c>
      <c r="C2716" s="2" t="s">
        <v>73</v>
      </c>
      <c r="D2716" s="2"/>
      <c r="E2716" s="2" t="str">
        <f>"FES1162570750"</f>
        <v>FES1162570750</v>
      </c>
      <c r="F2716" s="3">
        <v>42970</v>
      </c>
      <c r="G2716" s="2">
        <v>201802</v>
      </c>
      <c r="H2716" s="2" t="s">
        <v>74</v>
      </c>
      <c r="I2716" s="2" t="s">
        <v>75</v>
      </c>
      <c r="J2716" s="2" t="s">
        <v>76</v>
      </c>
      <c r="K2716" s="2" t="s">
        <v>77</v>
      </c>
      <c r="L2716" s="2" t="s">
        <v>97</v>
      </c>
      <c r="M2716" s="2" t="s">
        <v>98</v>
      </c>
      <c r="N2716" s="2" t="s">
        <v>229</v>
      </c>
      <c r="O2716" s="2" t="s">
        <v>100</v>
      </c>
      <c r="P2716" s="2" t="str">
        <f>"2170586290                    "</f>
        <v xml:space="preserve">2170586290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7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1.6</v>
      </c>
      <c r="BJ2716" s="2">
        <v>3.5</v>
      </c>
      <c r="BK2716" s="2">
        <v>3.5</v>
      </c>
      <c r="BL2716" s="2">
        <v>72.52</v>
      </c>
      <c r="BM2716" s="2">
        <v>10.15</v>
      </c>
      <c r="BN2716" s="2">
        <v>82.67</v>
      </c>
      <c r="BO2716" s="2">
        <v>82.67</v>
      </c>
      <c r="BP2716" s="2"/>
      <c r="BQ2716" s="2" t="s">
        <v>108</v>
      </c>
      <c r="BR2716" s="2" t="s">
        <v>84</v>
      </c>
      <c r="BS2716" s="3">
        <v>42971</v>
      </c>
      <c r="BT2716" s="4">
        <v>0.37083333333333335</v>
      </c>
      <c r="BU2716" s="2" t="s">
        <v>3077</v>
      </c>
      <c r="BV2716" s="2" t="s">
        <v>95</v>
      </c>
      <c r="BW2716" s="2"/>
      <c r="BX2716" s="2"/>
      <c r="BY2716" s="2">
        <v>17272.509999999998</v>
      </c>
      <c r="BZ2716" s="2" t="s">
        <v>27</v>
      </c>
      <c r="CA2716" s="2" t="s">
        <v>103</v>
      </c>
      <c r="CB2716" s="2"/>
      <c r="CC2716" s="2" t="s">
        <v>98</v>
      </c>
      <c r="CD2716" s="2">
        <v>6001</v>
      </c>
      <c r="CE2716" s="2" t="s">
        <v>89</v>
      </c>
      <c r="CF2716" s="5">
        <v>42972</v>
      </c>
      <c r="CG2716" s="2"/>
      <c r="CH2716" s="2"/>
      <c r="CI2716" s="2">
        <v>1</v>
      </c>
      <c r="CJ2716" s="2">
        <v>1</v>
      </c>
      <c r="CK2716" s="2">
        <v>21</v>
      </c>
      <c r="CL2716" s="2" t="s">
        <v>86</v>
      </c>
      <c r="CM2716" s="2"/>
    </row>
    <row r="2717" spans="1:91">
      <c r="A2717" s="2" t="s">
        <v>71</v>
      </c>
      <c r="B2717" s="2" t="s">
        <v>72</v>
      </c>
      <c r="C2717" s="2" t="s">
        <v>73</v>
      </c>
      <c r="D2717" s="2"/>
      <c r="E2717" s="2" t="str">
        <f>"FES1162570749"</f>
        <v>FES1162570749</v>
      </c>
      <c r="F2717" s="3">
        <v>42970</v>
      </c>
      <c r="G2717" s="2">
        <v>201802</v>
      </c>
      <c r="H2717" s="2" t="s">
        <v>74</v>
      </c>
      <c r="I2717" s="2" t="s">
        <v>75</v>
      </c>
      <c r="J2717" s="2" t="s">
        <v>76</v>
      </c>
      <c r="K2717" s="2" t="s">
        <v>77</v>
      </c>
      <c r="L2717" s="2" t="s">
        <v>97</v>
      </c>
      <c r="M2717" s="2" t="s">
        <v>98</v>
      </c>
      <c r="N2717" s="2" t="s">
        <v>229</v>
      </c>
      <c r="O2717" s="2" t="s">
        <v>100</v>
      </c>
      <c r="P2717" s="2" t="str">
        <f>"2170586264                    "</f>
        <v xml:space="preserve">2170586264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8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2.2000000000000002</v>
      </c>
      <c r="BJ2717" s="2">
        <v>3.9</v>
      </c>
      <c r="BK2717" s="2">
        <v>4</v>
      </c>
      <c r="BL2717" s="2">
        <v>82.88</v>
      </c>
      <c r="BM2717" s="2">
        <v>11.6</v>
      </c>
      <c r="BN2717" s="2">
        <v>94.48</v>
      </c>
      <c r="BO2717" s="2">
        <v>94.48</v>
      </c>
      <c r="BP2717" s="2"/>
      <c r="BQ2717" s="2" t="s">
        <v>108</v>
      </c>
      <c r="BR2717" s="2" t="s">
        <v>84</v>
      </c>
      <c r="BS2717" s="3">
        <v>42971</v>
      </c>
      <c r="BT2717" s="4">
        <v>0.37013888888888885</v>
      </c>
      <c r="BU2717" s="2" t="s">
        <v>3077</v>
      </c>
      <c r="BV2717" s="2" t="s">
        <v>95</v>
      </c>
      <c r="BW2717" s="2"/>
      <c r="BX2717" s="2"/>
      <c r="BY2717" s="2">
        <v>19412.36</v>
      </c>
      <c r="BZ2717" s="2" t="s">
        <v>27</v>
      </c>
      <c r="CA2717" s="2" t="s">
        <v>103</v>
      </c>
      <c r="CB2717" s="2"/>
      <c r="CC2717" s="2" t="s">
        <v>98</v>
      </c>
      <c r="CD2717" s="2">
        <v>6001</v>
      </c>
      <c r="CE2717" s="2" t="s">
        <v>135</v>
      </c>
      <c r="CF2717" s="5">
        <v>42972</v>
      </c>
      <c r="CG2717" s="2"/>
      <c r="CH2717" s="2"/>
      <c r="CI2717" s="2">
        <v>1</v>
      </c>
      <c r="CJ2717" s="2">
        <v>1</v>
      </c>
      <c r="CK2717" s="2">
        <v>21</v>
      </c>
      <c r="CL2717" s="2" t="s">
        <v>86</v>
      </c>
      <c r="CM2717" s="2"/>
    </row>
    <row r="2718" spans="1:91">
      <c r="A2718" s="2" t="s">
        <v>71</v>
      </c>
      <c r="B2718" s="2" t="s">
        <v>72</v>
      </c>
      <c r="C2718" s="2" t="s">
        <v>73</v>
      </c>
      <c r="D2718" s="2"/>
      <c r="E2718" s="2" t="str">
        <f>"FES1162570774"</f>
        <v>FES1162570774</v>
      </c>
      <c r="F2718" s="3">
        <v>42970</v>
      </c>
      <c r="G2718" s="2">
        <v>201802</v>
      </c>
      <c r="H2718" s="2" t="s">
        <v>74</v>
      </c>
      <c r="I2718" s="2" t="s">
        <v>75</v>
      </c>
      <c r="J2718" s="2" t="s">
        <v>76</v>
      </c>
      <c r="K2718" s="2" t="s">
        <v>77</v>
      </c>
      <c r="L2718" s="2" t="s">
        <v>510</v>
      </c>
      <c r="M2718" s="2" t="s">
        <v>511</v>
      </c>
      <c r="N2718" s="2" t="s">
        <v>2759</v>
      </c>
      <c r="O2718" s="2" t="s">
        <v>100</v>
      </c>
      <c r="P2718" s="2" t="str">
        <f>"2170583495                    "</f>
        <v xml:space="preserve">2170583495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8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4</v>
      </c>
      <c r="BJ2718" s="2">
        <v>2.9</v>
      </c>
      <c r="BK2718" s="2">
        <v>4</v>
      </c>
      <c r="BL2718" s="2">
        <v>82.88</v>
      </c>
      <c r="BM2718" s="2">
        <v>11.6</v>
      </c>
      <c r="BN2718" s="2">
        <v>94.48</v>
      </c>
      <c r="BO2718" s="2">
        <v>94.48</v>
      </c>
      <c r="BP2718" s="2"/>
      <c r="BQ2718" s="2" t="s">
        <v>108</v>
      </c>
      <c r="BR2718" s="2" t="s">
        <v>84</v>
      </c>
      <c r="BS2718" s="3">
        <v>42971</v>
      </c>
      <c r="BT2718" s="4">
        <v>0.36458333333333331</v>
      </c>
      <c r="BU2718" s="2" t="s">
        <v>1084</v>
      </c>
      <c r="BV2718" s="2" t="s">
        <v>95</v>
      </c>
      <c r="BW2718" s="2"/>
      <c r="BX2718" s="2"/>
      <c r="BY2718" s="2">
        <v>14433.91</v>
      </c>
      <c r="BZ2718" s="2" t="s">
        <v>27</v>
      </c>
      <c r="CA2718" s="2" t="s">
        <v>514</v>
      </c>
      <c r="CB2718" s="2"/>
      <c r="CC2718" s="2" t="s">
        <v>511</v>
      </c>
      <c r="CD2718" s="2">
        <v>6230</v>
      </c>
      <c r="CE2718" s="2" t="s">
        <v>89</v>
      </c>
      <c r="CF2718" s="5">
        <v>42972</v>
      </c>
      <c r="CG2718" s="2"/>
      <c r="CH2718" s="2"/>
      <c r="CI2718" s="2">
        <v>1</v>
      </c>
      <c r="CJ2718" s="2">
        <v>1</v>
      </c>
      <c r="CK2718" s="2">
        <v>21</v>
      </c>
      <c r="CL2718" s="2" t="s">
        <v>86</v>
      </c>
      <c r="CM2718" s="2"/>
    </row>
    <row r="2719" spans="1:91">
      <c r="A2719" s="2" t="s">
        <v>71</v>
      </c>
      <c r="B2719" s="2" t="s">
        <v>72</v>
      </c>
      <c r="C2719" s="2" t="s">
        <v>73</v>
      </c>
      <c r="D2719" s="2"/>
      <c r="E2719" s="2" t="str">
        <f>"FES1162570724"</f>
        <v>FES1162570724</v>
      </c>
      <c r="F2719" s="3">
        <v>42970</v>
      </c>
      <c r="G2719" s="2">
        <v>201802</v>
      </c>
      <c r="H2719" s="2" t="s">
        <v>74</v>
      </c>
      <c r="I2719" s="2" t="s">
        <v>75</v>
      </c>
      <c r="J2719" s="2" t="s">
        <v>76</v>
      </c>
      <c r="K2719" s="2" t="s">
        <v>77</v>
      </c>
      <c r="L2719" s="2" t="s">
        <v>97</v>
      </c>
      <c r="M2719" s="2" t="s">
        <v>98</v>
      </c>
      <c r="N2719" s="2" t="s">
        <v>250</v>
      </c>
      <c r="O2719" s="2" t="s">
        <v>100</v>
      </c>
      <c r="P2719" s="2" t="str">
        <f>"2170580822                    "</f>
        <v xml:space="preserve">2170580822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11.01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5.4</v>
      </c>
      <c r="BJ2719" s="2">
        <v>0.9</v>
      </c>
      <c r="BK2719" s="2">
        <v>5.5</v>
      </c>
      <c r="BL2719" s="2">
        <v>113.97</v>
      </c>
      <c r="BM2719" s="2">
        <v>15.96</v>
      </c>
      <c r="BN2719" s="2">
        <v>129.93</v>
      </c>
      <c r="BO2719" s="2">
        <v>129.93</v>
      </c>
      <c r="BP2719" s="2"/>
      <c r="BQ2719" s="2" t="s">
        <v>288</v>
      </c>
      <c r="BR2719" s="2" t="s">
        <v>84</v>
      </c>
      <c r="BS2719" s="3">
        <v>42971</v>
      </c>
      <c r="BT2719" s="4">
        <v>0.41319444444444442</v>
      </c>
      <c r="BU2719" s="2" t="s">
        <v>890</v>
      </c>
      <c r="BV2719" s="2" t="s">
        <v>95</v>
      </c>
      <c r="BW2719" s="2"/>
      <c r="BX2719" s="2"/>
      <c r="BY2719" s="2">
        <v>4542.08</v>
      </c>
      <c r="BZ2719" s="2" t="s">
        <v>27</v>
      </c>
      <c r="CA2719" s="2" t="s">
        <v>804</v>
      </c>
      <c r="CB2719" s="2"/>
      <c r="CC2719" s="2" t="s">
        <v>98</v>
      </c>
      <c r="CD2719" s="2">
        <v>6012</v>
      </c>
      <c r="CE2719" s="2" t="s">
        <v>89</v>
      </c>
      <c r="CF2719" s="5">
        <v>42972</v>
      </c>
      <c r="CG2719" s="2"/>
      <c r="CH2719" s="2"/>
      <c r="CI2719" s="2">
        <v>1</v>
      </c>
      <c r="CJ2719" s="2">
        <v>1</v>
      </c>
      <c r="CK2719" s="2">
        <v>21</v>
      </c>
      <c r="CL2719" s="2" t="s">
        <v>86</v>
      </c>
      <c r="CM2719" s="2"/>
    </row>
    <row r="2720" spans="1:91">
      <c r="A2720" s="2" t="s">
        <v>71</v>
      </c>
      <c r="B2720" s="2" t="s">
        <v>72</v>
      </c>
      <c r="C2720" s="2" t="s">
        <v>73</v>
      </c>
      <c r="D2720" s="2"/>
      <c r="E2720" s="2" t="str">
        <f>"FES1162570722"</f>
        <v>FES1162570722</v>
      </c>
      <c r="F2720" s="3">
        <v>42970</v>
      </c>
      <c r="G2720" s="2">
        <v>201802</v>
      </c>
      <c r="H2720" s="2" t="s">
        <v>74</v>
      </c>
      <c r="I2720" s="2" t="s">
        <v>75</v>
      </c>
      <c r="J2720" s="2" t="s">
        <v>76</v>
      </c>
      <c r="K2720" s="2" t="s">
        <v>77</v>
      </c>
      <c r="L2720" s="2" t="s">
        <v>97</v>
      </c>
      <c r="M2720" s="2" t="s">
        <v>98</v>
      </c>
      <c r="N2720" s="2" t="s">
        <v>500</v>
      </c>
      <c r="O2720" s="2" t="s">
        <v>100</v>
      </c>
      <c r="P2720" s="2" t="str">
        <f>"2170579973                    "</f>
        <v xml:space="preserve">2170579973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7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2.1</v>
      </c>
      <c r="BJ2720" s="2">
        <v>3.3</v>
      </c>
      <c r="BK2720" s="2">
        <v>3.5</v>
      </c>
      <c r="BL2720" s="2">
        <v>72.52</v>
      </c>
      <c r="BM2720" s="2">
        <v>10.15</v>
      </c>
      <c r="BN2720" s="2">
        <v>82.67</v>
      </c>
      <c r="BO2720" s="2">
        <v>82.67</v>
      </c>
      <c r="BP2720" s="2"/>
      <c r="BQ2720" s="2" t="s">
        <v>108</v>
      </c>
      <c r="BR2720" s="2" t="s">
        <v>84</v>
      </c>
      <c r="BS2720" s="3">
        <v>42971</v>
      </c>
      <c r="BT2720" s="4">
        <v>0.38055555555555554</v>
      </c>
      <c r="BU2720" s="2" t="s">
        <v>803</v>
      </c>
      <c r="BV2720" s="2" t="s">
        <v>95</v>
      </c>
      <c r="BW2720" s="2"/>
      <c r="BX2720" s="2"/>
      <c r="BY2720" s="2">
        <v>16706.84</v>
      </c>
      <c r="BZ2720" s="2" t="s">
        <v>27</v>
      </c>
      <c r="CA2720" s="2" t="s">
        <v>804</v>
      </c>
      <c r="CB2720" s="2"/>
      <c r="CC2720" s="2" t="s">
        <v>98</v>
      </c>
      <c r="CD2720" s="2">
        <v>6001</v>
      </c>
      <c r="CE2720" s="2" t="s">
        <v>89</v>
      </c>
      <c r="CF2720" s="5">
        <v>42972</v>
      </c>
      <c r="CG2720" s="2"/>
      <c r="CH2720" s="2"/>
      <c r="CI2720" s="2">
        <v>1</v>
      </c>
      <c r="CJ2720" s="2">
        <v>1</v>
      </c>
      <c r="CK2720" s="2">
        <v>21</v>
      </c>
      <c r="CL2720" s="2" t="s">
        <v>86</v>
      </c>
      <c r="CM2720" s="2"/>
    </row>
    <row r="2721" spans="1:91">
      <c r="A2721" s="2" t="s">
        <v>71</v>
      </c>
      <c r="B2721" s="2" t="s">
        <v>72</v>
      </c>
      <c r="C2721" s="2" t="s">
        <v>73</v>
      </c>
      <c r="D2721" s="2"/>
      <c r="E2721" s="2" t="str">
        <f>"FES1162570766"</f>
        <v>FES1162570766</v>
      </c>
      <c r="F2721" s="3">
        <v>42970</v>
      </c>
      <c r="G2721" s="2">
        <v>201802</v>
      </c>
      <c r="H2721" s="2" t="s">
        <v>74</v>
      </c>
      <c r="I2721" s="2" t="s">
        <v>75</v>
      </c>
      <c r="J2721" s="2" t="s">
        <v>76</v>
      </c>
      <c r="K2721" s="2" t="s">
        <v>77</v>
      </c>
      <c r="L2721" s="2" t="s">
        <v>97</v>
      </c>
      <c r="M2721" s="2" t="s">
        <v>98</v>
      </c>
      <c r="N2721" s="2" t="s">
        <v>2597</v>
      </c>
      <c r="O2721" s="2" t="s">
        <v>100</v>
      </c>
      <c r="P2721" s="2" t="str">
        <f>"2170586520                    "</f>
        <v xml:space="preserve">2170586520 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4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1</v>
      </c>
      <c r="BJ2721" s="2">
        <v>0.2</v>
      </c>
      <c r="BK2721" s="2">
        <v>1</v>
      </c>
      <c r="BL2721" s="2">
        <v>41.44</v>
      </c>
      <c r="BM2721" s="2">
        <v>5.8</v>
      </c>
      <c r="BN2721" s="2">
        <v>47.24</v>
      </c>
      <c r="BO2721" s="2">
        <v>47.24</v>
      </c>
      <c r="BP2721" s="2"/>
      <c r="BQ2721" s="2" t="s">
        <v>288</v>
      </c>
      <c r="BR2721" s="2" t="s">
        <v>84</v>
      </c>
      <c r="BS2721" s="3">
        <v>42971</v>
      </c>
      <c r="BT2721" s="4">
        <v>0.30555555555555552</v>
      </c>
      <c r="BU2721" s="2" t="s">
        <v>3078</v>
      </c>
      <c r="BV2721" s="2" t="s">
        <v>95</v>
      </c>
      <c r="BW2721" s="2"/>
      <c r="BX2721" s="2"/>
      <c r="BY2721" s="2">
        <v>1200</v>
      </c>
      <c r="BZ2721" s="2" t="s">
        <v>27</v>
      </c>
      <c r="CA2721" s="2" t="s">
        <v>804</v>
      </c>
      <c r="CB2721" s="2"/>
      <c r="CC2721" s="2" t="s">
        <v>98</v>
      </c>
      <c r="CD2721" s="2">
        <v>6012</v>
      </c>
      <c r="CE2721" s="2" t="s">
        <v>104</v>
      </c>
      <c r="CF2721" s="5">
        <v>42972</v>
      </c>
      <c r="CG2721" s="2"/>
      <c r="CH2721" s="2"/>
      <c r="CI2721" s="2">
        <v>1</v>
      </c>
      <c r="CJ2721" s="2">
        <v>1</v>
      </c>
      <c r="CK2721" s="2">
        <v>21</v>
      </c>
      <c r="CL2721" s="2" t="s">
        <v>86</v>
      </c>
      <c r="CM2721" s="2"/>
    </row>
    <row r="2722" spans="1:91">
      <c r="A2722" s="2" t="s">
        <v>71</v>
      </c>
      <c r="B2722" s="2" t="s">
        <v>72</v>
      </c>
      <c r="C2722" s="2" t="s">
        <v>73</v>
      </c>
      <c r="D2722" s="2"/>
      <c r="E2722" s="2" t="str">
        <f>"FES1162570743"</f>
        <v>FES1162570743</v>
      </c>
      <c r="F2722" s="3">
        <v>42970</v>
      </c>
      <c r="G2722" s="2">
        <v>201802</v>
      </c>
      <c r="H2722" s="2" t="s">
        <v>74</v>
      </c>
      <c r="I2722" s="2" t="s">
        <v>75</v>
      </c>
      <c r="J2722" s="2" t="s">
        <v>76</v>
      </c>
      <c r="K2722" s="2" t="s">
        <v>77</v>
      </c>
      <c r="L2722" s="2" t="s">
        <v>97</v>
      </c>
      <c r="M2722" s="2" t="s">
        <v>98</v>
      </c>
      <c r="N2722" s="2" t="s">
        <v>119</v>
      </c>
      <c r="O2722" s="2" t="s">
        <v>100</v>
      </c>
      <c r="P2722" s="2" t="str">
        <f>"2170585890                    "</f>
        <v xml:space="preserve">2170585890 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4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1</v>
      </c>
      <c r="BJ2722" s="2">
        <v>0.2</v>
      </c>
      <c r="BK2722" s="2">
        <v>1</v>
      </c>
      <c r="BL2722" s="2">
        <v>41.44</v>
      </c>
      <c r="BM2722" s="2">
        <v>5.8</v>
      </c>
      <c r="BN2722" s="2">
        <v>47.24</v>
      </c>
      <c r="BO2722" s="2">
        <v>47.24</v>
      </c>
      <c r="BP2722" s="2"/>
      <c r="BQ2722" s="2" t="s">
        <v>108</v>
      </c>
      <c r="BR2722" s="2" t="s">
        <v>84</v>
      </c>
      <c r="BS2722" s="3">
        <v>42971</v>
      </c>
      <c r="BT2722" s="4">
        <v>0.32916666666666666</v>
      </c>
      <c r="BU2722" s="2" t="s">
        <v>3044</v>
      </c>
      <c r="BV2722" s="2" t="s">
        <v>95</v>
      </c>
      <c r="BW2722" s="2"/>
      <c r="BX2722" s="2"/>
      <c r="BY2722" s="2">
        <v>1200</v>
      </c>
      <c r="BZ2722" s="2" t="s">
        <v>27</v>
      </c>
      <c r="CA2722" s="2" t="s">
        <v>213</v>
      </c>
      <c r="CB2722" s="2"/>
      <c r="CC2722" s="2" t="s">
        <v>98</v>
      </c>
      <c r="CD2722" s="2">
        <v>6001</v>
      </c>
      <c r="CE2722" s="2" t="s">
        <v>104</v>
      </c>
      <c r="CF2722" s="5">
        <v>42972</v>
      </c>
      <c r="CG2722" s="2"/>
      <c r="CH2722" s="2"/>
      <c r="CI2722" s="2">
        <v>1</v>
      </c>
      <c r="CJ2722" s="2">
        <v>1</v>
      </c>
      <c r="CK2722" s="2">
        <v>21</v>
      </c>
      <c r="CL2722" s="2" t="s">
        <v>86</v>
      </c>
      <c r="CM2722" s="2"/>
    </row>
    <row r="2723" spans="1:91">
      <c r="A2723" s="2" t="s">
        <v>71</v>
      </c>
      <c r="B2723" s="2" t="s">
        <v>72</v>
      </c>
      <c r="C2723" s="2" t="s">
        <v>73</v>
      </c>
      <c r="D2723" s="2"/>
      <c r="E2723" s="2" t="str">
        <f>"FES1162570785"</f>
        <v>FES1162570785</v>
      </c>
      <c r="F2723" s="3">
        <v>42970</v>
      </c>
      <c r="G2723" s="2">
        <v>201802</v>
      </c>
      <c r="H2723" s="2" t="s">
        <v>74</v>
      </c>
      <c r="I2723" s="2" t="s">
        <v>75</v>
      </c>
      <c r="J2723" s="2" t="s">
        <v>76</v>
      </c>
      <c r="K2723" s="2" t="s">
        <v>77</v>
      </c>
      <c r="L2723" s="2" t="s">
        <v>174</v>
      </c>
      <c r="M2723" s="2" t="s">
        <v>175</v>
      </c>
      <c r="N2723" s="2" t="s">
        <v>920</v>
      </c>
      <c r="O2723" s="2" t="s">
        <v>100</v>
      </c>
      <c r="P2723" s="2" t="str">
        <f>"2170586035                    "</f>
        <v xml:space="preserve">2170586035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4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1</v>
      </c>
      <c r="BJ2723" s="2">
        <v>0.2</v>
      </c>
      <c r="BK2723" s="2">
        <v>1</v>
      </c>
      <c r="BL2723" s="2">
        <v>41.44</v>
      </c>
      <c r="BM2723" s="2">
        <v>5.8</v>
      </c>
      <c r="BN2723" s="2">
        <v>47.24</v>
      </c>
      <c r="BO2723" s="2">
        <v>47.24</v>
      </c>
      <c r="BP2723" s="2"/>
      <c r="BQ2723" s="2" t="s">
        <v>108</v>
      </c>
      <c r="BR2723" s="2" t="s">
        <v>84</v>
      </c>
      <c r="BS2723" s="3">
        <v>42971</v>
      </c>
      <c r="BT2723" s="4">
        <v>0.4201388888888889</v>
      </c>
      <c r="BU2723" s="2" t="s">
        <v>3057</v>
      </c>
      <c r="BV2723" s="2" t="s">
        <v>95</v>
      </c>
      <c r="BW2723" s="2"/>
      <c r="BX2723" s="2"/>
      <c r="BY2723" s="2">
        <v>1200</v>
      </c>
      <c r="BZ2723" s="2" t="s">
        <v>27</v>
      </c>
      <c r="CA2723" s="2"/>
      <c r="CB2723" s="2"/>
      <c r="CC2723" s="2" t="s">
        <v>175</v>
      </c>
      <c r="CD2723" s="2">
        <v>5201</v>
      </c>
      <c r="CE2723" s="2" t="s">
        <v>104</v>
      </c>
      <c r="CF2723" s="5">
        <v>42972</v>
      </c>
      <c r="CG2723" s="2"/>
      <c r="CH2723" s="2"/>
      <c r="CI2723" s="2">
        <v>1</v>
      </c>
      <c r="CJ2723" s="2">
        <v>1</v>
      </c>
      <c r="CK2723" s="2">
        <v>21</v>
      </c>
      <c r="CL2723" s="2" t="s">
        <v>86</v>
      </c>
      <c r="CM2723" s="2"/>
    </row>
    <row r="2724" spans="1:91">
      <c r="A2724" s="2" t="s">
        <v>71</v>
      </c>
      <c r="B2724" s="2" t="s">
        <v>72</v>
      </c>
      <c r="C2724" s="2" t="s">
        <v>73</v>
      </c>
      <c r="D2724" s="2"/>
      <c r="E2724" s="2" t="str">
        <f>"FES1162570736"</f>
        <v>FES1162570736</v>
      </c>
      <c r="F2724" s="3">
        <v>42970</v>
      </c>
      <c r="G2724" s="2">
        <v>201802</v>
      </c>
      <c r="H2724" s="2" t="s">
        <v>74</v>
      </c>
      <c r="I2724" s="2" t="s">
        <v>75</v>
      </c>
      <c r="J2724" s="2" t="s">
        <v>76</v>
      </c>
      <c r="K2724" s="2" t="s">
        <v>77</v>
      </c>
      <c r="L2724" s="2" t="s">
        <v>97</v>
      </c>
      <c r="M2724" s="2" t="s">
        <v>98</v>
      </c>
      <c r="N2724" s="2" t="s">
        <v>292</v>
      </c>
      <c r="O2724" s="2" t="s">
        <v>100</v>
      </c>
      <c r="P2724" s="2" t="str">
        <f>"2170584443                    "</f>
        <v xml:space="preserve">2170584443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4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1</v>
      </c>
      <c r="BI2724" s="2">
        <v>1</v>
      </c>
      <c r="BJ2724" s="2">
        <v>0.2</v>
      </c>
      <c r="BK2724" s="2">
        <v>1</v>
      </c>
      <c r="BL2724" s="2">
        <v>41.44</v>
      </c>
      <c r="BM2724" s="2">
        <v>5.8</v>
      </c>
      <c r="BN2724" s="2">
        <v>47.24</v>
      </c>
      <c r="BO2724" s="2">
        <v>47.24</v>
      </c>
      <c r="BP2724" s="2"/>
      <c r="BQ2724" s="2" t="s">
        <v>83</v>
      </c>
      <c r="BR2724" s="2" t="s">
        <v>84</v>
      </c>
      <c r="BS2724" s="3">
        <v>42971</v>
      </c>
      <c r="BT2724" s="4">
        <v>0.3263888888888889</v>
      </c>
      <c r="BU2724" s="2" t="s">
        <v>2413</v>
      </c>
      <c r="BV2724" s="2" t="s">
        <v>95</v>
      </c>
      <c r="BW2724" s="2"/>
      <c r="BX2724" s="2"/>
      <c r="BY2724" s="2">
        <v>1200</v>
      </c>
      <c r="BZ2724" s="2" t="s">
        <v>27</v>
      </c>
      <c r="CA2724" s="2" t="s">
        <v>804</v>
      </c>
      <c r="CB2724" s="2"/>
      <c r="CC2724" s="2" t="s">
        <v>98</v>
      </c>
      <c r="CD2724" s="2">
        <v>6001</v>
      </c>
      <c r="CE2724" s="2" t="s">
        <v>104</v>
      </c>
      <c r="CF2724" s="5">
        <v>42972</v>
      </c>
      <c r="CG2724" s="2"/>
      <c r="CH2724" s="2"/>
      <c r="CI2724" s="2">
        <v>1</v>
      </c>
      <c r="CJ2724" s="2">
        <v>1</v>
      </c>
      <c r="CK2724" s="2">
        <v>21</v>
      </c>
      <c r="CL2724" s="2" t="s">
        <v>86</v>
      </c>
      <c r="CM2724" s="2"/>
    </row>
    <row r="2725" spans="1:91">
      <c r="A2725" s="2" t="s">
        <v>71</v>
      </c>
      <c r="B2725" s="2" t="s">
        <v>72</v>
      </c>
      <c r="C2725" s="2" t="s">
        <v>73</v>
      </c>
      <c r="D2725" s="2"/>
      <c r="E2725" s="2" t="str">
        <f>"FES1162570732"</f>
        <v>FES1162570732</v>
      </c>
      <c r="F2725" s="3">
        <v>42970</v>
      </c>
      <c r="G2725" s="2">
        <v>201802</v>
      </c>
      <c r="H2725" s="2" t="s">
        <v>74</v>
      </c>
      <c r="I2725" s="2" t="s">
        <v>75</v>
      </c>
      <c r="J2725" s="2" t="s">
        <v>76</v>
      </c>
      <c r="K2725" s="2" t="s">
        <v>77</v>
      </c>
      <c r="L2725" s="2" t="s">
        <v>97</v>
      </c>
      <c r="M2725" s="2" t="s">
        <v>98</v>
      </c>
      <c r="N2725" s="2" t="s">
        <v>248</v>
      </c>
      <c r="O2725" s="2" t="s">
        <v>100</v>
      </c>
      <c r="P2725" s="2" t="str">
        <f>"2170584108                    "</f>
        <v xml:space="preserve">2170584108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4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1</v>
      </c>
      <c r="BJ2725" s="2">
        <v>0.2</v>
      </c>
      <c r="BK2725" s="2">
        <v>1</v>
      </c>
      <c r="BL2725" s="2">
        <v>41.44</v>
      </c>
      <c r="BM2725" s="2">
        <v>5.8</v>
      </c>
      <c r="BN2725" s="2">
        <v>47.24</v>
      </c>
      <c r="BO2725" s="2">
        <v>47.24</v>
      </c>
      <c r="BP2725" s="2"/>
      <c r="BQ2725" s="2" t="s">
        <v>83</v>
      </c>
      <c r="BR2725" s="2" t="s">
        <v>84</v>
      </c>
      <c r="BS2725" s="3">
        <v>42971</v>
      </c>
      <c r="BT2725" s="4">
        <v>0.34722222222222227</v>
      </c>
      <c r="BU2725" s="2" t="s">
        <v>1130</v>
      </c>
      <c r="BV2725" s="2" t="s">
        <v>95</v>
      </c>
      <c r="BW2725" s="2"/>
      <c r="BX2725" s="2"/>
      <c r="BY2725" s="2">
        <v>1200</v>
      </c>
      <c r="BZ2725" s="2" t="s">
        <v>27</v>
      </c>
      <c r="CA2725" s="2" t="s">
        <v>804</v>
      </c>
      <c r="CB2725" s="2"/>
      <c r="CC2725" s="2" t="s">
        <v>98</v>
      </c>
      <c r="CD2725" s="2">
        <v>6001</v>
      </c>
      <c r="CE2725" s="2" t="s">
        <v>104</v>
      </c>
      <c r="CF2725" s="5">
        <v>42972</v>
      </c>
      <c r="CG2725" s="2"/>
      <c r="CH2725" s="2"/>
      <c r="CI2725" s="2">
        <v>1</v>
      </c>
      <c r="CJ2725" s="2">
        <v>1</v>
      </c>
      <c r="CK2725" s="2">
        <v>21</v>
      </c>
      <c r="CL2725" s="2" t="s">
        <v>86</v>
      </c>
      <c r="CM2725" s="2"/>
    </row>
    <row r="2726" spans="1:91">
      <c r="A2726" s="2" t="s">
        <v>71</v>
      </c>
      <c r="B2726" s="2" t="s">
        <v>72</v>
      </c>
      <c r="C2726" s="2" t="s">
        <v>73</v>
      </c>
      <c r="D2726" s="2"/>
      <c r="E2726" s="2" t="str">
        <f>"FES1162570973"</f>
        <v>FES1162570973</v>
      </c>
      <c r="F2726" s="3">
        <v>42970</v>
      </c>
      <c r="G2726" s="2">
        <v>201802</v>
      </c>
      <c r="H2726" s="2" t="s">
        <v>74</v>
      </c>
      <c r="I2726" s="2" t="s">
        <v>75</v>
      </c>
      <c r="J2726" s="2" t="s">
        <v>76</v>
      </c>
      <c r="K2726" s="2" t="s">
        <v>77</v>
      </c>
      <c r="L2726" s="2" t="s">
        <v>321</v>
      </c>
      <c r="M2726" s="2" t="s">
        <v>322</v>
      </c>
      <c r="N2726" s="2" t="s">
        <v>323</v>
      </c>
      <c r="O2726" s="2" t="s">
        <v>100</v>
      </c>
      <c r="P2726" s="2" t="str">
        <f>"2170586647                    "</f>
        <v xml:space="preserve">2170586647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4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1</v>
      </c>
      <c r="BJ2726" s="2">
        <v>0.2</v>
      </c>
      <c r="BK2726" s="2">
        <v>1</v>
      </c>
      <c r="BL2726" s="2">
        <v>41.44</v>
      </c>
      <c r="BM2726" s="2">
        <v>5.8</v>
      </c>
      <c r="BN2726" s="2">
        <v>47.24</v>
      </c>
      <c r="BO2726" s="2">
        <v>47.24</v>
      </c>
      <c r="BP2726" s="2"/>
      <c r="BQ2726" s="2" t="s">
        <v>83</v>
      </c>
      <c r="BR2726" s="2" t="s">
        <v>84</v>
      </c>
      <c r="BS2726" s="3">
        <v>42971</v>
      </c>
      <c r="BT2726" s="4">
        <v>0.40972222222222227</v>
      </c>
      <c r="BU2726" s="2" t="s">
        <v>324</v>
      </c>
      <c r="BV2726" s="2" t="s">
        <v>95</v>
      </c>
      <c r="BW2726" s="2"/>
      <c r="BX2726" s="2"/>
      <c r="BY2726" s="2">
        <v>1200</v>
      </c>
      <c r="BZ2726" s="2" t="s">
        <v>27</v>
      </c>
      <c r="CA2726" s="2" t="s">
        <v>103</v>
      </c>
      <c r="CB2726" s="2"/>
      <c r="CC2726" s="2" t="s">
        <v>322</v>
      </c>
      <c r="CD2726" s="2">
        <v>6220</v>
      </c>
      <c r="CE2726" s="2" t="s">
        <v>104</v>
      </c>
      <c r="CF2726" s="5">
        <v>42972</v>
      </c>
      <c r="CG2726" s="2"/>
      <c r="CH2726" s="2"/>
      <c r="CI2726" s="2">
        <v>1</v>
      </c>
      <c r="CJ2726" s="2">
        <v>1</v>
      </c>
      <c r="CK2726" s="2">
        <v>21</v>
      </c>
      <c r="CL2726" s="2" t="s">
        <v>86</v>
      </c>
      <c r="CM2726" s="2"/>
    </row>
    <row r="2727" spans="1:91">
      <c r="A2727" s="2" t="s">
        <v>71</v>
      </c>
      <c r="B2727" s="2" t="s">
        <v>72</v>
      </c>
      <c r="C2727" s="2" t="s">
        <v>73</v>
      </c>
      <c r="D2727" s="2"/>
      <c r="E2727" s="2" t="str">
        <f>"FES1162570924"</f>
        <v>FES1162570924</v>
      </c>
      <c r="F2727" s="3">
        <v>42970</v>
      </c>
      <c r="G2727" s="2">
        <v>201802</v>
      </c>
      <c r="H2727" s="2" t="s">
        <v>74</v>
      </c>
      <c r="I2727" s="2" t="s">
        <v>75</v>
      </c>
      <c r="J2727" s="2" t="s">
        <v>76</v>
      </c>
      <c r="K2727" s="2" t="s">
        <v>77</v>
      </c>
      <c r="L2727" s="2" t="s">
        <v>97</v>
      </c>
      <c r="M2727" s="2" t="s">
        <v>98</v>
      </c>
      <c r="N2727" s="2" t="s">
        <v>292</v>
      </c>
      <c r="O2727" s="2" t="s">
        <v>100</v>
      </c>
      <c r="P2727" s="2" t="str">
        <f>"2170586599                    "</f>
        <v xml:space="preserve">2170586599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4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1</v>
      </c>
      <c r="BJ2727" s="2">
        <v>0.2</v>
      </c>
      <c r="BK2727" s="2">
        <v>1</v>
      </c>
      <c r="BL2727" s="2">
        <v>41.44</v>
      </c>
      <c r="BM2727" s="2">
        <v>5.8</v>
      </c>
      <c r="BN2727" s="2">
        <v>47.24</v>
      </c>
      <c r="BO2727" s="2">
        <v>47.24</v>
      </c>
      <c r="BP2727" s="2"/>
      <c r="BQ2727" s="2" t="s">
        <v>83</v>
      </c>
      <c r="BR2727" s="2" t="s">
        <v>84</v>
      </c>
      <c r="BS2727" s="3">
        <v>42971</v>
      </c>
      <c r="BT2727" s="4">
        <v>0.3263888888888889</v>
      </c>
      <c r="BU2727" s="2" t="s">
        <v>2413</v>
      </c>
      <c r="BV2727" s="2" t="s">
        <v>95</v>
      </c>
      <c r="BW2727" s="2"/>
      <c r="BX2727" s="2"/>
      <c r="BY2727" s="2">
        <v>1200</v>
      </c>
      <c r="BZ2727" s="2" t="s">
        <v>27</v>
      </c>
      <c r="CA2727" s="2" t="s">
        <v>804</v>
      </c>
      <c r="CB2727" s="2"/>
      <c r="CC2727" s="2" t="s">
        <v>98</v>
      </c>
      <c r="CD2727" s="2">
        <v>6001</v>
      </c>
      <c r="CE2727" s="2" t="s">
        <v>104</v>
      </c>
      <c r="CF2727" s="5">
        <v>42972</v>
      </c>
      <c r="CG2727" s="2"/>
      <c r="CH2727" s="2"/>
      <c r="CI2727" s="2">
        <v>1</v>
      </c>
      <c r="CJ2727" s="2">
        <v>1</v>
      </c>
      <c r="CK2727" s="2">
        <v>21</v>
      </c>
      <c r="CL2727" s="2" t="s">
        <v>86</v>
      </c>
      <c r="CM2727" s="2"/>
    </row>
    <row r="2728" spans="1:91">
      <c r="A2728" s="2" t="s">
        <v>71</v>
      </c>
      <c r="B2728" s="2" t="s">
        <v>72</v>
      </c>
      <c r="C2728" s="2" t="s">
        <v>73</v>
      </c>
      <c r="D2728" s="2"/>
      <c r="E2728" s="2" t="str">
        <f>"FES1162570740"</f>
        <v>FES1162570740</v>
      </c>
      <c r="F2728" s="3">
        <v>42970</v>
      </c>
      <c r="G2728" s="2">
        <v>201802</v>
      </c>
      <c r="H2728" s="2" t="s">
        <v>74</v>
      </c>
      <c r="I2728" s="2" t="s">
        <v>75</v>
      </c>
      <c r="J2728" s="2" t="s">
        <v>76</v>
      </c>
      <c r="K2728" s="2" t="s">
        <v>77</v>
      </c>
      <c r="L2728" s="2" t="s">
        <v>846</v>
      </c>
      <c r="M2728" s="2" t="s">
        <v>847</v>
      </c>
      <c r="N2728" s="2" t="s">
        <v>848</v>
      </c>
      <c r="O2728" s="2" t="s">
        <v>100</v>
      </c>
      <c r="P2728" s="2" t="str">
        <f>"2170584741                    "</f>
        <v xml:space="preserve">2170584741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18.260000000000002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4.9000000000000004</v>
      </c>
      <c r="BJ2728" s="2">
        <v>1.9</v>
      </c>
      <c r="BK2728" s="2">
        <v>5</v>
      </c>
      <c r="BL2728" s="2">
        <v>189.08</v>
      </c>
      <c r="BM2728" s="2">
        <v>26.47</v>
      </c>
      <c r="BN2728" s="2">
        <v>215.55</v>
      </c>
      <c r="BO2728" s="2">
        <v>215.55</v>
      </c>
      <c r="BP2728" s="2"/>
      <c r="BQ2728" s="2" t="s">
        <v>108</v>
      </c>
      <c r="BR2728" s="2" t="s">
        <v>84</v>
      </c>
      <c r="BS2728" s="3">
        <v>42971</v>
      </c>
      <c r="BT2728" s="4">
        <v>0.53472222222222221</v>
      </c>
      <c r="BU2728" s="2" t="s">
        <v>3079</v>
      </c>
      <c r="BV2728" s="2" t="s">
        <v>95</v>
      </c>
      <c r="BW2728" s="2"/>
      <c r="BX2728" s="2"/>
      <c r="BY2728" s="2">
        <v>9260.49</v>
      </c>
      <c r="BZ2728" s="2" t="s">
        <v>27</v>
      </c>
      <c r="CA2728" s="2" t="s">
        <v>148</v>
      </c>
      <c r="CB2728" s="2"/>
      <c r="CC2728" s="2" t="s">
        <v>847</v>
      </c>
      <c r="CD2728" s="2">
        <v>7349</v>
      </c>
      <c r="CE2728" s="2" t="s">
        <v>89</v>
      </c>
      <c r="CF2728" s="5">
        <v>42972</v>
      </c>
      <c r="CG2728" s="2"/>
      <c r="CH2728" s="2"/>
      <c r="CI2728" s="2">
        <v>1</v>
      </c>
      <c r="CJ2728" s="2">
        <v>1</v>
      </c>
      <c r="CK2728" s="2">
        <v>23</v>
      </c>
      <c r="CL2728" s="2" t="s">
        <v>86</v>
      </c>
      <c r="CM2728" s="2"/>
    </row>
    <row r="2729" spans="1:91">
      <c r="A2729" s="2" t="s">
        <v>71</v>
      </c>
      <c r="B2729" s="2" t="s">
        <v>72</v>
      </c>
      <c r="C2729" s="2" t="s">
        <v>73</v>
      </c>
      <c r="D2729" s="2"/>
      <c r="E2729" s="2" t="str">
        <f>"FES1162570854"</f>
        <v>FES1162570854</v>
      </c>
      <c r="F2729" s="3">
        <v>42970</v>
      </c>
      <c r="G2729" s="2">
        <v>201802</v>
      </c>
      <c r="H2729" s="2" t="s">
        <v>74</v>
      </c>
      <c r="I2729" s="2" t="s">
        <v>75</v>
      </c>
      <c r="J2729" s="2" t="s">
        <v>76</v>
      </c>
      <c r="K2729" s="2" t="s">
        <v>77</v>
      </c>
      <c r="L2729" s="2" t="s">
        <v>201</v>
      </c>
      <c r="M2729" s="2" t="s">
        <v>202</v>
      </c>
      <c r="N2729" s="2" t="s">
        <v>409</v>
      </c>
      <c r="O2729" s="2" t="s">
        <v>100</v>
      </c>
      <c r="P2729" s="2" t="str">
        <f>"2170586558                    "</f>
        <v xml:space="preserve">2170586558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7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2.2000000000000002</v>
      </c>
      <c r="BJ2729" s="2">
        <v>3.2</v>
      </c>
      <c r="BK2729" s="2">
        <v>3.5</v>
      </c>
      <c r="BL2729" s="2">
        <v>72.52</v>
      </c>
      <c r="BM2729" s="2">
        <v>10.15</v>
      </c>
      <c r="BN2729" s="2">
        <v>82.67</v>
      </c>
      <c r="BO2729" s="2">
        <v>82.67</v>
      </c>
      <c r="BP2729" s="2"/>
      <c r="BQ2729" s="2" t="s">
        <v>288</v>
      </c>
      <c r="BR2729" s="2" t="s">
        <v>84</v>
      </c>
      <c r="BS2729" s="3">
        <v>42971</v>
      </c>
      <c r="BT2729" s="4">
        <v>0.41666666666666669</v>
      </c>
      <c r="BU2729" s="2" t="s">
        <v>3080</v>
      </c>
      <c r="BV2729" s="2" t="s">
        <v>95</v>
      </c>
      <c r="BW2729" s="2"/>
      <c r="BX2729" s="2"/>
      <c r="BY2729" s="2">
        <v>16227.75</v>
      </c>
      <c r="BZ2729" s="2" t="s">
        <v>27</v>
      </c>
      <c r="CA2729" s="2" t="s">
        <v>148</v>
      </c>
      <c r="CB2729" s="2"/>
      <c r="CC2729" s="2" t="s">
        <v>202</v>
      </c>
      <c r="CD2729" s="2">
        <v>7130</v>
      </c>
      <c r="CE2729" s="2" t="s">
        <v>89</v>
      </c>
      <c r="CF2729" s="5">
        <v>42972</v>
      </c>
      <c r="CG2729" s="2"/>
      <c r="CH2729" s="2"/>
      <c r="CI2729" s="2">
        <v>1</v>
      </c>
      <c r="CJ2729" s="2">
        <v>1</v>
      </c>
      <c r="CK2729" s="2">
        <v>21</v>
      </c>
      <c r="CL2729" s="2" t="s">
        <v>86</v>
      </c>
      <c r="CM2729" s="2"/>
    </row>
    <row r="2730" spans="1:91">
      <c r="A2730" s="2" t="s">
        <v>71</v>
      </c>
      <c r="B2730" s="2" t="s">
        <v>72</v>
      </c>
      <c r="C2730" s="2" t="s">
        <v>73</v>
      </c>
      <c r="D2730" s="2"/>
      <c r="E2730" s="2" t="str">
        <f>"FES1162570721"</f>
        <v>FES1162570721</v>
      </c>
      <c r="F2730" s="3">
        <v>42970</v>
      </c>
      <c r="G2730" s="2">
        <v>201802</v>
      </c>
      <c r="H2730" s="2" t="s">
        <v>74</v>
      </c>
      <c r="I2730" s="2" t="s">
        <v>75</v>
      </c>
      <c r="J2730" s="2" t="s">
        <v>76</v>
      </c>
      <c r="K2730" s="2" t="s">
        <v>77</v>
      </c>
      <c r="L2730" s="2" t="s">
        <v>174</v>
      </c>
      <c r="M2730" s="2" t="s">
        <v>175</v>
      </c>
      <c r="N2730" s="2" t="s">
        <v>920</v>
      </c>
      <c r="O2730" s="2" t="s">
        <v>100</v>
      </c>
      <c r="P2730" s="2" t="str">
        <f>"2170576868                    "</f>
        <v xml:space="preserve">2170576868   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4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1</v>
      </c>
      <c r="BJ2730" s="2">
        <v>0.2</v>
      </c>
      <c r="BK2730" s="2">
        <v>1</v>
      </c>
      <c r="BL2730" s="2">
        <v>41.44</v>
      </c>
      <c r="BM2730" s="2">
        <v>5.8</v>
      </c>
      <c r="BN2730" s="2">
        <v>47.24</v>
      </c>
      <c r="BO2730" s="2">
        <v>47.24</v>
      </c>
      <c r="BP2730" s="2"/>
      <c r="BQ2730" s="2" t="s">
        <v>108</v>
      </c>
      <c r="BR2730" s="2" t="s">
        <v>84</v>
      </c>
      <c r="BS2730" s="3">
        <v>42971</v>
      </c>
      <c r="BT2730" s="4">
        <v>0.43055555555555558</v>
      </c>
      <c r="BU2730" s="2" t="s">
        <v>3057</v>
      </c>
      <c r="BV2730" s="2" t="s">
        <v>95</v>
      </c>
      <c r="BW2730" s="2"/>
      <c r="BX2730" s="2"/>
      <c r="BY2730" s="2">
        <v>1200</v>
      </c>
      <c r="BZ2730" s="2" t="s">
        <v>27</v>
      </c>
      <c r="CA2730" s="2"/>
      <c r="CB2730" s="2"/>
      <c r="CC2730" s="2" t="s">
        <v>175</v>
      </c>
      <c r="CD2730" s="2">
        <v>5201</v>
      </c>
      <c r="CE2730" s="2" t="s">
        <v>104</v>
      </c>
      <c r="CF2730" s="5">
        <v>42972</v>
      </c>
      <c r="CG2730" s="2"/>
      <c r="CH2730" s="2"/>
      <c r="CI2730" s="2">
        <v>1</v>
      </c>
      <c r="CJ2730" s="2">
        <v>1</v>
      </c>
      <c r="CK2730" s="2">
        <v>21</v>
      </c>
      <c r="CL2730" s="2" t="s">
        <v>86</v>
      </c>
      <c r="CM2730" s="2"/>
    </row>
    <row r="2731" spans="1:91">
      <c r="A2731" s="2" t="s">
        <v>71</v>
      </c>
      <c r="B2731" s="2" t="s">
        <v>72</v>
      </c>
      <c r="C2731" s="2" t="s">
        <v>73</v>
      </c>
      <c r="D2731" s="2"/>
      <c r="E2731" s="2" t="str">
        <f>"FES1162570921"</f>
        <v>FES1162570921</v>
      </c>
      <c r="F2731" s="3">
        <v>42970</v>
      </c>
      <c r="G2731" s="2">
        <v>201802</v>
      </c>
      <c r="H2731" s="2" t="s">
        <v>74</v>
      </c>
      <c r="I2731" s="2" t="s">
        <v>75</v>
      </c>
      <c r="J2731" s="2" t="s">
        <v>76</v>
      </c>
      <c r="K2731" s="2" t="s">
        <v>77</v>
      </c>
      <c r="L2731" s="2" t="s">
        <v>105</v>
      </c>
      <c r="M2731" s="2" t="s">
        <v>106</v>
      </c>
      <c r="N2731" s="2" t="s">
        <v>397</v>
      </c>
      <c r="O2731" s="2" t="s">
        <v>100</v>
      </c>
      <c r="P2731" s="2" t="str">
        <f>"2170586595                    "</f>
        <v xml:space="preserve">2170586595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4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1</v>
      </c>
      <c r="BJ2731" s="2">
        <v>0.2</v>
      </c>
      <c r="BK2731" s="2">
        <v>1</v>
      </c>
      <c r="BL2731" s="2">
        <v>41.44</v>
      </c>
      <c r="BM2731" s="2">
        <v>5.8</v>
      </c>
      <c r="BN2731" s="2">
        <v>47.24</v>
      </c>
      <c r="BO2731" s="2">
        <v>47.24</v>
      </c>
      <c r="BP2731" s="2"/>
      <c r="BQ2731" s="2" t="s">
        <v>83</v>
      </c>
      <c r="BR2731" s="2" t="s">
        <v>84</v>
      </c>
      <c r="BS2731" s="3">
        <v>42971</v>
      </c>
      <c r="BT2731" s="4">
        <v>0.41666666666666669</v>
      </c>
      <c r="BU2731" s="2" t="s">
        <v>85</v>
      </c>
      <c r="BV2731" s="2" t="s">
        <v>95</v>
      </c>
      <c r="BW2731" s="2"/>
      <c r="BX2731" s="2"/>
      <c r="BY2731" s="2">
        <v>1200</v>
      </c>
      <c r="BZ2731" s="2" t="s">
        <v>27</v>
      </c>
      <c r="CA2731" s="2"/>
      <c r="CB2731" s="2"/>
      <c r="CC2731" s="2" t="s">
        <v>106</v>
      </c>
      <c r="CD2731" s="2">
        <v>7405</v>
      </c>
      <c r="CE2731" s="2" t="s">
        <v>104</v>
      </c>
      <c r="CF2731" s="5">
        <v>42972</v>
      </c>
      <c r="CG2731" s="2"/>
      <c r="CH2731" s="2"/>
      <c r="CI2731" s="2">
        <v>1</v>
      </c>
      <c r="CJ2731" s="2">
        <v>1</v>
      </c>
      <c r="CK2731" s="2">
        <v>21</v>
      </c>
      <c r="CL2731" s="2" t="s">
        <v>86</v>
      </c>
      <c r="CM2731" s="2"/>
    </row>
    <row r="2732" spans="1:91">
      <c r="A2732" s="2" t="s">
        <v>71</v>
      </c>
      <c r="B2732" s="2" t="s">
        <v>72</v>
      </c>
      <c r="C2732" s="2" t="s">
        <v>73</v>
      </c>
      <c r="D2732" s="2"/>
      <c r="E2732" s="2" t="str">
        <f>"FES1162570882"</f>
        <v>FES1162570882</v>
      </c>
      <c r="F2732" s="3">
        <v>42970</v>
      </c>
      <c r="G2732" s="2">
        <v>201802</v>
      </c>
      <c r="H2732" s="2" t="s">
        <v>74</v>
      </c>
      <c r="I2732" s="2" t="s">
        <v>75</v>
      </c>
      <c r="J2732" s="2" t="s">
        <v>76</v>
      </c>
      <c r="K2732" s="2" t="s">
        <v>77</v>
      </c>
      <c r="L2732" s="2" t="s">
        <v>105</v>
      </c>
      <c r="M2732" s="2" t="s">
        <v>106</v>
      </c>
      <c r="N2732" s="2" t="s">
        <v>2078</v>
      </c>
      <c r="O2732" s="2" t="s">
        <v>100</v>
      </c>
      <c r="P2732" s="2" t="str">
        <f>"2170584388                    "</f>
        <v xml:space="preserve">2170584388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13.01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6.4</v>
      </c>
      <c r="BJ2732" s="2">
        <v>3.4</v>
      </c>
      <c r="BK2732" s="2">
        <v>6.5</v>
      </c>
      <c r="BL2732" s="2">
        <v>134.69</v>
      </c>
      <c r="BM2732" s="2">
        <v>18.86</v>
      </c>
      <c r="BN2732" s="2">
        <v>153.55000000000001</v>
      </c>
      <c r="BO2732" s="2">
        <v>153.55000000000001</v>
      </c>
      <c r="BP2732" s="2"/>
      <c r="BQ2732" s="2" t="s">
        <v>83</v>
      </c>
      <c r="BR2732" s="2" t="s">
        <v>84</v>
      </c>
      <c r="BS2732" s="3">
        <v>42971</v>
      </c>
      <c r="BT2732" s="4">
        <v>0.34027777777777773</v>
      </c>
      <c r="BU2732" s="2" t="s">
        <v>1272</v>
      </c>
      <c r="BV2732" s="2" t="s">
        <v>95</v>
      </c>
      <c r="BW2732" s="2"/>
      <c r="BX2732" s="2"/>
      <c r="BY2732" s="2">
        <v>16991.099999999999</v>
      </c>
      <c r="BZ2732" s="2" t="s">
        <v>27</v>
      </c>
      <c r="CA2732" s="2"/>
      <c r="CB2732" s="2"/>
      <c r="CC2732" s="2" t="s">
        <v>106</v>
      </c>
      <c r="CD2732" s="2">
        <v>7530</v>
      </c>
      <c r="CE2732" s="2" t="s">
        <v>89</v>
      </c>
      <c r="CF2732" s="5">
        <v>42972</v>
      </c>
      <c r="CG2732" s="2"/>
      <c r="CH2732" s="2"/>
      <c r="CI2732" s="2">
        <v>1</v>
      </c>
      <c r="CJ2732" s="2">
        <v>1</v>
      </c>
      <c r="CK2732" s="2">
        <v>21</v>
      </c>
      <c r="CL2732" s="2" t="s">
        <v>86</v>
      </c>
      <c r="CM2732" s="2"/>
    </row>
    <row r="2733" spans="1:91">
      <c r="A2733" s="2" t="s">
        <v>71</v>
      </c>
      <c r="B2733" s="2" t="s">
        <v>72</v>
      </c>
      <c r="C2733" s="2" t="s">
        <v>73</v>
      </c>
      <c r="D2733" s="2"/>
      <c r="E2733" s="2" t="str">
        <f>"FES1162570873"</f>
        <v>FES1162570873</v>
      </c>
      <c r="F2733" s="3">
        <v>42970</v>
      </c>
      <c r="G2733" s="2">
        <v>201802</v>
      </c>
      <c r="H2733" s="2" t="s">
        <v>74</v>
      </c>
      <c r="I2733" s="2" t="s">
        <v>75</v>
      </c>
      <c r="J2733" s="2" t="s">
        <v>76</v>
      </c>
      <c r="K2733" s="2" t="s">
        <v>77</v>
      </c>
      <c r="L2733" s="2" t="s">
        <v>144</v>
      </c>
      <c r="M2733" s="2" t="s">
        <v>145</v>
      </c>
      <c r="N2733" s="2" t="s">
        <v>146</v>
      </c>
      <c r="O2733" s="2" t="s">
        <v>100</v>
      </c>
      <c r="P2733" s="2" t="str">
        <f>"2170584252                    "</f>
        <v xml:space="preserve">2170584252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3.13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1</v>
      </c>
      <c r="BJ2733" s="2">
        <v>0.2</v>
      </c>
      <c r="BK2733" s="2">
        <v>1</v>
      </c>
      <c r="BL2733" s="2">
        <v>32.380000000000003</v>
      </c>
      <c r="BM2733" s="2">
        <v>4.53</v>
      </c>
      <c r="BN2733" s="2">
        <v>36.909999999999997</v>
      </c>
      <c r="BO2733" s="2">
        <v>36.909999999999997</v>
      </c>
      <c r="BP2733" s="2"/>
      <c r="BQ2733" s="2" t="s">
        <v>83</v>
      </c>
      <c r="BR2733" s="2" t="s">
        <v>84</v>
      </c>
      <c r="BS2733" s="3">
        <v>42971</v>
      </c>
      <c r="BT2733" s="4">
        <v>0.36736111111111108</v>
      </c>
      <c r="BU2733" s="2" t="s">
        <v>785</v>
      </c>
      <c r="BV2733" s="2" t="s">
        <v>95</v>
      </c>
      <c r="BW2733" s="2"/>
      <c r="BX2733" s="2"/>
      <c r="BY2733" s="2">
        <v>1200</v>
      </c>
      <c r="BZ2733" s="2" t="s">
        <v>27</v>
      </c>
      <c r="CA2733" s="2" t="s">
        <v>729</v>
      </c>
      <c r="CB2733" s="2"/>
      <c r="CC2733" s="2" t="s">
        <v>145</v>
      </c>
      <c r="CD2733" s="2">
        <v>2094</v>
      </c>
      <c r="CE2733" s="2" t="s">
        <v>104</v>
      </c>
      <c r="CF2733" s="5">
        <v>42972</v>
      </c>
      <c r="CG2733" s="2"/>
      <c r="CH2733" s="2"/>
      <c r="CI2733" s="2">
        <v>1</v>
      </c>
      <c r="CJ2733" s="2">
        <v>1</v>
      </c>
      <c r="CK2733" s="2">
        <v>22</v>
      </c>
      <c r="CL2733" s="2" t="s">
        <v>86</v>
      </c>
      <c r="CM2733" s="2"/>
    </row>
    <row r="2734" spans="1:91">
      <c r="A2734" s="2" t="s">
        <v>71</v>
      </c>
      <c r="B2734" s="2" t="s">
        <v>72</v>
      </c>
      <c r="C2734" s="2" t="s">
        <v>73</v>
      </c>
      <c r="D2734" s="2"/>
      <c r="E2734" s="2" t="str">
        <f>"FES1162570850"</f>
        <v>FES1162570850</v>
      </c>
      <c r="F2734" s="3">
        <v>42970</v>
      </c>
      <c r="G2734" s="2">
        <v>201802</v>
      </c>
      <c r="H2734" s="2" t="s">
        <v>74</v>
      </c>
      <c r="I2734" s="2" t="s">
        <v>75</v>
      </c>
      <c r="J2734" s="2" t="s">
        <v>76</v>
      </c>
      <c r="K2734" s="2" t="s">
        <v>77</v>
      </c>
      <c r="L2734" s="2" t="s">
        <v>593</v>
      </c>
      <c r="M2734" s="2" t="s">
        <v>594</v>
      </c>
      <c r="N2734" s="2" t="s">
        <v>3081</v>
      </c>
      <c r="O2734" s="2" t="s">
        <v>100</v>
      </c>
      <c r="P2734" s="2" t="str">
        <f>"2170584544                    "</f>
        <v xml:space="preserve">2170584544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3.13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1</v>
      </c>
      <c r="BJ2734" s="2">
        <v>0.2</v>
      </c>
      <c r="BK2734" s="2">
        <v>1</v>
      </c>
      <c r="BL2734" s="2">
        <v>32.380000000000003</v>
      </c>
      <c r="BM2734" s="2">
        <v>4.53</v>
      </c>
      <c r="BN2734" s="2">
        <v>36.909999999999997</v>
      </c>
      <c r="BO2734" s="2">
        <v>36.909999999999997</v>
      </c>
      <c r="BP2734" s="2"/>
      <c r="BQ2734" s="2" t="s">
        <v>83</v>
      </c>
      <c r="BR2734" s="2" t="s">
        <v>84</v>
      </c>
      <c r="BS2734" s="3">
        <v>42971</v>
      </c>
      <c r="BT2734" s="4">
        <v>0.4375</v>
      </c>
      <c r="BU2734" s="2" t="s">
        <v>3082</v>
      </c>
      <c r="BV2734" s="2" t="s">
        <v>95</v>
      </c>
      <c r="BW2734" s="2"/>
      <c r="BX2734" s="2"/>
      <c r="BY2734" s="2">
        <v>1200</v>
      </c>
      <c r="BZ2734" s="2" t="s">
        <v>27</v>
      </c>
      <c r="CA2734" s="2"/>
      <c r="CB2734" s="2"/>
      <c r="CC2734" s="2" t="s">
        <v>594</v>
      </c>
      <c r="CD2734" s="2">
        <v>1684</v>
      </c>
      <c r="CE2734" s="2" t="s">
        <v>104</v>
      </c>
      <c r="CF2734" s="5">
        <v>42972</v>
      </c>
      <c r="CG2734" s="2"/>
      <c r="CH2734" s="2"/>
      <c r="CI2734" s="2">
        <v>1</v>
      </c>
      <c r="CJ2734" s="2">
        <v>1</v>
      </c>
      <c r="CK2734" s="2">
        <v>22</v>
      </c>
      <c r="CL2734" s="2" t="s">
        <v>86</v>
      </c>
      <c r="CM2734" s="2"/>
    </row>
    <row r="2735" spans="1:91">
      <c r="A2735" s="2" t="s">
        <v>71</v>
      </c>
      <c r="B2735" s="2" t="s">
        <v>72</v>
      </c>
      <c r="C2735" s="2" t="s">
        <v>73</v>
      </c>
      <c r="D2735" s="2"/>
      <c r="E2735" s="2" t="str">
        <f>"FES1162570797"</f>
        <v>FES1162570797</v>
      </c>
      <c r="F2735" s="3">
        <v>42970</v>
      </c>
      <c r="G2735" s="2">
        <v>201802</v>
      </c>
      <c r="H2735" s="2" t="s">
        <v>74</v>
      </c>
      <c r="I2735" s="2" t="s">
        <v>75</v>
      </c>
      <c r="J2735" s="2" t="s">
        <v>76</v>
      </c>
      <c r="K2735" s="2" t="s">
        <v>77</v>
      </c>
      <c r="L2735" s="2" t="s">
        <v>417</v>
      </c>
      <c r="M2735" s="2" t="s">
        <v>417</v>
      </c>
      <c r="N2735" s="2" t="s">
        <v>475</v>
      </c>
      <c r="O2735" s="2" t="s">
        <v>100</v>
      </c>
      <c r="P2735" s="2" t="str">
        <f>"2170586533                    "</f>
        <v xml:space="preserve">2170586533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4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1.3</v>
      </c>
      <c r="BJ2735" s="2">
        <v>1.8</v>
      </c>
      <c r="BK2735" s="2">
        <v>2</v>
      </c>
      <c r="BL2735" s="2">
        <v>41.44</v>
      </c>
      <c r="BM2735" s="2">
        <v>5.8</v>
      </c>
      <c r="BN2735" s="2">
        <v>47.24</v>
      </c>
      <c r="BO2735" s="2">
        <v>47.24</v>
      </c>
      <c r="BP2735" s="2"/>
      <c r="BQ2735" s="2" t="s">
        <v>108</v>
      </c>
      <c r="BR2735" s="2" t="s">
        <v>84</v>
      </c>
      <c r="BS2735" s="3">
        <v>42971</v>
      </c>
      <c r="BT2735" s="4">
        <v>0.40972222222222227</v>
      </c>
      <c r="BU2735" s="2" t="s">
        <v>866</v>
      </c>
      <c r="BV2735" s="2" t="s">
        <v>95</v>
      </c>
      <c r="BW2735" s="2"/>
      <c r="BX2735" s="2"/>
      <c r="BY2735" s="2">
        <v>9011.7000000000007</v>
      </c>
      <c r="BZ2735" s="2" t="s">
        <v>27</v>
      </c>
      <c r="CA2735" s="2" t="s">
        <v>420</v>
      </c>
      <c r="CB2735" s="2"/>
      <c r="CC2735" s="2" t="s">
        <v>417</v>
      </c>
      <c r="CD2735" s="2">
        <v>7646</v>
      </c>
      <c r="CE2735" s="2" t="s">
        <v>89</v>
      </c>
      <c r="CF2735" s="5">
        <v>42972</v>
      </c>
      <c r="CG2735" s="2"/>
      <c r="CH2735" s="2"/>
      <c r="CI2735" s="2">
        <v>1</v>
      </c>
      <c r="CJ2735" s="2">
        <v>1</v>
      </c>
      <c r="CK2735" s="2">
        <v>21</v>
      </c>
      <c r="CL2735" s="2" t="s">
        <v>86</v>
      </c>
      <c r="CM2735" s="2"/>
    </row>
    <row r="2736" spans="1:91">
      <c r="A2736" s="2" t="s">
        <v>71</v>
      </c>
      <c r="B2736" s="2" t="s">
        <v>72</v>
      </c>
      <c r="C2736" s="2" t="s">
        <v>73</v>
      </c>
      <c r="D2736" s="2"/>
      <c r="E2736" s="2" t="str">
        <f>"FES1162570729"</f>
        <v>FES1162570729</v>
      </c>
      <c r="F2736" s="3">
        <v>42970</v>
      </c>
      <c r="G2736" s="2">
        <v>201802</v>
      </c>
      <c r="H2736" s="2" t="s">
        <v>74</v>
      </c>
      <c r="I2736" s="2" t="s">
        <v>75</v>
      </c>
      <c r="J2736" s="2" t="s">
        <v>76</v>
      </c>
      <c r="K2736" s="2" t="s">
        <v>77</v>
      </c>
      <c r="L2736" s="2" t="s">
        <v>164</v>
      </c>
      <c r="M2736" s="2" t="s">
        <v>165</v>
      </c>
      <c r="N2736" s="2" t="s">
        <v>2301</v>
      </c>
      <c r="O2736" s="2" t="s">
        <v>100</v>
      </c>
      <c r="P2736" s="2" t="str">
        <f>"2170583932                    "</f>
        <v xml:space="preserve">2170583932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4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1</v>
      </c>
      <c r="BJ2736" s="2">
        <v>0.2</v>
      </c>
      <c r="BK2736" s="2">
        <v>1</v>
      </c>
      <c r="BL2736" s="2">
        <v>41.44</v>
      </c>
      <c r="BM2736" s="2">
        <v>5.8</v>
      </c>
      <c r="BN2736" s="2">
        <v>47.24</v>
      </c>
      <c r="BO2736" s="2">
        <v>47.24</v>
      </c>
      <c r="BP2736" s="2"/>
      <c r="BQ2736" s="2" t="s">
        <v>288</v>
      </c>
      <c r="BR2736" s="2" t="s">
        <v>84</v>
      </c>
      <c r="BS2736" s="3">
        <v>42971</v>
      </c>
      <c r="BT2736" s="4">
        <v>0.39305555555555555</v>
      </c>
      <c r="BU2736" s="2" t="s">
        <v>3083</v>
      </c>
      <c r="BV2736" s="2" t="s">
        <v>95</v>
      </c>
      <c r="BW2736" s="2"/>
      <c r="BX2736" s="2"/>
      <c r="BY2736" s="2">
        <v>1200</v>
      </c>
      <c r="BZ2736" s="2" t="s">
        <v>27</v>
      </c>
      <c r="CA2736" s="2" t="s">
        <v>168</v>
      </c>
      <c r="CB2736" s="2"/>
      <c r="CC2736" s="2" t="s">
        <v>165</v>
      </c>
      <c r="CD2736" s="2">
        <v>6850</v>
      </c>
      <c r="CE2736" s="2" t="s">
        <v>104</v>
      </c>
      <c r="CF2736" s="5">
        <v>42972</v>
      </c>
      <c r="CG2736" s="2"/>
      <c r="CH2736" s="2"/>
      <c r="CI2736" s="2">
        <v>3</v>
      </c>
      <c r="CJ2736" s="2">
        <v>1</v>
      </c>
      <c r="CK2736" s="2">
        <v>21</v>
      </c>
      <c r="CL2736" s="2" t="s">
        <v>86</v>
      </c>
      <c r="CM2736" s="2"/>
    </row>
    <row r="2737" spans="1:91">
      <c r="A2737" s="2" t="s">
        <v>71</v>
      </c>
      <c r="B2737" s="2" t="s">
        <v>72</v>
      </c>
      <c r="C2737" s="2" t="s">
        <v>73</v>
      </c>
      <c r="D2737" s="2"/>
      <c r="E2737" s="2" t="str">
        <f>"FES1162570836"</f>
        <v>FES1162570836</v>
      </c>
      <c r="F2737" s="3">
        <v>42970</v>
      </c>
      <c r="G2737" s="2">
        <v>201802</v>
      </c>
      <c r="H2737" s="2" t="s">
        <v>74</v>
      </c>
      <c r="I2737" s="2" t="s">
        <v>75</v>
      </c>
      <c r="J2737" s="2" t="s">
        <v>76</v>
      </c>
      <c r="K2737" s="2" t="s">
        <v>77</v>
      </c>
      <c r="L2737" s="2" t="s">
        <v>105</v>
      </c>
      <c r="M2737" s="2" t="s">
        <v>106</v>
      </c>
      <c r="N2737" s="2" t="s">
        <v>660</v>
      </c>
      <c r="O2737" s="2" t="s">
        <v>100</v>
      </c>
      <c r="P2737" s="2" t="str">
        <f>"2170584223                    "</f>
        <v xml:space="preserve">2170584223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4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1</v>
      </c>
      <c r="BI2737" s="2">
        <v>1</v>
      </c>
      <c r="BJ2737" s="2">
        <v>0.2</v>
      </c>
      <c r="BK2737" s="2">
        <v>1</v>
      </c>
      <c r="BL2737" s="2">
        <v>41.44</v>
      </c>
      <c r="BM2737" s="2">
        <v>5.8</v>
      </c>
      <c r="BN2737" s="2">
        <v>47.24</v>
      </c>
      <c r="BO2737" s="2">
        <v>47.24</v>
      </c>
      <c r="BP2737" s="2"/>
      <c r="BQ2737" s="2" t="s">
        <v>288</v>
      </c>
      <c r="BR2737" s="2" t="s">
        <v>84</v>
      </c>
      <c r="BS2737" s="3">
        <v>42971</v>
      </c>
      <c r="BT2737" s="4">
        <v>0.3611111111111111</v>
      </c>
      <c r="BU2737" s="2" t="s">
        <v>662</v>
      </c>
      <c r="BV2737" s="2" t="s">
        <v>95</v>
      </c>
      <c r="BW2737" s="2"/>
      <c r="BX2737" s="2"/>
      <c r="BY2737" s="2">
        <v>1200</v>
      </c>
      <c r="BZ2737" s="2" t="s">
        <v>27</v>
      </c>
      <c r="CA2737" s="2" t="s">
        <v>663</v>
      </c>
      <c r="CB2737" s="2"/>
      <c r="CC2737" s="2" t="s">
        <v>106</v>
      </c>
      <c r="CD2737" s="2">
        <v>7500</v>
      </c>
      <c r="CE2737" s="2" t="s">
        <v>104</v>
      </c>
      <c r="CF2737" s="5">
        <v>42972</v>
      </c>
      <c r="CG2737" s="2"/>
      <c r="CH2737" s="2"/>
      <c r="CI2737" s="2">
        <v>1</v>
      </c>
      <c r="CJ2737" s="2">
        <v>1</v>
      </c>
      <c r="CK2737" s="2">
        <v>21</v>
      </c>
      <c r="CL2737" s="2" t="s">
        <v>86</v>
      </c>
      <c r="CM2737" s="2"/>
    </row>
    <row r="2738" spans="1:91">
      <c r="A2738" s="2" t="s">
        <v>71</v>
      </c>
      <c r="B2738" s="2" t="s">
        <v>72</v>
      </c>
      <c r="C2738" s="2" t="s">
        <v>73</v>
      </c>
      <c r="D2738" s="2"/>
      <c r="E2738" s="2" t="str">
        <f>"FES1162570898"</f>
        <v>FES1162570898</v>
      </c>
      <c r="F2738" s="3">
        <v>42970</v>
      </c>
      <c r="G2738" s="2">
        <v>201802</v>
      </c>
      <c r="H2738" s="2" t="s">
        <v>74</v>
      </c>
      <c r="I2738" s="2" t="s">
        <v>75</v>
      </c>
      <c r="J2738" s="2" t="s">
        <v>76</v>
      </c>
      <c r="K2738" s="2" t="s">
        <v>77</v>
      </c>
      <c r="L2738" s="2" t="s">
        <v>221</v>
      </c>
      <c r="M2738" s="2" t="s">
        <v>222</v>
      </c>
      <c r="N2738" s="2" t="s">
        <v>415</v>
      </c>
      <c r="O2738" s="2" t="s">
        <v>100</v>
      </c>
      <c r="P2738" s="2" t="str">
        <f>"2170584716                    "</f>
        <v xml:space="preserve">2170584716 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4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1</v>
      </c>
      <c r="BI2738" s="2">
        <v>1</v>
      </c>
      <c r="BJ2738" s="2">
        <v>0.2</v>
      </c>
      <c r="BK2738" s="2">
        <v>1</v>
      </c>
      <c r="BL2738" s="2">
        <v>41.44</v>
      </c>
      <c r="BM2738" s="2">
        <v>5.8</v>
      </c>
      <c r="BN2738" s="2">
        <v>47.24</v>
      </c>
      <c r="BO2738" s="2">
        <v>47.24</v>
      </c>
      <c r="BP2738" s="2"/>
      <c r="BQ2738" s="2" t="s">
        <v>108</v>
      </c>
      <c r="BR2738" s="2" t="s">
        <v>84</v>
      </c>
      <c r="BS2738" s="3">
        <v>42971</v>
      </c>
      <c r="BT2738" s="4">
        <v>0.37152777777777773</v>
      </c>
      <c r="BU2738" s="2" t="s">
        <v>933</v>
      </c>
      <c r="BV2738" s="2" t="s">
        <v>95</v>
      </c>
      <c r="BW2738" s="2"/>
      <c r="BX2738" s="2"/>
      <c r="BY2738" s="2">
        <v>1200</v>
      </c>
      <c r="BZ2738" s="2" t="s">
        <v>27</v>
      </c>
      <c r="CA2738" s="2" t="s">
        <v>934</v>
      </c>
      <c r="CB2738" s="2"/>
      <c r="CC2738" s="2" t="s">
        <v>222</v>
      </c>
      <c r="CD2738" s="2">
        <v>4302</v>
      </c>
      <c r="CE2738" s="2" t="s">
        <v>104</v>
      </c>
      <c r="CF2738" s="5">
        <v>42972</v>
      </c>
      <c r="CG2738" s="2"/>
      <c r="CH2738" s="2"/>
      <c r="CI2738" s="2">
        <v>1</v>
      </c>
      <c r="CJ2738" s="2">
        <v>1</v>
      </c>
      <c r="CK2738" s="2">
        <v>21</v>
      </c>
      <c r="CL2738" s="2" t="s">
        <v>86</v>
      </c>
      <c r="CM2738" s="2"/>
    </row>
    <row r="2739" spans="1:91">
      <c r="A2739" s="2" t="s">
        <v>71</v>
      </c>
      <c r="B2739" s="2" t="s">
        <v>72</v>
      </c>
      <c r="C2739" s="2" t="s">
        <v>73</v>
      </c>
      <c r="D2739" s="2"/>
      <c r="E2739" s="2" t="str">
        <f>"FES1162570876"</f>
        <v>FES1162570876</v>
      </c>
      <c r="F2739" s="3">
        <v>42970</v>
      </c>
      <c r="G2739" s="2">
        <v>201802</v>
      </c>
      <c r="H2739" s="2" t="s">
        <v>74</v>
      </c>
      <c r="I2739" s="2" t="s">
        <v>75</v>
      </c>
      <c r="J2739" s="2" t="s">
        <v>76</v>
      </c>
      <c r="K2739" s="2" t="s">
        <v>77</v>
      </c>
      <c r="L2739" s="2" t="s">
        <v>231</v>
      </c>
      <c r="M2739" s="2" t="s">
        <v>232</v>
      </c>
      <c r="N2739" s="2" t="s">
        <v>233</v>
      </c>
      <c r="O2739" s="2" t="s">
        <v>100</v>
      </c>
      <c r="P2739" s="2" t="str">
        <f>"2170584286                    "</f>
        <v xml:space="preserve">2170584286  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4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1</v>
      </c>
      <c r="BI2739" s="2">
        <v>1</v>
      </c>
      <c r="BJ2739" s="2">
        <v>0.2</v>
      </c>
      <c r="BK2739" s="2">
        <v>1</v>
      </c>
      <c r="BL2739" s="2">
        <v>41.44</v>
      </c>
      <c r="BM2739" s="2">
        <v>5.8</v>
      </c>
      <c r="BN2739" s="2">
        <v>47.24</v>
      </c>
      <c r="BO2739" s="2">
        <v>47.24</v>
      </c>
      <c r="BP2739" s="2"/>
      <c r="BQ2739" s="2" t="s">
        <v>83</v>
      </c>
      <c r="BR2739" s="2" t="s">
        <v>84</v>
      </c>
      <c r="BS2739" s="3">
        <v>42971</v>
      </c>
      <c r="BT2739" s="4">
        <v>0.36874999999999997</v>
      </c>
      <c r="BU2739" s="2" t="s">
        <v>3030</v>
      </c>
      <c r="BV2739" s="2" t="s">
        <v>95</v>
      </c>
      <c r="BW2739" s="2"/>
      <c r="BX2739" s="2"/>
      <c r="BY2739" s="2">
        <v>1200</v>
      </c>
      <c r="BZ2739" s="2" t="s">
        <v>27</v>
      </c>
      <c r="CA2739" s="2" t="s">
        <v>235</v>
      </c>
      <c r="CB2739" s="2"/>
      <c r="CC2739" s="2" t="s">
        <v>232</v>
      </c>
      <c r="CD2739" s="2">
        <v>4026</v>
      </c>
      <c r="CE2739" s="2" t="s">
        <v>104</v>
      </c>
      <c r="CF2739" s="5">
        <v>42972</v>
      </c>
      <c r="CG2739" s="2"/>
      <c r="CH2739" s="2"/>
      <c r="CI2739" s="2">
        <v>1</v>
      </c>
      <c r="CJ2739" s="2">
        <v>1</v>
      </c>
      <c r="CK2739" s="2">
        <v>21</v>
      </c>
      <c r="CL2739" s="2" t="s">
        <v>86</v>
      </c>
      <c r="CM2739" s="2"/>
    </row>
    <row r="2740" spans="1:91">
      <c r="A2740" s="2" t="s">
        <v>71</v>
      </c>
      <c r="B2740" s="2" t="s">
        <v>72</v>
      </c>
      <c r="C2740" s="2" t="s">
        <v>73</v>
      </c>
      <c r="D2740" s="2"/>
      <c r="E2740" s="2" t="str">
        <f>"FES1162570806"</f>
        <v>FES1162570806</v>
      </c>
      <c r="F2740" s="3">
        <v>42970</v>
      </c>
      <c r="G2740" s="2">
        <v>201802</v>
      </c>
      <c r="H2740" s="2" t="s">
        <v>74</v>
      </c>
      <c r="I2740" s="2" t="s">
        <v>75</v>
      </c>
      <c r="J2740" s="2" t="s">
        <v>76</v>
      </c>
      <c r="K2740" s="2" t="s">
        <v>77</v>
      </c>
      <c r="L2740" s="2" t="s">
        <v>895</v>
      </c>
      <c r="M2740" s="2" t="s">
        <v>896</v>
      </c>
      <c r="N2740" s="2" t="s">
        <v>897</v>
      </c>
      <c r="O2740" s="2" t="s">
        <v>100</v>
      </c>
      <c r="P2740" s="2" t="str">
        <f>"2170586544                    "</f>
        <v xml:space="preserve">2170586544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7.75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1</v>
      </c>
      <c r="BI2740" s="2">
        <v>2</v>
      </c>
      <c r="BJ2740" s="2">
        <v>0.2</v>
      </c>
      <c r="BK2740" s="2">
        <v>2</v>
      </c>
      <c r="BL2740" s="2">
        <v>80.290000000000006</v>
      </c>
      <c r="BM2740" s="2">
        <v>11.24</v>
      </c>
      <c r="BN2740" s="2">
        <v>91.53</v>
      </c>
      <c r="BO2740" s="2">
        <v>91.53</v>
      </c>
      <c r="BP2740" s="2"/>
      <c r="BQ2740" s="2" t="s">
        <v>209</v>
      </c>
      <c r="BR2740" s="2" t="s">
        <v>84</v>
      </c>
      <c r="BS2740" s="3">
        <v>42971</v>
      </c>
      <c r="BT2740" s="4">
        <v>0.4375</v>
      </c>
      <c r="BU2740" s="2" t="s">
        <v>3084</v>
      </c>
      <c r="BV2740" s="2" t="s">
        <v>95</v>
      </c>
      <c r="BW2740" s="2"/>
      <c r="BX2740" s="2"/>
      <c r="BY2740" s="2">
        <v>1200</v>
      </c>
      <c r="BZ2740" s="2" t="s">
        <v>27</v>
      </c>
      <c r="CA2740" s="2" t="s">
        <v>148</v>
      </c>
      <c r="CB2740" s="2"/>
      <c r="CC2740" s="2" t="s">
        <v>896</v>
      </c>
      <c r="CD2740" s="2">
        <v>9445</v>
      </c>
      <c r="CE2740" s="2" t="s">
        <v>104</v>
      </c>
      <c r="CF2740" s="5">
        <v>42975</v>
      </c>
      <c r="CG2740" s="2"/>
      <c r="CH2740" s="2"/>
      <c r="CI2740" s="2">
        <v>3</v>
      </c>
      <c r="CJ2740" s="2">
        <v>1</v>
      </c>
      <c r="CK2740" s="2">
        <v>23</v>
      </c>
      <c r="CL2740" s="2" t="s">
        <v>86</v>
      </c>
      <c r="CM2740" s="2"/>
    </row>
    <row r="2741" spans="1:91">
      <c r="A2741" s="2" t="s">
        <v>71</v>
      </c>
      <c r="B2741" s="2" t="s">
        <v>72</v>
      </c>
      <c r="C2741" s="2" t="s">
        <v>73</v>
      </c>
      <c r="D2741" s="2"/>
      <c r="E2741" s="2" t="str">
        <f>"FES1162570780"</f>
        <v>FES1162570780</v>
      </c>
      <c r="F2741" s="3">
        <v>42970</v>
      </c>
      <c r="G2741" s="2">
        <v>201802</v>
      </c>
      <c r="H2741" s="2" t="s">
        <v>74</v>
      </c>
      <c r="I2741" s="2" t="s">
        <v>75</v>
      </c>
      <c r="J2741" s="2" t="s">
        <v>76</v>
      </c>
      <c r="K2741" s="2" t="s">
        <v>77</v>
      </c>
      <c r="L2741" s="2" t="s">
        <v>149</v>
      </c>
      <c r="M2741" s="2" t="s">
        <v>150</v>
      </c>
      <c r="N2741" s="2" t="s">
        <v>482</v>
      </c>
      <c r="O2741" s="2" t="s">
        <v>100</v>
      </c>
      <c r="P2741" s="2" t="str">
        <f>"2170586525                    "</f>
        <v xml:space="preserve">2170586525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4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1</v>
      </c>
      <c r="BI2741" s="2">
        <v>1</v>
      </c>
      <c r="BJ2741" s="2">
        <v>0.2</v>
      </c>
      <c r="BK2741" s="2">
        <v>1</v>
      </c>
      <c r="BL2741" s="2">
        <v>41.44</v>
      </c>
      <c r="BM2741" s="2">
        <v>5.8</v>
      </c>
      <c r="BN2741" s="2">
        <v>47.24</v>
      </c>
      <c r="BO2741" s="2">
        <v>47.24</v>
      </c>
      <c r="BP2741" s="2"/>
      <c r="BQ2741" s="2" t="s">
        <v>83</v>
      </c>
      <c r="BR2741" s="2" t="s">
        <v>84</v>
      </c>
      <c r="BS2741" s="3">
        <v>42971</v>
      </c>
      <c r="BT2741" s="4">
        <v>0.38055555555555554</v>
      </c>
      <c r="BU2741" s="2" t="s">
        <v>2390</v>
      </c>
      <c r="BV2741" s="2" t="s">
        <v>95</v>
      </c>
      <c r="BW2741" s="2"/>
      <c r="BX2741" s="2"/>
      <c r="BY2741" s="2">
        <v>1200</v>
      </c>
      <c r="BZ2741" s="2" t="s">
        <v>27</v>
      </c>
      <c r="CA2741" s="2" t="s">
        <v>682</v>
      </c>
      <c r="CB2741" s="2"/>
      <c r="CC2741" s="2" t="s">
        <v>150</v>
      </c>
      <c r="CD2741" s="2">
        <v>4001</v>
      </c>
      <c r="CE2741" s="2" t="s">
        <v>104</v>
      </c>
      <c r="CF2741" s="5">
        <v>42972</v>
      </c>
      <c r="CG2741" s="2"/>
      <c r="CH2741" s="2"/>
      <c r="CI2741" s="2">
        <v>1</v>
      </c>
      <c r="CJ2741" s="2">
        <v>1</v>
      </c>
      <c r="CK2741" s="2">
        <v>21</v>
      </c>
      <c r="CL2741" s="2" t="s">
        <v>86</v>
      </c>
      <c r="CM2741" s="2"/>
    </row>
    <row r="2742" spans="1:91">
      <c r="A2742" s="2" t="s">
        <v>71</v>
      </c>
      <c r="B2742" s="2" t="s">
        <v>72</v>
      </c>
      <c r="C2742" s="2" t="s">
        <v>73</v>
      </c>
      <c r="D2742" s="2"/>
      <c r="E2742" s="2" t="str">
        <f>"FES1162570846"</f>
        <v>FES1162570846</v>
      </c>
      <c r="F2742" s="3">
        <v>42970</v>
      </c>
      <c r="G2742" s="2">
        <v>201802</v>
      </c>
      <c r="H2742" s="2" t="s">
        <v>74</v>
      </c>
      <c r="I2742" s="2" t="s">
        <v>75</v>
      </c>
      <c r="J2742" s="2" t="s">
        <v>76</v>
      </c>
      <c r="K2742" s="2" t="s">
        <v>77</v>
      </c>
      <c r="L2742" s="2" t="s">
        <v>221</v>
      </c>
      <c r="M2742" s="2" t="s">
        <v>222</v>
      </c>
      <c r="N2742" s="2" t="s">
        <v>1275</v>
      </c>
      <c r="O2742" s="2" t="s">
        <v>100</v>
      </c>
      <c r="P2742" s="2" t="str">
        <f>"2170584490                    "</f>
        <v xml:space="preserve">2170584490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4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1</v>
      </c>
      <c r="BJ2742" s="2">
        <v>0.2</v>
      </c>
      <c r="BK2742" s="2">
        <v>1</v>
      </c>
      <c r="BL2742" s="2">
        <v>41.44</v>
      </c>
      <c r="BM2742" s="2">
        <v>5.8</v>
      </c>
      <c r="BN2742" s="2">
        <v>47.24</v>
      </c>
      <c r="BO2742" s="2">
        <v>47.24</v>
      </c>
      <c r="BP2742" s="2"/>
      <c r="BQ2742" s="2" t="s">
        <v>227</v>
      </c>
      <c r="BR2742" s="2" t="s">
        <v>84</v>
      </c>
      <c r="BS2742" s="3">
        <v>42971</v>
      </c>
      <c r="BT2742" s="4">
        <v>0.40972222222222227</v>
      </c>
      <c r="BU2742" s="2" t="s">
        <v>1535</v>
      </c>
      <c r="BV2742" s="2" t="s">
        <v>95</v>
      </c>
      <c r="BW2742" s="2"/>
      <c r="BX2742" s="2"/>
      <c r="BY2742" s="2">
        <v>1200</v>
      </c>
      <c r="BZ2742" s="2" t="s">
        <v>27</v>
      </c>
      <c r="CA2742" s="2" t="s">
        <v>1536</v>
      </c>
      <c r="CB2742" s="2"/>
      <c r="CC2742" s="2" t="s">
        <v>222</v>
      </c>
      <c r="CD2742" s="2">
        <v>4300</v>
      </c>
      <c r="CE2742" s="2" t="s">
        <v>104</v>
      </c>
      <c r="CF2742" s="5">
        <v>42972</v>
      </c>
      <c r="CG2742" s="2"/>
      <c r="CH2742" s="2"/>
      <c r="CI2742" s="2">
        <v>1</v>
      </c>
      <c r="CJ2742" s="2">
        <v>1</v>
      </c>
      <c r="CK2742" s="2">
        <v>21</v>
      </c>
      <c r="CL2742" s="2" t="s">
        <v>86</v>
      </c>
      <c r="CM2742" s="2"/>
    </row>
    <row r="2743" spans="1:91">
      <c r="A2743" s="2" t="s">
        <v>71</v>
      </c>
      <c r="B2743" s="2" t="s">
        <v>72</v>
      </c>
      <c r="C2743" s="2" t="s">
        <v>73</v>
      </c>
      <c r="D2743" s="2"/>
      <c r="E2743" s="2" t="str">
        <f>"FES1162570904"</f>
        <v>FES1162570904</v>
      </c>
      <c r="F2743" s="3">
        <v>42970</v>
      </c>
      <c r="G2743" s="2">
        <v>201802</v>
      </c>
      <c r="H2743" s="2" t="s">
        <v>74</v>
      </c>
      <c r="I2743" s="2" t="s">
        <v>75</v>
      </c>
      <c r="J2743" s="2" t="s">
        <v>76</v>
      </c>
      <c r="K2743" s="2" t="s">
        <v>77</v>
      </c>
      <c r="L2743" s="2" t="s">
        <v>339</v>
      </c>
      <c r="M2743" s="2" t="s">
        <v>340</v>
      </c>
      <c r="N2743" s="2" t="s">
        <v>1341</v>
      </c>
      <c r="O2743" s="2" t="s">
        <v>100</v>
      </c>
      <c r="P2743" s="2" t="str">
        <f>"2170586582                    "</f>
        <v xml:space="preserve">2170586582 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4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1</v>
      </c>
      <c r="BI2743" s="2">
        <v>1</v>
      </c>
      <c r="BJ2743" s="2">
        <v>0.2</v>
      </c>
      <c r="BK2743" s="2">
        <v>1</v>
      </c>
      <c r="BL2743" s="2">
        <v>41.44</v>
      </c>
      <c r="BM2743" s="2">
        <v>5.8</v>
      </c>
      <c r="BN2743" s="2">
        <v>47.24</v>
      </c>
      <c r="BO2743" s="2">
        <v>47.24</v>
      </c>
      <c r="BP2743" s="2"/>
      <c r="BQ2743" s="2" t="s">
        <v>288</v>
      </c>
      <c r="BR2743" s="2" t="s">
        <v>84</v>
      </c>
      <c r="BS2743" s="3">
        <v>42971</v>
      </c>
      <c r="BT2743" s="4">
        <v>0.55555555555555558</v>
      </c>
      <c r="BU2743" s="2" t="s">
        <v>3085</v>
      </c>
      <c r="BV2743" s="2" t="s">
        <v>86</v>
      </c>
      <c r="BW2743" s="2"/>
      <c r="BX2743" s="2"/>
      <c r="BY2743" s="2">
        <v>1200</v>
      </c>
      <c r="BZ2743" s="2" t="s">
        <v>27</v>
      </c>
      <c r="CA2743" s="2"/>
      <c r="CB2743" s="2"/>
      <c r="CC2743" s="2" t="s">
        <v>340</v>
      </c>
      <c r="CD2743" s="2">
        <v>1947</v>
      </c>
      <c r="CE2743" s="2" t="s">
        <v>104</v>
      </c>
      <c r="CF2743" s="5">
        <v>42972</v>
      </c>
      <c r="CG2743" s="2"/>
      <c r="CH2743" s="2"/>
      <c r="CI2743" s="2">
        <v>1</v>
      </c>
      <c r="CJ2743" s="2">
        <v>1</v>
      </c>
      <c r="CK2743" s="2">
        <v>21</v>
      </c>
      <c r="CL2743" s="2" t="s">
        <v>86</v>
      </c>
      <c r="CM2743" s="2"/>
    </row>
    <row r="2744" spans="1:91">
      <c r="A2744" s="2" t="s">
        <v>71</v>
      </c>
      <c r="B2744" s="2" t="s">
        <v>72</v>
      </c>
      <c r="C2744" s="2" t="s">
        <v>73</v>
      </c>
      <c r="D2744" s="2"/>
      <c r="E2744" s="2" t="str">
        <f>"FES1162570848"</f>
        <v>FES1162570848</v>
      </c>
      <c r="F2744" s="3">
        <v>42970</v>
      </c>
      <c r="G2744" s="2">
        <v>201802</v>
      </c>
      <c r="H2744" s="2" t="s">
        <v>74</v>
      </c>
      <c r="I2744" s="2" t="s">
        <v>75</v>
      </c>
      <c r="J2744" s="2" t="s">
        <v>76</v>
      </c>
      <c r="K2744" s="2" t="s">
        <v>77</v>
      </c>
      <c r="L2744" s="2" t="s">
        <v>206</v>
      </c>
      <c r="M2744" s="2" t="s">
        <v>207</v>
      </c>
      <c r="N2744" s="2" t="s">
        <v>1672</v>
      </c>
      <c r="O2744" s="2" t="s">
        <v>100</v>
      </c>
      <c r="P2744" s="2" t="str">
        <f>"2170584507                    "</f>
        <v xml:space="preserve">2170584507 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5.63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1</v>
      </c>
      <c r="BI2744" s="2">
        <v>1</v>
      </c>
      <c r="BJ2744" s="2">
        <v>0.2</v>
      </c>
      <c r="BK2744" s="2">
        <v>1</v>
      </c>
      <c r="BL2744" s="2">
        <v>58.28</v>
      </c>
      <c r="BM2744" s="2">
        <v>8.16</v>
      </c>
      <c r="BN2744" s="2">
        <v>66.44</v>
      </c>
      <c r="BO2744" s="2">
        <v>66.44</v>
      </c>
      <c r="BP2744" s="2"/>
      <c r="BQ2744" s="2" t="s">
        <v>288</v>
      </c>
      <c r="BR2744" s="2" t="s">
        <v>84</v>
      </c>
      <c r="BS2744" s="3">
        <v>42971</v>
      </c>
      <c r="BT2744" s="4">
        <v>0.55347222222222225</v>
      </c>
      <c r="BU2744" s="2" t="s">
        <v>1673</v>
      </c>
      <c r="BV2744" s="2" t="s">
        <v>95</v>
      </c>
      <c r="BW2744" s="2"/>
      <c r="BX2744" s="2"/>
      <c r="BY2744" s="2">
        <v>1200</v>
      </c>
      <c r="BZ2744" s="2" t="s">
        <v>27</v>
      </c>
      <c r="CA2744" s="2" t="s">
        <v>640</v>
      </c>
      <c r="CB2744" s="2"/>
      <c r="CC2744" s="2" t="s">
        <v>207</v>
      </c>
      <c r="CD2744" s="2">
        <v>250</v>
      </c>
      <c r="CE2744" s="2" t="s">
        <v>104</v>
      </c>
      <c r="CF2744" s="5">
        <v>42975</v>
      </c>
      <c r="CG2744" s="2"/>
      <c r="CH2744" s="2"/>
      <c r="CI2744" s="2">
        <v>1</v>
      </c>
      <c r="CJ2744" s="2">
        <v>1</v>
      </c>
      <c r="CK2744" s="2">
        <v>24</v>
      </c>
      <c r="CL2744" s="2" t="s">
        <v>86</v>
      </c>
      <c r="CM2744" s="2"/>
    </row>
    <row r="2745" spans="1:91">
      <c r="A2745" s="2" t="s">
        <v>71</v>
      </c>
      <c r="B2745" s="2" t="s">
        <v>72</v>
      </c>
      <c r="C2745" s="2" t="s">
        <v>73</v>
      </c>
      <c r="D2745" s="2"/>
      <c r="E2745" s="2" t="str">
        <f>"FES1162570843"</f>
        <v>FES1162570843</v>
      </c>
      <c r="F2745" s="3">
        <v>42970</v>
      </c>
      <c r="G2745" s="2">
        <v>201802</v>
      </c>
      <c r="H2745" s="2" t="s">
        <v>74</v>
      </c>
      <c r="I2745" s="2" t="s">
        <v>75</v>
      </c>
      <c r="J2745" s="2" t="s">
        <v>76</v>
      </c>
      <c r="K2745" s="2" t="s">
        <v>77</v>
      </c>
      <c r="L2745" s="2" t="s">
        <v>144</v>
      </c>
      <c r="M2745" s="2" t="s">
        <v>145</v>
      </c>
      <c r="N2745" s="2" t="s">
        <v>146</v>
      </c>
      <c r="O2745" s="2" t="s">
        <v>100</v>
      </c>
      <c r="P2745" s="2" t="str">
        <f>"2170584416                    "</f>
        <v xml:space="preserve">2170584416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3.13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1</v>
      </c>
      <c r="BJ2745" s="2">
        <v>0.2</v>
      </c>
      <c r="BK2745" s="2">
        <v>1</v>
      </c>
      <c r="BL2745" s="2">
        <v>32.380000000000003</v>
      </c>
      <c r="BM2745" s="2">
        <v>4.53</v>
      </c>
      <c r="BN2745" s="2">
        <v>36.909999999999997</v>
      </c>
      <c r="BO2745" s="2">
        <v>36.909999999999997</v>
      </c>
      <c r="BP2745" s="2"/>
      <c r="BQ2745" s="2" t="s">
        <v>83</v>
      </c>
      <c r="BR2745" s="2" t="s">
        <v>84</v>
      </c>
      <c r="BS2745" s="3">
        <v>42971</v>
      </c>
      <c r="BT2745" s="4">
        <v>0.36736111111111108</v>
      </c>
      <c r="BU2745" s="2" t="s">
        <v>785</v>
      </c>
      <c r="BV2745" s="2" t="s">
        <v>95</v>
      </c>
      <c r="BW2745" s="2"/>
      <c r="BX2745" s="2"/>
      <c r="BY2745" s="2">
        <v>1200</v>
      </c>
      <c r="BZ2745" s="2" t="s">
        <v>27</v>
      </c>
      <c r="CA2745" s="2" t="s">
        <v>729</v>
      </c>
      <c r="CB2745" s="2"/>
      <c r="CC2745" s="2" t="s">
        <v>145</v>
      </c>
      <c r="CD2745" s="2">
        <v>2094</v>
      </c>
      <c r="CE2745" s="2" t="s">
        <v>104</v>
      </c>
      <c r="CF2745" s="5">
        <v>42972</v>
      </c>
      <c r="CG2745" s="2"/>
      <c r="CH2745" s="2"/>
      <c r="CI2745" s="2">
        <v>1</v>
      </c>
      <c r="CJ2745" s="2">
        <v>1</v>
      </c>
      <c r="CK2745" s="2">
        <v>22</v>
      </c>
      <c r="CL2745" s="2" t="s">
        <v>86</v>
      </c>
      <c r="CM2745" s="2"/>
    </row>
    <row r="2746" spans="1:91">
      <c r="A2746" s="2" t="s">
        <v>71</v>
      </c>
      <c r="B2746" s="2" t="s">
        <v>72</v>
      </c>
      <c r="C2746" s="2" t="s">
        <v>73</v>
      </c>
      <c r="D2746" s="2"/>
      <c r="E2746" s="2" t="str">
        <f>"FES1162570891"</f>
        <v>FES1162570891</v>
      </c>
      <c r="F2746" s="3">
        <v>42970</v>
      </c>
      <c r="G2746" s="2">
        <v>201802</v>
      </c>
      <c r="H2746" s="2" t="s">
        <v>74</v>
      </c>
      <c r="I2746" s="2" t="s">
        <v>75</v>
      </c>
      <c r="J2746" s="2" t="s">
        <v>76</v>
      </c>
      <c r="K2746" s="2" t="s">
        <v>77</v>
      </c>
      <c r="L2746" s="2" t="s">
        <v>332</v>
      </c>
      <c r="M2746" s="2" t="s">
        <v>333</v>
      </c>
      <c r="N2746" s="2" t="s">
        <v>334</v>
      </c>
      <c r="O2746" s="2" t="s">
        <v>100</v>
      </c>
      <c r="P2746" s="2" t="str">
        <f>"2170584501                    "</f>
        <v xml:space="preserve">2170584501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7.75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1</v>
      </c>
      <c r="BJ2746" s="2">
        <v>0.2</v>
      </c>
      <c r="BK2746" s="2">
        <v>1</v>
      </c>
      <c r="BL2746" s="2">
        <v>80.290000000000006</v>
      </c>
      <c r="BM2746" s="2">
        <v>11.24</v>
      </c>
      <c r="BN2746" s="2">
        <v>91.53</v>
      </c>
      <c r="BO2746" s="2">
        <v>91.53</v>
      </c>
      <c r="BP2746" s="2"/>
      <c r="BQ2746" s="2" t="s">
        <v>108</v>
      </c>
      <c r="BR2746" s="2" t="s">
        <v>84</v>
      </c>
      <c r="BS2746" s="3">
        <v>42971</v>
      </c>
      <c r="BT2746" s="4">
        <v>0.45624999999999999</v>
      </c>
      <c r="BU2746" s="2" t="s">
        <v>736</v>
      </c>
      <c r="BV2746" s="2" t="s">
        <v>95</v>
      </c>
      <c r="BW2746" s="2"/>
      <c r="BX2746" s="2"/>
      <c r="BY2746" s="2">
        <v>1200</v>
      </c>
      <c r="BZ2746" s="2" t="s">
        <v>27</v>
      </c>
      <c r="CA2746" s="2" t="s">
        <v>338</v>
      </c>
      <c r="CB2746" s="2"/>
      <c r="CC2746" s="2" t="s">
        <v>333</v>
      </c>
      <c r="CD2746" s="2">
        <v>4450</v>
      </c>
      <c r="CE2746" s="2" t="s">
        <v>104</v>
      </c>
      <c r="CF2746" s="5">
        <v>42972</v>
      </c>
      <c r="CG2746" s="2"/>
      <c r="CH2746" s="2"/>
      <c r="CI2746" s="2">
        <v>1</v>
      </c>
      <c r="CJ2746" s="2">
        <v>1</v>
      </c>
      <c r="CK2746" s="2">
        <v>23</v>
      </c>
      <c r="CL2746" s="2" t="s">
        <v>86</v>
      </c>
      <c r="CM2746" s="2"/>
    </row>
    <row r="2747" spans="1:91">
      <c r="A2747" s="2" t="s">
        <v>71</v>
      </c>
      <c r="B2747" s="2" t="s">
        <v>72</v>
      </c>
      <c r="C2747" s="2" t="s">
        <v>73</v>
      </c>
      <c r="D2747" s="2"/>
      <c r="E2747" s="2" t="str">
        <f>"FES1162571003"</f>
        <v>FES1162571003</v>
      </c>
      <c r="F2747" s="3">
        <v>42970</v>
      </c>
      <c r="G2747" s="2">
        <v>201802</v>
      </c>
      <c r="H2747" s="2" t="s">
        <v>74</v>
      </c>
      <c r="I2747" s="2" t="s">
        <v>75</v>
      </c>
      <c r="J2747" s="2" t="s">
        <v>76</v>
      </c>
      <c r="K2747" s="2" t="s">
        <v>77</v>
      </c>
      <c r="L2747" s="2" t="s">
        <v>97</v>
      </c>
      <c r="M2747" s="2" t="s">
        <v>98</v>
      </c>
      <c r="N2747" s="2" t="s">
        <v>119</v>
      </c>
      <c r="O2747" s="2" t="s">
        <v>100</v>
      </c>
      <c r="P2747" s="2" t="str">
        <f>"2170586681                    "</f>
        <v xml:space="preserve">2170586681 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4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1</v>
      </c>
      <c r="BI2747" s="2">
        <v>1</v>
      </c>
      <c r="BJ2747" s="2">
        <v>0.2</v>
      </c>
      <c r="BK2747" s="2">
        <v>1</v>
      </c>
      <c r="BL2747" s="2">
        <v>41.44</v>
      </c>
      <c r="BM2747" s="2">
        <v>5.8</v>
      </c>
      <c r="BN2747" s="2">
        <v>47.24</v>
      </c>
      <c r="BO2747" s="2">
        <v>47.24</v>
      </c>
      <c r="BP2747" s="2"/>
      <c r="BQ2747" s="2" t="s">
        <v>108</v>
      </c>
      <c r="BR2747" s="2" t="s">
        <v>84</v>
      </c>
      <c r="BS2747" s="3">
        <v>42971</v>
      </c>
      <c r="BT2747" s="4">
        <v>0.32916666666666666</v>
      </c>
      <c r="BU2747" s="2" t="s">
        <v>3044</v>
      </c>
      <c r="BV2747" s="2" t="s">
        <v>95</v>
      </c>
      <c r="BW2747" s="2"/>
      <c r="BX2747" s="2"/>
      <c r="BY2747" s="2">
        <v>1200</v>
      </c>
      <c r="BZ2747" s="2" t="s">
        <v>27</v>
      </c>
      <c r="CA2747" s="2" t="s">
        <v>213</v>
      </c>
      <c r="CB2747" s="2"/>
      <c r="CC2747" s="2" t="s">
        <v>98</v>
      </c>
      <c r="CD2747" s="2">
        <v>6001</v>
      </c>
      <c r="CE2747" s="2" t="s">
        <v>104</v>
      </c>
      <c r="CF2747" s="5">
        <v>42972</v>
      </c>
      <c r="CG2747" s="2"/>
      <c r="CH2747" s="2"/>
      <c r="CI2747" s="2">
        <v>1</v>
      </c>
      <c r="CJ2747" s="2">
        <v>1</v>
      </c>
      <c r="CK2747" s="2">
        <v>21</v>
      </c>
      <c r="CL2747" s="2" t="s">
        <v>86</v>
      </c>
      <c r="CM2747" s="2"/>
    </row>
    <row r="2748" spans="1:91">
      <c r="A2748" s="2" t="s">
        <v>71</v>
      </c>
      <c r="B2748" s="2" t="s">
        <v>72</v>
      </c>
      <c r="C2748" s="2" t="s">
        <v>73</v>
      </c>
      <c r="D2748" s="2"/>
      <c r="E2748" s="2" t="str">
        <f>"FES1162570842"</f>
        <v>FES1162570842</v>
      </c>
      <c r="F2748" s="3">
        <v>42970</v>
      </c>
      <c r="G2748" s="2">
        <v>201802</v>
      </c>
      <c r="H2748" s="2" t="s">
        <v>74</v>
      </c>
      <c r="I2748" s="2" t="s">
        <v>75</v>
      </c>
      <c r="J2748" s="2" t="s">
        <v>76</v>
      </c>
      <c r="K2748" s="2" t="s">
        <v>77</v>
      </c>
      <c r="L2748" s="2" t="s">
        <v>576</v>
      </c>
      <c r="M2748" s="2" t="s">
        <v>577</v>
      </c>
      <c r="N2748" s="2" t="s">
        <v>578</v>
      </c>
      <c r="O2748" s="2" t="s">
        <v>100</v>
      </c>
      <c r="P2748" s="2" t="str">
        <f>"2170584415                    "</f>
        <v xml:space="preserve">2170584415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7.75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1</v>
      </c>
      <c r="BI2748" s="2">
        <v>2</v>
      </c>
      <c r="BJ2748" s="2">
        <v>0.2</v>
      </c>
      <c r="BK2748" s="2">
        <v>2</v>
      </c>
      <c r="BL2748" s="2">
        <v>80.290000000000006</v>
      </c>
      <c r="BM2748" s="2">
        <v>11.24</v>
      </c>
      <c r="BN2748" s="2">
        <v>91.53</v>
      </c>
      <c r="BO2748" s="2">
        <v>91.53</v>
      </c>
      <c r="BP2748" s="2"/>
      <c r="BQ2748" s="2" t="s">
        <v>3086</v>
      </c>
      <c r="BR2748" s="2" t="s">
        <v>84</v>
      </c>
      <c r="BS2748" s="3">
        <v>42972</v>
      </c>
      <c r="BT2748" s="4">
        <v>0.46458333333333335</v>
      </c>
      <c r="BU2748" s="2" t="s">
        <v>579</v>
      </c>
      <c r="BV2748" s="2" t="s">
        <v>86</v>
      </c>
      <c r="BW2748" s="2" t="s">
        <v>336</v>
      </c>
      <c r="BX2748" s="2" t="s">
        <v>549</v>
      </c>
      <c r="BY2748" s="2">
        <v>1200</v>
      </c>
      <c r="BZ2748" s="2" t="s">
        <v>27</v>
      </c>
      <c r="CA2748" s="2" t="s">
        <v>580</v>
      </c>
      <c r="CB2748" s="2"/>
      <c r="CC2748" s="2" t="s">
        <v>577</v>
      </c>
      <c r="CD2748" s="2">
        <v>3236</v>
      </c>
      <c r="CE2748" s="2" t="s">
        <v>104</v>
      </c>
      <c r="CF2748" s="5">
        <v>42976</v>
      </c>
      <c r="CG2748" s="2"/>
      <c r="CH2748" s="2"/>
      <c r="CI2748" s="2">
        <v>1</v>
      </c>
      <c r="CJ2748" s="2">
        <v>2</v>
      </c>
      <c r="CK2748" s="2">
        <v>23</v>
      </c>
      <c r="CL2748" s="2" t="s">
        <v>86</v>
      </c>
      <c r="CM2748" s="2"/>
    </row>
    <row r="2749" spans="1:91">
      <c r="A2749" s="2" t="s">
        <v>71</v>
      </c>
      <c r="B2749" s="2" t="s">
        <v>72</v>
      </c>
      <c r="C2749" s="2" t="s">
        <v>73</v>
      </c>
      <c r="D2749" s="2"/>
      <c r="E2749" s="2" t="str">
        <f>"FES1162570763"</f>
        <v>FES1162570763</v>
      </c>
      <c r="F2749" s="3">
        <v>42970</v>
      </c>
      <c r="G2749" s="2">
        <v>201802</v>
      </c>
      <c r="H2749" s="2" t="s">
        <v>74</v>
      </c>
      <c r="I2749" s="2" t="s">
        <v>75</v>
      </c>
      <c r="J2749" s="2" t="s">
        <v>76</v>
      </c>
      <c r="K2749" s="2" t="s">
        <v>77</v>
      </c>
      <c r="L2749" s="2" t="s">
        <v>221</v>
      </c>
      <c r="M2749" s="2" t="s">
        <v>222</v>
      </c>
      <c r="N2749" s="2" t="s">
        <v>415</v>
      </c>
      <c r="O2749" s="2" t="s">
        <v>100</v>
      </c>
      <c r="P2749" s="2" t="str">
        <f>"2170586505                    "</f>
        <v xml:space="preserve">2170586505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4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1</v>
      </c>
      <c r="BJ2749" s="2">
        <v>0.2</v>
      </c>
      <c r="BK2749" s="2">
        <v>1</v>
      </c>
      <c r="BL2749" s="2">
        <v>41.44</v>
      </c>
      <c r="BM2749" s="2">
        <v>5.8</v>
      </c>
      <c r="BN2749" s="2">
        <v>47.24</v>
      </c>
      <c r="BO2749" s="2">
        <v>47.24</v>
      </c>
      <c r="BP2749" s="2"/>
      <c r="BQ2749" s="2" t="s">
        <v>108</v>
      </c>
      <c r="BR2749" s="2" t="s">
        <v>84</v>
      </c>
      <c r="BS2749" s="3">
        <v>42971</v>
      </c>
      <c r="BT2749" s="4">
        <v>0.37152777777777773</v>
      </c>
      <c r="BU2749" s="2" t="s">
        <v>933</v>
      </c>
      <c r="BV2749" s="2" t="s">
        <v>95</v>
      </c>
      <c r="BW2749" s="2"/>
      <c r="BX2749" s="2"/>
      <c r="BY2749" s="2">
        <v>1200</v>
      </c>
      <c r="BZ2749" s="2" t="s">
        <v>27</v>
      </c>
      <c r="CA2749" s="2" t="s">
        <v>934</v>
      </c>
      <c r="CB2749" s="2"/>
      <c r="CC2749" s="2" t="s">
        <v>222</v>
      </c>
      <c r="CD2749" s="2">
        <v>4302</v>
      </c>
      <c r="CE2749" s="2" t="s">
        <v>104</v>
      </c>
      <c r="CF2749" s="5">
        <v>42972</v>
      </c>
      <c r="CG2749" s="2"/>
      <c r="CH2749" s="2"/>
      <c r="CI2749" s="2">
        <v>1</v>
      </c>
      <c r="CJ2749" s="2">
        <v>1</v>
      </c>
      <c r="CK2749" s="2">
        <v>21</v>
      </c>
      <c r="CL2749" s="2" t="s">
        <v>86</v>
      </c>
      <c r="CM2749" s="2"/>
    </row>
    <row r="2750" spans="1:91">
      <c r="A2750" s="2" t="s">
        <v>71</v>
      </c>
      <c r="B2750" s="2" t="s">
        <v>72</v>
      </c>
      <c r="C2750" s="2" t="s">
        <v>73</v>
      </c>
      <c r="D2750" s="2"/>
      <c r="E2750" s="2" t="str">
        <f>"FES1162570917"</f>
        <v>FES1162570917</v>
      </c>
      <c r="F2750" s="3">
        <v>42970</v>
      </c>
      <c r="G2750" s="2">
        <v>201802</v>
      </c>
      <c r="H2750" s="2" t="s">
        <v>74</v>
      </c>
      <c r="I2750" s="2" t="s">
        <v>75</v>
      </c>
      <c r="J2750" s="2" t="s">
        <v>76</v>
      </c>
      <c r="K2750" s="2" t="s">
        <v>77</v>
      </c>
      <c r="L2750" s="2" t="s">
        <v>237</v>
      </c>
      <c r="M2750" s="2" t="s">
        <v>238</v>
      </c>
      <c r="N2750" s="2" t="s">
        <v>454</v>
      </c>
      <c r="O2750" s="2" t="s">
        <v>100</v>
      </c>
      <c r="P2750" s="2" t="str">
        <f>"2170586590                    "</f>
        <v xml:space="preserve">2170586590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4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1</v>
      </c>
      <c r="BJ2750" s="2">
        <v>0.2</v>
      </c>
      <c r="BK2750" s="2">
        <v>1</v>
      </c>
      <c r="BL2750" s="2">
        <v>41.44</v>
      </c>
      <c r="BM2750" s="2">
        <v>5.8</v>
      </c>
      <c r="BN2750" s="2">
        <v>47.24</v>
      </c>
      <c r="BO2750" s="2">
        <v>47.24</v>
      </c>
      <c r="BP2750" s="2"/>
      <c r="BQ2750" s="2" t="s">
        <v>83</v>
      </c>
      <c r="BR2750" s="2" t="s">
        <v>84</v>
      </c>
      <c r="BS2750" s="3">
        <v>42971</v>
      </c>
      <c r="BT2750" s="4">
        <v>0.39999999999999997</v>
      </c>
      <c r="BU2750" s="2" t="s">
        <v>1524</v>
      </c>
      <c r="BV2750" s="2" t="s">
        <v>95</v>
      </c>
      <c r="BW2750" s="2"/>
      <c r="BX2750" s="2"/>
      <c r="BY2750" s="2">
        <v>1200</v>
      </c>
      <c r="BZ2750" s="2" t="s">
        <v>27</v>
      </c>
      <c r="CA2750" s="2" t="s">
        <v>672</v>
      </c>
      <c r="CB2750" s="2"/>
      <c r="CC2750" s="2" t="s">
        <v>238</v>
      </c>
      <c r="CD2750" s="2">
        <v>3610</v>
      </c>
      <c r="CE2750" s="2" t="s">
        <v>104</v>
      </c>
      <c r="CF2750" s="5">
        <v>42972</v>
      </c>
      <c r="CG2750" s="2"/>
      <c r="CH2750" s="2"/>
      <c r="CI2750" s="2">
        <v>1</v>
      </c>
      <c r="CJ2750" s="2">
        <v>1</v>
      </c>
      <c r="CK2750" s="2">
        <v>21</v>
      </c>
      <c r="CL2750" s="2" t="s">
        <v>86</v>
      </c>
      <c r="CM2750" s="2"/>
    </row>
    <row r="2751" spans="1:91">
      <c r="A2751" s="2" t="s">
        <v>71</v>
      </c>
      <c r="B2751" s="2" t="s">
        <v>72</v>
      </c>
      <c r="C2751" s="2" t="s">
        <v>73</v>
      </c>
      <c r="D2751" s="2"/>
      <c r="E2751" s="2" t="str">
        <f>"FES1162570786"</f>
        <v>FES1162570786</v>
      </c>
      <c r="F2751" s="3">
        <v>42970</v>
      </c>
      <c r="G2751" s="2">
        <v>201802</v>
      </c>
      <c r="H2751" s="2" t="s">
        <v>74</v>
      </c>
      <c r="I2751" s="2" t="s">
        <v>75</v>
      </c>
      <c r="J2751" s="2" t="s">
        <v>76</v>
      </c>
      <c r="K2751" s="2" t="s">
        <v>77</v>
      </c>
      <c r="L2751" s="2" t="s">
        <v>231</v>
      </c>
      <c r="M2751" s="2" t="s">
        <v>232</v>
      </c>
      <c r="N2751" s="2" t="s">
        <v>233</v>
      </c>
      <c r="O2751" s="2" t="s">
        <v>100</v>
      </c>
      <c r="P2751" s="2" t="str">
        <f>"2170586233                    "</f>
        <v xml:space="preserve">2170586233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4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1</v>
      </c>
      <c r="BJ2751" s="2">
        <v>0.2</v>
      </c>
      <c r="BK2751" s="2">
        <v>1</v>
      </c>
      <c r="BL2751" s="2">
        <v>41.44</v>
      </c>
      <c r="BM2751" s="2">
        <v>5.8</v>
      </c>
      <c r="BN2751" s="2">
        <v>47.24</v>
      </c>
      <c r="BO2751" s="2">
        <v>47.24</v>
      </c>
      <c r="BP2751" s="2"/>
      <c r="BQ2751" s="2" t="s">
        <v>83</v>
      </c>
      <c r="BR2751" s="2" t="s">
        <v>84</v>
      </c>
      <c r="BS2751" s="3">
        <v>42971</v>
      </c>
      <c r="BT2751" s="4">
        <v>0.36944444444444446</v>
      </c>
      <c r="BU2751" s="2" t="s">
        <v>3030</v>
      </c>
      <c r="BV2751" s="2" t="s">
        <v>95</v>
      </c>
      <c r="BW2751" s="2"/>
      <c r="BX2751" s="2"/>
      <c r="BY2751" s="2">
        <v>1200</v>
      </c>
      <c r="BZ2751" s="2" t="s">
        <v>27</v>
      </c>
      <c r="CA2751" s="2" t="s">
        <v>235</v>
      </c>
      <c r="CB2751" s="2"/>
      <c r="CC2751" s="2" t="s">
        <v>232</v>
      </c>
      <c r="CD2751" s="2">
        <v>4026</v>
      </c>
      <c r="CE2751" s="2" t="s">
        <v>104</v>
      </c>
      <c r="CF2751" s="5">
        <v>42972</v>
      </c>
      <c r="CG2751" s="2"/>
      <c r="CH2751" s="2"/>
      <c r="CI2751" s="2">
        <v>1</v>
      </c>
      <c r="CJ2751" s="2">
        <v>1</v>
      </c>
      <c r="CK2751" s="2">
        <v>21</v>
      </c>
      <c r="CL2751" s="2" t="s">
        <v>86</v>
      </c>
      <c r="CM2751" s="2"/>
    </row>
    <row r="2752" spans="1:91">
      <c r="A2752" s="2" t="s">
        <v>71</v>
      </c>
      <c r="B2752" s="2" t="s">
        <v>72</v>
      </c>
      <c r="C2752" s="2" t="s">
        <v>73</v>
      </c>
      <c r="D2752" s="2"/>
      <c r="E2752" s="2" t="str">
        <f>"FES1162570784"</f>
        <v>FES1162570784</v>
      </c>
      <c r="F2752" s="3">
        <v>42970</v>
      </c>
      <c r="G2752" s="2">
        <v>201802</v>
      </c>
      <c r="H2752" s="2" t="s">
        <v>74</v>
      </c>
      <c r="I2752" s="2" t="s">
        <v>75</v>
      </c>
      <c r="J2752" s="2" t="s">
        <v>76</v>
      </c>
      <c r="K2752" s="2" t="s">
        <v>77</v>
      </c>
      <c r="L2752" s="2" t="s">
        <v>149</v>
      </c>
      <c r="M2752" s="2" t="s">
        <v>150</v>
      </c>
      <c r="N2752" s="2" t="s">
        <v>427</v>
      </c>
      <c r="O2752" s="2" t="s">
        <v>100</v>
      </c>
      <c r="P2752" s="2" t="str">
        <f>"2170586528                    "</f>
        <v xml:space="preserve">2170586528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4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1</v>
      </c>
      <c r="BJ2752" s="2">
        <v>0.2</v>
      </c>
      <c r="BK2752" s="2">
        <v>1</v>
      </c>
      <c r="BL2752" s="2">
        <v>41.44</v>
      </c>
      <c r="BM2752" s="2">
        <v>5.8</v>
      </c>
      <c r="BN2752" s="2">
        <v>47.24</v>
      </c>
      <c r="BO2752" s="2">
        <v>47.24</v>
      </c>
      <c r="BP2752" s="2"/>
      <c r="BQ2752" s="2" t="s">
        <v>83</v>
      </c>
      <c r="BR2752" s="2" t="s">
        <v>84</v>
      </c>
      <c r="BS2752" s="3">
        <v>42971</v>
      </c>
      <c r="BT2752" s="4">
        <v>0.41180555555555554</v>
      </c>
      <c r="BU2752" s="2" t="s">
        <v>428</v>
      </c>
      <c r="BV2752" s="2" t="s">
        <v>95</v>
      </c>
      <c r="BW2752" s="2"/>
      <c r="BX2752" s="2"/>
      <c r="BY2752" s="2">
        <v>1200</v>
      </c>
      <c r="BZ2752" s="2" t="s">
        <v>27</v>
      </c>
      <c r="CA2752" s="2" t="s">
        <v>429</v>
      </c>
      <c r="CB2752" s="2"/>
      <c r="CC2752" s="2" t="s">
        <v>150</v>
      </c>
      <c r="CD2752" s="2">
        <v>4001</v>
      </c>
      <c r="CE2752" s="2" t="s">
        <v>104</v>
      </c>
      <c r="CF2752" s="5">
        <v>42972</v>
      </c>
      <c r="CG2752" s="2"/>
      <c r="CH2752" s="2"/>
      <c r="CI2752" s="2">
        <v>1</v>
      </c>
      <c r="CJ2752" s="2">
        <v>1</v>
      </c>
      <c r="CK2752" s="2">
        <v>21</v>
      </c>
      <c r="CL2752" s="2" t="s">
        <v>86</v>
      </c>
      <c r="CM2752" s="2"/>
    </row>
    <row r="2753" spans="1:91">
      <c r="A2753" s="2" t="s">
        <v>71</v>
      </c>
      <c r="B2753" s="2" t="s">
        <v>72</v>
      </c>
      <c r="C2753" s="2" t="s">
        <v>73</v>
      </c>
      <c r="D2753" s="2"/>
      <c r="E2753" s="2" t="str">
        <f>"FES1162570856"</f>
        <v>FES1162570856</v>
      </c>
      <c r="F2753" s="3">
        <v>42970</v>
      </c>
      <c r="G2753" s="2">
        <v>201802</v>
      </c>
      <c r="H2753" s="2" t="s">
        <v>74</v>
      </c>
      <c r="I2753" s="2" t="s">
        <v>75</v>
      </c>
      <c r="J2753" s="2" t="s">
        <v>76</v>
      </c>
      <c r="K2753" s="2" t="s">
        <v>77</v>
      </c>
      <c r="L2753" s="2" t="s">
        <v>237</v>
      </c>
      <c r="M2753" s="2" t="s">
        <v>238</v>
      </c>
      <c r="N2753" s="2" t="s">
        <v>2282</v>
      </c>
      <c r="O2753" s="2" t="s">
        <v>100</v>
      </c>
      <c r="P2753" s="2" t="str">
        <f>"2170586562                    "</f>
        <v xml:space="preserve">2170586562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4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1</v>
      </c>
      <c r="BJ2753" s="2">
        <v>0.2</v>
      </c>
      <c r="BK2753" s="2">
        <v>1</v>
      </c>
      <c r="BL2753" s="2">
        <v>41.44</v>
      </c>
      <c r="BM2753" s="2">
        <v>5.8</v>
      </c>
      <c r="BN2753" s="2">
        <v>47.24</v>
      </c>
      <c r="BO2753" s="2">
        <v>47.24</v>
      </c>
      <c r="BP2753" s="2"/>
      <c r="BQ2753" s="2" t="s">
        <v>108</v>
      </c>
      <c r="BR2753" s="2" t="s">
        <v>84</v>
      </c>
      <c r="BS2753" s="3">
        <v>42971</v>
      </c>
      <c r="BT2753" s="4">
        <v>0.37222222222222223</v>
      </c>
      <c r="BU2753" s="2" t="s">
        <v>3087</v>
      </c>
      <c r="BV2753" s="2" t="s">
        <v>95</v>
      </c>
      <c r="BW2753" s="2"/>
      <c r="BX2753" s="2"/>
      <c r="BY2753" s="2">
        <v>1200</v>
      </c>
      <c r="BZ2753" s="2" t="s">
        <v>27</v>
      </c>
      <c r="CA2753" s="2" t="s">
        <v>672</v>
      </c>
      <c r="CB2753" s="2"/>
      <c r="CC2753" s="2" t="s">
        <v>238</v>
      </c>
      <c r="CD2753" s="2">
        <v>3610</v>
      </c>
      <c r="CE2753" s="2" t="s">
        <v>104</v>
      </c>
      <c r="CF2753" s="5">
        <v>42972</v>
      </c>
      <c r="CG2753" s="2"/>
      <c r="CH2753" s="2"/>
      <c r="CI2753" s="2">
        <v>1</v>
      </c>
      <c r="CJ2753" s="2">
        <v>1</v>
      </c>
      <c r="CK2753" s="2">
        <v>21</v>
      </c>
      <c r="CL2753" s="2" t="s">
        <v>86</v>
      </c>
      <c r="CM2753" s="2"/>
    </row>
    <row r="2754" spans="1:91">
      <c r="A2754" s="2" t="s">
        <v>71</v>
      </c>
      <c r="B2754" s="2" t="s">
        <v>72</v>
      </c>
      <c r="C2754" s="2" t="s">
        <v>73</v>
      </c>
      <c r="D2754" s="2"/>
      <c r="E2754" s="2" t="str">
        <f>"FES1162570744"</f>
        <v>FES1162570744</v>
      </c>
      <c r="F2754" s="3">
        <v>42970</v>
      </c>
      <c r="G2754" s="2">
        <v>201802</v>
      </c>
      <c r="H2754" s="2" t="s">
        <v>74</v>
      </c>
      <c r="I2754" s="2" t="s">
        <v>75</v>
      </c>
      <c r="J2754" s="2" t="s">
        <v>76</v>
      </c>
      <c r="K2754" s="2" t="s">
        <v>77</v>
      </c>
      <c r="L2754" s="2" t="s">
        <v>353</v>
      </c>
      <c r="M2754" s="2" t="s">
        <v>354</v>
      </c>
      <c r="N2754" s="2" t="s">
        <v>2932</v>
      </c>
      <c r="O2754" s="2" t="s">
        <v>100</v>
      </c>
      <c r="P2754" s="2" t="str">
        <f>"2170585960                    "</f>
        <v xml:space="preserve">2170585960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4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1</v>
      </c>
      <c r="BJ2754" s="2">
        <v>0.2</v>
      </c>
      <c r="BK2754" s="2">
        <v>1</v>
      </c>
      <c r="BL2754" s="2">
        <v>41.44</v>
      </c>
      <c r="BM2754" s="2">
        <v>5.8</v>
      </c>
      <c r="BN2754" s="2">
        <v>47.24</v>
      </c>
      <c r="BO2754" s="2">
        <v>47.24</v>
      </c>
      <c r="BP2754" s="2"/>
      <c r="BQ2754" s="2" t="s">
        <v>83</v>
      </c>
      <c r="BR2754" s="2" t="s">
        <v>84</v>
      </c>
      <c r="BS2754" s="3">
        <v>42972</v>
      </c>
      <c r="BT2754" s="4">
        <v>0.47916666666666669</v>
      </c>
      <c r="BU2754" s="2" t="s">
        <v>3088</v>
      </c>
      <c r="BV2754" s="2" t="s">
        <v>86</v>
      </c>
      <c r="BW2754" s="2" t="s">
        <v>336</v>
      </c>
      <c r="BX2754" s="2" t="s">
        <v>549</v>
      </c>
      <c r="BY2754" s="2">
        <v>1200</v>
      </c>
      <c r="BZ2754" s="2" t="s">
        <v>27</v>
      </c>
      <c r="CA2754" s="2"/>
      <c r="CB2754" s="2"/>
      <c r="CC2754" s="2" t="s">
        <v>354</v>
      </c>
      <c r="CD2754" s="2">
        <v>3699</v>
      </c>
      <c r="CE2754" s="2" t="s">
        <v>104</v>
      </c>
      <c r="CF2754" s="5">
        <v>42976</v>
      </c>
      <c r="CG2754" s="2"/>
      <c r="CH2754" s="2"/>
      <c r="CI2754" s="2">
        <v>1</v>
      </c>
      <c r="CJ2754" s="2">
        <v>2</v>
      </c>
      <c r="CK2754" s="2">
        <v>21</v>
      </c>
      <c r="CL2754" s="2" t="s">
        <v>86</v>
      </c>
      <c r="CM2754" s="2"/>
    </row>
    <row r="2755" spans="1:91">
      <c r="A2755" s="2" t="s">
        <v>71</v>
      </c>
      <c r="B2755" s="2" t="s">
        <v>72</v>
      </c>
      <c r="C2755" s="2" t="s">
        <v>73</v>
      </c>
      <c r="D2755" s="2"/>
      <c r="E2755" s="2" t="str">
        <f>"FES1162570791"</f>
        <v>FES1162570791</v>
      </c>
      <c r="F2755" s="3">
        <v>42970</v>
      </c>
      <c r="G2755" s="2">
        <v>201802</v>
      </c>
      <c r="H2755" s="2" t="s">
        <v>74</v>
      </c>
      <c r="I2755" s="2" t="s">
        <v>75</v>
      </c>
      <c r="J2755" s="2" t="s">
        <v>76</v>
      </c>
      <c r="K2755" s="2" t="s">
        <v>77</v>
      </c>
      <c r="L2755" s="2" t="s">
        <v>362</v>
      </c>
      <c r="M2755" s="2" t="s">
        <v>363</v>
      </c>
      <c r="N2755" s="2" t="s">
        <v>1168</v>
      </c>
      <c r="O2755" s="2" t="s">
        <v>100</v>
      </c>
      <c r="P2755" s="2" t="str">
        <f>"2170586421                    "</f>
        <v xml:space="preserve">2170586421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11.01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5.2</v>
      </c>
      <c r="BJ2755" s="2">
        <v>3.9</v>
      </c>
      <c r="BK2755" s="2">
        <v>5.5</v>
      </c>
      <c r="BL2755" s="2">
        <v>113.97</v>
      </c>
      <c r="BM2755" s="2">
        <v>15.96</v>
      </c>
      <c r="BN2755" s="2">
        <v>129.93</v>
      </c>
      <c r="BO2755" s="2">
        <v>129.93</v>
      </c>
      <c r="BP2755" s="2"/>
      <c r="BQ2755" s="2" t="s">
        <v>83</v>
      </c>
      <c r="BR2755" s="2" t="s">
        <v>84</v>
      </c>
      <c r="BS2755" s="3">
        <v>42971</v>
      </c>
      <c r="BT2755" s="4">
        <v>0.44791666666666669</v>
      </c>
      <c r="BU2755" s="2" t="s">
        <v>2747</v>
      </c>
      <c r="BV2755" s="2" t="s">
        <v>95</v>
      </c>
      <c r="BW2755" s="2"/>
      <c r="BX2755" s="2"/>
      <c r="BY2755" s="2">
        <v>19551</v>
      </c>
      <c r="BZ2755" s="2" t="s">
        <v>27</v>
      </c>
      <c r="CA2755" s="2" t="s">
        <v>1170</v>
      </c>
      <c r="CB2755" s="2"/>
      <c r="CC2755" s="2" t="s">
        <v>363</v>
      </c>
      <c r="CD2755" s="2">
        <v>3201</v>
      </c>
      <c r="CE2755" s="2" t="s">
        <v>89</v>
      </c>
      <c r="CF2755" s="5">
        <v>42975</v>
      </c>
      <c r="CG2755" s="2"/>
      <c r="CH2755" s="2"/>
      <c r="CI2755" s="2">
        <v>1</v>
      </c>
      <c r="CJ2755" s="2">
        <v>1</v>
      </c>
      <c r="CK2755" s="2">
        <v>21</v>
      </c>
      <c r="CL2755" s="2" t="s">
        <v>86</v>
      </c>
      <c r="CM2755" s="2"/>
    </row>
    <row r="2756" spans="1:91">
      <c r="A2756" s="2" t="s">
        <v>71</v>
      </c>
      <c r="B2756" s="2" t="s">
        <v>72</v>
      </c>
      <c r="C2756" s="2" t="s">
        <v>73</v>
      </c>
      <c r="D2756" s="2"/>
      <c r="E2756" s="2" t="str">
        <f>"FES1162570979"</f>
        <v>FES1162570979</v>
      </c>
      <c r="F2756" s="3">
        <v>42970</v>
      </c>
      <c r="G2756" s="2">
        <v>201802</v>
      </c>
      <c r="H2756" s="2" t="s">
        <v>74</v>
      </c>
      <c r="I2756" s="2" t="s">
        <v>75</v>
      </c>
      <c r="J2756" s="2" t="s">
        <v>76</v>
      </c>
      <c r="K2756" s="2" t="s">
        <v>77</v>
      </c>
      <c r="L2756" s="2" t="s">
        <v>97</v>
      </c>
      <c r="M2756" s="2" t="s">
        <v>98</v>
      </c>
      <c r="N2756" s="2" t="s">
        <v>1044</v>
      </c>
      <c r="O2756" s="2" t="s">
        <v>100</v>
      </c>
      <c r="P2756" s="2" t="str">
        <f>"2170586662                    "</f>
        <v xml:space="preserve">2170586662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37.020000000000003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1</v>
      </c>
      <c r="BI2756" s="2">
        <v>8</v>
      </c>
      <c r="BJ2756" s="2">
        <v>18.100000000000001</v>
      </c>
      <c r="BK2756" s="2">
        <v>18.5</v>
      </c>
      <c r="BL2756" s="2">
        <v>383.34</v>
      </c>
      <c r="BM2756" s="2">
        <v>53.67</v>
      </c>
      <c r="BN2756" s="2">
        <v>437.01</v>
      </c>
      <c r="BO2756" s="2">
        <v>437.01</v>
      </c>
      <c r="BP2756" s="2"/>
      <c r="BQ2756" s="2" t="s">
        <v>83</v>
      </c>
      <c r="BR2756" s="2" t="s">
        <v>84</v>
      </c>
      <c r="BS2756" s="3">
        <v>42971</v>
      </c>
      <c r="BT2756" s="4">
        <v>0.43333333333333335</v>
      </c>
      <c r="BU2756" s="2" t="s">
        <v>3089</v>
      </c>
      <c r="BV2756" s="2" t="s">
        <v>95</v>
      </c>
      <c r="BW2756" s="2"/>
      <c r="BX2756" s="2"/>
      <c r="BY2756" s="2">
        <v>90343.18</v>
      </c>
      <c r="BZ2756" s="2" t="s">
        <v>27</v>
      </c>
      <c r="CA2756" s="2" t="s">
        <v>1047</v>
      </c>
      <c r="CB2756" s="2"/>
      <c r="CC2756" s="2" t="s">
        <v>98</v>
      </c>
      <c r="CD2756" s="2">
        <v>6045</v>
      </c>
      <c r="CE2756" s="2" t="s">
        <v>89</v>
      </c>
      <c r="CF2756" s="5">
        <v>42972</v>
      </c>
      <c r="CG2756" s="2"/>
      <c r="CH2756" s="2"/>
      <c r="CI2756" s="2">
        <v>1</v>
      </c>
      <c r="CJ2756" s="2">
        <v>1</v>
      </c>
      <c r="CK2756" s="2">
        <v>21</v>
      </c>
      <c r="CL2756" s="2" t="s">
        <v>86</v>
      </c>
      <c r="CM2756" s="2"/>
    </row>
    <row r="2757" spans="1:91">
      <c r="A2757" s="2" t="s">
        <v>71</v>
      </c>
      <c r="B2757" s="2" t="s">
        <v>72</v>
      </c>
      <c r="C2757" s="2" t="s">
        <v>73</v>
      </c>
      <c r="D2757" s="2"/>
      <c r="E2757" s="2" t="str">
        <f>"FES1162570801"</f>
        <v>FES1162570801</v>
      </c>
      <c r="F2757" s="3">
        <v>42970</v>
      </c>
      <c r="G2757" s="2">
        <v>201802</v>
      </c>
      <c r="H2757" s="2" t="s">
        <v>74</v>
      </c>
      <c r="I2757" s="2" t="s">
        <v>75</v>
      </c>
      <c r="J2757" s="2" t="s">
        <v>76</v>
      </c>
      <c r="K2757" s="2" t="s">
        <v>77</v>
      </c>
      <c r="L2757" s="2" t="s">
        <v>1121</v>
      </c>
      <c r="M2757" s="2" t="s">
        <v>1122</v>
      </c>
      <c r="N2757" s="2" t="s">
        <v>1123</v>
      </c>
      <c r="O2757" s="2" t="s">
        <v>100</v>
      </c>
      <c r="P2757" s="2" t="str">
        <f>"2170581512                    "</f>
        <v xml:space="preserve">2170581512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7.75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1.3</v>
      </c>
      <c r="BJ2757" s="2">
        <v>1.8</v>
      </c>
      <c r="BK2757" s="2">
        <v>2</v>
      </c>
      <c r="BL2757" s="2">
        <v>80.290000000000006</v>
      </c>
      <c r="BM2757" s="2">
        <v>11.24</v>
      </c>
      <c r="BN2757" s="2">
        <v>91.53</v>
      </c>
      <c r="BO2757" s="2">
        <v>91.53</v>
      </c>
      <c r="BP2757" s="2"/>
      <c r="BQ2757" s="2" t="s">
        <v>108</v>
      </c>
      <c r="BR2757" s="2" t="s">
        <v>84</v>
      </c>
      <c r="BS2757" s="3">
        <v>42971</v>
      </c>
      <c r="BT2757" s="4">
        <v>0.54166666666666663</v>
      </c>
      <c r="BU2757" s="2" t="s">
        <v>785</v>
      </c>
      <c r="BV2757" s="2" t="s">
        <v>95</v>
      </c>
      <c r="BW2757" s="2"/>
      <c r="BX2757" s="2"/>
      <c r="BY2757" s="2">
        <v>9179.39</v>
      </c>
      <c r="BZ2757" s="2" t="s">
        <v>27</v>
      </c>
      <c r="CA2757" s="2"/>
      <c r="CB2757" s="2"/>
      <c r="CC2757" s="2" t="s">
        <v>1122</v>
      </c>
      <c r="CD2757" s="2">
        <v>2499</v>
      </c>
      <c r="CE2757" s="2" t="s">
        <v>89</v>
      </c>
      <c r="CF2757" s="5">
        <v>42972</v>
      </c>
      <c r="CG2757" s="2"/>
      <c r="CH2757" s="2"/>
      <c r="CI2757" s="2">
        <v>1</v>
      </c>
      <c r="CJ2757" s="2">
        <v>1</v>
      </c>
      <c r="CK2757" s="2">
        <v>23</v>
      </c>
      <c r="CL2757" s="2" t="s">
        <v>86</v>
      </c>
      <c r="CM2757" s="2"/>
    </row>
    <row r="2758" spans="1:91">
      <c r="A2758" s="2" t="s">
        <v>71</v>
      </c>
      <c r="B2758" s="2" t="s">
        <v>72</v>
      </c>
      <c r="C2758" s="2" t="s">
        <v>73</v>
      </c>
      <c r="D2758" s="2"/>
      <c r="E2758" s="2" t="str">
        <f>"FES1162570783"</f>
        <v>FES1162570783</v>
      </c>
      <c r="F2758" s="3">
        <v>42970</v>
      </c>
      <c r="G2758" s="2">
        <v>201802</v>
      </c>
      <c r="H2758" s="2" t="s">
        <v>74</v>
      </c>
      <c r="I2758" s="2" t="s">
        <v>75</v>
      </c>
      <c r="J2758" s="2" t="s">
        <v>76</v>
      </c>
      <c r="K2758" s="2" t="s">
        <v>77</v>
      </c>
      <c r="L2758" s="2" t="s">
        <v>221</v>
      </c>
      <c r="M2758" s="2" t="s">
        <v>222</v>
      </c>
      <c r="N2758" s="2" t="s">
        <v>3090</v>
      </c>
      <c r="O2758" s="2" t="s">
        <v>100</v>
      </c>
      <c r="P2758" s="2" t="str">
        <f>"2170586527                    "</f>
        <v xml:space="preserve">2170586527 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6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3</v>
      </c>
      <c r="BJ2758" s="2">
        <v>0.2</v>
      </c>
      <c r="BK2758" s="2">
        <v>3</v>
      </c>
      <c r="BL2758" s="2">
        <v>62.16</v>
      </c>
      <c r="BM2758" s="2">
        <v>8.6999999999999993</v>
      </c>
      <c r="BN2758" s="2">
        <v>70.86</v>
      </c>
      <c r="BO2758" s="2">
        <v>70.86</v>
      </c>
      <c r="BP2758" s="2"/>
      <c r="BQ2758" s="2" t="s">
        <v>83</v>
      </c>
      <c r="BR2758" s="2" t="s">
        <v>84</v>
      </c>
      <c r="BS2758" s="3">
        <v>42971</v>
      </c>
      <c r="BT2758" s="4">
        <v>0.38194444444444442</v>
      </c>
      <c r="BU2758" s="2" t="s">
        <v>224</v>
      </c>
      <c r="BV2758" s="2" t="s">
        <v>95</v>
      </c>
      <c r="BW2758" s="2"/>
      <c r="BX2758" s="2"/>
      <c r="BY2758" s="2">
        <v>1200</v>
      </c>
      <c r="BZ2758" s="2" t="s">
        <v>27</v>
      </c>
      <c r="CA2758" s="2" t="s">
        <v>934</v>
      </c>
      <c r="CB2758" s="2"/>
      <c r="CC2758" s="2" t="s">
        <v>222</v>
      </c>
      <c r="CD2758" s="2">
        <v>4302</v>
      </c>
      <c r="CE2758" s="2" t="s">
        <v>104</v>
      </c>
      <c r="CF2758" s="5">
        <v>42972</v>
      </c>
      <c r="CG2758" s="2"/>
      <c r="CH2758" s="2"/>
      <c r="CI2758" s="2">
        <v>1</v>
      </c>
      <c r="CJ2758" s="2">
        <v>1</v>
      </c>
      <c r="CK2758" s="2">
        <v>21</v>
      </c>
      <c r="CL2758" s="2" t="s">
        <v>86</v>
      </c>
      <c r="CM2758" s="2"/>
    </row>
    <row r="2759" spans="1:91">
      <c r="A2759" s="2" t="s">
        <v>71</v>
      </c>
      <c r="B2759" s="2" t="s">
        <v>72</v>
      </c>
      <c r="C2759" s="2" t="s">
        <v>73</v>
      </c>
      <c r="D2759" s="2"/>
      <c r="E2759" s="2" t="str">
        <f>"FES1162570860"</f>
        <v>FES1162570860</v>
      </c>
      <c r="F2759" s="3">
        <v>42970</v>
      </c>
      <c r="G2759" s="2">
        <v>201802</v>
      </c>
      <c r="H2759" s="2" t="s">
        <v>74</v>
      </c>
      <c r="I2759" s="2" t="s">
        <v>75</v>
      </c>
      <c r="J2759" s="2" t="s">
        <v>76</v>
      </c>
      <c r="K2759" s="2" t="s">
        <v>77</v>
      </c>
      <c r="L2759" s="2" t="s">
        <v>216</v>
      </c>
      <c r="M2759" s="2" t="s">
        <v>217</v>
      </c>
      <c r="N2759" s="2" t="s">
        <v>3091</v>
      </c>
      <c r="O2759" s="2" t="s">
        <v>100</v>
      </c>
      <c r="P2759" s="2" t="str">
        <f>"2170586565                    "</f>
        <v xml:space="preserve">2170586565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3.13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1</v>
      </c>
      <c r="BJ2759" s="2">
        <v>0.2</v>
      </c>
      <c r="BK2759" s="2">
        <v>1</v>
      </c>
      <c r="BL2759" s="2">
        <v>32.380000000000003</v>
      </c>
      <c r="BM2759" s="2">
        <v>4.53</v>
      </c>
      <c r="BN2759" s="2">
        <v>36.909999999999997</v>
      </c>
      <c r="BO2759" s="2">
        <v>36.909999999999997</v>
      </c>
      <c r="BP2759" s="2"/>
      <c r="BQ2759" s="2" t="s">
        <v>288</v>
      </c>
      <c r="BR2759" s="2" t="s">
        <v>84</v>
      </c>
      <c r="BS2759" s="3">
        <v>42971</v>
      </c>
      <c r="BT2759" s="4">
        <v>0.33402777777777781</v>
      </c>
      <c r="BU2759" s="2" t="s">
        <v>888</v>
      </c>
      <c r="BV2759" s="2" t="s">
        <v>95</v>
      </c>
      <c r="BW2759" s="2"/>
      <c r="BX2759" s="2"/>
      <c r="BY2759" s="2">
        <v>1200</v>
      </c>
      <c r="BZ2759" s="2" t="s">
        <v>27</v>
      </c>
      <c r="CA2759" s="2" t="s">
        <v>220</v>
      </c>
      <c r="CB2759" s="2"/>
      <c r="CC2759" s="2" t="s">
        <v>217</v>
      </c>
      <c r="CD2759" s="2">
        <v>1451</v>
      </c>
      <c r="CE2759" s="2" t="s">
        <v>104</v>
      </c>
      <c r="CF2759" s="5">
        <v>42972</v>
      </c>
      <c r="CG2759" s="2"/>
      <c r="CH2759" s="2"/>
      <c r="CI2759" s="2">
        <v>1</v>
      </c>
      <c r="CJ2759" s="2">
        <v>1</v>
      </c>
      <c r="CK2759" s="2">
        <v>22</v>
      </c>
      <c r="CL2759" s="2" t="s">
        <v>86</v>
      </c>
      <c r="CM2759" s="2"/>
    </row>
    <row r="2760" spans="1:91">
      <c r="A2760" s="2" t="s">
        <v>71</v>
      </c>
      <c r="B2760" s="2" t="s">
        <v>72</v>
      </c>
      <c r="C2760" s="2" t="s">
        <v>73</v>
      </c>
      <c r="D2760" s="2"/>
      <c r="E2760" s="2" t="str">
        <f>"FES1162570890"</f>
        <v>FES1162570890</v>
      </c>
      <c r="F2760" s="3">
        <v>42970</v>
      </c>
      <c r="G2760" s="2">
        <v>201802</v>
      </c>
      <c r="H2760" s="2" t="s">
        <v>74</v>
      </c>
      <c r="I2760" s="2" t="s">
        <v>75</v>
      </c>
      <c r="J2760" s="2" t="s">
        <v>76</v>
      </c>
      <c r="K2760" s="2" t="s">
        <v>77</v>
      </c>
      <c r="L2760" s="2" t="s">
        <v>221</v>
      </c>
      <c r="M2760" s="2" t="s">
        <v>222</v>
      </c>
      <c r="N2760" s="2" t="s">
        <v>2544</v>
      </c>
      <c r="O2760" s="2" t="s">
        <v>100</v>
      </c>
      <c r="P2760" s="2" t="str">
        <f>"2170584494                    "</f>
        <v xml:space="preserve">2170584494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4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1</v>
      </c>
      <c r="BJ2760" s="2">
        <v>0.2</v>
      </c>
      <c r="BK2760" s="2">
        <v>1</v>
      </c>
      <c r="BL2760" s="2">
        <v>41.44</v>
      </c>
      <c r="BM2760" s="2">
        <v>5.8</v>
      </c>
      <c r="BN2760" s="2">
        <v>47.24</v>
      </c>
      <c r="BO2760" s="2">
        <v>47.24</v>
      </c>
      <c r="BP2760" s="2"/>
      <c r="BQ2760" s="2" t="s">
        <v>108</v>
      </c>
      <c r="BR2760" s="2" t="s">
        <v>84</v>
      </c>
      <c r="BS2760" s="3">
        <v>42971</v>
      </c>
      <c r="BT2760" s="4">
        <v>0.38194444444444442</v>
      </c>
      <c r="BU2760" s="2" t="s">
        <v>224</v>
      </c>
      <c r="BV2760" s="2" t="s">
        <v>95</v>
      </c>
      <c r="BW2760" s="2"/>
      <c r="BX2760" s="2"/>
      <c r="BY2760" s="2">
        <v>1200</v>
      </c>
      <c r="BZ2760" s="2" t="s">
        <v>27</v>
      </c>
      <c r="CA2760" s="2" t="s">
        <v>934</v>
      </c>
      <c r="CB2760" s="2"/>
      <c r="CC2760" s="2" t="s">
        <v>222</v>
      </c>
      <c r="CD2760" s="2">
        <v>4300</v>
      </c>
      <c r="CE2760" s="2" t="s">
        <v>104</v>
      </c>
      <c r="CF2760" s="5">
        <v>42972</v>
      </c>
      <c r="CG2760" s="2"/>
      <c r="CH2760" s="2"/>
      <c r="CI2760" s="2">
        <v>1</v>
      </c>
      <c r="CJ2760" s="2">
        <v>1</v>
      </c>
      <c r="CK2760" s="2">
        <v>21</v>
      </c>
      <c r="CL2760" s="2" t="s">
        <v>86</v>
      </c>
      <c r="CM2760" s="2"/>
    </row>
    <row r="2761" spans="1:91">
      <c r="A2761" s="2" t="s">
        <v>71</v>
      </c>
      <c r="B2761" s="2" t="s">
        <v>72</v>
      </c>
      <c r="C2761" s="2" t="s">
        <v>73</v>
      </c>
      <c r="D2761" s="2"/>
      <c r="E2761" s="2" t="str">
        <f>"FES1162570883"</f>
        <v>FES1162570883</v>
      </c>
      <c r="F2761" s="3">
        <v>42970</v>
      </c>
      <c r="G2761" s="2">
        <v>201802</v>
      </c>
      <c r="H2761" s="2" t="s">
        <v>74</v>
      </c>
      <c r="I2761" s="2" t="s">
        <v>75</v>
      </c>
      <c r="J2761" s="2" t="s">
        <v>76</v>
      </c>
      <c r="K2761" s="2" t="s">
        <v>77</v>
      </c>
      <c r="L2761" s="2" t="s">
        <v>149</v>
      </c>
      <c r="M2761" s="2" t="s">
        <v>150</v>
      </c>
      <c r="N2761" s="2" t="s">
        <v>463</v>
      </c>
      <c r="O2761" s="2" t="s">
        <v>100</v>
      </c>
      <c r="P2761" s="2" t="str">
        <f>"2170584391                    "</f>
        <v xml:space="preserve">2170584391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4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1</v>
      </c>
      <c r="BJ2761" s="2">
        <v>0.2</v>
      </c>
      <c r="BK2761" s="2">
        <v>1</v>
      </c>
      <c r="BL2761" s="2">
        <v>41.44</v>
      </c>
      <c r="BM2761" s="2">
        <v>5.8</v>
      </c>
      <c r="BN2761" s="2">
        <v>47.24</v>
      </c>
      <c r="BO2761" s="2">
        <v>47.24</v>
      </c>
      <c r="BP2761" s="2"/>
      <c r="BQ2761" s="2" t="s">
        <v>288</v>
      </c>
      <c r="BR2761" s="2" t="s">
        <v>84</v>
      </c>
      <c r="BS2761" s="3">
        <v>42971</v>
      </c>
      <c r="BT2761" s="4">
        <v>0.4375</v>
      </c>
      <c r="BU2761" s="2" t="s">
        <v>768</v>
      </c>
      <c r="BV2761" s="2" t="s">
        <v>95</v>
      </c>
      <c r="BW2761" s="2"/>
      <c r="BX2761" s="2"/>
      <c r="BY2761" s="2">
        <v>1200</v>
      </c>
      <c r="BZ2761" s="2" t="s">
        <v>27</v>
      </c>
      <c r="CA2761" s="2" t="s">
        <v>347</v>
      </c>
      <c r="CB2761" s="2"/>
      <c r="CC2761" s="2" t="s">
        <v>150</v>
      </c>
      <c r="CD2761" s="2">
        <v>4001</v>
      </c>
      <c r="CE2761" s="2" t="s">
        <v>104</v>
      </c>
      <c r="CF2761" s="5">
        <v>42972</v>
      </c>
      <c r="CG2761" s="2"/>
      <c r="CH2761" s="2"/>
      <c r="CI2761" s="2">
        <v>1</v>
      </c>
      <c r="CJ2761" s="2">
        <v>1</v>
      </c>
      <c r="CK2761" s="2">
        <v>21</v>
      </c>
      <c r="CL2761" s="2" t="s">
        <v>86</v>
      </c>
      <c r="CM2761" s="2"/>
    </row>
    <row r="2762" spans="1:91">
      <c r="A2762" s="2" t="s">
        <v>71</v>
      </c>
      <c r="B2762" s="2" t="s">
        <v>72</v>
      </c>
      <c r="C2762" s="2" t="s">
        <v>73</v>
      </c>
      <c r="D2762" s="2"/>
      <c r="E2762" s="2" t="str">
        <f>"FES1162570885"</f>
        <v>FES1162570885</v>
      </c>
      <c r="F2762" s="3">
        <v>42970</v>
      </c>
      <c r="G2762" s="2">
        <v>201802</v>
      </c>
      <c r="H2762" s="2" t="s">
        <v>74</v>
      </c>
      <c r="I2762" s="2" t="s">
        <v>75</v>
      </c>
      <c r="J2762" s="2" t="s">
        <v>76</v>
      </c>
      <c r="K2762" s="2" t="s">
        <v>77</v>
      </c>
      <c r="L2762" s="2" t="s">
        <v>383</v>
      </c>
      <c r="M2762" s="2" t="s">
        <v>384</v>
      </c>
      <c r="N2762" s="2" t="s">
        <v>385</v>
      </c>
      <c r="O2762" s="2" t="s">
        <v>100</v>
      </c>
      <c r="P2762" s="2" t="str">
        <f>"2170584402                    "</f>
        <v xml:space="preserve">2170584402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5.63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1</v>
      </c>
      <c r="BJ2762" s="2">
        <v>0.2</v>
      </c>
      <c r="BK2762" s="2">
        <v>1</v>
      </c>
      <c r="BL2762" s="2">
        <v>58.28</v>
      </c>
      <c r="BM2762" s="2">
        <v>8.16</v>
      </c>
      <c r="BN2762" s="2">
        <v>66.44</v>
      </c>
      <c r="BO2762" s="2">
        <v>66.44</v>
      </c>
      <c r="BP2762" s="2"/>
      <c r="BQ2762" s="2" t="s">
        <v>288</v>
      </c>
      <c r="BR2762" s="2" t="s">
        <v>84</v>
      </c>
      <c r="BS2762" s="3">
        <v>42971</v>
      </c>
      <c r="BT2762" s="4">
        <v>0.52430555555555558</v>
      </c>
      <c r="BU2762" s="2" t="s">
        <v>1249</v>
      </c>
      <c r="BV2762" s="2" t="s">
        <v>95</v>
      </c>
      <c r="BW2762" s="2"/>
      <c r="BX2762" s="2"/>
      <c r="BY2762" s="2">
        <v>1200</v>
      </c>
      <c r="BZ2762" s="2" t="s">
        <v>27</v>
      </c>
      <c r="CA2762" s="2"/>
      <c r="CB2762" s="2"/>
      <c r="CC2762" s="2" t="s">
        <v>384</v>
      </c>
      <c r="CD2762" s="2">
        <v>2210</v>
      </c>
      <c r="CE2762" s="2" t="s">
        <v>104</v>
      </c>
      <c r="CF2762" s="5">
        <v>42972</v>
      </c>
      <c r="CG2762" s="2"/>
      <c r="CH2762" s="2"/>
      <c r="CI2762" s="2">
        <v>1</v>
      </c>
      <c r="CJ2762" s="2">
        <v>1</v>
      </c>
      <c r="CK2762" s="2">
        <v>24</v>
      </c>
      <c r="CL2762" s="2" t="s">
        <v>86</v>
      </c>
      <c r="CM2762" s="2"/>
    </row>
    <row r="2763" spans="1:91">
      <c r="A2763" s="2" t="s">
        <v>71</v>
      </c>
      <c r="B2763" s="2" t="s">
        <v>72</v>
      </c>
      <c r="C2763" s="2" t="s">
        <v>73</v>
      </c>
      <c r="D2763" s="2"/>
      <c r="E2763" s="2" t="str">
        <f>"FES11622570832"</f>
        <v>FES11622570832</v>
      </c>
      <c r="F2763" s="3">
        <v>42970</v>
      </c>
      <c r="G2763" s="2">
        <v>201802</v>
      </c>
      <c r="H2763" s="2" t="s">
        <v>74</v>
      </c>
      <c r="I2763" s="2" t="s">
        <v>75</v>
      </c>
      <c r="J2763" s="2" t="s">
        <v>76</v>
      </c>
      <c r="K2763" s="2" t="s">
        <v>77</v>
      </c>
      <c r="L2763" s="2" t="s">
        <v>604</v>
      </c>
      <c r="M2763" s="2" t="s">
        <v>605</v>
      </c>
      <c r="N2763" s="2" t="s">
        <v>1907</v>
      </c>
      <c r="O2763" s="2" t="s">
        <v>100</v>
      </c>
      <c r="P2763" s="2" t="str">
        <f>"2170582955                    "</f>
        <v xml:space="preserve">2170582955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4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1</v>
      </c>
      <c r="BJ2763" s="2">
        <v>0.2</v>
      </c>
      <c r="BK2763" s="2">
        <v>1</v>
      </c>
      <c r="BL2763" s="2">
        <v>41.44</v>
      </c>
      <c r="BM2763" s="2">
        <v>5.8</v>
      </c>
      <c r="BN2763" s="2">
        <v>47.24</v>
      </c>
      <c r="BO2763" s="2">
        <v>47.24</v>
      </c>
      <c r="BP2763" s="2"/>
      <c r="BQ2763" s="2" t="s">
        <v>108</v>
      </c>
      <c r="BR2763" s="2" t="s">
        <v>84</v>
      </c>
      <c r="BS2763" s="3">
        <v>42971</v>
      </c>
      <c r="BT2763" s="4">
        <v>0.37291666666666662</v>
      </c>
      <c r="BU2763" s="2" t="s">
        <v>1649</v>
      </c>
      <c r="BV2763" s="2" t="s">
        <v>95</v>
      </c>
      <c r="BW2763" s="2"/>
      <c r="BX2763" s="2"/>
      <c r="BY2763" s="2">
        <v>1200</v>
      </c>
      <c r="BZ2763" s="2" t="s">
        <v>27</v>
      </c>
      <c r="CA2763" s="2" t="s">
        <v>607</v>
      </c>
      <c r="CB2763" s="2"/>
      <c r="CC2763" s="2" t="s">
        <v>605</v>
      </c>
      <c r="CD2763" s="2">
        <v>4126</v>
      </c>
      <c r="CE2763" s="2" t="s">
        <v>104</v>
      </c>
      <c r="CF2763" s="5">
        <v>42972</v>
      </c>
      <c r="CG2763" s="2"/>
      <c r="CH2763" s="2"/>
      <c r="CI2763" s="2">
        <v>1</v>
      </c>
      <c r="CJ2763" s="2">
        <v>1</v>
      </c>
      <c r="CK2763" s="2">
        <v>21</v>
      </c>
      <c r="CL2763" s="2" t="s">
        <v>86</v>
      </c>
      <c r="CM2763" s="2"/>
    </row>
    <row r="2764" spans="1:91">
      <c r="A2764" s="2" t="s">
        <v>71</v>
      </c>
      <c r="B2764" s="2" t="s">
        <v>72</v>
      </c>
      <c r="C2764" s="2" t="s">
        <v>73</v>
      </c>
      <c r="D2764" s="2"/>
      <c r="E2764" s="2" t="str">
        <f>"FES1162570814"</f>
        <v>FES1162570814</v>
      </c>
      <c r="F2764" s="3">
        <v>42970</v>
      </c>
      <c r="G2764" s="2">
        <v>201802</v>
      </c>
      <c r="H2764" s="2" t="s">
        <v>74</v>
      </c>
      <c r="I2764" s="2" t="s">
        <v>75</v>
      </c>
      <c r="J2764" s="2" t="s">
        <v>76</v>
      </c>
      <c r="K2764" s="2" t="s">
        <v>77</v>
      </c>
      <c r="L2764" s="2" t="s">
        <v>268</v>
      </c>
      <c r="M2764" s="2" t="s">
        <v>269</v>
      </c>
      <c r="N2764" s="2" t="s">
        <v>270</v>
      </c>
      <c r="O2764" s="2" t="s">
        <v>100</v>
      </c>
      <c r="P2764" s="2" t="str">
        <f>"2170584485                    "</f>
        <v xml:space="preserve">2170584485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4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1</v>
      </c>
      <c r="BI2764" s="2">
        <v>1</v>
      </c>
      <c r="BJ2764" s="2">
        <v>0.2</v>
      </c>
      <c r="BK2764" s="2">
        <v>1</v>
      </c>
      <c r="BL2764" s="2">
        <v>41.44</v>
      </c>
      <c r="BM2764" s="2">
        <v>5.8</v>
      </c>
      <c r="BN2764" s="2">
        <v>47.24</v>
      </c>
      <c r="BO2764" s="2">
        <v>47.24</v>
      </c>
      <c r="BP2764" s="2"/>
      <c r="BQ2764" s="2" t="s">
        <v>227</v>
      </c>
      <c r="BR2764" s="2" t="s">
        <v>84</v>
      </c>
      <c r="BS2764" s="3">
        <v>42971</v>
      </c>
      <c r="BT2764" s="4">
        <v>0.43402777777777773</v>
      </c>
      <c r="BU2764" s="2" t="s">
        <v>788</v>
      </c>
      <c r="BV2764" s="2" t="s">
        <v>95</v>
      </c>
      <c r="BW2764" s="2"/>
      <c r="BX2764" s="2"/>
      <c r="BY2764" s="2">
        <v>1200</v>
      </c>
      <c r="BZ2764" s="2" t="s">
        <v>27</v>
      </c>
      <c r="CA2764" s="2"/>
      <c r="CB2764" s="2"/>
      <c r="CC2764" s="2" t="s">
        <v>269</v>
      </c>
      <c r="CD2764" s="2">
        <v>200</v>
      </c>
      <c r="CE2764" s="2" t="s">
        <v>104</v>
      </c>
      <c r="CF2764" s="5">
        <v>42972</v>
      </c>
      <c r="CG2764" s="2"/>
      <c r="CH2764" s="2"/>
      <c r="CI2764" s="2">
        <v>1</v>
      </c>
      <c r="CJ2764" s="2">
        <v>1</v>
      </c>
      <c r="CK2764" s="2">
        <v>21</v>
      </c>
      <c r="CL2764" s="2" t="s">
        <v>86</v>
      </c>
      <c r="CM2764" s="2"/>
    </row>
    <row r="2765" spans="1:91">
      <c r="A2765" s="2" t="s">
        <v>71</v>
      </c>
      <c r="B2765" s="2" t="s">
        <v>72</v>
      </c>
      <c r="C2765" s="2" t="s">
        <v>73</v>
      </c>
      <c r="D2765" s="2"/>
      <c r="E2765" s="2" t="str">
        <f>"FES1162570758"</f>
        <v>FES1162570758</v>
      </c>
      <c r="F2765" s="3">
        <v>42970</v>
      </c>
      <c r="G2765" s="2">
        <v>201802</v>
      </c>
      <c r="H2765" s="2" t="s">
        <v>74</v>
      </c>
      <c r="I2765" s="2" t="s">
        <v>75</v>
      </c>
      <c r="J2765" s="2" t="s">
        <v>76</v>
      </c>
      <c r="K2765" s="2" t="s">
        <v>77</v>
      </c>
      <c r="L2765" s="2" t="s">
        <v>306</v>
      </c>
      <c r="M2765" s="2" t="s">
        <v>307</v>
      </c>
      <c r="N2765" s="2" t="s">
        <v>1805</v>
      </c>
      <c r="O2765" s="2" t="s">
        <v>100</v>
      </c>
      <c r="P2765" s="2" t="str">
        <f>"2170586499                    "</f>
        <v xml:space="preserve">2170586499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4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1</v>
      </c>
      <c r="BI2765" s="2">
        <v>1</v>
      </c>
      <c r="BJ2765" s="2">
        <v>0.2</v>
      </c>
      <c r="BK2765" s="2">
        <v>1</v>
      </c>
      <c r="BL2765" s="2">
        <v>41.44</v>
      </c>
      <c r="BM2765" s="2">
        <v>5.8</v>
      </c>
      <c r="BN2765" s="2">
        <v>47.24</v>
      </c>
      <c r="BO2765" s="2">
        <v>47.24</v>
      </c>
      <c r="BP2765" s="2"/>
      <c r="BQ2765" s="2" t="s">
        <v>288</v>
      </c>
      <c r="BR2765" s="2" t="s">
        <v>84</v>
      </c>
      <c r="BS2765" s="3">
        <v>42971</v>
      </c>
      <c r="BT2765" s="4">
        <v>0.47222222222222227</v>
      </c>
      <c r="BU2765" s="2" t="s">
        <v>3092</v>
      </c>
      <c r="BV2765" s="2" t="s">
        <v>86</v>
      </c>
      <c r="BW2765" s="2"/>
      <c r="BX2765" s="2"/>
      <c r="BY2765" s="2">
        <v>1200</v>
      </c>
      <c r="BZ2765" s="2" t="s">
        <v>27</v>
      </c>
      <c r="CA2765" s="2"/>
      <c r="CB2765" s="2"/>
      <c r="CC2765" s="2" t="s">
        <v>307</v>
      </c>
      <c r="CD2765" s="2">
        <v>1934</v>
      </c>
      <c r="CE2765" s="2" t="s">
        <v>104</v>
      </c>
      <c r="CF2765" s="5">
        <v>42972</v>
      </c>
      <c r="CG2765" s="2"/>
      <c r="CH2765" s="2"/>
      <c r="CI2765" s="2">
        <v>1</v>
      </c>
      <c r="CJ2765" s="2">
        <v>1</v>
      </c>
      <c r="CK2765" s="2">
        <v>21</v>
      </c>
      <c r="CL2765" s="2" t="s">
        <v>86</v>
      </c>
      <c r="CM2765" s="2"/>
    </row>
    <row r="2766" spans="1:91">
      <c r="A2766" s="2" t="s">
        <v>71</v>
      </c>
      <c r="B2766" s="2" t="s">
        <v>72</v>
      </c>
      <c r="C2766" s="2" t="s">
        <v>73</v>
      </c>
      <c r="D2766" s="2"/>
      <c r="E2766" s="2" t="str">
        <f>"FES1162570905"</f>
        <v>FES1162570905</v>
      </c>
      <c r="F2766" s="3">
        <v>42970</v>
      </c>
      <c r="G2766" s="2">
        <v>201802</v>
      </c>
      <c r="H2766" s="2" t="s">
        <v>74</v>
      </c>
      <c r="I2766" s="2" t="s">
        <v>75</v>
      </c>
      <c r="J2766" s="2" t="s">
        <v>76</v>
      </c>
      <c r="K2766" s="2" t="s">
        <v>77</v>
      </c>
      <c r="L2766" s="2" t="s">
        <v>144</v>
      </c>
      <c r="M2766" s="2" t="s">
        <v>145</v>
      </c>
      <c r="N2766" s="2" t="s">
        <v>561</v>
      </c>
      <c r="O2766" s="2" t="s">
        <v>100</v>
      </c>
      <c r="P2766" s="2" t="str">
        <f>"2170586583                    "</f>
        <v xml:space="preserve">2170586583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3.13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1</v>
      </c>
      <c r="BJ2766" s="2">
        <v>0.2</v>
      </c>
      <c r="BK2766" s="2">
        <v>1</v>
      </c>
      <c r="BL2766" s="2">
        <v>32.380000000000003</v>
      </c>
      <c r="BM2766" s="2">
        <v>4.53</v>
      </c>
      <c r="BN2766" s="2">
        <v>36.909999999999997</v>
      </c>
      <c r="BO2766" s="2">
        <v>36.909999999999997</v>
      </c>
      <c r="BP2766" s="2"/>
      <c r="BQ2766" s="2" t="s">
        <v>288</v>
      </c>
      <c r="BR2766" s="2" t="s">
        <v>84</v>
      </c>
      <c r="BS2766" s="3">
        <v>42971</v>
      </c>
      <c r="BT2766" s="4">
        <v>0.41666666666666669</v>
      </c>
      <c r="BU2766" s="2" t="s">
        <v>2468</v>
      </c>
      <c r="BV2766" s="2" t="s">
        <v>95</v>
      </c>
      <c r="BW2766" s="2"/>
      <c r="BX2766" s="2"/>
      <c r="BY2766" s="2">
        <v>1200</v>
      </c>
      <c r="BZ2766" s="2" t="s">
        <v>27</v>
      </c>
      <c r="CA2766" s="2"/>
      <c r="CB2766" s="2"/>
      <c r="CC2766" s="2" t="s">
        <v>145</v>
      </c>
      <c r="CD2766" s="2">
        <v>1821</v>
      </c>
      <c r="CE2766" s="2" t="s">
        <v>104</v>
      </c>
      <c r="CF2766" s="5">
        <v>42972</v>
      </c>
      <c r="CG2766" s="2"/>
      <c r="CH2766" s="2"/>
      <c r="CI2766" s="2">
        <v>1</v>
      </c>
      <c r="CJ2766" s="2">
        <v>1</v>
      </c>
      <c r="CK2766" s="2">
        <v>22</v>
      </c>
      <c r="CL2766" s="2" t="s">
        <v>86</v>
      </c>
      <c r="CM2766" s="2"/>
    </row>
    <row r="2767" spans="1:91">
      <c r="A2767" s="2" t="s">
        <v>71</v>
      </c>
      <c r="B2767" s="2" t="s">
        <v>72</v>
      </c>
      <c r="C2767" s="2" t="s">
        <v>73</v>
      </c>
      <c r="D2767" s="2"/>
      <c r="E2767" s="2" t="str">
        <f>"FES1162570889"</f>
        <v>FES1162570889</v>
      </c>
      <c r="F2767" s="3">
        <v>42970</v>
      </c>
      <c r="G2767" s="2">
        <v>201802</v>
      </c>
      <c r="H2767" s="2" t="s">
        <v>74</v>
      </c>
      <c r="I2767" s="2" t="s">
        <v>75</v>
      </c>
      <c r="J2767" s="2" t="s">
        <v>76</v>
      </c>
      <c r="K2767" s="2" t="s">
        <v>77</v>
      </c>
      <c r="L2767" s="2" t="s">
        <v>268</v>
      </c>
      <c r="M2767" s="2" t="s">
        <v>269</v>
      </c>
      <c r="N2767" s="2" t="s">
        <v>270</v>
      </c>
      <c r="O2767" s="2" t="s">
        <v>100</v>
      </c>
      <c r="P2767" s="2" t="str">
        <f>"2170584485                    "</f>
        <v xml:space="preserve">2170584485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4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1</v>
      </c>
      <c r="BJ2767" s="2">
        <v>0.2</v>
      </c>
      <c r="BK2767" s="2">
        <v>1</v>
      </c>
      <c r="BL2767" s="2">
        <v>41.44</v>
      </c>
      <c r="BM2767" s="2">
        <v>5.8</v>
      </c>
      <c r="BN2767" s="2">
        <v>47.24</v>
      </c>
      <c r="BO2767" s="2">
        <v>47.24</v>
      </c>
      <c r="BP2767" s="2"/>
      <c r="BQ2767" s="2" t="s">
        <v>227</v>
      </c>
      <c r="BR2767" s="2" t="s">
        <v>84</v>
      </c>
      <c r="BS2767" s="3">
        <v>42971</v>
      </c>
      <c r="BT2767" s="4">
        <v>0.43402777777777773</v>
      </c>
      <c r="BU2767" s="2" t="s">
        <v>788</v>
      </c>
      <c r="BV2767" s="2" t="s">
        <v>95</v>
      </c>
      <c r="BW2767" s="2"/>
      <c r="BX2767" s="2"/>
      <c r="BY2767" s="2">
        <v>1200</v>
      </c>
      <c r="BZ2767" s="2" t="s">
        <v>27</v>
      </c>
      <c r="CA2767" s="2"/>
      <c r="CB2767" s="2"/>
      <c r="CC2767" s="2" t="s">
        <v>269</v>
      </c>
      <c r="CD2767" s="2">
        <v>200</v>
      </c>
      <c r="CE2767" s="2" t="s">
        <v>104</v>
      </c>
      <c r="CF2767" s="5">
        <v>42972</v>
      </c>
      <c r="CG2767" s="2"/>
      <c r="CH2767" s="2"/>
      <c r="CI2767" s="2">
        <v>1</v>
      </c>
      <c r="CJ2767" s="2">
        <v>1</v>
      </c>
      <c r="CK2767" s="2">
        <v>21</v>
      </c>
      <c r="CL2767" s="2" t="s">
        <v>86</v>
      </c>
      <c r="CM2767" s="2"/>
    </row>
    <row r="2768" spans="1:91">
      <c r="A2768" s="2" t="s">
        <v>71</v>
      </c>
      <c r="B2768" s="2" t="s">
        <v>72</v>
      </c>
      <c r="C2768" s="2" t="s">
        <v>73</v>
      </c>
      <c r="D2768" s="2"/>
      <c r="E2768" s="2" t="str">
        <f>"FES1162570752"</f>
        <v>FES1162570752</v>
      </c>
      <c r="F2768" s="3">
        <v>42970</v>
      </c>
      <c r="G2768" s="2">
        <v>201802</v>
      </c>
      <c r="H2768" s="2" t="s">
        <v>74</v>
      </c>
      <c r="I2768" s="2" t="s">
        <v>75</v>
      </c>
      <c r="J2768" s="2" t="s">
        <v>76</v>
      </c>
      <c r="K2768" s="2" t="s">
        <v>77</v>
      </c>
      <c r="L2768" s="2" t="s">
        <v>268</v>
      </c>
      <c r="M2768" s="2" t="s">
        <v>269</v>
      </c>
      <c r="N2768" s="2" t="s">
        <v>351</v>
      </c>
      <c r="O2768" s="2" t="s">
        <v>100</v>
      </c>
      <c r="P2768" s="2" t="str">
        <f>"2170586486                    "</f>
        <v xml:space="preserve">2170586486 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4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1</v>
      </c>
      <c r="BJ2768" s="2">
        <v>0.2</v>
      </c>
      <c r="BK2768" s="2">
        <v>1</v>
      </c>
      <c r="BL2768" s="2">
        <v>41.44</v>
      </c>
      <c r="BM2768" s="2">
        <v>5.8</v>
      </c>
      <c r="BN2768" s="2">
        <v>47.24</v>
      </c>
      <c r="BO2768" s="2">
        <v>47.24</v>
      </c>
      <c r="BP2768" s="2"/>
      <c r="BQ2768" s="2" t="s">
        <v>108</v>
      </c>
      <c r="BR2768" s="2" t="s">
        <v>84</v>
      </c>
      <c r="BS2768" s="3">
        <v>42971</v>
      </c>
      <c r="BT2768" s="4">
        <v>0.42986111111111108</v>
      </c>
      <c r="BU2768" s="2" t="s">
        <v>85</v>
      </c>
      <c r="BV2768" s="2" t="s">
        <v>95</v>
      </c>
      <c r="BW2768" s="2"/>
      <c r="BX2768" s="2"/>
      <c r="BY2768" s="2">
        <v>1200</v>
      </c>
      <c r="BZ2768" s="2" t="s">
        <v>27</v>
      </c>
      <c r="CA2768" s="2"/>
      <c r="CB2768" s="2"/>
      <c r="CC2768" s="2" t="s">
        <v>269</v>
      </c>
      <c r="CD2768" s="2">
        <v>200</v>
      </c>
      <c r="CE2768" s="2" t="s">
        <v>104</v>
      </c>
      <c r="CF2768" s="5">
        <v>42972</v>
      </c>
      <c r="CG2768" s="2"/>
      <c r="CH2768" s="2"/>
      <c r="CI2768" s="2">
        <v>1</v>
      </c>
      <c r="CJ2768" s="2">
        <v>1</v>
      </c>
      <c r="CK2768" s="2">
        <v>21</v>
      </c>
      <c r="CL2768" s="2" t="s">
        <v>86</v>
      </c>
      <c r="CM2768" s="2"/>
    </row>
    <row r="2769" spans="1:91">
      <c r="A2769" s="2" t="s">
        <v>71</v>
      </c>
      <c r="B2769" s="2" t="s">
        <v>72</v>
      </c>
      <c r="C2769" s="2" t="s">
        <v>73</v>
      </c>
      <c r="D2769" s="2"/>
      <c r="E2769" s="2" t="str">
        <f>"FES1162570782"</f>
        <v>FES1162570782</v>
      </c>
      <c r="F2769" s="3">
        <v>42970</v>
      </c>
      <c r="G2769" s="2">
        <v>201802</v>
      </c>
      <c r="H2769" s="2" t="s">
        <v>74</v>
      </c>
      <c r="I2769" s="2" t="s">
        <v>75</v>
      </c>
      <c r="J2769" s="2" t="s">
        <v>76</v>
      </c>
      <c r="K2769" s="2" t="s">
        <v>77</v>
      </c>
      <c r="L2769" s="2" t="s">
        <v>105</v>
      </c>
      <c r="M2769" s="2" t="s">
        <v>106</v>
      </c>
      <c r="N2769" s="2" t="s">
        <v>3093</v>
      </c>
      <c r="O2769" s="2" t="s">
        <v>100</v>
      </c>
      <c r="P2769" s="2" t="str">
        <f>"2170586526                    "</f>
        <v xml:space="preserve">2170586526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4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1</v>
      </c>
      <c r="BJ2769" s="2">
        <v>1</v>
      </c>
      <c r="BK2769" s="2">
        <v>1</v>
      </c>
      <c r="BL2769" s="2">
        <v>41.44</v>
      </c>
      <c r="BM2769" s="2">
        <v>5.8</v>
      </c>
      <c r="BN2769" s="2">
        <v>47.24</v>
      </c>
      <c r="BO2769" s="2">
        <v>47.24</v>
      </c>
      <c r="BP2769" s="2"/>
      <c r="BQ2769" s="2" t="s">
        <v>288</v>
      </c>
      <c r="BR2769" s="2" t="s">
        <v>84</v>
      </c>
      <c r="BS2769" s="3">
        <v>42971</v>
      </c>
      <c r="BT2769" s="4">
        <v>0.40902777777777777</v>
      </c>
      <c r="BU2769" s="2" t="s">
        <v>2630</v>
      </c>
      <c r="BV2769" s="2" t="s">
        <v>95</v>
      </c>
      <c r="BW2769" s="2"/>
      <c r="BX2769" s="2"/>
      <c r="BY2769" s="2">
        <v>5057.87</v>
      </c>
      <c r="BZ2769" s="2" t="s">
        <v>27</v>
      </c>
      <c r="CA2769" s="2" t="s">
        <v>2134</v>
      </c>
      <c r="CB2769" s="2"/>
      <c r="CC2769" s="2" t="s">
        <v>106</v>
      </c>
      <c r="CD2769" s="2">
        <v>7550</v>
      </c>
      <c r="CE2769" s="2" t="s">
        <v>89</v>
      </c>
      <c r="CF2769" s="5">
        <v>42972</v>
      </c>
      <c r="CG2769" s="2"/>
      <c r="CH2769" s="2"/>
      <c r="CI2769" s="2">
        <v>1</v>
      </c>
      <c r="CJ2769" s="2">
        <v>1</v>
      </c>
      <c r="CK2769" s="2">
        <v>21</v>
      </c>
      <c r="CL2769" s="2" t="s">
        <v>86</v>
      </c>
      <c r="CM2769" s="2"/>
    </row>
    <row r="2770" spans="1:91">
      <c r="A2770" s="2" t="s">
        <v>71</v>
      </c>
      <c r="B2770" s="2" t="s">
        <v>72</v>
      </c>
      <c r="C2770" s="2" t="s">
        <v>73</v>
      </c>
      <c r="D2770" s="2"/>
      <c r="E2770" s="2" t="str">
        <f>"FES1162570772"</f>
        <v>FES1162570772</v>
      </c>
      <c r="F2770" s="3">
        <v>42970</v>
      </c>
      <c r="G2770" s="2">
        <v>201802</v>
      </c>
      <c r="H2770" s="2" t="s">
        <v>74</v>
      </c>
      <c r="I2770" s="2" t="s">
        <v>75</v>
      </c>
      <c r="J2770" s="2" t="s">
        <v>76</v>
      </c>
      <c r="K2770" s="2" t="s">
        <v>77</v>
      </c>
      <c r="L2770" s="2" t="s">
        <v>144</v>
      </c>
      <c r="M2770" s="2" t="s">
        <v>145</v>
      </c>
      <c r="N2770" s="2" t="s">
        <v>1353</v>
      </c>
      <c r="O2770" s="2" t="s">
        <v>100</v>
      </c>
      <c r="P2770" s="2" t="str">
        <f>"2170582714                    "</f>
        <v xml:space="preserve">2170582714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3.13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1</v>
      </c>
      <c r="BI2770" s="2">
        <v>1.9</v>
      </c>
      <c r="BJ2770" s="2">
        <v>3</v>
      </c>
      <c r="BK2770" s="2">
        <v>3</v>
      </c>
      <c r="BL2770" s="2">
        <v>32.380000000000003</v>
      </c>
      <c r="BM2770" s="2">
        <v>4.53</v>
      </c>
      <c r="BN2770" s="2">
        <v>36.909999999999997</v>
      </c>
      <c r="BO2770" s="2">
        <v>36.909999999999997</v>
      </c>
      <c r="BP2770" s="2"/>
      <c r="BQ2770" s="2" t="s">
        <v>288</v>
      </c>
      <c r="BR2770" s="2" t="s">
        <v>84</v>
      </c>
      <c r="BS2770" s="3">
        <v>42971</v>
      </c>
      <c r="BT2770" s="4">
        <v>0.4375</v>
      </c>
      <c r="BU2770" s="2" t="s">
        <v>3094</v>
      </c>
      <c r="BV2770" s="2" t="s">
        <v>95</v>
      </c>
      <c r="BW2770" s="2"/>
      <c r="BX2770" s="2"/>
      <c r="BY2770" s="2">
        <v>14870.68</v>
      </c>
      <c r="BZ2770" s="2" t="s">
        <v>27</v>
      </c>
      <c r="CA2770" s="2"/>
      <c r="CB2770" s="2"/>
      <c r="CC2770" s="2" t="s">
        <v>145</v>
      </c>
      <c r="CD2770" s="2">
        <v>2091</v>
      </c>
      <c r="CE2770" s="2" t="s">
        <v>89</v>
      </c>
      <c r="CF2770" s="5">
        <v>42972</v>
      </c>
      <c r="CG2770" s="2"/>
      <c r="CH2770" s="2"/>
      <c r="CI2770" s="2">
        <v>1</v>
      </c>
      <c r="CJ2770" s="2">
        <v>1</v>
      </c>
      <c r="CK2770" s="2">
        <v>22</v>
      </c>
      <c r="CL2770" s="2" t="s">
        <v>86</v>
      </c>
      <c r="CM2770" s="2"/>
    </row>
    <row r="2771" spans="1:91">
      <c r="A2771" s="2" t="s">
        <v>71</v>
      </c>
      <c r="B2771" s="2" t="s">
        <v>72</v>
      </c>
      <c r="C2771" s="2" t="s">
        <v>73</v>
      </c>
      <c r="D2771" s="2"/>
      <c r="E2771" s="2" t="str">
        <f>"FES1162570875"</f>
        <v>FES1162570875</v>
      </c>
      <c r="F2771" s="3">
        <v>42970</v>
      </c>
      <c r="G2771" s="2">
        <v>201802</v>
      </c>
      <c r="H2771" s="2" t="s">
        <v>74</v>
      </c>
      <c r="I2771" s="2" t="s">
        <v>75</v>
      </c>
      <c r="J2771" s="2" t="s">
        <v>76</v>
      </c>
      <c r="K2771" s="2" t="s">
        <v>77</v>
      </c>
      <c r="L2771" s="2" t="s">
        <v>144</v>
      </c>
      <c r="M2771" s="2" t="s">
        <v>145</v>
      </c>
      <c r="N2771" s="2" t="s">
        <v>1784</v>
      </c>
      <c r="O2771" s="2" t="s">
        <v>100</v>
      </c>
      <c r="P2771" s="2" t="str">
        <f>"2170584275                    "</f>
        <v xml:space="preserve">2170584275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3.13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1</v>
      </c>
      <c r="BJ2771" s="2">
        <v>1.9</v>
      </c>
      <c r="BK2771" s="2">
        <v>2</v>
      </c>
      <c r="BL2771" s="2">
        <v>32.380000000000003</v>
      </c>
      <c r="BM2771" s="2">
        <v>4.53</v>
      </c>
      <c r="BN2771" s="2">
        <v>36.909999999999997</v>
      </c>
      <c r="BO2771" s="2">
        <v>36.909999999999997</v>
      </c>
      <c r="BP2771" s="2"/>
      <c r="BQ2771" s="2" t="s">
        <v>288</v>
      </c>
      <c r="BR2771" s="2" t="s">
        <v>84</v>
      </c>
      <c r="BS2771" s="3">
        <v>42971</v>
      </c>
      <c r="BT2771" s="4">
        <v>0.3527777777777778</v>
      </c>
      <c r="BU2771" s="2" t="s">
        <v>3095</v>
      </c>
      <c r="BV2771" s="2" t="s">
        <v>95</v>
      </c>
      <c r="BW2771" s="2"/>
      <c r="BX2771" s="2"/>
      <c r="BY2771" s="2">
        <v>9447.7199999999993</v>
      </c>
      <c r="BZ2771" s="2" t="s">
        <v>27</v>
      </c>
      <c r="CA2771" s="2" t="s">
        <v>729</v>
      </c>
      <c r="CB2771" s="2"/>
      <c r="CC2771" s="2" t="s">
        <v>145</v>
      </c>
      <c r="CD2771" s="2">
        <v>2094</v>
      </c>
      <c r="CE2771" s="2" t="s">
        <v>89</v>
      </c>
      <c r="CF2771" s="5">
        <v>42972</v>
      </c>
      <c r="CG2771" s="2"/>
      <c r="CH2771" s="2"/>
      <c r="CI2771" s="2">
        <v>1</v>
      </c>
      <c r="CJ2771" s="2">
        <v>1</v>
      </c>
      <c r="CK2771" s="2">
        <v>22</v>
      </c>
      <c r="CL2771" s="2" t="s">
        <v>86</v>
      </c>
      <c r="CM2771" s="2"/>
    </row>
    <row r="2772" spans="1:91">
      <c r="A2772" s="2" t="s">
        <v>71</v>
      </c>
      <c r="B2772" s="2" t="s">
        <v>72</v>
      </c>
      <c r="C2772" s="2" t="s">
        <v>73</v>
      </c>
      <c r="D2772" s="2"/>
      <c r="E2772" s="2" t="str">
        <f>"FES1162570957"</f>
        <v>FES1162570957</v>
      </c>
      <c r="F2772" s="3">
        <v>42970</v>
      </c>
      <c r="G2772" s="2">
        <v>201802</v>
      </c>
      <c r="H2772" s="2" t="s">
        <v>74</v>
      </c>
      <c r="I2772" s="2" t="s">
        <v>75</v>
      </c>
      <c r="J2772" s="2" t="s">
        <v>76</v>
      </c>
      <c r="K2772" s="2" t="s">
        <v>77</v>
      </c>
      <c r="L2772" s="2" t="s">
        <v>105</v>
      </c>
      <c r="M2772" s="2" t="s">
        <v>106</v>
      </c>
      <c r="N2772" s="2" t="s">
        <v>1306</v>
      </c>
      <c r="O2772" s="2" t="s">
        <v>100</v>
      </c>
      <c r="P2772" s="2" t="str">
        <f>"2170586242                    "</f>
        <v xml:space="preserve">2170586242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4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1</v>
      </c>
      <c r="BI2772" s="2">
        <v>2</v>
      </c>
      <c r="BJ2772" s="2">
        <v>0.2</v>
      </c>
      <c r="BK2772" s="2">
        <v>2</v>
      </c>
      <c r="BL2772" s="2">
        <v>41.44</v>
      </c>
      <c r="BM2772" s="2">
        <v>5.8</v>
      </c>
      <c r="BN2772" s="2">
        <v>47.24</v>
      </c>
      <c r="BO2772" s="2">
        <v>47.24</v>
      </c>
      <c r="BP2772" s="2"/>
      <c r="BQ2772" s="2" t="s">
        <v>209</v>
      </c>
      <c r="BR2772" s="2" t="s">
        <v>84</v>
      </c>
      <c r="BS2772" s="3">
        <v>42971</v>
      </c>
      <c r="BT2772" s="4">
        <v>0.37013888888888885</v>
      </c>
      <c r="BU2772" s="2" t="s">
        <v>3096</v>
      </c>
      <c r="BV2772" s="2" t="s">
        <v>95</v>
      </c>
      <c r="BW2772" s="2"/>
      <c r="BX2772" s="2"/>
      <c r="BY2772" s="2">
        <v>1200</v>
      </c>
      <c r="BZ2772" s="2" t="s">
        <v>27</v>
      </c>
      <c r="CA2772" s="2" t="s">
        <v>1308</v>
      </c>
      <c r="CB2772" s="2"/>
      <c r="CC2772" s="2" t="s">
        <v>106</v>
      </c>
      <c r="CD2772" s="2">
        <v>7441</v>
      </c>
      <c r="CE2772" s="2" t="s">
        <v>104</v>
      </c>
      <c r="CF2772" s="5">
        <v>42972</v>
      </c>
      <c r="CG2772" s="2"/>
      <c r="CH2772" s="2"/>
      <c r="CI2772" s="2">
        <v>1</v>
      </c>
      <c r="CJ2772" s="2">
        <v>1</v>
      </c>
      <c r="CK2772" s="2">
        <v>21</v>
      </c>
      <c r="CL2772" s="2" t="s">
        <v>86</v>
      </c>
      <c r="CM2772" s="2"/>
    </row>
    <row r="2773" spans="1:91">
      <c r="A2773" s="2" t="s">
        <v>71</v>
      </c>
      <c r="B2773" s="2" t="s">
        <v>72</v>
      </c>
      <c r="C2773" s="2" t="s">
        <v>73</v>
      </c>
      <c r="D2773" s="2"/>
      <c r="E2773" s="2" t="str">
        <f>"FES1162570958"</f>
        <v>FES1162570958</v>
      </c>
      <c r="F2773" s="3">
        <v>42970</v>
      </c>
      <c r="G2773" s="2">
        <v>201802</v>
      </c>
      <c r="H2773" s="2" t="s">
        <v>74</v>
      </c>
      <c r="I2773" s="2" t="s">
        <v>75</v>
      </c>
      <c r="J2773" s="2" t="s">
        <v>76</v>
      </c>
      <c r="K2773" s="2" t="s">
        <v>77</v>
      </c>
      <c r="L2773" s="2" t="s">
        <v>417</v>
      </c>
      <c r="M2773" s="2" t="s">
        <v>417</v>
      </c>
      <c r="N2773" s="2" t="s">
        <v>2774</v>
      </c>
      <c r="O2773" s="2" t="s">
        <v>100</v>
      </c>
      <c r="P2773" s="2" t="str">
        <f>"2170586308                    "</f>
        <v xml:space="preserve">2170586308  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4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1</v>
      </c>
      <c r="BJ2773" s="2">
        <v>0.2</v>
      </c>
      <c r="BK2773" s="2">
        <v>1</v>
      </c>
      <c r="BL2773" s="2">
        <v>41.44</v>
      </c>
      <c r="BM2773" s="2">
        <v>5.8</v>
      </c>
      <c r="BN2773" s="2">
        <v>47.24</v>
      </c>
      <c r="BO2773" s="2">
        <v>47.24</v>
      </c>
      <c r="BP2773" s="2"/>
      <c r="BQ2773" s="2" t="s">
        <v>288</v>
      </c>
      <c r="BR2773" s="2" t="s">
        <v>84</v>
      </c>
      <c r="BS2773" s="3">
        <v>42971</v>
      </c>
      <c r="BT2773" s="4">
        <v>0.5131944444444444</v>
      </c>
      <c r="BU2773" s="2" t="s">
        <v>3097</v>
      </c>
      <c r="BV2773" s="2" t="s">
        <v>95</v>
      </c>
      <c r="BW2773" s="2"/>
      <c r="BX2773" s="2"/>
      <c r="BY2773" s="2">
        <v>1200</v>
      </c>
      <c r="BZ2773" s="2" t="s">
        <v>27</v>
      </c>
      <c r="CA2773" s="2" t="s">
        <v>420</v>
      </c>
      <c r="CB2773" s="2"/>
      <c r="CC2773" s="2" t="s">
        <v>417</v>
      </c>
      <c r="CD2773" s="2">
        <v>7646</v>
      </c>
      <c r="CE2773" s="2" t="s">
        <v>104</v>
      </c>
      <c r="CF2773" s="5">
        <v>42972</v>
      </c>
      <c r="CG2773" s="2"/>
      <c r="CH2773" s="2"/>
      <c r="CI2773" s="2">
        <v>1</v>
      </c>
      <c r="CJ2773" s="2">
        <v>1</v>
      </c>
      <c r="CK2773" s="2">
        <v>21</v>
      </c>
      <c r="CL2773" s="2" t="s">
        <v>86</v>
      </c>
      <c r="CM2773" s="2"/>
    </row>
    <row r="2774" spans="1:91">
      <c r="A2774" s="2" t="s">
        <v>71</v>
      </c>
      <c r="B2774" s="2" t="s">
        <v>72</v>
      </c>
      <c r="C2774" s="2" t="s">
        <v>73</v>
      </c>
      <c r="D2774" s="2"/>
      <c r="E2774" s="2" t="str">
        <f>"FES1162571017"</f>
        <v>FES1162571017</v>
      </c>
      <c r="F2774" s="3">
        <v>42970</v>
      </c>
      <c r="G2774" s="2">
        <v>201802</v>
      </c>
      <c r="H2774" s="2" t="s">
        <v>74</v>
      </c>
      <c r="I2774" s="2" t="s">
        <v>75</v>
      </c>
      <c r="J2774" s="2" t="s">
        <v>76</v>
      </c>
      <c r="K2774" s="2" t="s">
        <v>77</v>
      </c>
      <c r="L2774" s="2" t="s">
        <v>164</v>
      </c>
      <c r="M2774" s="2" t="s">
        <v>165</v>
      </c>
      <c r="N2774" s="2" t="s">
        <v>1191</v>
      </c>
      <c r="O2774" s="2" t="s">
        <v>100</v>
      </c>
      <c r="P2774" s="2" t="str">
        <f>"2170586692                    "</f>
        <v xml:space="preserve">2170586692 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4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1</v>
      </c>
      <c r="BJ2774" s="2">
        <v>0.2</v>
      </c>
      <c r="BK2774" s="2">
        <v>1</v>
      </c>
      <c r="BL2774" s="2">
        <v>41.44</v>
      </c>
      <c r="BM2774" s="2">
        <v>5.8</v>
      </c>
      <c r="BN2774" s="2">
        <v>47.24</v>
      </c>
      <c r="BO2774" s="2">
        <v>47.24</v>
      </c>
      <c r="BP2774" s="2"/>
      <c r="BQ2774" s="2" t="s">
        <v>288</v>
      </c>
      <c r="BR2774" s="2" t="s">
        <v>84</v>
      </c>
      <c r="BS2774" s="3">
        <v>42971</v>
      </c>
      <c r="BT2774" s="4">
        <v>0.38680555555555557</v>
      </c>
      <c r="BU2774" s="2" t="s">
        <v>3029</v>
      </c>
      <c r="BV2774" s="2" t="s">
        <v>95</v>
      </c>
      <c r="BW2774" s="2"/>
      <c r="BX2774" s="2"/>
      <c r="BY2774" s="2">
        <v>1200</v>
      </c>
      <c r="BZ2774" s="2" t="s">
        <v>27</v>
      </c>
      <c r="CA2774" s="2" t="s">
        <v>168</v>
      </c>
      <c r="CB2774" s="2"/>
      <c r="CC2774" s="2" t="s">
        <v>165</v>
      </c>
      <c r="CD2774" s="2">
        <v>6850</v>
      </c>
      <c r="CE2774" s="2" t="s">
        <v>104</v>
      </c>
      <c r="CF2774" s="5">
        <v>42972</v>
      </c>
      <c r="CG2774" s="2"/>
      <c r="CH2774" s="2"/>
      <c r="CI2774" s="2">
        <v>3</v>
      </c>
      <c r="CJ2774" s="2">
        <v>1</v>
      </c>
      <c r="CK2774" s="2">
        <v>21</v>
      </c>
      <c r="CL2774" s="2" t="s">
        <v>86</v>
      </c>
      <c r="CM2774" s="2"/>
    </row>
    <row r="2775" spans="1:91">
      <c r="A2775" s="2" t="s">
        <v>71</v>
      </c>
      <c r="B2775" s="2" t="s">
        <v>72</v>
      </c>
      <c r="C2775" s="2" t="s">
        <v>73</v>
      </c>
      <c r="D2775" s="2"/>
      <c r="E2775" s="2" t="str">
        <f>"FES1162571008"</f>
        <v>FES1162571008</v>
      </c>
      <c r="F2775" s="3">
        <v>42970</v>
      </c>
      <c r="G2775" s="2">
        <v>201802</v>
      </c>
      <c r="H2775" s="2" t="s">
        <v>74</v>
      </c>
      <c r="I2775" s="2" t="s">
        <v>75</v>
      </c>
      <c r="J2775" s="2" t="s">
        <v>76</v>
      </c>
      <c r="K2775" s="2" t="s">
        <v>77</v>
      </c>
      <c r="L2775" s="2" t="s">
        <v>149</v>
      </c>
      <c r="M2775" s="2" t="s">
        <v>150</v>
      </c>
      <c r="N2775" s="2" t="s">
        <v>1356</v>
      </c>
      <c r="O2775" s="2" t="s">
        <v>100</v>
      </c>
      <c r="P2775" s="2" t="str">
        <f>"2170586678                    "</f>
        <v xml:space="preserve">2170586678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11.01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1</v>
      </c>
      <c r="BI2775" s="2">
        <v>5.5</v>
      </c>
      <c r="BJ2775" s="2">
        <v>1.7</v>
      </c>
      <c r="BK2775" s="2">
        <v>5.5</v>
      </c>
      <c r="BL2775" s="2">
        <v>113.97</v>
      </c>
      <c r="BM2775" s="2">
        <v>15.96</v>
      </c>
      <c r="BN2775" s="2">
        <v>129.93</v>
      </c>
      <c r="BO2775" s="2">
        <v>129.93</v>
      </c>
      <c r="BP2775" s="2"/>
      <c r="BQ2775" s="2" t="s">
        <v>288</v>
      </c>
      <c r="BR2775" s="2" t="s">
        <v>84</v>
      </c>
      <c r="BS2775" s="3">
        <v>42971</v>
      </c>
      <c r="BT2775" s="4">
        <v>0.41666666666666669</v>
      </c>
      <c r="BU2775" s="2" t="s">
        <v>704</v>
      </c>
      <c r="BV2775" s="2" t="s">
        <v>95</v>
      </c>
      <c r="BW2775" s="2"/>
      <c r="BX2775" s="2"/>
      <c r="BY2775" s="2">
        <v>8741.2000000000007</v>
      </c>
      <c r="BZ2775" s="2" t="s">
        <v>27</v>
      </c>
      <c r="CA2775" s="2" t="s">
        <v>1536</v>
      </c>
      <c r="CB2775" s="2"/>
      <c r="CC2775" s="2" t="s">
        <v>150</v>
      </c>
      <c r="CD2775" s="2">
        <v>4051</v>
      </c>
      <c r="CE2775" s="2" t="s">
        <v>89</v>
      </c>
      <c r="CF2775" s="5">
        <v>42972</v>
      </c>
      <c r="CG2775" s="2"/>
      <c r="CH2775" s="2"/>
      <c r="CI2775" s="2">
        <v>1</v>
      </c>
      <c r="CJ2775" s="2">
        <v>1</v>
      </c>
      <c r="CK2775" s="2">
        <v>21</v>
      </c>
      <c r="CL2775" s="2" t="s">
        <v>86</v>
      </c>
      <c r="CM2775" s="2"/>
    </row>
    <row r="2776" spans="1:91">
      <c r="A2776" s="2" t="s">
        <v>71</v>
      </c>
      <c r="B2776" s="2" t="s">
        <v>72</v>
      </c>
      <c r="C2776" s="2" t="s">
        <v>73</v>
      </c>
      <c r="D2776" s="2"/>
      <c r="E2776" s="2" t="str">
        <f>"FES1162571007"</f>
        <v>FES1162571007</v>
      </c>
      <c r="F2776" s="3">
        <v>42970</v>
      </c>
      <c r="G2776" s="2">
        <v>201802</v>
      </c>
      <c r="H2776" s="2" t="s">
        <v>74</v>
      </c>
      <c r="I2776" s="2" t="s">
        <v>75</v>
      </c>
      <c r="J2776" s="2" t="s">
        <v>76</v>
      </c>
      <c r="K2776" s="2" t="s">
        <v>77</v>
      </c>
      <c r="L2776" s="2" t="s">
        <v>174</v>
      </c>
      <c r="M2776" s="2" t="s">
        <v>175</v>
      </c>
      <c r="N2776" s="2" t="s">
        <v>208</v>
      </c>
      <c r="O2776" s="2" t="s">
        <v>100</v>
      </c>
      <c r="P2776" s="2" t="str">
        <f>"2170586677                    "</f>
        <v xml:space="preserve">2170586677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4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1</v>
      </c>
      <c r="BI2776" s="2">
        <v>1</v>
      </c>
      <c r="BJ2776" s="2">
        <v>0.2</v>
      </c>
      <c r="BK2776" s="2">
        <v>1</v>
      </c>
      <c r="BL2776" s="2">
        <v>41.44</v>
      </c>
      <c r="BM2776" s="2">
        <v>5.8</v>
      </c>
      <c r="BN2776" s="2">
        <v>47.24</v>
      </c>
      <c r="BO2776" s="2">
        <v>47.24</v>
      </c>
      <c r="BP2776" s="2"/>
      <c r="BQ2776" s="2" t="s">
        <v>108</v>
      </c>
      <c r="BR2776" s="2" t="s">
        <v>84</v>
      </c>
      <c r="BS2776" s="3">
        <v>42971</v>
      </c>
      <c r="BT2776" s="4">
        <v>0.43263888888888885</v>
      </c>
      <c r="BU2776" s="2" t="s">
        <v>3098</v>
      </c>
      <c r="BV2776" s="2" t="s">
        <v>95</v>
      </c>
      <c r="BW2776" s="2"/>
      <c r="BX2776" s="2"/>
      <c r="BY2776" s="2">
        <v>1200</v>
      </c>
      <c r="BZ2776" s="2" t="s">
        <v>27</v>
      </c>
      <c r="CA2776" s="2" t="s">
        <v>1420</v>
      </c>
      <c r="CB2776" s="2"/>
      <c r="CC2776" s="2" t="s">
        <v>175</v>
      </c>
      <c r="CD2776" s="2">
        <v>5201</v>
      </c>
      <c r="CE2776" s="2" t="s">
        <v>104</v>
      </c>
      <c r="CF2776" s="5">
        <v>42972</v>
      </c>
      <c r="CG2776" s="2"/>
      <c r="CH2776" s="2"/>
      <c r="CI2776" s="2">
        <v>1</v>
      </c>
      <c r="CJ2776" s="2">
        <v>1</v>
      </c>
      <c r="CK2776" s="2">
        <v>21</v>
      </c>
      <c r="CL2776" s="2" t="s">
        <v>86</v>
      </c>
      <c r="CM2776" s="2"/>
    </row>
    <row r="2777" spans="1:91">
      <c r="A2777" s="2" t="s">
        <v>71</v>
      </c>
      <c r="B2777" s="2" t="s">
        <v>72</v>
      </c>
      <c r="C2777" s="2" t="s">
        <v>73</v>
      </c>
      <c r="D2777" s="2"/>
      <c r="E2777" s="2" t="str">
        <f>"FES1162570723"</f>
        <v>FES1162570723</v>
      </c>
      <c r="F2777" s="3">
        <v>42970</v>
      </c>
      <c r="G2777" s="2">
        <v>201802</v>
      </c>
      <c r="H2777" s="2" t="s">
        <v>74</v>
      </c>
      <c r="I2777" s="2" t="s">
        <v>75</v>
      </c>
      <c r="J2777" s="2" t="s">
        <v>76</v>
      </c>
      <c r="K2777" s="2" t="s">
        <v>77</v>
      </c>
      <c r="L2777" s="2" t="s">
        <v>2834</v>
      </c>
      <c r="M2777" s="2" t="s">
        <v>2835</v>
      </c>
      <c r="N2777" s="2" t="s">
        <v>3099</v>
      </c>
      <c r="O2777" s="2" t="s">
        <v>100</v>
      </c>
      <c r="P2777" s="2" t="str">
        <f>"2170580752                    "</f>
        <v xml:space="preserve">2170580752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5.63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1</v>
      </c>
      <c r="BJ2777" s="2">
        <v>0.2</v>
      </c>
      <c r="BK2777" s="2">
        <v>1</v>
      </c>
      <c r="BL2777" s="2">
        <v>58.28</v>
      </c>
      <c r="BM2777" s="2">
        <v>8.16</v>
      </c>
      <c r="BN2777" s="2">
        <v>66.44</v>
      </c>
      <c r="BO2777" s="2">
        <v>66.44</v>
      </c>
      <c r="BP2777" s="2"/>
      <c r="BQ2777" s="2" t="s">
        <v>108</v>
      </c>
      <c r="BR2777" s="2" t="s">
        <v>84</v>
      </c>
      <c r="BS2777" s="3">
        <v>42971</v>
      </c>
      <c r="BT2777" s="4">
        <v>0.54166666666666663</v>
      </c>
      <c r="BU2777" s="2" t="s">
        <v>3100</v>
      </c>
      <c r="BV2777" s="2" t="s">
        <v>95</v>
      </c>
      <c r="BW2777" s="2"/>
      <c r="BX2777" s="2"/>
      <c r="BY2777" s="2">
        <v>1200</v>
      </c>
      <c r="BZ2777" s="2" t="s">
        <v>27</v>
      </c>
      <c r="CA2777" s="2"/>
      <c r="CB2777" s="2"/>
      <c r="CC2777" s="2" t="s">
        <v>2835</v>
      </c>
      <c r="CD2777" s="2">
        <v>1779</v>
      </c>
      <c r="CE2777" s="2" t="s">
        <v>104</v>
      </c>
      <c r="CF2777" s="5">
        <v>42972</v>
      </c>
      <c r="CG2777" s="2"/>
      <c r="CH2777" s="2"/>
      <c r="CI2777" s="2">
        <v>1</v>
      </c>
      <c r="CJ2777" s="2">
        <v>1</v>
      </c>
      <c r="CK2777" s="2">
        <v>24</v>
      </c>
      <c r="CL2777" s="2" t="s">
        <v>86</v>
      </c>
      <c r="CM2777" s="2"/>
    </row>
    <row r="2778" spans="1:91">
      <c r="A2778" s="2" t="s">
        <v>71</v>
      </c>
      <c r="B2778" s="2" t="s">
        <v>72</v>
      </c>
      <c r="C2778" s="2" t="s">
        <v>73</v>
      </c>
      <c r="D2778" s="2"/>
      <c r="E2778" s="2" t="str">
        <f>"FES1162570771"</f>
        <v>FES1162570771</v>
      </c>
      <c r="F2778" s="3">
        <v>42970</v>
      </c>
      <c r="G2778" s="2">
        <v>201802</v>
      </c>
      <c r="H2778" s="2" t="s">
        <v>74</v>
      </c>
      <c r="I2778" s="2" t="s">
        <v>75</v>
      </c>
      <c r="J2778" s="2" t="s">
        <v>76</v>
      </c>
      <c r="K2778" s="2" t="s">
        <v>77</v>
      </c>
      <c r="L2778" s="2" t="s">
        <v>105</v>
      </c>
      <c r="M2778" s="2" t="s">
        <v>106</v>
      </c>
      <c r="N2778" s="2" t="s">
        <v>299</v>
      </c>
      <c r="O2778" s="2" t="s">
        <v>100</v>
      </c>
      <c r="P2778" s="2" t="str">
        <f>"2170581661                    "</f>
        <v xml:space="preserve">2170581661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4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1</v>
      </c>
      <c r="BI2778" s="2">
        <v>0.3</v>
      </c>
      <c r="BJ2778" s="2">
        <v>1.3</v>
      </c>
      <c r="BK2778" s="2">
        <v>1.5</v>
      </c>
      <c r="BL2778" s="2">
        <v>41.44</v>
      </c>
      <c r="BM2778" s="2">
        <v>5.8</v>
      </c>
      <c r="BN2778" s="2">
        <v>47.24</v>
      </c>
      <c r="BO2778" s="2">
        <v>47.24</v>
      </c>
      <c r="BP2778" s="2"/>
      <c r="BQ2778" s="2" t="s">
        <v>288</v>
      </c>
      <c r="BR2778" s="2" t="s">
        <v>84</v>
      </c>
      <c r="BS2778" s="3">
        <v>42971</v>
      </c>
      <c r="BT2778" s="4">
        <v>0.33611111111111108</v>
      </c>
      <c r="BU2778" s="2" t="s">
        <v>301</v>
      </c>
      <c r="BV2778" s="2" t="s">
        <v>95</v>
      </c>
      <c r="BW2778" s="2"/>
      <c r="BX2778" s="2"/>
      <c r="BY2778" s="2">
        <v>6446.83</v>
      </c>
      <c r="BZ2778" s="2" t="s">
        <v>27</v>
      </c>
      <c r="CA2778" s="2"/>
      <c r="CB2778" s="2"/>
      <c r="CC2778" s="2" t="s">
        <v>106</v>
      </c>
      <c r="CD2778" s="2">
        <v>7500</v>
      </c>
      <c r="CE2778" s="2" t="s">
        <v>89</v>
      </c>
      <c r="CF2778" s="5">
        <v>42972</v>
      </c>
      <c r="CG2778" s="2"/>
      <c r="CH2778" s="2"/>
      <c r="CI2778" s="2">
        <v>1</v>
      </c>
      <c r="CJ2778" s="2">
        <v>1</v>
      </c>
      <c r="CK2778" s="2">
        <v>21</v>
      </c>
      <c r="CL2778" s="2" t="s">
        <v>86</v>
      </c>
      <c r="CM2778" s="2"/>
    </row>
    <row r="2779" spans="1:91">
      <c r="A2779" s="2" t="s">
        <v>71</v>
      </c>
      <c r="B2779" s="2" t="s">
        <v>72</v>
      </c>
      <c r="C2779" s="2" t="s">
        <v>73</v>
      </c>
      <c r="D2779" s="2"/>
      <c r="E2779" s="2" t="str">
        <f>"FES1162570886"</f>
        <v>FES1162570886</v>
      </c>
      <c r="F2779" s="3">
        <v>42970</v>
      </c>
      <c r="G2779" s="2">
        <v>201802</v>
      </c>
      <c r="H2779" s="2" t="s">
        <v>74</v>
      </c>
      <c r="I2779" s="2" t="s">
        <v>75</v>
      </c>
      <c r="J2779" s="2" t="s">
        <v>76</v>
      </c>
      <c r="K2779" s="2" t="s">
        <v>77</v>
      </c>
      <c r="L2779" s="2" t="s">
        <v>74</v>
      </c>
      <c r="M2779" s="2" t="s">
        <v>75</v>
      </c>
      <c r="N2779" s="2" t="s">
        <v>1815</v>
      </c>
      <c r="O2779" s="2" t="s">
        <v>100</v>
      </c>
      <c r="P2779" s="2" t="str">
        <f>"2170584403                    "</f>
        <v xml:space="preserve">2170584403 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3.13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1</v>
      </c>
      <c r="BI2779" s="2">
        <v>1</v>
      </c>
      <c r="BJ2779" s="2">
        <v>0.2</v>
      </c>
      <c r="BK2779" s="2">
        <v>1</v>
      </c>
      <c r="BL2779" s="2">
        <v>32.380000000000003</v>
      </c>
      <c r="BM2779" s="2">
        <v>4.53</v>
      </c>
      <c r="BN2779" s="2">
        <v>36.909999999999997</v>
      </c>
      <c r="BO2779" s="2">
        <v>36.909999999999997</v>
      </c>
      <c r="BP2779" s="2"/>
      <c r="BQ2779" s="2" t="s">
        <v>227</v>
      </c>
      <c r="BR2779" s="2" t="s">
        <v>84</v>
      </c>
      <c r="BS2779" s="3">
        <v>42971</v>
      </c>
      <c r="BT2779" s="4">
        <v>0.32569444444444445</v>
      </c>
      <c r="BU2779" s="2" t="s">
        <v>3101</v>
      </c>
      <c r="BV2779" s="2" t="s">
        <v>95</v>
      </c>
      <c r="BW2779" s="2"/>
      <c r="BX2779" s="2"/>
      <c r="BY2779" s="2">
        <v>1200</v>
      </c>
      <c r="BZ2779" s="2"/>
      <c r="CA2779" s="2" t="s">
        <v>328</v>
      </c>
      <c r="CB2779" s="2"/>
      <c r="CC2779" s="2" t="s">
        <v>75</v>
      </c>
      <c r="CD2779" s="2">
        <v>1601</v>
      </c>
      <c r="CE2779" s="2" t="s">
        <v>104</v>
      </c>
      <c r="CF2779" s="5">
        <v>42972</v>
      </c>
      <c r="CG2779" s="2"/>
      <c r="CH2779" s="2"/>
      <c r="CI2779" s="2">
        <v>1</v>
      </c>
      <c r="CJ2779" s="2">
        <v>1</v>
      </c>
      <c r="CK2779" s="2">
        <v>22</v>
      </c>
      <c r="CL2779" s="2" t="s">
        <v>86</v>
      </c>
      <c r="CM2779" s="2"/>
    </row>
    <row r="2780" spans="1:91">
      <c r="A2780" s="2" t="s">
        <v>71</v>
      </c>
      <c r="B2780" s="2" t="s">
        <v>72</v>
      </c>
      <c r="C2780" s="2" t="s">
        <v>73</v>
      </c>
      <c r="D2780" s="2"/>
      <c r="E2780" s="2" t="str">
        <f>"FES1162570938"</f>
        <v>FES1162570938</v>
      </c>
      <c r="F2780" s="3">
        <v>42970</v>
      </c>
      <c r="G2780" s="2">
        <v>201802</v>
      </c>
      <c r="H2780" s="2" t="s">
        <v>74</v>
      </c>
      <c r="I2780" s="2" t="s">
        <v>75</v>
      </c>
      <c r="J2780" s="2" t="s">
        <v>76</v>
      </c>
      <c r="K2780" s="2" t="s">
        <v>77</v>
      </c>
      <c r="L2780" s="2" t="s">
        <v>268</v>
      </c>
      <c r="M2780" s="2" t="s">
        <v>269</v>
      </c>
      <c r="N2780" s="2" t="s">
        <v>442</v>
      </c>
      <c r="O2780" s="2" t="s">
        <v>100</v>
      </c>
      <c r="P2780" s="2" t="str">
        <f>"2170586613                    "</f>
        <v xml:space="preserve">2170586613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4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1</v>
      </c>
      <c r="BJ2780" s="2">
        <v>0.2</v>
      </c>
      <c r="BK2780" s="2">
        <v>1</v>
      </c>
      <c r="BL2780" s="2">
        <v>41.44</v>
      </c>
      <c r="BM2780" s="2">
        <v>5.8</v>
      </c>
      <c r="BN2780" s="2">
        <v>47.24</v>
      </c>
      <c r="BO2780" s="2">
        <v>47.24</v>
      </c>
      <c r="BP2780" s="2"/>
      <c r="BQ2780" s="2" t="s">
        <v>83</v>
      </c>
      <c r="BR2780" s="2" t="s">
        <v>84</v>
      </c>
      <c r="BS2780" s="3">
        <v>42971</v>
      </c>
      <c r="BT2780" s="4">
        <v>0.39444444444444443</v>
      </c>
      <c r="BU2780" s="2" t="s">
        <v>443</v>
      </c>
      <c r="BV2780" s="2" t="s">
        <v>95</v>
      </c>
      <c r="BW2780" s="2"/>
      <c r="BX2780" s="2"/>
      <c r="BY2780" s="2">
        <v>1200</v>
      </c>
      <c r="BZ2780" s="2"/>
      <c r="CA2780" s="2" t="s">
        <v>445</v>
      </c>
      <c r="CB2780" s="2"/>
      <c r="CC2780" s="2" t="s">
        <v>269</v>
      </c>
      <c r="CD2780" s="2">
        <v>1</v>
      </c>
      <c r="CE2780" s="2" t="s">
        <v>104</v>
      </c>
      <c r="CF2780" s="5">
        <v>42972</v>
      </c>
      <c r="CG2780" s="2"/>
      <c r="CH2780" s="2"/>
      <c r="CI2780" s="2">
        <v>1</v>
      </c>
      <c r="CJ2780" s="2">
        <v>1</v>
      </c>
      <c r="CK2780" s="2">
        <v>21</v>
      </c>
      <c r="CL2780" s="2" t="s">
        <v>86</v>
      </c>
      <c r="CM2780" s="2"/>
    </row>
    <row r="2781" spans="1:91">
      <c r="A2781" s="2" t="s">
        <v>71</v>
      </c>
      <c r="B2781" s="2" t="s">
        <v>72</v>
      </c>
      <c r="C2781" s="2" t="s">
        <v>73</v>
      </c>
      <c r="D2781" s="2"/>
      <c r="E2781" s="2" t="str">
        <f>"FES1162570845"</f>
        <v>FES1162570845</v>
      </c>
      <c r="F2781" s="3">
        <v>42970</v>
      </c>
      <c r="G2781" s="2">
        <v>201802</v>
      </c>
      <c r="H2781" s="2" t="s">
        <v>74</v>
      </c>
      <c r="I2781" s="2" t="s">
        <v>75</v>
      </c>
      <c r="J2781" s="2" t="s">
        <v>76</v>
      </c>
      <c r="K2781" s="2" t="s">
        <v>77</v>
      </c>
      <c r="L2781" s="2" t="s">
        <v>268</v>
      </c>
      <c r="M2781" s="2" t="s">
        <v>269</v>
      </c>
      <c r="N2781" s="2" t="s">
        <v>303</v>
      </c>
      <c r="O2781" s="2" t="s">
        <v>100</v>
      </c>
      <c r="P2781" s="2" t="str">
        <f>"2170584475                    "</f>
        <v xml:space="preserve">2170584475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4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1</v>
      </c>
      <c r="BJ2781" s="2">
        <v>0.2</v>
      </c>
      <c r="BK2781" s="2">
        <v>1</v>
      </c>
      <c r="BL2781" s="2">
        <v>41.44</v>
      </c>
      <c r="BM2781" s="2">
        <v>5.8</v>
      </c>
      <c r="BN2781" s="2">
        <v>47.24</v>
      </c>
      <c r="BO2781" s="2">
        <v>47.24</v>
      </c>
      <c r="BP2781" s="2"/>
      <c r="BQ2781" s="2" t="s">
        <v>83</v>
      </c>
      <c r="BR2781" s="2" t="s">
        <v>84</v>
      </c>
      <c r="BS2781" s="3">
        <v>42971</v>
      </c>
      <c r="BT2781" s="4">
        <v>0.41666666666666669</v>
      </c>
      <c r="BU2781" s="2" t="s">
        <v>85</v>
      </c>
      <c r="BV2781" s="2" t="s">
        <v>95</v>
      </c>
      <c r="BW2781" s="2"/>
      <c r="BX2781" s="2"/>
      <c r="BY2781" s="2">
        <v>1200</v>
      </c>
      <c r="BZ2781" s="2"/>
      <c r="CA2781" s="2"/>
      <c r="CB2781" s="2"/>
      <c r="CC2781" s="2" t="s">
        <v>269</v>
      </c>
      <c r="CD2781" s="2">
        <v>183</v>
      </c>
      <c r="CE2781" s="2" t="s">
        <v>104</v>
      </c>
      <c r="CF2781" s="5">
        <v>42972</v>
      </c>
      <c r="CG2781" s="2"/>
      <c r="CH2781" s="2"/>
      <c r="CI2781" s="2">
        <v>1</v>
      </c>
      <c r="CJ2781" s="2">
        <v>1</v>
      </c>
      <c r="CK2781" s="2">
        <v>21</v>
      </c>
      <c r="CL2781" s="2" t="s">
        <v>86</v>
      </c>
      <c r="CM2781" s="2"/>
    </row>
    <row r="2782" spans="1:91">
      <c r="A2782" s="2" t="s">
        <v>71</v>
      </c>
      <c r="B2782" s="2" t="s">
        <v>72</v>
      </c>
      <c r="C2782" s="2" t="s">
        <v>73</v>
      </c>
      <c r="D2782" s="2"/>
      <c r="E2782" s="2" t="str">
        <f>"FES1162570761"</f>
        <v>FES1162570761</v>
      </c>
      <c r="F2782" s="3">
        <v>42970</v>
      </c>
      <c r="G2782" s="2">
        <v>201802</v>
      </c>
      <c r="H2782" s="2" t="s">
        <v>74</v>
      </c>
      <c r="I2782" s="2" t="s">
        <v>75</v>
      </c>
      <c r="J2782" s="2" t="s">
        <v>76</v>
      </c>
      <c r="K2782" s="2" t="s">
        <v>77</v>
      </c>
      <c r="L2782" s="2" t="s">
        <v>446</v>
      </c>
      <c r="M2782" s="2" t="s">
        <v>447</v>
      </c>
      <c r="N2782" s="2" t="s">
        <v>961</v>
      </c>
      <c r="O2782" s="2" t="s">
        <v>100</v>
      </c>
      <c r="P2782" s="2" t="str">
        <f>"2170586503                    "</f>
        <v xml:space="preserve">2170586503  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5.63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1.2</v>
      </c>
      <c r="BJ2782" s="2">
        <v>1</v>
      </c>
      <c r="BK2782" s="2">
        <v>1.5</v>
      </c>
      <c r="BL2782" s="2">
        <v>58.28</v>
      </c>
      <c r="BM2782" s="2">
        <v>8.16</v>
      </c>
      <c r="BN2782" s="2">
        <v>66.44</v>
      </c>
      <c r="BO2782" s="2">
        <v>66.44</v>
      </c>
      <c r="BP2782" s="2"/>
      <c r="BQ2782" s="2" t="s">
        <v>83</v>
      </c>
      <c r="BR2782" s="2" t="s">
        <v>84</v>
      </c>
      <c r="BS2782" s="3">
        <v>42971</v>
      </c>
      <c r="BT2782" s="4">
        <v>0.41666666666666669</v>
      </c>
      <c r="BU2782" s="2" t="s">
        <v>1674</v>
      </c>
      <c r="BV2782" s="2" t="s">
        <v>95</v>
      </c>
      <c r="BW2782" s="2"/>
      <c r="BX2782" s="2"/>
      <c r="BY2782" s="2">
        <v>4914.05</v>
      </c>
      <c r="BZ2782" s="2"/>
      <c r="CA2782" s="2"/>
      <c r="CB2782" s="2"/>
      <c r="CC2782" s="2" t="s">
        <v>447</v>
      </c>
      <c r="CD2782" s="2">
        <v>1759</v>
      </c>
      <c r="CE2782" s="2" t="s">
        <v>89</v>
      </c>
      <c r="CF2782" s="5">
        <v>42972</v>
      </c>
      <c r="CG2782" s="2"/>
      <c r="CH2782" s="2"/>
      <c r="CI2782" s="2">
        <v>1</v>
      </c>
      <c r="CJ2782" s="2">
        <v>1</v>
      </c>
      <c r="CK2782" s="2">
        <v>24</v>
      </c>
      <c r="CL2782" s="2" t="s">
        <v>86</v>
      </c>
      <c r="CM2782" s="2"/>
    </row>
    <row r="2783" spans="1:91">
      <c r="A2783" s="2" t="s">
        <v>71</v>
      </c>
      <c r="B2783" s="2" t="s">
        <v>72</v>
      </c>
      <c r="C2783" s="2" t="s">
        <v>73</v>
      </c>
      <c r="D2783" s="2"/>
      <c r="E2783" s="2" t="str">
        <f>"FES1162570913"</f>
        <v>FES1162570913</v>
      </c>
      <c r="F2783" s="3">
        <v>42970</v>
      </c>
      <c r="G2783" s="2">
        <v>201802</v>
      </c>
      <c r="H2783" s="2" t="s">
        <v>74</v>
      </c>
      <c r="I2783" s="2" t="s">
        <v>75</v>
      </c>
      <c r="J2783" s="2" t="s">
        <v>76</v>
      </c>
      <c r="K2783" s="2" t="s">
        <v>77</v>
      </c>
      <c r="L2783" s="2" t="s">
        <v>105</v>
      </c>
      <c r="M2783" s="2" t="s">
        <v>106</v>
      </c>
      <c r="N2783" s="2" t="s">
        <v>746</v>
      </c>
      <c r="O2783" s="2" t="s">
        <v>100</v>
      </c>
      <c r="P2783" s="2" t="str">
        <f>"2170586217                    "</f>
        <v xml:space="preserve">2170586217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4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2</v>
      </c>
      <c r="BJ2783" s="2">
        <v>0.2</v>
      </c>
      <c r="BK2783" s="2">
        <v>2</v>
      </c>
      <c r="BL2783" s="2">
        <v>41.44</v>
      </c>
      <c r="BM2783" s="2">
        <v>5.8</v>
      </c>
      <c r="BN2783" s="2">
        <v>47.24</v>
      </c>
      <c r="BO2783" s="2">
        <v>47.24</v>
      </c>
      <c r="BP2783" s="2"/>
      <c r="BQ2783" s="2" t="s">
        <v>108</v>
      </c>
      <c r="BR2783" s="2" t="s">
        <v>84</v>
      </c>
      <c r="BS2783" s="3">
        <v>42971</v>
      </c>
      <c r="BT2783" s="4">
        <v>0.35972222222222222</v>
      </c>
      <c r="BU2783" s="2" t="s">
        <v>1349</v>
      </c>
      <c r="BV2783" s="2" t="s">
        <v>95</v>
      </c>
      <c r="BW2783" s="2"/>
      <c r="BX2783" s="2"/>
      <c r="BY2783" s="2">
        <v>1200</v>
      </c>
      <c r="BZ2783" s="2"/>
      <c r="CA2783" s="2" t="s">
        <v>1308</v>
      </c>
      <c r="CB2783" s="2"/>
      <c r="CC2783" s="2" t="s">
        <v>106</v>
      </c>
      <c r="CD2783" s="2">
        <v>7441</v>
      </c>
      <c r="CE2783" s="2" t="s">
        <v>104</v>
      </c>
      <c r="CF2783" s="5">
        <v>42972</v>
      </c>
      <c r="CG2783" s="2"/>
      <c r="CH2783" s="2"/>
      <c r="CI2783" s="2">
        <v>1</v>
      </c>
      <c r="CJ2783" s="2">
        <v>1</v>
      </c>
      <c r="CK2783" s="2">
        <v>21</v>
      </c>
      <c r="CL2783" s="2" t="s">
        <v>86</v>
      </c>
      <c r="CM2783" s="2"/>
    </row>
    <row r="2784" spans="1:91">
      <c r="A2784" s="2" t="s">
        <v>71</v>
      </c>
      <c r="B2784" s="2" t="s">
        <v>72</v>
      </c>
      <c r="C2784" s="2" t="s">
        <v>73</v>
      </c>
      <c r="D2784" s="2"/>
      <c r="E2784" s="2" t="str">
        <f>"FES1162570945"</f>
        <v>FES1162570945</v>
      </c>
      <c r="F2784" s="3">
        <v>42970</v>
      </c>
      <c r="G2784" s="2">
        <v>201802</v>
      </c>
      <c r="H2784" s="2" t="s">
        <v>74</v>
      </c>
      <c r="I2784" s="2" t="s">
        <v>75</v>
      </c>
      <c r="J2784" s="2" t="s">
        <v>76</v>
      </c>
      <c r="K2784" s="2" t="s">
        <v>77</v>
      </c>
      <c r="L2784" s="2" t="s">
        <v>2054</v>
      </c>
      <c r="M2784" s="2" t="s">
        <v>2055</v>
      </c>
      <c r="N2784" s="2" t="s">
        <v>2056</v>
      </c>
      <c r="O2784" s="2" t="s">
        <v>100</v>
      </c>
      <c r="P2784" s="2" t="str">
        <f>"2170586617                    "</f>
        <v xml:space="preserve">2170586617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4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1</v>
      </c>
      <c r="BJ2784" s="2">
        <v>0.2</v>
      </c>
      <c r="BK2784" s="2">
        <v>1</v>
      </c>
      <c r="BL2784" s="2">
        <v>41.44</v>
      </c>
      <c r="BM2784" s="2">
        <v>5.8</v>
      </c>
      <c r="BN2784" s="2">
        <v>47.24</v>
      </c>
      <c r="BO2784" s="2">
        <v>47.24</v>
      </c>
      <c r="BP2784" s="2"/>
      <c r="BQ2784" s="2" t="s">
        <v>227</v>
      </c>
      <c r="BR2784" s="2" t="s">
        <v>84</v>
      </c>
      <c r="BS2784" s="3">
        <v>42972</v>
      </c>
      <c r="BT2784" s="4">
        <v>0.56597222222222221</v>
      </c>
      <c r="BU2784" s="2" t="s">
        <v>966</v>
      </c>
      <c r="BV2784" s="2" t="s">
        <v>86</v>
      </c>
      <c r="BW2784" s="2"/>
      <c r="BX2784" s="2"/>
      <c r="BY2784" s="2">
        <v>1200</v>
      </c>
      <c r="BZ2784" s="2"/>
      <c r="CA2784" s="2" t="s">
        <v>668</v>
      </c>
      <c r="CB2784" s="2"/>
      <c r="CC2784" s="2" t="s">
        <v>2055</v>
      </c>
      <c r="CD2784" s="2">
        <v>3760</v>
      </c>
      <c r="CE2784" s="2" t="s">
        <v>104</v>
      </c>
      <c r="CF2784" s="5">
        <v>42976</v>
      </c>
      <c r="CG2784" s="2"/>
      <c r="CH2784" s="2"/>
      <c r="CI2784" s="2">
        <v>1</v>
      </c>
      <c r="CJ2784" s="2">
        <v>2</v>
      </c>
      <c r="CK2784" s="2">
        <v>21</v>
      </c>
      <c r="CL2784" s="2" t="s">
        <v>86</v>
      </c>
      <c r="CM2784" s="2"/>
    </row>
    <row r="2785" spans="1:91">
      <c r="A2785" s="2" t="s">
        <v>71</v>
      </c>
      <c r="B2785" s="2" t="s">
        <v>72</v>
      </c>
      <c r="C2785" s="2" t="s">
        <v>73</v>
      </c>
      <c r="D2785" s="2"/>
      <c r="E2785" s="2" t="str">
        <f>"FES1162570925"</f>
        <v>FES1162570925</v>
      </c>
      <c r="F2785" s="3">
        <v>42970</v>
      </c>
      <c r="G2785" s="2">
        <v>201802</v>
      </c>
      <c r="H2785" s="2" t="s">
        <v>74</v>
      </c>
      <c r="I2785" s="2" t="s">
        <v>75</v>
      </c>
      <c r="J2785" s="2" t="s">
        <v>76</v>
      </c>
      <c r="K2785" s="2" t="s">
        <v>77</v>
      </c>
      <c r="L2785" s="2" t="s">
        <v>216</v>
      </c>
      <c r="M2785" s="2" t="s">
        <v>217</v>
      </c>
      <c r="N2785" s="2" t="s">
        <v>1501</v>
      </c>
      <c r="O2785" s="2" t="s">
        <v>100</v>
      </c>
      <c r="P2785" s="2" t="str">
        <f>"2170586600                    "</f>
        <v xml:space="preserve">2170586600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3.13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1</v>
      </c>
      <c r="BI2785" s="2">
        <v>1</v>
      </c>
      <c r="BJ2785" s="2">
        <v>0.2</v>
      </c>
      <c r="BK2785" s="2">
        <v>1</v>
      </c>
      <c r="BL2785" s="2">
        <v>32.380000000000003</v>
      </c>
      <c r="BM2785" s="2">
        <v>4.53</v>
      </c>
      <c r="BN2785" s="2">
        <v>36.909999999999997</v>
      </c>
      <c r="BO2785" s="2">
        <v>36.909999999999997</v>
      </c>
      <c r="BP2785" s="2"/>
      <c r="BQ2785" s="2" t="s">
        <v>83</v>
      </c>
      <c r="BR2785" s="2" t="s">
        <v>84</v>
      </c>
      <c r="BS2785" s="3">
        <v>42971</v>
      </c>
      <c r="BT2785" s="4">
        <v>0.4375</v>
      </c>
      <c r="BU2785" s="2" t="s">
        <v>3102</v>
      </c>
      <c r="BV2785" s="2" t="s">
        <v>95</v>
      </c>
      <c r="BW2785" s="2"/>
      <c r="BX2785" s="2"/>
      <c r="BY2785" s="2">
        <v>1200</v>
      </c>
      <c r="BZ2785" s="2"/>
      <c r="CA2785" s="2" t="s">
        <v>220</v>
      </c>
      <c r="CB2785" s="2"/>
      <c r="CC2785" s="2" t="s">
        <v>217</v>
      </c>
      <c r="CD2785" s="2">
        <v>1451</v>
      </c>
      <c r="CE2785" s="2" t="s">
        <v>104</v>
      </c>
      <c r="CF2785" s="5">
        <v>42972</v>
      </c>
      <c r="CG2785" s="2"/>
      <c r="CH2785" s="2"/>
      <c r="CI2785" s="2">
        <v>1</v>
      </c>
      <c r="CJ2785" s="2">
        <v>1</v>
      </c>
      <c r="CK2785" s="2">
        <v>22</v>
      </c>
      <c r="CL2785" s="2" t="s">
        <v>86</v>
      </c>
      <c r="CM2785" s="2"/>
    </row>
    <row r="2786" spans="1:91">
      <c r="A2786" s="2" t="s">
        <v>71</v>
      </c>
      <c r="B2786" s="2" t="s">
        <v>72</v>
      </c>
      <c r="C2786" s="2" t="s">
        <v>73</v>
      </c>
      <c r="D2786" s="2"/>
      <c r="E2786" s="2" t="str">
        <f>"FES1162570944"</f>
        <v>FES1162570944</v>
      </c>
      <c r="F2786" s="3">
        <v>42970</v>
      </c>
      <c r="G2786" s="2">
        <v>201802</v>
      </c>
      <c r="H2786" s="2" t="s">
        <v>74</v>
      </c>
      <c r="I2786" s="2" t="s">
        <v>75</v>
      </c>
      <c r="J2786" s="2" t="s">
        <v>76</v>
      </c>
      <c r="K2786" s="2" t="s">
        <v>77</v>
      </c>
      <c r="L2786" s="2" t="s">
        <v>144</v>
      </c>
      <c r="M2786" s="2" t="s">
        <v>145</v>
      </c>
      <c r="N2786" s="2" t="s">
        <v>3103</v>
      </c>
      <c r="O2786" s="2" t="s">
        <v>100</v>
      </c>
      <c r="P2786" s="2" t="str">
        <f>"2170586616                    "</f>
        <v xml:space="preserve">2170586616 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3.13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1</v>
      </c>
      <c r="BJ2786" s="2">
        <v>0.2</v>
      </c>
      <c r="BK2786" s="2">
        <v>1</v>
      </c>
      <c r="BL2786" s="2">
        <v>32.380000000000003</v>
      </c>
      <c r="BM2786" s="2">
        <v>4.53</v>
      </c>
      <c r="BN2786" s="2">
        <v>36.909999999999997</v>
      </c>
      <c r="BO2786" s="2">
        <v>36.909999999999997</v>
      </c>
      <c r="BP2786" s="2"/>
      <c r="BQ2786" s="2" t="s">
        <v>83</v>
      </c>
      <c r="BR2786" s="2" t="s">
        <v>84</v>
      </c>
      <c r="BS2786" s="3">
        <v>42971</v>
      </c>
      <c r="BT2786" s="4">
        <v>0.54097222222222219</v>
      </c>
      <c r="BU2786" s="2" t="s">
        <v>1360</v>
      </c>
      <c r="BV2786" s="2" t="s">
        <v>86</v>
      </c>
      <c r="BW2786" s="2" t="s">
        <v>124</v>
      </c>
      <c r="BX2786" s="2" t="s">
        <v>1024</v>
      </c>
      <c r="BY2786" s="2">
        <v>1200</v>
      </c>
      <c r="BZ2786" s="2"/>
      <c r="CA2786" s="2"/>
      <c r="CB2786" s="2"/>
      <c r="CC2786" s="2" t="s">
        <v>145</v>
      </c>
      <c r="CD2786" s="2">
        <v>2093</v>
      </c>
      <c r="CE2786" s="2" t="s">
        <v>104</v>
      </c>
      <c r="CF2786" s="5">
        <v>42972</v>
      </c>
      <c r="CG2786" s="2"/>
      <c r="CH2786" s="2"/>
      <c r="CI2786" s="2">
        <v>1</v>
      </c>
      <c r="CJ2786" s="2">
        <v>1</v>
      </c>
      <c r="CK2786" s="2">
        <v>22</v>
      </c>
      <c r="CL2786" s="2" t="s">
        <v>86</v>
      </c>
      <c r="CM2786" s="2"/>
    </row>
    <row r="2787" spans="1:91">
      <c r="A2787" s="2" t="s">
        <v>71</v>
      </c>
      <c r="B2787" s="2" t="s">
        <v>72</v>
      </c>
      <c r="C2787" s="2" t="s">
        <v>73</v>
      </c>
      <c r="D2787" s="2"/>
      <c r="E2787" s="2" t="str">
        <f>"FES1162570954"</f>
        <v>FES1162570954</v>
      </c>
      <c r="F2787" s="3">
        <v>42970</v>
      </c>
      <c r="G2787" s="2">
        <v>201802</v>
      </c>
      <c r="H2787" s="2" t="s">
        <v>74</v>
      </c>
      <c r="I2787" s="2" t="s">
        <v>75</v>
      </c>
      <c r="J2787" s="2" t="s">
        <v>76</v>
      </c>
      <c r="K2787" s="2" t="s">
        <v>77</v>
      </c>
      <c r="L2787" s="2" t="s">
        <v>144</v>
      </c>
      <c r="M2787" s="2" t="s">
        <v>145</v>
      </c>
      <c r="N2787" s="2" t="s">
        <v>282</v>
      </c>
      <c r="O2787" s="2" t="s">
        <v>100</v>
      </c>
      <c r="P2787" s="2" t="str">
        <f>"2170586629                    "</f>
        <v xml:space="preserve">2170586629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3.13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1</v>
      </c>
      <c r="BI2787" s="2">
        <v>1</v>
      </c>
      <c r="BJ2787" s="2">
        <v>0.2</v>
      </c>
      <c r="BK2787" s="2">
        <v>1</v>
      </c>
      <c r="BL2787" s="2">
        <v>32.380000000000003</v>
      </c>
      <c r="BM2787" s="2">
        <v>4.53</v>
      </c>
      <c r="BN2787" s="2">
        <v>36.909999999999997</v>
      </c>
      <c r="BO2787" s="2">
        <v>36.909999999999997</v>
      </c>
      <c r="BP2787" s="2"/>
      <c r="BQ2787" s="2" t="s">
        <v>83</v>
      </c>
      <c r="BR2787" s="2" t="s">
        <v>84</v>
      </c>
      <c r="BS2787" s="3">
        <v>42971</v>
      </c>
      <c r="BT2787" s="4">
        <v>0.3263888888888889</v>
      </c>
      <c r="BU2787" s="2" t="s">
        <v>3069</v>
      </c>
      <c r="BV2787" s="2" t="s">
        <v>95</v>
      </c>
      <c r="BW2787" s="2"/>
      <c r="BX2787" s="2"/>
      <c r="BY2787" s="2">
        <v>1200</v>
      </c>
      <c r="BZ2787" s="2"/>
      <c r="CA2787" s="2" t="s">
        <v>1238</v>
      </c>
      <c r="CB2787" s="2"/>
      <c r="CC2787" s="2" t="s">
        <v>145</v>
      </c>
      <c r="CD2787" s="2">
        <v>2094</v>
      </c>
      <c r="CE2787" s="2" t="s">
        <v>104</v>
      </c>
      <c r="CF2787" s="5">
        <v>42972</v>
      </c>
      <c r="CG2787" s="2"/>
      <c r="CH2787" s="2"/>
      <c r="CI2787" s="2">
        <v>1</v>
      </c>
      <c r="CJ2787" s="2">
        <v>1</v>
      </c>
      <c r="CK2787" s="2">
        <v>22</v>
      </c>
      <c r="CL2787" s="2" t="s">
        <v>86</v>
      </c>
      <c r="CM2787" s="2"/>
    </row>
    <row r="2788" spans="1:91">
      <c r="A2788" s="2" t="s">
        <v>71</v>
      </c>
      <c r="B2788" s="2" t="s">
        <v>72</v>
      </c>
      <c r="C2788" s="2" t="s">
        <v>73</v>
      </c>
      <c r="D2788" s="2"/>
      <c r="E2788" s="2" t="str">
        <f>"FES1162570867"</f>
        <v>FES1162570867</v>
      </c>
      <c r="F2788" s="3">
        <v>42970</v>
      </c>
      <c r="G2788" s="2">
        <v>201802</v>
      </c>
      <c r="H2788" s="2" t="s">
        <v>74</v>
      </c>
      <c r="I2788" s="2" t="s">
        <v>75</v>
      </c>
      <c r="J2788" s="2" t="s">
        <v>76</v>
      </c>
      <c r="K2788" s="2" t="s">
        <v>77</v>
      </c>
      <c r="L2788" s="2" t="s">
        <v>170</v>
      </c>
      <c r="M2788" s="2" t="s">
        <v>171</v>
      </c>
      <c r="N2788" s="2" t="s">
        <v>2222</v>
      </c>
      <c r="O2788" s="2" t="s">
        <v>100</v>
      </c>
      <c r="P2788" s="2" t="str">
        <f>"2170574759                    "</f>
        <v xml:space="preserve">2170574759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3.13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1</v>
      </c>
      <c r="BJ2788" s="2">
        <v>0.2</v>
      </c>
      <c r="BK2788" s="2">
        <v>1</v>
      </c>
      <c r="BL2788" s="2">
        <v>32.380000000000003</v>
      </c>
      <c r="BM2788" s="2">
        <v>4.53</v>
      </c>
      <c r="BN2788" s="2">
        <v>36.909999999999997</v>
      </c>
      <c r="BO2788" s="2">
        <v>36.909999999999997</v>
      </c>
      <c r="BP2788" s="2"/>
      <c r="BQ2788" s="2" t="s">
        <v>227</v>
      </c>
      <c r="BR2788" s="2" t="s">
        <v>84</v>
      </c>
      <c r="BS2788" s="3">
        <v>42971</v>
      </c>
      <c r="BT2788" s="4">
        <v>0.33124999999999999</v>
      </c>
      <c r="BU2788" s="2" t="s">
        <v>560</v>
      </c>
      <c r="BV2788" s="2" t="s">
        <v>95</v>
      </c>
      <c r="BW2788" s="2"/>
      <c r="BX2788" s="2"/>
      <c r="BY2788" s="2">
        <v>1200</v>
      </c>
      <c r="BZ2788" s="2"/>
      <c r="CA2788" s="2" t="s">
        <v>960</v>
      </c>
      <c r="CB2788" s="2"/>
      <c r="CC2788" s="2" t="s">
        <v>171</v>
      </c>
      <c r="CD2788" s="2">
        <v>1401</v>
      </c>
      <c r="CE2788" s="2" t="s">
        <v>104</v>
      </c>
      <c r="CF2788" s="5">
        <v>42972</v>
      </c>
      <c r="CG2788" s="2"/>
      <c r="CH2788" s="2"/>
      <c r="CI2788" s="2">
        <v>1</v>
      </c>
      <c r="CJ2788" s="2">
        <v>1</v>
      </c>
      <c r="CK2788" s="2">
        <v>22</v>
      </c>
      <c r="CL2788" s="2" t="s">
        <v>86</v>
      </c>
      <c r="CM2788" s="2"/>
    </row>
    <row r="2789" spans="1:91">
      <c r="A2789" s="2" t="s">
        <v>71</v>
      </c>
      <c r="B2789" s="2" t="s">
        <v>72</v>
      </c>
      <c r="C2789" s="2" t="s">
        <v>73</v>
      </c>
      <c r="D2789" s="2"/>
      <c r="E2789" s="2" t="str">
        <f>"FES1162570987"</f>
        <v>FES1162570987</v>
      </c>
      <c r="F2789" s="3">
        <v>42970</v>
      </c>
      <c r="G2789" s="2">
        <v>201802</v>
      </c>
      <c r="H2789" s="2" t="s">
        <v>74</v>
      </c>
      <c r="I2789" s="2" t="s">
        <v>75</v>
      </c>
      <c r="J2789" s="2" t="s">
        <v>76</v>
      </c>
      <c r="K2789" s="2" t="s">
        <v>77</v>
      </c>
      <c r="L2789" s="2" t="s">
        <v>244</v>
      </c>
      <c r="M2789" s="2" t="s">
        <v>245</v>
      </c>
      <c r="N2789" s="2" t="s">
        <v>581</v>
      </c>
      <c r="O2789" s="2" t="s">
        <v>100</v>
      </c>
      <c r="P2789" s="2" t="str">
        <f>"2170586664                    "</f>
        <v xml:space="preserve">2170586664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3.13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1</v>
      </c>
      <c r="BI2789" s="2">
        <v>1</v>
      </c>
      <c r="BJ2789" s="2">
        <v>0.2</v>
      </c>
      <c r="BK2789" s="2">
        <v>1</v>
      </c>
      <c r="BL2789" s="2">
        <v>32.380000000000003</v>
      </c>
      <c r="BM2789" s="2">
        <v>4.53</v>
      </c>
      <c r="BN2789" s="2">
        <v>36.909999999999997</v>
      </c>
      <c r="BO2789" s="2">
        <v>36.909999999999997</v>
      </c>
      <c r="BP2789" s="2"/>
      <c r="BQ2789" s="2" t="s">
        <v>209</v>
      </c>
      <c r="BR2789" s="2" t="s">
        <v>84</v>
      </c>
      <c r="BS2789" s="3">
        <v>42971</v>
      </c>
      <c r="BT2789" s="4">
        <v>0.33333333333333331</v>
      </c>
      <c r="BU2789" s="2" t="s">
        <v>1129</v>
      </c>
      <c r="BV2789" s="2" t="s">
        <v>95</v>
      </c>
      <c r="BW2789" s="2"/>
      <c r="BX2789" s="2"/>
      <c r="BY2789" s="2">
        <v>1200</v>
      </c>
      <c r="BZ2789" s="2"/>
      <c r="CA2789" s="2" t="s">
        <v>499</v>
      </c>
      <c r="CB2789" s="2"/>
      <c r="CC2789" s="2" t="s">
        <v>245</v>
      </c>
      <c r="CD2789" s="2">
        <v>1459</v>
      </c>
      <c r="CE2789" s="2" t="s">
        <v>104</v>
      </c>
      <c r="CF2789" s="5">
        <v>42972</v>
      </c>
      <c r="CG2789" s="2"/>
      <c r="CH2789" s="2"/>
      <c r="CI2789" s="2">
        <v>1</v>
      </c>
      <c r="CJ2789" s="2">
        <v>1</v>
      </c>
      <c r="CK2789" s="2">
        <v>22</v>
      </c>
      <c r="CL2789" s="2" t="s">
        <v>86</v>
      </c>
      <c r="CM2789" s="2"/>
    </row>
    <row r="2790" spans="1:91">
      <c r="A2790" s="2" t="s">
        <v>71</v>
      </c>
      <c r="B2790" s="2" t="s">
        <v>72</v>
      </c>
      <c r="C2790" s="2" t="s">
        <v>73</v>
      </c>
      <c r="D2790" s="2"/>
      <c r="E2790" s="2" t="str">
        <f>"FES1162570963"</f>
        <v>FES1162570963</v>
      </c>
      <c r="F2790" s="3">
        <v>42970</v>
      </c>
      <c r="G2790" s="2">
        <v>201802</v>
      </c>
      <c r="H2790" s="2" t="s">
        <v>74</v>
      </c>
      <c r="I2790" s="2" t="s">
        <v>75</v>
      </c>
      <c r="J2790" s="2" t="s">
        <v>76</v>
      </c>
      <c r="K2790" s="2" t="s">
        <v>77</v>
      </c>
      <c r="L2790" s="2" t="s">
        <v>74</v>
      </c>
      <c r="M2790" s="2" t="s">
        <v>75</v>
      </c>
      <c r="N2790" s="2" t="s">
        <v>454</v>
      </c>
      <c r="O2790" s="2" t="s">
        <v>100</v>
      </c>
      <c r="P2790" s="2" t="str">
        <f>"2170586635                    "</f>
        <v xml:space="preserve">2170586635 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3.13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1</v>
      </c>
      <c r="BJ2790" s="2">
        <v>0.2</v>
      </c>
      <c r="BK2790" s="2">
        <v>1</v>
      </c>
      <c r="BL2790" s="2">
        <v>32.380000000000003</v>
      </c>
      <c r="BM2790" s="2">
        <v>4.53</v>
      </c>
      <c r="BN2790" s="2">
        <v>36.909999999999997</v>
      </c>
      <c r="BO2790" s="2">
        <v>36.909999999999997</v>
      </c>
      <c r="BP2790" s="2"/>
      <c r="BQ2790" s="2" t="s">
        <v>83</v>
      </c>
      <c r="BR2790" s="2" t="s">
        <v>84</v>
      </c>
      <c r="BS2790" s="3">
        <v>42971</v>
      </c>
      <c r="BT2790" s="4">
        <v>0.33888888888888885</v>
      </c>
      <c r="BU2790" s="2" t="s">
        <v>3038</v>
      </c>
      <c r="BV2790" s="2" t="s">
        <v>95</v>
      </c>
      <c r="BW2790" s="2"/>
      <c r="BX2790" s="2"/>
      <c r="BY2790" s="2">
        <v>1200</v>
      </c>
      <c r="BZ2790" s="2"/>
      <c r="CA2790" s="2" t="s">
        <v>328</v>
      </c>
      <c r="CB2790" s="2"/>
      <c r="CC2790" s="2" t="s">
        <v>75</v>
      </c>
      <c r="CD2790" s="2">
        <v>1601</v>
      </c>
      <c r="CE2790" s="2" t="s">
        <v>104</v>
      </c>
      <c r="CF2790" s="5">
        <v>42972</v>
      </c>
      <c r="CG2790" s="2"/>
      <c r="CH2790" s="2"/>
      <c r="CI2790" s="2">
        <v>1</v>
      </c>
      <c r="CJ2790" s="2">
        <v>1</v>
      </c>
      <c r="CK2790" s="2">
        <v>22</v>
      </c>
      <c r="CL2790" s="2" t="s">
        <v>86</v>
      </c>
      <c r="CM2790" s="2"/>
    </row>
    <row r="2791" spans="1:91">
      <c r="A2791" s="2" t="s">
        <v>71</v>
      </c>
      <c r="B2791" s="2" t="s">
        <v>72</v>
      </c>
      <c r="C2791" s="2" t="s">
        <v>73</v>
      </c>
      <c r="D2791" s="2"/>
      <c r="E2791" s="2" t="str">
        <f>"FES1162570933"</f>
        <v>FES1162570933</v>
      </c>
      <c r="F2791" s="3">
        <v>42970</v>
      </c>
      <c r="G2791" s="2">
        <v>201802</v>
      </c>
      <c r="H2791" s="2" t="s">
        <v>74</v>
      </c>
      <c r="I2791" s="2" t="s">
        <v>75</v>
      </c>
      <c r="J2791" s="2" t="s">
        <v>76</v>
      </c>
      <c r="K2791" s="2" t="s">
        <v>77</v>
      </c>
      <c r="L2791" s="2" t="s">
        <v>74</v>
      </c>
      <c r="M2791" s="2" t="s">
        <v>75</v>
      </c>
      <c r="N2791" s="2" t="s">
        <v>1385</v>
      </c>
      <c r="O2791" s="2" t="s">
        <v>100</v>
      </c>
      <c r="P2791" s="2" t="str">
        <f>"2170586604                    "</f>
        <v xml:space="preserve">2170586604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3.13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1</v>
      </c>
      <c r="BJ2791" s="2">
        <v>0.2</v>
      </c>
      <c r="BK2791" s="2">
        <v>1</v>
      </c>
      <c r="BL2791" s="2">
        <v>32.380000000000003</v>
      </c>
      <c r="BM2791" s="2">
        <v>4.53</v>
      </c>
      <c r="BN2791" s="2">
        <v>36.909999999999997</v>
      </c>
      <c r="BO2791" s="2">
        <v>36.909999999999997</v>
      </c>
      <c r="BP2791" s="2"/>
      <c r="BQ2791" s="2" t="s">
        <v>227</v>
      </c>
      <c r="BR2791" s="2" t="s">
        <v>84</v>
      </c>
      <c r="BS2791" s="3">
        <v>42971</v>
      </c>
      <c r="BT2791" s="4">
        <v>0.31944444444444448</v>
      </c>
      <c r="BU2791" s="2" t="s">
        <v>1360</v>
      </c>
      <c r="BV2791" s="2" t="s">
        <v>95</v>
      </c>
      <c r="BW2791" s="2"/>
      <c r="BX2791" s="2"/>
      <c r="BY2791" s="2">
        <v>1200</v>
      </c>
      <c r="BZ2791" s="2"/>
      <c r="CA2791" s="2" t="s">
        <v>1448</v>
      </c>
      <c r="CB2791" s="2"/>
      <c r="CC2791" s="2" t="s">
        <v>75</v>
      </c>
      <c r="CD2791" s="2">
        <v>1609</v>
      </c>
      <c r="CE2791" s="2" t="s">
        <v>104</v>
      </c>
      <c r="CF2791" s="5">
        <v>42972</v>
      </c>
      <c r="CG2791" s="2"/>
      <c r="CH2791" s="2"/>
      <c r="CI2791" s="2">
        <v>1</v>
      </c>
      <c r="CJ2791" s="2">
        <v>1</v>
      </c>
      <c r="CK2791" s="2">
        <v>22</v>
      </c>
      <c r="CL2791" s="2" t="s">
        <v>86</v>
      </c>
      <c r="CM2791" s="2"/>
    </row>
    <row r="2792" spans="1:91">
      <c r="A2792" s="2" t="s">
        <v>71</v>
      </c>
      <c r="B2792" s="2" t="s">
        <v>72</v>
      </c>
      <c r="C2792" s="2" t="s">
        <v>73</v>
      </c>
      <c r="D2792" s="2"/>
      <c r="E2792" s="2" t="str">
        <f>"FES1162570932"</f>
        <v>FES1162570932</v>
      </c>
      <c r="F2792" s="3">
        <v>42970</v>
      </c>
      <c r="G2792" s="2">
        <v>201802</v>
      </c>
      <c r="H2792" s="2" t="s">
        <v>74</v>
      </c>
      <c r="I2792" s="2" t="s">
        <v>75</v>
      </c>
      <c r="J2792" s="2" t="s">
        <v>76</v>
      </c>
      <c r="K2792" s="2" t="s">
        <v>77</v>
      </c>
      <c r="L2792" s="2" t="s">
        <v>539</v>
      </c>
      <c r="M2792" s="2" t="s">
        <v>540</v>
      </c>
      <c r="N2792" s="2" t="s">
        <v>1633</v>
      </c>
      <c r="O2792" s="2" t="s">
        <v>100</v>
      </c>
      <c r="P2792" s="2" t="str">
        <f>"2170586449                    "</f>
        <v xml:space="preserve">2170586449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3.13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1</v>
      </c>
      <c r="BJ2792" s="2">
        <v>0.2</v>
      </c>
      <c r="BK2792" s="2">
        <v>1</v>
      </c>
      <c r="BL2792" s="2">
        <v>32.380000000000003</v>
      </c>
      <c r="BM2792" s="2">
        <v>4.53</v>
      </c>
      <c r="BN2792" s="2">
        <v>36.909999999999997</v>
      </c>
      <c r="BO2792" s="2">
        <v>36.909999999999997</v>
      </c>
      <c r="BP2792" s="2"/>
      <c r="BQ2792" s="2" t="s">
        <v>83</v>
      </c>
      <c r="BR2792" s="2" t="s">
        <v>84</v>
      </c>
      <c r="BS2792" s="3">
        <v>42971</v>
      </c>
      <c r="BT2792" s="4">
        <v>0.44097222222222227</v>
      </c>
      <c r="BU2792" s="2" t="s">
        <v>1634</v>
      </c>
      <c r="BV2792" s="2" t="s">
        <v>95</v>
      </c>
      <c r="BW2792" s="2"/>
      <c r="BX2792" s="2"/>
      <c r="BY2792" s="2">
        <v>1200</v>
      </c>
      <c r="BZ2792" s="2"/>
      <c r="CA2792" s="2" t="s">
        <v>722</v>
      </c>
      <c r="CB2792" s="2"/>
      <c r="CC2792" s="2" t="s">
        <v>540</v>
      </c>
      <c r="CD2792" s="2">
        <v>2170</v>
      </c>
      <c r="CE2792" s="2" t="s">
        <v>104</v>
      </c>
      <c r="CF2792" s="5">
        <v>42972</v>
      </c>
      <c r="CG2792" s="2"/>
      <c r="CH2792" s="2"/>
      <c r="CI2792" s="2">
        <v>1</v>
      </c>
      <c r="CJ2792" s="2">
        <v>1</v>
      </c>
      <c r="CK2792" s="2">
        <v>22</v>
      </c>
      <c r="CL2792" s="2" t="s">
        <v>86</v>
      </c>
      <c r="CM2792" s="2"/>
    </row>
    <row r="2793" spans="1:91">
      <c r="A2793" s="2" t="s">
        <v>71</v>
      </c>
      <c r="B2793" s="2" t="s">
        <v>72</v>
      </c>
      <c r="C2793" s="2" t="s">
        <v>73</v>
      </c>
      <c r="D2793" s="2"/>
      <c r="E2793" s="2" t="str">
        <f>"FES1162570793"</f>
        <v>FES1162570793</v>
      </c>
      <c r="F2793" s="3">
        <v>42970</v>
      </c>
      <c r="G2793" s="2">
        <v>201802</v>
      </c>
      <c r="H2793" s="2" t="s">
        <v>74</v>
      </c>
      <c r="I2793" s="2" t="s">
        <v>75</v>
      </c>
      <c r="J2793" s="2" t="s">
        <v>76</v>
      </c>
      <c r="K2793" s="2" t="s">
        <v>77</v>
      </c>
      <c r="L2793" s="2" t="s">
        <v>137</v>
      </c>
      <c r="M2793" s="2" t="s">
        <v>138</v>
      </c>
      <c r="N2793" s="2" t="s">
        <v>226</v>
      </c>
      <c r="O2793" s="2" t="s">
        <v>100</v>
      </c>
      <c r="P2793" s="2" t="str">
        <f>"2170586496                    "</f>
        <v xml:space="preserve">2170586496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4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1</v>
      </c>
      <c r="BJ2793" s="2">
        <v>0.2</v>
      </c>
      <c r="BK2793" s="2">
        <v>1</v>
      </c>
      <c r="BL2793" s="2">
        <v>41.44</v>
      </c>
      <c r="BM2793" s="2">
        <v>5.8</v>
      </c>
      <c r="BN2793" s="2">
        <v>47.24</v>
      </c>
      <c r="BO2793" s="2">
        <v>47.24</v>
      </c>
      <c r="BP2793" s="2"/>
      <c r="BQ2793" s="2" t="s">
        <v>227</v>
      </c>
      <c r="BR2793" s="2" t="s">
        <v>84</v>
      </c>
      <c r="BS2793" s="3">
        <v>42971</v>
      </c>
      <c r="BT2793" s="4">
        <v>0.35694444444444445</v>
      </c>
      <c r="BU2793" s="2" t="s">
        <v>2478</v>
      </c>
      <c r="BV2793" s="2" t="s">
        <v>95</v>
      </c>
      <c r="BW2793" s="2"/>
      <c r="BX2793" s="2"/>
      <c r="BY2793" s="2">
        <v>1200</v>
      </c>
      <c r="BZ2793" s="2"/>
      <c r="CA2793" s="2"/>
      <c r="CB2793" s="2"/>
      <c r="CC2793" s="2" t="s">
        <v>138</v>
      </c>
      <c r="CD2793" s="2">
        <v>157</v>
      </c>
      <c r="CE2793" s="2" t="s">
        <v>104</v>
      </c>
      <c r="CF2793" s="5">
        <v>42972</v>
      </c>
      <c r="CG2793" s="2"/>
      <c r="CH2793" s="2"/>
      <c r="CI2793" s="2">
        <v>1</v>
      </c>
      <c r="CJ2793" s="2">
        <v>1</v>
      </c>
      <c r="CK2793" s="2">
        <v>21</v>
      </c>
      <c r="CL2793" s="2" t="s">
        <v>86</v>
      </c>
      <c r="CM2793" s="2"/>
    </row>
    <row r="2794" spans="1:91">
      <c r="A2794" s="2" t="s">
        <v>71</v>
      </c>
      <c r="B2794" s="2" t="s">
        <v>72</v>
      </c>
      <c r="C2794" s="2" t="s">
        <v>73</v>
      </c>
      <c r="D2794" s="2"/>
      <c r="E2794" s="2" t="str">
        <f>"FES1162570912"</f>
        <v>FES1162570912</v>
      </c>
      <c r="F2794" s="3">
        <v>42970</v>
      </c>
      <c r="G2794" s="2">
        <v>201802</v>
      </c>
      <c r="H2794" s="2" t="s">
        <v>74</v>
      </c>
      <c r="I2794" s="2" t="s">
        <v>75</v>
      </c>
      <c r="J2794" s="2" t="s">
        <v>76</v>
      </c>
      <c r="K2794" s="2" t="s">
        <v>77</v>
      </c>
      <c r="L2794" s="2" t="s">
        <v>105</v>
      </c>
      <c r="M2794" s="2" t="s">
        <v>106</v>
      </c>
      <c r="N2794" s="2" t="s">
        <v>746</v>
      </c>
      <c r="O2794" s="2" t="s">
        <v>100</v>
      </c>
      <c r="P2794" s="2" t="str">
        <f>"217586216                     "</f>
        <v xml:space="preserve">217586216 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4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2</v>
      </c>
      <c r="BJ2794" s="2">
        <v>0.2</v>
      </c>
      <c r="BK2794" s="2">
        <v>2</v>
      </c>
      <c r="BL2794" s="2">
        <v>41.44</v>
      </c>
      <c r="BM2794" s="2">
        <v>5.8</v>
      </c>
      <c r="BN2794" s="2">
        <v>47.24</v>
      </c>
      <c r="BO2794" s="2">
        <v>47.24</v>
      </c>
      <c r="BP2794" s="2"/>
      <c r="BQ2794" s="2" t="s">
        <v>108</v>
      </c>
      <c r="BR2794" s="2" t="s">
        <v>84</v>
      </c>
      <c r="BS2794" s="3">
        <v>42971</v>
      </c>
      <c r="BT2794" s="4">
        <v>0.35972222222222222</v>
      </c>
      <c r="BU2794" s="2" t="s">
        <v>1349</v>
      </c>
      <c r="BV2794" s="2" t="s">
        <v>95</v>
      </c>
      <c r="BW2794" s="2"/>
      <c r="BX2794" s="2"/>
      <c r="BY2794" s="2">
        <v>1200</v>
      </c>
      <c r="BZ2794" s="2"/>
      <c r="CA2794" s="2" t="s">
        <v>1308</v>
      </c>
      <c r="CB2794" s="2"/>
      <c r="CC2794" s="2" t="s">
        <v>106</v>
      </c>
      <c r="CD2794" s="2">
        <v>7441</v>
      </c>
      <c r="CE2794" s="2" t="s">
        <v>104</v>
      </c>
      <c r="CF2794" s="5">
        <v>42972</v>
      </c>
      <c r="CG2794" s="2"/>
      <c r="CH2794" s="2"/>
      <c r="CI2794" s="2">
        <v>1</v>
      </c>
      <c r="CJ2794" s="2">
        <v>1</v>
      </c>
      <c r="CK2794" s="2">
        <v>21</v>
      </c>
      <c r="CL2794" s="2" t="s">
        <v>86</v>
      </c>
      <c r="CM2794" s="2"/>
    </row>
    <row r="2795" spans="1:91">
      <c r="A2795" s="2" t="s">
        <v>71</v>
      </c>
      <c r="B2795" s="2" t="s">
        <v>72</v>
      </c>
      <c r="C2795" s="2" t="s">
        <v>73</v>
      </c>
      <c r="D2795" s="2"/>
      <c r="E2795" s="2" t="str">
        <f>"FES1162570844"</f>
        <v>FES1162570844</v>
      </c>
      <c r="F2795" s="3">
        <v>42970</v>
      </c>
      <c r="G2795" s="2">
        <v>201802</v>
      </c>
      <c r="H2795" s="2" t="s">
        <v>74</v>
      </c>
      <c r="I2795" s="2" t="s">
        <v>75</v>
      </c>
      <c r="J2795" s="2" t="s">
        <v>76</v>
      </c>
      <c r="K2795" s="2" t="s">
        <v>77</v>
      </c>
      <c r="L2795" s="2" t="s">
        <v>268</v>
      </c>
      <c r="M2795" s="2" t="s">
        <v>269</v>
      </c>
      <c r="N2795" s="2" t="s">
        <v>493</v>
      </c>
      <c r="O2795" s="2" t="s">
        <v>100</v>
      </c>
      <c r="P2795" s="2" t="str">
        <f>"2170584446                    "</f>
        <v xml:space="preserve">2170584446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4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1</v>
      </c>
      <c r="BJ2795" s="2">
        <v>0.2</v>
      </c>
      <c r="BK2795" s="2">
        <v>1</v>
      </c>
      <c r="BL2795" s="2">
        <v>41.44</v>
      </c>
      <c r="BM2795" s="2">
        <v>5.8</v>
      </c>
      <c r="BN2795" s="2">
        <v>47.24</v>
      </c>
      <c r="BO2795" s="2">
        <v>47.24</v>
      </c>
      <c r="BP2795" s="2"/>
      <c r="BQ2795" s="2" t="s">
        <v>288</v>
      </c>
      <c r="BR2795" s="2" t="s">
        <v>84</v>
      </c>
      <c r="BS2795" s="3">
        <v>42971</v>
      </c>
      <c r="BT2795" s="4">
        <v>0.4236111111111111</v>
      </c>
      <c r="BU2795" s="2" t="s">
        <v>788</v>
      </c>
      <c r="BV2795" s="2" t="s">
        <v>95</v>
      </c>
      <c r="BW2795" s="2"/>
      <c r="BX2795" s="2"/>
      <c r="BY2795" s="2">
        <v>1200</v>
      </c>
      <c r="BZ2795" s="2"/>
      <c r="CA2795" s="2"/>
      <c r="CB2795" s="2"/>
      <c r="CC2795" s="2" t="s">
        <v>269</v>
      </c>
      <c r="CD2795" s="2">
        <v>200</v>
      </c>
      <c r="CE2795" s="2" t="s">
        <v>104</v>
      </c>
      <c r="CF2795" s="5">
        <v>42972</v>
      </c>
      <c r="CG2795" s="2"/>
      <c r="CH2795" s="2"/>
      <c r="CI2795" s="2">
        <v>1</v>
      </c>
      <c r="CJ2795" s="2">
        <v>1</v>
      </c>
      <c r="CK2795" s="2">
        <v>21</v>
      </c>
      <c r="CL2795" s="2" t="s">
        <v>86</v>
      </c>
      <c r="CM2795" s="2"/>
    </row>
    <row r="2796" spans="1:91">
      <c r="A2796" s="2" t="s">
        <v>71</v>
      </c>
      <c r="B2796" s="2" t="s">
        <v>72</v>
      </c>
      <c r="C2796" s="2" t="s">
        <v>73</v>
      </c>
      <c r="D2796" s="2"/>
      <c r="E2796" s="2" t="str">
        <f>"FES1162570734"</f>
        <v>FES1162570734</v>
      </c>
      <c r="F2796" s="3">
        <v>42970</v>
      </c>
      <c r="G2796" s="2">
        <v>201802</v>
      </c>
      <c r="H2796" s="2" t="s">
        <v>74</v>
      </c>
      <c r="I2796" s="2" t="s">
        <v>75</v>
      </c>
      <c r="J2796" s="2" t="s">
        <v>76</v>
      </c>
      <c r="K2796" s="2" t="s">
        <v>77</v>
      </c>
      <c r="L2796" s="2" t="s">
        <v>383</v>
      </c>
      <c r="M2796" s="2" t="s">
        <v>384</v>
      </c>
      <c r="N2796" s="2" t="s">
        <v>385</v>
      </c>
      <c r="O2796" s="2" t="s">
        <v>100</v>
      </c>
      <c r="P2796" s="2" t="str">
        <f>"2170584402                    "</f>
        <v xml:space="preserve">2170584402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5.63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1</v>
      </c>
      <c r="BI2796" s="2">
        <v>1</v>
      </c>
      <c r="BJ2796" s="2">
        <v>0.2</v>
      </c>
      <c r="BK2796" s="2">
        <v>1</v>
      </c>
      <c r="BL2796" s="2">
        <v>58.28</v>
      </c>
      <c r="BM2796" s="2">
        <v>8.16</v>
      </c>
      <c r="BN2796" s="2">
        <v>66.44</v>
      </c>
      <c r="BO2796" s="2">
        <v>66.44</v>
      </c>
      <c r="BP2796" s="2"/>
      <c r="BQ2796" s="2" t="s">
        <v>227</v>
      </c>
      <c r="BR2796" s="2" t="s">
        <v>84</v>
      </c>
      <c r="BS2796" s="3">
        <v>42971</v>
      </c>
      <c r="BT2796" s="4">
        <v>0.52430555555555558</v>
      </c>
      <c r="BU2796" s="2" t="s">
        <v>1249</v>
      </c>
      <c r="BV2796" s="2" t="s">
        <v>95</v>
      </c>
      <c r="BW2796" s="2"/>
      <c r="BX2796" s="2"/>
      <c r="BY2796" s="2">
        <v>1200</v>
      </c>
      <c r="BZ2796" s="2"/>
      <c r="CA2796" s="2"/>
      <c r="CB2796" s="2"/>
      <c r="CC2796" s="2" t="s">
        <v>384</v>
      </c>
      <c r="CD2796" s="2">
        <v>2210</v>
      </c>
      <c r="CE2796" s="2" t="s">
        <v>104</v>
      </c>
      <c r="CF2796" s="5">
        <v>42972</v>
      </c>
      <c r="CG2796" s="2"/>
      <c r="CH2796" s="2"/>
      <c r="CI2796" s="2">
        <v>1</v>
      </c>
      <c r="CJ2796" s="2">
        <v>1</v>
      </c>
      <c r="CK2796" s="2">
        <v>24</v>
      </c>
      <c r="CL2796" s="2" t="s">
        <v>86</v>
      </c>
      <c r="CM2796" s="2"/>
    </row>
    <row r="2797" spans="1:91">
      <c r="A2797" s="2" t="s">
        <v>71</v>
      </c>
      <c r="B2797" s="2" t="s">
        <v>72</v>
      </c>
      <c r="C2797" s="2" t="s">
        <v>73</v>
      </c>
      <c r="D2797" s="2"/>
      <c r="E2797" s="2" t="str">
        <f>"FES1162570996"</f>
        <v>FES1162570996</v>
      </c>
      <c r="F2797" s="3">
        <v>42970</v>
      </c>
      <c r="G2797" s="2">
        <v>201802</v>
      </c>
      <c r="H2797" s="2" t="s">
        <v>74</v>
      </c>
      <c r="I2797" s="2" t="s">
        <v>75</v>
      </c>
      <c r="J2797" s="2" t="s">
        <v>76</v>
      </c>
      <c r="K2797" s="2" t="s">
        <v>77</v>
      </c>
      <c r="L2797" s="2" t="s">
        <v>362</v>
      </c>
      <c r="M2797" s="2" t="s">
        <v>363</v>
      </c>
      <c r="N2797" s="2" t="s">
        <v>2959</v>
      </c>
      <c r="O2797" s="2" t="s">
        <v>100</v>
      </c>
      <c r="P2797" s="2" t="str">
        <f>"2170586441                    "</f>
        <v xml:space="preserve">2170586441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8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3.9</v>
      </c>
      <c r="BJ2797" s="2">
        <v>1.9</v>
      </c>
      <c r="BK2797" s="2">
        <v>4</v>
      </c>
      <c r="BL2797" s="2">
        <v>82.88</v>
      </c>
      <c r="BM2797" s="2">
        <v>11.6</v>
      </c>
      <c r="BN2797" s="2">
        <v>94.48</v>
      </c>
      <c r="BO2797" s="2">
        <v>94.48</v>
      </c>
      <c r="BP2797" s="2"/>
      <c r="BQ2797" s="2" t="s">
        <v>288</v>
      </c>
      <c r="BR2797" s="2" t="s">
        <v>84</v>
      </c>
      <c r="BS2797" s="3">
        <v>42971</v>
      </c>
      <c r="BT2797" s="4">
        <v>0.46875</v>
      </c>
      <c r="BU2797" s="2" t="s">
        <v>3104</v>
      </c>
      <c r="BV2797" s="2" t="s">
        <v>86</v>
      </c>
      <c r="BW2797" s="2" t="s">
        <v>124</v>
      </c>
      <c r="BX2797" s="2" t="s">
        <v>3105</v>
      </c>
      <c r="BY2797" s="2">
        <v>9295.1</v>
      </c>
      <c r="BZ2797" s="2"/>
      <c r="CA2797" s="2" t="s">
        <v>2961</v>
      </c>
      <c r="CB2797" s="2"/>
      <c r="CC2797" s="2" t="s">
        <v>363</v>
      </c>
      <c r="CD2797" s="2">
        <v>3201</v>
      </c>
      <c r="CE2797" s="2" t="s">
        <v>89</v>
      </c>
      <c r="CF2797" s="5">
        <v>42975</v>
      </c>
      <c r="CG2797" s="2"/>
      <c r="CH2797" s="2"/>
      <c r="CI2797" s="2">
        <v>1</v>
      </c>
      <c r="CJ2797" s="2">
        <v>1</v>
      </c>
      <c r="CK2797" s="2">
        <v>21</v>
      </c>
      <c r="CL2797" s="2" t="s">
        <v>86</v>
      </c>
      <c r="CM2797" s="2"/>
    </row>
    <row r="2798" spans="1:91">
      <c r="A2798" s="2" t="s">
        <v>71</v>
      </c>
      <c r="B2798" s="2" t="s">
        <v>72</v>
      </c>
      <c r="C2798" s="2" t="s">
        <v>73</v>
      </c>
      <c r="D2798" s="2"/>
      <c r="E2798" s="2" t="str">
        <f>"FES1162571073"</f>
        <v>FES1162571073</v>
      </c>
      <c r="F2798" s="3">
        <v>42970</v>
      </c>
      <c r="G2798" s="2">
        <v>201802</v>
      </c>
      <c r="H2798" s="2" t="s">
        <v>74</v>
      </c>
      <c r="I2798" s="2" t="s">
        <v>75</v>
      </c>
      <c r="J2798" s="2" t="s">
        <v>76</v>
      </c>
      <c r="K2798" s="2" t="s">
        <v>77</v>
      </c>
      <c r="L2798" s="2" t="s">
        <v>105</v>
      </c>
      <c r="M2798" s="2" t="s">
        <v>106</v>
      </c>
      <c r="N2798" s="2" t="s">
        <v>107</v>
      </c>
      <c r="O2798" s="2" t="s">
        <v>100</v>
      </c>
      <c r="P2798" s="2" t="str">
        <f>"2170586757                    "</f>
        <v xml:space="preserve">2170586757           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4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1</v>
      </c>
      <c r="BJ2798" s="2">
        <v>0.2</v>
      </c>
      <c r="BK2798" s="2">
        <v>1</v>
      </c>
      <c r="BL2798" s="2">
        <v>41.44</v>
      </c>
      <c r="BM2798" s="2">
        <v>5.8</v>
      </c>
      <c r="BN2798" s="2">
        <v>47.24</v>
      </c>
      <c r="BO2798" s="2">
        <v>47.24</v>
      </c>
      <c r="BP2798" s="2"/>
      <c r="BQ2798" s="2" t="s">
        <v>108</v>
      </c>
      <c r="BR2798" s="2" t="s">
        <v>84</v>
      </c>
      <c r="BS2798" s="3">
        <v>42971</v>
      </c>
      <c r="BT2798" s="4">
        <v>0.3743055555555555</v>
      </c>
      <c r="BU2798" s="2" t="s">
        <v>236</v>
      </c>
      <c r="BV2798" s="2" t="s">
        <v>95</v>
      </c>
      <c r="BW2798" s="2"/>
      <c r="BX2798" s="2"/>
      <c r="BY2798" s="2">
        <v>1200</v>
      </c>
      <c r="BZ2798" s="2"/>
      <c r="CA2798" s="2" t="s">
        <v>112</v>
      </c>
      <c r="CB2798" s="2"/>
      <c r="CC2798" s="2" t="s">
        <v>106</v>
      </c>
      <c r="CD2798" s="2">
        <v>7405</v>
      </c>
      <c r="CE2798" s="2" t="s">
        <v>104</v>
      </c>
      <c r="CF2798" s="5">
        <v>42972</v>
      </c>
      <c r="CG2798" s="2"/>
      <c r="CH2798" s="2"/>
      <c r="CI2798" s="2">
        <v>1</v>
      </c>
      <c r="CJ2798" s="2">
        <v>1</v>
      </c>
      <c r="CK2798" s="2">
        <v>21</v>
      </c>
      <c r="CL2798" s="2" t="s">
        <v>86</v>
      </c>
      <c r="CM2798" s="2"/>
    </row>
    <row r="2799" spans="1:91">
      <c r="A2799" s="2" t="s">
        <v>71</v>
      </c>
      <c r="B2799" s="2" t="s">
        <v>72</v>
      </c>
      <c r="C2799" s="2" t="s">
        <v>73</v>
      </c>
      <c r="D2799" s="2"/>
      <c r="E2799" s="2" t="str">
        <f>"FES1162571037"</f>
        <v>FES1162571037</v>
      </c>
      <c r="F2799" s="3">
        <v>42970</v>
      </c>
      <c r="G2799" s="2">
        <v>201802</v>
      </c>
      <c r="H2799" s="2" t="s">
        <v>74</v>
      </c>
      <c r="I2799" s="2" t="s">
        <v>75</v>
      </c>
      <c r="J2799" s="2" t="s">
        <v>76</v>
      </c>
      <c r="K2799" s="2" t="s">
        <v>77</v>
      </c>
      <c r="L2799" s="2" t="s">
        <v>756</v>
      </c>
      <c r="M2799" s="2" t="s">
        <v>757</v>
      </c>
      <c r="N2799" s="2" t="s">
        <v>3106</v>
      </c>
      <c r="O2799" s="2" t="s">
        <v>100</v>
      </c>
      <c r="P2799" s="2" t="str">
        <f>"2170574927                    "</f>
        <v xml:space="preserve">2170574927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21.76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5.8</v>
      </c>
      <c r="BJ2799" s="2">
        <v>1.6</v>
      </c>
      <c r="BK2799" s="2">
        <v>6</v>
      </c>
      <c r="BL2799" s="2">
        <v>225.34</v>
      </c>
      <c r="BM2799" s="2">
        <v>31.55</v>
      </c>
      <c r="BN2799" s="2">
        <v>256.89</v>
      </c>
      <c r="BO2799" s="2">
        <v>256.89</v>
      </c>
      <c r="BP2799" s="2"/>
      <c r="BQ2799" s="2" t="s">
        <v>365</v>
      </c>
      <c r="BR2799" s="2" t="s">
        <v>84</v>
      </c>
      <c r="BS2799" s="3">
        <v>42971</v>
      </c>
      <c r="BT2799" s="4">
        <v>0.54166666666666663</v>
      </c>
      <c r="BU2799" s="2" t="s">
        <v>3107</v>
      </c>
      <c r="BV2799" s="2" t="s">
        <v>95</v>
      </c>
      <c r="BW2799" s="2"/>
      <c r="BX2799" s="2"/>
      <c r="BY2799" s="2">
        <v>7946.22</v>
      </c>
      <c r="BZ2799" s="2"/>
      <c r="CA2799" s="2"/>
      <c r="CB2799" s="2"/>
      <c r="CC2799" s="2" t="s">
        <v>757</v>
      </c>
      <c r="CD2799" s="2">
        <v>4270</v>
      </c>
      <c r="CE2799" s="2" t="s">
        <v>89</v>
      </c>
      <c r="CF2799" s="5">
        <v>42972</v>
      </c>
      <c r="CG2799" s="2"/>
      <c r="CH2799" s="2"/>
      <c r="CI2799" s="2">
        <v>1</v>
      </c>
      <c r="CJ2799" s="2">
        <v>1</v>
      </c>
      <c r="CK2799" s="2">
        <v>23</v>
      </c>
      <c r="CL2799" s="2" t="s">
        <v>86</v>
      </c>
      <c r="CM2799" s="2"/>
    </row>
    <row r="2800" spans="1:91">
      <c r="A2800" s="2" t="s">
        <v>71</v>
      </c>
      <c r="B2800" s="2" t="s">
        <v>72</v>
      </c>
      <c r="C2800" s="2" t="s">
        <v>73</v>
      </c>
      <c r="D2800" s="2"/>
      <c r="E2800" s="2" t="str">
        <f>"FES1162571081"</f>
        <v>FES1162571081</v>
      </c>
      <c r="F2800" s="3">
        <v>42970</v>
      </c>
      <c r="G2800" s="2">
        <v>201802</v>
      </c>
      <c r="H2800" s="2" t="s">
        <v>74</v>
      </c>
      <c r="I2800" s="2" t="s">
        <v>75</v>
      </c>
      <c r="J2800" s="2" t="s">
        <v>76</v>
      </c>
      <c r="K2800" s="2" t="s">
        <v>77</v>
      </c>
      <c r="L2800" s="2" t="s">
        <v>201</v>
      </c>
      <c r="M2800" s="2" t="s">
        <v>202</v>
      </c>
      <c r="N2800" s="2" t="s">
        <v>2279</v>
      </c>
      <c r="O2800" s="2" t="s">
        <v>100</v>
      </c>
      <c r="P2800" s="2" t="str">
        <f>"2170586765                    "</f>
        <v xml:space="preserve">2170586765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4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1</v>
      </c>
      <c r="BJ2800" s="2">
        <v>0.2</v>
      </c>
      <c r="BK2800" s="2">
        <v>1</v>
      </c>
      <c r="BL2800" s="2">
        <v>41.44</v>
      </c>
      <c r="BM2800" s="2">
        <v>5.8</v>
      </c>
      <c r="BN2800" s="2">
        <v>47.24</v>
      </c>
      <c r="BO2800" s="2">
        <v>47.24</v>
      </c>
      <c r="BP2800" s="2"/>
      <c r="BQ2800" s="2" t="s">
        <v>83</v>
      </c>
      <c r="BR2800" s="2" t="s">
        <v>84</v>
      </c>
      <c r="BS2800" s="3">
        <v>42971</v>
      </c>
      <c r="BT2800" s="4">
        <v>0.44722222222222219</v>
      </c>
      <c r="BU2800" s="2" t="s">
        <v>2280</v>
      </c>
      <c r="BV2800" s="2" t="s">
        <v>95</v>
      </c>
      <c r="BW2800" s="2"/>
      <c r="BX2800" s="2"/>
      <c r="BY2800" s="2">
        <v>1200</v>
      </c>
      <c r="BZ2800" s="2"/>
      <c r="CA2800" s="2" t="s">
        <v>205</v>
      </c>
      <c r="CB2800" s="2"/>
      <c r="CC2800" s="2" t="s">
        <v>202</v>
      </c>
      <c r="CD2800" s="2">
        <v>7130</v>
      </c>
      <c r="CE2800" s="2" t="s">
        <v>104</v>
      </c>
      <c r="CF2800" s="5">
        <v>42972</v>
      </c>
      <c r="CG2800" s="2"/>
      <c r="CH2800" s="2"/>
      <c r="CI2800" s="2">
        <v>1</v>
      </c>
      <c r="CJ2800" s="2">
        <v>1</v>
      </c>
      <c r="CK2800" s="2">
        <v>21</v>
      </c>
      <c r="CL2800" s="2" t="s">
        <v>86</v>
      </c>
      <c r="CM2800" s="2"/>
    </row>
    <row r="2801" spans="1:91">
      <c r="A2801" s="2" t="s">
        <v>71</v>
      </c>
      <c r="B2801" s="2" t="s">
        <v>72</v>
      </c>
      <c r="C2801" s="2" t="s">
        <v>73</v>
      </c>
      <c r="D2801" s="2"/>
      <c r="E2801" s="2" t="str">
        <f>"FES1162571072"</f>
        <v>FES1162571072</v>
      </c>
      <c r="F2801" s="3">
        <v>42970</v>
      </c>
      <c r="G2801" s="2">
        <v>201802</v>
      </c>
      <c r="H2801" s="2" t="s">
        <v>74</v>
      </c>
      <c r="I2801" s="2" t="s">
        <v>75</v>
      </c>
      <c r="J2801" s="2" t="s">
        <v>76</v>
      </c>
      <c r="K2801" s="2" t="s">
        <v>77</v>
      </c>
      <c r="L2801" s="2" t="s">
        <v>437</v>
      </c>
      <c r="M2801" s="2" t="s">
        <v>438</v>
      </c>
      <c r="N2801" s="2" t="s">
        <v>749</v>
      </c>
      <c r="O2801" s="2" t="s">
        <v>100</v>
      </c>
      <c r="P2801" s="2" t="str">
        <f>"2170586754                    "</f>
        <v xml:space="preserve">2170586754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4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1</v>
      </c>
      <c r="BI2801" s="2">
        <v>1</v>
      </c>
      <c r="BJ2801" s="2">
        <v>0.2</v>
      </c>
      <c r="BK2801" s="2">
        <v>1</v>
      </c>
      <c r="BL2801" s="2">
        <v>41.44</v>
      </c>
      <c r="BM2801" s="2">
        <v>5.8</v>
      </c>
      <c r="BN2801" s="2">
        <v>47.24</v>
      </c>
      <c r="BO2801" s="2">
        <v>47.24</v>
      </c>
      <c r="BP2801" s="2"/>
      <c r="BQ2801" s="2" t="s">
        <v>108</v>
      </c>
      <c r="BR2801" s="2" t="s">
        <v>84</v>
      </c>
      <c r="BS2801" s="3">
        <v>42971</v>
      </c>
      <c r="BT2801" s="4">
        <v>0.3430555555555555</v>
      </c>
      <c r="BU2801" s="2" t="s">
        <v>2507</v>
      </c>
      <c r="BV2801" s="2" t="s">
        <v>95</v>
      </c>
      <c r="BW2801" s="2"/>
      <c r="BX2801" s="2"/>
      <c r="BY2801" s="2">
        <v>1200</v>
      </c>
      <c r="BZ2801" s="2"/>
      <c r="CA2801" s="2" t="s">
        <v>441</v>
      </c>
      <c r="CB2801" s="2"/>
      <c r="CC2801" s="2" t="s">
        <v>438</v>
      </c>
      <c r="CD2801" s="2">
        <v>6536</v>
      </c>
      <c r="CE2801" s="2" t="s">
        <v>104</v>
      </c>
      <c r="CF2801" s="5">
        <v>42972</v>
      </c>
      <c r="CG2801" s="2"/>
      <c r="CH2801" s="2"/>
      <c r="CI2801" s="2">
        <v>1</v>
      </c>
      <c r="CJ2801" s="2">
        <v>1</v>
      </c>
      <c r="CK2801" s="2">
        <v>21</v>
      </c>
      <c r="CL2801" s="2" t="s">
        <v>86</v>
      </c>
      <c r="CM2801" s="2"/>
    </row>
    <row r="2802" spans="1:91">
      <c r="A2802" s="2" t="s">
        <v>71</v>
      </c>
      <c r="B2802" s="2" t="s">
        <v>72</v>
      </c>
      <c r="C2802" s="2" t="s">
        <v>73</v>
      </c>
      <c r="D2802" s="2"/>
      <c r="E2802" s="2" t="str">
        <f>"FES1162571051"</f>
        <v>FES1162571051</v>
      </c>
      <c r="F2802" s="3">
        <v>42970</v>
      </c>
      <c r="G2802" s="2">
        <v>201802</v>
      </c>
      <c r="H2802" s="2" t="s">
        <v>74</v>
      </c>
      <c r="I2802" s="2" t="s">
        <v>75</v>
      </c>
      <c r="J2802" s="2" t="s">
        <v>76</v>
      </c>
      <c r="K2802" s="2" t="s">
        <v>77</v>
      </c>
      <c r="L2802" s="2" t="s">
        <v>144</v>
      </c>
      <c r="M2802" s="2" t="s">
        <v>145</v>
      </c>
      <c r="N2802" s="2" t="s">
        <v>1578</v>
      </c>
      <c r="O2802" s="2" t="s">
        <v>100</v>
      </c>
      <c r="P2802" s="2" t="str">
        <f>"2170586267                    "</f>
        <v xml:space="preserve">2170586267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3.5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1</v>
      </c>
      <c r="BI2802" s="2">
        <v>8.1</v>
      </c>
      <c r="BJ2802" s="2">
        <v>3.4</v>
      </c>
      <c r="BK2802" s="2">
        <v>9</v>
      </c>
      <c r="BL2802" s="2">
        <v>36.26</v>
      </c>
      <c r="BM2802" s="2">
        <v>5.08</v>
      </c>
      <c r="BN2802" s="2">
        <v>41.34</v>
      </c>
      <c r="BO2802" s="2">
        <v>41.34</v>
      </c>
      <c r="BP2802" s="2"/>
      <c r="BQ2802" s="2" t="s">
        <v>108</v>
      </c>
      <c r="BR2802" s="2" t="s">
        <v>84</v>
      </c>
      <c r="BS2802" s="3">
        <v>42971</v>
      </c>
      <c r="BT2802" s="4">
        <v>0.32569444444444445</v>
      </c>
      <c r="BU2802" s="2" t="s">
        <v>1754</v>
      </c>
      <c r="BV2802" s="2" t="s">
        <v>95</v>
      </c>
      <c r="BW2802" s="2"/>
      <c r="BX2802" s="2"/>
      <c r="BY2802" s="2">
        <v>16904.3</v>
      </c>
      <c r="BZ2802" s="2"/>
      <c r="CA2802" s="2" t="s">
        <v>729</v>
      </c>
      <c r="CB2802" s="2"/>
      <c r="CC2802" s="2" t="s">
        <v>145</v>
      </c>
      <c r="CD2802" s="2">
        <v>2197</v>
      </c>
      <c r="CE2802" s="2" t="s">
        <v>89</v>
      </c>
      <c r="CF2802" s="5">
        <v>42972</v>
      </c>
      <c r="CG2802" s="2"/>
      <c r="CH2802" s="2"/>
      <c r="CI2802" s="2">
        <v>1</v>
      </c>
      <c r="CJ2802" s="2">
        <v>1</v>
      </c>
      <c r="CK2802" s="2">
        <v>22</v>
      </c>
      <c r="CL2802" s="2" t="s">
        <v>86</v>
      </c>
      <c r="CM2802" s="2"/>
    </row>
    <row r="2803" spans="1:91">
      <c r="A2803" s="2" t="s">
        <v>71</v>
      </c>
      <c r="B2803" s="2" t="s">
        <v>72</v>
      </c>
      <c r="C2803" s="2" t="s">
        <v>73</v>
      </c>
      <c r="D2803" s="2"/>
      <c r="E2803" s="2" t="str">
        <f>"FES1162571076"</f>
        <v>FES1162571076</v>
      </c>
      <c r="F2803" s="3">
        <v>42970</v>
      </c>
      <c r="G2803" s="2">
        <v>201802</v>
      </c>
      <c r="H2803" s="2" t="s">
        <v>74</v>
      </c>
      <c r="I2803" s="2" t="s">
        <v>75</v>
      </c>
      <c r="J2803" s="2" t="s">
        <v>76</v>
      </c>
      <c r="K2803" s="2" t="s">
        <v>77</v>
      </c>
      <c r="L2803" s="2" t="s">
        <v>105</v>
      </c>
      <c r="M2803" s="2" t="s">
        <v>106</v>
      </c>
      <c r="N2803" s="2" t="s">
        <v>253</v>
      </c>
      <c r="O2803" s="2" t="s">
        <v>100</v>
      </c>
      <c r="P2803" s="2" t="str">
        <f>"2170586758                    "</f>
        <v xml:space="preserve">2170586758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4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1</v>
      </c>
      <c r="BI2803" s="2">
        <v>1</v>
      </c>
      <c r="BJ2803" s="2">
        <v>0.2</v>
      </c>
      <c r="BK2803" s="2">
        <v>1</v>
      </c>
      <c r="BL2803" s="2">
        <v>41.44</v>
      </c>
      <c r="BM2803" s="2">
        <v>5.8</v>
      </c>
      <c r="BN2803" s="2">
        <v>47.24</v>
      </c>
      <c r="BO2803" s="2">
        <v>47.24</v>
      </c>
      <c r="BP2803" s="2"/>
      <c r="BQ2803" s="2" t="s">
        <v>108</v>
      </c>
      <c r="BR2803" s="2" t="s">
        <v>84</v>
      </c>
      <c r="BS2803" s="3">
        <v>42971</v>
      </c>
      <c r="BT2803" s="4">
        <v>0.42499999999999999</v>
      </c>
      <c r="BU2803" s="2" t="s">
        <v>3108</v>
      </c>
      <c r="BV2803" s="2" t="s">
        <v>95</v>
      </c>
      <c r="BW2803" s="2"/>
      <c r="BX2803" s="2"/>
      <c r="BY2803" s="2">
        <v>1200</v>
      </c>
      <c r="BZ2803" s="2"/>
      <c r="CA2803" s="2" t="s">
        <v>654</v>
      </c>
      <c r="CB2803" s="2"/>
      <c r="CC2803" s="2" t="s">
        <v>106</v>
      </c>
      <c r="CD2803" s="2">
        <v>7490</v>
      </c>
      <c r="CE2803" s="2" t="s">
        <v>104</v>
      </c>
      <c r="CF2803" s="5">
        <v>42972</v>
      </c>
      <c r="CG2803" s="2"/>
      <c r="CH2803" s="2"/>
      <c r="CI2803" s="2">
        <v>1</v>
      </c>
      <c r="CJ2803" s="2">
        <v>1</v>
      </c>
      <c r="CK2803" s="2">
        <v>21</v>
      </c>
      <c r="CL2803" s="2" t="s">
        <v>86</v>
      </c>
      <c r="CM2803" s="2"/>
    </row>
    <row r="2804" spans="1:91">
      <c r="A2804" s="2" t="s">
        <v>71</v>
      </c>
      <c r="B2804" s="2" t="s">
        <v>72</v>
      </c>
      <c r="C2804" s="2" t="s">
        <v>73</v>
      </c>
      <c r="D2804" s="2"/>
      <c r="E2804" s="2" t="str">
        <f>"FES1162570993"</f>
        <v>FES1162570993</v>
      </c>
      <c r="F2804" s="3">
        <v>42970</v>
      </c>
      <c r="G2804" s="2">
        <v>201802</v>
      </c>
      <c r="H2804" s="2" t="s">
        <v>74</v>
      </c>
      <c r="I2804" s="2" t="s">
        <v>75</v>
      </c>
      <c r="J2804" s="2" t="s">
        <v>76</v>
      </c>
      <c r="K2804" s="2" t="s">
        <v>77</v>
      </c>
      <c r="L2804" s="2" t="s">
        <v>841</v>
      </c>
      <c r="M2804" s="2" t="s">
        <v>842</v>
      </c>
      <c r="N2804" s="2" t="s">
        <v>843</v>
      </c>
      <c r="O2804" s="2" t="s">
        <v>100</v>
      </c>
      <c r="P2804" s="2" t="str">
        <f>"2170586344                    "</f>
        <v xml:space="preserve">2170586344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7.75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1.2</v>
      </c>
      <c r="BJ2804" s="2">
        <v>1.9</v>
      </c>
      <c r="BK2804" s="2">
        <v>2</v>
      </c>
      <c r="BL2804" s="2">
        <v>80.290000000000006</v>
      </c>
      <c r="BM2804" s="2">
        <v>11.24</v>
      </c>
      <c r="BN2804" s="2">
        <v>91.53</v>
      </c>
      <c r="BO2804" s="2">
        <v>91.53</v>
      </c>
      <c r="BP2804" s="2"/>
      <c r="BQ2804" s="2" t="s">
        <v>83</v>
      </c>
      <c r="BR2804" s="2" t="s">
        <v>84</v>
      </c>
      <c r="BS2804" s="3">
        <v>42971</v>
      </c>
      <c r="BT2804" s="4">
        <v>0.58333333333333337</v>
      </c>
      <c r="BU2804" s="2" t="s">
        <v>844</v>
      </c>
      <c r="BV2804" s="2" t="s">
        <v>95</v>
      </c>
      <c r="BW2804" s="2"/>
      <c r="BX2804" s="2"/>
      <c r="BY2804" s="2">
        <v>9667.84</v>
      </c>
      <c r="BZ2804" s="2"/>
      <c r="CA2804" s="2"/>
      <c r="CB2804" s="2"/>
      <c r="CC2804" s="2" t="s">
        <v>842</v>
      </c>
      <c r="CD2804" s="2">
        <v>3370</v>
      </c>
      <c r="CE2804" s="2" t="s">
        <v>89</v>
      </c>
      <c r="CF2804" s="5">
        <v>42975</v>
      </c>
      <c r="CG2804" s="2"/>
      <c r="CH2804" s="2"/>
      <c r="CI2804" s="2">
        <v>3</v>
      </c>
      <c r="CJ2804" s="2">
        <v>1</v>
      </c>
      <c r="CK2804" s="2">
        <v>23</v>
      </c>
      <c r="CL2804" s="2" t="s">
        <v>86</v>
      </c>
      <c r="CM2804" s="2"/>
    </row>
    <row r="2805" spans="1:91">
      <c r="A2805" s="2" t="s">
        <v>71</v>
      </c>
      <c r="B2805" s="2" t="s">
        <v>72</v>
      </c>
      <c r="C2805" s="2" t="s">
        <v>73</v>
      </c>
      <c r="D2805" s="2"/>
      <c r="E2805" s="2" t="str">
        <f>"FES1162571033"</f>
        <v>FES1162571033</v>
      </c>
      <c r="F2805" s="3">
        <v>42970</v>
      </c>
      <c r="G2805" s="2">
        <v>201802</v>
      </c>
      <c r="H2805" s="2" t="s">
        <v>74</v>
      </c>
      <c r="I2805" s="2" t="s">
        <v>75</v>
      </c>
      <c r="J2805" s="2" t="s">
        <v>76</v>
      </c>
      <c r="K2805" s="2" t="s">
        <v>77</v>
      </c>
      <c r="L2805" s="2" t="s">
        <v>206</v>
      </c>
      <c r="M2805" s="2" t="s">
        <v>207</v>
      </c>
      <c r="N2805" s="2" t="s">
        <v>262</v>
      </c>
      <c r="O2805" s="2" t="s">
        <v>100</v>
      </c>
      <c r="P2805" s="2" t="str">
        <f>"2170586712                    "</f>
        <v xml:space="preserve">2170586712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5.63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1</v>
      </c>
      <c r="BJ2805" s="2">
        <v>0.2</v>
      </c>
      <c r="BK2805" s="2">
        <v>1</v>
      </c>
      <c r="BL2805" s="2">
        <v>58.28</v>
      </c>
      <c r="BM2805" s="2">
        <v>8.16</v>
      </c>
      <c r="BN2805" s="2">
        <v>66.44</v>
      </c>
      <c r="BO2805" s="2">
        <v>66.44</v>
      </c>
      <c r="BP2805" s="2"/>
      <c r="BQ2805" s="2" t="s">
        <v>83</v>
      </c>
      <c r="BR2805" s="2" t="s">
        <v>84</v>
      </c>
      <c r="BS2805" s="3">
        <v>42971</v>
      </c>
      <c r="BT2805" s="4">
        <v>0.55555555555555558</v>
      </c>
      <c r="BU2805" s="2" t="s">
        <v>1421</v>
      </c>
      <c r="BV2805" s="2" t="s">
        <v>95</v>
      </c>
      <c r="BW2805" s="2"/>
      <c r="BX2805" s="2"/>
      <c r="BY2805" s="2">
        <v>1200</v>
      </c>
      <c r="BZ2805" s="2"/>
      <c r="CA2805" s="2" t="s">
        <v>211</v>
      </c>
      <c r="CB2805" s="2"/>
      <c r="CC2805" s="2" t="s">
        <v>207</v>
      </c>
      <c r="CD2805" s="2">
        <v>250</v>
      </c>
      <c r="CE2805" s="2" t="s">
        <v>104</v>
      </c>
      <c r="CF2805" s="5">
        <v>42975</v>
      </c>
      <c r="CG2805" s="2"/>
      <c r="CH2805" s="2"/>
      <c r="CI2805" s="2">
        <v>1</v>
      </c>
      <c r="CJ2805" s="2">
        <v>1</v>
      </c>
      <c r="CK2805" s="2">
        <v>24</v>
      </c>
      <c r="CL2805" s="2" t="s">
        <v>86</v>
      </c>
      <c r="CM2805" s="2"/>
    </row>
    <row r="2806" spans="1:91">
      <c r="A2806" s="2" t="s">
        <v>71</v>
      </c>
      <c r="B2806" s="2" t="s">
        <v>72</v>
      </c>
      <c r="C2806" s="2" t="s">
        <v>73</v>
      </c>
      <c r="D2806" s="2"/>
      <c r="E2806" s="2" t="str">
        <f>"FES1162571009"</f>
        <v>FES1162571009</v>
      </c>
      <c r="F2806" s="3">
        <v>42970</v>
      </c>
      <c r="G2806" s="2">
        <v>201802</v>
      </c>
      <c r="H2806" s="2" t="s">
        <v>74</v>
      </c>
      <c r="I2806" s="2" t="s">
        <v>75</v>
      </c>
      <c r="J2806" s="2" t="s">
        <v>76</v>
      </c>
      <c r="K2806" s="2" t="s">
        <v>77</v>
      </c>
      <c r="L2806" s="2" t="s">
        <v>170</v>
      </c>
      <c r="M2806" s="2" t="s">
        <v>171</v>
      </c>
      <c r="N2806" s="2" t="s">
        <v>172</v>
      </c>
      <c r="O2806" s="2" t="s">
        <v>358</v>
      </c>
      <c r="P2806" s="2" t="str">
        <f>"2170586679                    "</f>
        <v xml:space="preserve">2170586679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4.88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13</v>
      </c>
      <c r="BJ2806" s="2">
        <v>9.1</v>
      </c>
      <c r="BK2806" s="2">
        <v>13</v>
      </c>
      <c r="BL2806" s="2">
        <v>50.53</v>
      </c>
      <c r="BM2806" s="2">
        <v>7.07</v>
      </c>
      <c r="BN2806" s="2">
        <v>57.6</v>
      </c>
      <c r="BO2806" s="2">
        <v>57.6</v>
      </c>
      <c r="BP2806" s="2"/>
      <c r="BQ2806" s="2" t="s">
        <v>288</v>
      </c>
      <c r="BR2806" s="2" t="s">
        <v>84</v>
      </c>
      <c r="BS2806" s="3">
        <v>42971</v>
      </c>
      <c r="BT2806" s="4">
        <v>0.4375</v>
      </c>
      <c r="BU2806" s="2" t="s">
        <v>3063</v>
      </c>
      <c r="BV2806" s="2" t="s">
        <v>95</v>
      </c>
      <c r="BW2806" s="2"/>
      <c r="BX2806" s="2"/>
      <c r="BY2806" s="2">
        <v>45632</v>
      </c>
      <c r="BZ2806" s="2"/>
      <c r="CA2806" s="2"/>
      <c r="CB2806" s="2"/>
      <c r="CC2806" s="2" t="s">
        <v>171</v>
      </c>
      <c r="CD2806" s="2">
        <v>1401</v>
      </c>
      <c r="CE2806" s="2" t="s">
        <v>89</v>
      </c>
      <c r="CF2806" s="5">
        <v>42972</v>
      </c>
      <c r="CG2806" s="2"/>
      <c r="CH2806" s="2"/>
      <c r="CI2806" s="2">
        <v>1</v>
      </c>
      <c r="CJ2806" s="2">
        <v>1</v>
      </c>
      <c r="CK2806" s="2">
        <v>32</v>
      </c>
      <c r="CL2806" s="2" t="s">
        <v>86</v>
      </c>
      <c r="CM2806" s="2"/>
    </row>
    <row r="2807" spans="1:91">
      <c r="A2807" s="2" t="s">
        <v>71</v>
      </c>
      <c r="B2807" s="2" t="s">
        <v>72</v>
      </c>
      <c r="C2807" s="2" t="s">
        <v>73</v>
      </c>
      <c r="D2807" s="2"/>
      <c r="E2807" s="2" t="str">
        <f>"FES1162570983"</f>
        <v>FES1162570983</v>
      </c>
      <c r="F2807" s="3">
        <v>42970</v>
      </c>
      <c r="G2807" s="2">
        <v>201802</v>
      </c>
      <c r="H2807" s="2" t="s">
        <v>74</v>
      </c>
      <c r="I2807" s="2" t="s">
        <v>75</v>
      </c>
      <c r="J2807" s="2" t="s">
        <v>76</v>
      </c>
      <c r="K2807" s="2" t="s">
        <v>77</v>
      </c>
      <c r="L2807" s="2" t="s">
        <v>268</v>
      </c>
      <c r="M2807" s="2" t="s">
        <v>269</v>
      </c>
      <c r="N2807" s="2" t="s">
        <v>1376</v>
      </c>
      <c r="O2807" s="2" t="s">
        <v>100</v>
      </c>
      <c r="P2807" s="2" t="str">
        <f>"2170585381                    "</f>
        <v xml:space="preserve">2170585381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4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1</v>
      </c>
      <c r="BJ2807" s="2">
        <v>0.2</v>
      </c>
      <c r="BK2807" s="2">
        <v>1</v>
      </c>
      <c r="BL2807" s="2">
        <v>41.44</v>
      </c>
      <c r="BM2807" s="2">
        <v>5.8</v>
      </c>
      <c r="BN2807" s="2">
        <v>47.24</v>
      </c>
      <c r="BO2807" s="2">
        <v>47.24</v>
      </c>
      <c r="BP2807" s="2"/>
      <c r="BQ2807" s="2" t="s">
        <v>108</v>
      </c>
      <c r="BR2807" s="2" t="s">
        <v>84</v>
      </c>
      <c r="BS2807" s="3">
        <v>42971</v>
      </c>
      <c r="BT2807" s="4">
        <v>0.41666666666666669</v>
      </c>
      <c r="BU2807" s="2" t="s">
        <v>85</v>
      </c>
      <c r="BV2807" s="2" t="s">
        <v>95</v>
      </c>
      <c r="BW2807" s="2"/>
      <c r="BX2807" s="2"/>
      <c r="BY2807" s="2">
        <v>1200</v>
      </c>
      <c r="BZ2807" s="2"/>
      <c r="CA2807" s="2"/>
      <c r="CB2807" s="2"/>
      <c r="CC2807" s="2" t="s">
        <v>269</v>
      </c>
      <c r="CD2807" s="2">
        <v>183</v>
      </c>
      <c r="CE2807" s="2" t="s">
        <v>104</v>
      </c>
      <c r="CF2807" s="5">
        <v>42972</v>
      </c>
      <c r="CG2807" s="2"/>
      <c r="CH2807" s="2"/>
      <c r="CI2807" s="2">
        <v>1</v>
      </c>
      <c r="CJ2807" s="2">
        <v>1</v>
      </c>
      <c r="CK2807" s="2">
        <v>21</v>
      </c>
      <c r="CL2807" s="2" t="s">
        <v>86</v>
      </c>
      <c r="CM2807" s="2"/>
    </row>
    <row r="2808" spans="1:91">
      <c r="A2808" s="2" t="s">
        <v>71</v>
      </c>
      <c r="B2808" s="2" t="s">
        <v>72</v>
      </c>
      <c r="C2808" s="2" t="s">
        <v>73</v>
      </c>
      <c r="D2808" s="2"/>
      <c r="E2808" s="2" t="str">
        <f>"FES1162570762"</f>
        <v>FES1162570762</v>
      </c>
      <c r="F2808" s="3">
        <v>42970</v>
      </c>
      <c r="G2808" s="2">
        <v>201802</v>
      </c>
      <c r="H2808" s="2" t="s">
        <v>74</v>
      </c>
      <c r="I2808" s="2" t="s">
        <v>75</v>
      </c>
      <c r="J2808" s="2" t="s">
        <v>76</v>
      </c>
      <c r="K2808" s="2" t="s">
        <v>77</v>
      </c>
      <c r="L2808" s="2" t="s">
        <v>446</v>
      </c>
      <c r="M2808" s="2" t="s">
        <v>447</v>
      </c>
      <c r="N2808" s="2" t="s">
        <v>961</v>
      </c>
      <c r="O2808" s="2" t="s">
        <v>100</v>
      </c>
      <c r="P2808" s="2" t="str">
        <f>"2170586504                    "</f>
        <v xml:space="preserve">2170586504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5.63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1</v>
      </c>
      <c r="BI2808" s="2">
        <v>1</v>
      </c>
      <c r="BJ2808" s="2">
        <v>0.2</v>
      </c>
      <c r="BK2808" s="2">
        <v>1</v>
      </c>
      <c r="BL2808" s="2">
        <v>58.28</v>
      </c>
      <c r="BM2808" s="2">
        <v>8.16</v>
      </c>
      <c r="BN2808" s="2">
        <v>66.44</v>
      </c>
      <c r="BO2808" s="2">
        <v>66.44</v>
      </c>
      <c r="BP2808" s="2"/>
      <c r="BQ2808" s="2" t="s">
        <v>108</v>
      </c>
      <c r="BR2808" s="2" t="s">
        <v>84</v>
      </c>
      <c r="BS2808" s="3">
        <v>42971</v>
      </c>
      <c r="BT2808" s="4">
        <v>0.41666666666666669</v>
      </c>
      <c r="BU2808" s="2" t="s">
        <v>1674</v>
      </c>
      <c r="BV2808" s="2" t="s">
        <v>95</v>
      </c>
      <c r="BW2808" s="2"/>
      <c r="BX2808" s="2"/>
      <c r="BY2808" s="2">
        <v>1200</v>
      </c>
      <c r="BZ2808" s="2"/>
      <c r="CA2808" s="2"/>
      <c r="CB2808" s="2"/>
      <c r="CC2808" s="2" t="s">
        <v>447</v>
      </c>
      <c r="CD2808" s="2">
        <v>1759</v>
      </c>
      <c r="CE2808" s="2" t="s">
        <v>104</v>
      </c>
      <c r="CF2808" s="5">
        <v>42972</v>
      </c>
      <c r="CG2808" s="2"/>
      <c r="CH2808" s="2"/>
      <c r="CI2808" s="2">
        <v>1</v>
      </c>
      <c r="CJ2808" s="2">
        <v>1</v>
      </c>
      <c r="CK2808" s="2">
        <v>24</v>
      </c>
      <c r="CL2808" s="2" t="s">
        <v>86</v>
      </c>
      <c r="CM2808" s="2"/>
    </row>
    <row r="2809" spans="1:91">
      <c r="A2809" s="2" t="s">
        <v>71</v>
      </c>
      <c r="B2809" s="2" t="s">
        <v>72</v>
      </c>
      <c r="C2809" s="2" t="s">
        <v>73</v>
      </c>
      <c r="D2809" s="2"/>
      <c r="E2809" s="2" t="str">
        <f>"FES1162570976"</f>
        <v>FES1162570976</v>
      </c>
      <c r="F2809" s="3">
        <v>42970</v>
      </c>
      <c r="G2809" s="2">
        <v>201802</v>
      </c>
      <c r="H2809" s="2" t="s">
        <v>74</v>
      </c>
      <c r="I2809" s="2" t="s">
        <v>75</v>
      </c>
      <c r="J2809" s="2" t="s">
        <v>76</v>
      </c>
      <c r="K2809" s="2" t="s">
        <v>77</v>
      </c>
      <c r="L2809" s="2" t="s">
        <v>306</v>
      </c>
      <c r="M2809" s="2" t="s">
        <v>307</v>
      </c>
      <c r="N2809" s="2" t="s">
        <v>2330</v>
      </c>
      <c r="O2809" s="2" t="s">
        <v>100</v>
      </c>
      <c r="P2809" s="2" t="str">
        <f>"2170586653                    "</f>
        <v xml:space="preserve">2170586653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4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1</v>
      </c>
      <c r="BI2809" s="2">
        <v>1</v>
      </c>
      <c r="BJ2809" s="2">
        <v>0.2</v>
      </c>
      <c r="BK2809" s="2">
        <v>1</v>
      </c>
      <c r="BL2809" s="2">
        <v>41.44</v>
      </c>
      <c r="BM2809" s="2">
        <v>5.8</v>
      </c>
      <c r="BN2809" s="2">
        <v>47.24</v>
      </c>
      <c r="BO2809" s="2">
        <v>47.24</v>
      </c>
      <c r="BP2809" s="2"/>
      <c r="BQ2809" s="2" t="s">
        <v>288</v>
      </c>
      <c r="BR2809" s="2" t="s">
        <v>84</v>
      </c>
      <c r="BS2809" s="3">
        <v>42971</v>
      </c>
      <c r="BT2809" s="4">
        <v>0.54166666666666663</v>
      </c>
      <c r="BU2809" s="2" t="s">
        <v>3055</v>
      </c>
      <c r="BV2809" s="2" t="s">
        <v>86</v>
      </c>
      <c r="BW2809" s="2"/>
      <c r="BX2809" s="2"/>
      <c r="BY2809" s="2">
        <v>1200</v>
      </c>
      <c r="BZ2809" s="2"/>
      <c r="CA2809" s="2"/>
      <c r="CB2809" s="2"/>
      <c r="CC2809" s="2" t="s">
        <v>307</v>
      </c>
      <c r="CD2809" s="2">
        <v>1929</v>
      </c>
      <c r="CE2809" s="2" t="s">
        <v>104</v>
      </c>
      <c r="CF2809" s="5">
        <v>42972</v>
      </c>
      <c r="CG2809" s="2"/>
      <c r="CH2809" s="2"/>
      <c r="CI2809" s="2">
        <v>1</v>
      </c>
      <c r="CJ2809" s="2">
        <v>1</v>
      </c>
      <c r="CK2809" s="2">
        <v>21</v>
      </c>
      <c r="CL2809" s="2" t="s">
        <v>86</v>
      </c>
      <c r="CM2809" s="2"/>
    </row>
    <row r="2810" spans="1:91">
      <c r="A2810" s="2" t="s">
        <v>71</v>
      </c>
      <c r="B2810" s="2" t="s">
        <v>72</v>
      </c>
      <c r="C2810" s="2" t="s">
        <v>73</v>
      </c>
      <c r="D2810" s="2"/>
      <c r="E2810" s="2" t="str">
        <f>"FES1162570871"</f>
        <v>FES1162570871</v>
      </c>
      <c r="F2810" s="3">
        <v>42970</v>
      </c>
      <c r="G2810" s="2">
        <v>201802</v>
      </c>
      <c r="H2810" s="2" t="s">
        <v>74</v>
      </c>
      <c r="I2810" s="2" t="s">
        <v>75</v>
      </c>
      <c r="J2810" s="2" t="s">
        <v>76</v>
      </c>
      <c r="K2810" s="2" t="s">
        <v>77</v>
      </c>
      <c r="L2810" s="2" t="s">
        <v>74</v>
      </c>
      <c r="M2810" s="2" t="s">
        <v>75</v>
      </c>
      <c r="N2810" s="2" t="s">
        <v>407</v>
      </c>
      <c r="O2810" s="2" t="s">
        <v>100</v>
      </c>
      <c r="P2810" s="2" t="str">
        <f>"2170584192                    "</f>
        <v xml:space="preserve">2170584192 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3.13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2</v>
      </c>
      <c r="BI2810" s="2">
        <v>7</v>
      </c>
      <c r="BJ2810" s="2">
        <v>4.5</v>
      </c>
      <c r="BK2810" s="2">
        <v>7</v>
      </c>
      <c r="BL2810" s="2">
        <v>32.380000000000003</v>
      </c>
      <c r="BM2810" s="2">
        <v>4.53</v>
      </c>
      <c r="BN2810" s="2">
        <v>36.909999999999997</v>
      </c>
      <c r="BO2810" s="2">
        <v>36.909999999999997</v>
      </c>
      <c r="BP2810" s="2"/>
      <c r="BQ2810" s="2" t="s">
        <v>108</v>
      </c>
      <c r="BR2810" s="2" t="s">
        <v>84</v>
      </c>
      <c r="BS2810" s="3">
        <v>42971</v>
      </c>
      <c r="BT2810" s="4">
        <v>0.32291666666666669</v>
      </c>
      <c r="BU2810" s="2" t="s">
        <v>3036</v>
      </c>
      <c r="BV2810" s="2" t="s">
        <v>95</v>
      </c>
      <c r="BW2810" s="2"/>
      <c r="BX2810" s="2"/>
      <c r="BY2810" s="2">
        <v>22665.34</v>
      </c>
      <c r="BZ2810" s="2"/>
      <c r="CA2810" s="2" t="s">
        <v>709</v>
      </c>
      <c r="CB2810" s="2"/>
      <c r="CC2810" s="2" t="s">
        <v>75</v>
      </c>
      <c r="CD2810" s="2">
        <v>1645</v>
      </c>
      <c r="CE2810" s="2" t="s">
        <v>89</v>
      </c>
      <c r="CF2810" s="5">
        <v>42972</v>
      </c>
      <c r="CG2810" s="2"/>
      <c r="CH2810" s="2"/>
      <c r="CI2810" s="2">
        <v>1</v>
      </c>
      <c r="CJ2810" s="2">
        <v>1</v>
      </c>
      <c r="CK2810" s="2">
        <v>22</v>
      </c>
      <c r="CL2810" s="2" t="s">
        <v>86</v>
      </c>
      <c r="CM2810" s="2"/>
    </row>
    <row r="2811" spans="1:91">
      <c r="A2811" s="2" t="s">
        <v>71</v>
      </c>
      <c r="B2811" s="2" t="s">
        <v>72</v>
      </c>
      <c r="C2811" s="2" t="s">
        <v>73</v>
      </c>
      <c r="D2811" s="2"/>
      <c r="E2811" s="2" t="str">
        <f>"FES1162570959"</f>
        <v>FES1162570959</v>
      </c>
      <c r="F2811" s="3">
        <v>42970</v>
      </c>
      <c r="G2811" s="2">
        <v>201802</v>
      </c>
      <c r="H2811" s="2" t="s">
        <v>74</v>
      </c>
      <c r="I2811" s="2" t="s">
        <v>75</v>
      </c>
      <c r="J2811" s="2" t="s">
        <v>76</v>
      </c>
      <c r="K2811" s="2" t="s">
        <v>77</v>
      </c>
      <c r="L2811" s="2" t="s">
        <v>105</v>
      </c>
      <c r="M2811" s="2" t="s">
        <v>106</v>
      </c>
      <c r="N2811" s="2" t="s">
        <v>817</v>
      </c>
      <c r="O2811" s="2" t="s">
        <v>100</v>
      </c>
      <c r="P2811" s="2" t="str">
        <f>"2170586382                    "</f>
        <v xml:space="preserve">2170586382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8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2</v>
      </c>
      <c r="BI2811" s="2">
        <v>3.8</v>
      </c>
      <c r="BJ2811" s="2">
        <v>3.4</v>
      </c>
      <c r="BK2811" s="2">
        <v>4</v>
      </c>
      <c r="BL2811" s="2">
        <v>82.88</v>
      </c>
      <c r="BM2811" s="2">
        <v>11.6</v>
      </c>
      <c r="BN2811" s="2">
        <v>94.48</v>
      </c>
      <c r="BO2811" s="2">
        <v>94.48</v>
      </c>
      <c r="BP2811" s="2"/>
      <c r="BQ2811" s="2" t="s">
        <v>288</v>
      </c>
      <c r="BR2811" s="2" t="s">
        <v>84</v>
      </c>
      <c r="BS2811" s="3">
        <v>42971</v>
      </c>
      <c r="BT2811" s="4">
        <v>0.5</v>
      </c>
      <c r="BU2811" s="2" t="s">
        <v>3109</v>
      </c>
      <c r="BV2811" s="2" t="s">
        <v>86</v>
      </c>
      <c r="BW2811" s="2" t="s">
        <v>110</v>
      </c>
      <c r="BX2811" s="2" t="s">
        <v>3110</v>
      </c>
      <c r="BY2811" s="2">
        <v>16925.63</v>
      </c>
      <c r="BZ2811" s="2"/>
      <c r="CA2811" s="2" t="s">
        <v>784</v>
      </c>
      <c r="CB2811" s="2"/>
      <c r="CC2811" s="2" t="s">
        <v>106</v>
      </c>
      <c r="CD2811" s="2">
        <v>7764</v>
      </c>
      <c r="CE2811" s="2" t="s">
        <v>89</v>
      </c>
      <c r="CF2811" s="5">
        <v>42972</v>
      </c>
      <c r="CG2811" s="2"/>
      <c r="CH2811" s="2"/>
      <c r="CI2811" s="2">
        <v>1</v>
      </c>
      <c r="CJ2811" s="2">
        <v>1</v>
      </c>
      <c r="CK2811" s="2">
        <v>21</v>
      </c>
      <c r="CL2811" s="2" t="s">
        <v>86</v>
      </c>
      <c r="CM2811" s="2"/>
    </row>
    <row r="2812" spans="1:91">
      <c r="A2812" s="2" t="s">
        <v>71</v>
      </c>
      <c r="B2812" s="2" t="s">
        <v>72</v>
      </c>
      <c r="C2812" s="2" t="s">
        <v>73</v>
      </c>
      <c r="D2812" s="2"/>
      <c r="E2812" s="2" t="str">
        <f>"080001716272"</f>
        <v>080001716272</v>
      </c>
      <c r="F2812" s="3">
        <v>42970</v>
      </c>
      <c r="G2812" s="2">
        <v>201802</v>
      </c>
      <c r="H2812" s="2" t="s">
        <v>149</v>
      </c>
      <c r="I2812" s="2" t="s">
        <v>150</v>
      </c>
      <c r="J2812" s="2" t="s">
        <v>183</v>
      </c>
      <c r="K2812" s="2" t="s">
        <v>77</v>
      </c>
      <c r="L2812" s="2" t="s">
        <v>74</v>
      </c>
      <c r="M2812" s="2" t="s">
        <v>75</v>
      </c>
      <c r="N2812" s="2" t="s">
        <v>118</v>
      </c>
      <c r="O2812" s="2" t="s">
        <v>81</v>
      </c>
      <c r="P2812" s="2" t="str">
        <f>"ZA1000660783                  "</f>
        <v xml:space="preserve">ZA1000660783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7.5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1</v>
      </c>
      <c r="BI2812" s="2">
        <v>1</v>
      </c>
      <c r="BJ2812" s="2">
        <v>0.2</v>
      </c>
      <c r="BK2812" s="2">
        <v>1</v>
      </c>
      <c r="BL2812" s="2">
        <v>82.7</v>
      </c>
      <c r="BM2812" s="2">
        <v>11.58</v>
      </c>
      <c r="BN2812" s="2">
        <v>94.28</v>
      </c>
      <c r="BO2812" s="2">
        <v>94.28</v>
      </c>
      <c r="BP2812" s="2" t="s">
        <v>3111</v>
      </c>
      <c r="BQ2812" s="2" t="s">
        <v>241</v>
      </c>
      <c r="BR2812" s="2" t="s">
        <v>3112</v>
      </c>
      <c r="BS2812" s="3">
        <v>42971</v>
      </c>
      <c r="BT2812" s="4">
        <v>0.47222222222222227</v>
      </c>
      <c r="BU2812" s="2" t="s">
        <v>157</v>
      </c>
      <c r="BV2812" s="2" t="s">
        <v>95</v>
      </c>
      <c r="BW2812" s="2"/>
      <c r="BX2812" s="2"/>
      <c r="BY2812" s="2">
        <v>1200</v>
      </c>
      <c r="BZ2812" s="2"/>
      <c r="CA2812" s="2" t="s">
        <v>328</v>
      </c>
      <c r="CB2812" s="2"/>
      <c r="CC2812" s="2" t="s">
        <v>75</v>
      </c>
      <c r="CD2812" s="2">
        <v>1600</v>
      </c>
      <c r="CE2812" s="2" t="s">
        <v>89</v>
      </c>
      <c r="CF2812" s="5">
        <v>42972</v>
      </c>
      <c r="CG2812" s="2"/>
      <c r="CH2812" s="2"/>
      <c r="CI2812" s="2">
        <v>1</v>
      </c>
      <c r="CJ2812" s="2">
        <v>1</v>
      </c>
      <c r="CK2812" s="2" t="s">
        <v>180</v>
      </c>
      <c r="CL2812" s="2" t="s">
        <v>86</v>
      </c>
      <c r="CM2812" s="2"/>
    </row>
    <row r="2813" spans="1:91">
      <c r="A2813" s="2" t="s">
        <v>71</v>
      </c>
      <c r="B2813" s="2" t="s">
        <v>72</v>
      </c>
      <c r="C2813" s="2" t="s">
        <v>73</v>
      </c>
      <c r="D2813" s="2"/>
      <c r="E2813" s="2" t="str">
        <f>"080001716218"</f>
        <v>080001716218</v>
      </c>
      <c r="F2813" s="3">
        <v>42970</v>
      </c>
      <c r="G2813" s="2">
        <v>201802</v>
      </c>
      <c r="H2813" s="2" t="s">
        <v>97</v>
      </c>
      <c r="I2813" s="2" t="s">
        <v>98</v>
      </c>
      <c r="J2813" s="2" t="s">
        <v>3113</v>
      </c>
      <c r="K2813" s="2" t="s">
        <v>77</v>
      </c>
      <c r="L2813" s="2" t="s">
        <v>74</v>
      </c>
      <c r="M2813" s="2" t="s">
        <v>75</v>
      </c>
      <c r="N2813" s="2" t="s">
        <v>118</v>
      </c>
      <c r="O2813" s="2" t="s">
        <v>81</v>
      </c>
      <c r="P2813" s="2" t="str">
        <f>"ZA1000660751                  "</f>
        <v xml:space="preserve">ZA1000660751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8.19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5</v>
      </c>
      <c r="BJ2813" s="2">
        <v>4.2</v>
      </c>
      <c r="BK2813" s="2">
        <v>5</v>
      </c>
      <c r="BL2813" s="2">
        <v>89.83</v>
      </c>
      <c r="BM2813" s="2">
        <v>12.58</v>
      </c>
      <c r="BN2813" s="2">
        <v>102.41</v>
      </c>
      <c r="BO2813" s="2">
        <v>102.41</v>
      </c>
      <c r="BP2813" s="2" t="s">
        <v>3114</v>
      </c>
      <c r="BQ2813" s="2" t="s">
        <v>241</v>
      </c>
      <c r="BR2813" s="2" t="s">
        <v>3115</v>
      </c>
      <c r="BS2813" s="3">
        <v>42975</v>
      </c>
      <c r="BT2813" s="4">
        <v>0.40277777777777773</v>
      </c>
      <c r="BU2813" s="2" t="s">
        <v>85</v>
      </c>
      <c r="BV2813" s="2" t="s">
        <v>86</v>
      </c>
      <c r="BW2813" s="2" t="s">
        <v>124</v>
      </c>
      <c r="BX2813" s="2" t="s">
        <v>1008</v>
      </c>
      <c r="BY2813" s="2">
        <v>21000</v>
      </c>
      <c r="BZ2813" s="2"/>
      <c r="CA2813" s="2"/>
      <c r="CB2813" s="2"/>
      <c r="CC2813" s="2" t="s">
        <v>75</v>
      </c>
      <c r="CD2813" s="2">
        <v>1600</v>
      </c>
      <c r="CE2813" s="2" t="s">
        <v>89</v>
      </c>
      <c r="CF2813" s="5">
        <v>42976</v>
      </c>
      <c r="CG2813" s="2"/>
      <c r="CH2813" s="2"/>
      <c r="CI2813" s="2">
        <v>2</v>
      </c>
      <c r="CJ2813" s="2">
        <v>3</v>
      </c>
      <c r="CK2813" s="2" t="s">
        <v>136</v>
      </c>
      <c r="CL2813" s="2" t="s">
        <v>86</v>
      </c>
      <c r="CM2813" s="2"/>
    </row>
    <row r="2814" spans="1:91">
      <c r="A2814" s="2" t="s">
        <v>71</v>
      </c>
      <c r="B2814" s="2" t="s">
        <v>72</v>
      </c>
      <c r="C2814" s="2" t="s">
        <v>73</v>
      </c>
      <c r="D2814" s="2"/>
      <c r="E2814" s="2" t="str">
        <f>"080001716248"</f>
        <v>080001716248</v>
      </c>
      <c r="F2814" s="3">
        <v>42970</v>
      </c>
      <c r="G2814" s="2">
        <v>201802</v>
      </c>
      <c r="H2814" s="2" t="s">
        <v>417</v>
      </c>
      <c r="I2814" s="2" t="s">
        <v>417</v>
      </c>
      <c r="J2814" s="2" t="s">
        <v>3116</v>
      </c>
      <c r="K2814" s="2" t="s">
        <v>77</v>
      </c>
      <c r="L2814" s="2" t="s">
        <v>74</v>
      </c>
      <c r="M2814" s="2" t="s">
        <v>75</v>
      </c>
      <c r="N2814" s="2" t="s">
        <v>118</v>
      </c>
      <c r="O2814" s="2" t="s">
        <v>81</v>
      </c>
      <c r="P2814" s="2" t="str">
        <f>"ZA1000660802                  "</f>
        <v xml:space="preserve">ZA1000660802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8.19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2</v>
      </c>
      <c r="BJ2814" s="2">
        <v>2.2999999999999998</v>
      </c>
      <c r="BK2814" s="2">
        <v>3</v>
      </c>
      <c r="BL2814" s="2">
        <v>89.83</v>
      </c>
      <c r="BM2814" s="2">
        <v>12.58</v>
      </c>
      <c r="BN2814" s="2">
        <v>102.41</v>
      </c>
      <c r="BO2814" s="2">
        <v>102.41</v>
      </c>
      <c r="BP2814" s="2" t="s">
        <v>3117</v>
      </c>
      <c r="BQ2814" s="2" t="s">
        <v>241</v>
      </c>
      <c r="BR2814" s="2" t="s">
        <v>3118</v>
      </c>
      <c r="BS2814" s="3">
        <v>42975</v>
      </c>
      <c r="BT2814" s="4">
        <v>0.40277777777777773</v>
      </c>
      <c r="BU2814" s="2" t="s">
        <v>85</v>
      </c>
      <c r="BV2814" s="2" t="s">
        <v>86</v>
      </c>
      <c r="BW2814" s="2" t="s">
        <v>124</v>
      </c>
      <c r="BX2814" s="2" t="s">
        <v>1008</v>
      </c>
      <c r="BY2814" s="2">
        <v>11628</v>
      </c>
      <c r="BZ2814" s="2"/>
      <c r="CA2814" s="2"/>
      <c r="CB2814" s="2"/>
      <c r="CC2814" s="2" t="s">
        <v>75</v>
      </c>
      <c r="CD2814" s="2">
        <v>1600</v>
      </c>
      <c r="CE2814" s="2" t="s">
        <v>89</v>
      </c>
      <c r="CF2814" s="5">
        <v>42976</v>
      </c>
      <c r="CG2814" s="2"/>
      <c r="CH2814" s="2"/>
      <c r="CI2814" s="2">
        <v>2</v>
      </c>
      <c r="CJ2814" s="2">
        <v>3</v>
      </c>
      <c r="CK2814" s="2" t="s">
        <v>136</v>
      </c>
      <c r="CL2814" s="2" t="s">
        <v>86</v>
      </c>
      <c r="CM2814" s="2"/>
    </row>
    <row r="2815" spans="1:91">
      <c r="A2815" s="2" t="s">
        <v>71</v>
      </c>
      <c r="B2815" s="2" t="s">
        <v>72</v>
      </c>
      <c r="C2815" s="2" t="s">
        <v>73</v>
      </c>
      <c r="D2815" s="2"/>
      <c r="E2815" s="2" t="str">
        <f>"FES1162571070"</f>
        <v>FES1162571070</v>
      </c>
      <c r="F2815" s="3">
        <v>42970</v>
      </c>
      <c r="G2815" s="2">
        <v>201802</v>
      </c>
      <c r="H2815" s="2" t="s">
        <v>74</v>
      </c>
      <c r="I2815" s="2" t="s">
        <v>75</v>
      </c>
      <c r="J2815" s="2" t="s">
        <v>76</v>
      </c>
      <c r="K2815" s="2" t="s">
        <v>77</v>
      </c>
      <c r="L2815" s="2" t="s">
        <v>174</v>
      </c>
      <c r="M2815" s="2" t="s">
        <v>175</v>
      </c>
      <c r="N2815" s="2" t="s">
        <v>1418</v>
      </c>
      <c r="O2815" s="2" t="s">
        <v>81</v>
      </c>
      <c r="P2815" s="2" t="str">
        <f>"2170586750                    "</f>
        <v xml:space="preserve">2170586750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11.35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23.2</v>
      </c>
      <c r="BJ2815" s="2">
        <v>8.9</v>
      </c>
      <c r="BK2815" s="2">
        <v>24</v>
      </c>
      <c r="BL2815" s="2">
        <v>122.51</v>
      </c>
      <c r="BM2815" s="2">
        <v>17.149999999999999</v>
      </c>
      <c r="BN2815" s="2">
        <v>139.66</v>
      </c>
      <c r="BO2815" s="2">
        <v>139.66</v>
      </c>
      <c r="BP2815" s="2"/>
      <c r="BQ2815" s="2" t="s">
        <v>108</v>
      </c>
      <c r="BR2815" s="2" t="s">
        <v>84</v>
      </c>
      <c r="BS2815" s="3">
        <v>42972</v>
      </c>
      <c r="BT2815" s="4">
        <v>0.48125000000000001</v>
      </c>
      <c r="BU2815" s="2" t="s">
        <v>3119</v>
      </c>
      <c r="BV2815" s="2" t="s">
        <v>95</v>
      </c>
      <c r="BW2815" s="2"/>
      <c r="BX2815" s="2"/>
      <c r="BY2815" s="2">
        <v>44494.7</v>
      </c>
      <c r="BZ2815" s="2"/>
      <c r="CA2815" s="2" t="s">
        <v>1420</v>
      </c>
      <c r="CB2815" s="2"/>
      <c r="CC2815" s="2" t="s">
        <v>175</v>
      </c>
      <c r="CD2815" s="2">
        <v>5201</v>
      </c>
      <c r="CE2815" s="2" t="s">
        <v>89</v>
      </c>
      <c r="CF2815" s="5">
        <v>42975</v>
      </c>
      <c r="CG2815" s="2"/>
      <c r="CH2815" s="2"/>
      <c r="CI2815" s="2">
        <v>2</v>
      </c>
      <c r="CJ2815" s="2">
        <v>2</v>
      </c>
      <c r="CK2815" s="2" t="s">
        <v>3120</v>
      </c>
      <c r="CL2815" s="2" t="s">
        <v>86</v>
      </c>
      <c r="CM2815" s="2"/>
    </row>
    <row r="2816" spans="1:91">
      <c r="A2816" s="2" t="s">
        <v>71</v>
      </c>
      <c r="B2816" s="2" t="s">
        <v>72</v>
      </c>
      <c r="C2816" s="2" t="s">
        <v>73</v>
      </c>
      <c r="D2816" s="2"/>
      <c r="E2816" s="2" t="str">
        <f>"FES1162570800"</f>
        <v>FES1162570800</v>
      </c>
      <c r="F2816" s="3">
        <v>42970</v>
      </c>
      <c r="G2816" s="2">
        <v>201802</v>
      </c>
      <c r="H2816" s="2" t="s">
        <v>74</v>
      </c>
      <c r="I2816" s="2" t="s">
        <v>75</v>
      </c>
      <c r="J2816" s="2" t="s">
        <v>76</v>
      </c>
      <c r="K2816" s="2" t="s">
        <v>77</v>
      </c>
      <c r="L2816" s="2" t="s">
        <v>149</v>
      </c>
      <c r="M2816" s="2" t="s">
        <v>150</v>
      </c>
      <c r="N2816" s="2" t="s">
        <v>482</v>
      </c>
      <c r="O2816" s="2" t="s">
        <v>81</v>
      </c>
      <c r="P2816" s="2" t="str">
        <f>"2170583962                    "</f>
        <v xml:space="preserve">2170583962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7.76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24</v>
      </c>
      <c r="BJ2816" s="2">
        <v>9.9</v>
      </c>
      <c r="BK2816" s="2">
        <v>24</v>
      </c>
      <c r="BL2816" s="2">
        <v>85.39</v>
      </c>
      <c r="BM2816" s="2">
        <v>11.95</v>
      </c>
      <c r="BN2816" s="2">
        <v>97.34</v>
      </c>
      <c r="BO2816" s="2">
        <v>97.34</v>
      </c>
      <c r="BP2816" s="2"/>
      <c r="BQ2816" s="2" t="s">
        <v>83</v>
      </c>
      <c r="BR2816" s="2" t="s">
        <v>84</v>
      </c>
      <c r="BS2816" s="3">
        <v>42971</v>
      </c>
      <c r="BT2816" s="4">
        <v>0.58194444444444449</v>
      </c>
      <c r="BU2816" s="2" t="s">
        <v>3121</v>
      </c>
      <c r="BV2816" s="2" t="s">
        <v>95</v>
      </c>
      <c r="BW2816" s="2"/>
      <c r="BX2816" s="2"/>
      <c r="BY2816" s="2">
        <v>49419</v>
      </c>
      <c r="BZ2816" s="2"/>
      <c r="CA2816" s="2" t="s">
        <v>3122</v>
      </c>
      <c r="CB2816" s="2"/>
      <c r="CC2816" s="2" t="s">
        <v>150</v>
      </c>
      <c r="CD2816" s="2">
        <v>4001</v>
      </c>
      <c r="CE2816" s="2" t="s">
        <v>89</v>
      </c>
      <c r="CF2816" s="5">
        <v>42972</v>
      </c>
      <c r="CG2816" s="2"/>
      <c r="CH2816" s="2"/>
      <c r="CI2816" s="2">
        <v>1</v>
      </c>
      <c r="CJ2816" s="2">
        <v>1</v>
      </c>
      <c r="CK2816" s="2" t="s">
        <v>153</v>
      </c>
      <c r="CL2816" s="2" t="s">
        <v>86</v>
      </c>
      <c r="CM2816" s="2"/>
    </row>
    <row r="2817" spans="1:91">
      <c r="A2817" s="2" t="s">
        <v>71</v>
      </c>
      <c r="B2817" s="2" t="s">
        <v>72</v>
      </c>
      <c r="C2817" s="2" t="s">
        <v>73</v>
      </c>
      <c r="D2817" s="2"/>
      <c r="E2817" s="2" t="str">
        <f>"FES1162570769"</f>
        <v>FES1162570769</v>
      </c>
      <c r="F2817" s="3">
        <v>42970</v>
      </c>
      <c r="G2817" s="2">
        <v>201802</v>
      </c>
      <c r="H2817" s="2" t="s">
        <v>74</v>
      </c>
      <c r="I2817" s="2" t="s">
        <v>75</v>
      </c>
      <c r="J2817" s="2" t="s">
        <v>76</v>
      </c>
      <c r="K2817" s="2" t="s">
        <v>77</v>
      </c>
      <c r="L2817" s="2" t="s">
        <v>97</v>
      </c>
      <c r="M2817" s="2" t="s">
        <v>98</v>
      </c>
      <c r="N2817" s="2" t="s">
        <v>248</v>
      </c>
      <c r="O2817" s="2" t="s">
        <v>81</v>
      </c>
      <c r="P2817" s="2" t="str">
        <f>"2170580184                    "</f>
        <v xml:space="preserve">2170580184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11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22.2</v>
      </c>
      <c r="BJ2817" s="2">
        <v>9.4</v>
      </c>
      <c r="BK2817" s="2">
        <v>23</v>
      </c>
      <c r="BL2817" s="2">
        <v>118.88</v>
      </c>
      <c r="BM2817" s="2">
        <v>16.64</v>
      </c>
      <c r="BN2817" s="2">
        <v>135.52000000000001</v>
      </c>
      <c r="BO2817" s="2">
        <v>135.52000000000001</v>
      </c>
      <c r="BP2817" s="2"/>
      <c r="BQ2817" s="2" t="s">
        <v>83</v>
      </c>
      <c r="BR2817" s="2" t="s">
        <v>84</v>
      </c>
      <c r="BS2817" s="3">
        <v>42972</v>
      </c>
      <c r="BT2817" s="4">
        <v>0.3888888888888889</v>
      </c>
      <c r="BU2817" s="2" t="s">
        <v>3123</v>
      </c>
      <c r="BV2817" s="2" t="s">
        <v>95</v>
      </c>
      <c r="BW2817" s="2"/>
      <c r="BX2817" s="2"/>
      <c r="BY2817" s="2">
        <v>46798.05</v>
      </c>
      <c r="BZ2817" s="2"/>
      <c r="CA2817" s="2" t="s">
        <v>134</v>
      </c>
      <c r="CB2817" s="2"/>
      <c r="CC2817" s="2" t="s">
        <v>98</v>
      </c>
      <c r="CD2817" s="2">
        <v>6001</v>
      </c>
      <c r="CE2817" s="2" t="s">
        <v>89</v>
      </c>
      <c r="CF2817" s="5">
        <v>42975</v>
      </c>
      <c r="CG2817" s="2"/>
      <c r="CH2817" s="2"/>
      <c r="CI2817" s="2">
        <v>2</v>
      </c>
      <c r="CJ2817" s="2">
        <v>2</v>
      </c>
      <c r="CK2817" s="2" t="s">
        <v>136</v>
      </c>
      <c r="CL2817" s="2" t="s">
        <v>86</v>
      </c>
      <c r="CM2817" s="2"/>
    </row>
    <row r="2818" spans="1:91">
      <c r="A2818" s="2" t="s">
        <v>71</v>
      </c>
      <c r="B2818" s="2" t="s">
        <v>72</v>
      </c>
      <c r="C2818" s="2" t="s">
        <v>73</v>
      </c>
      <c r="D2818" s="2"/>
      <c r="E2818" s="2" t="str">
        <f>"FES1162571079"</f>
        <v>FES1162571079</v>
      </c>
      <c r="F2818" s="3">
        <v>42970</v>
      </c>
      <c r="G2818" s="2">
        <v>201802</v>
      </c>
      <c r="H2818" s="2" t="s">
        <v>74</v>
      </c>
      <c r="I2818" s="2" t="s">
        <v>75</v>
      </c>
      <c r="J2818" s="2" t="s">
        <v>76</v>
      </c>
      <c r="K2818" s="2" t="s">
        <v>77</v>
      </c>
      <c r="L2818" s="2" t="s">
        <v>417</v>
      </c>
      <c r="M2818" s="2" t="s">
        <v>417</v>
      </c>
      <c r="N2818" s="2" t="s">
        <v>2218</v>
      </c>
      <c r="O2818" s="2" t="s">
        <v>100</v>
      </c>
      <c r="P2818" s="2" t="str">
        <f>"2170586762                    "</f>
        <v xml:space="preserve">2170586762 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4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1</v>
      </c>
      <c r="BJ2818" s="2">
        <v>0.2</v>
      </c>
      <c r="BK2818" s="2">
        <v>1</v>
      </c>
      <c r="BL2818" s="2">
        <v>41.44</v>
      </c>
      <c r="BM2818" s="2">
        <v>5.8</v>
      </c>
      <c r="BN2818" s="2">
        <v>47.24</v>
      </c>
      <c r="BO2818" s="2">
        <v>47.24</v>
      </c>
      <c r="BP2818" s="2"/>
      <c r="BQ2818" s="2" t="s">
        <v>83</v>
      </c>
      <c r="BR2818" s="2" t="s">
        <v>84</v>
      </c>
      <c r="BS2818" s="3">
        <v>42971</v>
      </c>
      <c r="BT2818" s="4">
        <v>0.48958333333333331</v>
      </c>
      <c r="BU2818" s="2" t="s">
        <v>3124</v>
      </c>
      <c r="BV2818" s="2" t="s">
        <v>95</v>
      </c>
      <c r="BW2818" s="2"/>
      <c r="BX2818" s="2"/>
      <c r="BY2818" s="2">
        <v>1200</v>
      </c>
      <c r="BZ2818" s="2"/>
      <c r="CA2818" s="2" t="s">
        <v>420</v>
      </c>
      <c r="CB2818" s="2"/>
      <c r="CC2818" s="2" t="s">
        <v>417</v>
      </c>
      <c r="CD2818" s="2">
        <v>7646</v>
      </c>
      <c r="CE2818" s="2" t="s">
        <v>104</v>
      </c>
      <c r="CF2818" s="5">
        <v>42972</v>
      </c>
      <c r="CG2818" s="2"/>
      <c r="CH2818" s="2"/>
      <c r="CI2818" s="2">
        <v>1</v>
      </c>
      <c r="CJ2818" s="2">
        <v>1</v>
      </c>
      <c r="CK2818" s="2">
        <v>21</v>
      </c>
      <c r="CL2818" s="2" t="s">
        <v>86</v>
      </c>
      <c r="CM2818" s="2"/>
    </row>
    <row r="2819" spans="1:91">
      <c r="A2819" s="2" t="s">
        <v>71</v>
      </c>
      <c r="B2819" s="2" t="s">
        <v>72</v>
      </c>
      <c r="C2819" s="2" t="s">
        <v>73</v>
      </c>
      <c r="D2819" s="2"/>
      <c r="E2819" s="2" t="str">
        <f>"FES1162571059"</f>
        <v>FES1162571059</v>
      </c>
      <c r="F2819" s="3">
        <v>42970</v>
      </c>
      <c r="G2819" s="2">
        <v>201802</v>
      </c>
      <c r="H2819" s="2" t="s">
        <v>74</v>
      </c>
      <c r="I2819" s="2" t="s">
        <v>75</v>
      </c>
      <c r="J2819" s="2" t="s">
        <v>76</v>
      </c>
      <c r="K2819" s="2" t="s">
        <v>77</v>
      </c>
      <c r="L2819" s="2" t="s">
        <v>105</v>
      </c>
      <c r="M2819" s="2" t="s">
        <v>106</v>
      </c>
      <c r="N2819" s="2" t="s">
        <v>397</v>
      </c>
      <c r="O2819" s="2" t="s">
        <v>100</v>
      </c>
      <c r="P2819" s="2" t="str">
        <f>"2170586732                    "</f>
        <v xml:space="preserve">2170586732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4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1</v>
      </c>
      <c r="BJ2819" s="2">
        <v>0.2</v>
      </c>
      <c r="BK2819" s="2">
        <v>1</v>
      </c>
      <c r="BL2819" s="2">
        <v>41.44</v>
      </c>
      <c r="BM2819" s="2">
        <v>5.8</v>
      </c>
      <c r="BN2819" s="2">
        <v>47.24</v>
      </c>
      <c r="BO2819" s="2">
        <v>47.24</v>
      </c>
      <c r="BP2819" s="2"/>
      <c r="BQ2819" s="2" t="s">
        <v>108</v>
      </c>
      <c r="BR2819" s="2" t="s">
        <v>84</v>
      </c>
      <c r="BS2819" s="3">
        <v>42971</v>
      </c>
      <c r="BT2819" s="4">
        <v>0.3611111111111111</v>
      </c>
      <c r="BU2819" s="2" t="s">
        <v>3125</v>
      </c>
      <c r="BV2819" s="2" t="s">
        <v>95</v>
      </c>
      <c r="BW2819" s="2"/>
      <c r="BX2819" s="2"/>
      <c r="BY2819" s="2">
        <v>1200</v>
      </c>
      <c r="BZ2819" s="2"/>
      <c r="CA2819" s="2"/>
      <c r="CB2819" s="2"/>
      <c r="CC2819" s="2" t="s">
        <v>106</v>
      </c>
      <c r="CD2819" s="2">
        <v>7530</v>
      </c>
      <c r="CE2819" s="2" t="s">
        <v>104</v>
      </c>
      <c r="CF2819" s="5">
        <v>42972</v>
      </c>
      <c r="CG2819" s="2"/>
      <c r="CH2819" s="2"/>
      <c r="CI2819" s="2">
        <v>1</v>
      </c>
      <c r="CJ2819" s="2">
        <v>1</v>
      </c>
      <c r="CK2819" s="2">
        <v>21</v>
      </c>
      <c r="CL2819" s="2" t="s">
        <v>86</v>
      </c>
      <c r="CM2819" s="2"/>
    </row>
    <row r="2820" spans="1:91">
      <c r="A2820" s="2" t="s">
        <v>71</v>
      </c>
      <c r="B2820" s="2" t="s">
        <v>72</v>
      </c>
      <c r="C2820" s="2" t="s">
        <v>73</v>
      </c>
      <c r="D2820" s="2"/>
      <c r="E2820" s="2" t="str">
        <f>"FES1162570969"</f>
        <v>FES1162570969</v>
      </c>
      <c r="F2820" s="3">
        <v>42970</v>
      </c>
      <c r="G2820" s="2">
        <v>201802</v>
      </c>
      <c r="H2820" s="2" t="s">
        <v>74</v>
      </c>
      <c r="I2820" s="2" t="s">
        <v>75</v>
      </c>
      <c r="J2820" s="2" t="s">
        <v>76</v>
      </c>
      <c r="K2820" s="2" t="s">
        <v>77</v>
      </c>
      <c r="L2820" s="2" t="s">
        <v>105</v>
      </c>
      <c r="M2820" s="2" t="s">
        <v>106</v>
      </c>
      <c r="N2820" s="2" t="s">
        <v>107</v>
      </c>
      <c r="O2820" s="2" t="s">
        <v>100</v>
      </c>
      <c r="P2820" s="2" t="str">
        <f>"2170586642                    "</f>
        <v xml:space="preserve">2170586642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4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1</v>
      </c>
      <c r="BI2820" s="2">
        <v>0.6</v>
      </c>
      <c r="BJ2820" s="2">
        <v>0.9</v>
      </c>
      <c r="BK2820" s="2">
        <v>1</v>
      </c>
      <c r="BL2820" s="2">
        <v>41.44</v>
      </c>
      <c r="BM2820" s="2">
        <v>5.8</v>
      </c>
      <c r="BN2820" s="2">
        <v>47.24</v>
      </c>
      <c r="BO2820" s="2">
        <v>47.24</v>
      </c>
      <c r="BP2820" s="2"/>
      <c r="BQ2820" s="2" t="s">
        <v>108</v>
      </c>
      <c r="BR2820" s="2" t="s">
        <v>84</v>
      </c>
      <c r="BS2820" s="3">
        <v>42971</v>
      </c>
      <c r="BT2820" s="4">
        <v>0.41666666666666669</v>
      </c>
      <c r="BU2820" s="2" t="s">
        <v>85</v>
      </c>
      <c r="BV2820" s="2" t="s">
        <v>95</v>
      </c>
      <c r="BW2820" s="2"/>
      <c r="BX2820" s="2"/>
      <c r="BY2820" s="2">
        <v>4708.7700000000004</v>
      </c>
      <c r="BZ2820" s="2"/>
      <c r="CA2820" s="2"/>
      <c r="CB2820" s="2"/>
      <c r="CC2820" s="2" t="s">
        <v>106</v>
      </c>
      <c r="CD2820" s="2">
        <v>7405</v>
      </c>
      <c r="CE2820" s="2" t="s">
        <v>89</v>
      </c>
      <c r="CF2820" s="5">
        <v>42972</v>
      </c>
      <c r="CG2820" s="2"/>
      <c r="CH2820" s="2"/>
      <c r="CI2820" s="2">
        <v>1</v>
      </c>
      <c r="CJ2820" s="2">
        <v>1</v>
      </c>
      <c r="CK2820" s="2">
        <v>21</v>
      </c>
      <c r="CL2820" s="2" t="s">
        <v>86</v>
      </c>
      <c r="CM2820" s="2"/>
    </row>
    <row r="2821" spans="1:91">
      <c r="A2821" s="2" t="s">
        <v>71</v>
      </c>
      <c r="B2821" s="2" t="s">
        <v>72</v>
      </c>
      <c r="C2821" s="2" t="s">
        <v>73</v>
      </c>
      <c r="D2821" s="2"/>
      <c r="E2821" s="2" t="str">
        <f>"FES1162571056"</f>
        <v>FES1162571056</v>
      </c>
      <c r="F2821" s="3">
        <v>42970</v>
      </c>
      <c r="G2821" s="2">
        <v>201802</v>
      </c>
      <c r="H2821" s="2" t="s">
        <v>74</v>
      </c>
      <c r="I2821" s="2" t="s">
        <v>75</v>
      </c>
      <c r="J2821" s="2" t="s">
        <v>76</v>
      </c>
      <c r="K2821" s="2" t="s">
        <v>77</v>
      </c>
      <c r="L2821" s="2" t="s">
        <v>105</v>
      </c>
      <c r="M2821" s="2" t="s">
        <v>106</v>
      </c>
      <c r="N2821" s="2" t="s">
        <v>397</v>
      </c>
      <c r="O2821" s="2" t="s">
        <v>100</v>
      </c>
      <c r="P2821" s="2" t="str">
        <f>"2170586723                    "</f>
        <v xml:space="preserve">2170586723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10.01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5</v>
      </c>
      <c r="BJ2821" s="2">
        <v>2.5</v>
      </c>
      <c r="BK2821" s="2">
        <v>5</v>
      </c>
      <c r="BL2821" s="2">
        <v>103.61</v>
      </c>
      <c r="BM2821" s="2">
        <v>14.51</v>
      </c>
      <c r="BN2821" s="2">
        <v>118.12</v>
      </c>
      <c r="BO2821" s="2">
        <v>118.12</v>
      </c>
      <c r="BP2821" s="2"/>
      <c r="BQ2821" s="2" t="s">
        <v>83</v>
      </c>
      <c r="BR2821" s="2" t="s">
        <v>84</v>
      </c>
      <c r="BS2821" s="3">
        <v>42971</v>
      </c>
      <c r="BT2821" s="4">
        <v>0.41666666666666669</v>
      </c>
      <c r="BU2821" s="2" t="s">
        <v>2677</v>
      </c>
      <c r="BV2821" s="2" t="s">
        <v>95</v>
      </c>
      <c r="BW2821" s="2"/>
      <c r="BX2821" s="2"/>
      <c r="BY2821" s="2">
        <v>12251.25</v>
      </c>
      <c r="BZ2821" s="2"/>
      <c r="CA2821" s="2" t="s">
        <v>148</v>
      </c>
      <c r="CB2821" s="2"/>
      <c r="CC2821" s="2" t="s">
        <v>106</v>
      </c>
      <c r="CD2821" s="2">
        <v>7405</v>
      </c>
      <c r="CE2821" s="2" t="s">
        <v>135</v>
      </c>
      <c r="CF2821" s="5">
        <v>42972</v>
      </c>
      <c r="CG2821" s="2"/>
      <c r="CH2821" s="2"/>
      <c r="CI2821" s="2">
        <v>1</v>
      </c>
      <c r="CJ2821" s="2">
        <v>1</v>
      </c>
      <c r="CK2821" s="2">
        <v>21</v>
      </c>
      <c r="CL2821" s="2" t="s">
        <v>86</v>
      </c>
      <c r="CM2821" s="2"/>
    </row>
    <row r="2822" spans="1:91">
      <c r="A2822" s="2" t="s">
        <v>71</v>
      </c>
      <c r="B2822" s="2" t="s">
        <v>72</v>
      </c>
      <c r="C2822" s="2" t="s">
        <v>73</v>
      </c>
      <c r="D2822" s="2"/>
      <c r="E2822" s="2" t="str">
        <f>"FES1162571068"</f>
        <v>FES1162571068</v>
      </c>
      <c r="F2822" s="3">
        <v>42970</v>
      </c>
      <c r="G2822" s="2">
        <v>201802</v>
      </c>
      <c r="H2822" s="2" t="s">
        <v>74</v>
      </c>
      <c r="I2822" s="2" t="s">
        <v>75</v>
      </c>
      <c r="J2822" s="2" t="s">
        <v>76</v>
      </c>
      <c r="K2822" s="2" t="s">
        <v>77</v>
      </c>
      <c r="L2822" s="2" t="s">
        <v>105</v>
      </c>
      <c r="M2822" s="2" t="s">
        <v>106</v>
      </c>
      <c r="N2822" s="2" t="s">
        <v>253</v>
      </c>
      <c r="O2822" s="2" t="s">
        <v>100</v>
      </c>
      <c r="P2822" s="2" t="str">
        <f>"2170586746                    "</f>
        <v xml:space="preserve">2170586746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4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1</v>
      </c>
      <c r="BJ2822" s="2">
        <v>0.2</v>
      </c>
      <c r="BK2822" s="2">
        <v>1</v>
      </c>
      <c r="BL2822" s="2">
        <v>41.44</v>
      </c>
      <c r="BM2822" s="2">
        <v>5.8</v>
      </c>
      <c r="BN2822" s="2">
        <v>47.24</v>
      </c>
      <c r="BO2822" s="2">
        <v>47.24</v>
      </c>
      <c r="BP2822" s="2"/>
      <c r="BQ2822" s="2" t="s">
        <v>108</v>
      </c>
      <c r="BR2822" s="2" t="s">
        <v>84</v>
      </c>
      <c r="BS2822" s="3">
        <v>42971</v>
      </c>
      <c r="BT2822" s="4">
        <v>0.42499999999999999</v>
      </c>
      <c r="BU2822" s="2" t="s">
        <v>3108</v>
      </c>
      <c r="BV2822" s="2" t="s">
        <v>95</v>
      </c>
      <c r="BW2822" s="2"/>
      <c r="BX2822" s="2"/>
      <c r="BY2822" s="2">
        <v>1200</v>
      </c>
      <c r="BZ2822" s="2"/>
      <c r="CA2822" s="2" t="s">
        <v>654</v>
      </c>
      <c r="CB2822" s="2"/>
      <c r="CC2822" s="2" t="s">
        <v>106</v>
      </c>
      <c r="CD2822" s="2">
        <v>7490</v>
      </c>
      <c r="CE2822" s="2" t="s">
        <v>104</v>
      </c>
      <c r="CF2822" s="5">
        <v>42972</v>
      </c>
      <c r="CG2822" s="2"/>
      <c r="CH2822" s="2"/>
      <c r="CI2822" s="2">
        <v>1</v>
      </c>
      <c r="CJ2822" s="2">
        <v>1</v>
      </c>
      <c r="CK2822" s="2">
        <v>21</v>
      </c>
      <c r="CL2822" s="2" t="s">
        <v>86</v>
      </c>
      <c r="CM2822" s="2"/>
    </row>
    <row r="2823" spans="1:91">
      <c r="A2823" s="2" t="s">
        <v>71</v>
      </c>
      <c r="B2823" s="2" t="s">
        <v>72</v>
      </c>
      <c r="C2823" s="2" t="s">
        <v>73</v>
      </c>
      <c r="D2823" s="2"/>
      <c r="E2823" s="2" t="str">
        <f>"FES1162570796"</f>
        <v>FES1162570796</v>
      </c>
      <c r="F2823" s="3">
        <v>42970</v>
      </c>
      <c r="G2823" s="2">
        <v>201802</v>
      </c>
      <c r="H2823" s="2" t="s">
        <v>74</v>
      </c>
      <c r="I2823" s="2" t="s">
        <v>75</v>
      </c>
      <c r="J2823" s="2" t="s">
        <v>76</v>
      </c>
      <c r="K2823" s="2" t="s">
        <v>77</v>
      </c>
      <c r="L2823" s="2" t="s">
        <v>105</v>
      </c>
      <c r="M2823" s="2" t="s">
        <v>106</v>
      </c>
      <c r="N2823" s="2" t="s">
        <v>1576</v>
      </c>
      <c r="O2823" s="2" t="s">
        <v>100</v>
      </c>
      <c r="P2823" s="2" t="str">
        <f>"2170586532                    "</f>
        <v xml:space="preserve">2170586532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5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2.4</v>
      </c>
      <c r="BJ2823" s="2">
        <v>1.4</v>
      </c>
      <c r="BK2823" s="2">
        <v>2.5</v>
      </c>
      <c r="BL2823" s="2">
        <v>51.8</v>
      </c>
      <c r="BM2823" s="2">
        <v>7.25</v>
      </c>
      <c r="BN2823" s="2">
        <v>59.05</v>
      </c>
      <c r="BO2823" s="2">
        <v>59.05</v>
      </c>
      <c r="BP2823" s="2"/>
      <c r="BQ2823" s="2" t="s">
        <v>83</v>
      </c>
      <c r="BR2823" s="2" t="s">
        <v>84</v>
      </c>
      <c r="BS2823" s="3">
        <v>42971</v>
      </c>
      <c r="BT2823" s="4">
        <v>0.39444444444444443</v>
      </c>
      <c r="BU2823" s="2" t="s">
        <v>2888</v>
      </c>
      <c r="BV2823" s="2" t="s">
        <v>95</v>
      </c>
      <c r="BW2823" s="2"/>
      <c r="BX2823" s="2"/>
      <c r="BY2823" s="2">
        <v>7025.76</v>
      </c>
      <c r="BZ2823" s="2"/>
      <c r="CA2823" s="2" t="s">
        <v>869</v>
      </c>
      <c r="CB2823" s="2"/>
      <c r="CC2823" s="2" t="s">
        <v>106</v>
      </c>
      <c r="CD2823" s="2">
        <v>7460</v>
      </c>
      <c r="CE2823" s="2" t="s">
        <v>89</v>
      </c>
      <c r="CF2823" s="5">
        <v>42972</v>
      </c>
      <c r="CG2823" s="2"/>
      <c r="CH2823" s="2"/>
      <c r="CI2823" s="2">
        <v>1</v>
      </c>
      <c r="CJ2823" s="2">
        <v>1</v>
      </c>
      <c r="CK2823" s="2">
        <v>21</v>
      </c>
      <c r="CL2823" s="2" t="s">
        <v>86</v>
      </c>
      <c r="CM2823" s="2"/>
    </row>
    <row r="2824" spans="1:91">
      <c r="A2824" s="2" t="s">
        <v>71</v>
      </c>
      <c r="B2824" s="2" t="s">
        <v>72</v>
      </c>
      <c r="C2824" s="2" t="s">
        <v>73</v>
      </c>
      <c r="D2824" s="2"/>
      <c r="E2824" s="2" t="str">
        <f>"FES1162570903"</f>
        <v>FES1162570903</v>
      </c>
      <c r="F2824" s="3">
        <v>42970</v>
      </c>
      <c r="G2824" s="2">
        <v>201802</v>
      </c>
      <c r="H2824" s="2" t="s">
        <v>74</v>
      </c>
      <c r="I2824" s="2" t="s">
        <v>75</v>
      </c>
      <c r="J2824" s="2" t="s">
        <v>76</v>
      </c>
      <c r="K2824" s="2" t="s">
        <v>77</v>
      </c>
      <c r="L2824" s="2" t="s">
        <v>105</v>
      </c>
      <c r="M2824" s="2" t="s">
        <v>106</v>
      </c>
      <c r="N2824" s="2" t="s">
        <v>644</v>
      </c>
      <c r="O2824" s="2" t="s">
        <v>100</v>
      </c>
      <c r="P2824" s="2" t="str">
        <f>"2170586581                    "</f>
        <v xml:space="preserve">2170586581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4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1</v>
      </c>
      <c r="BI2824" s="2">
        <v>1</v>
      </c>
      <c r="BJ2824" s="2">
        <v>0.2</v>
      </c>
      <c r="BK2824" s="2">
        <v>1</v>
      </c>
      <c r="BL2824" s="2">
        <v>41.44</v>
      </c>
      <c r="BM2824" s="2">
        <v>5.8</v>
      </c>
      <c r="BN2824" s="2">
        <v>47.24</v>
      </c>
      <c r="BO2824" s="2">
        <v>47.24</v>
      </c>
      <c r="BP2824" s="2"/>
      <c r="BQ2824" s="2" t="s">
        <v>108</v>
      </c>
      <c r="BR2824" s="2" t="s">
        <v>84</v>
      </c>
      <c r="BS2824" s="3">
        <v>42971</v>
      </c>
      <c r="BT2824" s="4">
        <v>0.43888888888888888</v>
      </c>
      <c r="BU2824" s="2" t="s">
        <v>796</v>
      </c>
      <c r="BV2824" s="2" t="s">
        <v>95</v>
      </c>
      <c r="BW2824" s="2"/>
      <c r="BX2824" s="2"/>
      <c r="BY2824" s="2">
        <v>1200</v>
      </c>
      <c r="BZ2824" s="2"/>
      <c r="CA2824" s="2" t="s">
        <v>112</v>
      </c>
      <c r="CB2824" s="2"/>
      <c r="CC2824" s="2" t="s">
        <v>106</v>
      </c>
      <c r="CD2824" s="2">
        <v>7441</v>
      </c>
      <c r="CE2824" s="2" t="s">
        <v>104</v>
      </c>
      <c r="CF2824" s="5">
        <v>42972</v>
      </c>
      <c r="CG2824" s="2"/>
      <c r="CH2824" s="2"/>
      <c r="CI2824" s="2">
        <v>1</v>
      </c>
      <c r="CJ2824" s="2">
        <v>1</v>
      </c>
      <c r="CK2824" s="2">
        <v>21</v>
      </c>
      <c r="CL2824" s="2" t="s">
        <v>86</v>
      </c>
      <c r="CM2824" s="2"/>
    </row>
    <row r="2825" spans="1:91">
      <c r="A2825" s="2" t="s">
        <v>71</v>
      </c>
      <c r="B2825" s="2" t="s">
        <v>72</v>
      </c>
      <c r="C2825" s="2" t="s">
        <v>73</v>
      </c>
      <c r="D2825" s="2"/>
      <c r="E2825" s="2" t="str">
        <f>"FES1162570760"</f>
        <v>FES1162570760</v>
      </c>
      <c r="F2825" s="3">
        <v>42970</v>
      </c>
      <c r="G2825" s="2">
        <v>201802</v>
      </c>
      <c r="H2825" s="2" t="s">
        <v>74</v>
      </c>
      <c r="I2825" s="2" t="s">
        <v>75</v>
      </c>
      <c r="J2825" s="2" t="s">
        <v>76</v>
      </c>
      <c r="K2825" s="2" t="s">
        <v>77</v>
      </c>
      <c r="L2825" s="2" t="s">
        <v>105</v>
      </c>
      <c r="M2825" s="2" t="s">
        <v>106</v>
      </c>
      <c r="N2825" s="2" t="s">
        <v>107</v>
      </c>
      <c r="O2825" s="2" t="s">
        <v>100</v>
      </c>
      <c r="P2825" s="2" t="str">
        <f>"2170586502                    "</f>
        <v xml:space="preserve">2170586502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4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1</v>
      </c>
      <c r="BJ2825" s="2">
        <v>0.2</v>
      </c>
      <c r="BK2825" s="2">
        <v>1</v>
      </c>
      <c r="BL2825" s="2">
        <v>41.44</v>
      </c>
      <c r="BM2825" s="2">
        <v>5.8</v>
      </c>
      <c r="BN2825" s="2">
        <v>47.24</v>
      </c>
      <c r="BO2825" s="2">
        <v>47.24</v>
      </c>
      <c r="BP2825" s="2"/>
      <c r="BQ2825" s="2" t="s">
        <v>108</v>
      </c>
      <c r="BR2825" s="2" t="s">
        <v>84</v>
      </c>
      <c r="BS2825" s="3">
        <v>42971</v>
      </c>
      <c r="BT2825" s="4">
        <v>0.3743055555555555</v>
      </c>
      <c r="BU2825" s="2" t="s">
        <v>236</v>
      </c>
      <c r="BV2825" s="2" t="s">
        <v>95</v>
      </c>
      <c r="BW2825" s="2"/>
      <c r="BX2825" s="2"/>
      <c r="BY2825" s="2">
        <v>1200</v>
      </c>
      <c r="BZ2825" s="2"/>
      <c r="CA2825" s="2" t="s">
        <v>112</v>
      </c>
      <c r="CB2825" s="2"/>
      <c r="CC2825" s="2" t="s">
        <v>106</v>
      </c>
      <c r="CD2825" s="2">
        <v>7405</v>
      </c>
      <c r="CE2825" s="2" t="s">
        <v>104</v>
      </c>
      <c r="CF2825" s="5">
        <v>42972</v>
      </c>
      <c r="CG2825" s="2"/>
      <c r="CH2825" s="2"/>
      <c r="CI2825" s="2">
        <v>1</v>
      </c>
      <c r="CJ2825" s="2">
        <v>1</v>
      </c>
      <c r="CK2825" s="2">
        <v>21</v>
      </c>
      <c r="CL2825" s="2" t="s">
        <v>86</v>
      </c>
      <c r="CM2825" s="2"/>
    </row>
    <row r="2826" spans="1:91">
      <c r="A2826" s="2" t="s">
        <v>71</v>
      </c>
      <c r="B2826" s="2" t="s">
        <v>72</v>
      </c>
      <c r="C2826" s="2" t="s">
        <v>73</v>
      </c>
      <c r="D2826" s="2"/>
      <c r="E2826" s="2" t="str">
        <f>"FES1162570820"</f>
        <v>FES1162570820</v>
      </c>
      <c r="F2826" s="3">
        <v>42970</v>
      </c>
      <c r="G2826" s="2">
        <v>201802</v>
      </c>
      <c r="H2826" s="2" t="s">
        <v>74</v>
      </c>
      <c r="I2826" s="2" t="s">
        <v>75</v>
      </c>
      <c r="J2826" s="2" t="s">
        <v>76</v>
      </c>
      <c r="K2826" s="2" t="s">
        <v>77</v>
      </c>
      <c r="L2826" s="2" t="s">
        <v>105</v>
      </c>
      <c r="M2826" s="2" t="s">
        <v>106</v>
      </c>
      <c r="N2826" s="2" t="s">
        <v>253</v>
      </c>
      <c r="O2826" s="2" t="s">
        <v>100</v>
      </c>
      <c r="P2826" s="2" t="str">
        <f>"2170586547                    "</f>
        <v xml:space="preserve">2170586547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4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1</v>
      </c>
      <c r="BJ2826" s="2">
        <v>0.2</v>
      </c>
      <c r="BK2826" s="2">
        <v>1</v>
      </c>
      <c r="BL2826" s="2">
        <v>41.44</v>
      </c>
      <c r="BM2826" s="2">
        <v>5.8</v>
      </c>
      <c r="BN2826" s="2">
        <v>47.24</v>
      </c>
      <c r="BO2826" s="2">
        <v>47.24</v>
      </c>
      <c r="BP2826" s="2"/>
      <c r="BQ2826" s="2" t="s">
        <v>108</v>
      </c>
      <c r="BR2826" s="2" t="s">
        <v>84</v>
      </c>
      <c r="BS2826" s="3">
        <v>42971</v>
      </c>
      <c r="BT2826" s="4">
        <v>0.42499999999999999</v>
      </c>
      <c r="BU2826" s="2" t="s">
        <v>3108</v>
      </c>
      <c r="BV2826" s="2" t="s">
        <v>95</v>
      </c>
      <c r="BW2826" s="2"/>
      <c r="BX2826" s="2"/>
      <c r="BY2826" s="2">
        <v>1200</v>
      </c>
      <c r="BZ2826" s="2"/>
      <c r="CA2826" s="2" t="s">
        <v>3126</v>
      </c>
      <c r="CB2826" s="2"/>
      <c r="CC2826" s="2" t="s">
        <v>106</v>
      </c>
      <c r="CD2826" s="2">
        <v>7490</v>
      </c>
      <c r="CE2826" s="2" t="s">
        <v>104</v>
      </c>
      <c r="CF2826" s="5">
        <v>42972</v>
      </c>
      <c r="CG2826" s="2"/>
      <c r="CH2826" s="2"/>
      <c r="CI2826" s="2">
        <v>1</v>
      </c>
      <c r="CJ2826" s="2">
        <v>1</v>
      </c>
      <c r="CK2826" s="2">
        <v>21</v>
      </c>
      <c r="CL2826" s="2" t="s">
        <v>86</v>
      </c>
      <c r="CM2826" s="2"/>
    </row>
    <row r="2827" spans="1:91">
      <c r="A2827" s="2" t="s">
        <v>71</v>
      </c>
      <c r="B2827" s="2" t="s">
        <v>72</v>
      </c>
      <c r="C2827" s="2" t="s">
        <v>73</v>
      </c>
      <c r="D2827" s="2"/>
      <c r="E2827" s="2" t="str">
        <f>"FES1162570748"</f>
        <v>FES1162570748</v>
      </c>
      <c r="F2827" s="3">
        <v>42970</v>
      </c>
      <c r="G2827" s="2">
        <v>201802</v>
      </c>
      <c r="H2827" s="2" t="s">
        <v>74</v>
      </c>
      <c r="I2827" s="2" t="s">
        <v>75</v>
      </c>
      <c r="J2827" s="2" t="s">
        <v>76</v>
      </c>
      <c r="K2827" s="2" t="s">
        <v>77</v>
      </c>
      <c r="L2827" s="2" t="s">
        <v>105</v>
      </c>
      <c r="M2827" s="2" t="s">
        <v>106</v>
      </c>
      <c r="N2827" s="2" t="s">
        <v>705</v>
      </c>
      <c r="O2827" s="2" t="s">
        <v>100</v>
      </c>
      <c r="P2827" s="2" t="str">
        <f>"2170586200                    "</f>
        <v xml:space="preserve">2170586200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4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1</v>
      </c>
      <c r="BJ2827" s="2">
        <v>0.2</v>
      </c>
      <c r="BK2827" s="2">
        <v>1</v>
      </c>
      <c r="BL2827" s="2">
        <v>41.44</v>
      </c>
      <c r="BM2827" s="2">
        <v>5.8</v>
      </c>
      <c r="BN2827" s="2">
        <v>47.24</v>
      </c>
      <c r="BO2827" s="2">
        <v>47.24</v>
      </c>
      <c r="BP2827" s="2"/>
      <c r="BQ2827" s="2" t="s">
        <v>108</v>
      </c>
      <c r="BR2827" s="2" t="s">
        <v>84</v>
      </c>
      <c r="BS2827" s="3">
        <v>42971</v>
      </c>
      <c r="BT2827" s="4">
        <v>0.35972222222222222</v>
      </c>
      <c r="BU2827" s="2" t="s">
        <v>3018</v>
      </c>
      <c r="BV2827" s="2" t="s">
        <v>95</v>
      </c>
      <c r="BW2827" s="2"/>
      <c r="BX2827" s="2"/>
      <c r="BY2827" s="2">
        <v>1200</v>
      </c>
      <c r="BZ2827" s="2"/>
      <c r="CA2827" s="2" t="s">
        <v>488</v>
      </c>
      <c r="CB2827" s="2"/>
      <c r="CC2827" s="2" t="s">
        <v>106</v>
      </c>
      <c r="CD2827" s="2">
        <v>7441</v>
      </c>
      <c r="CE2827" s="2" t="s">
        <v>104</v>
      </c>
      <c r="CF2827" s="5">
        <v>42972</v>
      </c>
      <c r="CG2827" s="2"/>
      <c r="CH2827" s="2"/>
      <c r="CI2827" s="2">
        <v>1</v>
      </c>
      <c r="CJ2827" s="2">
        <v>1</v>
      </c>
      <c r="CK2827" s="2">
        <v>21</v>
      </c>
      <c r="CL2827" s="2" t="s">
        <v>86</v>
      </c>
      <c r="CM2827" s="2"/>
    </row>
    <row r="2828" spans="1:91">
      <c r="A2828" s="2" t="s">
        <v>71</v>
      </c>
      <c r="B2828" s="2" t="s">
        <v>72</v>
      </c>
      <c r="C2828" s="2" t="s">
        <v>73</v>
      </c>
      <c r="D2828" s="2"/>
      <c r="E2828" s="2" t="str">
        <f>"FES1162570997"</f>
        <v>FES1162570997</v>
      </c>
      <c r="F2828" s="3">
        <v>42970</v>
      </c>
      <c r="G2828" s="2">
        <v>201802</v>
      </c>
      <c r="H2828" s="2" t="s">
        <v>74</v>
      </c>
      <c r="I2828" s="2" t="s">
        <v>75</v>
      </c>
      <c r="J2828" s="2" t="s">
        <v>76</v>
      </c>
      <c r="K2828" s="2" t="s">
        <v>77</v>
      </c>
      <c r="L2828" s="2" t="s">
        <v>924</v>
      </c>
      <c r="M2828" s="2" t="s">
        <v>925</v>
      </c>
      <c r="N2828" s="2" t="s">
        <v>1684</v>
      </c>
      <c r="O2828" s="2" t="s">
        <v>100</v>
      </c>
      <c r="P2828" s="2" t="str">
        <f>"2170586459                    "</f>
        <v xml:space="preserve">2170586459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12.01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5.6</v>
      </c>
      <c r="BJ2828" s="2">
        <v>2.7</v>
      </c>
      <c r="BK2828" s="2">
        <v>6</v>
      </c>
      <c r="BL2828" s="2">
        <v>124.33</v>
      </c>
      <c r="BM2828" s="2">
        <v>17.41</v>
      </c>
      <c r="BN2828" s="2">
        <v>141.74</v>
      </c>
      <c r="BO2828" s="2">
        <v>141.74</v>
      </c>
      <c r="BP2828" s="2"/>
      <c r="BQ2828" s="2" t="s">
        <v>83</v>
      </c>
      <c r="BR2828" s="2" t="s">
        <v>84</v>
      </c>
      <c r="BS2828" s="3">
        <v>42971</v>
      </c>
      <c r="BT2828" s="4">
        <v>0.36388888888888887</v>
      </c>
      <c r="BU2828" s="2" t="s">
        <v>1685</v>
      </c>
      <c r="BV2828" s="2" t="s">
        <v>95</v>
      </c>
      <c r="BW2828" s="2"/>
      <c r="BX2828" s="2"/>
      <c r="BY2828" s="2">
        <v>13461.12</v>
      </c>
      <c r="BZ2828" s="2"/>
      <c r="CA2828" s="2" t="s">
        <v>1071</v>
      </c>
      <c r="CB2828" s="2"/>
      <c r="CC2828" s="2" t="s">
        <v>925</v>
      </c>
      <c r="CD2828" s="2">
        <v>7600</v>
      </c>
      <c r="CE2828" s="2" t="s">
        <v>89</v>
      </c>
      <c r="CF2828" s="2"/>
      <c r="CG2828" s="2"/>
      <c r="CH2828" s="2"/>
      <c r="CI2828" s="2">
        <v>1</v>
      </c>
      <c r="CJ2828" s="2">
        <v>1</v>
      </c>
      <c r="CK2828" s="2">
        <v>21</v>
      </c>
      <c r="CL2828" s="2" t="s">
        <v>86</v>
      </c>
      <c r="CM2828" s="2"/>
    </row>
    <row r="2829" spans="1:91">
      <c r="A2829" s="2" t="s">
        <v>71</v>
      </c>
      <c r="B2829" s="2" t="s">
        <v>72</v>
      </c>
      <c r="C2829" s="2" t="s">
        <v>73</v>
      </c>
      <c r="D2829" s="2"/>
      <c r="E2829" s="2" t="str">
        <f>"FES1162570995"</f>
        <v>FES1162570995</v>
      </c>
      <c r="F2829" s="3">
        <v>42970</v>
      </c>
      <c r="G2829" s="2">
        <v>201802</v>
      </c>
      <c r="H2829" s="2" t="s">
        <v>74</v>
      </c>
      <c r="I2829" s="2" t="s">
        <v>75</v>
      </c>
      <c r="J2829" s="2" t="s">
        <v>76</v>
      </c>
      <c r="K2829" s="2" t="s">
        <v>77</v>
      </c>
      <c r="L2829" s="2" t="s">
        <v>105</v>
      </c>
      <c r="M2829" s="2" t="s">
        <v>106</v>
      </c>
      <c r="N2829" s="2" t="s">
        <v>397</v>
      </c>
      <c r="O2829" s="2" t="s">
        <v>100</v>
      </c>
      <c r="P2829" s="2" t="str">
        <f>"2170586426                    "</f>
        <v xml:space="preserve">2170586426           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28.02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13.6</v>
      </c>
      <c r="BJ2829" s="2">
        <v>9.5</v>
      </c>
      <c r="BK2829" s="2">
        <v>14</v>
      </c>
      <c r="BL2829" s="2">
        <v>290.10000000000002</v>
      </c>
      <c r="BM2829" s="2">
        <v>40.61</v>
      </c>
      <c r="BN2829" s="2">
        <v>330.71</v>
      </c>
      <c r="BO2829" s="2">
        <v>330.71</v>
      </c>
      <c r="BP2829" s="2"/>
      <c r="BQ2829" s="2" t="s">
        <v>83</v>
      </c>
      <c r="BR2829" s="2" t="s">
        <v>84</v>
      </c>
      <c r="BS2829" s="3">
        <v>42971</v>
      </c>
      <c r="BT2829" s="4">
        <v>0.41666666666666669</v>
      </c>
      <c r="BU2829" s="2" t="s">
        <v>85</v>
      </c>
      <c r="BV2829" s="2" t="s">
        <v>95</v>
      </c>
      <c r="BW2829" s="2"/>
      <c r="BX2829" s="2"/>
      <c r="BY2829" s="2">
        <v>47250.38</v>
      </c>
      <c r="BZ2829" s="2"/>
      <c r="CA2829" s="2"/>
      <c r="CB2829" s="2"/>
      <c r="CC2829" s="2" t="s">
        <v>106</v>
      </c>
      <c r="CD2829" s="2">
        <v>7405</v>
      </c>
      <c r="CE2829" s="2" t="s">
        <v>89</v>
      </c>
      <c r="CF2829" s="5">
        <v>42972</v>
      </c>
      <c r="CG2829" s="2"/>
      <c r="CH2829" s="2"/>
      <c r="CI2829" s="2">
        <v>1</v>
      </c>
      <c r="CJ2829" s="2">
        <v>1</v>
      </c>
      <c r="CK2829" s="2">
        <v>21</v>
      </c>
      <c r="CL2829" s="2" t="s">
        <v>86</v>
      </c>
      <c r="CM2829" s="2"/>
    </row>
    <row r="2830" spans="1:91">
      <c r="A2830" s="2" t="s">
        <v>71</v>
      </c>
      <c r="B2830" s="2" t="s">
        <v>72</v>
      </c>
      <c r="C2830" s="2" t="s">
        <v>73</v>
      </c>
      <c r="D2830" s="2"/>
      <c r="E2830" s="2" t="str">
        <f>"FES1162570864"</f>
        <v>FES1162570864</v>
      </c>
      <c r="F2830" s="3">
        <v>42970</v>
      </c>
      <c r="G2830" s="2">
        <v>201802</v>
      </c>
      <c r="H2830" s="2" t="s">
        <v>74</v>
      </c>
      <c r="I2830" s="2" t="s">
        <v>75</v>
      </c>
      <c r="J2830" s="2" t="s">
        <v>76</v>
      </c>
      <c r="K2830" s="2" t="s">
        <v>77</v>
      </c>
      <c r="L2830" s="2" t="s">
        <v>105</v>
      </c>
      <c r="M2830" s="2" t="s">
        <v>106</v>
      </c>
      <c r="N2830" s="2" t="s">
        <v>107</v>
      </c>
      <c r="O2830" s="2" t="s">
        <v>100</v>
      </c>
      <c r="P2830" s="2" t="str">
        <f>"2170586574                    "</f>
        <v xml:space="preserve">2170586574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4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1</v>
      </c>
      <c r="BJ2830" s="2">
        <v>0.2</v>
      </c>
      <c r="BK2830" s="2">
        <v>1</v>
      </c>
      <c r="BL2830" s="2">
        <v>41.44</v>
      </c>
      <c r="BM2830" s="2">
        <v>5.8</v>
      </c>
      <c r="BN2830" s="2">
        <v>47.24</v>
      </c>
      <c r="BO2830" s="2">
        <v>47.24</v>
      </c>
      <c r="BP2830" s="2"/>
      <c r="BQ2830" s="2" t="s">
        <v>108</v>
      </c>
      <c r="BR2830" s="2" t="s">
        <v>84</v>
      </c>
      <c r="BS2830" s="3">
        <v>42971</v>
      </c>
      <c r="BT2830" s="4">
        <v>0.37361111111111112</v>
      </c>
      <c r="BU2830" s="2" t="s">
        <v>236</v>
      </c>
      <c r="BV2830" s="2" t="s">
        <v>95</v>
      </c>
      <c r="BW2830" s="2"/>
      <c r="BX2830" s="2"/>
      <c r="BY2830" s="2">
        <v>1200</v>
      </c>
      <c r="BZ2830" s="2"/>
      <c r="CA2830" s="2" t="s">
        <v>112</v>
      </c>
      <c r="CB2830" s="2"/>
      <c r="CC2830" s="2" t="s">
        <v>106</v>
      </c>
      <c r="CD2830" s="2">
        <v>7405</v>
      </c>
      <c r="CE2830" s="2" t="s">
        <v>104</v>
      </c>
      <c r="CF2830" s="5">
        <v>42972</v>
      </c>
      <c r="CG2830" s="2"/>
      <c r="CH2830" s="2"/>
      <c r="CI2830" s="2">
        <v>1</v>
      </c>
      <c r="CJ2830" s="2">
        <v>1</v>
      </c>
      <c r="CK2830" s="2">
        <v>21</v>
      </c>
      <c r="CL2830" s="2" t="s">
        <v>86</v>
      </c>
      <c r="CM2830" s="2"/>
    </row>
    <row r="2831" spans="1:91">
      <c r="A2831" s="2" t="s">
        <v>71</v>
      </c>
      <c r="B2831" s="2" t="s">
        <v>72</v>
      </c>
      <c r="C2831" s="2" t="s">
        <v>73</v>
      </c>
      <c r="D2831" s="2"/>
      <c r="E2831" s="2" t="str">
        <f>"FES1162570866"</f>
        <v>FES1162570866</v>
      </c>
      <c r="F2831" s="3">
        <v>42970</v>
      </c>
      <c r="G2831" s="2">
        <v>201802</v>
      </c>
      <c r="H2831" s="2" t="s">
        <v>74</v>
      </c>
      <c r="I2831" s="2" t="s">
        <v>75</v>
      </c>
      <c r="J2831" s="2" t="s">
        <v>76</v>
      </c>
      <c r="K2831" s="2" t="s">
        <v>77</v>
      </c>
      <c r="L2831" s="2" t="s">
        <v>417</v>
      </c>
      <c r="M2831" s="2" t="s">
        <v>417</v>
      </c>
      <c r="N2831" s="2" t="s">
        <v>475</v>
      </c>
      <c r="O2831" s="2" t="s">
        <v>100</v>
      </c>
      <c r="P2831" s="2" t="str">
        <f>"2170570773                    "</f>
        <v xml:space="preserve">2170570773 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4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1</v>
      </c>
      <c r="BI2831" s="2">
        <v>1</v>
      </c>
      <c r="BJ2831" s="2">
        <v>0.2</v>
      </c>
      <c r="BK2831" s="2">
        <v>1</v>
      </c>
      <c r="BL2831" s="2">
        <v>41.44</v>
      </c>
      <c r="BM2831" s="2">
        <v>5.8</v>
      </c>
      <c r="BN2831" s="2">
        <v>47.24</v>
      </c>
      <c r="BO2831" s="2">
        <v>47.24</v>
      </c>
      <c r="BP2831" s="2"/>
      <c r="BQ2831" s="2" t="s">
        <v>108</v>
      </c>
      <c r="BR2831" s="2" t="s">
        <v>84</v>
      </c>
      <c r="BS2831" s="3">
        <v>42971</v>
      </c>
      <c r="BT2831" s="4">
        <v>0.40972222222222227</v>
      </c>
      <c r="BU2831" s="2" t="s">
        <v>866</v>
      </c>
      <c r="BV2831" s="2" t="s">
        <v>95</v>
      </c>
      <c r="BW2831" s="2"/>
      <c r="BX2831" s="2"/>
      <c r="BY2831" s="2">
        <v>1200</v>
      </c>
      <c r="BZ2831" s="2"/>
      <c r="CA2831" s="2" t="s">
        <v>420</v>
      </c>
      <c r="CB2831" s="2"/>
      <c r="CC2831" s="2" t="s">
        <v>417</v>
      </c>
      <c r="CD2831" s="2">
        <v>7646</v>
      </c>
      <c r="CE2831" s="2" t="s">
        <v>104</v>
      </c>
      <c r="CF2831" s="5">
        <v>42972</v>
      </c>
      <c r="CG2831" s="2"/>
      <c r="CH2831" s="2"/>
      <c r="CI2831" s="2">
        <v>1</v>
      </c>
      <c r="CJ2831" s="2">
        <v>1</v>
      </c>
      <c r="CK2831" s="2">
        <v>21</v>
      </c>
      <c r="CL2831" s="2" t="s">
        <v>86</v>
      </c>
      <c r="CM2831" s="2"/>
    </row>
    <row r="2832" spans="1:91">
      <c r="A2832" s="2" t="s">
        <v>71</v>
      </c>
      <c r="B2832" s="2" t="s">
        <v>72</v>
      </c>
      <c r="C2832" s="2" t="s">
        <v>73</v>
      </c>
      <c r="D2832" s="2"/>
      <c r="E2832" s="2" t="str">
        <f>"FES1162571034"</f>
        <v>FES1162571034</v>
      </c>
      <c r="F2832" s="3">
        <v>42970</v>
      </c>
      <c r="G2832" s="2">
        <v>201802</v>
      </c>
      <c r="H2832" s="2" t="s">
        <v>74</v>
      </c>
      <c r="I2832" s="2" t="s">
        <v>75</v>
      </c>
      <c r="J2832" s="2" t="s">
        <v>76</v>
      </c>
      <c r="K2832" s="2" t="s">
        <v>77</v>
      </c>
      <c r="L2832" s="2" t="s">
        <v>105</v>
      </c>
      <c r="M2832" s="2" t="s">
        <v>106</v>
      </c>
      <c r="N2832" s="2" t="s">
        <v>107</v>
      </c>
      <c r="O2832" s="2" t="s">
        <v>100</v>
      </c>
      <c r="P2832" s="2" t="str">
        <f>"2170586713                    "</f>
        <v xml:space="preserve">2170586713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4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1</v>
      </c>
      <c r="BJ2832" s="2">
        <v>0.2</v>
      </c>
      <c r="BK2832" s="2">
        <v>1</v>
      </c>
      <c r="BL2832" s="2">
        <v>41.44</v>
      </c>
      <c r="BM2832" s="2">
        <v>5.8</v>
      </c>
      <c r="BN2832" s="2">
        <v>47.24</v>
      </c>
      <c r="BO2832" s="2">
        <v>47.24</v>
      </c>
      <c r="BP2832" s="2"/>
      <c r="BQ2832" s="2" t="s">
        <v>108</v>
      </c>
      <c r="BR2832" s="2" t="s">
        <v>84</v>
      </c>
      <c r="BS2832" s="3">
        <v>42971</v>
      </c>
      <c r="BT2832" s="4">
        <v>0.375</v>
      </c>
      <c r="BU2832" s="2" t="s">
        <v>236</v>
      </c>
      <c r="BV2832" s="2" t="s">
        <v>95</v>
      </c>
      <c r="BW2832" s="2"/>
      <c r="BX2832" s="2"/>
      <c r="BY2832" s="2">
        <v>1200</v>
      </c>
      <c r="BZ2832" s="2"/>
      <c r="CA2832" s="2" t="s">
        <v>112</v>
      </c>
      <c r="CB2832" s="2"/>
      <c r="CC2832" s="2" t="s">
        <v>106</v>
      </c>
      <c r="CD2832" s="2">
        <v>7405</v>
      </c>
      <c r="CE2832" s="2" t="s">
        <v>104</v>
      </c>
      <c r="CF2832" s="5">
        <v>42972</v>
      </c>
      <c r="CG2832" s="2"/>
      <c r="CH2832" s="2"/>
      <c r="CI2832" s="2">
        <v>1</v>
      </c>
      <c r="CJ2832" s="2">
        <v>1</v>
      </c>
      <c r="CK2832" s="2">
        <v>21</v>
      </c>
      <c r="CL2832" s="2" t="s">
        <v>86</v>
      </c>
      <c r="CM2832" s="2"/>
    </row>
    <row r="2833" spans="1:91">
      <c r="A2833" s="2" t="s">
        <v>71</v>
      </c>
      <c r="B2833" s="2" t="s">
        <v>72</v>
      </c>
      <c r="C2833" s="2" t="s">
        <v>73</v>
      </c>
      <c r="D2833" s="2"/>
      <c r="E2833" s="2" t="str">
        <f>"FES1162571031"</f>
        <v>FES1162571031</v>
      </c>
      <c r="F2833" s="3">
        <v>42970</v>
      </c>
      <c r="G2833" s="2">
        <v>201802</v>
      </c>
      <c r="H2833" s="2" t="s">
        <v>74</v>
      </c>
      <c r="I2833" s="2" t="s">
        <v>75</v>
      </c>
      <c r="J2833" s="2" t="s">
        <v>76</v>
      </c>
      <c r="K2833" s="2" t="s">
        <v>77</v>
      </c>
      <c r="L2833" s="2" t="s">
        <v>105</v>
      </c>
      <c r="M2833" s="2" t="s">
        <v>106</v>
      </c>
      <c r="N2833" s="2" t="s">
        <v>1080</v>
      </c>
      <c r="O2833" s="2" t="s">
        <v>100</v>
      </c>
      <c r="P2833" s="2" t="str">
        <f>"2170586710                    "</f>
        <v xml:space="preserve">2170586710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4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1</v>
      </c>
      <c r="BJ2833" s="2">
        <v>0.2</v>
      </c>
      <c r="BK2833" s="2">
        <v>1</v>
      </c>
      <c r="BL2833" s="2">
        <v>41.44</v>
      </c>
      <c r="BM2833" s="2">
        <v>5.8</v>
      </c>
      <c r="BN2833" s="2">
        <v>47.24</v>
      </c>
      <c r="BO2833" s="2">
        <v>47.24</v>
      </c>
      <c r="BP2833" s="2"/>
      <c r="BQ2833" s="2" t="s">
        <v>288</v>
      </c>
      <c r="BR2833" s="2" t="s">
        <v>84</v>
      </c>
      <c r="BS2833" s="3">
        <v>42971</v>
      </c>
      <c r="BT2833" s="4">
        <v>0.36736111111111108</v>
      </c>
      <c r="BU2833" s="2" t="s">
        <v>3032</v>
      </c>
      <c r="BV2833" s="2" t="s">
        <v>95</v>
      </c>
      <c r="BW2833" s="2"/>
      <c r="BX2833" s="2"/>
      <c r="BY2833" s="2">
        <v>1200</v>
      </c>
      <c r="BZ2833" s="2"/>
      <c r="CA2833" s="2" t="s">
        <v>1308</v>
      </c>
      <c r="CB2833" s="2"/>
      <c r="CC2833" s="2" t="s">
        <v>106</v>
      </c>
      <c r="CD2833" s="2">
        <v>7441</v>
      </c>
      <c r="CE2833" s="2" t="s">
        <v>104</v>
      </c>
      <c r="CF2833" s="5">
        <v>42972</v>
      </c>
      <c r="CG2833" s="2"/>
      <c r="CH2833" s="2"/>
      <c r="CI2833" s="2">
        <v>1</v>
      </c>
      <c r="CJ2833" s="2">
        <v>1</v>
      </c>
      <c r="CK2833" s="2">
        <v>21</v>
      </c>
      <c r="CL2833" s="2" t="s">
        <v>86</v>
      </c>
      <c r="CM2833" s="2"/>
    </row>
    <row r="2834" spans="1:91">
      <c r="A2834" s="2" t="s">
        <v>71</v>
      </c>
      <c r="B2834" s="2" t="s">
        <v>72</v>
      </c>
      <c r="C2834" s="2" t="s">
        <v>73</v>
      </c>
      <c r="D2834" s="2"/>
      <c r="E2834" s="2" t="str">
        <f>"FES1162571045"</f>
        <v>FES1162571045</v>
      </c>
      <c r="F2834" s="3">
        <v>42970</v>
      </c>
      <c r="G2834" s="2">
        <v>201802</v>
      </c>
      <c r="H2834" s="2" t="s">
        <v>74</v>
      </c>
      <c r="I2834" s="2" t="s">
        <v>75</v>
      </c>
      <c r="J2834" s="2" t="s">
        <v>76</v>
      </c>
      <c r="K2834" s="2" t="s">
        <v>77</v>
      </c>
      <c r="L2834" s="2" t="s">
        <v>105</v>
      </c>
      <c r="M2834" s="2" t="s">
        <v>106</v>
      </c>
      <c r="N2834" s="2" t="s">
        <v>397</v>
      </c>
      <c r="O2834" s="2" t="s">
        <v>100</v>
      </c>
      <c r="P2834" s="2" t="str">
        <f>"2170586723                    "</f>
        <v xml:space="preserve">2170586723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4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1</v>
      </c>
      <c r="BJ2834" s="2">
        <v>0.2</v>
      </c>
      <c r="BK2834" s="2">
        <v>1</v>
      </c>
      <c r="BL2834" s="2">
        <v>41.44</v>
      </c>
      <c r="BM2834" s="2">
        <v>5.8</v>
      </c>
      <c r="BN2834" s="2">
        <v>47.24</v>
      </c>
      <c r="BO2834" s="2">
        <v>47.24</v>
      </c>
      <c r="BP2834" s="2"/>
      <c r="BQ2834" s="2" t="s">
        <v>83</v>
      </c>
      <c r="BR2834" s="2" t="s">
        <v>84</v>
      </c>
      <c r="BS2834" s="3">
        <v>42971</v>
      </c>
      <c r="BT2834" s="4">
        <v>0.41666666666666669</v>
      </c>
      <c r="BU2834" s="2" t="s">
        <v>85</v>
      </c>
      <c r="BV2834" s="2" t="s">
        <v>95</v>
      </c>
      <c r="BW2834" s="2"/>
      <c r="BX2834" s="2"/>
      <c r="BY2834" s="2">
        <v>1200</v>
      </c>
      <c r="BZ2834" s="2"/>
      <c r="CA2834" s="2"/>
      <c r="CB2834" s="2"/>
      <c r="CC2834" s="2" t="s">
        <v>106</v>
      </c>
      <c r="CD2834" s="2">
        <v>7405</v>
      </c>
      <c r="CE2834" s="2" t="s">
        <v>104</v>
      </c>
      <c r="CF2834" s="5">
        <v>42972</v>
      </c>
      <c r="CG2834" s="2"/>
      <c r="CH2834" s="2"/>
      <c r="CI2834" s="2">
        <v>1</v>
      </c>
      <c r="CJ2834" s="2">
        <v>1</v>
      </c>
      <c r="CK2834" s="2">
        <v>21</v>
      </c>
      <c r="CL2834" s="2" t="s">
        <v>86</v>
      </c>
      <c r="CM2834" s="2"/>
    </row>
    <row r="2835" spans="1:91">
      <c r="A2835" s="2" t="s">
        <v>71</v>
      </c>
      <c r="B2835" s="2" t="s">
        <v>72</v>
      </c>
      <c r="C2835" s="2" t="s">
        <v>73</v>
      </c>
      <c r="D2835" s="2"/>
      <c r="E2835" s="2" t="str">
        <f>"FES1162571066"</f>
        <v>FES1162571066</v>
      </c>
      <c r="F2835" s="3">
        <v>42970</v>
      </c>
      <c r="G2835" s="2">
        <v>201802</v>
      </c>
      <c r="H2835" s="2" t="s">
        <v>74</v>
      </c>
      <c r="I2835" s="2" t="s">
        <v>75</v>
      </c>
      <c r="J2835" s="2" t="s">
        <v>76</v>
      </c>
      <c r="K2835" s="2" t="s">
        <v>77</v>
      </c>
      <c r="L2835" s="2" t="s">
        <v>105</v>
      </c>
      <c r="M2835" s="2" t="s">
        <v>106</v>
      </c>
      <c r="N2835" s="2" t="s">
        <v>1642</v>
      </c>
      <c r="O2835" s="2" t="s">
        <v>100</v>
      </c>
      <c r="P2835" s="2" t="str">
        <f>"2170586601                    "</f>
        <v xml:space="preserve">2170586601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8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4</v>
      </c>
      <c r="BJ2835" s="2">
        <v>1.3</v>
      </c>
      <c r="BK2835" s="2">
        <v>4</v>
      </c>
      <c r="BL2835" s="2">
        <v>82.88</v>
      </c>
      <c r="BM2835" s="2">
        <v>11.6</v>
      </c>
      <c r="BN2835" s="2">
        <v>94.48</v>
      </c>
      <c r="BO2835" s="2">
        <v>94.48</v>
      </c>
      <c r="BP2835" s="2"/>
      <c r="BQ2835" s="2" t="s">
        <v>83</v>
      </c>
      <c r="BR2835" s="2" t="s">
        <v>84</v>
      </c>
      <c r="BS2835" s="3">
        <v>42971</v>
      </c>
      <c r="BT2835" s="4">
        <v>0.41666666666666669</v>
      </c>
      <c r="BU2835" s="2" t="s">
        <v>3127</v>
      </c>
      <c r="BV2835" s="2" t="s">
        <v>95</v>
      </c>
      <c r="BW2835" s="2"/>
      <c r="BX2835" s="2"/>
      <c r="BY2835" s="2">
        <v>6398.4</v>
      </c>
      <c r="BZ2835" s="2"/>
      <c r="CA2835" s="2" t="s">
        <v>148</v>
      </c>
      <c r="CB2835" s="2"/>
      <c r="CC2835" s="2" t="s">
        <v>106</v>
      </c>
      <c r="CD2835" s="2">
        <v>7580</v>
      </c>
      <c r="CE2835" s="2" t="s">
        <v>89</v>
      </c>
      <c r="CF2835" s="5">
        <v>42972</v>
      </c>
      <c r="CG2835" s="2"/>
      <c r="CH2835" s="2"/>
      <c r="CI2835" s="2">
        <v>1</v>
      </c>
      <c r="CJ2835" s="2">
        <v>1</v>
      </c>
      <c r="CK2835" s="2">
        <v>21</v>
      </c>
      <c r="CL2835" s="2" t="s">
        <v>86</v>
      </c>
      <c r="CM2835" s="2"/>
    </row>
    <row r="2836" spans="1:91">
      <c r="A2836" s="2" t="s">
        <v>71</v>
      </c>
      <c r="B2836" s="2" t="s">
        <v>72</v>
      </c>
      <c r="C2836" s="2" t="s">
        <v>73</v>
      </c>
      <c r="D2836" s="2"/>
      <c r="E2836" s="2" t="str">
        <f>"FES1162567648"</f>
        <v>FES1162567648</v>
      </c>
      <c r="F2836" s="3">
        <v>42955</v>
      </c>
      <c r="G2836" s="2">
        <v>201802</v>
      </c>
      <c r="H2836" s="2" t="s">
        <v>74</v>
      </c>
      <c r="I2836" s="2" t="s">
        <v>75</v>
      </c>
      <c r="J2836" s="2" t="s">
        <v>118</v>
      </c>
      <c r="K2836" s="2" t="s">
        <v>77</v>
      </c>
      <c r="L2836" s="2" t="s">
        <v>1853</v>
      </c>
      <c r="M2836" s="2" t="s">
        <v>1854</v>
      </c>
      <c r="N2836" s="2" t="s">
        <v>1855</v>
      </c>
      <c r="O2836" s="2" t="s">
        <v>81</v>
      </c>
      <c r="P2836" s="2" t="str">
        <f>"2170583785                    "</f>
        <v xml:space="preserve">2170583785 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8.19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5</v>
      </c>
      <c r="BJ2836" s="2">
        <v>9.3000000000000007</v>
      </c>
      <c r="BK2836" s="2">
        <v>10</v>
      </c>
      <c r="BL2836" s="2">
        <v>89.83</v>
      </c>
      <c r="BM2836" s="2">
        <v>12.58</v>
      </c>
      <c r="BN2836" s="2">
        <v>102.41</v>
      </c>
      <c r="BO2836" s="2">
        <v>102.41</v>
      </c>
      <c r="BP2836" s="2" t="s">
        <v>101</v>
      </c>
      <c r="BQ2836" s="2" t="s">
        <v>209</v>
      </c>
      <c r="BR2836" s="2" t="s">
        <v>122</v>
      </c>
      <c r="BS2836" s="3">
        <v>42957</v>
      </c>
      <c r="BT2836" s="4">
        <v>0.4152777777777778</v>
      </c>
      <c r="BU2836" s="2" t="s">
        <v>3128</v>
      </c>
      <c r="BV2836" s="2"/>
      <c r="BW2836" s="2" t="s">
        <v>110</v>
      </c>
      <c r="BX2836" s="2" t="s">
        <v>537</v>
      </c>
      <c r="BY2836" s="2">
        <v>46581.25</v>
      </c>
      <c r="BZ2836" s="2"/>
      <c r="CA2836" s="2" t="s">
        <v>1493</v>
      </c>
      <c r="CB2836" s="2"/>
      <c r="CC2836" s="2" t="s">
        <v>1854</v>
      </c>
      <c r="CD2836" s="2">
        <v>7139</v>
      </c>
      <c r="CE2836" s="2" t="s">
        <v>89</v>
      </c>
      <c r="CF2836" s="5">
        <v>42971</v>
      </c>
      <c r="CG2836" s="2"/>
      <c r="CH2836" s="2"/>
      <c r="CI2836" s="2">
        <v>0</v>
      </c>
      <c r="CJ2836" s="2">
        <v>0</v>
      </c>
      <c r="CK2836" s="2" t="s">
        <v>136</v>
      </c>
      <c r="CL2836" s="2" t="s">
        <v>86</v>
      </c>
      <c r="CM2836" s="2"/>
    </row>
    <row r="2837" spans="1:91">
      <c r="A2837" s="2" t="s">
        <v>71</v>
      </c>
      <c r="B2837" s="2" t="s">
        <v>72</v>
      </c>
      <c r="C2837" s="2" t="s">
        <v>73</v>
      </c>
      <c r="D2837" s="2"/>
      <c r="E2837" s="2" t="str">
        <f>"FES1162570877"</f>
        <v>FES1162570877</v>
      </c>
      <c r="F2837" s="3">
        <v>42970</v>
      </c>
      <c r="G2837" s="2">
        <v>201802</v>
      </c>
      <c r="H2837" s="2" t="s">
        <v>74</v>
      </c>
      <c r="I2837" s="2" t="s">
        <v>75</v>
      </c>
      <c r="J2837" s="2" t="s">
        <v>76</v>
      </c>
      <c r="K2837" s="2" t="s">
        <v>77</v>
      </c>
      <c r="L2837" s="2" t="s">
        <v>353</v>
      </c>
      <c r="M2837" s="2" t="s">
        <v>354</v>
      </c>
      <c r="N2837" s="2" t="s">
        <v>686</v>
      </c>
      <c r="O2837" s="2" t="s">
        <v>100</v>
      </c>
      <c r="P2837" s="2" t="str">
        <f>"2170584293                    "</f>
        <v xml:space="preserve">2170584293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4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1</v>
      </c>
      <c r="BJ2837" s="2">
        <v>0.2</v>
      </c>
      <c r="BK2837" s="2">
        <v>1</v>
      </c>
      <c r="BL2837" s="2">
        <v>41.44</v>
      </c>
      <c r="BM2837" s="2">
        <v>5.8</v>
      </c>
      <c r="BN2837" s="2">
        <v>47.24</v>
      </c>
      <c r="BO2837" s="2">
        <v>47.24</v>
      </c>
      <c r="BP2837" s="2"/>
      <c r="BQ2837" s="2" t="s">
        <v>108</v>
      </c>
      <c r="BR2837" s="2" t="s">
        <v>84</v>
      </c>
      <c r="BS2837" s="3">
        <v>42972</v>
      </c>
      <c r="BT2837" s="4">
        <v>0.4375</v>
      </c>
      <c r="BU2837" s="2" t="s">
        <v>3129</v>
      </c>
      <c r="BV2837" s="2" t="s">
        <v>86</v>
      </c>
      <c r="BW2837" s="2" t="s">
        <v>336</v>
      </c>
      <c r="BX2837" s="2" t="s">
        <v>549</v>
      </c>
      <c r="BY2837" s="2">
        <v>1200</v>
      </c>
      <c r="BZ2837" s="2"/>
      <c r="CA2837" s="2"/>
      <c r="CB2837" s="2"/>
      <c r="CC2837" s="2" t="s">
        <v>354</v>
      </c>
      <c r="CD2837" s="2">
        <v>3699</v>
      </c>
      <c r="CE2837" s="2" t="s">
        <v>104</v>
      </c>
      <c r="CF2837" s="5">
        <v>42976</v>
      </c>
      <c r="CG2837" s="2"/>
      <c r="CH2837" s="2"/>
      <c r="CI2837" s="2">
        <v>1</v>
      </c>
      <c r="CJ2837" s="2">
        <v>2</v>
      </c>
      <c r="CK2837" s="2">
        <v>21</v>
      </c>
      <c r="CL2837" s="2" t="s">
        <v>86</v>
      </c>
      <c r="CM2837" s="2"/>
    </row>
    <row r="2838" spans="1:91">
      <c r="A2838" s="2" t="s">
        <v>71</v>
      </c>
      <c r="B2838" s="2" t="s">
        <v>72</v>
      </c>
      <c r="C2838" s="2" t="s">
        <v>73</v>
      </c>
      <c r="D2838" s="2"/>
      <c r="E2838" s="2" t="str">
        <f>"FES1162570667"</f>
        <v>FES1162570667</v>
      </c>
      <c r="F2838" s="3">
        <v>42969</v>
      </c>
      <c r="G2838" s="2">
        <v>201802</v>
      </c>
      <c r="H2838" s="2" t="s">
        <v>74</v>
      </c>
      <c r="I2838" s="2" t="s">
        <v>75</v>
      </c>
      <c r="J2838" s="2" t="s">
        <v>76</v>
      </c>
      <c r="K2838" s="2" t="s">
        <v>77</v>
      </c>
      <c r="L2838" s="2" t="s">
        <v>244</v>
      </c>
      <c r="M2838" s="2" t="s">
        <v>245</v>
      </c>
      <c r="N2838" s="2" t="s">
        <v>3130</v>
      </c>
      <c r="O2838" s="2" t="s">
        <v>100</v>
      </c>
      <c r="P2838" s="2" t="str">
        <f>"2170586432                    "</f>
        <v xml:space="preserve">2170586432 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3.13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1</v>
      </c>
      <c r="BI2838" s="2">
        <v>1</v>
      </c>
      <c r="BJ2838" s="2">
        <v>0.2</v>
      </c>
      <c r="BK2838" s="2">
        <v>1</v>
      </c>
      <c r="BL2838" s="2">
        <v>32.380000000000003</v>
      </c>
      <c r="BM2838" s="2">
        <v>4.53</v>
      </c>
      <c r="BN2838" s="2">
        <v>36.909999999999997</v>
      </c>
      <c r="BO2838" s="2">
        <v>36.909999999999997</v>
      </c>
      <c r="BP2838" s="2"/>
      <c r="BQ2838" s="2" t="s">
        <v>108</v>
      </c>
      <c r="BR2838" s="2" t="s">
        <v>84</v>
      </c>
      <c r="BS2838" s="3">
        <v>42971</v>
      </c>
      <c r="BT2838" s="4">
        <v>0.41666666666666669</v>
      </c>
      <c r="BU2838" s="2" t="s">
        <v>3131</v>
      </c>
      <c r="BV2838" s="2" t="s">
        <v>86</v>
      </c>
      <c r="BW2838" s="2" t="s">
        <v>548</v>
      </c>
      <c r="BX2838" s="2" t="s">
        <v>1452</v>
      </c>
      <c r="BY2838" s="2">
        <v>1200</v>
      </c>
      <c r="BZ2838" s="2" t="s">
        <v>27</v>
      </c>
      <c r="CA2838" s="2" t="s">
        <v>550</v>
      </c>
      <c r="CB2838" s="2"/>
      <c r="CC2838" s="2" t="s">
        <v>245</v>
      </c>
      <c r="CD2838" s="2">
        <v>1459</v>
      </c>
      <c r="CE2838" s="2" t="s">
        <v>104</v>
      </c>
      <c r="CF2838" s="5">
        <v>42977</v>
      </c>
      <c r="CG2838" s="2"/>
      <c r="CH2838" s="2"/>
      <c r="CI2838" s="2">
        <v>1</v>
      </c>
      <c r="CJ2838" s="2">
        <v>2</v>
      </c>
      <c r="CK2838" s="2">
        <v>22</v>
      </c>
      <c r="CL2838" s="2" t="s">
        <v>86</v>
      </c>
      <c r="CM2838" s="2"/>
    </row>
    <row r="2839" spans="1:91">
      <c r="A2839" s="2" t="s">
        <v>71</v>
      </c>
      <c r="B2839" s="2" t="s">
        <v>72</v>
      </c>
      <c r="C2839" s="2" t="s">
        <v>73</v>
      </c>
      <c r="D2839" s="2"/>
      <c r="E2839" s="2" t="str">
        <f>"FES1162571071"</f>
        <v>FES1162571071</v>
      </c>
      <c r="F2839" s="3">
        <v>42970</v>
      </c>
      <c r="G2839" s="2">
        <v>201802</v>
      </c>
      <c r="H2839" s="2" t="s">
        <v>74</v>
      </c>
      <c r="I2839" s="2" t="s">
        <v>75</v>
      </c>
      <c r="J2839" s="2" t="s">
        <v>76</v>
      </c>
      <c r="K2839" s="2" t="s">
        <v>77</v>
      </c>
      <c r="L2839" s="2" t="s">
        <v>362</v>
      </c>
      <c r="M2839" s="2" t="s">
        <v>363</v>
      </c>
      <c r="N2839" s="2" t="s">
        <v>2959</v>
      </c>
      <c r="O2839" s="2" t="s">
        <v>100</v>
      </c>
      <c r="P2839" s="2" t="str">
        <f>"2170586751                    "</f>
        <v xml:space="preserve">2170586751 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4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1</v>
      </c>
      <c r="BI2839" s="2">
        <v>1</v>
      </c>
      <c r="BJ2839" s="2">
        <v>0.2</v>
      </c>
      <c r="BK2839" s="2">
        <v>1</v>
      </c>
      <c r="BL2839" s="2">
        <v>41.44</v>
      </c>
      <c r="BM2839" s="2">
        <v>5.8</v>
      </c>
      <c r="BN2839" s="2">
        <v>47.24</v>
      </c>
      <c r="BO2839" s="2">
        <v>47.24</v>
      </c>
      <c r="BP2839" s="2"/>
      <c r="BQ2839" s="2" t="s">
        <v>288</v>
      </c>
      <c r="BR2839" s="2" t="s">
        <v>84</v>
      </c>
      <c r="BS2839" s="3">
        <v>42971</v>
      </c>
      <c r="BT2839" s="4">
        <v>0.46875</v>
      </c>
      <c r="BU2839" s="2" t="s">
        <v>3104</v>
      </c>
      <c r="BV2839" s="2" t="s">
        <v>86</v>
      </c>
      <c r="BW2839" s="2" t="s">
        <v>124</v>
      </c>
      <c r="BX2839" s="2" t="s">
        <v>3105</v>
      </c>
      <c r="BY2839" s="2">
        <v>1200</v>
      </c>
      <c r="BZ2839" s="2"/>
      <c r="CA2839" s="2" t="s">
        <v>2961</v>
      </c>
      <c r="CB2839" s="2"/>
      <c r="CC2839" s="2" t="s">
        <v>363</v>
      </c>
      <c r="CD2839" s="2">
        <v>3201</v>
      </c>
      <c r="CE2839" s="2" t="s">
        <v>104</v>
      </c>
      <c r="CF2839" s="5">
        <v>42975</v>
      </c>
      <c r="CG2839" s="2"/>
      <c r="CH2839" s="2"/>
      <c r="CI2839" s="2">
        <v>1</v>
      </c>
      <c r="CJ2839" s="2">
        <v>1</v>
      </c>
      <c r="CK2839" s="2">
        <v>21</v>
      </c>
      <c r="CL2839" s="2" t="s">
        <v>86</v>
      </c>
      <c r="CM2839" s="2"/>
    </row>
    <row r="2840" spans="1:91">
      <c r="A2840" s="2" t="s">
        <v>71</v>
      </c>
      <c r="B2840" s="2" t="s">
        <v>72</v>
      </c>
      <c r="C2840" s="2" t="s">
        <v>73</v>
      </c>
      <c r="D2840" s="2"/>
      <c r="E2840" s="2" t="str">
        <f>"FES1162570668"</f>
        <v>FES1162570668</v>
      </c>
      <c r="F2840" s="3">
        <v>42969</v>
      </c>
      <c r="G2840" s="2">
        <v>201802</v>
      </c>
      <c r="H2840" s="2" t="s">
        <v>74</v>
      </c>
      <c r="I2840" s="2" t="s">
        <v>75</v>
      </c>
      <c r="J2840" s="2" t="s">
        <v>76</v>
      </c>
      <c r="K2840" s="2" t="s">
        <v>77</v>
      </c>
      <c r="L2840" s="2" t="s">
        <v>244</v>
      </c>
      <c r="M2840" s="2" t="s">
        <v>245</v>
      </c>
      <c r="N2840" s="2" t="s">
        <v>3130</v>
      </c>
      <c r="O2840" s="2" t="s">
        <v>100</v>
      </c>
      <c r="P2840" s="2" t="str">
        <f>"2170586435                    "</f>
        <v xml:space="preserve">2170586435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3.13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1</v>
      </c>
      <c r="BI2840" s="2">
        <v>1</v>
      </c>
      <c r="BJ2840" s="2">
        <v>0.2</v>
      </c>
      <c r="BK2840" s="2">
        <v>1</v>
      </c>
      <c r="BL2840" s="2">
        <v>32.380000000000003</v>
      </c>
      <c r="BM2840" s="2">
        <v>4.53</v>
      </c>
      <c r="BN2840" s="2">
        <v>36.909999999999997</v>
      </c>
      <c r="BO2840" s="2">
        <v>36.909999999999997</v>
      </c>
      <c r="BP2840" s="2"/>
      <c r="BQ2840" s="2" t="s">
        <v>108</v>
      </c>
      <c r="BR2840" s="2" t="s">
        <v>84</v>
      </c>
      <c r="BS2840" s="3">
        <v>42971</v>
      </c>
      <c r="BT2840" s="4">
        <v>0.41666666666666669</v>
      </c>
      <c r="BU2840" s="2" t="s">
        <v>3132</v>
      </c>
      <c r="BV2840" s="2" t="s">
        <v>86</v>
      </c>
      <c r="BW2840" s="2" t="s">
        <v>548</v>
      </c>
      <c r="BX2840" s="2" t="s">
        <v>1452</v>
      </c>
      <c r="BY2840" s="2">
        <v>1200</v>
      </c>
      <c r="BZ2840" s="2" t="s">
        <v>27</v>
      </c>
      <c r="CA2840" s="2" t="s">
        <v>550</v>
      </c>
      <c r="CB2840" s="2"/>
      <c r="CC2840" s="2" t="s">
        <v>245</v>
      </c>
      <c r="CD2840" s="2">
        <v>1459</v>
      </c>
      <c r="CE2840" s="2" t="s">
        <v>104</v>
      </c>
      <c r="CF2840" s="5">
        <v>42977</v>
      </c>
      <c r="CG2840" s="2"/>
      <c r="CH2840" s="2"/>
      <c r="CI2840" s="2">
        <v>1</v>
      </c>
      <c r="CJ2840" s="2">
        <v>2</v>
      </c>
      <c r="CK2840" s="2">
        <v>22</v>
      </c>
      <c r="CL2840" s="2" t="s">
        <v>86</v>
      </c>
      <c r="CM2840" s="2"/>
    </row>
    <row r="2841" spans="1:91">
      <c r="A2841" s="2" t="s">
        <v>71</v>
      </c>
      <c r="B2841" s="2" t="s">
        <v>72</v>
      </c>
      <c r="C2841" s="2" t="s">
        <v>73</v>
      </c>
      <c r="D2841" s="2"/>
      <c r="E2841" s="2" t="str">
        <f>"FES1162570894"</f>
        <v>FES1162570894</v>
      </c>
      <c r="F2841" s="3">
        <v>42970</v>
      </c>
      <c r="G2841" s="2">
        <v>201802</v>
      </c>
      <c r="H2841" s="2" t="s">
        <v>74</v>
      </c>
      <c r="I2841" s="2" t="s">
        <v>75</v>
      </c>
      <c r="J2841" s="2" t="s">
        <v>76</v>
      </c>
      <c r="K2841" s="2" t="s">
        <v>77</v>
      </c>
      <c r="L2841" s="2" t="s">
        <v>1663</v>
      </c>
      <c r="M2841" s="2" t="s">
        <v>1664</v>
      </c>
      <c r="N2841" s="2" t="s">
        <v>1996</v>
      </c>
      <c r="O2841" s="2" t="s">
        <v>100</v>
      </c>
      <c r="P2841" s="2" t="str">
        <f>"2170584513                    "</f>
        <v xml:space="preserve">2170584513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4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1</v>
      </c>
      <c r="BJ2841" s="2">
        <v>0.2</v>
      </c>
      <c r="BK2841" s="2">
        <v>1</v>
      </c>
      <c r="BL2841" s="2">
        <v>41.44</v>
      </c>
      <c r="BM2841" s="2">
        <v>5.8</v>
      </c>
      <c r="BN2841" s="2">
        <v>47.24</v>
      </c>
      <c r="BO2841" s="2">
        <v>47.24</v>
      </c>
      <c r="BP2841" s="2"/>
      <c r="BQ2841" s="2" t="s">
        <v>108</v>
      </c>
      <c r="BR2841" s="2" t="s">
        <v>84</v>
      </c>
      <c r="BS2841" s="3">
        <v>42972</v>
      </c>
      <c r="BT2841" s="4">
        <v>0.47083333333333338</v>
      </c>
      <c r="BU2841" s="2" t="s">
        <v>2936</v>
      </c>
      <c r="BV2841" s="2" t="s">
        <v>86</v>
      </c>
      <c r="BW2841" s="2" t="s">
        <v>336</v>
      </c>
      <c r="BX2841" s="2" t="s">
        <v>549</v>
      </c>
      <c r="BY2841" s="2">
        <v>1200</v>
      </c>
      <c r="BZ2841" s="2"/>
      <c r="CA2841" s="2" t="s">
        <v>1668</v>
      </c>
      <c r="CB2841" s="2"/>
      <c r="CC2841" s="2" t="s">
        <v>1664</v>
      </c>
      <c r="CD2841" s="2">
        <v>3310</v>
      </c>
      <c r="CE2841" s="2" t="s">
        <v>104</v>
      </c>
      <c r="CF2841" s="5">
        <v>42976</v>
      </c>
      <c r="CG2841" s="2"/>
      <c r="CH2841" s="2"/>
      <c r="CI2841" s="2">
        <v>1</v>
      </c>
      <c r="CJ2841" s="2">
        <v>2</v>
      </c>
      <c r="CK2841" s="2">
        <v>21</v>
      </c>
      <c r="CL2841" s="2" t="s">
        <v>86</v>
      </c>
      <c r="CM2841" s="2"/>
    </row>
    <row r="2842" spans="1:91">
      <c r="A2842" s="2" t="s">
        <v>71</v>
      </c>
      <c r="B2842" s="2" t="s">
        <v>72</v>
      </c>
      <c r="C2842" s="2" t="s">
        <v>73</v>
      </c>
      <c r="D2842" s="2"/>
      <c r="E2842" s="2" t="str">
        <f>"FES1162570669"</f>
        <v>FES1162570669</v>
      </c>
      <c r="F2842" s="3">
        <v>42969</v>
      </c>
      <c r="G2842" s="2">
        <v>201802</v>
      </c>
      <c r="H2842" s="2" t="s">
        <v>74</v>
      </c>
      <c r="I2842" s="2" t="s">
        <v>75</v>
      </c>
      <c r="J2842" s="2" t="s">
        <v>76</v>
      </c>
      <c r="K2842" s="2" t="s">
        <v>77</v>
      </c>
      <c r="L2842" s="2" t="s">
        <v>244</v>
      </c>
      <c r="M2842" s="2" t="s">
        <v>245</v>
      </c>
      <c r="N2842" s="2" t="s">
        <v>3130</v>
      </c>
      <c r="O2842" s="2" t="s">
        <v>100</v>
      </c>
      <c r="P2842" s="2" t="str">
        <f>"2170586436                    "</f>
        <v xml:space="preserve">2170586436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3.13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1</v>
      </c>
      <c r="BI2842" s="2">
        <v>1</v>
      </c>
      <c r="BJ2842" s="2">
        <v>0.2</v>
      </c>
      <c r="BK2842" s="2">
        <v>1</v>
      </c>
      <c r="BL2842" s="2">
        <v>32.380000000000003</v>
      </c>
      <c r="BM2842" s="2">
        <v>4.53</v>
      </c>
      <c r="BN2842" s="2">
        <v>36.909999999999997</v>
      </c>
      <c r="BO2842" s="2">
        <v>36.909999999999997</v>
      </c>
      <c r="BP2842" s="2"/>
      <c r="BQ2842" s="2" t="s">
        <v>288</v>
      </c>
      <c r="BR2842" s="2" t="s">
        <v>84</v>
      </c>
      <c r="BS2842" s="3">
        <v>42971</v>
      </c>
      <c r="BT2842" s="4">
        <v>0.41666666666666669</v>
      </c>
      <c r="BU2842" s="2" t="s">
        <v>3133</v>
      </c>
      <c r="BV2842" s="2" t="s">
        <v>86</v>
      </c>
      <c r="BW2842" s="2" t="s">
        <v>548</v>
      </c>
      <c r="BX2842" s="2" t="s">
        <v>1452</v>
      </c>
      <c r="BY2842" s="2">
        <v>1200</v>
      </c>
      <c r="BZ2842" s="2" t="s">
        <v>27</v>
      </c>
      <c r="CA2842" s="2" t="s">
        <v>550</v>
      </c>
      <c r="CB2842" s="2"/>
      <c r="CC2842" s="2" t="s">
        <v>245</v>
      </c>
      <c r="CD2842" s="2">
        <v>1459</v>
      </c>
      <c r="CE2842" s="2" t="s">
        <v>104</v>
      </c>
      <c r="CF2842" s="5">
        <v>42977</v>
      </c>
      <c r="CG2842" s="2"/>
      <c r="CH2842" s="2"/>
      <c r="CI2842" s="2">
        <v>1</v>
      </c>
      <c r="CJ2842" s="2">
        <v>2</v>
      </c>
      <c r="CK2842" s="2">
        <v>22</v>
      </c>
      <c r="CL2842" s="2" t="s">
        <v>86</v>
      </c>
      <c r="CM2842" s="2"/>
    </row>
    <row r="2843" spans="1:91">
      <c r="A2843" s="2" t="s">
        <v>71</v>
      </c>
      <c r="B2843" s="2" t="s">
        <v>72</v>
      </c>
      <c r="C2843" s="2" t="s">
        <v>73</v>
      </c>
      <c r="D2843" s="2"/>
      <c r="E2843" s="2" t="str">
        <f>"FES1162570968"</f>
        <v>FES1162570968</v>
      </c>
      <c r="F2843" s="3">
        <v>42970</v>
      </c>
      <c r="G2843" s="2">
        <v>201802</v>
      </c>
      <c r="H2843" s="2" t="s">
        <v>74</v>
      </c>
      <c r="I2843" s="2" t="s">
        <v>75</v>
      </c>
      <c r="J2843" s="2" t="s">
        <v>76</v>
      </c>
      <c r="K2843" s="2" t="s">
        <v>77</v>
      </c>
      <c r="L2843" s="2" t="s">
        <v>715</v>
      </c>
      <c r="M2843" s="2" t="s">
        <v>716</v>
      </c>
      <c r="N2843" s="2" t="s">
        <v>717</v>
      </c>
      <c r="O2843" s="2" t="s">
        <v>100</v>
      </c>
      <c r="P2843" s="2" t="str">
        <f>"2170586639                    "</f>
        <v xml:space="preserve">2170586639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4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1</v>
      </c>
      <c r="BJ2843" s="2">
        <v>0.2</v>
      </c>
      <c r="BK2843" s="2">
        <v>1</v>
      </c>
      <c r="BL2843" s="2">
        <v>41.44</v>
      </c>
      <c r="BM2843" s="2">
        <v>5.8</v>
      </c>
      <c r="BN2843" s="2">
        <v>47.24</v>
      </c>
      <c r="BO2843" s="2">
        <v>47.24</v>
      </c>
      <c r="BP2843" s="2"/>
      <c r="BQ2843" s="2" t="s">
        <v>108</v>
      </c>
      <c r="BR2843" s="2" t="s">
        <v>84</v>
      </c>
      <c r="BS2843" s="3">
        <v>42972</v>
      </c>
      <c r="BT2843" s="4">
        <v>0.48819444444444443</v>
      </c>
      <c r="BU2843" s="2" t="s">
        <v>2560</v>
      </c>
      <c r="BV2843" s="2" t="s">
        <v>86</v>
      </c>
      <c r="BW2843" s="2" t="s">
        <v>336</v>
      </c>
      <c r="BX2843" s="2" t="s">
        <v>549</v>
      </c>
      <c r="BY2843" s="2">
        <v>1200</v>
      </c>
      <c r="BZ2843" s="2"/>
      <c r="CA2843" s="2" t="s">
        <v>566</v>
      </c>
      <c r="CB2843" s="2"/>
      <c r="CC2843" s="2" t="s">
        <v>716</v>
      </c>
      <c r="CD2843" s="2">
        <v>3290</v>
      </c>
      <c r="CE2843" s="2" t="s">
        <v>104</v>
      </c>
      <c r="CF2843" s="5">
        <v>42976</v>
      </c>
      <c r="CG2843" s="2"/>
      <c r="CH2843" s="2"/>
      <c r="CI2843" s="2">
        <v>1</v>
      </c>
      <c r="CJ2843" s="2">
        <v>2</v>
      </c>
      <c r="CK2843" s="2">
        <v>21</v>
      </c>
      <c r="CL2843" s="2" t="s">
        <v>86</v>
      </c>
      <c r="CM2843" s="2"/>
    </row>
    <row r="2844" spans="1:91">
      <c r="A2844" s="2" t="s">
        <v>71</v>
      </c>
      <c r="B2844" s="2" t="s">
        <v>72</v>
      </c>
      <c r="C2844" s="2" t="s">
        <v>73</v>
      </c>
      <c r="D2844" s="2"/>
      <c r="E2844" s="2" t="str">
        <f>"RFES1162570668"</f>
        <v>RFES1162570668</v>
      </c>
      <c r="F2844" s="3">
        <v>42971</v>
      </c>
      <c r="G2844" s="2">
        <v>201802</v>
      </c>
      <c r="H2844" s="2" t="s">
        <v>244</v>
      </c>
      <c r="I2844" s="2" t="s">
        <v>245</v>
      </c>
      <c r="J2844" s="2" t="s">
        <v>3130</v>
      </c>
      <c r="K2844" s="2" t="s">
        <v>77</v>
      </c>
      <c r="L2844" s="2" t="s">
        <v>74</v>
      </c>
      <c r="M2844" s="2" t="s">
        <v>75</v>
      </c>
      <c r="N2844" s="2" t="s">
        <v>76</v>
      </c>
      <c r="O2844" s="2" t="s">
        <v>100</v>
      </c>
      <c r="P2844" s="2" t="str">
        <f>"2170586435 12333              "</f>
        <v xml:space="preserve">2170586435 12333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3.13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1</v>
      </c>
      <c r="BJ2844" s="2">
        <v>0.2</v>
      </c>
      <c r="BK2844" s="2">
        <v>1</v>
      </c>
      <c r="BL2844" s="2">
        <v>32.380000000000003</v>
      </c>
      <c r="BM2844" s="2">
        <v>4.53</v>
      </c>
      <c r="BN2844" s="2">
        <v>36.909999999999997</v>
      </c>
      <c r="BO2844" s="2">
        <v>36.909999999999997</v>
      </c>
      <c r="BP2844" s="2"/>
      <c r="BQ2844" s="2" t="s">
        <v>84</v>
      </c>
      <c r="BR2844" s="2" t="s">
        <v>108</v>
      </c>
      <c r="BS2844" s="3">
        <v>42972</v>
      </c>
      <c r="BT2844" s="4">
        <v>0.46319444444444446</v>
      </c>
      <c r="BU2844" s="2" t="s">
        <v>157</v>
      </c>
      <c r="BV2844" s="2" t="s">
        <v>86</v>
      </c>
      <c r="BW2844" s="2" t="s">
        <v>110</v>
      </c>
      <c r="BX2844" s="2" t="s">
        <v>498</v>
      </c>
      <c r="BY2844" s="2">
        <v>1200</v>
      </c>
      <c r="BZ2844" s="2"/>
      <c r="CA2844" s="2" t="s">
        <v>328</v>
      </c>
      <c r="CB2844" s="2"/>
      <c r="CC2844" s="2" t="s">
        <v>75</v>
      </c>
      <c r="CD2844" s="2">
        <v>1600</v>
      </c>
      <c r="CE2844" s="2" t="s">
        <v>104</v>
      </c>
      <c r="CF2844" s="5">
        <v>42975</v>
      </c>
      <c r="CG2844" s="2"/>
      <c r="CH2844" s="2"/>
      <c r="CI2844" s="2">
        <v>1</v>
      </c>
      <c r="CJ2844" s="2">
        <v>1</v>
      </c>
      <c r="CK2844" s="2">
        <v>22</v>
      </c>
      <c r="CL2844" s="2" t="s">
        <v>86</v>
      </c>
      <c r="CM2844" s="2"/>
    </row>
    <row r="2845" spans="1:91">
      <c r="A2845" s="2" t="s">
        <v>71</v>
      </c>
      <c r="B2845" s="2" t="s">
        <v>72</v>
      </c>
      <c r="C2845" s="2" t="s">
        <v>73</v>
      </c>
      <c r="D2845" s="2"/>
      <c r="E2845" s="2" t="str">
        <f>"RFES1162570669"</f>
        <v>RFES1162570669</v>
      </c>
      <c r="F2845" s="3">
        <v>42971</v>
      </c>
      <c r="G2845" s="2">
        <v>201802</v>
      </c>
      <c r="H2845" s="2" t="s">
        <v>244</v>
      </c>
      <c r="I2845" s="2" t="s">
        <v>245</v>
      </c>
      <c r="J2845" s="2" t="s">
        <v>3130</v>
      </c>
      <c r="K2845" s="2" t="s">
        <v>77</v>
      </c>
      <c r="L2845" s="2" t="s">
        <v>74</v>
      </c>
      <c r="M2845" s="2" t="s">
        <v>75</v>
      </c>
      <c r="N2845" s="2" t="s">
        <v>76</v>
      </c>
      <c r="O2845" s="2" t="s">
        <v>100</v>
      </c>
      <c r="P2845" s="2" t="str">
        <f>"2170586436 12333              "</f>
        <v xml:space="preserve">2170586436 12333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3.13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1</v>
      </c>
      <c r="BI2845" s="2">
        <v>1</v>
      </c>
      <c r="BJ2845" s="2">
        <v>0.2</v>
      </c>
      <c r="BK2845" s="2">
        <v>1</v>
      </c>
      <c r="BL2845" s="2">
        <v>32.380000000000003</v>
      </c>
      <c r="BM2845" s="2">
        <v>4.53</v>
      </c>
      <c r="BN2845" s="2">
        <v>36.909999999999997</v>
      </c>
      <c r="BO2845" s="2">
        <v>36.909999999999997</v>
      </c>
      <c r="BP2845" s="2"/>
      <c r="BQ2845" s="2" t="s">
        <v>84</v>
      </c>
      <c r="BR2845" s="2" t="s">
        <v>288</v>
      </c>
      <c r="BS2845" s="3">
        <v>42972</v>
      </c>
      <c r="BT2845" s="4">
        <v>0.46319444444444446</v>
      </c>
      <c r="BU2845" s="2" t="s">
        <v>631</v>
      </c>
      <c r="BV2845" s="2" t="s">
        <v>86</v>
      </c>
      <c r="BW2845" s="2" t="s">
        <v>110</v>
      </c>
      <c r="BX2845" s="2" t="s">
        <v>498</v>
      </c>
      <c r="BY2845" s="2">
        <v>1200</v>
      </c>
      <c r="BZ2845" s="2"/>
      <c r="CA2845" s="2"/>
      <c r="CB2845" s="2"/>
      <c r="CC2845" s="2" t="s">
        <v>75</v>
      </c>
      <c r="CD2845" s="2">
        <v>1600</v>
      </c>
      <c r="CE2845" s="2" t="s">
        <v>104</v>
      </c>
      <c r="CF2845" s="5">
        <v>42975</v>
      </c>
      <c r="CG2845" s="2"/>
      <c r="CH2845" s="2"/>
      <c r="CI2845" s="2">
        <v>1</v>
      </c>
      <c r="CJ2845" s="2">
        <v>1</v>
      </c>
      <c r="CK2845" s="2">
        <v>22</v>
      </c>
      <c r="CL2845" s="2" t="s">
        <v>86</v>
      </c>
      <c r="CM2845" s="2"/>
    </row>
    <row r="2846" spans="1:91">
      <c r="A2846" s="2" t="s">
        <v>71</v>
      </c>
      <c r="B2846" s="2" t="s">
        <v>72</v>
      </c>
      <c r="C2846" s="2" t="s">
        <v>73</v>
      </c>
      <c r="D2846" s="2"/>
      <c r="E2846" s="2" t="str">
        <f>"RFES1162570667"</f>
        <v>RFES1162570667</v>
      </c>
      <c r="F2846" s="3">
        <v>42971</v>
      </c>
      <c r="G2846" s="2">
        <v>201802</v>
      </c>
      <c r="H2846" s="2" t="s">
        <v>244</v>
      </c>
      <c r="I2846" s="2" t="s">
        <v>245</v>
      </c>
      <c r="J2846" s="2" t="s">
        <v>3130</v>
      </c>
      <c r="K2846" s="2" t="s">
        <v>77</v>
      </c>
      <c r="L2846" s="2" t="s">
        <v>74</v>
      </c>
      <c r="M2846" s="2" t="s">
        <v>75</v>
      </c>
      <c r="N2846" s="2" t="s">
        <v>76</v>
      </c>
      <c r="O2846" s="2" t="s">
        <v>100</v>
      </c>
      <c r="P2846" s="2" t="str">
        <f>"2170586432 12333              "</f>
        <v xml:space="preserve">2170586432 12333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3.13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1</v>
      </c>
      <c r="BI2846" s="2">
        <v>1</v>
      </c>
      <c r="BJ2846" s="2">
        <v>0.2</v>
      </c>
      <c r="BK2846" s="2">
        <v>1</v>
      </c>
      <c r="BL2846" s="2">
        <v>32.380000000000003</v>
      </c>
      <c r="BM2846" s="2">
        <v>4.53</v>
      </c>
      <c r="BN2846" s="2">
        <v>36.909999999999997</v>
      </c>
      <c r="BO2846" s="2">
        <v>36.909999999999997</v>
      </c>
      <c r="BP2846" s="2"/>
      <c r="BQ2846" s="2" t="s">
        <v>84</v>
      </c>
      <c r="BR2846" s="2" t="s">
        <v>108</v>
      </c>
      <c r="BS2846" s="3">
        <v>42972</v>
      </c>
      <c r="BT2846" s="4">
        <v>0.46319444444444446</v>
      </c>
      <c r="BU2846" s="2" t="s">
        <v>631</v>
      </c>
      <c r="BV2846" s="2" t="s">
        <v>86</v>
      </c>
      <c r="BW2846" s="2" t="s">
        <v>110</v>
      </c>
      <c r="BX2846" s="2" t="s">
        <v>498</v>
      </c>
      <c r="BY2846" s="2">
        <v>1200</v>
      </c>
      <c r="BZ2846" s="2" t="s">
        <v>27</v>
      </c>
      <c r="CA2846" s="2"/>
      <c r="CB2846" s="2"/>
      <c r="CC2846" s="2" t="s">
        <v>75</v>
      </c>
      <c r="CD2846" s="2">
        <v>1600</v>
      </c>
      <c r="CE2846" s="2" t="s">
        <v>104</v>
      </c>
      <c r="CF2846" s="5">
        <v>42975</v>
      </c>
      <c r="CG2846" s="2"/>
      <c r="CH2846" s="2"/>
      <c r="CI2846" s="2">
        <v>1</v>
      </c>
      <c r="CJ2846" s="2">
        <v>1</v>
      </c>
      <c r="CK2846" s="2">
        <v>22</v>
      </c>
      <c r="CL2846" s="2" t="s">
        <v>86</v>
      </c>
      <c r="CM2846" s="2"/>
    </row>
    <row r="2847" spans="1:91">
      <c r="A2847" s="2" t="s">
        <v>71</v>
      </c>
      <c r="B2847" s="2" t="s">
        <v>72</v>
      </c>
      <c r="C2847" s="2" t="s">
        <v>73</v>
      </c>
      <c r="D2847" s="2"/>
      <c r="E2847" s="2" t="str">
        <f>"FES1162570741"</f>
        <v>FES1162570741</v>
      </c>
      <c r="F2847" s="3">
        <v>42970</v>
      </c>
      <c r="G2847" s="2">
        <v>201802</v>
      </c>
      <c r="H2847" s="2" t="s">
        <v>74</v>
      </c>
      <c r="I2847" s="2" t="s">
        <v>75</v>
      </c>
      <c r="J2847" s="2" t="s">
        <v>76</v>
      </c>
      <c r="K2847" s="2" t="s">
        <v>77</v>
      </c>
      <c r="L2847" s="2" t="s">
        <v>159</v>
      </c>
      <c r="M2847" s="2" t="s">
        <v>160</v>
      </c>
      <c r="N2847" s="2" t="s">
        <v>1465</v>
      </c>
      <c r="O2847" s="2" t="s">
        <v>100</v>
      </c>
      <c r="P2847" s="2" t="str">
        <f>"2170585534                    "</f>
        <v xml:space="preserve">2170585534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5.63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1</v>
      </c>
      <c r="BJ2847" s="2">
        <v>0.2</v>
      </c>
      <c r="BK2847" s="2">
        <v>1</v>
      </c>
      <c r="BL2847" s="2">
        <v>58.28</v>
      </c>
      <c r="BM2847" s="2">
        <v>8.16</v>
      </c>
      <c r="BN2847" s="2">
        <v>66.44</v>
      </c>
      <c r="BO2847" s="2">
        <v>66.44</v>
      </c>
      <c r="BP2847" s="2"/>
      <c r="BQ2847" s="2" t="s">
        <v>209</v>
      </c>
      <c r="BR2847" s="2" t="s">
        <v>84</v>
      </c>
      <c r="BS2847" s="3">
        <v>42972</v>
      </c>
      <c r="BT2847" s="4">
        <v>0.4548611111111111</v>
      </c>
      <c r="BU2847" s="2" t="s">
        <v>3134</v>
      </c>
      <c r="BV2847" s="2" t="s">
        <v>86</v>
      </c>
      <c r="BW2847" s="2" t="s">
        <v>336</v>
      </c>
      <c r="BX2847" s="2" t="s">
        <v>623</v>
      </c>
      <c r="BY2847" s="2">
        <v>1200</v>
      </c>
      <c r="BZ2847" s="2"/>
      <c r="CA2847" s="2" t="s">
        <v>148</v>
      </c>
      <c r="CB2847" s="2"/>
      <c r="CC2847" s="2" t="s">
        <v>160</v>
      </c>
      <c r="CD2847" s="2">
        <v>407</v>
      </c>
      <c r="CE2847" s="2" t="s">
        <v>104</v>
      </c>
      <c r="CF2847" s="5">
        <v>42975</v>
      </c>
      <c r="CG2847" s="2"/>
      <c r="CH2847" s="2"/>
      <c r="CI2847" s="2">
        <v>1</v>
      </c>
      <c r="CJ2847" s="2">
        <v>2</v>
      </c>
      <c r="CK2847" s="2">
        <v>24</v>
      </c>
      <c r="CL2847" s="2" t="s">
        <v>86</v>
      </c>
      <c r="CM2847" s="2"/>
    </row>
    <row r="2848" spans="1:91">
      <c r="A2848" s="2" t="s">
        <v>71</v>
      </c>
      <c r="B2848" s="2" t="s">
        <v>72</v>
      </c>
      <c r="C2848" s="2" t="s">
        <v>73</v>
      </c>
      <c r="D2848" s="2"/>
      <c r="E2848" s="2" t="str">
        <f>"FES1162571115"</f>
        <v>FES1162571115</v>
      </c>
      <c r="F2848" s="3">
        <v>42971</v>
      </c>
      <c r="G2848" s="2">
        <v>201802</v>
      </c>
      <c r="H2848" s="2" t="s">
        <v>74</v>
      </c>
      <c r="I2848" s="2" t="s">
        <v>75</v>
      </c>
      <c r="J2848" s="2" t="s">
        <v>76</v>
      </c>
      <c r="K2848" s="2" t="s">
        <v>77</v>
      </c>
      <c r="L2848" s="2" t="s">
        <v>105</v>
      </c>
      <c r="M2848" s="2" t="s">
        <v>106</v>
      </c>
      <c r="N2848" s="2" t="s">
        <v>534</v>
      </c>
      <c r="O2848" s="2" t="s">
        <v>100</v>
      </c>
      <c r="P2848" s="2" t="str">
        <f>"2170585633                    "</f>
        <v xml:space="preserve">2170585633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4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1</v>
      </c>
      <c r="BI2848" s="2">
        <v>1</v>
      </c>
      <c r="BJ2848" s="2">
        <v>0.2</v>
      </c>
      <c r="BK2848" s="2">
        <v>1</v>
      </c>
      <c r="BL2848" s="2">
        <v>41.44</v>
      </c>
      <c r="BM2848" s="2">
        <v>5.8</v>
      </c>
      <c r="BN2848" s="2">
        <v>47.24</v>
      </c>
      <c r="BO2848" s="2">
        <v>47.24</v>
      </c>
      <c r="BP2848" s="2"/>
      <c r="BQ2848" s="2" t="s">
        <v>3135</v>
      </c>
      <c r="BR2848" s="2" t="s">
        <v>84</v>
      </c>
      <c r="BS2848" s="3">
        <v>42972</v>
      </c>
      <c r="BT2848" s="4">
        <v>0.35972222222222222</v>
      </c>
      <c r="BU2848" s="2" t="s">
        <v>2398</v>
      </c>
      <c r="BV2848" s="2" t="s">
        <v>95</v>
      </c>
      <c r="BW2848" s="2"/>
      <c r="BX2848" s="2"/>
      <c r="BY2848" s="2">
        <v>1200</v>
      </c>
      <c r="BZ2848" s="2" t="s">
        <v>27</v>
      </c>
      <c r="CA2848" s="2" t="s">
        <v>112</v>
      </c>
      <c r="CB2848" s="2"/>
      <c r="CC2848" s="2" t="s">
        <v>106</v>
      </c>
      <c r="CD2848" s="2">
        <v>7405</v>
      </c>
      <c r="CE2848" s="2" t="s">
        <v>104</v>
      </c>
      <c r="CF2848" s="5">
        <v>42975</v>
      </c>
      <c r="CG2848" s="2"/>
      <c r="CH2848" s="2"/>
      <c r="CI2848" s="2">
        <v>1</v>
      </c>
      <c r="CJ2848" s="2">
        <v>1</v>
      </c>
      <c r="CK2848" s="2">
        <v>21</v>
      </c>
      <c r="CL2848" s="2" t="s">
        <v>86</v>
      </c>
      <c r="CM2848" s="2"/>
    </row>
    <row r="2849" spans="1:91">
      <c r="A2849" s="2" t="s">
        <v>71</v>
      </c>
      <c r="B2849" s="2" t="s">
        <v>72</v>
      </c>
      <c r="C2849" s="2" t="s">
        <v>73</v>
      </c>
      <c r="D2849" s="2"/>
      <c r="E2849" s="2" t="str">
        <f>"FES1162571392"</f>
        <v>FES1162571392</v>
      </c>
      <c r="F2849" s="3">
        <v>42971</v>
      </c>
      <c r="G2849" s="2">
        <v>201802</v>
      </c>
      <c r="H2849" s="2" t="s">
        <v>74</v>
      </c>
      <c r="I2849" s="2" t="s">
        <v>75</v>
      </c>
      <c r="J2849" s="2" t="s">
        <v>76</v>
      </c>
      <c r="K2849" s="2" t="s">
        <v>77</v>
      </c>
      <c r="L2849" s="2" t="s">
        <v>244</v>
      </c>
      <c r="M2849" s="2" t="s">
        <v>245</v>
      </c>
      <c r="N2849" s="2" t="s">
        <v>3136</v>
      </c>
      <c r="O2849" s="2" t="s">
        <v>100</v>
      </c>
      <c r="P2849" s="2" t="str">
        <f>"2170587032                    "</f>
        <v xml:space="preserve">2170587032  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3.13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1</v>
      </c>
      <c r="BJ2849" s="2">
        <v>0.2</v>
      </c>
      <c r="BK2849" s="2">
        <v>1</v>
      </c>
      <c r="BL2849" s="2">
        <v>32.380000000000003</v>
      </c>
      <c r="BM2849" s="2">
        <v>4.53</v>
      </c>
      <c r="BN2849" s="2">
        <v>36.909999999999997</v>
      </c>
      <c r="BO2849" s="2">
        <v>36.909999999999997</v>
      </c>
      <c r="BP2849" s="2"/>
      <c r="BQ2849" s="2" t="s">
        <v>108</v>
      </c>
      <c r="BR2849" s="2" t="s">
        <v>84</v>
      </c>
      <c r="BS2849" s="3">
        <v>42972</v>
      </c>
      <c r="BT2849" s="4">
        <v>0.28194444444444444</v>
      </c>
      <c r="BU2849" s="2" t="s">
        <v>1360</v>
      </c>
      <c r="BV2849" s="2" t="s">
        <v>95</v>
      </c>
      <c r="BW2849" s="2"/>
      <c r="BX2849" s="2"/>
      <c r="BY2849" s="2">
        <v>1200</v>
      </c>
      <c r="BZ2849" s="2"/>
      <c r="CA2849" s="2" t="s">
        <v>1617</v>
      </c>
      <c r="CB2849" s="2"/>
      <c r="CC2849" s="2" t="s">
        <v>245</v>
      </c>
      <c r="CD2849" s="2">
        <v>1467</v>
      </c>
      <c r="CE2849" s="2" t="s">
        <v>104</v>
      </c>
      <c r="CF2849" s="5">
        <v>42975</v>
      </c>
      <c r="CG2849" s="2"/>
      <c r="CH2849" s="2"/>
      <c r="CI2849" s="2">
        <v>1</v>
      </c>
      <c r="CJ2849" s="2">
        <v>1</v>
      </c>
      <c r="CK2849" s="2">
        <v>22</v>
      </c>
      <c r="CL2849" s="2" t="s">
        <v>86</v>
      </c>
      <c r="CM2849" s="2"/>
    </row>
    <row r="2850" spans="1:91">
      <c r="A2850" s="2" t="s">
        <v>71</v>
      </c>
      <c r="B2850" s="2" t="s">
        <v>72</v>
      </c>
      <c r="C2850" s="2" t="s">
        <v>73</v>
      </c>
      <c r="D2850" s="2"/>
      <c r="E2850" s="2" t="str">
        <f>"FES1162571110"</f>
        <v>FES1162571110</v>
      </c>
      <c r="F2850" s="3">
        <v>42971</v>
      </c>
      <c r="G2850" s="2">
        <v>201802</v>
      </c>
      <c r="H2850" s="2" t="s">
        <v>74</v>
      </c>
      <c r="I2850" s="2" t="s">
        <v>75</v>
      </c>
      <c r="J2850" s="2" t="s">
        <v>76</v>
      </c>
      <c r="K2850" s="2" t="s">
        <v>77</v>
      </c>
      <c r="L2850" s="2" t="s">
        <v>417</v>
      </c>
      <c r="M2850" s="2" t="s">
        <v>417</v>
      </c>
      <c r="N2850" s="2" t="s">
        <v>1414</v>
      </c>
      <c r="O2850" s="2" t="s">
        <v>100</v>
      </c>
      <c r="P2850" s="2" t="str">
        <f>"2170585199                    "</f>
        <v xml:space="preserve">2170585199 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4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1</v>
      </c>
      <c r="BJ2850" s="2">
        <v>0.2</v>
      </c>
      <c r="BK2850" s="2">
        <v>1</v>
      </c>
      <c r="BL2850" s="2">
        <v>41.44</v>
      </c>
      <c r="BM2850" s="2">
        <v>5.8</v>
      </c>
      <c r="BN2850" s="2">
        <v>47.24</v>
      </c>
      <c r="BO2850" s="2">
        <v>47.24</v>
      </c>
      <c r="BP2850" s="2"/>
      <c r="BQ2850" s="2" t="s">
        <v>108</v>
      </c>
      <c r="BR2850" s="2" t="s">
        <v>84</v>
      </c>
      <c r="BS2850" s="3">
        <v>42972</v>
      </c>
      <c r="BT2850" s="4">
        <v>0.54791666666666672</v>
      </c>
      <c r="BU2850" s="2" t="s">
        <v>3137</v>
      </c>
      <c r="BV2850" s="2" t="s">
        <v>95</v>
      </c>
      <c r="BW2850" s="2"/>
      <c r="BX2850" s="2"/>
      <c r="BY2850" s="2">
        <v>1200</v>
      </c>
      <c r="BZ2850" s="2" t="s">
        <v>27</v>
      </c>
      <c r="CA2850" s="2" t="s">
        <v>460</v>
      </c>
      <c r="CB2850" s="2"/>
      <c r="CC2850" s="2" t="s">
        <v>417</v>
      </c>
      <c r="CD2850" s="2">
        <v>7646</v>
      </c>
      <c r="CE2850" s="2" t="s">
        <v>104</v>
      </c>
      <c r="CF2850" s="5">
        <v>42975</v>
      </c>
      <c r="CG2850" s="2"/>
      <c r="CH2850" s="2"/>
      <c r="CI2850" s="2">
        <v>1</v>
      </c>
      <c r="CJ2850" s="2">
        <v>1</v>
      </c>
      <c r="CK2850" s="2">
        <v>21</v>
      </c>
      <c r="CL2850" s="2" t="s">
        <v>86</v>
      </c>
      <c r="CM2850" s="2"/>
    </row>
    <row r="2851" spans="1:91">
      <c r="A2851" s="2" t="s">
        <v>71</v>
      </c>
      <c r="B2851" s="2" t="s">
        <v>72</v>
      </c>
      <c r="C2851" s="2" t="s">
        <v>73</v>
      </c>
      <c r="D2851" s="2"/>
      <c r="E2851" s="2" t="str">
        <f>"FES1162571401"</f>
        <v>FES1162571401</v>
      </c>
      <c r="F2851" s="3">
        <v>42971</v>
      </c>
      <c r="G2851" s="2">
        <v>201802</v>
      </c>
      <c r="H2851" s="2" t="s">
        <v>74</v>
      </c>
      <c r="I2851" s="2" t="s">
        <v>75</v>
      </c>
      <c r="J2851" s="2" t="s">
        <v>76</v>
      </c>
      <c r="K2851" s="2" t="s">
        <v>77</v>
      </c>
      <c r="L2851" s="2" t="s">
        <v>216</v>
      </c>
      <c r="M2851" s="2" t="s">
        <v>217</v>
      </c>
      <c r="N2851" s="2" t="s">
        <v>3138</v>
      </c>
      <c r="O2851" s="2" t="s">
        <v>100</v>
      </c>
      <c r="P2851" s="2" t="str">
        <f>"2170587045                    "</f>
        <v xml:space="preserve">2170587045 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3.13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1</v>
      </c>
      <c r="BJ2851" s="2">
        <v>0.2</v>
      </c>
      <c r="BK2851" s="2">
        <v>1</v>
      </c>
      <c r="BL2851" s="2">
        <v>32.380000000000003</v>
      </c>
      <c r="BM2851" s="2">
        <v>4.53</v>
      </c>
      <c r="BN2851" s="2">
        <v>36.909999999999997</v>
      </c>
      <c r="BO2851" s="2">
        <v>36.909999999999997</v>
      </c>
      <c r="BP2851" s="2"/>
      <c r="BQ2851" s="2" t="s">
        <v>108</v>
      </c>
      <c r="BR2851" s="2" t="s">
        <v>84</v>
      </c>
      <c r="BS2851" s="3">
        <v>42972</v>
      </c>
      <c r="BT2851" s="4">
        <v>0.34027777777777773</v>
      </c>
      <c r="BU2851" s="2" t="s">
        <v>3139</v>
      </c>
      <c r="BV2851" s="2" t="s">
        <v>95</v>
      </c>
      <c r="BW2851" s="2"/>
      <c r="BX2851" s="2"/>
      <c r="BY2851" s="2">
        <v>1200</v>
      </c>
      <c r="BZ2851" s="2"/>
      <c r="CA2851" s="2" t="s">
        <v>220</v>
      </c>
      <c r="CB2851" s="2"/>
      <c r="CC2851" s="2" t="s">
        <v>217</v>
      </c>
      <c r="CD2851" s="2">
        <v>1451</v>
      </c>
      <c r="CE2851" s="2" t="s">
        <v>104</v>
      </c>
      <c r="CF2851" s="5">
        <v>42975</v>
      </c>
      <c r="CG2851" s="2"/>
      <c r="CH2851" s="2"/>
      <c r="CI2851" s="2">
        <v>1</v>
      </c>
      <c r="CJ2851" s="2">
        <v>1</v>
      </c>
      <c r="CK2851" s="2">
        <v>22</v>
      </c>
      <c r="CL2851" s="2" t="s">
        <v>86</v>
      </c>
      <c r="CM2851" s="2"/>
    </row>
    <row r="2852" spans="1:91">
      <c r="A2852" s="2" t="s">
        <v>71</v>
      </c>
      <c r="B2852" s="2" t="s">
        <v>72</v>
      </c>
      <c r="C2852" s="2" t="s">
        <v>73</v>
      </c>
      <c r="D2852" s="2"/>
      <c r="E2852" s="2" t="str">
        <f>"FES1162571303"</f>
        <v>FES1162571303</v>
      </c>
      <c r="F2852" s="3">
        <v>42971</v>
      </c>
      <c r="G2852" s="2">
        <v>201802</v>
      </c>
      <c r="H2852" s="2" t="s">
        <v>74</v>
      </c>
      <c r="I2852" s="2" t="s">
        <v>75</v>
      </c>
      <c r="J2852" s="2" t="s">
        <v>76</v>
      </c>
      <c r="K2852" s="2" t="s">
        <v>77</v>
      </c>
      <c r="L2852" s="2" t="s">
        <v>149</v>
      </c>
      <c r="M2852" s="2" t="s">
        <v>150</v>
      </c>
      <c r="N2852" s="2" t="s">
        <v>1356</v>
      </c>
      <c r="O2852" s="2" t="s">
        <v>100</v>
      </c>
      <c r="P2852" s="2" t="str">
        <f>"2170586949                    "</f>
        <v xml:space="preserve">2170586949                    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9.01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4</v>
      </c>
      <c r="BJ2852" s="2">
        <v>4.4000000000000004</v>
      </c>
      <c r="BK2852" s="2">
        <v>4.5</v>
      </c>
      <c r="BL2852" s="2">
        <v>93.25</v>
      </c>
      <c r="BM2852" s="2">
        <v>13.06</v>
      </c>
      <c r="BN2852" s="2">
        <v>106.31</v>
      </c>
      <c r="BO2852" s="2">
        <v>106.31</v>
      </c>
      <c r="BP2852" s="2"/>
      <c r="BQ2852" s="2" t="s">
        <v>1836</v>
      </c>
      <c r="BR2852" s="2" t="s">
        <v>84</v>
      </c>
      <c r="BS2852" s="3">
        <v>42972</v>
      </c>
      <c r="BT2852" s="4">
        <v>0.3840277777777778</v>
      </c>
      <c r="BU2852" s="2" t="s">
        <v>3140</v>
      </c>
      <c r="BV2852" s="2" t="s">
        <v>95</v>
      </c>
      <c r="BW2852" s="2"/>
      <c r="BX2852" s="2"/>
      <c r="BY2852" s="2">
        <v>22050</v>
      </c>
      <c r="BZ2852" s="2"/>
      <c r="CA2852" s="2" t="s">
        <v>1536</v>
      </c>
      <c r="CB2852" s="2"/>
      <c r="CC2852" s="2" t="s">
        <v>150</v>
      </c>
      <c r="CD2852" s="2">
        <v>4051</v>
      </c>
      <c r="CE2852" s="2" t="s">
        <v>135</v>
      </c>
      <c r="CF2852" s="5">
        <v>42975</v>
      </c>
      <c r="CG2852" s="2"/>
      <c r="CH2852" s="2"/>
      <c r="CI2852" s="2">
        <v>1</v>
      </c>
      <c r="CJ2852" s="2">
        <v>1</v>
      </c>
      <c r="CK2852" s="2">
        <v>21</v>
      </c>
      <c r="CL2852" s="2" t="s">
        <v>86</v>
      </c>
      <c r="CM2852" s="2"/>
    </row>
    <row r="2853" spans="1:91">
      <c r="A2853" s="2" t="s">
        <v>71</v>
      </c>
      <c r="B2853" s="2" t="s">
        <v>72</v>
      </c>
      <c r="C2853" s="2" t="s">
        <v>73</v>
      </c>
      <c r="D2853" s="2"/>
      <c r="E2853" s="2" t="str">
        <f>"FES1162571172"</f>
        <v>FES1162571172</v>
      </c>
      <c r="F2853" s="3">
        <v>42971</v>
      </c>
      <c r="G2853" s="2">
        <v>201802</v>
      </c>
      <c r="H2853" s="2" t="s">
        <v>74</v>
      </c>
      <c r="I2853" s="2" t="s">
        <v>75</v>
      </c>
      <c r="J2853" s="2" t="s">
        <v>76</v>
      </c>
      <c r="K2853" s="2" t="s">
        <v>77</v>
      </c>
      <c r="L2853" s="2" t="s">
        <v>221</v>
      </c>
      <c r="M2853" s="2" t="s">
        <v>222</v>
      </c>
      <c r="N2853" s="2" t="s">
        <v>415</v>
      </c>
      <c r="O2853" s="2" t="s">
        <v>100</v>
      </c>
      <c r="P2853" s="2" t="str">
        <f>"2170586529                    "</f>
        <v xml:space="preserve">2170586529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4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1</v>
      </c>
      <c r="BI2853" s="2">
        <v>1</v>
      </c>
      <c r="BJ2853" s="2">
        <v>0.2</v>
      </c>
      <c r="BK2853" s="2">
        <v>1</v>
      </c>
      <c r="BL2853" s="2">
        <v>41.44</v>
      </c>
      <c r="BM2853" s="2">
        <v>5.8</v>
      </c>
      <c r="BN2853" s="2">
        <v>47.24</v>
      </c>
      <c r="BO2853" s="2">
        <v>47.24</v>
      </c>
      <c r="BP2853" s="2"/>
      <c r="BQ2853" s="2" t="s">
        <v>108</v>
      </c>
      <c r="BR2853" s="2" t="s">
        <v>84</v>
      </c>
      <c r="BS2853" s="3">
        <v>42972</v>
      </c>
      <c r="BT2853" s="4">
        <v>0.35347222222222219</v>
      </c>
      <c r="BU2853" s="2" t="s">
        <v>416</v>
      </c>
      <c r="BV2853" s="2" t="s">
        <v>95</v>
      </c>
      <c r="BW2853" s="2"/>
      <c r="BX2853" s="2"/>
      <c r="BY2853" s="2">
        <v>1200</v>
      </c>
      <c r="BZ2853" s="2" t="s">
        <v>27</v>
      </c>
      <c r="CA2853" s="2" t="s">
        <v>934</v>
      </c>
      <c r="CB2853" s="2"/>
      <c r="CC2853" s="2" t="s">
        <v>222</v>
      </c>
      <c r="CD2853" s="2">
        <v>4302</v>
      </c>
      <c r="CE2853" s="2" t="s">
        <v>104</v>
      </c>
      <c r="CF2853" s="5">
        <v>42975</v>
      </c>
      <c r="CG2853" s="2"/>
      <c r="CH2853" s="2"/>
      <c r="CI2853" s="2">
        <v>1</v>
      </c>
      <c r="CJ2853" s="2">
        <v>1</v>
      </c>
      <c r="CK2853" s="2">
        <v>21</v>
      </c>
      <c r="CL2853" s="2" t="s">
        <v>86</v>
      </c>
      <c r="CM2853" s="2"/>
    </row>
    <row r="2854" spans="1:91">
      <c r="A2854" s="2" t="s">
        <v>71</v>
      </c>
      <c r="B2854" s="2" t="s">
        <v>72</v>
      </c>
      <c r="C2854" s="2" t="s">
        <v>73</v>
      </c>
      <c r="D2854" s="2"/>
      <c r="E2854" s="2" t="str">
        <f>"FES1162570517"</f>
        <v>FES1162570517</v>
      </c>
      <c r="F2854" s="3">
        <v>42971</v>
      </c>
      <c r="G2854" s="2">
        <v>201802</v>
      </c>
      <c r="H2854" s="2" t="s">
        <v>74</v>
      </c>
      <c r="I2854" s="2" t="s">
        <v>75</v>
      </c>
      <c r="J2854" s="2" t="s">
        <v>76</v>
      </c>
      <c r="K2854" s="2" t="s">
        <v>77</v>
      </c>
      <c r="L2854" s="2" t="s">
        <v>74</v>
      </c>
      <c r="M2854" s="2" t="s">
        <v>75</v>
      </c>
      <c r="N2854" s="2" t="s">
        <v>192</v>
      </c>
      <c r="O2854" s="2" t="s">
        <v>100</v>
      </c>
      <c r="P2854" s="2" t="str">
        <f>"2170584460                    "</f>
        <v xml:space="preserve">2170584460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3.13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1</v>
      </c>
      <c r="BJ2854" s="2">
        <v>0.2</v>
      </c>
      <c r="BK2854" s="2">
        <v>1</v>
      </c>
      <c r="BL2854" s="2">
        <v>32.380000000000003</v>
      </c>
      <c r="BM2854" s="2">
        <v>4.53</v>
      </c>
      <c r="BN2854" s="2">
        <v>36.909999999999997</v>
      </c>
      <c r="BO2854" s="2">
        <v>36.909999999999997</v>
      </c>
      <c r="BP2854" s="2"/>
      <c r="BQ2854" s="2" t="s">
        <v>288</v>
      </c>
      <c r="BR2854" s="2" t="s">
        <v>84</v>
      </c>
      <c r="BS2854" s="3">
        <v>42972</v>
      </c>
      <c r="BT2854" s="4">
        <v>0.35902777777777778</v>
      </c>
      <c r="BU2854" s="2" t="s">
        <v>193</v>
      </c>
      <c r="BV2854" s="2" t="s">
        <v>95</v>
      </c>
      <c r="BW2854" s="2"/>
      <c r="BX2854" s="2"/>
      <c r="BY2854" s="2">
        <v>1200</v>
      </c>
      <c r="BZ2854" s="2"/>
      <c r="CA2854" s="2" t="s">
        <v>194</v>
      </c>
      <c r="CB2854" s="2"/>
      <c r="CC2854" s="2" t="s">
        <v>75</v>
      </c>
      <c r="CD2854" s="2">
        <v>1665</v>
      </c>
      <c r="CE2854" s="2" t="s">
        <v>104</v>
      </c>
      <c r="CF2854" s="5">
        <v>42975</v>
      </c>
      <c r="CG2854" s="2"/>
      <c r="CH2854" s="2"/>
      <c r="CI2854" s="2">
        <v>1</v>
      </c>
      <c r="CJ2854" s="2">
        <v>1</v>
      </c>
      <c r="CK2854" s="2">
        <v>22</v>
      </c>
      <c r="CL2854" s="2" t="s">
        <v>86</v>
      </c>
      <c r="CM2854" s="2"/>
    </row>
    <row r="2855" spans="1:91">
      <c r="A2855" s="2" t="s">
        <v>71</v>
      </c>
      <c r="B2855" s="2" t="s">
        <v>72</v>
      </c>
      <c r="C2855" s="2" t="s">
        <v>73</v>
      </c>
      <c r="D2855" s="2"/>
      <c r="E2855" s="2" t="str">
        <f>"FES1162571168"</f>
        <v>FES1162571168</v>
      </c>
      <c r="F2855" s="3">
        <v>42971</v>
      </c>
      <c r="G2855" s="2">
        <v>201802</v>
      </c>
      <c r="H2855" s="2" t="s">
        <v>74</v>
      </c>
      <c r="I2855" s="2" t="s">
        <v>75</v>
      </c>
      <c r="J2855" s="2" t="s">
        <v>76</v>
      </c>
      <c r="K2855" s="2" t="s">
        <v>77</v>
      </c>
      <c r="L2855" s="2" t="s">
        <v>539</v>
      </c>
      <c r="M2855" s="2" t="s">
        <v>540</v>
      </c>
      <c r="N2855" s="2" t="s">
        <v>541</v>
      </c>
      <c r="O2855" s="2" t="s">
        <v>100</v>
      </c>
      <c r="P2855" s="2" t="str">
        <f>"2170584792                    "</f>
        <v xml:space="preserve">2170584792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3.13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1</v>
      </c>
      <c r="BJ2855" s="2">
        <v>0.2</v>
      </c>
      <c r="BK2855" s="2">
        <v>1</v>
      </c>
      <c r="BL2855" s="2">
        <v>32.380000000000003</v>
      </c>
      <c r="BM2855" s="2">
        <v>4.53</v>
      </c>
      <c r="BN2855" s="2">
        <v>36.909999999999997</v>
      </c>
      <c r="BO2855" s="2">
        <v>36.909999999999997</v>
      </c>
      <c r="BP2855" s="2"/>
      <c r="BQ2855" s="2" t="s">
        <v>288</v>
      </c>
      <c r="BR2855" s="2" t="s">
        <v>84</v>
      </c>
      <c r="BS2855" s="3">
        <v>42972</v>
      </c>
      <c r="BT2855" s="4">
        <v>0.43611111111111112</v>
      </c>
      <c r="BU2855" s="2" t="s">
        <v>3141</v>
      </c>
      <c r="BV2855" s="2" t="s">
        <v>95</v>
      </c>
      <c r="BW2855" s="2"/>
      <c r="BX2855" s="2"/>
      <c r="BY2855" s="2">
        <v>1200</v>
      </c>
      <c r="BZ2855" s="2" t="s">
        <v>27</v>
      </c>
      <c r="CA2855" s="2" t="s">
        <v>722</v>
      </c>
      <c r="CB2855" s="2"/>
      <c r="CC2855" s="2" t="s">
        <v>540</v>
      </c>
      <c r="CD2855" s="2">
        <v>2162</v>
      </c>
      <c r="CE2855" s="2" t="s">
        <v>104</v>
      </c>
      <c r="CF2855" s="5">
        <v>42975</v>
      </c>
      <c r="CG2855" s="2"/>
      <c r="CH2855" s="2"/>
      <c r="CI2855" s="2">
        <v>1</v>
      </c>
      <c r="CJ2855" s="2">
        <v>1</v>
      </c>
      <c r="CK2855" s="2">
        <v>22</v>
      </c>
      <c r="CL2855" s="2" t="s">
        <v>86</v>
      </c>
      <c r="CM2855" s="2"/>
    </row>
    <row r="2856" spans="1:91">
      <c r="A2856" s="2" t="s">
        <v>71</v>
      </c>
      <c r="B2856" s="2" t="s">
        <v>72</v>
      </c>
      <c r="C2856" s="2" t="s">
        <v>73</v>
      </c>
      <c r="D2856" s="2"/>
      <c r="E2856" s="2" t="str">
        <f>"FES1162570688"</f>
        <v>FES1162570688</v>
      </c>
      <c r="F2856" s="3">
        <v>42971</v>
      </c>
      <c r="G2856" s="2">
        <v>201802</v>
      </c>
      <c r="H2856" s="2" t="s">
        <v>74</v>
      </c>
      <c r="I2856" s="2" t="s">
        <v>75</v>
      </c>
      <c r="J2856" s="2" t="s">
        <v>76</v>
      </c>
      <c r="K2856" s="2" t="s">
        <v>77</v>
      </c>
      <c r="L2856" s="2" t="s">
        <v>244</v>
      </c>
      <c r="M2856" s="2" t="s">
        <v>245</v>
      </c>
      <c r="N2856" s="2" t="s">
        <v>882</v>
      </c>
      <c r="O2856" s="2" t="s">
        <v>100</v>
      </c>
      <c r="P2856" s="2" t="str">
        <f>"2170586415                    "</f>
        <v xml:space="preserve">2170586415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3.13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1</v>
      </c>
      <c r="BJ2856" s="2">
        <v>0.2</v>
      </c>
      <c r="BK2856" s="2">
        <v>1</v>
      </c>
      <c r="BL2856" s="2">
        <v>32.380000000000003</v>
      </c>
      <c r="BM2856" s="2">
        <v>4.53</v>
      </c>
      <c r="BN2856" s="2">
        <v>36.909999999999997</v>
      </c>
      <c r="BO2856" s="2">
        <v>36.909999999999997</v>
      </c>
      <c r="BP2856" s="2"/>
      <c r="BQ2856" s="2" t="s">
        <v>108</v>
      </c>
      <c r="BR2856" s="2" t="s">
        <v>84</v>
      </c>
      <c r="BS2856" s="3">
        <v>42972</v>
      </c>
      <c r="BT2856" s="4">
        <v>0.44027777777777777</v>
      </c>
      <c r="BU2856" s="2" t="s">
        <v>1360</v>
      </c>
      <c r="BV2856" s="2" t="s">
        <v>95</v>
      </c>
      <c r="BW2856" s="2"/>
      <c r="BX2856" s="2"/>
      <c r="BY2856" s="2">
        <v>1200</v>
      </c>
      <c r="BZ2856" s="2"/>
      <c r="CA2856" s="2" t="s">
        <v>733</v>
      </c>
      <c r="CB2856" s="2"/>
      <c r="CC2856" s="2" t="s">
        <v>245</v>
      </c>
      <c r="CD2856" s="2">
        <v>1459</v>
      </c>
      <c r="CE2856" s="2" t="s">
        <v>104</v>
      </c>
      <c r="CF2856" s="5">
        <v>42975</v>
      </c>
      <c r="CG2856" s="2"/>
      <c r="CH2856" s="2"/>
      <c r="CI2856" s="2">
        <v>1</v>
      </c>
      <c r="CJ2856" s="2">
        <v>1</v>
      </c>
      <c r="CK2856" s="2">
        <v>22</v>
      </c>
      <c r="CL2856" s="2" t="s">
        <v>86</v>
      </c>
      <c r="CM2856" s="2"/>
    </row>
    <row r="2857" spans="1:91">
      <c r="A2857" s="2" t="s">
        <v>71</v>
      </c>
      <c r="B2857" s="2" t="s">
        <v>72</v>
      </c>
      <c r="C2857" s="2" t="s">
        <v>73</v>
      </c>
      <c r="D2857" s="2"/>
      <c r="E2857" s="2" t="str">
        <f>"FES1162571174"</f>
        <v>FES1162571174</v>
      </c>
      <c r="F2857" s="3">
        <v>42971</v>
      </c>
      <c r="G2857" s="2">
        <v>201802</v>
      </c>
      <c r="H2857" s="2" t="s">
        <v>74</v>
      </c>
      <c r="I2857" s="2" t="s">
        <v>75</v>
      </c>
      <c r="J2857" s="2" t="s">
        <v>76</v>
      </c>
      <c r="K2857" s="2" t="s">
        <v>77</v>
      </c>
      <c r="L2857" s="2" t="s">
        <v>144</v>
      </c>
      <c r="M2857" s="2" t="s">
        <v>145</v>
      </c>
      <c r="N2857" s="2" t="s">
        <v>3142</v>
      </c>
      <c r="O2857" s="2" t="s">
        <v>100</v>
      </c>
      <c r="P2857" s="2" t="str">
        <f>"2170586794                    "</f>
        <v xml:space="preserve">2170586794 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3.13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1</v>
      </c>
      <c r="BJ2857" s="2">
        <v>0.2</v>
      </c>
      <c r="BK2857" s="2">
        <v>1</v>
      </c>
      <c r="BL2857" s="2">
        <v>32.380000000000003</v>
      </c>
      <c r="BM2857" s="2">
        <v>4.53</v>
      </c>
      <c r="BN2857" s="2">
        <v>36.909999999999997</v>
      </c>
      <c r="BO2857" s="2">
        <v>36.909999999999997</v>
      </c>
      <c r="BP2857" s="2"/>
      <c r="BQ2857" s="2" t="s">
        <v>108</v>
      </c>
      <c r="BR2857" s="2" t="s">
        <v>84</v>
      </c>
      <c r="BS2857" s="3">
        <v>42972</v>
      </c>
      <c r="BT2857" s="4">
        <v>0.36041666666666666</v>
      </c>
      <c r="BU2857" s="2" t="s">
        <v>3143</v>
      </c>
      <c r="BV2857" s="2" t="s">
        <v>95</v>
      </c>
      <c r="BW2857" s="2"/>
      <c r="BX2857" s="2"/>
      <c r="BY2857" s="2">
        <v>1200</v>
      </c>
      <c r="BZ2857" s="2" t="s">
        <v>27</v>
      </c>
      <c r="CA2857" s="2" t="s">
        <v>1296</v>
      </c>
      <c r="CB2857" s="2"/>
      <c r="CC2857" s="2" t="s">
        <v>145</v>
      </c>
      <c r="CD2857" s="2">
        <v>2091</v>
      </c>
      <c r="CE2857" s="2" t="s">
        <v>104</v>
      </c>
      <c r="CF2857" s="5">
        <v>42975</v>
      </c>
      <c r="CG2857" s="2"/>
      <c r="CH2857" s="2"/>
      <c r="CI2857" s="2">
        <v>1</v>
      </c>
      <c r="CJ2857" s="2">
        <v>1</v>
      </c>
      <c r="CK2857" s="2">
        <v>22</v>
      </c>
      <c r="CL2857" s="2" t="s">
        <v>86</v>
      </c>
      <c r="CM2857" s="2"/>
    </row>
    <row r="2858" spans="1:91">
      <c r="A2858" s="2" t="s">
        <v>71</v>
      </c>
      <c r="B2858" s="2" t="s">
        <v>72</v>
      </c>
      <c r="C2858" s="2" t="s">
        <v>73</v>
      </c>
      <c r="D2858" s="2"/>
      <c r="E2858" s="2" t="str">
        <f>"FES1162571158"</f>
        <v>FES1162571158</v>
      </c>
      <c r="F2858" s="3">
        <v>42971</v>
      </c>
      <c r="G2858" s="2">
        <v>201802</v>
      </c>
      <c r="H2858" s="2" t="s">
        <v>74</v>
      </c>
      <c r="I2858" s="2" t="s">
        <v>75</v>
      </c>
      <c r="J2858" s="2" t="s">
        <v>76</v>
      </c>
      <c r="K2858" s="2" t="s">
        <v>77</v>
      </c>
      <c r="L2858" s="2" t="s">
        <v>383</v>
      </c>
      <c r="M2858" s="2" t="s">
        <v>384</v>
      </c>
      <c r="N2858" s="2" t="s">
        <v>385</v>
      </c>
      <c r="O2858" s="2" t="s">
        <v>100</v>
      </c>
      <c r="P2858" s="2" t="str">
        <f>"2170584402                    "</f>
        <v xml:space="preserve">2170584402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5.63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1</v>
      </c>
      <c r="BJ2858" s="2">
        <v>0.2</v>
      </c>
      <c r="BK2858" s="2">
        <v>1</v>
      </c>
      <c r="BL2858" s="2">
        <v>58.28</v>
      </c>
      <c r="BM2858" s="2">
        <v>8.16</v>
      </c>
      <c r="BN2858" s="2">
        <v>66.44</v>
      </c>
      <c r="BO2858" s="2">
        <v>66.44</v>
      </c>
      <c r="BP2858" s="2"/>
      <c r="BQ2858" s="2" t="s">
        <v>288</v>
      </c>
      <c r="BR2858" s="2" t="s">
        <v>84</v>
      </c>
      <c r="BS2858" s="3">
        <v>42972</v>
      </c>
      <c r="BT2858" s="4">
        <v>0.41666666666666669</v>
      </c>
      <c r="BU2858" s="2" t="s">
        <v>1249</v>
      </c>
      <c r="BV2858" s="2" t="s">
        <v>95</v>
      </c>
      <c r="BW2858" s="2"/>
      <c r="BX2858" s="2"/>
      <c r="BY2858" s="2">
        <v>1200</v>
      </c>
      <c r="BZ2858" s="2" t="s">
        <v>27</v>
      </c>
      <c r="CA2858" s="2"/>
      <c r="CB2858" s="2"/>
      <c r="CC2858" s="2" t="s">
        <v>384</v>
      </c>
      <c r="CD2858" s="2">
        <v>2210</v>
      </c>
      <c r="CE2858" s="2" t="s">
        <v>104</v>
      </c>
      <c r="CF2858" s="5">
        <v>42975</v>
      </c>
      <c r="CG2858" s="2"/>
      <c r="CH2858" s="2"/>
      <c r="CI2858" s="2">
        <v>1</v>
      </c>
      <c r="CJ2858" s="2">
        <v>1</v>
      </c>
      <c r="CK2858" s="2">
        <v>24</v>
      </c>
      <c r="CL2858" s="2" t="s">
        <v>86</v>
      </c>
      <c r="CM2858" s="2"/>
    </row>
    <row r="2859" spans="1:91">
      <c r="A2859" s="2" t="s">
        <v>71</v>
      </c>
      <c r="B2859" s="2" t="s">
        <v>72</v>
      </c>
      <c r="C2859" s="2" t="s">
        <v>73</v>
      </c>
      <c r="D2859" s="2"/>
      <c r="E2859" s="2" t="str">
        <f>"FES1162571396"</f>
        <v>FES1162571396</v>
      </c>
      <c r="F2859" s="3">
        <v>42971</v>
      </c>
      <c r="G2859" s="2">
        <v>201802</v>
      </c>
      <c r="H2859" s="2" t="s">
        <v>74</v>
      </c>
      <c r="I2859" s="2" t="s">
        <v>75</v>
      </c>
      <c r="J2859" s="2" t="s">
        <v>76</v>
      </c>
      <c r="K2859" s="2" t="s">
        <v>77</v>
      </c>
      <c r="L2859" s="2" t="s">
        <v>144</v>
      </c>
      <c r="M2859" s="2" t="s">
        <v>145</v>
      </c>
      <c r="N2859" s="2" t="s">
        <v>146</v>
      </c>
      <c r="O2859" s="2" t="s">
        <v>100</v>
      </c>
      <c r="P2859" s="2" t="str">
        <f>"2170587038                    "</f>
        <v xml:space="preserve">2170587038 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3.13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1</v>
      </c>
      <c r="BI2859" s="2">
        <v>1.5</v>
      </c>
      <c r="BJ2859" s="2">
        <v>1.7</v>
      </c>
      <c r="BK2859" s="2">
        <v>2</v>
      </c>
      <c r="BL2859" s="2">
        <v>32.380000000000003</v>
      </c>
      <c r="BM2859" s="2">
        <v>4.53</v>
      </c>
      <c r="BN2859" s="2">
        <v>36.909999999999997</v>
      </c>
      <c r="BO2859" s="2">
        <v>36.909999999999997</v>
      </c>
      <c r="BP2859" s="2"/>
      <c r="BQ2859" s="2" t="s">
        <v>83</v>
      </c>
      <c r="BR2859" s="2" t="s">
        <v>84</v>
      </c>
      <c r="BS2859" s="3">
        <v>42972</v>
      </c>
      <c r="BT2859" s="4">
        <v>0.3611111111111111</v>
      </c>
      <c r="BU2859" s="2" t="s">
        <v>469</v>
      </c>
      <c r="BV2859" s="2" t="s">
        <v>95</v>
      </c>
      <c r="BW2859" s="2"/>
      <c r="BX2859" s="2"/>
      <c r="BY2859" s="2">
        <v>8725.64</v>
      </c>
      <c r="BZ2859" s="2"/>
      <c r="CA2859" s="2" t="s">
        <v>729</v>
      </c>
      <c r="CB2859" s="2"/>
      <c r="CC2859" s="2" t="s">
        <v>145</v>
      </c>
      <c r="CD2859" s="2">
        <v>2094</v>
      </c>
      <c r="CE2859" s="2" t="s">
        <v>89</v>
      </c>
      <c r="CF2859" s="5">
        <v>42975</v>
      </c>
      <c r="CG2859" s="2"/>
      <c r="CH2859" s="2"/>
      <c r="CI2859" s="2">
        <v>1</v>
      </c>
      <c r="CJ2859" s="2">
        <v>1</v>
      </c>
      <c r="CK2859" s="2">
        <v>22</v>
      </c>
      <c r="CL2859" s="2" t="s">
        <v>86</v>
      </c>
      <c r="CM2859" s="2"/>
    </row>
    <row r="2860" spans="1:91">
      <c r="A2860" s="2" t="s">
        <v>71</v>
      </c>
      <c r="B2860" s="2" t="s">
        <v>72</v>
      </c>
      <c r="C2860" s="2" t="s">
        <v>73</v>
      </c>
      <c r="D2860" s="2"/>
      <c r="E2860" s="2" t="str">
        <f>"FES1162571164"</f>
        <v>FES1162571164</v>
      </c>
      <c r="F2860" s="3">
        <v>42971</v>
      </c>
      <c r="G2860" s="2">
        <v>201802</v>
      </c>
      <c r="H2860" s="2" t="s">
        <v>74</v>
      </c>
      <c r="I2860" s="2" t="s">
        <v>75</v>
      </c>
      <c r="J2860" s="2" t="s">
        <v>76</v>
      </c>
      <c r="K2860" s="2" t="s">
        <v>77</v>
      </c>
      <c r="L2860" s="2" t="s">
        <v>268</v>
      </c>
      <c r="M2860" s="2" t="s">
        <v>269</v>
      </c>
      <c r="N2860" s="2" t="s">
        <v>402</v>
      </c>
      <c r="O2860" s="2" t="s">
        <v>100</v>
      </c>
      <c r="P2860" s="2" t="str">
        <f>"2170584685                    "</f>
        <v xml:space="preserve">2170584685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4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1</v>
      </c>
      <c r="BJ2860" s="2">
        <v>0.2</v>
      </c>
      <c r="BK2860" s="2">
        <v>1</v>
      </c>
      <c r="BL2860" s="2">
        <v>41.44</v>
      </c>
      <c r="BM2860" s="2">
        <v>5.8</v>
      </c>
      <c r="BN2860" s="2">
        <v>47.24</v>
      </c>
      <c r="BO2860" s="2">
        <v>47.24</v>
      </c>
      <c r="BP2860" s="2"/>
      <c r="BQ2860" s="2" t="s">
        <v>288</v>
      </c>
      <c r="BR2860" s="2" t="s">
        <v>84</v>
      </c>
      <c r="BS2860" s="3">
        <v>42972</v>
      </c>
      <c r="BT2860" s="4">
        <v>0.42499999999999999</v>
      </c>
      <c r="BU2860" s="2" t="s">
        <v>1109</v>
      </c>
      <c r="BV2860" s="2" t="s">
        <v>95</v>
      </c>
      <c r="BW2860" s="2"/>
      <c r="BX2860" s="2"/>
      <c r="BY2860" s="2">
        <v>1200</v>
      </c>
      <c r="BZ2860" s="2" t="s">
        <v>27</v>
      </c>
      <c r="CA2860" s="2"/>
      <c r="CB2860" s="2"/>
      <c r="CC2860" s="2" t="s">
        <v>269</v>
      </c>
      <c r="CD2860" s="2">
        <v>82</v>
      </c>
      <c r="CE2860" s="2" t="s">
        <v>104</v>
      </c>
      <c r="CF2860" s="5">
        <v>42975</v>
      </c>
      <c r="CG2860" s="2"/>
      <c r="CH2860" s="2"/>
      <c r="CI2860" s="2">
        <v>1</v>
      </c>
      <c r="CJ2860" s="2">
        <v>1</v>
      </c>
      <c r="CK2860" s="2">
        <v>21</v>
      </c>
      <c r="CL2860" s="2" t="s">
        <v>86</v>
      </c>
      <c r="CM2860" s="2"/>
    </row>
    <row r="2861" spans="1:91">
      <c r="A2861" s="2" t="s">
        <v>71</v>
      </c>
      <c r="B2861" s="2" t="s">
        <v>72</v>
      </c>
      <c r="C2861" s="2" t="s">
        <v>73</v>
      </c>
      <c r="D2861" s="2"/>
      <c r="E2861" s="2" t="str">
        <f>"FES1162571400"</f>
        <v>FES1162571400</v>
      </c>
      <c r="F2861" s="3">
        <v>42971</v>
      </c>
      <c r="G2861" s="2">
        <v>201802</v>
      </c>
      <c r="H2861" s="2" t="s">
        <v>74</v>
      </c>
      <c r="I2861" s="2" t="s">
        <v>75</v>
      </c>
      <c r="J2861" s="2" t="s">
        <v>76</v>
      </c>
      <c r="K2861" s="2" t="s">
        <v>77</v>
      </c>
      <c r="L2861" s="2" t="s">
        <v>362</v>
      </c>
      <c r="M2861" s="2" t="s">
        <v>363</v>
      </c>
      <c r="N2861" s="2" t="s">
        <v>1038</v>
      </c>
      <c r="O2861" s="2" t="s">
        <v>100</v>
      </c>
      <c r="P2861" s="2" t="str">
        <f>"2170587043                    "</f>
        <v xml:space="preserve">2170587043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4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1</v>
      </c>
      <c r="BI2861" s="2">
        <v>2</v>
      </c>
      <c r="BJ2861" s="2">
        <v>1.3</v>
      </c>
      <c r="BK2861" s="2">
        <v>2</v>
      </c>
      <c r="BL2861" s="2">
        <v>41.44</v>
      </c>
      <c r="BM2861" s="2">
        <v>5.8</v>
      </c>
      <c r="BN2861" s="2">
        <v>47.24</v>
      </c>
      <c r="BO2861" s="2">
        <v>47.24</v>
      </c>
      <c r="BP2861" s="2"/>
      <c r="BQ2861" s="2" t="s">
        <v>83</v>
      </c>
      <c r="BR2861" s="2" t="s">
        <v>84</v>
      </c>
      <c r="BS2861" s="3">
        <v>42972</v>
      </c>
      <c r="BT2861" s="4">
        <v>0.3888888888888889</v>
      </c>
      <c r="BU2861" s="2" t="s">
        <v>1039</v>
      </c>
      <c r="BV2861" s="2" t="s">
        <v>95</v>
      </c>
      <c r="BW2861" s="2"/>
      <c r="BX2861" s="2"/>
      <c r="BY2861" s="2">
        <v>6630</v>
      </c>
      <c r="BZ2861" s="2"/>
      <c r="CA2861" s="2" t="s">
        <v>379</v>
      </c>
      <c r="CB2861" s="2"/>
      <c r="CC2861" s="2" t="s">
        <v>363</v>
      </c>
      <c r="CD2861" s="2">
        <v>3201</v>
      </c>
      <c r="CE2861" s="2" t="s">
        <v>89</v>
      </c>
      <c r="CF2861" s="5">
        <v>42976</v>
      </c>
      <c r="CG2861" s="2"/>
      <c r="CH2861" s="2"/>
      <c r="CI2861" s="2">
        <v>1</v>
      </c>
      <c r="CJ2861" s="2">
        <v>1</v>
      </c>
      <c r="CK2861" s="2">
        <v>21</v>
      </c>
      <c r="CL2861" s="2" t="s">
        <v>86</v>
      </c>
      <c r="CM2861" s="2"/>
    </row>
    <row r="2862" spans="1:91">
      <c r="A2862" s="2" t="s">
        <v>71</v>
      </c>
      <c r="B2862" s="2" t="s">
        <v>72</v>
      </c>
      <c r="C2862" s="2" t="s">
        <v>73</v>
      </c>
      <c r="D2862" s="2"/>
      <c r="E2862" s="2" t="str">
        <f>"FES1162571265"</f>
        <v>FES1162571265</v>
      </c>
      <c r="F2862" s="3">
        <v>42971</v>
      </c>
      <c r="G2862" s="2">
        <v>201802</v>
      </c>
      <c r="H2862" s="2" t="s">
        <v>74</v>
      </c>
      <c r="I2862" s="2" t="s">
        <v>75</v>
      </c>
      <c r="J2862" s="2" t="s">
        <v>76</v>
      </c>
      <c r="K2862" s="2" t="s">
        <v>77</v>
      </c>
      <c r="L2862" s="2" t="s">
        <v>105</v>
      </c>
      <c r="M2862" s="2" t="s">
        <v>106</v>
      </c>
      <c r="N2862" s="2" t="s">
        <v>107</v>
      </c>
      <c r="O2862" s="2" t="s">
        <v>100</v>
      </c>
      <c r="P2862" s="2" t="str">
        <f>"2170586039                    "</f>
        <v xml:space="preserve">2170586039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4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1.9</v>
      </c>
      <c r="BJ2862" s="2">
        <v>1.6</v>
      </c>
      <c r="BK2862" s="2">
        <v>2</v>
      </c>
      <c r="BL2862" s="2">
        <v>41.44</v>
      </c>
      <c r="BM2862" s="2">
        <v>5.8</v>
      </c>
      <c r="BN2862" s="2">
        <v>47.24</v>
      </c>
      <c r="BO2862" s="2">
        <v>47.24</v>
      </c>
      <c r="BP2862" s="2"/>
      <c r="BQ2862" s="2" t="s">
        <v>108</v>
      </c>
      <c r="BR2862" s="2" t="s">
        <v>84</v>
      </c>
      <c r="BS2862" s="3">
        <v>42972</v>
      </c>
      <c r="BT2862" s="4">
        <v>0.40486111111111112</v>
      </c>
      <c r="BU2862" s="2" t="s">
        <v>236</v>
      </c>
      <c r="BV2862" s="2" t="s">
        <v>95</v>
      </c>
      <c r="BW2862" s="2"/>
      <c r="BX2862" s="2"/>
      <c r="BY2862" s="2">
        <v>7846.96</v>
      </c>
      <c r="BZ2862" s="2" t="s">
        <v>27</v>
      </c>
      <c r="CA2862" s="2" t="s">
        <v>112</v>
      </c>
      <c r="CB2862" s="2"/>
      <c r="CC2862" s="2" t="s">
        <v>106</v>
      </c>
      <c r="CD2862" s="2">
        <v>7405</v>
      </c>
      <c r="CE2862" s="2" t="s">
        <v>89</v>
      </c>
      <c r="CF2862" s="5">
        <v>42975</v>
      </c>
      <c r="CG2862" s="2"/>
      <c r="CH2862" s="2"/>
      <c r="CI2862" s="2">
        <v>1</v>
      </c>
      <c r="CJ2862" s="2">
        <v>1</v>
      </c>
      <c r="CK2862" s="2">
        <v>21</v>
      </c>
      <c r="CL2862" s="2" t="s">
        <v>86</v>
      </c>
      <c r="CM2862" s="2"/>
    </row>
    <row r="2863" spans="1:91">
      <c r="A2863" s="2" t="s">
        <v>71</v>
      </c>
      <c r="B2863" s="2" t="s">
        <v>72</v>
      </c>
      <c r="C2863" s="2" t="s">
        <v>73</v>
      </c>
      <c r="D2863" s="2"/>
      <c r="E2863" s="2" t="str">
        <f>"FES1162571353"</f>
        <v>FES1162571353</v>
      </c>
      <c r="F2863" s="3">
        <v>42971</v>
      </c>
      <c r="G2863" s="2">
        <v>201802</v>
      </c>
      <c r="H2863" s="2" t="s">
        <v>74</v>
      </c>
      <c r="I2863" s="2" t="s">
        <v>75</v>
      </c>
      <c r="J2863" s="2" t="s">
        <v>76</v>
      </c>
      <c r="K2863" s="2" t="s">
        <v>77</v>
      </c>
      <c r="L2863" s="2" t="s">
        <v>353</v>
      </c>
      <c r="M2863" s="2" t="s">
        <v>354</v>
      </c>
      <c r="N2863" s="2" t="s">
        <v>2932</v>
      </c>
      <c r="O2863" s="2" t="s">
        <v>100</v>
      </c>
      <c r="P2863" s="2" t="str">
        <f>"2170586224                    "</f>
        <v xml:space="preserve">2170586224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6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1</v>
      </c>
      <c r="BI2863" s="2">
        <v>3</v>
      </c>
      <c r="BJ2863" s="2">
        <v>1.9</v>
      </c>
      <c r="BK2863" s="2">
        <v>3</v>
      </c>
      <c r="BL2863" s="2">
        <v>62.16</v>
      </c>
      <c r="BM2863" s="2">
        <v>8.6999999999999993</v>
      </c>
      <c r="BN2863" s="2">
        <v>70.86</v>
      </c>
      <c r="BO2863" s="2">
        <v>70.86</v>
      </c>
      <c r="BP2863" s="2"/>
      <c r="BQ2863" s="2" t="s">
        <v>83</v>
      </c>
      <c r="BR2863" s="2" t="s">
        <v>84</v>
      </c>
      <c r="BS2863" s="3">
        <v>42972</v>
      </c>
      <c r="BT2863" s="4">
        <v>0.47916666666666669</v>
      </c>
      <c r="BU2863" s="2" t="s">
        <v>3088</v>
      </c>
      <c r="BV2863" s="2" t="s">
        <v>95</v>
      </c>
      <c r="BW2863" s="2"/>
      <c r="BX2863" s="2"/>
      <c r="BY2863" s="2">
        <v>9520</v>
      </c>
      <c r="BZ2863" s="2"/>
      <c r="CA2863" s="2" t="s">
        <v>668</v>
      </c>
      <c r="CB2863" s="2"/>
      <c r="CC2863" s="2" t="s">
        <v>354</v>
      </c>
      <c r="CD2863" s="2">
        <v>3699</v>
      </c>
      <c r="CE2863" s="2" t="s">
        <v>89</v>
      </c>
      <c r="CF2863" s="5">
        <v>42976</v>
      </c>
      <c r="CG2863" s="2"/>
      <c r="CH2863" s="2"/>
      <c r="CI2863" s="2">
        <v>1</v>
      </c>
      <c r="CJ2863" s="2">
        <v>1</v>
      </c>
      <c r="CK2863" s="2">
        <v>21</v>
      </c>
      <c r="CL2863" s="2" t="s">
        <v>86</v>
      </c>
      <c r="CM2863" s="2"/>
    </row>
    <row r="2864" spans="1:91">
      <c r="A2864" s="2" t="s">
        <v>71</v>
      </c>
      <c r="B2864" s="2" t="s">
        <v>72</v>
      </c>
      <c r="C2864" s="2" t="s">
        <v>73</v>
      </c>
      <c r="D2864" s="2"/>
      <c r="E2864" s="2" t="str">
        <f>"FES1162571224"</f>
        <v>FES1162571224</v>
      </c>
      <c r="F2864" s="3">
        <v>42971</v>
      </c>
      <c r="G2864" s="2">
        <v>201802</v>
      </c>
      <c r="H2864" s="2" t="s">
        <v>74</v>
      </c>
      <c r="I2864" s="2" t="s">
        <v>75</v>
      </c>
      <c r="J2864" s="2" t="s">
        <v>76</v>
      </c>
      <c r="K2864" s="2" t="s">
        <v>77</v>
      </c>
      <c r="L2864" s="2" t="s">
        <v>1853</v>
      </c>
      <c r="M2864" s="2" t="s">
        <v>1854</v>
      </c>
      <c r="N2864" s="2" t="s">
        <v>1855</v>
      </c>
      <c r="O2864" s="2" t="s">
        <v>100</v>
      </c>
      <c r="P2864" s="2" t="str">
        <f>"2170585341                    "</f>
        <v xml:space="preserve">2170585341                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5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1</v>
      </c>
      <c r="BI2864" s="2">
        <v>2.2999999999999998</v>
      </c>
      <c r="BJ2864" s="2">
        <v>1.2</v>
      </c>
      <c r="BK2864" s="2">
        <v>2.5</v>
      </c>
      <c r="BL2864" s="2">
        <v>51.8</v>
      </c>
      <c r="BM2864" s="2">
        <v>7.25</v>
      </c>
      <c r="BN2864" s="2">
        <v>59.05</v>
      </c>
      <c r="BO2864" s="2">
        <v>59.05</v>
      </c>
      <c r="BP2864" s="2"/>
      <c r="BQ2864" s="2" t="s">
        <v>209</v>
      </c>
      <c r="BR2864" s="2" t="s">
        <v>84</v>
      </c>
      <c r="BS2864" s="3">
        <v>42972</v>
      </c>
      <c r="BT2864" s="4">
        <v>0.41666666666666669</v>
      </c>
      <c r="BU2864" s="2" t="s">
        <v>3144</v>
      </c>
      <c r="BV2864" s="2" t="s">
        <v>95</v>
      </c>
      <c r="BW2864" s="2"/>
      <c r="BX2864" s="2"/>
      <c r="BY2864" s="2">
        <v>5959.96</v>
      </c>
      <c r="BZ2864" s="2" t="s">
        <v>27</v>
      </c>
      <c r="CA2864" s="2"/>
      <c r="CB2864" s="2"/>
      <c r="CC2864" s="2" t="s">
        <v>1854</v>
      </c>
      <c r="CD2864" s="2">
        <v>7139</v>
      </c>
      <c r="CE2864" s="2" t="s">
        <v>89</v>
      </c>
      <c r="CF2864" s="5">
        <v>42975</v>
      </c>
      <c r="CG2864" s="2"/>
      <c r="CH2864" s="2"/>
      <c r="CI2864" s="2">
        <v>1</v>
      </c>
      <c r="CJ2864" s="2">
        <v>1</v>
      </c>
      <c r="CK2864" s="2">
        <v>21</v>
      </c>
      <c r="CL2864" s="2" t="s">
        <v>86</v>
      </c>
      <c r="CM2864" s="2"/>
    </row>
    <row r="2865" spans="1:91">
      <c r="A2865" s="2" t="s">
        <v>71</v>
      </c>
      <c r="B2865" s="2" t="s">
        <v>72</v>
      </c>
      <c r="C2865" s="2" t="s">
        <v>73</v>
      </c>
      <c r="D2865" s="2"/>
      <c r="E2865" s="2" t="str">
        <f>"FES1162571405"</f>
        <v>FES1162571405</v>
      </c>
      <c r="F2865" s="3">
        <v>42971</v>
      </c>
      <c r="G2865" s="2">
        <v>201802</v>
      </c>
      <c r="H2865" s="2" t="s">
        <v>74</v>
      </c>
      <c r="I2865" s="2" t="s">
        <v>75</v>
      </c>
      <c r="J2865" s="2" t="s">
        <v>76</v>
      </c>
      <c r="K2865" s="2" t="s">
        <v>77</v>
      </c>
      <c r="L2865" s="2" t="s">
        <v>97</v>
      </c>
      <c r="M2865" s="2" t="s">
        <v>98</v>
      </c>
      <c r="N2865" s="2" t="s">
        <v>822</v>
      </c>
      <c r="O2865" s="2" t="s">
        <v>100</v>
      </c>
      <c r="P2865" s="2" t="str">
        <f>"2170585883                    "</f>
        <v xml:space="preserve">2170585883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9.01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1</v>
      </c>
      <c r="BI2865" s="2">
        <v>4</v>
      </c>
      <c r="BJ2865" s="2">
        <v>4.0999999999999996</v>
      </c>
      <c r="BK2865" s="2">
        <v>4.5</v>
      </c>
      <c r="BL2865" s="2">
        <v>93.25</v>
      </c>
      <c r="BM2865" s="2">
        <v>13.06</v>
      </c>
      <c r="BN2865" s="2">
        <v>106.31</v>
      </c>
      <c r="BO2865" s="2">
        <v>106.31</v>
      </c>
      <c r="BP2865" s="2"/>
      <c r="BQ2865" s="2" t="s">
        <v>83</v>
      </c>
      <c r="BR2865" s="2" t="s">
        <v>84</v>
      </c>
      <c r="BS2865" s="3">
        <v>42972</v>
      </c>
      <c r="BT2865" s="4">
        <v>0.62847222222222221</v>
      </c>
      <c r="BU2865" s="2" t="s">
        <v>3145</v>
      </c>
      <c r="BV2865" s="2" t="s">
        <v>86</v>
      </c>
      <c r="BW2865" s="2" t="s">
        <v>115</v>
      </c>
      <c r="BX2865" s="2" t="s">
        <v>1028</v>
      </c>
      <c r="BY2865" s="2">
        <v>20358</v>
      </c>
      <c r="BZ2865" s="2"/>
      <c r="CA2865" s="2"/>
      <c r="CB2865" s="2"/>
      <c r="CC2865" s="2" t="s">
        <v>98</v>
      </c>
      <c r="CD2865" s="2">
        <v>6014</v>
      </c>
      <c r="CE2865" s="2" t="s">
        <v>89</v>
      </c>
      <c r="CF2865" s="5">
        <v>42975</v>
      </c>
      <c r="CG2865" s="2"/>
      <c r="CH2865" s="2"/>
      <c r="CI2865" s="2">
        <v>1</v>
      </c>
      <c r="CJ2865" s="2">
        <v>1</v>
      </c>
      <c r="CK2865" s="2">
        <v>21</v>
      </c>
      <c r="CL2865" s="2" t="s">
        <v>86</v>
      </c>
      <c r="CM2865" s="2"/>
    </row>
    <row r="2866" spans="1:91">
      <c r="A2866" s="2" t="s">
        <v>71</v>
      </c>
      <c r="B2866" s="2" t="s">
        <v>72</v>
      </c>
      <c r="C2866" s="2" t="s">
        <v>73</v>
      </c>
      <c r="D2866" s="2"/>
      <c r="E2866" s="2" t="str">
        <f>"FES1162571231"</f>
        <v>FES1162571231</v>
      </c>
      <c r="F2866" s="3">
        <v>42971</v>
      </c>
      <c r="G2866" s="2">
        <v>201802</v>
      </c>
      <c r="H2866" s="2" t="s">
        <v>74</v>
      </c>
      <c r="I2866" s="2" t="s">
        <v>75</v>
      </c>
      <c r="J2866" s="2" t="s">
        <v>76</v>
      </c>
      <c r="K2866" s="2" t="s">
        <v>77</v>
      </c>
      <c r="L2866" s="2" t="s">
        <v>105</v>
      </c>
      <c r="M2866" s="2" t="s">
        <v>106</v>
      </c>
      <c r="N2866" s="2" t="s">
        <v>364</v>
      </c>
      <c r="O2866" s="2" t="s">
        <v>100</v>
      </c>
      <c r="P2866" s="2" t="str">
        <f>"2170586870                    "</f>
        <v xml:space="preserve">2170586870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4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1</v>
      </c>
      <c r="BI2866" s="2">
        <v>1</v>
      </c>
      <c r="BJ2866" s="2">
        <v>0.2</v>
      </c>
      <c r="BK2866" s="2">
        <v>1</v>
      </c>
      <c r="BL2866" s="2">
        <v>41.44</v>
      </c>
      <c r="BM2866" s="2">
        <v>5.8</v>
      </c>
      <c r="BN2866" s="2">
        <v>47.24</v>
      </c>
      <c r="BO2866" s="2">
        <v>47.24</v>
      </c>
      <c r="BP2866" s="2"/>
      <c r="BQ2866" s="2" t="s">
        <v>288</v>
      </c>
      <c r="BR2866" s="2" t="s">
        <v>84</v>
      </c>
      <c r="BS2866" s="3">
        <v>42972</v>
      </c>
      <c r="BT2866" s="4">
        <v>0.41666666666666669</v>
      </c>
      <c r="BU2866" s="2" t="s">
        <v>2276</v>
      </c>
      <c r="BV2866" s="2" t="s">
        <v>95</v>
      </c>
      <c r="BW2866" s="2"/>
      <c r="BX2866" s="2"/>
      <c r="BY2866" s="2">
        <v>1200</v>
      </c>
      <c r="BZ2866" s="2" t="s">
        <v>27</v>
      </c>
      <c r="CA2866" s="2"/>
      <c r="CB2866" s="2"/>
      <c r="CC2866" s="2" t="s">
        <v>106</v>
      </c>
      <c r="CD2866" s="2">
        <v>7560</v>
      </c>
      <c r="CE2866" s="2" t="s">
        <v>104</v>
      </c>
      <c r="CF2866" s="5">
        <v>42975</v>
      </c>
      <c r="CG2866" s="2"/>
      <c r="CH2866" s="2"/>
      <c r="CI2866" s="2">
        <v>1</v>
      </c>
      <c r="CJ2866" s="2">
        <v>1</v>
      </c>
      <c r="CK2866" s="2">
        <v>21</v>
      </c>
      <c r="CL2866" s="2" t="s">
        <v>86</v>
      </c>
      <c r="CM2866" s="2"/>
    </row>
    <row r="2867" spans="1:91">
      <c r="A2867" s="2" t="s">
        <v>71</v>
      </c>
      <c r="B2867" s="2" t="s">
        <v>72</v>
      </c>
      <c r="C2867" s="2" t="s">
        <v>73</v>
      </c>
      <c r="D2867" s="2"/>
      <c r="E2867" s="2" t="str">
        <f>"FES1162571402"</f>
        <v>FES1162571402</v>
      </c>
      <c r="F2867" s="3">
        <v>42971</v>
      </c>
      <c r="G2867" s="2">
        <v>201802</v>
      </c>
      <c r="H2867" s="2" t="s">
        <v>74</v>
      </c>
      <c r="I2867" s="2" t="s">
        <v>75</v>
      </c>
      <c r="J2867" s="2" t="s">
        <v>76</v>
      </c>
      <c r="K2867" s="2" t="s">
        <v>77</v>
      </c>
      <c r="L2867" s="2" t="s">
        <v>144</v>
      </c>
      <c r="M2867" s="2" t="s">
        <v>145</v>
      </c>
      <c r="N2867" s="2" t="s">
        <v>2662</v>
      </c>
      <c r="O2867" s="2" t="s">
        <v>100</v>
      </c>
      <c r="P2867" s="2" t="str">
        <f>"2170587047                    "</f>
        <v xml:space="preserve">2170587047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3.13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1</v>
      </c>
      <c r="BI2867" s="2">
        <v>1</v>
      </c>
      <c r="BJ2867" s="2">
        <v>0.2</v>
      </c>
      <c r="BK2867" s="2">
        <v>1</v>
      </c>
      <c r="BL2867" s="2">
        <v>32.380000000000003</v>
      </c>
      <c r="BM2867" s="2">
        <v>4.53</v>
      </c>
      <c r="BN2867" s="2">
        <v>36.909999999999997</v>
      </c>
      <c r="BO2867" s="2">
        <v>36.909999999999997</v>
      </c>
      <c r="BP2867" s="2"/>
      <c r="BQ2867" s="2" t="s">
        <v>108</v>
      </c>
      <c r="BR2867" s="2" t="s">
        <v>84</v>
      </c>
      <c r="BS2867" s="3">
        <v>42972</v>
      </c>
      <c r="BT2867" s="4">
        <v>0.4375</v>
      </c>
      <c r="BU2867" s="2" t="s">
        <v>3146</v>
      </c>
      <c r="BV2867" s="2" t="s">
        <v>95</v>
      </c>
      <c r="BW2867" s="2"/>
      <c r="BX2867" s="2"/>
      <c r="BY2867" s="2">
        <v>1200</v>
      </c>
      <c r="BZ2867" s="2"/>
      <c r="CA2867" s="2"/>
      <c r="CB2867" s="2"/>
      <c r="CC2867" s="2" t="s">
        <v>145</v>
      </c>
      <c r="CD2867" s="2">
        <v>2090</v>
      </c>
      <c r="CE2867" s="2" t="s">
        <v>104</v>
      </c>
      <c r="CF2867" s="5">
        <v>42975</v>
      </c>
      <c r="CG2867" s="2"/>
      <c r="CH2867" s="2"/>
      <c r="CI2867" s="2">
        <v>1</v>
      </c>
      <c r="CJ2867" s="2">
        <v>1</v>
      </c>
      <c r="CK2867" s="2">
        <v>22</v>
      </c>
      <c r="CL2867" s="2" t="s">
        <v>86</v>
      </c>
      <c r="CM2867" s="2"/>
    </row>
    <row r="2868" spans="1:91">
      <c r="A2868" s="2" t="s">
        <v>71</v>
      </c>
      <c r="B2868" s="2" t="s">
        <v>72</v>
      </c>
      <c r="C2868" s="2" t="s">
        <v>73</v>
      </c>
      <c r="D2868" s="2"/>
      <c r="E2868" s="2" t="str">
        <f>"FES1162571266"</f>
        <v>FES1162571266</v>
      </c>
      <c r="F2868" s="3">
        <v>42971</v>
      </c>
      <c r="G2868" s="2">
        <v>201802</v>
      </c>
      <c r="H2868" s="2" t="s">
        <v>74</v>
      </c>
      <c r="I2868" s="2" t="s">
        <v>75</v>
      </c>
      <c r="J2868" s="2" t="s">
        <v>76</v>
      </c>
      <c r="K2868" s="2" t="s">
        <v>77</v>
      </c>
      <c r="L2868" s="2" t="s">
        <v>437</v>
      </c>
      <c r="M2868" s="2" t="s">
        <v>438</v>
      </c>
      <c r="N2868" s="2" t="s">
        <v>439</v>
      </c>
      <c r="O2868" s="2" t="s">
        <v>100</v>
      </c>
      <c r="P2868" s="2" t="str">
        <f>"2170586153                    "</f>
        <v xml:space="preserve">2170586153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4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1</v>
      </c>
      <c r="BI2868" s="2">
        <v>0.4</v>
      </c>
      <c r="BJ2868" s="2">
        <v>1.2</v>
      </c>
      <c r="BK2868" s="2">
        <v>1.5</v>
      </c>
      <c r="BL2868" s="2">
        <v>41.44</v>
      </c>
      <c r="BM2868" s="2">
        <v>5.8</v>
      </c>
      <c r="BN2868" s="2">
        <v>47.24</v>
      </c>
      <c r="BO2868" s="2">
        <v>47.24</v>
      </c>
      <c r="BP2868" s="2"/>
      <c r="BQ2868" s="2" t="s">
        <v>108</v>
      </c>
      <c r="BR2868" s="2" t="s">
        <v>84</v>
      </c>
      <c r="BS2868" s="3">
        <v>42972</v>
      </c>
      <c r="BT2868" s="4">
        <v>0.46527777777777773</v>
      </c>
      <c r="BU2868" s="2" t="s">
        <v>3147</v>
      </c>
      <c r="BV2868" s="2" t="s">
        <v>86</v>
      </c>
      <c r="BW2868" s="2" t="s">
        <v>124</v>
      </c>
      <c r="BX2868" s="2" t="s">
        <v>3148</v>
      </c>
      <c r="BY2868" s="2">
        <v>6129.46</v>
      </c>
      <c r="BZ2868" s="2" t="s">
        <v>27</v>
      </c>
      <c r="CA2868" s="2" t="s">
        <v>441</v>
      </c>
      <c r="CB2868" s="2"/>
      <c r="CC2868" s="2" t="s">
        <v>438</v>
      </c>
      <c r="CD2868" s="2">
        <v>6536</v>
      </c>
      <c r="CE2868" s="2" t="s">
        <v>104</v>
      </c>
      <c r="CF2868" s="5">
        <v>42975</v>
      </c>
      <c r="CG2868" s="2"/>
      <c r="CH2868" s="2"/>
      <c r="CI2868" s="2">
        <v>1</v>
      </c>
      <c r="CJ2868" s="2">
        <v>1</v>
      </c>
      <c r="CK2868" s="2">
        <v>21</v>
      </c>
      <c r="CL2868" s="2" t="s">
        <v>86</v>
      </c>
      <c r="CM2868" s="2"/>
    </row>
    <row r="2869" spans="1:91">
      <c r="A2869" s="2" t="s">
        <v>71</v>
      </c>
      <c r="B2869" s="2" t="s">
        <v>72</v>
      </c>
      <c r="C2869" s="2" t="s">
        <v>73</v>
      </c>
      <c r="D2869" s="2"/>
      <c r="E2869" s="2" t="str">
        <f>"FES1162571406"</f>
        <v>FES1162571406</v>
      </c>
      <c r="F2869" s="3">
        <v>42971</v>
      </c>
      <c r="G2869" s="2">
        <v>201802</v>
      </c>
      <c r="H2869" s="2" t="s">
        <v>74</v>
      </c>
      <c r="I2869" s="2" t="s">
        <v>75</v>
      </c>
      <c r="J2869" s="2" t="s">
        <v>76</v>
      </c>
      <c r="K2869" s="2" t="s">
        <v>77</v>
      </c>
      <c r="L2869" s="2" t="s">
        <v>268</v>
      </c>
      <c r="M2869" s="2" t="s">
        <v>269</v>
      </c>
      <c r="N2869" s="2" t="s">
        <v>351</v>
      </c>
      <c r="O2869" s="2" t="s">
        <v>100</v>
      </c>
      <c r="P2869" s="2" t="str">
        <f>"2170587055                    "</f>
        <v xml:space="preserve">2170587055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4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1</v>
      </c>
      <c r="BJ2869" s="2">
        <v>0.2</v>
      </c>
      <c r="BK2869" s="2">
        <v>1</v>
      </c>
      <c r="BL2869" s="2">
        <v>41.44</v>
      </c>
      <c r="BM2869" s="2">
        <v>5.8</v>
      </c>
      <c r="BN2869" s="2">
        <v>47.24</v>
      </c>
      <c r="BO2869" s="2">
        <v>47.24</v>
      </c>
      <c r="BP2869" s="2"/>
      <c r="BQ2869" s="2" t="s">
        <v>108</v>
      </c>
      <c r="BR2869" s="2" t="s">
        <v>84</v>
      </c>
      <c r="BS2869" s="3">
        <v>42972</v>
      </c>
      <c r="BT2869" s="4">
        <v>0.4375</v>
      </c>
      <c r="BU2869" s="2" t="s">
        <v>1136</v>
      </c>
      <c r="BV2869" s="2" t="s">
        <v>95</v>
      </c>
      <c r="BW2869" s="2"/>
      <c r="BX2869" s="2"/>
      <c r="BY2869" s="2">
        <v>1200</v>
      </c>
      <c r="BZ2869" s="2"/>
      <c r="CA2869" s="2"/>
      <c r="CB2869" s="2"/>
      <c r="CC2869" s="2" t="s">
        <v>269</v>
      </c>
      <c r="CD2869" s="2">
        <v>200</v>
      </c>
      <c r="CE2869" s="2" t="s">
        <v>104</v>
      </c>
      <c r="CF2869" s="5">
        <v>42975</v>
      </c>
      <c r="CG2869" s="2"/>
      <c r="CH2869" s="2"/>
      <c r="CI2869" s="2">
        <v>1</v>
      </c>
      <c r="CJ2869" s="2">
        <v>1</v>
      </c>
      <c r="CK2869" s="2">
        <v>21</v>
      </c>
      <c r="CL2869" s="2" t="s">
        <v>86</v>
      </c>
      <c r="CM2869" s="2"/>
    </row>
    <row r="2870" spans="1:91">
      <c r="A2870" s="2" t="s">
        <v>71</v>
      </c>
      <c r="B2870" s="2" t="s">
        <v>72</v>
      </c>
      <c r="C2870" s="2" t="s">
        <v>73</v>
      </c>
      <c r="D2870" s="2"/>
      <c r="E2870" s="2" t="str">
        <f>"FES1162571262"</f>
        <v>FES1162571262</v>
      </c>
      <c r="F2870" s="3">
        <v>42971</v>
      </c>
      <c r="G2870" s="2">
        <v>201802</v>
      </c>
      <c r="H2870" s="2" t="s">
        <v>74</v>
      </c>
      <c r="I2870" s="2" t="s">
        <v>75</v>
      </c>
      <c r="J2870" s="2" t="s">
        <v>76</v>
      </c>
      <c r="K2870" s="2" t="s">
        <v>77</v>
      </c>
      <c r="L2870" s="2" t="s">
        <v>221</v>
      </c>
      <c r="M2870" s="2" t="s">
        <v>222</v>
      </c>
      <c r="N2870" s="2" t="s">
        <v>1275</v>
      </c>
      <c r="O2870" s="2" t="s">
        <v>100</v>
      </c>
      <c r="P2870" s="2" t="str">
        <f>"2170585569                    "</f>
        <v xml:space="preserve">2170585569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4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1</v>
      </c>
      <c r="BJ2870" s="2">
        <v>0.2</v>
      </c>
      <c r="BK2870" s="2">
        <v>1</v>
      </c>
      <c r="BL2870" s="2">
        <v>41.44</v>
      </c>
      <c r="BM2870" s="2">
        <v>5.8</v>
      </c>
      <c r="BN2870" s="2">
        <v>47.24</v>
      </c>
      <c r="BO2870" s="2">
        <v>47.24</v>
      </c>
      <c r="BP2870" s="2"/>
      <c r="BQ2870" s="2" t="s">
        <v>227</v>
      </c>
      <c r="BR2870" s="2" t="s">
        <v>84</v>
      </c>
      <c r="BS2870" s="3">
        <v>42972</v>
      </c>
      <c r="BT2870" s="4">
        <v>0.375</v>
      </c>
      <c r="BU2870" s="2" t="s">
        <v>1535</v>
      </c>
      <c r="BV2870" s="2" t="s">
        <v>95</v>
      </c>
      <c r="BW2870" s="2"/>
      <c r="BX2870" s="2"/>
      <c r="BY2870" s="2">
        <v>1200</v>
      </c>
      <c r="BZ2870" s="2" t="s">
        <v>27</v>
      </c>
      <c r="CA2870" s="2" t="s">
        <v>1536</v>
      </c>
      <c r="CB2870" s="2"/>
      <c r="CC2870" s="2" t="s">
        <v>222</v>
      </c>
      <c r="CD2870" s="2">
        <v>4300</v>
      </c>
      <c r="CE2870" s="2" t="s">
        <v>104</v>
      </c>
      <c r="CF2870" s="5">
        <v>42975</v>
      </c>
      <c r="CG2870" s="2"/>
      <c r="CH2870" s="2"/>
      <c r="CI2870" s="2">
        <v>1</v>
      </c>
      <c r="CJ2870" s="2">
        <v>1</v>
      </c>
      <c r="CK2870" s="2">
        <v>21</v>
      </c>
      <c r="CL2870" s="2" t="s">
        <v>86</v>
      </c>
      <c r="CM2870" s="2"/>
    </row>
    <row r="2871" spans="1:91">
      <c r="A2871" s="2" t="s">
        <v>71</v>
      </c>
      <c r="B2871" s="2" t="s">
        <v>72</v>
      </c>
      <c r="C2871" s="2" t="s">
        <v>73</v>
      </c>
      <c r="D2871" s="2"/>
      <c r="E2871" s="2" t="str">
        <f>"FES1162571393"</f>
        <v>FES1162571393</v>
      </c>
      <c r="F2871" s="3">
        <v>42971</v>
      </c>
      <c r="G2871" s="2">
        <v>201802</v>
      </c>
      <c r="H2871" s="2" t="s">
        <v>74</v>
      </c>
      <c r="I2871" s="2" t="s">
        <v>75</v>
      </c>
      <c r="J2871" s="2" t="s">
        <v>76</v>
      </c>
      <c r="K2871" s="2" t="s">
        <v>77</v>
      </c>
      <c r="L2871" s="2" t="s">
        <v>3149</v>
      </c>
      <c r="M2871" s="2" t="s">
        <v>3150</v>
      </c>
      <c r="N2871" s="2" t="s">
        <v>3151</v>
      </c>
      <c r="O2871" s="2" t="s">
        <v>100</v>
      </c>
      <c r="P2871" s="2" t="str">
        <f>"2170587034                    "</f>
        <v xml:space="preserve">2170587034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7.75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1</v>
      </c>
      <c r="BI2871" s="2">
        <v>1</v>
      </c>
      <c r="BJ2871" s="2">
        <v>0.2</v>
      </c>
      <c r="BK2871" s="2">
        <v>1</v>
      </c>
      <c r="BL2871" s="2">
        <v>80.290000000000006</v>
      </c>
      <c r="BM2871" s="2">
        <v>11.24</v>
      </c>
      <c r="BN2871" s="2">
        <v>91.53</v>
      </c>
      <c r="BO2871" s="2">
        <v>91.53</v>
      </c>
      <c r="BP2871" s="2"/>
      <c r="BQ2871" s="2" t="s">
        <v>108</v>
      </c>
      <c r="BR2871" s="2" t="s">
        <v>84</v>
      </c>
      <c r="BS2871" s="3">
        <v>42972</v>
      </c>
      <c r="BT2871" s="4">
        <v>0.54166666666666663</v>
      </c>
      <c r="BU2871" s="2" t="s">
        <v>3152</v>
      </c>
      <c r="BV2871" s="2" t="s">
        <v>95</v>
      </c>
      <c r="BW2871" s="2"/>
      <c r="BX2871" s="2"/>
      <c r="BY2871" s="2">
        <v>1200</v>
      </c>
      <c r="BZ2871" s="2"/>
      <c r="CA2871" s="2"/>
      <c r="CB2871" s="2"/>
      <c r="CC2871" s="2" t="s">
        <v>3150</v>
      </c>
      <c r="CD2871" s="2">
        <v>4252</v>
      </c>
      <c r="CE2871" s="2" t="s">
        <v>104</v>
      </c>
      <c r="CF2871" s="5">
        <v>42975</v>
      </c>
      <c r="CG2871" s="2"/>
      <c r="CH2871" s="2"/>
      <c r="CI2871" s="2">
        <v>1</v>
      </c>
      <c r="CJ2871" s="2">
        <v>1</v>
      </c>
      <c r="CK2871" s="2">
        <v>23</v>
      </c>
      <c r="CL2871" s="2" t="s">
        <v>86</v>
      </c>
      <c r="CM2871" s="2"/>
    </row>
    <row r="2872" spans="1:91">
      <c r="A2872" s="2" t="s">
        <v>71</v>
      </c>
      <c r="B2872" s="2" t="s">
        <v>72</v>
      </c>
      <c r="C2872" s="2" t="s">
        <v>73</v>
      </c>
      <c r="D2872" s="2"/>
      <c r="E2872" s="2" t="str">
        <f>"FES1162571394"</f>
        <v>FES1162571394</v>
      </c>
      <c r="F2872" s="3">
        <v>42971</v>
      </c>
      <c r="G2872" s="2">
        <v>201802</v>
      </c>
      <c r="H2872" s="2" t="s">
        <v>74</v>
      </c>
      <c r="I2872" s="2" t="s">
        <v>75</v>
      </c>
      <c r="J2872" s="2" t="s">
        <v>76</v>
      </c>
      <c r="K2872" s="2" t="s">
        <v>77</v>
      </c>
      <c r="L2872" s="2" t="s">
        <v>437</v>
      </c>
      <c r="M2872" s="2" t="s">
        <v>438</v>
      </c>
      <c r="N2872" s="2" t="s">
        <v>749</v>
      </c>
      <c r="O2872" s="2" t="s">
        <v>100</v>
      </c>
      <c r="P2872" s="2" t="str">
        <f>"2170587035                    "</f>
        <v xml:space="preserve">2170587035                 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4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1.8</v>
      </c>
      <c r="BJ2872" s="2">
        <v>1.6</v>
      </c>
      <c r="BK2872" s="2">
        <v>2</v>
      </c>
      <c r="BL2872" s="2">
        <v>41.44</v>
      </c>
      <c r="BM2872" s="2">
        <v>5.8</v>
      </c>
      <c r="BN2872" s="2">
        <v>47.24</v>
      </c>
      <c r="BO2872" s="2">
        <v>47.24</v>
      </c>
      <c r="BP2872" s="2"/>
      <c r="BQ2872" s="2" t="s">
        <v>108</v>
      </c>
      <c r="BR2872" s="2" t="s">
        <v>84</v>
      </c>
      <c r="BS2872" s="3">
        <v>42972</v>
      </c>
      <c r="BT2872" s="4">
        <v>0.36180555555555555</v>
      </c>
      <c r="BU2872" s="2" t="s">
        <v>3153</v>
      </c>
      <c r="BV2872" s="2" t="s">
        <v>95</v>
      </c>
      <c r="BW2872" s="2"/>
      <c r="BX2872" s="2"/>
      <c r="BY2872" s="2">
        <v>7939.61</v>
      </c>
      <c r="BZ2872" s="2"/>
      <c r="CA2872" s="2" t="s">
        <v>441</v>
      </c>
      <c r="CB2872" s="2"/>
      <c r="CC2872" s="2" t="s">
        <v>438</v>
      </c>
      <c r="CD2872" s="2">
        <v>6536</v>
      </c>
      <c r="CE2872" s="2" t="s">
        <v>89</v>
      </c>
      <c r="CF2872" s="5">
        <v>42975</v>
      </c>
      <c r="CG2872" s="2"/>
      <c r="CH2872" s="2"/>
      <c r="CI2872" s="2">
        <v>1</v>
      </c>
      <c r="CJ2872" s="2">
        <v>1</v>
      </c>
      <c r="CK2872" s="2">
        <v>21</v>
      </c>
      <c r="CL2872" s="2" t="s">
        <v>86</v>
      </c>
      <c r="CM2872" s="2"/>
    </row>
    <row r="2873" spans="1:91">
      <c r="A2873" s="2" t="s">
        <v>71</v>
      </c>
      <c r="B2873" s="2" t="s">
        <v>72</v>
      </c>
      <c r="C2873" s="2" t="s">
        <v>73</v>
      </c>
      <c r="D2873" s="2"/>
      <c r="E2873" s="2" t="str">
        <f>"FES1162571203"</f>
        <v>FES1162571203</v>
      </c>
      <c r="F2873" s="3">
        <v>42971</v>
      </c>
      <c r="G2873" s="2">
        <v>201802</v>
      </c>
      <c r="H2873" s="2" t="s">
        <v>74</v>
      </c>
      <c r="I2873" s="2" t="s">
        <v>75</v>
      </c>
      <c r="J2873" s="2" t="s">
        <v>76</v>
      </c>
      <c r="K2873" s="2" t="s">
        <v>77</v>
      </c>
      <c r="L2873" s="2" t="s">
        <v>105</v>
      </c>
      <c r="M2873" s="2" t="s">
        <v>106</v>
      </c>
      <c r="N2873" s="2" t="s">
        <v>3154</v>
      </c>
      <c r="O2873" s="2" t="s">
        <v>100</v>
      </c>
      <c r="P2873" s="2" t="str">
        <f>"2170586839                    "</f>
        <v xml:space="preserve">2170586839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4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1</v>
      </c>
      <c r="BJ2873" s="2">
        <v>0.2</v>
      </c>
      <c r="BK2873" s="2">
        <v>1</v>
      </c>
      <c r="BL2873" s="2">
        <v>41.44</v>
      </c>
      <c r="BM2873" s="2">
        <v>5.8</v>
      </c>
      <c r="BN2873" s="2">
        <v>47.24</v>
      </c>
      <c r="BO2873" s="2">
        <v>47.24</v>
      </c>
      <c r="BP2873" s="2"/>
      <c r="BQ2873" s="2" t="s">
        <v>288</v>
      </c>
      <c r="BR2873" s="2" t="s">
        <v>84</v>
      </c>
      <c r="BS2873" s="3">
        <v>42972</v>
      </c>
      <c r="BT2873" s="4">
        <v>0.36805555555555558</v>
      </c>
      <c r="BU2873" s="2" t="s">
        <v>3155</v>
      </c>
      <c r="BV2873" s="2" t="s">
        <v>95</v>
      </c>
      <c r="BW2873" s="2"/>
      <c r="BX2873" s="2"/>
      <c r="BY2873" s="2">
        <v>1200</v>
      </c>
      <c r="BZ2873" s="2" t="s">
        <v>27</v>
      </c>
      <c r="CA2873" s="2" t="s">
        <v>784</v>
      </c>
      <c r="CB2873" s="2"/>
      <c r="CC2873" s="2" t="s">
        <v>106</v>
      </c>
      <c r="CD2873" s="2">
        <v>7764</v>
      </c>
      <c r="CE2873" s="2" t="s">
        <v>104</v>
      </c>
      <c r="CF2873" s="5">
        <v>42975</v>
      </c>
      <c r="CG2873" s="2"/>
      <c r="CH2873" s="2"/>
      <c r="CI2873" s="2">
        <v>1</v>
      </c>
      <c r="CJ2873" s="2">
        <v>1</v>
      </c>
      <c r="CK2873" s="2">
        <v>21</v>
      </c>
      <c r="CL2873" s="2" t="s">
        <v>86</v>
      </c>
      <c r="CM2873" s="2"/>
    </row>
    <row r="2874" spans="1:91">
      <c r="A2874" s="2" t="s">
        <v>71</v>
      </c>
      <c r="B2874" s="2" t="s">
        <v>72</v>
      </c>
      <c r="C2874" s="2" t="s">
        <v>73</v>
      </c>
      <c r="D2874" s="2"/>
      <c r="E2874" s="2" t="str">
        <f>"FES1162571336"</f>
        <v>FES1162571336</v>
      </c>
      <c r="F2874" s="3">
        <v>42971</v>
      </c>
      <c r="G2874" s="2">
        <v>201802</v>
      </c>
      <c r="H2874" s="2" t="s">
        <v>74</v>
      </c>
      <c r="I2874" s="2" t="s">
        <v>75</v>
      </c>
      <c r="J2874" s="2" t="s">
        <v>76</v>
      </c>
      <c r="K2874" s="2" t="s">
        <v>77</v>
      </c>
      <c r="L2874" s="2" t="s">
        <v>174</v>
      </c>
      <c r="M2874" s="2" t="s">
        <v>175</v>
      </c>
      <c r="N2874" s="2" t="s">
        <v>357</v>
      </c>
      <c r="O2874" s="2" t="s">
        <v>100</v>
      </c>
      <c r="P2874" s="2" t="str">
        <f>"2170584903                    "</f>
        <v xml:space="preserve">2170584903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37.020000000000003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11.4</v>
      </c>
      <c r="BJ2874" s="2">
        <v>18.5</v>
      </c>
      <c r="BK2874" s="2">
        <v>18.5</v>
      </c>
      <c r="BL2874" s="2">
        <v>383.34</v>
      </c>
      <c r="BM2874" s="2">
        <v>53.67</v>
      </c>
      <c r="BN2874" s="2">
        <v>437.01</v>
      </c>
      <c r="BO2874" s="2">
        <v>437.01</v>
      </c>
      <c r="BP2874" s="2"/>
      <c r="BQ2874" s="2" t="s">
        <v>83</v>
      </c>
      <c r="BR2874" s="2" t="s">
        <v>84</v>
      </c>
      <c r="BS2874" s="3">
        <v>42972</v>
      </c>
      <c r="BT2874" s="4">
        <v>0.41319444444444442</v>
      </c>
      <c r="BU2874" s="2" t="s">
        <v>3156</v>
      </c>
      <c r="BV2874" s="2" t="s">
        <v>95</v>
      </c>
      <c r="BW2874" s="2"/>
      <c r="BX2874" s="2"/>
      <c r="BY2874" s="2">
        <v>92655.12</v>
      </c>
      <c r="BZ2874" s="2"/>
      <c r="CA2874" s="2" t="s">
        <v>1420</v>
      </c>
      <c r="CB2874" s="2"/>
      <c r="CC2874" s="2" t="s">
        <v>175</v>
      </c>
      <c r="CD2874" s="2">
        <v>5201</v>
      </c>
      <c r="CE2874" s="2" t="s">
        <v>89</v>
      </c>
      <c r="CF2874" s="5">
        <v>42975</v>
      </c>
      <c r="CG2874" s="2"/>
      <c r="CH2874" s="2"/>
      <c r="CI2874" s="2">
        <v>1</v>
      </c>
      <c r="CJ2874" s="2">
        <v>1</v>
      </c>
      <c r="CK2874" s="2">
        <v>21</v>
      </c>
      <c r="CL2874" s="2" t="s">
        <v>86</v>
      </c>
      <c r="CM2874" s="2"/>
    </row>
    <row r="2875" spans="1:91">
      <c r="A2875" s="2" t="s">
        <v>71</v>
      </c>
      <c r="B2875" s="2" t="s">
        <v>72</v>
      </c>
      <c r="C2875" s="2" t="s">
        <v>73</v>
      </c>
      <c r="D2875" s="2"/>
      <c r="E2875" s="2" t="str">
        <f>"FES1162571351"</f>
        <v>FES1162571351</v>
      </c>
      <c r="F2875" s="3">
        <v>42971</v>
      </c>
      <c r="G2875" s="2">
        <v>201802</v>
      </c>
      <c r="H2875" s="2" t="s">
        <v>74</v>
      </c>
      <c r="I2875" s="2" t="s">
        <v>75</v>
      </c>
      <c r="J2875" s="2" t="s">
        <v>76</v>
      </c>
      <c r="K2875" s="2" t="s">
        <v>77</v>
      </c>
      <c r="L2875" s="2" t="s">
        <v>149</v>
      </c>
      <c r="M2875" s="2" t="s">
        <v>150</v>
      </c>
      <c r="N2875" s="2" t="s">
        <v>503</v>
      </c>
      <c r="O2875" s="2" t="s">
        <v>100</v>
      </c>
      <c r="P2875" s="2" t="str">
        <f>"2170585332                    "</f>
        <v xml:space="preserve">2170585332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4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2</v>
      </c>
      <c r="BJ2875" s="2">
        <v>0.6</v>
      </c>
      <c r="BK2875" s="2">
        <v>2</v>
      </c>
      <c r="BL2875" s="2">
        <v>41.44</v>
      </c>
      <c r="BM2875" s="2">
        <v>5.8</v>
      </c>
      <c r="BN2875" s="2">
        <v>47.24</v>
      </c>
      <c r="BO2875" s="2">
        <v>47.24</v>
      </c>
      <c r="BP2875" s="2"/>
      <c r="BQ2875" s="2" t="s">
        <v>83</v>
      </c>
      <c r="BR2875" s="2" t="s">
        <v>84</v>
      </c>
      <c r="BS2875" s="3">
        <v>42972</v>
      </c>
      <c r="BT2875" s="4">
        <v>0.3576388888888889</v>
      </c>
      <c r="BU2875" s="2" t="s">
        <v>681</v>
      </c>
      <c r="BV2875" s="2" t="s">
        <v>95</v>
      </c>
      <c r="BW2875" s="2"/>
      <c r="BX2875" s="2"/>
      <c r="BY2875" s="2">
        <v>2750</v>
      </c>
      <c r="BZ2875" s="2"/>
      <c r="CA2875" s="2" t="s">
        <v>682</v>
      </c>
      <c r="CB2875" s="2"/>
      <c r="CC2875" s="2" t="s">
        <v>150</v>
      </c>
      <c r="CD2875" s="2">
        <v>4001</v>
      </c>
      <c r="CE2875" s="2" t="s">
        <v>89</v>
      </c>
      <c r="CF2875" s="5">
        <v>42975</v>
      </c>
      <c r="CG2875" s="2"/>
      <c r="CH2875" s="2"/>
      <c r="CI2875" s="2">
        <v>1</v>
      </c>
      <c r="CJ2875" s="2">
        <v>1</v>
      </c>
      <c r="CK2875" s="2">
        <v>21</v>
      </c>
      <c r="CL2875" s="2" t="s">
        <v>86</v>
      </c>
      <c r="CM2875" s="2"/>
    </row>
    <row r="2876" spans="1:91">
      <c r="A2876" s="2" t="s">
        <v>71</v>
      </c>
      <c r="B2876" s="2" t="s">
        <v>72</v>
      </c>
      <c r="C2876" s="2" t="s">
        <v>73</v>
      </c>
      <c r="D2876" s="2"/>
      <c r="E2876" s="2" t="str">
        <f>"FES1162571382"</f>
        <v>FES1162571382</v>
      </c>
      <c r="F2876" s="3">
        <v>42971</v>
      </c>
      <c r="G2876" s="2">
        <v>201802</v>
      </c>
      <c r="H2876" s="2" t="s">
        <v>74</v>
      </c>
      <c r="I2876" s="2" t="s">
        <v>75</v>
      </c>
      <c r="J2876" s="2" t="s">
        <v>76</v>
      </c>
      <c r="K2876" s="2" t="s">
        <v>77</v>
      </c>
      <c r="L2876" s="2" t="s">
        <v>144</v>
      </c>
      <c r="M2876" s="2" t="s">
        <v>145</v>
      </c>
      <c r="N2876" s="2" t="s">
        <v>146</v>
      </c>
      <c r="O2876" s="2" t="s">
        <v>100</v>
      </c>
      <c r="P2876" s="2" t="str">
        <f>"2170587026                    "</f>
        <v xml:space="preserve">2170587026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3.13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0.6</v>
      </c>
      <c r="BJ2876" s="2">
        <v>0.4</v>
      </c>
      <c r="BK2876" s="2">
        <v>1</v>
      </c>
      <c r="BL2876" s="2">
        <v>32.380000000000003</v>
      </c>
      <c r="BM2876" s="2">
        <v>4.53</v>
      </c>
      <c r="BN2876" s="2">
        <v>36.909999999999997</v>
      </c>
      <c r="BO2876" s="2">
        <v>36.909999999999997</v>
      </c>
      <c r="BP2876" s="2"/>
      <c r="BQ2876" s="2" t="s">
        <v>83</v>
      </c>
      <c r="BR2876" s="2" t="s">
        <v>84</v>
      </c>
      <c r="BS2876" s="3">
        <v>42972</v>
      </c>
      <c r="BT2876" s="4">
        <v>0.3611111111111111</v>
      </c>
      <c r="BU2876" s="2" t="s">
        <v>1176</v>
      </c>
      <c r="BV2876" s="2" t="s">
        <v>95</v>
      </c>
      <c r="BW2876" s="2"/>
      <c r="BX2876" s="2"/>
      <c r="BY2876" s="2">
        <v>1756.31</v>
      </c>
      <c r="BZ2876" s="2"/>
      <c r="CA2876" s="2" t="s">
        <v>729</v>
      </c>
      <c r="CB2876" s="2"/>
      <c r="CC2876" s="2" t="s">
        <v>145</v>
      </c>
      <c r="CD2876" s="2">
        <v>2094</v>
      </c>
      <c r="CE2876" s="2" t="s">
        <v>89</v>
      </c>
      <c r="CF2876" s="5">
        <v>42975</v>
      </c>
      <c r="CG2876" s="2"/>
      <c r="CH2876" s="2"/>
      <c r="CI2876" s="2">
        <v>1</v>
      </c>
      <c r="CJ2876" s="2">
        <v>1</v>
      </c>
      <c r="CK2876" s="2">
        <v>22</v>
      </c>
      <c r="CL2876" s="2" t="s">
        <v>86</v>
      </c>
      <c r="CM2876" s="2"/>
    </row>
    <row r="2877" spans="1:91">
      <c r="A2877" s="2" t="s">
        <v>71</v>
      </c>
      <c r="B2877" s="2" t="s">
        <v>72</v>
      </c>
      <c r="C2877" s="2" t="s">
        <v>73</v>
      </c>
      <c r="D2877" s="2"/>
      <c r="E2877" s="2" t="str">
        <f>"FES1162571279"</f>
        <v>FES1162571279</v>
      </c>
      <c r="F2877" s="3">
        <v>42971</v>
      </c>
      <c r="G2877" s="2">
        <v>201802</v>
      </c>
      <c r="H2877" s="2" t="s">
        <v>74</v>
      </c>
      <c r="I2877" s="2" t="s">
        <v>75</v>
      </c>
      <c r="J2877" s="2" t="s">
        <v>76</v>
      </c>
      <c r="K2877" s="2" t="s">
        <v>77</v>
      </c>
      <c r="L2877" s="2" t="s">
        <v>144</v>
      </c>
      <c r="M2877" s="2" t="s">
        <v>145</v>
      </c>
      <c r="N2877" s="2" t="s">
        <v>3157</v>
      </c>
      <c r="O2877" s="2" t="s">
        <v>100</v>
      </c>
      <c r="P2877" s="2" t="str">
        <f>"2170586626                    "</f>
        <v xml:space="preserve">2170586626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3.13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1</v>
      </c>
      <c r="BJ2877" s="2">
        <v>0.2</v>
      </c>
      <c r="BK2877" s="2">
        <v>1</v>
      </c>
      <c r="BL2877" s="2">
        <v>32.380000000000003</v>
      </c>
      <c r="BM2877" s="2">
        <v>4.53</v>
      </c>
      <c r="BN2877" s="2">
        <v>36.909999999999997</v>
      </c>
      <c r="BO2877" s="2">
        <v>36.909999999999997</v>
      </c>
      <c r="BP2877" s="2"/>
      <c r="BQ2877" s="2" t="s">
        <v>288</v>
      </c>
      <c r="BR2877" s="2" t="s">
        <v>84</v>
      </c>
      <c r="BS2877" s="3">
        <v>42972</v>
      </c>
      <c r="BT2877" s="4">
        <v>0.43333333333333335</v>
      </c>
      <c r="BU2877" s="2" t="s">
        <v>3158</v>
      </c>
      <c r="BV2877" s="2" t="s">
        <v>95</v>
      </c>
      <c r="BW2877" s="2"/>
      <c r="BX2877" s="2"/>
      <c r="BY2877" s="2">
        <v>1200</v>
      </c>
      <c r="BZ2877" s="2" t="s">
        <v>27</v>
      </c>
      <c r="CA2877" s="2"/>
      <c r="CB2877" s="2"/>
      <c r="CC2877" s="2" t="s">
        <v>145</v>
      </c>
      <c r="CD2877" s="2">
        <v>1725</v>
      </c>
      <c r="CE2877" s="2" t="s">
        <v>104</v>
      </c>
      <c r="CF2877" s="5">
        <v>42975</v>
      </c>
      <c r="CG2877" s="2"/>
      <c r="CH2877" s="2"/>
      <c r="CI2877" s="2">
        <v>1</v>
      </c>
      <c r="CJ2877" s="2">
        <v>1</v>
      </c>
      <c r="CK2877" s="2">
        <v>22</v>
      </c>
      <c r="CL2877" s="2" t="s">
        <v>86</v>
      </c>
      <c r="CM2877" s="2"/>
    </row>
    <row r="2878" spans="1:91">
      <c r="A2878" s="2" t="s">
        <v>71</v>
      </c>
      <c r="B2878" s="2" t="s">
        <v>72</v>
      </c>
      <c r="C2878" s="2" t="s">
        <v>73</v>
      </c>
      <c r="D2878" s="2"/>
      <c r="E2878" s="2" t="str">
        <f>"FES1162571289"</f>
        <v>FES1162571289</v>
      </c>
      <c r="F2878" s="3">
        <v>42971</v>
      </c>
      <c r="G2878" s="2">
        <v>201802</v>
      </c>
      <c r="H2878" s="2" t="s">
        <v>74</v>
      </c>
      <c r="I2878" s="2" t="s">
        <v>75</v>
      </c>
      <c r="J2878" s="2" t="s">
        <v>76</v>
      </c>
      <c r="K2878" s="2" t="s">
        <v>77</v>
      </c>
      <c r="L2878" s="2" t="s">
        <v>144</v>
      </c>
      <c r="M2878" s="2" t="s">
        <v>145</v>
      </c>
      <c r="N2878" s="2" t="s">
        <v>3159</v>
      </c>
      <c r="O2878" s="2" t="s">
        <v>100</v>
      </c>
      <c r="P2878" s="2" t="str">
        <f>"2170586933                    "</f>
        <v xml:space="preserve">2170586933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3.13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1</v>
      </c>
      <c r="BJ2878" s="2">
        <v>0.2</v>
      </c>
      <c r="BK2878" s="2">
        <v>1</v>
      </c>
      <c r="BL2878" s="2">
        <v>32.380000000000003</v>
      </c>
      <c r="BM2878" s="2">
        <v>4.53</v>
      </c>
      <c r="BN2878" s="2">
        <v>36.909999999999997</v>
      </c>
      <c r="BO2878" s="2">
        <v>36.909999999999997</v>
      </c>
      <c r="BP2878" s="2"/>
      <c r="BQ2878" s="2" t="s">
        <v>288</v>
      </c>
      <c r="BR2878" s="2" t="s">
        <v>84</v>
      </c>
      <c r="BS2878" s="3">
        <v>42972</v>
      </c>
      <c r="BT2878" s="4">
        <v>0.58680555555555558</v>
      </c>
      <c r="BU2878" s="2" t="s">
        <v>1205</v>
      </c>
      <c r="BV2878" s="2" t="s">
        <v>86</v>
      </c>
      <c r="BW2878" s="2" t="s">
        <v>1007</v>
      </c>
      <c r="BX2878" s="2" t="s">
        <v>1113</v>
      </c>
      <c r="BY2878" s="2">
        <v>1200</v>
      </c>
      <c r="BZ2878" s="2" t="s">
        <v>27</v>
      </c>
      <c r="CA2878" s="2" t="s">
        <v>3160</v>
      </c>
      <c r="CB2878" s="2"/>
      <c r="CC2878" s="2" t="s">
        <v>145</v>
      </c>
      <c r="CD2878" s="2">
        <v>2092</v>
      </c>
      <c r="CE2878" s="2" t="s">
        <v>104</v>
      </c>
      <c r="CF2878" s="5">
        <v>42975</v>
      </c>
      <c r="CG2878" s="2"/>
      <c r="CH2878" s="2"/>
      <c r="CI2878" s="2">
        <v>1</v>
      </c>
      <c r="CJ2878" s="2">
        <v>1</v>
      </c>
      <c r="CK2878" s="2">
        <v>22</v>
      </c>
      <c r="CL2878" s="2" t="s">
        <v>86</v>
      </c>
      <c r="CM2878" s="2"/>
    </row>
    <row r="2879" spans="1:91">
      <c r="A2879" s="2" t="s">
        <v>71</v>
      </c>
      <c r="B2879" s="2" t="s">
        <v>72</v>
      </c>
      <c r="C2879" s="2" t="s">
        <v>73</v>
      </c>
      <c r="D2879" s="2"/>
      <c r="E2879" s="2" t="str">
        <f>"FES1162571370"</f>
        <v>FES1162571370</v>
      </c>
      <c r="F2879" s="3">
        <v>42971</v>
      </c>
      <c r="G2879" s="2">
        <v>201802</v>
      </c>
      <c r="H2879" s="2" t="s">
        <v>74</v>
      </c>
      <c r="I2879" s="2" t="s">
        <v>75</v>
      </c>
      <c r="J2879" s="2" t="s">
        <v>76</v>
      </c>
      <c r="K2879" s="2" t="s">
        <v>77</v>
      </c>
      <c r="L2879" s="2" t="s">
        <v>137</v>
      </c>
      <c r="M2879" s="2" t="s">
        <v>138</v>
      </c>
      <c r="N2879" s="2" t="s">
        <v>368</v>
      </c>
      <c r="O2879" s="2" t="s">
        <v>100</v>
      </c>
      <c r="P2879" s="2" t="str">
        <f>"2170587010                    "</f>
        <v xml:space="preserve">2170587010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4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1</v>
      </c>
      <c r="BJ2879" s="2">
        <v>0.2</v>
      </c>
      <c r="BK2879" s="2">
        <v>1</v>
      </c>
      <c r="BL2879" s="2">
        <v>41.44</v>
      </c>
      <c r="BM2879" s="2">
        <v>5.8</v>
      </c>
      <c r="BN2879" s="2">
        <v>47.24</v>
      </c>
      <c r="BO2879" s="2">
        <v>47.24</v>
      </c>
      <c r="BP2879" s="2"/>
      <c r="BQ2879" s="2" t="s">
        <v>108</v>
      </c>
      <c r="BR2879" s="2" t="s">
        <v>84</v>
      </c>
      <c r="BS2879" s="3">
        <v>42972</v>
      </c>
      <c r="BT2879" s="4">
        <v>0.34166666666666662</v>
      </c>
      <c r="BU2879" s="2" t="s">
        <v>1109</v>
      </c>
      <c r="BV2879" s="2" t="s">
        <v>95</v>
      </c>
      <c r="BW2879" s="2"/>
      <c r="BX2879" s="2"/>
      <c r="BY2879" s="2">
        <v>1200</v>
      </c>
      <c r="BZ2879" s="2"/>
      <c r="CA2879" s="2"/>
      <c r="CB2879" s="2"/>
      <c r="CC2879" s="2" t="s">
        <v>138</v>
      </c>
      <c r="CD2879" s="2">
        <v>157</v>
      </c>
      <c r="CE2879" s="2" t="s">
        <v>104</v>
      </c>
      <c r="CF2879" s="5">
        <v>42975</v>
      </c>
      <c r="CG2879" s="2"/>
      <c r="CH2879" s="2"/>
      <c r="CI2879" s="2">
        <v>1</v>
      </c>
      <c r="CJ2879" s="2">
        <v>1</v>
      </c>
      <c r="CK2879" s="2">
        <v>21</v>
      </c>
      <c r="CL2879" s="2" t="s">
        <v>86</v>
      </c>
      <c r="CM2879" s="2"/>
    </row>
    <row r="2880" spans="1:91">
      <c r="A2880" s="2" t="s">
        <v>71</v>
      </c>
      <c r="B2880" s="2" t="s">
        <v>72</v>
      </c>
      <c r="C2880" s="2" t="s">
        <v>73</v>
      </c>
      <c r="D2880" s="2"/>
      <c r="E2880" s="2" t="str">
        <f>"FES1162571269"</f>
        <v>FES1162571269</v>
      </c>
      <c r="F2880" s="3">
        <v>42971</v>
      </c>
      <c r="G2880" s="2">
        <v>201802</v>
      </c>
      <c r="H2880" s="2" t="s">
        <v>74</v>
      </c>
      <c r="I2880" s="2" t="s">
        <v>75</v>
      </c>
      <c r="J2880" s="2" t="s">
        <v>76</v>
      </c>
      <c r="K2880" s="2" t="s">
        <v>77</v>
      </c>
      <c r="L2880" s="2" t="s">
        <v>244</v>
      </c>
      <c r="M2880" s="2" t="s">
        <v>245</v>
      </c>
      <c r="N2880" s="2" t="s">
        <v>553</v>
      </c>
      <c r="O2880" s="2" t="s">
        <v>100</v>
      </c>
      <c r="P2880" s="2" t="str">
        <f>"2170584896                    "</f>
        <v xml:space="preserve">2170584896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3.13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0.3</v>
      </c>
      <c r="BJ2880" s="2">
        <v>1.3</v>
      </c>
      <c r="BK2880" s="2">
        <v>2</v>
      </c>
      <c r="BL2880" s="2">
        <v>32.380000000000003</v>
      </c>
      <c r="BM2880" s="2">
        <v>4.53</v>
      </c>
      <c r="BN2880" s="2">
        <v>36.909999999999997</v>
      </c>
      <c r="BO2880" s="2">
        <v>36.909999999999997</v>
      </c>
      <c r="BP2880" s="2"/>
      <c r="BQ2880" s="2" t="s">
        <v>288</v>
      </c>
      <c r="BR2880" s="2" t="s">
        <v>84</v>
      </c>
      <c r="BS2880" s="3">
        <v>42972</v>
      </c>
      <c r="BT2880" s="4">
        <v>0.31805555555555554</v>
      </c>
      <c r="BU2880" s="2" t="s">
        <v>1796</v>
      </c>
      <c r="BV2880" s="2" t="s">
        <v>95</v>
      </c>
      <c r="BW2880" s="2"/>
      <c r="BX2880" s="2"/>
      <c r="BY2880" s="2">
        <v>6396.56</v>
      </c>
      <c r="BZ2880" s="2" t="s">
        <v>27</v>
      </c>
      <c r="CA2880" s="2" t="s">
        <v>499</v>
      </c>
      <c r="CB2880" s="2"/>
      <c r="CC2880" s="2" t="s">
        <v>245</v>
      </c>
      <c r="CD2880" s="2">
        <v>1460</v>
      </c>
      <c r="CE2880" s="2" t="s">
        <v>104</v>
      </c>
      <c r="CF2880" s="5">
        <v>42975</v>
      </c>
      <c r="CG2880" s="2"/>
      <c r="CH2880" s="2"/>
      <c r="CI2880" s="2">
        <v>1</v>
      </c>
      <c r="CJ2880" s="2">
        <v>1</v>
      </c>
      <c r="CK2880" s="2">
        <v>22</v>
      </c>
      <c r="CL2880" s="2" t="s">
        <v>86</v>
      </c>
      <c r="CM2880" s="2"/>
    </row>
    <row r="2881" spans="1:91">
      <c r="A2881" s="2" t="s">
        <v>71</v>
      </c>
      <c r="B2881" s="2" t="s">
        <v>72</v>
      </c>
      <c r="C2881" s="2" t="s">
        <v>73</v>
      </c>
      <c r="D2881" s="2"/>
      <c r="E2881" s="2" t="str">
        <f>"FES1162571399"</f>
        <v>FES1162571399</v>
      </c>
      <c r="F2881" s="3">
        <v>42971</v>
      </c>
      <c r="G2881" s="2">
        <v>201802</v>
      </c>
      <c r="H2881" s="2" t="s">
        <v>74</v>
      </c>
      <c r="I2881" s="2" t="s">
        <v>75</v>
      </c>
      <c r="J2881" s="2" t="s">
        <v>76</v>
      </c>
      <c r="K2881" s="2" t="s">
        <v>77</v>
      </c>
      <c r="L2881" s="2" t="s">
        <v>97</v>
      </c>
      <c r="M2881" s="2" t="s">
        <v>98</v>
      </c>
      <c r="N2881" s="2" t="s">
        <v>119</v>
      </c>
      <c r="O2881" s="2" t="s">
        <v>100</v>
      </c>
      <c r="P2881" s="2" t="str">
        <f>"2170587041                    "</f>
        <v xml:space="preserve">2170587041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4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1</v>
      </c>
      <c r="BJ2881" s="2">
        <v>0.2</v>
      </c>
      <c r="BK2881" s="2">
        <v>1</v>
      </c>
      <c r="BL2881" s="2">
        <v>41.44</v>
      </c>
      <c r="BM2881" s="2">
        <v>5.8</v>
      </c>
      <c r="BN2881" s="2">
        <v>47.24</v>
      </c>
      <c r="BO2881" s="2">
        <v>47.24</v>
      </c>
      <c r="BP2881" s="2"/>
      <c r="BQ2881" s="2" t="s">
        <v>108</v>
      </c>
      <c r="BR2881" s="2" t="s">
        <v>84</v>
      </c>
      <c r="BS2881" s="3">
        <v>42972</v>
      </c>
      <c r="BT2881" s="4">
        <v>0.57638888888888895</v>
      </c>
      <c r="BU2881" s="2" t="s">
        <v>1027</v>
      </c>
      <c r="BV2881" s="2" t="s">
        <v>86</v>
      </c>
      <c r="BW2881" s="2" t="s">
        <v>115</v>
      </c>
      <c r="BX2881" s="2" t="s">
        <v>1028</v>
      </c>
      <c r="BY2881" s="2">
        <v>1200</v>
      </c>
      <c r="BZ2881" s="2"/>
      <c r="CA2881" s="2"/>
      <c r="CB2881" s="2"/>
      <c r="CC2881" s="2" t="s">
        <v>98</v>
      </c>
      <c r="CD2881" s="2">
        <v>6001</v>
      </c>
      <c r="CE2881" s="2" t="s">
        <v>104</v>
      </c>
      <c r="CF2881" s="5">
        <v>42975</v>
      </c>
      <c r="CG2881" s="2"/>
      <c r="CH2881" s="2"/>
      <c r="CI2881" s="2">
        <v>1</v>
      </c>
      <c r="CJ2881" s="2">
        <v>1</v>
      </c>
      <c r="CK2881" s="2">
        <v>21</v>
      </c>
      <c r="CL2881" s="2" t="s">
        <v>86</v>
      </c>
      <c r="CM2881" s="2"/>
    </row>
    <row r="2882" spans="1:91">
      <c r="A2882" s="2" t="s">
        <v>71</v>
      </c>
      <c r="B2882" s="2" t="s">
        <v>72</v>
      </c>
      <c r="C2882" s="2" t="s">
        <v>73</v>
      </c>
      <c r="D2882" s="2"/>
      <c r="E2882" s="2" t="str">
        <f>"FES1162571386"</f>
        <v>FES1162571386</v>
      </c>
      <c r="F2882" s="3">
        <v>42971</v>
      </c>
      <c r="G2882" s="2">
        <v>201802</v>
      </c>
      <c r="H2882" s="2" t="s">
        <v>74</v>
      </c>
      <c r="I2882" s="2" t="s">
        <v>75</v>
      </c>
      <c r="J2882" s="2" t="s">
        <v>76</v>
      </c>
      <c r="K2882" s="2" t="s">
        <v>77</v>
      </c>
      <c r="L2882" s="2" t="s">
        <v>170</v>
      </c>
      <c r="M2882" s="2" t="s">
        <v>171</v>
      </c>
      <c r="N2882" s="2" t="s">
        <v>1580</v>
      </c>
      <c r="O2882" s="2" t="s">
        <v>100</v>
      </c>
      <c r="P2882" s="2" t="str">
        <f>"2170587025                    "</f>
        <v xml:space="preserve">2170587025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3.13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1</v>
      </c>
      <c r="BJ2882" s="2">
        <v>0.2</v>
      </c>
      <c r="BK2882" s="2">
        <v>1</v>
      </c>
      <c r="BL2882" s="2">
        <v>32.380000000000003</v>
      </c>
      <c r="BM2882" s="2">
        <v>4.53</v>
      </c>
      <c r="BN2882" s="2">
        <v>36.909999999999997</v>
      </c>
      <c r="BO2882" s="2">
        <v>36.909999999999997</v>
      </c>
      <c r="BP2882" s="2"/>
      <c r="BQ2882" s="2" t="s">
        <v>288</v>
      </c>
      <c r="BR2882" s="2" t="s">
        <v>84</v>
      </c>
      <c r="BS2882" s="3">
        <v>42972</v>
      </c>
      <c r="BT2882" s="4">
        <v>0.4375</v>
      </c>
      <c r="BU2882" s="2" t="s">
        <v>1830</v>
      </c>
      <c r="BV2882" s="2" t="s">
        <v>95</v>
      </c>
      <c r="BW2882" s="2"/>
      <c r="BX2882" s="2"/>
      <c r="BY2882" s="2">
        <v>1200</v>
      </c>
      <c r="BZ2882" s="2"/>
      <c r="CA2882" s="2" t="s">
        <v>492</v>
      </c>
      <c r="CB2882" s="2"/>
      <c r="CC2882" s="2" t="s">
        <v>171</v>
      </c>
      <c r="CD2882" s="2">
        <v>1428</v>
      </c>
      <c r="CE2882" s="2" t="s">
        <v>104</v>
      </c>
      <c r="CF2882" s="5">
        <v>42975</v>
      </c>
      <c r="CG2882" s="2"/>
      <c r="CH2882" s="2"/>
      <c r="CI2882" s="2">
        <v>1</v>
      </c>
      <c r="CJ2882" s="2">
        <v>1</v>
      </c>
      <c r="CK2882" s="2">
        <v>22</v>
      </c>
      <c r="CL2882" s="2" t="s">
        <v>86</v>
      </c>
      <c r="CM2882" s="2"/>
    </row>
    <row r="2883" spans="1:91">
      <c r="A2883" s="2" t="s">
        <v>71</v>
      </c>
      <c r="B2883" s="2" t="s">
        <v>72</v>
      </c>
      <c r="C2883" s="2" t="s">
        <v>73</v>
      </c>
      <c r="D2883" s="2"/>
      <c r="E2883" s="2" t="str">
        <f>"FES1162571228"</f>
        <v>FES1162571228</v>
      </c>
      <c r="F2883" s="3">
        <v>42971</v>
      </c>
      <c r="G2883" s="2">
        <v>201802</v>
      </c>
      <c r="H2883" s="2" t="s">
        <v>74</v>
      </c>
      <c r="I2883" s="2" t="s">
        <v>75</v>
      </c>
      <c r="J2883" s="2" t="s">
        <v>76</v>
      </c>
      <c r="K2883" s="2" t="s">
        <v>77</v>
      </c>
      <c r="L2883" s="2" t="s">
        <v>311</v>
      </c>
      <c r="M2883" s="2" t="s">
        <v>312</v>
      </c>
      <c r="N2883" s="2" t="s">
        <v>2486</v>
      </c>
      <c r="O2883" s="2" t="s">
        <v>100</v>
      </c>
      <c r="P2883" s="2" t="str">
        <f>"2170586864                    "</f>
        <v xml:space="preserve">2170586864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3.13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1</v>
      </c>
      <c r="BJ2883" s="2">
        <v>2.1</v>
      </c>
      <c r="BK2883" s="2">
        <v>3</v>
      </c>
      <c r="BL2883" s="2">
        <v>32.380000000000003</v>
      </c>
      <c r="BM2883" s="2">
        <v>4.53</v>
      </c>
      <c r="BN2883" s="2">
        <v>36.909999999999997</v>
      </c>
      <c r="BO2883" s="2">
        <v>36.909999999999997</v>
      </c>
      <c r="BP2883" s="2"/>
      <c r="BQ2883" s="2" t="s">
        <v>288</v>
      </c>
      <c r="BR2883" s="2" t="s">
        <v>84</v>
      </c>
      <c r="BS2883" s="3">
        <v>42972</v>
      </c>
      <c r="BT2883" s="4">
        <v>0.33333333333333331</v>
      </c>
      <c r="BU2883" s="2" t="s">
        <v>3161</v>
      </c>
      <c r="BV2883" s="2" t="s">
        <v>95</v>
      </c>
      <c r="BW2883" s="2"/>
      <c r="BX2883" s="2"/>
      <c r="BY2883" s="2">
        <v>10716</v>
      </c>
      <c r="BZ2883" s="2" t="s">
        <v>27</v>
      </c>
      <c r="CA2883" s="2" t="s">
        <v>889</v>
      </c>
      <c r="CB2883" s="2"/>
      <c r="CC2883" s="2" t="s">
        <v>312</v>
      </c>
      <c r="CD2883" s="2">
        <v>1559</v>
      </c>
      <c r="CE2883" s="2" t="s">
        <v>89</v>
      </c>
      <c r="CF2883" s="5">
        <v>42975</v>
      </c>
      <c r="CG2883" s="2"/>
      <c r="CH2883" s="2"/>
      <c r="CI2883" s="2">
        <v>1</v>
      </c>
      <c r="CJ2883" s="2">
        <v>1</v>
      </c>
      <c r="CK2883" s="2">
        <v>22</v>
      </c>
      <c r="CL2883" s="2" t="s">
        <v>86</v>
      </c>
      <c r="CM2883" s="2"/>
    </row>
    <row r="2884" spans="1:91">
      <c r="A2884" s="2" t="s">
        <v>71</v>
      </c>
      <c r="B2884" s="2" t="s">
        <v>72</v>
      </c>
      <c r="C2884" s="2" t="s">
        <v>73</v>
      </c>
      <c r="D2884" s="2"/>
      <c r="E2884" s="2" t="str">
        <f>"FES1162571373"</f>
        <v>FES1162571373</v>
      </c>
      <c r="F2884" s="3">
        <v>42971</v>
      </c>
      <c r="G2884" s="2">
        <v>201802</v>
      </c>
      <c r="H2884" s="2" t="s">
        <v>74</v>
      </c>
      <c r="I2884" s="2" t="s">
        <v>75</v>
      </c>
      <c r="J2884" s="2" t="s">
        <v>76</v>
      </c>
      <c r="K2884" s="2" t="s">
        <v>77</v>
      </c>
      <c r="L2884" s="2" t="s">
        <v>170</v>
      </c>
      <c r="M2884" s="2" t="s">
        <v>171</v>
      </c>
      <c r="N2884" s="2" t="s">
        <v>730</v>
      </c>
      <c r="O2884" s="2" t="s">
        <v>100</v>
      </c>
      <c r="P2884" s="2" t="str">
        <f>"2170587013                    "</f>
        <v xml:space="preserve">2170587013 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3.13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1</v>
      </c>
      <c r="BJ2884" s="2">
        <v>0.2</v>
      </c>
      <c r="BK2884" s="2">
        <v>1</v>
      </c>
      <c r="BL2884" s="2">
        <v>32.380000000000003</v>
      </c>
      <c r="BM2884" s="2">
        <v>4.53</v>
      </c>
      <c r="BN2884" s="2">
        <v>36.909999999999997</v>
      </c>
      <c r="BO2884" s="2">
        <v>36.909999999999997</v>
      </c>
      <c r="BP2884" s="2"/>
      <c r="BQ2884" s="2" t="s">
        <v>108</v>
      </c>
      <c r="BR2884" s="2" t="s">
        <v>84</v>
      </c>
      <c r="BS2884" s="3">
        <v>42972</v>
      </c>
      <c r="BT2884" s="4">
        <v>0.4375</v>
      </c>
      <c r="BU2884" s="2" t="s">
        <v>1776</v>
      </c>
      <c r="BV2884" s="2" t="s">
        <v>95</v>
      </c>
      <c r="BW2884" s="2"/>
      <c r="BX2884" s="2"/>
      <c r="BY2884" s="2">
        <v>1200</v>
      </c>
      <c r="BZ2884" s="2"/>
      <c r="CA2884" s="2" t="s">
        <v>492</v>
      </c>
      <c r="CB2884" s="2"/>
      <c r="CC2884" s="2" t="s">
        <v>171</v>
      </c>
      <c r="CD2884" s="2">
        <v>1428</v>
      </c>
      <c r="CE2884" s="2" t="s">
        <v>104</v>
      </c>
      <c r="CF2884" s="5">
        <v>42975</v>
      </c>
      <c r="CG2884" s="2"/>
      <c r="CH2884" s="2"/>
      <c r="CI2884" s="2">
        <v>1</v>
      </c>
      <c r="CJ2884" s="2">
        <v>1</v>
      </c>
      <c r="CK2884" s="2">
        <v>22</v>
      </c>
      <c r="CL2884" s="2" t="s">
        <v>86</v>
      </c>
      <c r="CM2884" s="2"/>
    </row>
    <row r="2885" spans="1:91">
      <c r="A2885" s="2" t="s">
        <v>71</v>
      </c>
      <c r="B2885" s="2" t="s">
        <v>72</v>
      </c>
      <c r="C2885" s="2" t="s">
        <v>73</v>
      </c>
      <c r="D2885" s="2"/>
      <c r="E2885" s="2" t="str">
        <f>"FES1162571209"</f>
        <v>FES1162571209</v>
      </c>
      <c r="F2885" s="3">
        <v>42971</v>
      </c>
      <c r="G2885" s="2">
        <v>201802</v>
      </c>
      <c r="H2885" s="2" t="s">
        <v>74</v>
      </c>
      <c r="I2885" s="2" t="s">
        <v>75</v>
      </c>
      <c r="J2885" s="2" t="s">
        <v>76</v>
      </c>
      <c r="K2885" s="2" t="s">
        <v>77</v>
      </c>
      <c r="L2885" s="2" t="s">
        <v>2417</v>
      </c>
      <c r="M2885" s="2" t="s">
        <v>2418</v>
      </c>
      <c r="N2885" s="2" t="s">
        <v>2419</v>
      </c>
      <c r="O2885" s="2" t="s">
        <v>100</v>
      </c>
      <c r="P2885" s="2" t="str">
        <f>"2170585391                    "</f>
        <v xml:space="preserve">2170585391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9.51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2.2999999999999998</v>
      </c>
      <c r="BJ2885" s="2">
        <v>1.9</v>
      </c>
      <c r="BK2885" s="2">
        <v>2.5</v>
      </c>
      <c r="BL2885" s="2">
        <v>98.43</v>
      </c>
      <c r="BM2885" s="2">
        <v>13.78</v>
      </c>
      <c r="BN2885" s="2">
        <v>112.21</v>
      </c>
      <c r="BO2885" s="2">
        <v>112.21</v>
      </c>
      <c r="BP2885" s="2"/>
      <c r="BQ2885" s="2" t="s">
        <v>288</v>
      </c>
      <c r="BR2885" s="2" t="s">
        <v>84</v>
      </c>
      <c r="BS2885" s="3">
        <v>42972</v>
      </c>
      <c r="BT2885" s="4">
        <v>0.5</v>
      </c>
      <c r="BU2885" s="2" t="s">
        <v>2421</v>
      </c>
      <c r="BV2885" s="2" t="s">
        <v>95</v>
      </c>
      <c r="BW2885" s="2"/>
      <c r="BX2885" s="2"/>
      <c r="BY2885" s="2">
        <v>9694.08</v>
      </c>
      <c r="BZ2885" s="2" t="s">
        <v>27</v>
      </c>
      <c r="CA2885" s="2"/>
      <c r="CB2885" s="2"/>
      <c r="CC2885" s="2" t="s">
        <v>2418</v>
      </c>
      <c r="CD2885" s="2">
        <v>4930</v>
      </c>
      <c r="CE2885" s="2" t="s">
        <v>89</v>
      </c>
      <c r="CF2885" s="5">
        <v>42976</v>
      </c>
      <c r="CG2885" s="2"/>
      <c r="CH2885" s="2"/>
      <c r="CI2885" s="2">
        <v>3</v>
      </c>
      <c r="CJ2885" s="2">
        <v>1</v>
      </c>
      <c r="CK2885" s="2">
        <v>23</v>
      </c>
      <c r="CL2885" s="2" t="s">
        <v>86</v>
      </c>
      <c r="CM2885" s="2"/>
    </row>
    <row r="2886" spans="1:91">
      <c r="A2886" s="2" t="s">
        <v>71</v>
      </c>
      <c r="B2886" s="2" t="s">
        <v>72</v>
      </c>
      <c r="C2886" s="2" t="s">
        <v>73</v>
      </c>
      <c r="D2886" s="2"/>
      <c r="E2886" s="2" t="str">
        <f>"FES1162571360"</f>
        <v>FES1162571360</v>
      </c>
      <c r="F2886" s="3">
        <v>42971</v>
      </c>
      <c r="G2886" s="2">
        <v>201802</v>
      </c>
      <c r="H2886" s="2" t="s">
        <v>74</v>
      </c>
      <c r="I2886" s="2" t="s">
        <v>75</v>
      </c>
      <c r="J2886" s="2" t="s">
        <v>76</v>
      </c>
      <c r="K2886" s="2" t="s">
        <v>77</v>
      </c>
      <c r="L2886" s="2" t="s">
        <v>237</v>
      </c>
      <c r="M2886" s="2" t="s">
        <v>238</v>
      </c>
      <c r="N2886" s="2" t="s">
        <v>837</v>
      </c>
      <c r="O2886" s="2" t="s">
        <v>100</v>
      </c>
      <c r="P2886" s="2" t="str">
        <f>"2170587004                    "</f>
        <v xml:space="preserve">2170587004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4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1</v>
      </c>
      <c r="BI2886" s="2">
        <v>1</v>
      </c>
      <c r="BJ2886" s="2">
        <v>0.2</v>
      </c>
      <c r="BK2886" s="2">
        <v>1</v>
      </c>
      <c r="BL2886" s="2">
        <v>41.44</v>
      </c>
      <c r="BM2886" s="2">
        <v>5.8</v>
      </c>
      <c r="BN2886" s="2">
        <v>47.24</v>
      </c>
      <c r="BO2886" s="2">
        <v>47.24</v>
      </c>
      <c r="BP2886" s="2"/>
      <c r="BQ2886" s="2" t="s">
        <v>227</v>
      </c>
      <c r="BR2886" s="2" t="s">
        <v>84</v>
      </c>
      <c r="BS2886" s="3">
        <v>42972</v>
      </c>
      <c r="BT2886" s="4">
        <v>0.40416666666666662</v>
      </c>
      <c r="BU2886" s="2" t="s">
        <v>3162</v>
      </c>
      <c r="BV2886" s="2" t="s">
        <v>95</v>
      </c>
      <c r="BW2886" s="2"/>
      <c r="BX2886" s="2"/>
      <c r="BY2886" s="2">
        <v>1200</v>
      </c>
      <c r="BZ2886" s="2"/>
      <c r="CA2886" s="2" t="s">
        <v>839</v>
      </c>
      <c r="CB2886" s="2"/>
      <c r="CC2886" s="2" t="s">
        <v>238</v>
      </c>
      <c r="CD2886" s="2">
        <v>4037</v>
      </c>
      <c r="CE2886" s="2" t="s">
        <v>104</v>
      </c>
      <c r="CF2886" s="5">
        <v>42975</v>
      </c>
      <c r="CG2886" s="2"/>
      <c r="CH2886" s="2"/>
      <c r="CI2886" s="2">
        <v>1</v>
      </c>
      <c r="CJ2886" s="2">
        <v>1</v>
      </c>
      <c r="CK2886" s="2">
        <v>21</v>
      </c>
      <c r="CL2886" s="2" t="s">
        <v>86</v>
      </c>
      <c r="CM2886" s="2"/>
    </row>
    <row r="2887" spans="1:91">
      <c r="A2887" s="2" t="s">
        <v>71</v>
      </c>
      <c r="B2887" s="2" t="s">
        <v>72</v>
      </c>
      <c r="C2887" s="2" t="s">
        <v>73</v>
      </c>
      <c r="D2887" s="2"/>
      <c r="E2887" s="2" t="str">
        <f>"FES1162571132"</f>
        <v>FES1162571132</v>
      </c>
      <c r="F2887" s="3">
        <v>42971</v>
      </c>
      <c r="G2887" s="2">
        <v>201802</v>
      </c>
      <c r="H2887" s="2" t="s">
        <v>74</v>
      </c>
      <c r="I2887" s="2" t="s">
        <v>75</v>
      </c>
      <c r="J2887" s="2" t="s">
        <v>76</v>
      </c>
      <c r="K2887" s="2" t="s">
        <v>77</v>
      </c>
      <c r="L2887" s="2" t="s">
        <v>268</v>
      </c>
      <c r="M2887" s="2" t="s">
        <v>269</v>
      </c>
      <c r="N2887" s="2" t="s">
        <v>3163</v>
      </c>
      <c r="O2887" s="2" t="s">
        <v>100</v>
      </c>
      <c r="P2887" s="2" t="str">
        <f>"2170586777                    "</f>
        <v xml:space="preserve">2170586777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7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1.7</v>
      </c>
      <c r="BJ2887" s="2">
        <v>3.2</v>
      </c>
      <c r="BK2887" s="2">
        <v>3.5</v>
      </c>
      <c r="BL2887" s="2">
        <v>72.52</v>
      </c>
      <c r="BM2887" s="2">
        <v>10.15</v>
      </c>
      <c r="BN2887" s="2">
        <v>82.67</v>
      </c>
      <c r="BO2887" s="2">
        <v>82.67</v>
      </c>
      <c r="BP2887" s="2"/>
      <c r="BQ2887" s="2" t="s">
        <v>288</v>
      </c>
      <c r="BR2887" s="2" t="s">
        <v>84</v>
      </c>
      <c r="BS2887" s="3">
        <v>42972</v>
      </c>
      <c r="BT2887" s="4">
        <v>0.35069444444444442</v>
      </c>
      <c r="BU2887" s="2" t="s">
        <v>3164</v>
      </c>
      <c r="BV2887" s="2" t="s">
        <v>95</v>
      </c>
      <c r="BW2887" s="2"/>
      <c r="BX2887" s="2"/>
      <c r="BY2887" s="2">
        <v>16183.36</v>
      </c>
      <c r="BZ2887" s="2" t="s">
        <v>27</v>
      </c>
      <c r="CA2887" s="2"/>
      <c r="CB2887" s="2"/>
      <c r="CC2887" s="2" t="s">
        <v>269</v>
      </c>
      <c r="CD2887" s="2">
        <v>140</v>
      </c>
      <c r="CE2887" s="2" t="s">
        <v>89</v>
      </c>
      <c r="CF2887" s="5">
        <v>42975</v>
      </c>
      <c r="CG2887" s="2"/>
      <c r="CH2887" s="2"/>
      <c r="CI2887" s="2">
        <v>1</v>
      </c>
      <c r="CJ2887" s="2">
        <v>1</v>
      </c>
      <c r="CK2887" s="2">
        <v>21</v>
      </c>
      <c r="CL2887" s="2" t="s">
        <v>86</v>
      </c>
      <c r="CM2887" s="2"/>
    </row>
    <row r="2888" spans="1:91">
      <c r="A2888" s="2" t="s">
        <v>71</v>
      </c>
      <c r="B2888" s="2" t="s">
        <v>72</v>
      </c>
      <c r="C2888" s="2" t="s">
        <v>73</v>
      </c>
      <c r="D2888" s="2"/>
      <c r="E2888" s="2" t="str">
        <f>"FES1162571389"</f>
        <v>FES1162571389</v>
      </c>
      <c r="F2888" s="3">
        <v>42971</v>
      </c>
      <c r="G2888" s="2">
        <v>201802</v>
      </c>
      <c r="H2888" s="2" t="s">
        <v>74</v>
      </c>
      <c r="I2888" s="2" t="s">
        <v>75</v>
      </c>
      <c r="J2888" s="2" t="s">
        <v>76</v>
      </c>
      <c r="K2888" s="2" t="s">
        <v>77</v>
      </c>
      <c r="L2888" s="2" t="s">
        <v>144</v>
      </c>
      <c r="M2888" s="2" t="s">
        <v>145</v>
      </c>
      <c r="N2888" s="2" t="s">
        <v>146</v>
      </c>
      <c r="O2888" s="2" t="s">
        <v>100</v>
      </c>
      <c r="P2888" s="2" t="str">
        <f>"2170587030                    "</f>
        <v xml:space="preserve">2170587030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3.13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1</v>
      </c>
      <c r="BJ2888" s="2">
        <v>0.2</v>
      </c>
      <c r="BK2888" s="2">
        <v>1</v>
      </c>
      <c r="BL2888" s="2">
        <v>32.380000000000003</v>
      </c>
      <c r="BM2888" s="2">
        <v>4.53</v>
      </c>
      <c r="BN2888" s="2">
        <v>36.909999999999997</v>
      </c>
      <c r="BO2888" s="2">
        <v>36.909999999999997</v>
      </c>
      <c r="BP2888" s="2"/>
      <c r="BQ2888" s="2" t="s">
        <v>83</v>
      </c>
      <c r="BR2888" s="2" t="s">
        <v>84</v>
      </c>
      <c r="BS2888" s="3">
        <v>42972</v>
      </c>
      <c r="BT2888" s="4">
        <v>0.3611111111111111</v>
      </c>
      <c r="BU2888" s="2" t="s">
        <v>469</v>
      </c>
      <c r="BV2888" s="2" t="s">
        <v>95</v>
      </c>
      <c r="BW2888" s="2"/>
      <c r="BX2888" s="2"/>
      <c r="BY2888" s="2">
        <v>1200</v>
      </c>
      <c r="BZ2888" s="2"/>
      <c r="CA2888" s="2" t="s">
        <v>729</v>
      </c>
      <c r="CB2888" s="2"/>
      <c r="CC2888" s="2" t="s">
        <v>145</v>
      </c>
      <c r="CD2888" s="2">
        <v>2094</v>
      </c>
      <c r="CE2888" s="2" t="s">
        <v>104</v>
      </c>
      <c r="CF2888" s="5">
        <v>42975</v>
      </c>
      <c r="CG2888" s="2"/>
      <c r="CH2888" s="2"/>
      <c r="CI2888" s="2">
        <v>1</v>
      </c>
      <c r="CJ2888" s="2">
        <v>1</v>
      </c>
      <c r="CK2888" s="2">
        <v>22</v>
      </c>
      <c r="CL2888" s="2" t="s">
        <v>86</v>
      </c>
      <c r="CM2888" s="2"/>
    </row>
    <row r="2889" spans="1:91">
      <c r="A2889" s="2" t="s">
        <v>71</v>
      </c>
      <c r="B2889" s="2" t="s">
        <v>72</v>
      </c>
      <c r="C2889" s="2" t="s">
        <v>73</v>
      </c>
      <c r="D2889" s="2"/>
      <c r="E2889" s="2" t="str">
        <f>"FES1162571206"</f>
        <v>FES1162571206</v>
      </c>
      <c r="F2889" s="3">
        <v>42971</v>
      </c>
      <c r="G2889" s="2">
        <v>201802</v>
      </c>
      <c r="H2889" s="2" t="s">
        <v>74</v>
      </c>
      <c r="I2889" s="2" t="s">
        <v>75</v>
      </c>
      <c r="J2889" s="2" t="s">
        <v>76</v>
      </c>
      <c r="K2889" s="2" t="s">
        <v>77</v>
      </c>
      <c r="L2889" s="2" t="s">
        <v>74</v>
      </c>
      <c r="M2889" s="2" t="s">
        <v>75</v>
      </c>
      <c r="N2889" s="2" t="s">
        <v>833</v>
      </c>
      <c r="O2889" s="2" t="s">
        <v>100</v>
      </c>
      <c r="P2889" s="2" t="str">
        <f>"2170586842                    "</f>
        <v xml:space="preserve">2170586842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3.13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1.9</v>
      </c>
      <c r="BJ2889" s="2">
        <v>1</v>
      </c>
      <c r="BK2889" s="2">
        <v>2</v>
      </c>
      <c r="BL2889" s="2">
        <v>32.380000000000003</v>
      </c>
      <c r="BM2889" s="2">
        <v>4.53</v>
      </c>
      <c r="BN2889" s="2">
        <v>36.909999999999997</v>
      </c>
      <c r="BO2889" s="2">
        <v>36.909999999999997</v>
      </c>
      <c r="BP2889" s="2"/>
      <c r="BQ2889" s="2" t="s">
        <v>83</v>
      </c>
      <c r="BR2889" s="2" t="s">
        <v>84</v>
      </c>
      <c r="BS2889" s="3">
        <v>42972</v>
      </c>
      <c r="BT2889" s="4">
        <v>0.3520833333333333</v>
      </c>
      <c r="BU2889" s="2" t="s">
        <v>834</v>
      </c>
      <c r="BV2889" s="2" t="s">
        <v>95</v>
      </c>
      <c r="BW2889" s="2"/>
      <c r="BX2889" s="2"/>
      <c r="BY2889" s="2">
        <v>4983.76</v>
      </c>
      <c r="BZ2889" s="2" t="s">
        <v>27</v>
      </c>
      <c r="CA2889" s="2" t="s">
        <v>194</v>
      </c>
      <c r="CB2889" s="2"/>
      <c r="CC2889" s="2" t="s">
        <v>75</v>
      </c>
      <c r="CD2889" s="2">
        <v>1666</v>
      </c>
      <c r="CE2889" s="2" t="s">
        <v>89</v>
      </c>
      <c r="CF2889" s="5">
        <v>42975</v>
      </c>
      <c r="CG2889" s="2"/>
      <c r="CH2889" s="2"/>
      <c r="CI2889" s="2">
        <v>1</v>
      </c>
      <c r="CJ2889" s="2">
        <v>1</v>
      </c>
      <c r="CK2889" s="2">
        <v>22</v>
      </c>
      <c r="CL2889" s="2" t="s">
        <v>86</v>
      </c>
      <c r="CM2889" s="2"/>
    </row>
    <row r="2890" spans="1:91">
      <c r="A2890" s="2" t="s">
        <v>71</v>
      </c>
      <c r="B2890" s="2" t="s">
        <v>72</v>
      </c>
      <c r="C2890" s="2" t="s">
        <v>73</v>
      </c>
      <c r="D2890" s="2"/>
      <c r="E2890" s="2" t="str">
        <f>"FES1162571380"</f>
        <v>FES1162571380</v>
      </c>
      <c r="F2890" s="3">
        <v>42971</v>
      </c>
      <c r="G2890" s="2">
        <v>201802</v>
      </c>
      <c r="H2890" s="2" t="s">
        <v>74</v>
      </c>
      <c r="I2890" s="2" t="s">
        <v>75</v>
      </c>
      <c r="J2890" s="2" t="s">
        <v>76</v>
      </c>
      <c r="K2890" s="2" t="s">
        <v>77</v>
      </c>
      <c r="L2890" s="2" t="s">
        <v>74</v>
      </c>
      <c r="M2890" s="2" t="s">
        <v>75</v>
      </c>
      <c r="N2890" s="2" t="s">
        <v>567</v>
      </c>
      <c r="O2890" s="2" t="s">
        <v>100</v>
      </c>
      <c r="P2890" s="2" t="str">
        <f>"2170587017                    "</f>
        <v xml:space="preserve">2170587017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3.13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</v>
      </c>
      <c r="BJ2890" s="2">
        <v>0.2</v>
      </c>
      <c r="BK2890" s="2">
        <v>1</v>
      </c>
      <c r="BL2890" s="2">
        <v>32.380000000000003</v>
      </c>
      <c r="BM2890" s="2">
        <v>4.53</v>
      </c>
      <c r="BN2890" s="2">
        <v>36.909999999999997</v>
      </c>
      <c r="BO2890" s="2">
        <v>36.909999999999997</v>
      </c>
      <c r="BP2890" s="2"/>
      <c r="BQ2890" s="2" t="s">
        <v>288</v>
      </c>
      <c r="BR2890" s="2" t="s">
        <v>84</v>
      </c>
      <c r="BS2890" s="3">
        <v>42972</v>
      </c>
      <c r="BT2890" s="4">
        <v>0.3659722222222222</v>
      </c>
      <c r="BU2890" s="2" t="s">
        <v>569</v>
      </c>
      <c r="BV2890" s="2" t="s">
        <v>95</v>
      </c>
      <c r="BW2890" s="2"/>
      <c r="BX2890" s="2"/>
      <c r="BY2890" s="2">
        <v>1200</v>
      </c>
      <c r="BZ2890" s="2"/>
      <c r="CA2890" s="2" t="s">
        <v>570</v>
      </c>
      <c r="CB2890" s="2"/>
      <c r="CC2890" s="2" t="s">
        <v>75</v>
      </c>
      <c r="CD2890" s="2">
        <v>1682</v>
      </c>
      <c r="CE2890" s="2" t="s">
        <v>104</v>
      </c>
      <c r="CF2890" s="5">
        <v>42975</v>
      </c>
      <c r="CG2890" s="2"/>
      <c r="CH2890" s="2"/>
      <c r="CI2890" s="2">
        <v>1</v>
      </c>
      <c r="CJ2890" s="2">
        <v>1</v>
      </c>
      <c r="CK2890" s="2">
        <v>22</v>
      </c>
      <c r="CL2890" s="2" t="s">
        <v>86</v>
      </c>
      <c r="CM2890" s="2"/>
    </row>
    <row r="2891" spans="1:91">
      <c r="A2891" s="2" t="s">
        <v>71</v>
      </c>
      <c r="B2891" s="2" t="s">
        <v>72</v>
      </c>
      <c r="C2891" s="2" t="s">
        <v>73</v>
      </c>
      <c r="D2891" s="2"/>
      <c r="E2891" s="2" t="str">
        <f>"FES1162571341"</f>
        <v>FES1162571341</v>
      </c>
      <c r="F2891" s="3">
        <v>42971</v>
      </c>
      <c r="G2891" s="2">
        <v>201802</v>
      </c>
      <c r="H2891" s="2" t="s">
        <v>74</v>
      </c>
      <c r="I2891" s="2" t="s">
        <v>75</v>
      </c>
      <c r="J2891" s="2" t="s">
        <v>76</v>
      </c>
      <c r="K2891" s="2" t="s">
        <v>77</v>
      </c>
      <c r="L2891" s="2" t="s">
        <v>221</v>
      </c>
      <c r="M2891" s="2" t="s">
        <v>222</v>
      </c>
      <c r="N2891" s="2" t="s">
        <v>1275</v>
      </c>
      <c r="O2891" s="2" t="s">
        <v>100</v>
      </c>
      <c r="P2891" s="2" t="str">
        <f>"2170586988                    "</f>
        <v xml:space="preserve">2170586988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4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1</v>
      </c>
      <c r="BI2891" s="2">
        <v>1</v>
      </c>
      <c r="BJ2891" s="2">
        <v>0.2</v>
      </c>
      <c r="BK2891" s="2">
        <v>1</v>
      </c>
      <c r="BL2891" s="2">
        <v>41.44</v>
      </c>
      <c r="BM2891" s="2">
        <v>5.8</v>
      </c>
      <c r="BN2891" s="2">
        <v>47.24</v>
      </c>
      <c r="BO2891" s="2">
        <v>47.24</v>
      </c>
      <c r="BP2891" s="2"/>
      <c r="BQ2891" s="2" t="s">
        <v>227</v>
      </c>
      <c r="BR2891" s="2" t="s">
        <v>84</v>
      </c>
      <c r="BS2891" s="3">
        <v>42972</v>
      </c>
      <c r="BT2891" s="4">
        <v>0.375</v>
      </c>
      <c r="BU2891" s="2" t="s">
        <v>1535</v>
      </c>
      <c r="BV2891" s="2" t="s">
        <v>95</v>
      </c>
      <c r="BW2891" s="2"/>
      <c r="BX2891" s="2"/>
      <c r="BY2891" s="2">
        <v>1200</v>
      </c>
      <c r="BZ2891" s="2"/>
      <c r="CA2891" s="2" t="s">
        <v>1536</v>
      </c>
      <c r="CB2891" s="2"/>
      <c r="CC2891" s="2" t="s">
        <v>222</v>
      </c>
      <c r="CD2891" s="2">
        <v>4300</v>
      </c>
      <c r="CE2891" s="2" t="s">
        <v>104</v>
      </c>
      <c r="CF2891" s="5">
        <v>42975</v>
      </c>
      <c r="CG2891" s="2"/>
      <c r="CH2891" s="2"/>
      <c r="CI2891" s="2">
        <v>1</v>
      </c>
      <c r="CJ2891" s="2">
        <v>1</v>
      </c>
      <c r="CK2891" s="2">
        <v>21</v>
      </c>
      <c r="CL2891" s="2" t="s">
        <v>86</v>
      </c>
      <c r="CM2891" s="2"/>
    </row>
    <row r="2892" spans="1:91">
      <c r="A2892" s="2" t="s">
        <v>71</v>
      </c>
      <c r="B2892" s="2" t="s">
        <v>72</v>
      </c>
      <c r="C2892" s="2" t="s">
        <v>73</v>
      </c>
      <c r="D2892" s="2"/>
      <c r="E2892" s="2" t="str">
        <f>"FES1162571133"</f>
        <v>FES1162571133</v>
      </c>
      <c r="F2892" s="3">
        <v>42971</v>
      </c>
      <c r="G2892" s="2">
        <v>201802</v>
      </c>
      <c r="H2892" s="2" t="s">
        <v>74</v>
      </c>
      <c r="I2892" s="2" t="s">
        <v>75</v>
      </c>
      <c r="J2892" s="2" t="s">
        <v>76</v>
      </c>
      <c r="K2892" s="2" t="s">
        <v>77</v>
      </c>
      <c r="L2892" s="2" t="s">
        <v>221</v>
      </c>
      <c r="M2892" s="2" t="s">
        <v>222</v>
      </c>
      <c r="N2892" s="2" t="s">
        <v>223</v>
      </c>
      <c r="O2892" s="2" t="s">
        <v>100</v>
      </c>
      <c r="P2892" s="2" t="str">
        <f>"2170586779                    "</f>
        <v xml:space="preserve">2170586779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4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1</v>
      </c>
      <c r="BJ2892" s="2">
        <v>0.2</v>
      </c>
      <c r="BK2892" s="2">
        <v>1</v>
      </c>
      <c r="BL2892" s="2">
        <v>41.44</v>
      </c>
      <c r="BM2892" s="2">
        <v>5.8</v>
      </c>
      <c r="BN2892" s="2">
        <v>47.24</v>
      </c>
      <c r="BO2892" s="2">
        <v>47.24</v>
      </c>
      <c r="BP2892" s="2"/>
      <c r="BQ2892" s="2" t="s">
        <v>108</v>
      </c>
      <c r="BR2892" s="2" t="s">
        <v>84</v>
      </c>
      <c r="BS2892" s="3">
        <v>42972</v>
      </c>
      <c r="BT2892" s="4">
        <v>0.35347222222222219</v>
      </c>
      <c r="BU2892" s="2" t="s">
        <v>719</v>
      </c>
      <c r="BV2892" s="2" t="s">
        <v>95</v>
      </c>
      <c r="BW2892" s="2"/>
      <c r="BX2892" s="2"/>
      <c r="BY2892" s="2">
        <v>1200</v>
      </c>
      <c r="BZ2892" s="2" t="s">
        <v>27</v>
      </c>
      <c r="CA2892" s="2" t="s">
        <v>934</v>
      </c>
      <c r="CB2892" s="2"/>
      <c r="CC2892" s="2" t="s">
        <v>222</v>
      </c>
      <c r="CD2892" s="2">
        <v>4300</v>
      </c>
      <c r="CE2892" s="2" t="s">
        <v>104</v>
      </c>
      <c r="CF2892" s="5">
        <v>42975</v>
      </c>
      <c r="CG2892" s="2"/>
      <c r="CH2892" s="2"/>
      <c r="CI2892" s="2">
        <v>1</v>
      </c>
      <c r="CJ2892" s="2">
        <v>1</v>
      </c>
      <c r="CK2892" s="2">
        <v>21</v>
      </c>
      <c r="CL2892" s="2" t="s">
        <v>86</v>
      </c>
      <c r="CM2892" s="2"/>
    </row>
    <row r="2893" spans="1:91">
      <c r="A2893" s="2" t="s">
        <v>71</v>
      </c>
      <c r="B2893" s="2" t="s">
        <v>72</v>
      </c>
      <c r="C2893" s="2" t="s">
        <v>73</v>
      </c>
      <c r="D2893" s="2"/>
      <c r="E2893" s="2" t="str">
        <f>"FES1162571377"</f>
        <v>FES1162571377</v>
      </c>
      <c r="F2893" s="3">
        <v>42971</v>
      </c>
      <c r="G2893" s="2">
        <v>201802</v>
      </c>
      <c r="H2893" s="2" t="s">
        <v>74</v>
      </c>
      <c r="I2893" s="2" t="s">
        <v>75</v>
      </c>
      <c r="J2893" s="2" t="s">
        <v>76</v>
      </c>
      <c r="K2893" s="2" t="s">
        <v>77</v>
      </c>
      <c r="L2893" s="2" t="s">
        <v>164</v>
      </c>
      <c r="M2893" s="2" t="s">
        <v>165</v>
      </c>
      <c r="N2893" s="2" t="s">
        <v>166</v>
      </c>
      <c r="O2893" s="2" t="s">
        <v>100</v>
      </c>
      <c r="P2893" s="2" t="str">
        <f>"2170585953                    "</f>
        <v xml:space="preserve">2170585953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4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1</v>
      </c>
      <c r="BJ2893" s="2">
        <v>0.2</v>
      </c>
      <c r="BK2893" s="2">
        <v>1</v>
      </c>
      <c r="BL2893" s="2">
        <v>41.44</v>
      </c>
      <c r="BM2893" s="2">
        <v>5.8</v>
      </c>
      <c r="BN2893" s="2">
        <v>47.24</v>
      </c>
      <c r="BO2893" s="2">
        <v>47.24</v>
      </c>
      <c r="BP2893" s="2"/>
      <c r="BQ2893" s="2" t="s">
        <v>83</v>
      </c>
      <c r="BR2893" s="2" t="s">
        <v>84</v>
      </c>
      <c r="BS2893" s="3">
        <v>42972</v>
      </c>
      <c r="BT2893" s="4">
        <v>0.38472222222222219</v>
      </c>
      <c r="BU2893" s="2" t="s">
        <v>167</v>
      </c>
      <c r="BV2893" s="2" t="s">
        <v>95</v>
      </c>
      <c r="BW2893" s="2"/>
      <c r="BX2893" s="2"/>
      <c r="BY2893" s="2">
        <v>1200</v>
      </c>
      <c r="BZ2893" s="2"/>
      <c r="CA2893" s="2" t="s">
        <v>168</v>
      </c>
      <c r="CB2893" s="2"/>
      <c r="CC2893" s="2" t="s">
        <v>165</v>
      </c>
      <c r="CD2893" s="2">
        <v>6849</v>
      </c>
      <c r="CE2893" s="2" t="s">
        <v>104</v>
      </c>
      <c r="CF2893" s="5">
        <v>42975</v>
      </c>
      <c r="CG2893" s="2"/>
      <c r="CH2893" s="2"/>
      <c r="CI2893" s="2">
        <v>3</v>
      </c>
      <c r="CJ2893" s="2">
        <v>1</v>
      </c>
      <c r="CK2893" s="2">
        <v>21</v>
      </c>
      <c r="CL2893" s="2" t="s">
        <v>86</v>
      </c>
      <c r="CM2893" s="2"/>
    </row>
    <row r="2894" spans="1:91">
      <c r="A2894" s="2" t="s">
        <v>71</v>
      </c>
      <c r="B2894" s="2" t="s">
        <v>72</v>
      </c>
      <c r="C2894" s="2" t="s">
        <v>73</v>
      </c>
      <c r="D2894" s="2"/>
      <c r="E2894" s="2" t="str">
        <f>"FES1162571153"</f>
        <v>FES1162571153</v>
      </c>
      <c r="F2894" s="3">
        <v>42971</v>
      </c>
      <c r="G2894" s="2">
        <v>201802</v>
      </c>
      <c r="H2894" s="2" t="s">
        <v>74</v>
      </c>
      <c r="I2894" s="2" t="s">
        <v>75</v>
      </c>
      <c r="J2894" s="2" t="s">
        <v>76</v>
      </c>
      <c r="K2894" s="2" t="s">
        <v>77</v>
      </c>
      <c r="L2894" s="2" t="s">
        <v>221</v>
      </c>
      <c r="M2894" s="2" t="s">
        <v>222</v>
      </c>
      <c r="N2894" s="2" t="s">
        <v>675</v>
      </c>
      <c r="O2894" s="2" t="s">
        <v>100</v>
      </c>
      <c r="P2894" s="2" t="str">
        <f>"2170583831                    "</f>
        <v xml:space="preserve">2170583831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4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1</v>
      </c>
      <c r="BJ2894" s="2">
        <v>0.2</v>
      </c>
      <c r="BK2894" s="2">
        <v>1</v>
      </c>
      <c r="BL2894" s="2">
        <v>41.44</v>
      </c>
      <c r="BM2894" s="2">
        <v>5.8</v>
      </c>
      <c r="BN2894" s="2">
        <v>47.24</v>
      </c>
      <c r="BO2894" s="2">
        <v>47.24</v>
      </c>
      <c r="BP2894" s="2"/>
      <c r="BQ2894" s="2" t="s">
        <v>83</v>
      </c>
      <c r="BR2894" s="2" t="s">
        <v>84</v>
      </c>
      <c r="BS2894" s="3">
        <v>42972</v>
      </c>
      <c r="BT2894" s="4">
        <v>0.37013888888888885</v>
      </c>
      <c r="BU2894" s="2" t="s">
        <v>2508</v>
      </c>
      <c r="BV2894" s="2" t="s">
        <v>95</v>
      </c>
      <c r="BW2894" s="2"/>
      <c r="BX2894" s="2"/>
      <c r="BY2894" s="2">
        <v>1200</v>
      </c>
      <c r="BZ2894" s="2" t="s">
        <v>27</v>
      </c>
      <c r="CA2894" s="2" t="s">
        <v>934</v>
      </c>
      <c r="CB2894" s="2"/>
      <c r="CC2894" s="2" t="s">
        <v>222</v>
      </c>
      <c r="CD2894" s="2">
        <v>4300</v>
      </c>
      <c r="CE2894" s="2" t="s">
        <v>104</v>
      </c>
      <c r="CF2894" s="5">
        <v>42975</v>
      </c>
      <c r="CG2894" s="2"/>
      <c r="CH2894" s="2"/>
      <c r="CI2894" s="2">
        <v>1</v>
      </c>
      <c r="CJ2894" s="2">
        <v>1</v>
      </c>
      <c r="CK2894" s="2">
        <v>21</v>
      </c>
      <c r="CL2894" s="2" t="s">
        <v>86</v>
      </c>
      <c r="CM2894" s="2"/>
    </row>
    <row r="2895" spans="1:91">
      <c r="A2895" s="2" t="s">
        <v>71</v>
      </c>
      <c r="B2895" s="2" t="s">
        <v>72</v>
      </c>
      <c r="C2895" s="2" t="s">
        <v>73</v>
      </c>
      <c r="D2895" s="2"/>
      <c r="E2895" s="2" t="str">
        <f>"FES1162571116"</f>
        <v>FES1162571116</v>
      </c>
      <c r="F2895" s="3">
        <v>42971</v>
      </c>
      <c r="G2895" s="2">
        <v>201802</v>
      </c>
      <c r="H2895" s="2" t="s">
        <v>74</v>
      </c>
      <c r="I2895" s="2" t="s">
        <v>75</v>
      </c>
      <c r="J2895" s="2" t="s">
        <v>76</v>
      </c>
      <c r="K2895" s="2" t="s">
        <v>77</v>
      </c>
      <c r="L2895" s="2" t="s">
        <v>268</v>
      </c>
      <c r="M2895" s="2" t="s">
        <v>269</v>
      </c>
      <c r="N2895" s="2" t="s">
        <v>1166</v>
      </c>
      <c r="O2895" s="2" t="s">
        <v>100</v>
      </c>
      <c r="P2895" s="2" t="str">
        <f>"2170585750                    "</f>
        <v xml:space="preserve">2170585750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4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1</v>
      </c>
      <c r="BJ2895" s="2">
        <v>0.2</v>
      </c>
      <c r="BK2895" s="2">
        <v>1</v>
      </c>
      <c r="BL2895" s="2">
        <v>41.44</v>
      </c>
      <c r="BM2895" s="2">
        <v>5.8</v>
      </c>
      <c r="BN2895" s="2">
        <v>47.24</v>
      </c>
      <c r="BO2895" s="2">
        <v>47.24</v>
      </c>
      <c r="BP2895" s="2"/>
      <c r="BQ2895" s="2" t="s">
        <v>108</v>
      </c>
      <c r="BR2895" s="2" t="s">
        <v>84</v>
      </c>
      <c r="BS2895" s="3">
        <v>42972</v>
      </c>
      <c r="BT2895" s="4">
        <v>0.4201388888888889</v>
      </c>
      <c r="BU2895" s="2" t="s">
        <v>3165</v>
      </c>
      <c r="BV2895" s="2" t="s">
        <v>95</v>
      </c>
      <c r="BW2895" s="2"/>
      <c r="BX2895" s="2"/>
      <c r="BY2895" s="2">
        <v>1200</v>
      </c>
      <c r="BZ2895" s="2" t="s">
        <v>27</v>
      </c>
      <c r="CA2895" s="2"/>
      <c r="CB2895" s="2"/>
      <c r="CC2895" s="2" t="s">
        <v>269</v>
      </c>
      <c r="CD2895" s="2">
        <v>200</v>
      </c>
      <c r="CE2895" s="2" t="s">
        <v>104</v>
      </c>
      <c r="CF2895" s="5">
        <v>42975</v>
      </c>
      <c r="CG2895" s="2"/>
      <c r="CH2895" s="2"/>
      <c r="CI2895" s="2">
        <v>1</v>
      </c>
      <c r="CJ2895" s="2">
        <v>1</v>
      </c>
      <c r="CK2895" s="2">
        <v>21</v>
      </c>
      <c r="CL2895" s="2" t="s">
        <v>86</v>
      </c>
      <c r="CM2895" s="2"/>
    </row>
    <row r="2896" spans="1:91">
      <c r="A2896" s="2" t="s">
        <v>71</v>
      </c>
      <c r="B2896" s="2" t="s">
        <v>72</v>
      </c>
      <c r="C2896" s="2" t="s">
        <v>73</v>
      </c>
      <c r="D2896" s="2"/>
      <c r="E2896" s="2" t="str">
        <f>"FES1162571384"</f>
        <v>FES1162571384</v>
      </c>
      <c r="F2896" s="3">
        <v>42971</v>
      </c>
      <c r="G2896" s="2">
        <v>201802</v>
      </c>
      <c r="H2896" s="2" t="s">
        <v>74</v>
      </c>
      <c r="I2896" s="2" t="s">
        <v>75</v>
      </c>
      <c r="J2896" s="2" t="s">
        <v>76</v>
      </c>
      <c r="K2896" s="2" t="s">
        <v>77</v>
      </c>
      <c r="L2896" s="2" t="s">
        <v>105</v>
      </c>
      <c r="M2896" s="2" t="s">
        <v>106</v>
      </c>
      <c r="N2896" s="2" t="s">
        <v>107</v>
      </c>
      <c r="O2896" s="2" t="s">
        <v>100</v>
      </c>
      <c r="P2896" s="2" t="str">
        <f>"2170586805                    "</f>
        <v xml:space="preserve">2170586805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6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2.7</v>
      </c>
      <c r="BJ2896" s="2">
        <v>1.7</v>
      </c>
      <c r="BK2896" s="2">
        <v>3</v>
      </c>
      <c r="BL2896" s="2">
        <v>62.16</v>
      </c>
      <c r="BM2896" s="2">
        <v>8.6999999999999993</v>
      </c>
      <c r="BN2896" s="2">
        <v>70.86</v>
      </c>
      <c r="BO2896" s="2">
        <v>70.86</v>
      </c>
      <c r="BP2896" s="2"/>
      <c r="BQ2896" s="2" t="s">
        <v>108</v>
      </c>
      <c r="BR2896" s="2" t="s">
        <v>84</v>
      </c>
      <c r="BS2896" s="3">
        <v>42972</v>
      </c>
      <c r="BT2896" s="4">
        <v>0.4055555555555555</v>
      </c>
      <c r="BU2896" s="2" t="s">
        <v>236</v>
      </c>
      <c r="BV2896" s="2" t="s">
        <v>95</v>
      </c>
      <c r="BW2896" s="2"/>
      <c r="BX2896" s="2"/>
      <c r="BY2896" s="2">
        <v>8469.94</v>
      </c>
      <c r="BZ2896" s="2"/>
      <c r="CA2896" s="2" t="s">
        <v>112</v>
      </c>
      <c r="CB2896" s="2"/>
      <c r="CC2896" s="2" t="s">
        <v>106</v>
      </c>
      <c r="CD2896" s="2">
        <v>7405</v>
      </c>
      <c r="CE2896" s="2" t="s">
        <v>89</v>
      </c>
      <c r="CF2896" s="5">
        <v>42975</v>
      </c>
      <c r="CG2896" s="2"/>
      <c r="CH2896" s="2"/>
      <c r="CI2896" s="2">
        <v>1</v>
      </c>
      <c r="CJ2896" s="2">
        <v>1</v>
      </c>
      <c r="CK2896" s="2">
        <v>21</v>
      </c>
      <c r="CL2896" s="2" t="s">
        <v>86</v>
      </c>
      <c r="CM2896" s="2"/>
    </row>
    <row r="2897" spans="1:91">
      <c r="A2897" s="2" t="s">
        <v>71</v>
      </c>
      <c r="B2897" s="2" t="s">
        <v>72</v>
      </c>
      <c r="C2897" s="2" t="s">
        <v>73</v>
      </c>
      <c r="D2897" s="2"/>
      <c r="E2897" s="2" t="str">
        <f>"FES1162571145"</f>
        <v>FES1162571145</v>
      </c>
      <c r="F2897" s="3">
        <v>42971</v>
      </c>
      <c r="G2897" s="2">
        <v>201802</v>
      </c>
      <c r="H2897" s="2" t="s">
        <v>74</v>
      </c>
      <c r="I2897" s="2" t="s">
        <v>75</v>
      </c>
      <c r="J2897" s="2" t="s">
        <v>76</v>
      </c>
      <c r="K2897" s="2" t="s">
        <v>77</v>
      </c>
      <c r="L2897" s="2" t="s">
        <v>268</v>
      </c>
      <c r="M2897" s="2" t="s">
        <v>269</v>
      </c>
      <c r="N2897" s="2" t="s">
        <v>982</v>
      </c>
      <c r="O2897" s="2" t="s">
        <v>100</v>
      </c>
      <c r="P2897" s="2" t="str">
        <f>"2170575511                    "</f>
        <v xml:space="preserve">2170575511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4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1</v>
      </c>
      <c r="BJ2897" s="2">
        <v>0.2</v>
      </c>
      <c r="BK2897" s="2">
        <v>1</v>
      </c>
      <c r="BL2897" s="2">
        <v>41.44</v>
      </c>
      <c r="BM2897" s="2">
        <v>5.8</v>
      </c>
      <c r="BN2897" s="2">
        <v>47.24</v>
      </c>
      <c r="BO2897" s="2">
        <v>47.24</v>
      </c>
      <c r="BP2897" s="2"/>
      <c r="BQ2897" s="2" t="s">
        <v>108</v>
      </c>
      <c r="BR2897" s="2" t="s">
        <v>84</v>
      </c>
      <c r="BS2897" s="3">
        <v>42972</v>
      </c>
      <c r="BT2897" s="4">
        <v>0.41666666666666669</v>
      </c>
      <c r="BU2897" s="2" t="s">
        <v>3166</v>
      </c>
      <c r="BV2897" s="2" t="s">
        <v>95</v>
      </c>
      <c r="BW2897" s="2"/>
      <c r="BX2897" s="2"/>
      <c r="BY2897" s="2">
        <v>1200</v>
      </c>
      <c r="BZ2897" s="2" t="s">
        <v>27</v>
      </c>
      <c r="CA2897" s="2"/>
      <c r="CB2897" s="2"/>
      <c r="CC2897" s="2" t="s">
        <v>269</v>
      </c>
      <c r="CD2897" s="2">
        <v>200</v>
      </c>
      <c r="CE2897" s="2" t="s">
        <v>104</v>
      </c>
      <c r="CF2897" s="5">
        <v>42975</v>
      </c>
      <c r="CG2897" s="2"/>
      <c r="CH2897" s="2"/>
      <c r="CI2897" s="2">
        <v>1</v>
      </c>
      <c r="CJ2897" s="2">
        <v>1</v>
      </c>
      <c r="CK2897" s="2">
        <v>21</v>
      </c>
      <c r="CL2897" s="2" t="s">
        <v>86</v>
      </c>
      <c r="CM2897" s="2"/>
    </row>
    <row r="2898" spans="1:91">
      <c r="A2898" s="2" t="s">
        <v>71</v>
      </c>
      <c r="B2898" s="2" t="s">
        <v>72</v>
      </c>
      <c r="C2898" s="2" t="s">
        <v>73</v>
      </c>
      <c r="D2898" s="2"/>
      <c r="E2898" s="2" t="str">
        <f>"FES1162571297"</f>
        <v>FES1162571297</v>
      </c>
      <c r="F2898" s="3">
        <v>42971</v>
      </c>
      <c r="G2898" s="2">
        <v>201802</v>
      </c>
      <c r="H2898" s="2" t="s">
        <v>74</v>
      </c>
      <c r="I2898" s="2" t="s">
        <v>75</v>
      </c>
      <c r="J2898" s="2" t="s">
        <v>76</v>
      </c>
      <c r="K2898" s="2" t="s">
        <v>77</v>
      </c>
      <c r="L2898" s="2" t="s">
        <v>237</v>
      </c>
      <c r="M2898" s="2" t="s">
        <v>238</v>
      </c>
      <c r="N2898" s="2" t="s">
        <v>3167</v>
      </c>
      <c r="O2898" s="2" t="s">
        <v>100</v>
      </c>
      <c r="P2898" s="2" t="str">
        <f>"2170586935                    "</f>
        <v xml:space="preserve">2170586935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37.020000000000003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8</v>
      </c>
      <c r="BJ2898" s="2">
        <v>18.3</v>
      </c>
      <c r="BK2898" s="2">
        <v>18.5</v>
      </c>
      <c r="BL2898" s="2">
        <v>383.34</v>
      </c>
      <c r="BM2898" s="2">
        <v>53.67</v>
      </c>
      <c r="BN2898" s="2">
        <v>437.01</v>
      </c>
      <c r="BO2898" s="2">
        <v>437.01</v>
      </c>
      <c r="BP2898" s="2"/>
      <c r="BQ2898" s="2" t="s">
        <v>288</v>
      </c>
      <c r="BR2898" s="2" t="s">
        <v>84</v>
      </c>
      <c r="BS2898" s="3">
        <v>42972</v>
      </c>
      <c r="BT2898" s="4">
        <v>0.33611111111111108</v>
      </c>
      <c r="BU2898" s="2" t="s">
        <v>3168</v>
      </c>
      <c r="BV2898" s="2" t="s">
        <v>95</v>
      </c>
      <c r="BW2898" s="2"/>
      <c r="BX2898" s="2"/>
      <c r="BY2898" s="2">
        <v>91264</v>
      </c>
      <c r="BZ2898" s="2"/>
      <c r="CA2898" s="2" t="s">
        <v>2641</v>
      </c>
      <c r="CB2898" s="2"/>
      <c r="CC2898" s="2" t="s">
        <v>238</v>
      </c>
      <c r="CD2898" s="2">
        <v>3610</v>
      </c>
      <c r="CE2898" s="2" t="s">
        <v>89</v>
      </c>
      <c r="CF2898" s="5">
        <v>42975</v>
      </c>
      <c r="CG2898" s="2"/>
      <c r="CH2898" s="2"/>
      <c r="CI2898" s="2">
        <v>1</v>
      </c>
      <c r="CJ2898" s="2">
        <v>1</v>
      </c>
      <c r="CK2898" s="2">
        <v>21</v>
      </c>
      <c r="CL2898" s="2" t="s">
        <v>86</v>
      </c>
      <c r="CM2898" s="2"/>
    </row>
    <row r="2899" spans="1:91">
      <c r="A2899" s="2" t="s">
        <v>71</v>
      </c>
      <c r="B2899" s="2" t="s">
        <v>72</v>
      </c>
      <c r="C2899" s="2" t="s">
        <v>73</v>
      </c>
      <c r="D2899" s="2"/>
      <c r="E2899" s="2" t="str">
        <f>"FES1162571238"</f>
        <v>FES1162571238</v>
      </c>
      <c r="F2899" s="3">
        <v>42971</v>
      </c>
      <c r="G2899" s="2">
        <v>201802</v>
      </c>
      <c r="H2899" s="2" t="s">
        <v>74</v>
      </c>
      <c r="I2899" s="2" t="s">
        <v>75</v>
      </c>
      <c r="J2899" s="2" t="s">
        <v>76</v>
      </c>
      <c r="K2899" s="2" t="s">
        <v>77</v>
      </c>
      <c r="L2899" s="2" t="s">
        <v>170</v>
      </c>
      <c r="M2899" s="2" t="s">
        <v>171</v>
      </c>
      <c r="N2899" s="2" t="s">
        <v>2904</v>
      </c>
      <c r="O2899" s="2" t="s">
        <v>100</v>
      </c>
      <c r="P2899" s="2" t="str">
        <f>"2170586874                    "</f>
        <v xml:space="preserve">2170586874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3.13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1</v>
      </c>
      <c r="BI2899" s="2">
        <v>1.8</v>
      </c>
      <c r="BJ2899" s="2">
        <v>1.6</v>
      </c>
      <c r="BK2899" s="2">
        <v>2</v>
      </c>
      <c r="BL2899" s="2">
        <v>32.380000000000003</v>
      </c>
      <c r="BM2899" s="2">
        <v>4.53</v>
      </c>
      <c r="BN2899" s="2">
        <v>36.909999999999997</v>
      </c>
      <c r="BO2899" s="2">
        <v>36.909999999999997</v>
      </c>
      <c r="BP2899" s="2"/>
      <c r="BQ2899" s="2" t="s">
        <v>288</v>
      </c>
      <c r="BR2899" s="2" t="s">
        <v>84</v>
      </c>
      <c r="BS2899" s="3">
        <v>42972</v>
      </c>
      <c r="BT2899" s="4">
        <v>0.48958333333333331</v>
      </c>
      <c r="BU2899" s="2" t="s">
        <v>3169</v>
      </c>
      <c r="BV2899" s="2" t="s">
        <v>86</v>
      </c>
      <c r="BW2899" s="2" t="s">
        <v>124</v>
      </c>
      <c r="BX2899" s="2" t="s">
        <v>1024</v>
      </c>
      <c r="BY2899" s="2">
        <v>8128.89</v>
      </c>
      <c r="BZ2899" s="2" t="s">
        <v>27</v>
      </c>
      <c r="CA2899" s="2" t="s">
        <v>492</v>
      </c>
      <c r="CB2899" s="2"/>
      <c r="CC2899" s="2" t="s">
        <v>171</v>
      </c>
      <c r="CD2899" s="2">
        <v>1422</v>
      </c>
      <c r="CE2899" s="2" t="s">
        <v>104</v>
      </c>
      <c r="CF2899" s="5">
        <v>42975</v>
      </c>
      <c r="CG2899" s="2"/>
      <c r="CH2899" s="2"/>
      <c r="CI2899" s="2">
        <v>1</v>
      </c>
      <c r="CJ2899" s="2">
        <v>1</v>
      </c>
      <c r="CK2899" s="2">
        <v>22</v>
      </c>
      <c r="CL2899" s="2" t="s">
        <v>86</v>
      </c>
      <c r="CM2899" s="2"/>
    </row>
    <row r="2900" spans="1:91">
      <c r="A2900" s="2" t="s">
        <v>71</v>
      </c>
      <c r="B2900" s="2" t="s">
        <v>72</v>
      </c>
      <c r="C2900" s="2" t="s">
        <v>73</v>
      </c>
      <c r="D2900" s="2"/>
      <c r="E2900" s="2" t="str">
        <f>"FES1162571304"</f>
        <v>FES1162571304</v>
      </c>
      <c r="F2900" s="3">
        <v>42971</v>
      </c>
      <c r="G2900" s="2">
        <v>201802</v>
      </c>
      <c r="H2900" s="2" t="s">
        <v>74</v>
      </c>
      <c r="I2900" s="2" t="s">
        <v>75</v>
      </c>
      <c r="J2900" s="2" t="s">
        <v>76</v>
      </c>
      <c r="K2900" s="2" t="s">
        <v>77</v>
      </c>
      <c r="L2900" s="2" t="s">
        <v>97</v>
      </c>
      <c r="M2900" s="2" t="s">
        <v>98</v>
      </c>
      <c r="N2900" s="2" t="s">
        <v>1044</v>
      </c>
      <c r="O2900" s="2" t="s">
        <v>100</v>
      </c>
      <c r="P2900" s="2" t="str">
        <f>"2170586950                    "</f>
        <v xml:space="preserve">2170586950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16.010000000000002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4.3</v>
      </c>
      <c r="BJ2900" s="2">
        <v>7.7</v>
      </c>
      <c r="BK2900" s="2">
        <v>8</v>
      </c>
      <c r="BL2900" s="2">
        <v>165.77</v>
      </c>
      <c r="BM2900" s="2">
        <v>23.21</v>
      </c>
      <c r="BN2900" s="2">
        <v>188.98</v>
      </c>
      <c r="BO2900" s="2">
        <v>188.98</v>
      </c>
      <c r="BP2900" s="2"/>
      <c r="BQ2900" s="2" t="s">
        <v>288</v>
      </c>
      <c r="BR2900" s="2" t="s">
        <v>84</v>
      </c>
      <c r="BS2900" s="3">
        <v>42972</v>
      </c>
      <c r="BT2900" s="4">
        <v>0.56597222222222221</v>
      </c>
      <c r="BU2900" s="2" t="s">
        <v>1046</v>
      </c>
      <c r="BV2900" s="2" t="s">
        <v>86</v>
      </c>
      <c r="BW2900" s="2" t="s">
        <v>115</v>
      </c>
      <c r="BX2900" s="2" t="s">
        <v>1028</v>
      </c>
      <c r="BY2900" s="2">
        <v>38340.9</v>
      </c>
      <c r="BZ2900" s="2"/>
      <c r="CA2900" s="2" t="s">
        <v>1047</v>
      </c>
      <c r="CB2900" s="2"/>
      <c r="CC2900" s="2" t="s">
        <v>98</v>
      </c>
      <c r="CD2900" s="2">
        <v>6045</v>
      </c>
      <c r="CE2900" s="2" t="s">
        <v>89</v>
      </c>
      <c r="CF2900" s="5">
        <v>42975</v>
      </c>
      <c r="CG2900" s="2"/>
      <c r="CH2900" s="2"/>
      <c r="CI2900" s="2">
        <v>1</v>
      </c>
      <c r="CJ2900" s="2">
        <v>1</v>
      </c>
      <c r="CK2900" s="2">
        <v>21</v>
      </c>
      <c r="CL2900" s="2" t="s">
        <v>86</v>
      </c>
      <c r="CM2900" s="2"/>
    </row>
    <row r="2901" spans="1:91">
      <c r="A2901" s="2" t="s">
        <v>71</v>
      </c>
      <c r="B2901" s="2" t="s">
        <v>72</v>
      </c>
      <c r="C2901" s="2" t="s">
        <v>73</v>
      </c>
      <c r="D2901" s="2"/>
      <c r="E2901" s="2" t="str">
        <f>"FES1162571244"</f>
        <v>FES1162571244</v>
      </c>
      <c r="F2901" s="3">
        <v>42971</v>
      </c>
      <c r="G2901" s="2">
        <v>201802</v>
      </c>
      <c r="H2901" s="2" t="s">
        <v>74</v>
      </c>
      <c r="I2901" s="2" t="s">
        <v>75</v>
      </c>
      <c r="J2901" s="2" t="s">
        <v>76</v>
      </c>
      <c r="K2901" s="2" t="s">
        <v>77</v>
      </c>
      <c r="L2901" s="2" t="s">
        <v>144</v>
      </c>
      <c r="M2901" s="2" t="s">
        <v>145</v>
      </c>
      <c r="N2901" s="2" t="s">
        <v>146</v>
      </c>
      <c r="O2901" s="2" t="s">
        <v>100</v>
      </c>
      <c r="P2901" s="2" t="str">
        <f>"2170586885                    "</f>
        <v xml:space="preserve">2170586885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3.13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1</v>
      </c>
      <c r="BJ2901" s="2">
        <v>0.2</v>
      </c>
      <c r="BK2901" s="2">
        <v>1</v>
      </c>
      <c r="BL2901" s="2">
        <v>32.380000000000003</v>
      </c>
      <c r="BM2901" s="2">
        <v>4.53</v>
      </c>
      <c r="BN2901" s="2">
        <v>36.909999999999997</v>
      </c>
      <c r="BO2901" s="2">
        <v>36.909999999999997</v>
      </c>
      <c r="BP2901" s="2"/>
      <c r="BQ2901" s="2" t="s">
        <v>83</v>
      </c>
      <c r="BR2901" s="2" t="s">
        <v>84</v>
      </c>
      <c r="BS2901" s="3">
        <v>42972</v>
      </c>
      <c r="BT2901" s="4">
        <v>0.3611111111111111</v>
      </c>
      <c r="BU2901" s="2" t="s">
        <v>469</v>
      </c>
      <c r="BV2901" s="2" t="s">
        <v>95</v>
      </c>
      <c r="BW2901" s="2"/>
      <c r="BX2901" s="2"/>
      <c r="BY2901" s="2">
        <v>1200</v>
      </c>
      <c r="BZ2901" s="2" t="s">
        <v>27</v>
      </c>
      <c r="CA2901" s="2" t="s">
        <v>729</v>
      </c>
      <c r="CB2901" s="2"/>
      <c r="CC2901" s="2" t="s">
        <v>145</v>
      </c>
      <c r="CD2901" s="2">
        <v>2094</v>
      </c>
      <c r="CE2901" s="2" t="s">
        <v>104</v>
      </c>
      <c r="CF2901" s="5">
        <v>42975</v>
      </c>
      <c r="CG2901" s="2"/>
      <c r="CH2901" s="2"/>
      <c r="CI2901" s="2">
        <v>1</v>
      </c>
      <c r="CJ2901" s="2">
        <v>1</v>
      </c>
      <c r="CK2901" s="2">
        <v>22</v>
      </c>
      <c r="CL2901" s="2" t="s">
        <v>86</v>
      </c>
      <c r="CM2901" s="2"/>
    </row>
    <row r="2902" spans="1:91">
      <c r="A2902" s="2" t="s">
        <v>71</v>
      </c>
      <c r="B2902" s="2" t="s">
        <v>72</v>
      </c>
      <c r="C2902" s="2" t="s">
        <v>73</v>
      </c>
      <c r="D2902" s="2"/>
      <c r="E2902" s="2" t="str">
        <f>"009935791641"</f>
        <v>009935791641</v>
      </c>
      <c r="F2902" s="3">
        <v>42971</v>
      </c>
      <c r="G2902" s="2">
        <v>201802</v>
      </c>
      <c r="H2902" s="2" t="s">
        <v>74</v>
      </c>
      <c r="I2902" s="2" t="s">
        <v>75</v>
      </c>
      <c r="J2902" s="2" t="s">
        <v>76</v>
      </c>
      <c r="K2902" s="2" t="s">
        <v>77</v>
      </c>
      <c r="L2902" s="2" t="s">
        <v>1229</v>
      </c>
      <c r="M2902" s="2" t="s">
        <v>1230</v>
      </c>
      <c r="N2902" s="2" t="s">
        <v>3170</v>
      </c>
      <c r="O2902" s="2" t="s">
        <v>100</v>
      </c>
      <c r="P2902" s="2" t="str">
        <f>"2170577644 1162560868         "</f>
        <v xml:space="preserve">2170577644 1162560868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3.13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1</v>
      </c>
      <c r="BI2902" s="2">
        <v>1</v>
      </c>
      <c r="BJ2902" s="2">
        <v>0.2</v>
      </c>
      <c r="BK2902" s="2">
        <v>1</v>
      </c>
      <c r="BL2902" s="2">
        <v>32.380000000000003</v>
      </c>
      <c r="BM2902" s="2">
        <v>4.53</v>
      </c>
      <c r="BN2902" s="2">
        <v>36.909999999999997</v>
      </c>
      <c r="BO2902" s="2">
        <v>36.909999999999997</v>
      </c>
      <c r="BP2902" s="2" t="s">
        <v>3171</v>
      </c>
      <c r="BQ2902" s="2" t="s">
        <v>108</v>
      </c>
      <c r="BR2902" s="2" t="s">
        <v>84</v>
      </c>
      <c r="BS2902" s="3">
        <v>42972</v>
      </c>
      <c r="BT2902" s="4">
        <v>0.4055555555555555</v>
      </c>
      <c r="BU2902" s="2" t="s">
        <v>3172</v>
      </c>
      <c r="BV2902" s="2" t="s">
        <v>95</v>
      </c>
      <c r="BW2902" s="2"/>
      <c r="BX2902" s="2"/>
      <c r="BY2902" s="2">
        <v>1200</v>
      </c>
      <c r="BZ2902" s="2"/>
      <c r="CA2902" s="2" t="s">
        <v>220</v>
      </c>
      <c r="CB2902" s="2"/>
      <c r="CC2902" s="2" t="s">
        <v>1230</v>
      </c>
      <c r="CD2902" s="2">
        <v>1449</v>
      </c>
      <c r="CE2902" s="2" t="s">
        <v>104</v>
      </c>
      <c r="CF2902" s="5">
        <v>42972</v>
      </c>
      <c r="CG2902" s="2"/>
      <c r="CH2902" s="2"/>
      <c r="CI2902" s="2">
        <v>1</v>
      </c>
      <c r="CJ2902" s="2">
        <v>1</v>
      </c>
      <c r="CK2902" s="2">
        <v>22</v>
      </c>
      <c r="CL2902" s="2" t="s">
        <v>86</v>
      </c>
      <c r="CM2902" s="2"/>
    </row>
    <row r="2903" spans="1:91">
      <c r="A2903" s="2" t="s">
        <v>71</v>
      </c>
      <c r="B2903" s="2" t="s">
        <v>72</v>
      </c>
      <c r="C2903" s="2" t="s">
        <v>73</v>
      </c>
      <c r="D2903" s="2"/>
      <c r="E2903" s="2" t="str">
        <f>"FES1162571202"</f>
        <v>FES1162571202</v>
      </c>
      <c r="F2903" s="3">
        <v>42971</v>
      </c>
      <c r="G2903" s="2">
        <v>201802</v>
      </c>
      <c r="H2903" s="2" t="s">
        <v>74</v>
      </c>
      <c r="I2903" s="2" t="s">
        <v>75</v>
      </c>
      <c r="J2903" s="2" t="s">
        <v>76</v>
      </c>
      <c r="K2903" s="2" t="s">
        <v>77</v>
      </c>
      <c r="L2903" s="2" t="s">
        <v>174</v>
      </c>
      <c r="M2903" s="2" t="s">
        <v>175</v>
      </c>
      <c r="N2903" s="2" t="s">
        <v>3173</v>
      </c>
      <c r="O2903" s="2" t="s">
        <v>100</v>
      </c>
      <c r="P2903" s="2" t="str">
        <f>"2170586837                    "</f>
        <v xml:space="preserve">2170586837 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4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1</v>
      </c>
      <c r="BJ2903" s="2">
        <v>2</v>
      </c>
      <c r="BK2903" s="2">
        <v>2</v>
      </c>
      <c r="BL2903" s="2">
        <v>41.44</v>
      </c>
      <c r="BM2903" s="2">
        <v>5.8</v>
      </c>
      <c r="BN2903" s="2">
        <v>47.24</v>
      </c>
      <c r="BO2903" s="2">
        <v>47.24</v>
      </c>
      <c r="BP2903" s="2"/>
      <c r="BQ2903" s="2" t="s">
        <v>83</v>
      </c>
      <c r="BR2903" s="2" t="s">
        <v>84</v>
      </c>
      <c r="BS2903" s="3">
        <v>42972</v>
      </c>
      <c r="BT2903" s="4">
        <v>0.41875000000000001</v>
      </c>
      <c r="BU2903" s="2" t="s">
        <v>3174</v>
      </c>
      <c r="BV2903" s="2" t="s">
        <v>95</v>
      </c>
      <c r="BW2903" s="2"/>
      <c r="BX2903" s="2"/>
      <c r="BY2903" s="2">
        <v>9918</v>
      </c>
      <c r="BZ2903" s="2" t="s">
        <v>27</v>
      </c>
      <c r="CA2903" s="2" t="s">
        <v>1420</v>
      </c>
      <c r="CB2903" s="2"/>
      <c r="CC2903" s="2" t="s">
        <v>175</v>
      </c>
      <c r="CD2903" s="2">
        <v>5201</v>
      </c>
      <c r="CE2903" s="2" t="s">
        <v>89</v>
      </c>
      <c r="CF2903" s="5">
        <v>42975</v>
      </c>
      <c r="CG2903" s="2"/>
      <c r="CH2903" s="2"/>
      <c r="CI2903" s="2">
        <v>1</v>
      </c>
      <c r="CJ2903" s="2">
        <v>1</v>
      </c>
      <c r="CK2903" s="2">
        <v>21</v>
      </c>
      <c r="CL2903" s="2" t="s">
        <v>86</v>
      </c>
      <c r="CM2903" s="2"/>
    </row>
    <row r="2904" spans="1:91">
      <c r="A2904" s="2" t="s">
        <v>71</v>
      </c>
      <c r="B2904" s="2" t="s">
        <v>72</v>
      </c>
      <c r="C2904" s="2" t="s">
        <v>73</v>
      </c>
      <c r="D2904" s="2"/>
      <c r="E2904" s="2" t="str">
        <f>"FES1162571352"</f>
        <v>FES1162571352</v>
      </c>
      <c r="F2904" s="3">
        <v>42971</v>
      </c>
      <c r="G2904" s="2">
        <v>201802</v>
      </c>
      <c r="H2904" s="2" t="s">
        <v>74</v>
      </c>
      <c r="I2904" s="2" t="s">
        <v>75</v>
      </c>
      <c r="J2904" s="2" t="s">
        <v>76</v>
      </c>
      <c r="K2904" s="2" t="s">
        <v>77</v>
      </c>
      <c r="L2904" s="2" t="s">
        <v>144</v>
      </c>
      <c r="M2904" s="2" t="s">
        <v>145</v>
      </c>
      <c r="N2904" s="2" t="s">
        <v>146</v>
      </c>
      <c r="O2904" s="2" t="s">
        <v>100</v>
      </c>
      <c r="P2904" s="2" t="str">
        <f>"2170586108                    "</f>
        <v xml:space="preserve">2170586108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3.13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1.6</v>
      </c>
      <c r="BJ2904" s="2">
        <v>1.1000000000000001</v>
      </c>
      <c r="BK2904" s="2">
        <v>2</v>
      </c>
      <c r="BL2904" s="2">
        <v>32.380000000000003</v>
      </c>
      <c r="BM2904" s="2">
        <v>4.53</v>
      </c>
      <c r="BN2904" s="2">
        <v>36.909999999999997</v>
      </c>
      <c r="BO2904" s="2">
        <v>36.909999999999997</v>
      </c>
      <c r="BP2904" s="2"/>
      <c r="BQ2904" s="2" t="s">
        <v>83</v>
      </c>
      <c r="BR2904" s="2" t="s">
        <v>84</v>
      </c>
      <c r="BS2904" s="3">
        <v>42972</v>
      </c>
      <c r="BT2904" s="4">
        <v>0.3611111111111111</v>
      </c>
      <c r="BU2904" s="2" t="s">
        <v>1360</v>
      </c>
      <c r="BV2904" s="2" t="s">
        <v>95</v>
      </c>
      <c r="BW2904" s="2"/>
      <c r="BX2904" s="2"/>
      <c r="BY2904" s="2">
        <v>5569.56</v>
      </c>
      <c r="BZ2904" s="2"/>
      <c r="CA2904" s="2" t="s">
        <v>729</v>
      </c>
      <c r="CB2904" s="2"/>
      <c r="CC2904" s="2" t="s">
        <v>145</v>
      </c>
      <c r="CD2904" s="2">
        <v>2094</v>
      </c>
      <c r="CE2904" s="2" t="s">
        <v>89</v>
      </c>
      <c r="CF2904" s="5">
        <v>42975</v>
      </c>
      <c r="CG2904" s="2"/>
      <c r="CH2904" s="2"/>
      <c r="CI2904" s="2">
        <v>1</v>
      </c>
      <c r="CJ2904" s="2">
        <v>1</v>
      </c>
      <c r="CK2904" s="2">
        <v>22</v>
      </c>
      <c r="CL2904" s="2" t="s">
        <v>86</v>
      </c>
      <c r="CM2904" s="2"/>
    </row>
    <row r="2905" spans="1:91">
      <c r="A2905" s="2" t="s">
        <v>71</v>
      </c>
      <c r="B2905" s="2" t="s">
        <v>72</v>
      </c>
      <c r="C2905" s="2" t="s">
        <v>73</v>
      </c>
      <c r="D2905" s="2"/>
      <c r="E2905" s="2" t="str">
        <f>"FES1162571165"</f>
        <v>FES1162571165</v>
      </c>
      <c r="F2905" s="3">
        <v>42971</v>
      </c>
      <c r="G2905" s="2">
        <v>201802</v>
      </c>
      <c r="H2905" s="2" t="s">
        <v>74</v>
      </c>
      <c r="I2905" s="2" t="s">
        <v>75</v>
      </c>
      <c r="J2905" s="2" t="s">
        <v>76</v>
      </c>
      <c r="K2905" s="2" t="s">
        <v>77</v>
      </c>
      <c r="L2905" s="2" t="s">
        <v>74</v>
      </c>
      <c r="M2905" s="2" t="s">
        <v>75</v>
      </c>
      <c r="N2905" s="2" t="s">
        <v>192</v>
      </c>
      <c r="O2905" s="2" t="s">
        <v>100</v>
      </c>
      <c r="P2905" s="2" t="str">
        <f>"2170584695                    "</f>
        <v xml:space="preserve">2170584695 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3.13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0.7</v>
      </c>
      <c r="BJ2905" s="2">
        <v>1.3</v>
      </c>
      <c r="BK2905" s="2">
        <v>2</v>
      </c>
      <c r="BL2905" s="2">
        <v>32.380000000000003</v>
      </c>
      <c r="BM2905" s="2">
        <v>4.53</v>
      </c>
      <c r="BN2905" s="2">
        <v>36.909999999999997</v>
      </c>
      <c r="BO2905" s="2">
        <v>36.909999999999997</v>
      </c>
      <c r="BP2905" s="2"/>
      <c r="BQ2905" s="2" t="s">
        <v>288</v>
      </c>
      <c r="BR2905" s="2" t="s">
        <v>84</v>
      </c>
      <c r="BS2905" s="3">
        <v>42972</v>
      </c>
      <c r="BT2905" s="4">
        <v>0.35902777777777778</v>
      </c>
      <c r="BU2905" s="2" t="s">
        <v>193</v>
      </c>
      <c r="BV2905" s="2" t="s">
        <v>95</v>
      </c>
      <c r="BW2905" s="2"/>
      <c r="BX2905" s="2"/>
      <c r="BY2905" s="2">
        <v>6338.2</v>
      </c>
      <c r="BZ2905" s="2" t="s">
        <v>27</v>
      </c>
      <c r="CA2905" s="2" t="s">
        <v>194</v>
      </c>
      <c r="CB2905" s="2"/>
      <c r="CC2905" s="2" t="s">
        <v>75</v>
      </c>
      <c r="CD2905" s="2">
        <v>1665</v>
      </c>
      <c r="CE2905" s="2" t="s">
        <v>104</v>
      </c>
      <c r="CF2905" s="5">
        <v>42975</v>
      </c>
      <c r="CG2905" s="2"/>
      <c r="CH2905" s="2"/>
      <c r="CI2905" s="2">
        <v>1</v>
      </c>
      <c r="CJ2905" s="2">
        <v>1</v>
      </c>
      <c r="CK2905" s="2">
        <v>22</v>
      </c>
      <c r="CL2905" s="2" t="s">
        <v>86</v>
      </c>
      <c r="CM2905" s="2"/>
    </row>
    <row r="2906" spans="1:91">
      <c r="A2906" s="2" t="s">
        <v>71</v>
      </c>
      <c r="B2906" s="2" t="s">
        <v>72</v>
      </c>
      <c r="C2906" s="2" t="s">
        <v>73</v>
      </c>
      <c r="D2906" s="2"/>
      <c r="E2906" s="2" t="str">
        <f>"FES1162571119"</f>
        <v>FES1162571119</v>
      </c>
      <c r="F2906" s="3">
        <v>42971</v>
      </c>
      <c r="G2906" s="2">
        <v>201802</v>
      </c>
      <c r="H2906" s="2" t="s">
        <v>74</v>
      </c>
      <c r="I2906" s="2" t="s">
        <v>75</v>
      </c>
      <c r="J2906" s="2" t="s">
        <v>76</v>
      </c>
      <c r="K2906" s="2" t="s">
        <v>77</v>
      </c>
      <c r="L2906" s="2" t="s">
        <v>723</v>
      </c>
      <c r="M2906" s="2" t="s">
        <v>724</v>
      </c>
      <c r="N2906" s="2" t="s">
        <v>2017</v>
      </c>
      <c r="O2906" s="2" t="s">
        <v>100</v>
      </c>
      <c r="P2906" s="2" t="str">
        <f>"2170586412                    "</f>
        <v xml:space="preserve">2170586412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5.63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1</v>
      </c>
      <c r="BI2906" s="2">
        <v>1</v>
      </c>
      <c r="BJ2906" s="2">
        <v>0.2</v>
      </c>
      <c r="BK2906" s="2">
        <v>1</v>
      </c>
      <c r="BL2906" s="2">
        <v>58.28</v>
      </c>
      <c r="BM2906" s="2">
        <v>8.16</v>
      </c>
      <c r="BN2906" s="2">
        <v>66.44</v>
      </c>
      <c r="BO2906" s="2">
        <v>66.44</v>
      </c>
      <c r="BP2906" s="2"/>
      <c r="BQ2906" s="2" t="s">
        <v>108</v>
      </c>
      <c r="BR2906" s="2" t="s">
        <v>84</v>
      </c>
      <c r="BS2906" s="3">
        <v>42972</v>
      </c>
      <c r="BT2906" s="4">
        <v>0.41666666666666669</v>
      </c>
      <c r="BU2906" s="2" t="s">
        <v>3175</v>
      </c>
      <c r="BV2906" s="2" t="s">
        <v>95</v>
      </c>
      <c r="BW2906" s="2"/>
      <c r="BX2906" s="2"/>
      <c r="BY2906" s="2">
        <v>1200</v>
      </c>
      <c r="BZ2906" s="2" t="s">
        <v>27</v>
      </c>
      <c r="CA2906" s="2" t="s">
        <v>727</v>
      </c>
      <c r="CB2906" s="2"/>
      <c r="CC2906" s="2" t="s">
        <v>724</v>
      </c>
      <c r="CD2906" s="2">
        <v>1739</v>
      </c>
      <c r="CE2906" s="2" t="s">
        <v>104</v>
      </c>
      <c r="CF2906" s="5">
        <v>42975</v>
      </c>
      <c r="CG2906" s="2"/>
      <c r="CH2906" s="2"/>
      <c r="CI2906" s="2">
        <v>1</v>
      </c>
      <c r="CJ2906" s="2">
        <v>1</v>
      </c>
      <c r="CK2906" s="2">
        <v>24</v>
      </c>
      <c r="CL2906" s="2" t="s">
        <v>86</v>
      </c>
      <c r="CM2906" s="2"/>
    </row>
    <row r="2907" spans="1:91">
      <c r="A2907" s="2" t="s">
        <v>71</v>
      </c>
      <c r="B2907" s="2" t="s">
        <v>72</v>
      </c>
      <c r="C2907" s="2" t="s">
        <v>73</v>
      </c>
      <c r="D2907" s="2"/>
      <c r="E2907" s="2" t="str">
        <f>"FES1162571385"</f>
        <v>FES1162571385</v>
      </c>
      <c r="F2907" s="3">
        <v>42971</v>
      </c>
      <c r="G2907" s="2">
        <v>201802</v>
      </c>
      <c r="H2907" s="2" t="s">
        <v>74</v>
      </c>
      <c r="I2907" s="2" t="s">
        <v>75</v>
      </c>
      <c r="J2907" s="2" t="s">
        <v>76</v>
      </c>
      <c r="K2907" s="2" t="s">
        <v>77</v>
      </c>
      <c r="L2907" s="2" t="s">
        <v>470</v>
      </c>
      <c r="M2907" s="2" t="s">
        <v>471</v>
      </c>
      <c r="N2907" s="2" t="s">
        <v>2980</v>
      </c>
      <c r="O2907" s="2" t="s">
        <v>100</v>
      </c>
      <c r="P2907" s="2" t="str">
        <f>"2170587024                    "</f>
        <v xml:space="preserve">2170587024 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4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1</v>
      </c>
      <c r="BJ2907" s="2">
        <v>0.2</v>
      </c>
      <c r="BK2907" s="2">
        <v>1</v>
      </c>
      <c r="BL2907" s="2">
        <v>41.44</v>
      </c>
      <c r="BM2907" s="2">
        <v>5.8</v>
      </c>
      <c r="BN2907" s="2">
        <v>47.24</v>
      </c>
      <c r="BO2907" s="2">
        <v>47.24</v>
      </c>
      <c r="BP2907" s="2"/>
      <c r="BQ2907" s="2" t="s">
        <v>2981</v>
      </c>
      <c r="BR2907" s="2" t="s">
        <v>84</v>
      </c>
      <c r="BS2907" s="3">
        <v>42972</v>
      </c>
      <c r="BT2907" s="4">
        <v>0.52430555555555558</v>
      </c>
      <c r="BU2907" s="2" t="s">
        <v>3176</v>
      </c>
      <c r="BV2907" s="2" t="s">
        <v>86</v>
      </c>
      <c r="BW2907" s="2"/>
      <c r="BX2907" s="2"/>
      <c r="BY2907" s="2">
        <v>1200</v>
      </c>
      <c r="BZ2907" s="2"/>
      <c r="CA2907" s="2"/>
      <c r="CB2907" s="2"/>
      <c r="CC2907" s="2" t="s">
        <v>471</v>
      </c>
      <c r="CD2907" s="2">
        <v>1911</v>
      </c>
      <c r="CE2907" s="2" t="s">
        <v>104</v>
      </c>
      <c r="CF2907" s="5">
        <v>42975</v>
      </c>
      <c r="CG2907" s="2"/>
      <c r="CH2907" s="2"/>
      <c r="CI2907" s="2">
        <v>1</v>
      </c>
      <c r="CJ2907" s="2">
        <v>1</v>
      </c>
      <c r="CK2907" s="2">
        <v>21</v>
      </c>
      <c r="CL2907" s="2" t="s">
        <v>86</v>
      </c>
      <c r="CM2907" s="2"/>
    </row>
    <row r="2908" spans="1:91">
      <c r="A2908" s="2" t="s">
        <v>71</v>
      </c>
      <c r="B2908" s="2" t="s">
        <v>72</v>
      </c>
      <c r="C2908" s="2" t="s">
        <v>73</v>
      </c>
      <c r="D2908" s="2"/>
      <c r="E2908" s="2" t="str">
        <f>"FES1162571099"</f>
        <v>FES1162571099</v>
      </c>
      <c r="F2908" s="3">
        <v>42971</v>
      </c>
      <c r="G2908" s="2">
        <v>201802</v>
      </c>
      <c r="H2908" s="2" t="s">
        <v>74</v>
      </c>
      <c r="I2908" s="2" t="s">
        <v>75</v>
      </c>
      <c r="J2908" s="2" t="s">
        <v>76</v>
      </c>
      <c r="K2908" s="2" t="s">
        <v>77</v>
      </c>
      <c r="L2908" s="2" t="s">
        <v>201</v>
      </c>
      <c r="M2908" s="2" t="s">
        <v>202</v>
      </c>
      <c r="N2908" s="2" t="s">
        <v>2279</v>
      </c>
      <c r="O2908" s="2" t="s">
        <v>100</v>
      </c>
      <c r="P2908" s="2" t="str">
        <f>"2170584679                    "</f>
        <v xml:space="preserve">2170584679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4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1</v>
      </c>
      <c r="BJ2908" s="2">
        <v>0.2</v>
      </c>
      <c r="BK2908" s="2">
        <v>1</v>
      </c>
      <c r="BL2908" s="2">
        <v>41.44</v>
      </c>
      <c r="BM2908" s="2">
        <v>5.8</v>
      </c>
      <c r="BN2908" s="2">
        <v>47.24</v>
      </c>
      <c r="BO2908" s="2">
        <v>47.24</v>
      </c>
      <c r="BP2908" s="2"/>
      <c r="BQ2908" s="2" t="s">
        <v>83</v>
      </c>
      <c r="BR2908" s="2" t="s">
        <v>84</v>
      </c>
      <c r="BS2908" s="3">
        <v>42972</v>
      </c>
      <c r="BT2908" s="4">
        <v>0.47500000000000003</v>
      </c>
      <c r="BU2908" s="2" t="s">
        <v>2280</v>
      </c>
      <c r="BV2908" s="2" t="s">
        <v>95</v>
      </c>
      <c r="BW2908" s="2"/>
      <c r="BX2908" s="2"/>
      <c r="BY2908" s="2">
        <v>1200</v>
      </c>
      <c r="BZ2908" s="2" t="s">
        <v>27</v>
      </c>
      <c r="CA2908" s="2" t="s">
        <v>205</v>
      </c>
      <c r="CB2908" s="2"/>
      <c r="CC2908" s="2" t="s">
        <v>202</v>
      </c>
      <c r="CD2908" s="2">
        <v>7130</v>
      </c>
      <c r="CE2908" s="2" t="s">
        <v>104</v>
      </c>
      <c r="CF2908" s="5">
        <v>42975</v>
      </c>
      <c r="CG2908" s="2"/>
      <c r="CH2908" s="2"/>
      <c r="CI2908" s="2">
        <v>1</v>
      </c>
      <c r="CJ2908" s="2">
        <v>1</v>
      </c>
      <c r="CK2908" s="2">
        <v>21</v>
      </c>
      <c r="CL2908" s="2" t="s">
        <v>86</v>
      </c>
      <c r="CM2908" s="2"/>
    </row>
    <row r="2909" spans="1:91">
      <c r="A2909" s="2" t="s">
        <v>71</v>
      </c>
      <c r="B2909" s="2" t="s">
        <v>72</v>
      </c>
      <c r="C2909" s="2" t="s">
        <v>73</v>
      </c>
      <c r="D2909" s="2"/>
      <c r="E2909" s="2" t="str">
        <f>"FES1162571156"</f>
        <v>FES1162571156</v>
      </c>
      <c r="F2909" s="3">
        <v>42971</v>
      </c>
      <c r="G2909" s="2">
        <v>201802</v>
      </c>
      <c r="H2909" s="2" t="s">
        <v>74</v>
      </c>
      <c r="I2909" s="2" t="s">
        <v>75</v>
      </c>
      <c r="J2909" s="2" t="s">
        <v>76</v>
      </c>
      <c r="K2909" s="2" t="s">
        <v>77</v>
      </c>
      <c r="L2909" s="2" t="s">
        <v>144</v>
      </c>
      <c r="M2909" s="2" t="s">
        <v>145</v>
      </c>
      <c r="N2909" s="2" t="s">
        <v>146</v>
      </c>
      <c r="O2909" s="2" t="s">
        <v>100</v>
      </c>
      <c r="P2909" s="2" t="str">
        <f>"2170584368                    "</f>
        <v xml:space="preserve">2170584368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3.13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1</v>
      </c>
      <c r="BJ2909" s="2">
        <v>0.2</v>
      </c>
      <c r="BK2909" s="2">
        <v>1</v>
      </c>
      <c r="BL2909" s="2">
        <v>32.380000000000003</v>
      </c>
      <c r="BM2909" s="2">
        <v>4.53</v>
      </c>
      <c r="BN2909" s="2">
        <v>36.909999999999997</v>
      </c>
      <c r="BO2909" s="2">
        <v>36.909999999999997</v>
      </c>
      <c r="BP2909" s="2"/>
      <c r="BQ2909" s="2" t="s">
        <v>83</v>
      </c>
      <c r="BR2909" s="2" t="s">
        <v>84</v>
      </c>
      <c r="BS2909" s="3">
        <v>42972</v>
      </c>
      <c r="BT2909" s="4">
        <v>0.3611111111111111</v>
      </c>
      <c r="BU2909" s="2" t="s">
        <v>1176</v>
      </c>
      <c r="BV2909" s="2" t="s">
        <v>95</v>
      </c>
      <c r="BW2909" s="2"/>
      <c r="BX2909" s="2"/>
      <c r="BY2909" s="2">
        <v>1200</v>
      </c>
      <c r="BZ2909" s="2" t="s">
        <v>27</v>
      </c>
      <c r="CA2909" s="2" t="s">
        <v>729</v>
      </c>
      <c r="CB2909" s="2"/>
      <c r="CC2909" s="2" t="s">
        <v>145</v>
      </c>
      <c r="CD2909" s="2">
        <v>2094</v>
      </c>
      <c r="CE2909" s="2" t="s">
        <v>104</v>
      </c>
      <c r="CF2909" s="5">
        <v>42975</v>
      </c>
      <c r="CG2909" s="2"/>
      <c r="CH2909" s="2"/>
      <c r="CI2909" s="2">
        <v>1</v>
      </c>
      <c r="CJ2909" s="2">
        <v>1</v>
      </c>
      <c r="CK2909" s="2">
        <v>22</v>
      </c>
      <c r="CL2909" s="2" t="s">
        <v>86</v>
      </c>
      <c r="CM2909" s="2"/>
    </row>
    <row r="2910" spans="1:91">
      <c r="A2910" s="2" t="s">
        <v>71</v>
      </c>
      <c r="B2910" s="2" t="s">
        <v>72</v>
      </c>
      <c r="C2910" s="2" t="s">
        <v>73</v>
      </c>
      <c r="D2910" s="2"/>
      <c r="E2910" s="2" t="str">
        <f>"FES1162571186"</f>
        <v>FES1162571186</v>
      </c>
      <c r="F2910" s="3">
        <v>42971</v>
      </c>
      <c r="G2910" s="2">
        <v>201802</v>
      </c>
      <c r="H2910" s="2" t="s">
        <v>74</v>
      </c>
      <c r="I2910" s="2" t="s">
        <v>75</v>
      </c>
      <c r="J2910" s="2" t="s">
        <v>76</v>
      </c>
      <c r="K2910" s="2" t="s">
        <v>77</v>
      </c>
      <c r="L2910" s="2" t="s">
        <v>105</v>
      </c>
      <c r="M2910" s="2" t="s">
        <v>106</v>
      </c>
      <c r="N2910" s="2" t="s">
        <v>2953</v>
      </c>
      <c r="O2910" s="2" t="s">
        <v>100</v>
      </c>
      <c r="P2910" s="2" t="str">
        <f>"2170586811                    "</f>
        <v xml:space="preserve">2170586811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4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0.7</v>
      </c>
      <c r="BJ2910" s="2">
        <v>2</v>
      </c>
      <c r="BK2910" s="2">
        <v>2</v>
      </c>
      <c r="BL2910" s="2">
        <v>41.44</v>
      </c>
      <c r="BM2910" s="2">
        <v>5.8</v>
      </c>
      <c r="BN2910" s="2">
        <v>47.24</v>
      </c>
      <c r="BO2910" s="2">
        <v>47.24</v>
      </c>
      <c r="BP2910" s="2"/>
      <c r="BQ2910" s="2" t="s">
        <v>288</v>
      </c>
      <c r="BR2910" s="2" t="s">
        <v>84</v>
      </c>
      <c r="BS2910" s="3">
        <v>42972</v>
      </c>
      <c r="BT2910" s="4">
        <v>0.31388888888888888</v>
      </c>
      <c r="BU2910" s="2" t="s">
        <v>3177</v>
      </c>
      <c r="BV2910" s="2" t="s">
        <v>95</v>
      </c>
      <c r="BW2910" s="2"/>
      <c r="BX2910" s="2"/>
      <c r="BY2910" s="2">
        <v>9999.99</v>
      </c>
      <c r="BZ2910" s="2" t="s">
        <v>27</v>
      </c>
      <c r="CA2910" s="2" t="s">
        <v>3178</v>
      </c>
      <c r="CB2910" s="2"/>
      <c r="CC2910" s="2" t="s">
        <v>106</v>
      </c>
      <c r="CD2910" s="2">
        <v>7475</v>
      </c>
      <c r="CE2910" s="2" t="s">
        <v>104</v>
      </c>
      <c r="CF2910" s="5">
        <v>42975</v>
      </c>
      <c r="CG2910" s="2"/>
      <c r="CH2910" s="2"/>
      <c r="CI2910" s="2">
        <v>1</v>
      </c>
      <c r="CJ2910" s="2">
        <v>1</v>
      </c>
      <c r="CK2910" s="2">
        <v>21</v>
      </c>
      <c r="CL2910" s="2" t="s">
        <v>86</v>
      </c>
      <c r="CM2910" s="2"/>
    </row>
    <row r="2911" spans="1:91">
      <c r="A2911" s="2" t="s">
        <v>71</v>
      </c>
      <c r="B2911" s="2" t="s">
        <v>72</v>
      </c>
      <c r="C2911" s="2" t="s">
        <v>73</v>
      </c>
      <c r="D2911" s="2"/>
      <c r="E2911" s="2" t="str">
        <f>"FES1162571368"</f>
        <v>FES1162571368</v>
      </c>
      <c r="F2911" s="3">
        <v>42971</v>
      </c>
      <c r="G2911" s="2">
        <v>201802</v>
      </c>
      <c r="H2911" s="2" t="s">
        <v>74</v>
      </c>
      <c r="I2911" s="2" t="s">
        <v>75</v>
      </c>
      <c r="J2911" s="2" t="s">
        <v>76</v>
      </c>
      <c r="K2911" s="2" t="s">
        <v>77</v>
      </c>
      <c r="L2911" s="2" t="s">
        <v>1781</v>
      </c>
      <c r="M2911" s="2" t="s">
        <v>1781</v>
      </c>
      <c r="N2911" s="2" t="s">
        <v>1782</v>
      </c>
      <c r="O2911" s="2" t="s">
        <v>100</v>
      </c>
      <c r="P2911" s="2" t="str">
        <f>"2170587009                    "</f>
        <v xml:space="preserve">2170587009 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9.51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2.2000000000000002</v>
      </c>
      <c r="BJ2911" s="2">
        <v>1.5</v>
      </c>
      <c r="BK2911" s="2">
        <v>2.5</v>
      </c>
      <c r="BL2911" s="2">
        <v>98.43</v>
      </c>
      <c r="BM2911" s="2">
        <v>13.78</v>
      </c>
      <c r="BN2911" s="2">
        <v>112.21</v>
      </c>
      <c r="BO2911" s="2">
        <v>112.21</v>
      </c>
      <c r="BP2911" s="2"/>
      <c r="BQ2911" s="2" t="s">
        <v>365</v>
      </c>
      <c r="BR2911" s="2" t="s">
        <v>84</v>
      </c>
      <c r="BS2911" s="3">
        <v>42975</v>
      </c>
      <c r="BT2911" s="4">
        <v>0.5</v>
      </c>
      <c r="BU2911" s="2" t="s">
        <v>2274</v>
      </c>
      <c r="BV2911" s="2" t="s">
        <v>95</v>
      </c>
      <c r="BW2911" s="2"/>
      <c r="BX2911" s="2"/>
      <c r="BY2911" s="2">
        <v>7517.21</v>
      </c>
      <c r="BZ2911" s="2"/>
      <c r="CA2911" s="2"/>
      <c r="CB2911" s="2"/>
      <c r="CC2911" s="2" t="s">
        <v>1781</v>
      </c>
      <c r="CD2911" s="2">
        <v>5470</v>
      </c>
      <c r="CE2911" s="2" t="s">
        <v>89</v>
      </c>
      <c r="CF2911" s="2"/>
      <c r="CG2911" s="2"/>
      <c r="CH2911" s="2"/>
      <c r="CI2911" s="2">
        <v>4</v>
      </c>
      <c r="CJ2911" s="2">
        <v>2</v>
      </c>
      <c r="CK2911" s="2">
        <v>23</v>
      </c>
      <c r="CL2911" s="2" t="s">
        <v>86</v>
      </c>
      <c r="CM2911" s="2"/>
    </row>
    <row r="2912" spans="1:91">
      <c r="A2912" s="2" t="s">
        <v>71</v>
      </c>
      <c r="B2912" s="2" t="s">
        <v>72</v>
      </c>
      <c r="C2912" s="2" t="s">
        <v>73</v>
      </c>
      <c r="D2912" s="2"/>
      <c r="E2912" s="2" t="str">
        <f>"FES1162571243"</f>
        <v>FES1162571243</v>
      </c>
      <c r="F2912" s="3">
        <v>42971</v>
      </c>
      <c r="G2912" s="2">
        <v>201802</v>
      </c>
      <c r="H2912" s="2" t="s">
        <v>74</v>
      </c>
      <c r="I2912" s="2" t="s">
        <v>75</v>
      </c>
      <c r="J2912" s="2" t="s">
        <v>76</v>
      </c>
      <c r="K2912" s="2" t="s">
        <v>77</v>
      </c>
      <c r="L2912" s="2" t="s">
        <v>170</v>
      </c>
      <c r="M2912" s="2" t="s">
        <v>171</v>
      </c>
      <c r="N2912" s="2" t="s">
        <v>2592</v>
      </c>
      <c r="O2912" s="2" t="s">
        <v>100</v>
      </c>
      <c r="P2912" s="2" t="str">
        <f>"2170586897                    "</f>
        <v xml:space="preserve">2170586897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3.13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4</v>
      </c>
      <c r="BJ2912" s="2">
        <v>2</v>
      </c>
      <c r="BK2912" s="2">
        <v>4</v>
      </c>
      <c r="BL2912" s="2">
        <v>32.380000000000003</v>
      </c>
      <c r="BM2912" s="2">
        <v>4.53</v>
      </c>
      <c r="BN2912" s="2">
        <v>36.909999999999997</v>
      </c>
      <c r="BO2912" s="2">
        <v>36.909999999999997</v>
      </c>
      <c r="BP2912" s="2"/>
      <c r="BQ2912" s="2" t="s">
        <v>288</v>
      </c>
      <c r="BR2912" s="2" t="s">
        <v>84</v>
      </c>
      <c r="BS2912" s="3">
        <v>42972</v>
      </c>
      <c r="BT2912" s="4">
        <v>0.43194444444444446</v>
      </c>
      <c r="BU2912" s="2" t="s">
        <v>1360</v>
      </c>
      <c r="BV2912" s="2" t="s">
        <v>95</v>
      </c>
      <c r="BW2912" s="2"/>
      <c r="BX2912" s="2"/>
      <c r="BY2912" s="2">
        <v>9900</v>
      </c>
      <c r="BZ2912" s="2" t="s">
        <v>27</v>
      </c>
      <c r="CA2912" s="2" t="s">
        <v>1617</v>
      </c>
      <c r="CB2912" s="2"/>
      <c r="CC2912" s="2" t="s">
        <v>171</v>
      </c>
      <c r="CD2912" s="2">
        <v>1401</v>
      </c>
      <c r="CE2912" s="2" t="s">
        <v>89</v>
      </c>
      <c r="CF2912" s="5">
        <v>42975</v>
      </c>
      <c r="CG2912" s="2"/>
      <c r="CH2912" s="2"/>
      <c r="CI2912" s="2">
        <v>1</v>
      </c>
      <c r="CJ2912" s="2">
        <v>1</v>
      </c>
      <c r="CK2912" s="2">
        <v>22</v>
      </c>
      <c r="CL2912" s="2" t="s">
        <v>86</v>
      </c>
      <c r="CM2912" s="2"/>
    </row>
    <row r="2913" spans="1:91">
      <c r="A2913" s="2" t="s">
        <v>71</v>
      </c>
      <c r="B2913" s="2" t="s">
        <v>72</v>
      </c>
      <c r="C2913" s="2" t="s">
        <v>73</v>
      </c>
      <c r="D2913" s="2"/>
      <c r="E2913" s="2" t="str">
        <f>"FES1162571208"</f>
        <v>FES1162571208</v>
      </c>
      <c r="F2913" s="3">
        <v>42971</v>
      </c>
      <c r="G2913" s="2">
        <v>201802</v>
      </c>
      <c r="H2913" s="2" t="s">
        <v>74</v>
      </c>
      <c r="I2913" s="2" t="s">
        <v>75</v>
      </c>
      <c r="J2913" s="2" t="s">
        <v>76</v>
      </c>
      <c r="K2913" s="2" t="s">
        <v>77</v>
      </c>
      <c r="L2913" s="2" t="s">
        <v>97</v>
      </c>
      <c r="M2913" s="2" t="s">
        <v>98</v>
      </c>
      <c r="N2913" s="2" t="s">
        <v>248</v>
      </c>
      <c r="O2913" s="2" t="s">
        <v>100</v>
      </c>
      <c r="P2913" s="2" t="str">
        <f>"2170579308                    "</f>
        <v xml:space="preserve">2170579308 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16.010000000000002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6.4</v>
      </c>
      <c r="BJ2913" s="2">
        <v>7.7</v>
      </c>
      <c r="BK2913" s="2">
        <v>8</v>
      </c>
      <c r="BL2913" s="2">
        <v>165.77</v>
      </c>
      <c r="BM2913" s="2">
        <v>23.21</v>
      </c>
      <c r="BN2913" s="2">
        <v>188.98</v>
      </c>
      <c r="BO2913" s="2">
        <v>188.98</v>
      </c>
      <c r="BP2913" s="2"/>
      <c r="BQ2913" s="2" t="s">
        <v>83</v>
      </c>
      <c r="BR2913" s="2" t="s">
        <v>84</v>
      </c>
      <c r="BS2913" s="3">
        <v>42975</v>
      </c>
      <c r="BT2913" s="4">
        <v>0.34722222222222227</v>
      </c>
      <c r="BU2913" s="2" t="s">
        <v>390</v>
      </c>
      <c r="BV2913" s="2" t="s">
        <v>86</v>
      </c>
      <c r="BW2913" s="2" t="s">
        <v>1042</v>
      </c>
      <c r="BX2913" s="2" t="s">
        <v>1043</v>
      </c>
      <c r="BY2913" s="2">
        <v>38349.379999999997</v>
      </c>
      <c r="BZ2913" s="2" t="s">
        <v>27</v>
      </c>
      <c r="CA2913" s="2" t="s">
        <v>294</v>
      </c>
      <c r="CB2913" s="2"/>
      <c r="CC2913" s="2" t="s">
        <v>98</v>
      </c>
      <c r="CD2913" s="2">
        <v>6001</v>
      </c>
      <c r="CE2913" s="2" t="s">
        <v>89</v>
      </c>
      <c r="CF2913" s="5">
        <v>42977</v>
      </c>
      <c r="CG2913" s="2"/>
      <c r="CH2913" s="2"/>
      <c r="CI2913" s="2">
        <v>1</v>
      </c>
      <c r="CJ2913" s="2">
        <v>2</v>
      </c>
      <c r="CK2913" s="2">
        <v>21</v>
      </c>
      <c r="CL2913" s="2" t="s">
        <v>86</v>
      </c>
      <c r="CM2913" s="2"/>
    </row>
    <row r="2914" spans="1:91">
      <c r="A2914" s="2" t="s">
        <v>71</v>
      </c>
      <c r="B2914" s="2" t="s">
        <v>72</v>
      </c>
      <c r="C2914" s="2" t="s">
        <v>73</v>
      </c>
      <c r="D2914" s="2"/>
      <c r="E2914" s="2" t="str">
        <f>"FES1162571219"</f>
        <v>FES1162571219</v>
      </c>
      <c r="F2914" s="3">
        <v>42971</v>
      </c>
      <c r="G2914" s="2">
        <v>201802</v>
      </c>
      <c r="H2914" s="2" t="s">
        <v>74</v>
      </c>
      <c r="I2914" s="2" t="s">
        <v>75</v>
      </c>
      <c r="J2914" s="2" t="s">
        <v>76</v>
      </c>
      <c r="K2914" s="2" t="s">
        <v>77</v>
      </c>
      <c r="L2914" s="2" t="s">
        <v>74</v>
      </c>
      <c r="M2914" s="2" t="s">
        <v>75</v>
      </c>
      <c r="N2914" s="2" t="s">
        <v>3179</v>
      </c>
      <c r="O2914" s="2" t="s">
        <v>100</v>
      </c>
      <c r="P2914" s="2" t="str">
        <f>"2170586812                    "</f>
        <v xml:space="preserve">2170586812 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3.13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1</v>
      </c>
      <c r="BJ2914" s="2">
        <v>0.2</v>
      </c>
      <c r="BK2914" s="2">
        <v>1</v>
      </c>
      <c r="BL2914" s="2">
        <v>32.380000000000003</v>
      </c>
      <c r="BM2914" s="2">
        <v>4.53</v>
      </c>
      <c r="BN2914" s="2">
        <v>36.909999999999997</v>
      </c>
      <c r="BO2914" s="2">
        <v>36.909999999999997</v>
      </c>
      <c r="BP2914" s="2"/>
      <c r="BQ2914" s="2" t="s">
        <v>288</v>
      </c>
      <c r="BR2914" s="2" t="s">
        <v>84</v>
      </c>
      <c r="BS2914" s="3">
        <v>42972</v>
      </c>
      <c r="BT2914" s="4">
        <v>0.41666666666666669</v>
      </c>
      <c r="BU2914" s="2" t="s">
        <v>3180</v>
      </c>
      <c r="BV2914" s="2" t="s">
        <v>95</v>
      </c>
      <c r="BW2914" s="2"/>
      <c r="BX2914" s="2"/>
      <c r="BY2914" s="2">
        <v>1200</v>
      </c>
      <c r="BZ2914" s="2" t="s">
        <v>27</v>
      </c>
      <c r="CA2914" s="2" t="s">
        <v>1151</v>
      </c>
      <c r="CB2914" s="2"/>
      <c r="CC2914" s="2" t="s">
        <v>75</v>
      </c>
      <c r="CD2914" s="2">
        <v>1682</v>
      </c>
      <c r="CE2914" s="2" t="s">
        <v>104</v>
      </c>
      <c r="CF2914" s="5">
        <v>42975</v>
      </c>
      <c r="CG2914" s="2"/>
      <c r="CH2914" s="2"/>
      <c r="CI2914" s="2">
        <v>1</v>
      </c>
      <c r="CJ2914" s="2">
        <v>1</v>
      </c>
      <c r="CK2914" s="2">
        <v>22</v>
      </c>
      <c r="CL2914" s="2" t="s">
        <v>86</v>
      </c>
      <c r="CM2914" s="2"/>
    </row>
    <row r="2915" spans="1:91">
      <c r="A2915" s="2" t="s">
        <v>71</v>
      </c>
      <c r="B2915" s="2" t="s">
        <v>72</v>
      </c>
      <c r="C2915" s="2" t="s">
        <v>73</v>
      </c>
      <c r="D2915" s="2"/>
      <c r="E2915" s="2" t="str">
        <f>"FES1162571315"</f>
        <v>FES1162571315</v>
      </c>
      <c r="F2915" s="3">
        <v>42971</v>
      </c>
      <c r="G2915" s="2">
        <v>201802</v>
      </c>
      <c r="H2915" s="2" t="s">
        <v>74</v>
      </c>
      <c r="I2915" s="2" t="s">
        <v>75</v>
      </c>
      <c r="J2915" s="2" t="s">
        <v>76</v>
      </c>
      <c r="K2915" s="2" t="s">
        <v>77</v>
      </c>
      <c r="L2915" s="2" t="s">
        <v>105</v>
      </c>
      <c r="M2915" s="2" t="s">
        <v>106</v>
      </c>
      <c r="N2915" s="2" t="s">
        <v>657</v>
      </c>
      <c r="O2915" s="2" t="s">
        <v>100</v>
      </c>
      <c r="P2915" s="2" t="str">
        <f>"2170586964                    "</f>
        <v xml:space="preserve">2170586964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7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1.9</v>
      </c>
      <c r="BJ2915" s="2">
        <v>3.4</v>
      </c>
      <c r="BK2915" s="2">
        <v>3.5</v>
      </c>
      <c r="BL2915" s="2">
        <v>72.52</v>
      </c>
      <c r="BM2915" s="2">
        <v>10.15</v>
      </c>
      <c r="BN2915" s="2">
        <v>82.67</v>
      </c>
      <c r="BO2915" s="2">
        <v>82.67</v>
      </c>
      <c r="BP2915" s="2"/>
      <c r="BQ2915" s="2" t="s">
        <v>288</v>
      </c>
      <c r="BR2915" s="2" t="s">
        <v>84</v>
      </c>
      <c r="BS2915" s="3">
        <v>42972</v>
      </c>
      <c r="BT2915" s="4">
        <v>0.41666666666666669</v>
      </c>
      <c r="BU2915" s="2" t="s">
        <v>3181</v>
      </c>
      <c r="BV2915" s="2" t="s">
        <v>95</v>
      </c>
      <c r="BW2915" s="2"/>
      <c r="BX2915" s="2"/>
      <c r="BY2915" s="2">
        <v>16898.87</v>
      </c>
      <c r="BZ2915" s="2"/>
      <c r="CA2915" s="2"/>
      <c r="CB2915" s="2"/>
      <c r="CC2915" s="2" t="s">
        <v>106</v>
      </c>
      <c r="CD2915" s="2">
        <v>7945</v>
      </c>
      <c r="CE2915" s="2" t="s">
        <v>89</v>
      </c>
      <c r="CF2915" s="5">
        <v>42975</v>
      </c>
      <c r="CG2915" s="2"/>
      <c r="CH2915" s="2"/>
      <c r="CI2915" s="2">
        <v>1</v>
      </c>
      <c r="CJ2915" s="2">
        <v>1</v>
      </c>
      <c r="CK2915" s="2">
        <v>21</v>
      </c>
      <c r="CL2915" s="2" t="s">
        <v>86</v>
      </c>
      <c r="CM2915" s="2"/>
    </row>
    <row r="2916" spans="1:91">
      <c r="A2916" s="2" t="s">
        <v>71</v>
      </c>
      <c r="B2916" s="2" t="s">
        <v>72</v>
      </c>
      <c r="C2916" s="2" t="s">
        <v>73</v>
      </c>
      <c r="D2916" s="2"/>
      <c r="E2916" s="2" t="str">
        <f>"FES1162571245"</f>
        <v>FES1162571245</v>
      </c>
      <c r="F2916" s="3">
        <v>42971</v>
      </c>
      <c r="G2916" s="2">
        <v>201802</v>
      </c>
      <c r="H2916" s="2" t="s">
        <v>74</v>
      </c>
      <c r="I2916" s="2" t="s">
        <v>75</v>
      </c>
      <c r="J2916" s="2" t="s">
        <v>76</v>
      </c>
      <c r="K2916" s="2" t="s">
        <v>77</v>
      </c>
      <c r="L2916" s="2" t="s">
        <v>97</v>
      </c>
      <c r="M2916" s="2" t="s">
        <v>98</v>
      </c>
      <c r="N2916" s="2" t="s">
        <v>214</v>
      </c>
      <c r="O2916" s="2" t="s">
        <v>100</v>
      </c>
      <c r="P2916" s="2" t="str">
        <f>"2170586887                    "</f>
        <v xml:space="preserve">2170586887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4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1</v>
      </c>
      <c r="BJ2916" s="2">
        <v>0.2</v>
      </c>
      <c r="BK2916" s="2">
        <v>1</v>
      </c>
      <c r="BL2916" s="2">
        <v>41.44</v>
      </c>
      <c r="BM2916" s="2">
        <v>5.8</v>
      </c>
      <c r="BN2916" s="2">
        <v>47.24</v>
      </c>
      <c r="BO2916" s="2">
        <v>47.24</v>
      </c>
      <c r="BP2916" s="2"/>
      <c r="BQ2916" s="2" t="s">
        <v>108</v>
      </c>
      <c r="BR2916" s="2" t="s">
        <v>84</v>
      </c>
      <c r="BS2916" s="3">
        <v>42972</v>
      </c>
      <c r="BT2916" s="4">
        <v>0.51041666666666663</v>
      </c>
      <c r="BU2916" s="2" t="s">
        <v>1032</v>
      </c>
      <c r="BV2916" s="2" t="s">
        <v>86</v>
      </c>
      <c r="BW2916" s="2" t="s">
        <v>115</v>
      </c>
      <c r="BX2916" s="2" t="s">
        <v>1028</v>
      </c>
      <c r="BY2916" s="2">
        <v>1200</v>
      </c>
      <c r="BZ2916" s="2" t="s">
        <v>27</v>
      </c>
      <c r="CA2916" s="2" t="s">
        <v>286</v>
      </c>
      <c r="CB2916" s="2"/>
      <c r="CC2916" s="2" t="s">
        <v>98</v>
      </c>
      <c r="CD2916" s="2">
        <v>6001</v>
      </c>
      <c r="CE2916" s="2" t="s">
        <v>104</v>
      </c>
      <c r="CF2916" s="5">
        <v>42975</v>
      </c>
      <c r="CG2916" s="2"/>
      <c r="CH2916" s="2"/>
      <c r="CI2916" s="2">
        <v>1</v>
      </c>
      <c r="CJ2916" s="2">
        <v>1</v>
      </c>
      <c r="CK2916" s="2">
        <v>21</v>
      </c>
      <c r="CL2916" s="2" t="s">
        <v>86</v>
      </c>
      <c r="CM2916" s="2"/>
    </row>
    <row r="2917" spans="1:91">
      <c r="A2917" s="2" t="s">
        <v>71</v>
      </c>
      <c r="B2917" s="2" t="s">
        <v>72</v>
      </c>
      <c r="C2917" s="2" t="s">
        <v>73</v>
      </c>
      <c r="D2917" s="2"/>
      <c r="E2917" s="2" t="str">
        <f>"FES1162571221"</f>
        <v>FES1162571221</v>
      </c>
      <c r="F2917" s="3">
        <v>42971</v>
      </c>
      <c r="G2917" s="2">
        <v>201802</v>
      </c>
      <c r="H2917" s="2" t="s">
        <v>74</v>
      </c>
      <c r="I2917" s="2" t="s">
        <v>75</v>
      </c>
      <c r="J2917" s="2" t="s">
        <v>76</v>
      </c>
      <c r="K2917" s="2" t="s">
        <v>77</v>
      </c>
      <c r="L2917" s="2" t="s">
        <v>174</v>
      </c>
      <c r="M2917" s="2" t="s">
        <v>175</v>
      </c>
      <c r="N2917" s="2" t="s">
        <v>930</v>
      </c>
      <c r="O2917" s="2" t="s">
        <v>100</v>
      </c>
      <c r="P2917" s="2" t="str">
        <f>"2170586855                    "</f>
        <v xml:space="preserve">2170586855               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4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1</v>
      </c>
      <c r="BI2917" s="2">
        <v>0.5</v>
      </c>
      <c r="BJ2917" s="2">
        <v>1.4</v>
      </c>
      <c r="BK2917" s="2">
        <v>1.5</v>
      </c>
      <c r="BL2917" s="2">
        <v>41.44</v>
      </c>
      <c r="BM2917" s="2">
        <v>5.8</v>
      </c>
      <c r="BN2917" s="2">
        <v>47.24</v>
      </c>
      <c r="BO2917" s="2">
        <v>47.24</v>
      </c>
      <c r="BP2917" s="2"/>
      <c r="BQ2917" s="2" t="s">
        <v>83</v>
      </c>
      <c r="BR2917" s="2" t="s">
        <v>84</v>
      </c>
      <c r="BS2917" s="3">
        <v>42972</v>
      </c>
      <c r="BT2917" s="4">
        <v>0.38472222222222219</v>
      </c>
      <c r="BU2917" s="2" t="s">
        <v>1408</v>
      </c>
      <c r="BV2917" s="2" t="s">
        <v>95</v>
      </c>
      <c r="BW2917" s="2"/>
      <c r="BX2917" s="2"/>
      <c r="BY2917" s="2">
        <v>6935.46</v>
      </c>
      <c r="BZ2917" s="2" t="s">
        <v>27</v>
      </c>
      <c r="CA2917" s="2" t="s">
        <v>1373</v>
      </c>
      <c r="CB2917" s="2"/>
      <c r="CC2917" s="2" t="s">
        <v>175</v>
      </c>
      <c r="CD2917" s="2">
        <v>5201</v>
      </c>
      <c r="CE2917" s="2" t="s">
        <v>104</v>
      </c>
      <c r="CF2917" s="5">
        <v>42975</v>
      </c>
      <c r="CG2917" s="2"/>
      <c r="CH2917" s="2"/>
      <c r="CI2917" s="2">
        <v>1</v>
      </c>
      <c r="CJ2917" s="2">
        <v>1</v>
      </c>
      <c r="CK2917" s="2">
        <v>21</v>
      </c>
      <c r="CL2917" s="2" t="s">
        <v>86</v>
      </c>
      <c r="CM2917" s="2"/>
    </row>
    <row r="2918" spans="1:91">
      <c r="A2918" s="2" t="s">
        <v>71</v>
      </c>
      <c r="B2918" s="2" t="s">
        <v>72</v>
      </c>
      <c r="C2918" s="2" t="s">
        <v>73</v>
      </c>
      <c r="D2918" s="2"/>
      <c r="E2918" s="2" t="str">
        <f>"FES1162571237"</f>
        <v>FES1162571237</v>
      </c>
      <c r="F2918" s="3">
        <v>42971</v>
      </c>
      <c r="G2918" s="2">
        <v>201802</v>
      </c>
      <c r="H2918" s="2" t="s">
        <v>74</v>
      </c>
      <c r="I2918" s="2" t="s">
        <v>75</v>
      </c>
      <c r="J2918" s="2" t="s">
        <v>76</v>
      </c>
      <c r="K2918" s="2" t="s">
        <v>77</v>
      </c>
      <c r="L2918" s="2" t="s">
        <v>343</v>
      </c>
      <c r="M2918" s="2" t="s">
        <v>344</v>
      </c>
      <c r="N2918" s="2" t="s">
        <v>2794</v>
      </c>
      <c r="O2918" s="2" t="s">
        <v>100</v>
      </c>
      <c r="P2918" s="2" t="str">
        <f>"2170586872                    "</f>
        <v xml:space="preserve">2170586872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4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1</v>
      </c>
      <c r="BI2918" s="2">
        <v>1.1000000000000001</v>
      </c>
      <c r="BJ2918" s="2">
        <v>1</v>
      </c>
      <c r="BK2918" s="2">
        <v>1.5</v>
      </c>
      <c r="BL2918" s="2">
        <v>41.44</v>
      </c>
      <c r="BM2918" s="2">
        <v>5.8</v>
      </c>
      <c r="BN2918" s="2">
        <v>47.24</v>
      </c>
      <c r="BO2918" s="2">
        <v>47.24</v>
      </c>
      <c r="BP2918" s="2"/>
      <c r="BQ2918" s="2" t="s">
        <v>365</v>
      </c>
      <c r="BR2918" s="2" t="s">
        <v>84</v>
      </c>
      <c r="BS2918" s="3">
        <v>42972</v>
      </c>
      <c r="BT2918" s="4">
        <v>0.48958333333333331</v>
      </c>
      <c r="BU2918" s="2" t="s">
        <v>768</v>
      </c>
      <c r="BV2918" s="2" t="s">
        <v>86</v>
      </c>
      <c r="BW2918" s="2" t="s">
        <v>124</v>
      </c>
      <c r="BX2918" s="2" t="s">
        <v>3182</v>
      </c>
      <c r="BY2918" s="2">
        <v>4987.71</v>
      </c>
      <c r="BZ2918" s="2" t="s">
        <v>27</v>
      </c>
      <c r="CA2918" s="2" t="s">
        <v>347</v>
      </c>
      <c r="CB2918" s="2"/>
      <c r="CC2918" s="2" t="s">
        <v>344</v>
      </c>
      <c r="CD2918" s="2">
        <v>4110</v>
      </c>
      <c r="CE2918" s="2" t="s">
        <v>89</v>
      </c>
      <c r="CF2918" s="5">
        <v>42975</v>
      </c>
      <c r="CG2918" s="2"/>
      <c r="CH2918" s="2"/>
      <c r="CI2918" s="2">
        <v>1</v>
      </c>
      <c r="CJ2918" s="2">
        <v>1</v>
      </c>
      <c r="CK2918" s="2">
        <v>21</v>
      </c>
      <c r="CL2918" s="2" t="s">
        <v>86</v>
      </c>
      <c r="CM2918" s="2"/>
    </row>
    <row r="2919" spans="1:91">
      <c r="A2919" s="2" t="s">
        <v>71</v>
      </c>
      <c r="B2919" s="2" t="s">
        <v>72</v>
      </c>
      <c r="C2919" s="2" t="s">
        <v>73</v>
      </c>
      <c r="D2919" s="2"/>
      <c r="E2919" s="2" t="str">
        <f>"FES1162571136"</f>
        <v>FES1162571136</v>
      </c>
      <c r="F2919" s="3">
        <v>42971</v>
      </c>
      <c r="G2919" s="2">
        <v>201802</v>
      </c>
      <c r="H2919" s="2" t="s">
        <v>74</v>
      </c>
      <c r="I2919" s="2" t="s">
        <v>75</v>
      </c>
      <c r="J2919" s="2" t="s">
        <v>76</v>
      </c>
      <c r="K2919" s="2" t="s">
        <v>77</v>
      </c>
      <c r="L2919" s="2" t="s">
        <v>149</v>
      </c>
      <c r="M2919" s="2" t="s">
        <v>150</v>
      </c>
      <c r="N2919" s="2" t="s">
        <v>2548</v>
      </c>
      <c r="O2919" s="2" t="s">
        <v>100</v>
      </c>
      <c r="P2919" s="2" t="str">
        <f>"2170586783                    "</f>
        <v xml:space="preserve">2170586783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26.02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2</v>
      </c>
      <c r="BI2919" s="2">
        <v>10.6</v>
      </c>
      <c r="BJ2919" s="2">
        <v>13</v>
      </c>
      <c r="BK2919" s="2">
        <v>13</v>
      </c>
      <c r="BL2919" s="2">
        <v>269.38</v>
      </c>
      <c r="BM2919" s="2">
        <v>37.71</v>
      </c>
      <c r="BN2919" s="2">
        <v>307.08999999999997</v>
      </c>
      <c r="BO2919" s="2">
        <v>307.08999999999997</v>
      </c>
      <c r="BP2919" s="2"/>
      <c r="BQ2919" s="2" t="s">
        <v>572</v>
      </c>
      <c r="BR2919" s="2" t="s">
        <v>84</v>
      </c>
      <c r="BS2919" s="3">
        <v>42972</v>
      </c>
      <c r="BT2919" s="4">
        <v>0.375</v>
      </c>
      <c r="BU2919" s="2" t="s">
        <v>2825</v>
      </c>
      <c r="BV2919" s="2" t="s">
        <v>95</v>
      </c>
      <c r="BW2919" s="2"/>
      <c r="BX2919" s="2"/>
      <c r="BY2919" s="2">
        <v>64811.519999999997</v>
      </c>
      <c r="BZ2919" s="2" t="s">
        <v>27</v>
      </c>
      <c r="CA2919" s="2" t="s">
        <v>1163</v>
      </c>
      <c r="CB2919" s="2"/>
      <c r="CC2919" s="2" t="s">
        <v>150</v>
      </c>
      <c r="CD2919" s="2">
        <v>4072</v>
      </c>
      <c r="CE2919" s="2" t="s">
        <v>89</v>
      </c>
      <c r="CF2919" s="5">
        <v>42975</v>
      </c>
      <c r="CG2919" s="2"/>
      <c r="CH2919" s="2"/>
      <c r="CI2919" s="2">
        <v>1</v>
      </c>
      <c r="CJ2919" s="2">
        <v>1</v>
      </c>
      <c r="CK2919" s="2">
        <v>21</v>
      </c>
      <c r="CL2919" s="2" t="s">
        <v>86</v>
      </c>
      <c r="CM2919" s="2"/>
    </row>
    <row r="2920" spans="1:91">
      <c r="A2920" s="2" t="s">
        <v>71</v>
      </c>
      <c r="B2920" s="2" t="s">
        <v>72</v>
      </c>
      <c r="C2920" s="2" t="s">
        <v>73</v>
      </c>
      <c r="D2920" s="2"/>
      <c r="E2920" s="2" t="str">
        <f>"FES1162571108"</f>
        <v>FES1162571108</v>
      </c>
      <c r="F2920" s="3">
        <v>42971</v>
      </c>
      <c r="G2920" s="2">
        <v>201802</v>
      </c>
      <c r="H2920" s="2" t="s">
        <v>74</v>
      </c>
      <c r="I2920" s="2" t="s">
        <v>75</v>
      </c>
      <c r="J2920" s="2" t="s">
        <v>76</v>
      </c>
      <c r="K2920" s="2" t="s">
        <v>77</v>
      </c>
      <c r="L2920" s="2" t="s">
        <v>268</v>
      </c>
      <c r="M2920" s="2" t="s">
        <v>269</v>
      </c>
      <c r="N2920" s="2" t="s">
        <v>2207</v>
      </c>
      <c r="O2920" s="2" t="s">
        <v>100</v>
      </c>
      <c r="P2920" s="2" t="str">
        <f>"2170584871                    "</f>
        <v xml:space="preserve">2170584871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4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1</v>
      </c>
      <c r="BI2920" s="2">
        <v>1.4</v>
      </c>
      <c r="BJ2920" s="2">
        <v>1.4</v>
      </c>
      <c r="BK2920" s="2">
        <v>1.5</v>
      </c>
      <c r="BL2920" s="2">
        <v>41.44</v>
      </c>
      <c r="BM2920" s="2">
        <v>5.8</v>
      </c>
      <c r="BN2920" s="2">
        <v>47.24</v>
      </c>
      <c r="BO2920" s="2">
        <v>47.24</v>
      </c>
      <c r="BP2920" s="2"/>
      <c r="BQ2920" s="2" t="s">
        <v>288</v>
      </c>
      <c r="BR2920" s="2" t="s">
        <v>84</v>
      </c>
      <c r="BS2920" s="3">
        <v>42972</v>
      </c>
      <c r="BT2920" s="4">
        <v>0.4236111111111111</v>
      </c>
      <c r="BU2920" s="2" t="s">
        <v>3183</v>
      </c>
      <c r="BV2920" s="2" t="s">
        <v>95</v>
      </c>
      <c r="BW2920" s="2"/>
      <c r="BX2920" s="2"/>
      <c r="BY2920" s="2">
        <v>6797.28</v>
      </c>
      <c r="BZ2920" s="2" t="s">
        <v>27</v>
      </c>
      <c r="CA2920" s="2"/>
      <c r="CB2920" s="2"/>
      <c r="CC2920" s="2" t="s">
        <v>269</v>
      </c>
      <c r="CD2920" s="2">
        <v>200</v>
      </c>
      <c r="CE2920" s="2" t="s">
        <v>89</v>
      </c>
      <c r="CF2920" s="5">
        <v>42975</v>
      </c>
      <c r="CG2920" s="2"/>
      <c r="CH2920" s="2"/>
      <c r="CI2920" s="2">
        <v>1</v>
      </c>
      <c r="CJ2920" s="2">
        <v>1</v>
      </c>
      <c r="CK2920" s="2">
        <v>21</v>
      </c>
      <c r="CL2920" s="2" t="s">
        <v>86</v>
      </c>
      <c r="CM2920" s="2"/>
    </row>
    <row r="2921" spans="1:91">
      <c r="A2921" s="2" t="s">
        <v>71</v>
      </c>
      <c r="B2921" s="2" t="s">
        <v>72</v>
      </c>
      <c r="C2921" s="2" t="s">
        <v>73</v>
      </c>
      <c r="D2921" s="2"/>
      <c r="E2921" s="2" t="str">
        <f>"FES1162571196"</f>
        <v>FES1162571196</v>
      </c>
      <c r="F2921" s="3">
        <v>42971</v>
      </c>
      <c r="G2921" s="2">
        <v>201802</v>
      </c>
      <c r="H2921" s="2" t="s">
        <v>74</v>
      </c>
      <c r="I2921" s="2" t="s">
        <v>75</v>
      </c>
      <c r="J2921" s="2" t="s">
        <v>76</v>
      </c>
      <c r="K2921" s="2" t="s">
        <v>77</v>
      </c>
      <c r="L2921" s="2" t="s">
        <v>144</v>
      </c>
      <c r="M2921" s="2" t="s">
        <v>145</v>
      </c>
      <c r="N2921" s="2" t="s">
        <v>1711</v>
      </c>
      <c r="O2921" s="2" t="s">
        <v>100</v>
      </c>
      <c r="P2921" s="2" t="str">
        <f>"2170586835                    "</f>
        <v xml:space="preserve">2170586835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3.5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1</v>
      </c>
      <c r="BI2921" s="2">
        <v>5.9</v>
      </c>
      <c r="BJ2921" s="2">
        <v>8.9</v>
      </c>
      <c r="BK2921" s="2">
        <v>9</v>
      </c>
      <c r="BL2921" s="2">
        <v>36.26</v>
      </c>
      <c r="BM2921" s="2">
        <v>5.08</v>
      </c>
      <c r="BN2921" s="2">
        <v>41.34</v>
      </c>
      <c r="BO2921" s="2">
        <v>41.34</v>
      </c>
      <c r="BP2921" s="2"/>
      <c r="BQ2921" s="2" t="s">
        <v>288</v>
      </c>
      <c r="BR2921" s="2" t="s">
        <v>84</v>
      </c>
      <c r="BS2921" s="3">
        <v>42972</v>
      </c>
      <c r="BT2921" s="4">
        <v>0.38541666666666669</v>
      </c>
      <c r="BU2921" s="2" t="s">
        <v>3184</v>
      </c>
      <c r="BV2921" s="2" t="s">
        <v>95</v>
      </c>
      <c r="BW2921" s="2"/>
      <c r="BX2921" s="2"/>
      <c r="BY2921" s="2">
        <v>44724.29</v>
      </c>
      <c r="BZ2921" s="2" t="s">
        <v>27</v>
      </c>
      <c r="CA2921" s="2" t="s">
        <v>1296</v>
      </c>
      <c r="CB2921" s="2"/>
      <c r="CC2921" s="2" t="s">
        <v>145</v>
      </c>
      <c r="CD2921" s="2">
        <v>2091</v>
      </c>
      <c r="CE2921" s="2" t="s">
        <v>89</v>
      </c>
      <c r="CF2921" s="5">
        <v>42972</v>
      </c>
      <c r="CG2921" s="2"/>
      <c r="CH2921" s="2"/>
      <c r="CI2921" s="2">
        <v>1</v>
      </c>
      <c r="CJ2921" s="2">
        <v>1</v>
      </c>
      <c r="CK2921" s="2">
        <v>22</v>
      </c>
      <c r="CL2921" s="2" t="s">
        <v>86</v>
      </c>
      <c r="CM2921" s="2"/>
    </row>
    <row r="2922" spans="1:91">
      <c r="A2922" s="2" t="s">
        <v>71</v>
      </c>
      <c r="B2922" s="2" t="s">
        <v>72</v>
      </c>
      <c r="C2922" s="2" t="s">
        <v>73</v>
      </c>
      <c r="D2922" s="2"/>
      <c r="E2922" s="2" t="str">
        <f>"FES1162571363"</f>
        <v>FES1162571363</v>
      </c>
      <c r="F2922" s="3">
        <v>42971</v>
      </c>
      <c r="G2922" s="2">
        <v>201802</v>
      </c>
      <c r="H2922" s="2" t="s">
        <v>74</v>
      </c>
      <c r="I2922" s="2" t="s">
        <v>75</v>
      </c>
      <c r="J2922" s="2" t="s">
        <v>76</v>
      </c>
      <c r="K2922" s="2" t="s">
        <v>77</v>
      </c>
      <c r="L2922" s="2" t="s">
        <v>74</v>
      </c>
      <c r="M2922" s="2" t="s">
        <v>75</v>
      </c>
      <c r="N2922" s="2" t="s">
        <v>329</v>
      </c>
      <c r="O2922" s="2" t="s">
        <v>100</v>
      </c>
      <c r="P2922" s="2" t="str">
        <f>"2170585859                    "</f>
        <v xml:space="preserve">2170585859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3.13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1</v>
      </c>
      <c r="BJ2922" s="2">
        <v>0.2</v>
      </c>
      <c r="BK2922" s="2">
        <v>1</v>
      </c>
      <c r="BL2922" s="2">
        <v>32.380000000000003</v>
      </c>
      <c r="BM2922" s="2">
        <v>4.53</v>
      </c>
      <c r="BN2922" s="2">
        <v>36.909999999999997</v>
      </c>
      <c r="BO2922" s="2">
        <v>36.909999999999997</v>
      </c>
      <c r="BP2922" s="2"/>
      <c r="BQ2922" s="2" t="s">
        <v>83</v>
      </c>
      <c r="BR2922" s="2" t="s">
        <v>84</v>
      </c>
      <c r="BS2922" s="3">
        <v>42972</v>
      </c>
      <c r="BT2922" s="4">
        <v>0.32916666666666666</v>
      </c>
      <c r="BU2922" s="2" t="s">
        <v>2176</v>
      </c>
      <c r="BV2922" s="2" t="s">
        <v>95</v>
      </c>
      <c r="BW2922" s="2"/>
      <c r="BX2922" s="2"/>
      <c r="BY2922" s="2">
        <v>1200</v>
      </c>
      <c r="BZ2922" s="2"/>
      <c r="CA2922" s="2" t="s">
        <v>331</v>
      </c>
      <c r="CB2922" s="2"/>
      <c r="CC2922" s="2" t="s">
        <v>75</v>
      </c>
      <c r="CD2922" s="2">
        <v>1600</v>
      </c>
      <c r="CE2922" s="2" t="s">
        <v>104</v>
      </c>
      <c r="CF2922" s="5">
        <v>42975</v>
      </c>
      <c r="CG2922" s="2"/>
      <c r="CH2922" s="2"/>
      <c r="CI2922" s="2">
        <v>1</v>
      </c>
      <c r="CJ2922" s="2">
        <v>1</v>
      </c>
      <c r="CK2922" s="2">
        <v>22</v>
      </c>
      <c r="CL2922" s="2" t="s">
        <v>86</v>
      </c>
      <c r="CM2922" s="2"/>
    </row>
    <row r="2923" spans="1:91">
      <c r="A2923" s="2" t="s">
        <v>71</v>
      </c>
      <c r="B2923" s="2" t="s">
        <v>72</v>
      </c>
      <c r="C2923" s="2" t="s">
        <v>73</v>
      </c>
      <c r="D2923" s="2"/>
      <c r="E2923" s="2" t="str">
        <f>"FES1162571175"</f>
        <v>FES1162571175</v>
      </c>
      <c r="F2923" s="3">
        <v>42971</v>
      </c>
      <c r="G2923" s="2">
        <v>201802</v>
      </c>
      <c r="H2923" s="2" t="s">
        <v>74</v>
      </c>
      <c r="I2923" s="2" t="s">
        <v>75</v>
      </c>
      <c r="J2923" s="2" t="s">
        <v>76</v>
      </c>
      <c r="K2923" s="2" t="s">
        <v>77</v>
      </c>
      <c r="L2923" s="2" t="s">
        <v>105</v>
      </c>
      <c r="M2923" s="2" t="s">
        <v>106</v>
      </c>
      <c r="N2923" s="2" t="s">
        <v>534</v>
      </c>
      <c r="O2923" s="2" t="s">
        <v>100</v>
      </c>
      <c r="P2923" s="2" t="str">
        <f>"2170586799                    "</f>
        <v xml:space="preserve">2170586799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20.010000000000002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4.5</v>
      </c>
      <c r="BJ2923" s="2">
        <v>9.6999999999999993</v>
      </c>
      <c r="BK2923" s="2">
        <v>10</v>
      </c>
      <c r="BL2923" s="2">
        <v>207.21</v>
      </c>
      <c r="BM2923" s="2">
        <v>29.01</v>
      </c>
      <c r="BN2923" s="2">
        <v>236.22</v>
      </c>
      <c r="BO2923" s="2">
        <v>236.22</v>
      </c>
      <c r="BP2923" s="2"/>
      <c r="BQ2923" s="2" t="s">
        <v>2274</v>
      </c>
      <c r="BR2923" s="2" t="s">
        <v>84</v>
      </c>
      <c r="BS2923" s="3">
        <v>42972</v>
      </c>
      <c r="BT2923" s="4">
        <v>0.35972222222222222</v>
      </c>
      <c r="BU2923" s="2" t="s">
        <v>2398</v>
      </c>
      <c r="BV2923" s="2" t="s">
        <v>95</v>
      </c>
      <c r="BW2923" s="2"/>
      <c r="BX2923" s="2"/>
      <c r="BY2923" s="2">
        <v>48642.05</v>
      </c>
      <c r="BZ2923" s="2" t="s">
        <v>27</v>
      </c>
      <c r="CA2923" s="2" t="s">
        <v>112</v>
      </c>
      <c r="CB2923" s="2"/>
      <c r="CC2923" s="2" t="s">
        <v>106</v>
      </c>
      <c r="CD2923" s="2">
        <v>7405</v>
      </c>
      <c r="CE2923" s="2" t="s">
        <v>89</v>
      </c>
      <c r="CF2923" s="5">
        <v>42975</v>
      </c>
      <c r="CG2923" s="2"/>
      <c r="CH2923" s="2"/>
      <c r="CI2923" s="2">
        <v>1</v>
      </c>
      <c r="CJ2923" s="2">
        <v>1</v>
      </c>
      <c r="CK2923" s="2">
        <v>21</v>
      </c>
      <c r="CL2923" s="2" t="s">
        <v>86</v>
      </c>
      <c r="CM2923" s="2"/>
    </row>
    <row r="2924" spans="1:91">
      <c r="A2924" s="2" t="s">
        <v>71</v>
      </c>
      <c r="B2924" s="2" t="s">
        <v>72</v>
      </c>
      <c r="C2924" s="2" t="s">
        <v>73</v>
      </c>
      <c r="D2924" s="2"/>
      <c r="E2924" s="2" t="str">
        <f>"FES1162571301"</f>
        <v>FES1162571301</v>
      </c>
      <c r="F2924" s="3">
        <v>42971</v>
      </c>
      <c r="G2924" s="2">
        <v>201802</v>
      </c>
      <c r="H2924" s="2" t="s">
        <v>74</v>
      </c>
      <c r="I2924" s="2" t="s">
        <v>75</v>
      </c>
      <c r="J2924" s="2" t="s">
        <v>76</v>
      </c>
      <c r="K2924" s="2" t="s">
        <v>77</v>
      </c>
      <c r="L2924" s="2" t="s">
        <v>97</v>
      </c>
      <c r="M2924" s="2" t="s">
        <v>98</v>
      </c>
      <c r="N2924" s="2" t="s">
        <v>1210</v>
      </c>
      <c r="O2924" s="2" t="s">
        <v>100</v>
      </c>
      <c r="P2924" s="2" t="str">
        <f>"2170586944                    "</f>
        <v xml:space="preserve">2170586944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10.01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4.7</v>
      </c>
      <c r="BJ2924" s="2">
        <v>1.9</v>
      </c>
      <c r="BK2924" s="2">
        <v>5</v>
      </c>
      <c r="BL2924" s="2">
        <v>103.61</v>
      </c>
      <c r="BM2924" s="2">
        <v>14.51</v>
      </c>
      <c r="BN2924" s="2">
        <v>118.12</v>
      </c>
      <c r="BO2924" s="2">
        <v>118.12</v>
      </c>
      <c r="BP2924" s="2"/>
      <c r="BQ2924" s="2" t="s">
        <v>108</v>
      </c>
      <c r="BR2924" s="2" t="s">
        <v>84</v>
      </c>
      <c r="BS2924" s="3">
        <v>42972</v>
      </c>
      <c r="BT2924" s="4">
        <v>0.46249999999999997</v>
      </c>
      <c r="BU2924" s="2" t="s">
        <v>3185</v>
      </c>
      <c r="BV2924" s="2" t="s">
        <v>86</v>
      </c>
      <c r="BW2924" s="2" t="s">
        <v>115</v>
      </c>
      <c r="BX2924" s="2" t="s">
        <v>1028</v>
      </c>
      <c r="BY2924" s="2">
        <v>9456.02</v>
      </c>
      <c r="BZ2924" s="2"/>
      <c r="CA2924" s="2" t="s">
        <v>294</v>
      </c>
      <c r="CB2924" s="2"/>
      <c r="CC2924" s="2" t="s">
        <v>98</v>
      </c>
      <c r="CD2924" s="2">
        <v>6012</v>
      </c>
      <c r="CE2924" s="2" t="s">
        <v>89</v>
      </c>
      <c r="CF2924" s="5">
        <v>42975</v>
      </c>
      <c r="CG2924" s="2"/>
      <c r="CH2924" s="2"/>
      <c r="CI2924" s="2">
        <v>1</v>
      </c>
      <c r="CJ2924" s="2">
        <v>1</v>
      </c>
      <c r="CK2924" s="2">
        <v>21</v>
      </c>
      <c r="CL2924" s="2" t="s">
        <v>86</v>
      </c>
      <c r="CM2924" s="2"/>
    </row>
    <row r="2925" spans="1:91">
      <c r="A2925" s="2" t="s">
        <v>71</v>
      </c>
      <c r="B2925" s="2" t="s">
        <v>72</v>
      </c>
      <c r="C2925" s="2" t="s">
        <v>73</v>
      </c>
      <c r="D2925" s="2"/>
      <c r="E2925" s="2" t="str">
        <f>"FES1162571361"</f>
        <v>FES1162571361</v>
      </c>
      <c r="F2925" s="3">
        <v>42971</v>
      </c>
      <c r="G2925" s="2">
        <v>201802</v>
      </c>
      <c r="H2925" s="2" t="s">
        <v>74</v>
      </c>
      <c r="I2925" s="2" t="s">
        <v>75</v>
      </c>
      <c r="J2925" s="2" t="s">
        <v>76</v>
      </c>
      <c r="K2925" s="2" t="s">
        <v>77</v>
      </c>
      <c r="L2925" s="2" t="s">
        <v>105</v>
      </c>
      <c r="M2925" s="2" t="s">
        <v>106</v>
      </c>
      <c r="N2925" s="2" t="s">
        <v>107</v>
      </c>
      <c r="O2925" s="2" t="s">
        <v>100</v>
      </c>
      <c r="P2925" s="2" t="str">
        <f>"2170587005                    "</f>
        <v xml:space="preserve">2170587005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4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1</v>
      </c>
      <c r="BI2925" s="2">
        <v>1.5</v>
      </c>
      <c r="BJ2925" s="2">
        <v>1.1000000000000001</v>
      </c>
      <c r="BK2925" s="2">
        <v>1.5</v>
      </c>
      <c r="BL2925" s="2">
        <v>41.44</v>
      </c>
      <c r="BM2925" s="2">
        <v>5.8</v>
      </c>
      <c r="BN2925" s="2">
        <v>47.24</v>
      </c>
      <c r="BO2925" s="2">
        <v>47.24</v>
      </c>
      <c r="BP2925" s="2"/>
      <c r="BQ2925" s="2" t="s">
        <v>108</v>
      </c>
      <c r="BR2925" s="2" t="s">
        <v>84</v>
      </c>
      <c r="BS2925" s="3">
        <v>42972</v>
      </c>
      <c r="BT2925" s="4">
        <v>0.40416666666666662</v>
      </c>
      <c r="BU2925" s="2" t="s">
        <v>236</v>
      </c>
      <c r="BV2925" s="2" t="s">
        <v>95</v>
      </c>
      <c r="BW2925" s="2"/>
      <c r="BX2925" s="2"/>
      <c r="BY2925" s="2">
        <v>5717.71</v>
      </c>
      <c r="BZ2925" s="2"/>
      <c r="CA2925" s="2" t="s">
        <v>112</v>
      </c>
      <c r="CB2925" s="2"/>
      <c r="CC2925" s="2" t="s">
        <v>106</v>
      </c>
      <c r="CD2925" s="2">
        <v>7405</v>
      </c>
      <c r="CE2925" s="2" t="s">
        <v>89</v>
      </c>
      <c r="CF2925" s="5">
        <v>42975</v>
      </c>
      <c r="CG2925" s="2"/>
      <c r="CH2925" s="2"/>
      <c r="CI2925" s="2">
        <v>1</v>
      </c>
      <c r="CJ2925" s="2">
        <v>1</v>
      </c>
      <c r="CK2925" s="2">
        <v>21</v>
      </c>
      <c r="CL2925" s="2" t="s">
        <v>86</v>
      </c>
      <c r="CM2925" s="2"/>
    </row>
    <row r="2926" spans="1:91">
      <c r="A2926" s="2" t="s">
        <v>71</v>
      </c>
      <c r="B2926" s="2" t="s">
        <v>72</v>
      </c>
      <c r="C2926" s="2" t="s">
        <v>73</v>
      </c>
      <c r="D2926" s="2"/>
      <c r="E2926" s="2" t="str">
        <f>"FES1162571139"</f>
        <v>FES1162571139</v>
      </c>
      <c r="F2926" s="3">
        <v>42971</v>
      </c>
      <c r="G2926" s="2">
        <v>201802</v>
      </c>
      <c r="H2926" s="2" t="s">
        <v>74</v>
      </c>
      <c r="I2926" s="2" t="s">
        <v>75</v>
      </c>
      <c r="J2926" s="2" t="s">
        <v>76</v>
      </c>
      <c r="K2926" s="2" t="s">
        <v>77</v>
      </c>
      <c r="L2926" s="2" t="s">
        <v>437</v>
      </c>
      <c r="M2926" s="2" t="s">
        <v>438</v>
      </c>
      <c r="N2926" s="2" t="s">
        <v>439</v>
      </c>
      <c r="O2926" s="2" t="s">
        <v>100</v>
      </c>
      <c r="P2926" s="2" t="str">
        <f>"2170586789                    "</f>
        <v xml:space="preserve">2170586789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4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1</v>
      </c>
      <c r="BJ2926" s="2">
        <v>1.8</v>
      </c>
      <c r="BK2926" s="2">
        <v>2</v>
      </c>
      <c r="BL2926" s="2">
        <v>41.44</v>
      </c>
      <c r="BM2926" s="2">
        <v>5.8</v>
      </c>
      <c r="BN2926" s="2">
        <v>47.24</v>
      </c>
      <c r="BO2926" s="2">
        <v>47.24</v>
      </c>
      <c r="BP2926" s="2"/>
      <c r="BQ2926" s="2" t="s">
        <v>108</v>
      </c>
      <c r="BR2926" s="2" t="s">
        <v>84</v>
      </c>
      <c r="BS2926" s="3">
        <v>42972</v>
      </c>
      <c r="BT2926" s="4">
        <v>0.46527777777777773</v>
      </c>
      <c r="BU2926" s="2" t="s">
        <v>3147</v>
      </c>
      <c r="BV2926" s="2" t="s">
        <v>86</v>
      </c>
      <c r="BW2926" s="2" t="s">
        <v>124</v>
      </c>
      <c r="BX2926" s="2" t="s">
        <v>3148</v>
      </c>
      <c r="BY2926" s="2">
        <v>8775</v>
      </c>
      <c r="BZ2926" s="2" t="s">
        <v>27</v>
      </c>
      <c r="CA2926" s="2" t="s">
        <v>441</v>
      </c>
      <c r="CB2926" s="2"/>
      <c r="CC2926" s="2" t="s">
        <v>438</v>
      </c>
      <c r="CD2926" s="2">
        <v>6536</v>
      </c>
      <c r="CE2926" s="2" t="s">
        <v>89</v>
      </c>
      <c r="CF2926" s="5">
        <v>42975</v>
      </c>
      <c r="CG2926" s="2"/>
      <c r="CH2926" s="2"/>
      <c r="CI2926" s="2">
        <v>1</v>
      </c>
      <c r="CJ2926" s="2">
        <v>1</v>
      </c>
      <c r="CK2926" s="2">
        <v>21</v>
      </c>
      <c r="CL2926" s="2" t="s">
        <v>86</v>
      </c>
      <c r="CM2926" s="2"/>
    </row>
    <row r="2927" spans="1:91">
      <c r="A2927" s="2" t="s">
        <v>71</v>
      </c>
      <c r="B2927" s="2" t="s">
        <v>72</v>
      </c>
      <c r="C2927" s="2" t="s">
        <v>73</v>
      </c>
      <c r="D2927" s="2"/>
      <c r="E2927" s="2" t="str">
        <f>"FES1162571321"</f>
        <v>FES1162571321</v>
      </c>
      <c r="F2927" s="3">
        <v>42971</v>
      </c>
      <c r="G2927" s="2">
        <v>201802</v>
      </c>
      <c r="H2927" s="2" t="s">
        <v>74</v>
      </c>
      <c r="I2927" s="2" t="s">
        <v>75</v>
      </c>
      <c r="J2927" s="2" t="s">
        <v>76</v>
      </c>
      <c r="K2927" s="2" t="s">
        <v>77</v>
      </c>
      <c r="L2927" s="2" t="s">
        <v>237</v>
      </c>
      <c r="M2927" s="2" t="s">
        <v>238</v>
      </c>
      <c r="N2927" s="2" t="s">
        <v>3056</v>
      </c>
      <c r="O2927" s="2" t="s">
        <v>100</v>
      </c>
      <c r="P2927" s="2" t="str">
        <f>"2170586967                    "</f>
        <v xml:space="preserve">2170586967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4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1</v>
      </c>
      <c r="BJ2927" s="2">
        <v>0.2</v>
      </c>
      <c r="BK2927" s="2">
        <v>1</v>
      </c>
      <c r="BL2927" s="2">
        <v>41.44</v>
      </c>
      <c r="BM2927" s="2">
        <v>5.8</v>
      </c>
      <c r="BN2927" s="2">
        <v>47.24</v>
      </c>
      <c r="BO2927" s="2">
        <v>47.24</v>
      </c>
      <c r="BP2927" s="2"/>
      <c r="BQ2927" s="2" t="s">
        <v>108</v>
      </c>
      <c r="BR2927" s="2" t="s">
        <v>84</v>
      </c>
      <c r="BS2927" s="3">
        <v>42972</v>
      </c>
      <c r="BT2927" s="4">
        <v>0.4375</v>
      </c>
      <c r="BU2927" s="2" t="s">
        <v>2859</v>
      </c>
      <c r="BV2927" s="2" t="s">
        <v>95</v>
      </c>
      <c r="BW2927" s="2"/>
      <c r="BX2927" s="2"/>
      <c r="BY2927" s="2">
        <v>1200</v>
      </c>
      <c r="BZ2927" s="2"/>
      <c r="CA2927" s="2" t="s">
        <v>672</v>
      </c>
      <c r="CB2927" s="2"/>
      <c r="CC2927" s="2" t="s">
        <v>238</v>
      </c>
      <c r="CD2927" s="2">
        <v>3610</v>
      </c>
      <c r="CE2927" s="2" t="s">
        <v>104</v>
      </c>
      <c r="CF2927" s="5">
        <v>42975</v>
      </c>
      <c r="CG2927" s="2"/>
      <c r="CH2927" s="2"/>
      <c r="CI2927" s="2">
        <v>1</v>
      </c>
      <c r="CJ2927" s="2">
        <v>1</v>
      </c>
      <c r="CK2927" s="2">
        <v>21</v>
      </c>
      <c r="CL2927" s="2" t="s">
        <v>86</v>
      </c>
      <c r="CM2927" s="2"/>
    </row>
    <row r="2928" spans="1:91">
      <c r="A2928" s="2" t="s">
        <v>71</v>
      </c>
      <c r="B2928" s="2" t="s">
        <v>72</v>
      </c>
      <c r="C2928" s="2" t="s">
        <v>73</v>
      </c>
      <c r="D2928" s="2"/>
      <c r="E2928" s="2" t="str">
        <f>"FES1162571154"</f>
        <v>FES1162571154</v>
      </c>
      <c r="F2928" s="3">
        <v>42971</v>
      </c>
      <c r="G2928" s="2">
        <v>201802</v>
      </c>
      <c r="H2928" s="2" t="s">
        <v>74</v>
      </c>
      <c r="I2928" s="2" t="s">
        <v>75</v>
      </c>
      <c r="J2928" s="2" t="s">
        <v>76</v>
      </c>
      <c r="K2928" s="2" t="s">
        <v>77</v>
      </c>
      <c r="L2928" s="2" t="s">
        <v>105</v>
      </c>
      <c r="M2928" s="2" t="s">
        <v>106</v>
      </c>
      <c r="N2928" s="2" t="s">
        <v>1093</v>
      </c>
      <c r="O2928" s="2" t="s">
        <v>100</v>
      </c>
      <c r="P2928" s="2" t="str">
        <f>"2170584246                    "</f>
        <v xml:space="preserve">2170584246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4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0.3</v>
      </c>
      <c r="BJ2928" s="2">
        <v>0.9</v>
      </c>
      <c r="BK2928" s="2">
        <v>1</v>
      </c>
      <c r="BL2928" s="2">
        <v>41.44</v>
      </c>
      <c r="BM2928" s="2">
        <v>5.8</v>
      </c>
      <c r="BN2928" s="2">
        <v>47.24</v>
      </c>
      <c r="BO2928" s="2">
        <v>47.24</v>
      </c>
      <c r="BP2928" s="2"/>
      <c r="BQ2928" s="2" t="s">
        <v>83</v>
      </c>
      <c r="BR2928" s="2" t="s">
        <v>84</v>
      </c>
      <c r="BS2928" s="3">
        <v>42972</v>
      </c>
      <c r="BT2928" s="4">
        <v>0.38194444444444442</v>
      </c>
      <c r="BU2928" s="2" t="s">
        <v>1094</v>
      </c>
      <c r="BV2928" s="2" t="s">
        <v>95</v>
      </c>
      <c r="BW2928" s="2"/>
      <c r="BX2928" s="2"/>
      <c r="BY2928" s="2">
        <v>4408</v>
      </c>
      <c r="BZ2928" s="2" t="s">
        <v>27</v>
      </c>
      <c r="CA2928" s="2" t="s">
        <v>3186</v>
      </c>
      <c r="CB2928" s="2"/>
      <c r="CC2928" s="2" t="s">
        <v>106</v>
      </c>
      <c r="CD2928" s="2">
        <v>7975</v>
      </c>
      <c r="CE2928" s="2" t="s">
        <v>89</v>
      </c>
      <c r="CF2928" s="5">
        <v>42975</v>
      </c>
      <c r="CG2928" s="2"/>
      <c r="CH2928" s="2"/>
      <c r="CI2928" s="2">
        <v>1</v>
      </c>
      <c r="CJ2928" s="2">
        <v>1</v>
      </c>
      <c r="CK2928" s="2">
        <v>21</v>
      </c>
      <c r="CL2928" s="2" t="s">
        <v>86</v>
      </c>
      <c r="CM2928" s="2"/>
    </row>
    <row r="2929" spans="1:91">
      <c r="A2929" s="2" t="s">
        <v>71</v>
      </c>
      <c r="B2929" s="2" t="s">
        <v>72</v>
      </c>
      <c r="C2929" s="2" t="s">
        <v>73</v>
      </c>
      <c r="D2929" s="2"/>
      <c r="E2929" s="2" t="str">
        <f>"FES1162571313"</f>
        <v>FES1162571313</v>
      </c>
      <c r="F2929" s="3">
        <v>42971</v>
      </c>
      <c r="G2929" s="2">
        <v>201802</v>
      </c>
      <c r="H2929" s="2" t="s">
        <v>74</v>
      </c>
      <c r="I2929" s="2" t="s">
        <v>75</v>
      </c>
      <c r="J2929" s="2" t="s">
        <v>76</v>
      </c>
      <c r="K2929" s="2" t="s">
        <v>77</v>
      </c>
      <c r="L2929" s="2" t="s">
        <v>362</v>
      </c>
      <c r="M2929" s="2" t="s">
        <v>363</v>
      </c>
      <c r="N2929" s="2" t="s">
        <v>2959</v>
      </c>
      <c r="O2929" s="2" t="s">
        <v>100</v>
      </c>
      <c r="P2929" s="2" t="str">
        <f>"2170586957                    "</f>
        <v xml:space="preserve">2170586957 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4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1</v>
      </c>
      <c r="BI2929" s="2">
        <v>1</v>
      </c>
      <c r="BJ2929" s="2">
        <v>0.2</v>
      </c>
      <c r="BK2929" s="2">
        <v>1</v>
      </c>
      <c r="BL2929" s="2">
        <v>41.44</v>
      </c>
      <c r="BM2929" s="2">
        <v>5.8</v>
      </c>
      <c r="BN2929" s="2">
        <v>47.24</v>
      </c>
      <c r="BO2929" s="2">
        <v>47.24</v>
      </c>
      <c r="BP2929" s="2"/>
      <c r="BQ2929" s="2" t="s">
        <v>288</v>
      </c>
      <c r="BR2929" s="2" t="s">
        <v>84</v>
      </c>
      <c r="BS2929" s="3">
        <v>42972</v>
      </c>
      <c r="BT2929" s="4">
        <v>0.40625</v>
      </c>
      <c r="BU2929" s="2" t="s">
        <v>2960</v>
      </c>
      <c r="BV2929" s="2" t="s">
        <v>95</v>
      </c>
      <c r="BW2929" s="2"/>
      <c r="BX2929" s="2"/>
      <c r="BY2929" s="2">
        <v>1200</v>
      </c>
      <c r="BZ2929" s="2"/>
      <c r="CA2929" s="2" t="s">
        <v>2961</v>
      </c>
      <c r="CB2929" s="2"/>
      <c r="CC2929" s="2" t="s">
        <v>363</v>
      </c>
      <c r="CD2929" s="2">
        <v>3201</v>
      </c>
      <c r="CE2929" s="2" t="s">
        <v>104</v>
      </c>
      <c r="CF2929" s="5">
        <v>42975</v>
      </c>
      <c r="CG2929" s="2"/>
      <c r="CH2929" s="2"/>
      <c r="CI2929" s="2">
        <v>1</v>
      </c>
      <c r="CJ2929" s="2">
        <v>1</v>
      </c>
      <c r="CK2929" s="2">
        <v>21</v>
      </c>
      <c r="CL2929" s="2" t="s">
        <v>86</v>
      </c>
      <c r="CM2929" s="2"/>
    </row>
    <row r="2930" spans="1:91">
      <c r="A2930" s="2" t="s">
        <v>71</v>
      </c>
      <c r="B2930" s="2" t="s">
        <v>72</v>
      </c>
      <c r="C2930" s="2" t="s">
        <v>73</v>
      </c>
      <c r="D2930" s="2"/>
      <c r="E2930" s="2" t="str">
        <f>"FES1162571112"</f>
        <v>FES1162571112</v>
      </c>
      <c r="F2930" s="3">
        <v>42971</v>
      </c>
      <c r="G2930" s="2">
        <v>201802</v>
      </c>
      <c r="H2930" s="2" t="s">
        <v>74</v>
      </c>
      <c r="I2930" s="2" t="s">
        <v>75</v>
      </c>
      <c r="J2930" s="2" t="s">
        <v>76</v>
      </c>
      <c r="K2930" s="2" t="s">
        <v>77</v>
      </c>
      <c r="L2930" s="2" t="s">
        <v>924</v>
      </c>
      <c r="M2930" s="2" t="s">
        <v>925</v>
      </c>
      <c r="N2930" s="2" t="s">
        <v>1058</v>
      </c>
      <c r="O2930" s="2" t="s">
        <v>100</v>
      </c>
      <c r="P2930" s="2" t="str">
        <f>"2170585291                    "</f>
        <v xml:space="preserve">2170585291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4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1</v>
      </c>
      <c r="BJ2930" s="2">
        <v>0.2</v>
      </c>
      <c r="BK2930" s="2">
        <v>1</v>
      </c>
      <c r="BL2930" s="2">
        <v>41.44</v>
      </c>
      <c r="BM2930" s="2">
        <v>5.8</v>
      </c>
      <c r="BN2930" s="2">
        <v>47.24</v>
      </c>
      <c r="BO2930" s="2">
        <v>47.24</v>
      </c>
      <c r="BP2930" s="2"/>
      <c r="BQ2930" s="2" t="s">
        <v>288</v>
      </c>
      <c r="BR2930" s="2" t="s">
        <v>84</v>
      </c>
      <c r="BS2930" s="3">
        <v>42972</v>
      </c>
      <c r="BT2930" s="4">
        <v>0.39513888888888887</v>
      </c>
      <c r="BU2930" s="2" t="s">
        <v>3187</v>
      </c>
      <c r="BV2930" s="2" t="s">
        <v>95</v>
      </c>
      <c r="BW2930" s="2"/>
      <c r="BX2930" s="2"/>
      <c r="BY2930" s="2">
        <v>1200</v>
      </c>
      <c r="BZ2930" s="2" t="s">
        <v>27</v>
      </c>
      <c r="CA2930" s="2" t="s">
        <v>928</v>
      </c>
      <c r="CB2930" s="2"/>
      <c r="CC2930" s="2" t="s">
        <v>925</v>
      </c>
      <c r="CD2930" s="2">
        <v>7599</v>
      </c>
      <c r="CE2930" s="2" t="s">
        <v>104</v>
      </c>
      <c r="CF2930" s="5">
        <v>42975</v>
      </c>
      <c r="CG2930" s="2"/>
      <c r="CH2930" s="2"/>
      <c r="CI2930" s="2">
        <v>1</v>
      </c>
      <c r="CJ2930" s="2">
        <v>1</v>
      </c>
      <c r="CK2930" s="2">
        <v>21</v>
      </c>
      <c r="CL2930" s="2" t="s">
        <v>86</v>
      </c>
      <c r="CM2930" s="2"/>
    </row>
    <row r="2931" spans="1:91">
      <c r="A2931" s="2" t="s">
        <v>71</v>
      </c>
      <c r="B2931" s="2" t="s">
        <v>72</v>
      </c>
      <c r="C2931" s="2" t="s">
        <v>73</v>
      </c>
      <c r="D2931" s="2"/>
      <c r="E2931" s="2" t="str">
        <f>"FES1162571287"</f>
        <v>FES1162571287</v>
      </c>
      <c r="F2931" s="3">
        <v>42971</v>
      </c>
      <c r="G2931" s="2">
        <v>201802</v>
      </c>
      <c r="H2931" s="2" t="s">
        <v>74</v>
      </c>
      <c r="I2931" s="2" t="s">
        <v>75</v>
      </c>
      <c r="J2931" s="2" t="s">
        <v>76</v>
      </c>
      <c r="K2931" s="2" t="s">
        <v>77</v>
      </c>
      <c r="L2931" s="2" t="s">
        <v>343</v>
      </c>
      <c r="M2931" s="2" t="s">
        <v>344</v>
      </c>
      <c r="N2931" s="2" t="s">
        <v>345</v>
      </c>
      <c r="O2931" s="2" t="s">
        <v>100</v>
      </c>
      <c r="P2931" s="2" t="str">
        <f>"2170586929                    "</f>
        <v xml:space="preserve">2170586929 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4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1</v>
      </c>
      <c r="BI2931" s="2">
        <v>1</v>
      </c>
      <c r="BJ2931" s="2">
        <v>0.2</v>
      </c>
      <c r="BK2931" s="2">
        <v>1</v>
      </c>
      <c r="BL2931" s="2">
        <v>41.44</v>
      </c>
      <c r="BM2931" s="2">
        <v>5.8</v>
      </c>
      <c r="BN2931" s="2">
        <v>47.24</v>
      </c>
      <c r="BO2931" s="2">
        <v>47.24</v>
      </c>
      <c r="BP2931" s="2"/>
      <c r="BQ2931" s="2" t="s">
        <v>288</v>
      </c>
      <c r="BR2931" s="2" t="s">
        <v>84</v>
      </c>
      <c r="BS2931" s="3">
        <v>42972</v>
      </c>
      <c r="BT2931" s="4">
        <v>0.4375</v>
      </c>
      <c r="BU2931" s="2" t="s">
        <v>346</v>
      </c>
      <c r="BV2931" s="2" t="s">
        <v>95</v>
      </c>
      <c r="BW2931" s="2"/>
      <c r="BX2931" s="2"/>
      <c r="BY2931" s="2">
        <v>1200</v>
      </c>
      <c r="BZ2931" s="2"/>
      <c r="CA2931" s="2" t="s">
        <v>347</v>
      </c>
      <c r="CB2931" s="2"/>
      <c r="CC2931" s="2" t="s">
        <v>344</v>
      </c>
      <c r="CD2931" s="2">
        <v>4133</v>
      </c>
      <c r="CE2931" s="2" t="s">
        <v>104</v>
      </c>
      <c r="CF2931" s="5">
        <v>42975</v>
      </c>
      <c r="CG2931" s="2"/>
      <c r="CH2931" s="2"/>
      <c r="CI2931" s="2">
        <v>1</v>
      </c>
      <c r="CJ2931" s="2">
        <v>1</v>
      </c>
      <c r="CK2931" s="2">
        <v>21</v>
      </c>
      <c r="CL2931" s="2" t="s">
        <v>86</v>
      </c>
      <c r="CM2931" s="2"/>
    </row>
    <row r="2932" spans="1:91">
      <c r="A2932" s="2" t="s">
        <v>71</v>
      </c>
      <c r="B2932" s="2" t="s">
        <v>72</v>
      </c>
      <c r="C2932" s="2" t="s">
        <v>73</v>
      </c>
      <c r="D2932" s="2"/>
      <c r="E2932" s="2" t="str">
        <f>"FES1162571121"</f>
        <v>FES1162571121</v>
      </c>
      <c r="F2932" s="3">
        <v>42971</v>
      </c>
      <c r="G2932" s="2">
        <v>201802</v>
      </c>
      <c r="H2932" s="2" t="s">
        <v>74</v>
      </c>
      <c r="I2932" s="2" t="s">
        <v>75</v>
      </c>
      <c r="J2932" s="2" t="s">
        <v>76</v>
      </c>
      <c r="K2932" s="2" t="s">
        <v>77</v>
      </c>
      <c r="L2932" s="2" t="s">
        <v>924</v>
      </c>
      <c r="M2932" s="2" t="s">
        <v>925</v>
      </c>
      <c r="N2932" s="2" t="s">
        <v>1684</v>
      </c>
      <c r="O2932" s="2" t="s">
        <v>100</v>
      </c>
      <c r="P2932" s="2" t="str">
        <f>"2170586459                    "</f>
        <v xml:space="preserve">2170586459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4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1</v>
      </c>
      <c r="BJ2932" s="2">
        <v>0.2</v>
      </c>
      <c r="BK2932" s="2">
        <v>1</v>
      </c>
      <c r="BL2932" s="2">
        <v>41.44</v>
      </c>
      <c r="BM2932" s="2">
        <v>5.8</v>
      </c>
      <c r="BN2932" s="2">
        <v>47.24</v>
      </c>
      <c r="BO2932" s="2">
        <v>47.24</v>
      </c>
      <c r="BP2932" s="2"/>
      <c r="BQ2932" s="2" t="s">
        <v>83</v>
      </c>
      <c r="BR2932" s="2" t="s">
        <v>84</v>
      </c>
      <c r="BS2932" s="3">
        <v>42972</v>
      </c>
      <c r="BT2932" s="4">
        <v>0.35069444444444442</v>
      </c>
      <c r="BU2932" s="2" t="s">
        <v>1685</v>
      </c>
      <c r="BV2932" s="2" t="s">
        <v>95</v>
      </c>
      <c r="BW2932" s="2"/>
      <c r="BX2932" s="2"/>
      <c r="BY2932" s="2">
        <v>1200</v>
      </c>
      <c r="BZ2932" s="2" t="s">
        <v>27</v>
      </c>
      <c r="CA2932" s="2" t="s">
        <v>1071</v>
      </c>
      <c r="CB2932" s="2"/>
      <c r="CC2932" s="2" t="s">
        <v>925</v>
      </c>
      <c r="CD2932" s="2">
        <v>7600</v>
      </c>
      <c r="CE2932" s="2" t="s">
        <v>104</v>
      </c>
      <c r="CF2932" s="5">
        <v>42975</v>
      </c>
      <c r="CG2932" s="2"/>
      <c r="CH2932" s="2"/>
      <c r="CI2932" s="2">
        <v>1</v>
      </c>
      <c r="CJ2932" s="2">
        <v>1</v>
      </c>
      <c r="CK2932" s="2">
        <v>21</v>
      </c>
      <c r="CL2932" s="2" t="s">
        <v>86</v>
      </c>
      <c r="CM2932" s="2"/>
    </row>
    <row r="2933" spans="1:91">
      <c r="A2933" s="2" t="s">
        <v>71</v>
      </c>
      <c r="B2933" s="2" t="s">
        <v>72</v>
      </c>
      <c r="C2933" s="2" t="s">
        <v>73</v>
      </c>
      <c r="D2933" s="2"/>
      <c r="E2933" s="2" t="str">
        <f>"FES1162571329"</f>
        <v>FES1162571329</v>
      </c>
      <c r="F2933" s="3">
        <v>42971</v>
      </c>
      <c r="G2933" s="2">
        <v>201802</v>
      </c>
      <c r="H2933" s="2" t="s">
        <v>74</v>
      </c>
      <c r="I2933" s="2" t="s">
        <v>75</v>
      </c>
      <c r="J2933" s="2" t="s">
        <v>76</v>
      </c>
      <c r="K2933" s="2" t="s">
        <v>77</v>
      </c>
      <c r="L2933" s="2" t="s">
        <v>343</v>
      </c>
      <c r="M2933" s="2" t="s">
        <v>344</v>
      </c>
      <c r="N2933" s="2" t="s">
        <v>345</v>
      </c>
      <c r="O2933" s="2" t="s">
        <v>100</v>
      </c>
      <c r="P2933" s="2" t="str">
        <f>"2170586984                    "</f>
        <v xml:space="preserve">2170586984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4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1</v>
      </c>
      <c r="BJ2933" s="2">
        <v>0.2</v>
      </c>
      <c r="BK2933" s="2">
        <v>1</v>
      </c>
      <c r="BL2933" s="2">
        <v>41.44</v>
      </c>
      <c r="BM2933" s="2">
        <v>5.8</v>
      </c>
      <c r="BN2933" s="2">
        <v>47.24</v>
      </c>
      <c r="BO2933" s="2">
        <v>47.24</v>
      </c>
      <c r="BP2933" s="2"/>
      <c r="BQ2933" s="2" t="s">
        <v>288</v>
      </c>
      <c r="BR2933" s="2" t="s">
        <v>84</v>
      </c>
      <c r="BS2933" s="3">
        <v>42972</v>
      </c>
      <c r="BT2933" s="4">
        <v>0.4375</v>
      </c>
      <c r="BU2933" s="2" t="s">
        <v>346</v>
      </c>
      <c r="BV2933" s="2" t="s">
        <v>95</v>
      </c>
      <c r="BW2933" s="2"/>
      <c r="BX2933" s="2"/>
      <c r="BY2933" s="2">
        <v>1200</v>
      </c>
      <c r="BZ2933" s="2"/>
      <c r="CA2933" s="2" t="s">
        <v>347</v>
      </c>
      <c r="CB2933" s="2"/>
      <c r="CC2933" s="2" t="s">
        <v>344</v>
      </c>
      <c r="CD2933" s="2">
        <v>4133</v>
      </c>
      <c r="CE2933" s="2" t="s">
        <v>104</v>
      </c>
      <c r="CF2933" s="5">
        <v>42975</v>
      </c>
      <c r="CG2933" s="2"/>
      <c r="CH2933" s="2"/>
      <c r="CI2933" s="2">
        <v>1</v>
      </c>
      <c r="CJ2933" s="2">
        <v>1</v>
      </c>
      <c r="CK2933" s="2">
        <v>21</v>
      </c>
      <c r="CL2933" s="2" t="s">
        <v>86</v>
      </c>
      <c r="CM2933" s="2"/>
    </row>
    <row r="2934" spans="1:91">
      <c r="A2934" s="2" t="s">
        <v>71</v>
      </c>
      <c r="B2934" s="2" t="s">
        <v>72</v>
      </c>
      <c r="C2934" s="2" t="s">
        <v>73</v>
      </c>
      <c r="D2934" s="2"/>
      <c r="E2934" s="2" t="str">
        <f>"FES1162571283"</f>
        <v>FES1162571283</v>
      </c>
      <c r="F2934" s="3">
        <v>42971</v>
      </c>
      <c r="G2934" s="2">
        <v>201802</v>
      </c>
      <c r="H2934" s="2" t="s">
        <v>74</v>
      </c>
      <c r="I2934" s="2" t="s">
        <v>75</v>
      </c>
      <c r="J2934" s="2" t="s">
        <v>76</v>
      </c>
      <c r="K2934" s="2" t="s">
        <v>77</v>
      </c>
      <c r="L2934" s="2" t="s">
        <v>237</v>
      </c>
      <c r="M2934" s="2" t="s">
        <v>238</v>
      </c>
      <c r="N2934" s="2" t="s">
        <v>765</v>
      </c>
      <c r="O2934" s="2" t="s">
        <v>100</v>
      </c>
      <c r="P2934" s="2" t="str">
        <f>"2170586925                    "</f>
        <v xml:space="preserve">2170586925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4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1</v>
      </c>
      <c r="BI2934" s="2">
        <v>1</v>
      </c>
      <c r="BJ2934" s="2">
        <v>0.2</v>
      </c>
      <c r="BK2934" s="2">
        <v>1</v>
      </c>
      <c r="BL2934" s="2">
        <v>41.44</v>
      </c>
      <c r="BM2934" s="2">
        <v>5.8</v>
      </c>
      <c r="BN2934" s="2">
        <v>47.24</v>
      </c>
      <c r="BO2934" s="2">
        <v>47.24</v>
      </c>
      <c r="BP2934" s="2"/>
      <c r="BQ2934" s="2" t="s">
        <v>108</v>
      </c>
      <c r="BR2934" s="2" t="s">
        <v>84</v>
      </c>
      <c r="BS2934" s="3">
        <v>42972</v>
      </c>
      <c r="BT2934" s="4">
        <v>0.32500000000000001</v>
      </c>
      <c r="BU2934" s="2" t="s">
        <v>3188</v>
      </c>
      <c r="BV2934" s="2" t="s">
        <v>95</v>
      </c>
      <c r="BW2934" s="2"/>
      <c r="BX2934" s="2"/>
      <c r="BY2934" s="2">
        <v>1200</v>
      </c>
      <c r="BZ2934" s="2"/>
      <c r="CA2934" s="2" t="s">
        <v>2641</v>
      </c>
      <c r="CB2934" s="2"/>
      <c r="CC2934" s="2" t="s">
        <v>238</v>
      </c>
      <c r="CD2934" s="2">
        <v>3610</v>
      </c>
      <c r="CE2934" s="2" t="s">
        <v>104</v>
      </c>
      <c r="CF2934" s="5">
        <v>42975</v>
      </c>
      <c r="CG2934" s="2"/>
      <c r="CH2934" s="2"/>
      <c r="CI2934" s="2">
        <v>1</v>
      </c>
      <c r="CJ2934" s="2">
        <v>1</v>
      </c>
      <c r="CK2934" s="2">
        <v>21</v>
      </c>
      <c r="CL2934" s="2" t="s">
        <v>86</v>
      </c>
      <c r="CM2934" s="2"/>
    </row>
    <row r="2935" spans="1:91">
      <c r="A2935" s="2" t="s">
        <v>71</v>
      </c>
      <c r="B2935" s="2" t="s">
        <v>72</v>
      </c>
      <c r="C2935" s="2" t="s">
        <v>73</v>
      </c>
      <c r="D2935" s="2"/>
      <c r="E2935" s="2" t="str">
        <f>"FES1162571144"</f>
        <v>FES1162571144</v>
      </c>
      <c r="F2935" s="3">
        <v>42971</v>
      </c>
      <c r="G2935" s="2">
        <v>201802</v>
      </c>
      <c r="H2935" s="2" t="s">
        <v>74</v>
      </c>
      <c r="I2935" s="2" t="s">
        <v>75</v>
      </c>
      <c r="J2935" s="2" t="s">
        <v>76</v>
      </c>
      <c r="K2935" s="2" t="s">
        <v>77</v>
      </c>
      <c r="L2935" s="2" t="s">
        <v>244</v>
      </c>
      <c r="M2935" s="2" t="s">
        <v>245</v>
      </c>
      <c r="N2935" s="2" t="s">
        <v>793</v>
      </c>
      <c r="O2935" s="2" t="s">
        <v>100</v>
      </c>
      <c r="P2935" s="2" t="str">
        <f>"2170575299                    "</f>
        <v xml:space="preserve">2170575299  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3.13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1</v>
      </c>
      <c r="BJ2935" s="2">
        <v>0.2</v>
      </c>
      <c r="BK2935" s="2">
        <v>1</v>
      </c>
      <c r="BL2935" s="2">
        <v>32.380000000000003</v>
      </c>
      <c r="BM2935" s="2">
        <v>4.53</v>
      </c>
      <c r="BN2935" s="2">
        <v>36.909999999999997</v>
      </c>
      <c r="BO2935" s="2">
        <v>36.909999999999997</v>
      </c>
      <c r="BP2935" s="2"/>
      <c r="BQ2935" s="2" t="s">
        <v>288</v>
      </c>
      <c r="BR2935" s="2" t="s">
        <v>84</v>
      </c>
      <c r="BS2935" s="3">
        <v>42972</v>
      </c>
      <c r="BT2935" s="4">
        <v>0.3125</v>
      </c>
      <c r="BU2935" s="2" t="s">
        <v>1384</v>
      </c>
      <c r="BV2935" s="2" t="s">
        <v>95</v>
      </c>
      <c r="BW2935" s="2"/>
      <c r="BX2935" s="2"/>
      <c r="BY2935" s="2">
        <v>1200</v>
      </c>
      <c r="BZ2935" s="2" t="s">
        <v>27</v>
      </c>
      <c r="CA2935" s="2" t="s">
        <v>499</v>
      </c>
      <c r="CB2935" s="2"/>
      <c r="CC2935" s="2" t="s">
        <v>245</v>
      </c>
      <c r="CD2935" s="2">
        <v>1459</v>
      </c>
      <c r="CE2935" s="2" t="s">
        <v>104</v>
      </c>
      <c r="CF2935" s="5">
        <v>42975</v>
      </c>
      <c r="CG2935" s="2"/>
      <c r="CH2935" s="2"/>
      <c r="CI2935" s="2">
        <v>1</v>
      </c>
      <c r="CJ2935" s="2">
        <v>1</v>
      </c>
      <c r="CK2935" s="2">
        <v>22</v>
      </c>
      <c r="CL2935" s="2" t="s">
        <v>86</v>
      </c>
      <c r="CM2935" s="2"/>
    </row>
    <row r="2936" spans="1:91">
      <c r="A2936" s="2" t="s">
        <v>71</v>
      </c>
      <c r="B2936" s="2" t="s">
        <v>72</v>
      </c>
      <c r="C2936" s="2" t="s">
        <v>73</v>
      </c>
      <c r="D2936" s="2"/>
      <c r="E2936" s="2" t="str">
        <f>"FES1162571333"</f>
        <v>FES1162571333</v>
      </c>
      <c r="F2936" s="3">
        <v>42971</v>
      </c>
      <c r="G2936" s="2">
        <v>201802</v>
      </c>
      <c r="H2936" s="2" t="s">
        <v>74</v>
      </c>
      <c r="I2936" s="2" t="s">
        <v>75</v>
      </c>
      <c r="J2936" s="2" t="s">
        <v>76</v>
      </c>
      <c r="K2936" s="2" t="s">
        <v>77</v>
      </c>
      <c r="L2936" s="2" t="s">
        <v>268</v>
      </c>
      <c r="M2936" s="2" t="s">
        <v>269</v>
      </c>
      <c r="N2936" s="2" t="s">
        <v>442</v>
      </c>
      <c r="O2936" s="2" t="s">
        <v>100</v>
      </c>
      <c r="P2936" s="2" t="str">
        <f>"2170579569                    "</f>
        <v xml:space="preserve">2170579569 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4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2</v>
      </c>
      <c r="BJ2936" s="2">
        <v>0.2</v>
      </c>
      <c r="BK2936" s="2">
        <v>2</v>
      </c>
      <c r="BL2936" s="2">
        <v>41.44</v>
      </c>
      <c r="BM2936" s="2">
        <v>5.8</v>
      </c>
      <c r="BN2936" s="2">
        <v>47.24</v>
      </c>
      <c r="BO2936" s="2">
        <v>47.24</v>
      </c>
      <c r="BP2936" s="2"/>
      <c r="BQ2936" s="2" t="s">
        <v>83</v>
      </c>
      <c r="BR2936" s="2" t="s">
        <v>84</v>
      </c>
      <c r="BS2936" s="3">
        <v>42972</v>
      </c>
      <c r="BT2936" s="4">
        <v>0.42708333333333331</v>
      </c>
      <c r="BU2936" s="2" t="s">
        <v>443</v>
      </c>
      <c r="BV2936" s="2" t="s">
        <v>95</v>
      </c>
      <c r="BW2936" s="2"/>
      <c r="BX2936" s="2"/>
      <c r="BY2936" s="2">
        <v>1200</v>
      </c>
      <c r="BZ2936" s="2"/>
      <c r="CA2936" s="2" t="s">
        <v>445</v>
      </c>
      <c r="CB2936" s="2"/>
      <c r="CC2936" s="2" t="s">
        <v>269</v>
      </c>
      <c r="CD2936" s="2">
        <v>1</v>
      </c>
      <c r="CE2936" s="2" t="s">
        <v>104</v>
      </c>
      <c r="CF2936" s="5">
        <v>42975</v>
      </c>
      <c r="CG2936" s="2"/>
      <c r="CH2936" s="2"/>
      <c r="CI2936" s="2">
        <v>1</v>
      </c>
      <c r="CJ2936" s="2">
        <v>1</v>
      </c>
      <c r="CK2936" s="2">
        <v>21</v>
      </c>
      <c r="CL2936" s="2" t="s">
        <v>86</v>
      </c>
      <c r="CM2936" s="2"/>
    </row>
    <row r="2937" spans="1:91">
      <c r="A2937" s="2" t="s">
        <v>71</v>
      </c>
      <c r="B2937" s="2" t="s">
        <v>72</v>
      </c>
      <c r="C2937" s="2" t="s">
        <v>73</v>
      </c>
      <c r="D2937" s="2"/>
      <c r="E2937" s="2" t="str">
        <f>"FES1162571152"</f>
        <v>FES1162571152</v>
      </c>
      <c r="F2937" s="3">
        <v>42971</v>
      </c>
      <c r="G2937" s="2">
        <v>201802</v>
      </c>
      <c r="H2937" s="2" t="s">
        <v>74</v>
      </c>
      <c r="I2937" s="2" t="s">
        <v>75</v>
      </c>
      <c r="J2937" s="2" t="s">
        <v>76</v>
      </c>
      <c r="K2937" s="2" t="s">
        <v>77</v>
      </c>
      <c r="L2937" s="2" t="s">
        <v>144</v>
      </c>
      <c r="M2937" s="2" t="s">
        <v>145</v>
      </c>
      <c r="N2937" s="2" t="s">
        <v>146</v>
      </c>
      <c r="O2937" s="2" t="s">
        <v>100</v>
      </c>
      <c r="P2937" s="2" t="str">
        <f>"2170582922                    "</f>
        <v xml:space="preserve">2170582922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3.13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1</v>
      </c>
      <c r="BJ2937" s="2">
        <v>0.2</v>
      </c>
      <c r="BK2937" s="2">
        <v>1</v>
      </c>
      <c r="BL2937" s="2">
        <v>32.380000000000003</v>
      </c>
      <c r="BM2937" s="2">
        <v>4.53</v>
      </c>
      <c r="BN2937" s="2">
        <v>36.909999999999997</v>
      </c>
      <c r="BO2937" s="2">
        <v>36.909999999999997</v>
      </c>
      <c r="BP2937" s="2"/>
      <c r="BQ2937" s="2" t="s">
        <v>83</v>
      </c>
      <c r="BR2937" s="2" t="s">
        <v>84</v>
      </c>
      <c r="BS2937" s="3">
        <v>42972</v>
      </c>
      <c r="BT2937" s="4">
        <v>0.3611111111111111</v>
      </c>
      <c r="BU2937" s="2" t="s">
        <v>1176</v>
      </c>
      <c r="BV2937" s="2" t="s">
        <v>95</v>
      </c>
      <c r="BW2937" s="2"/>
      <c r="BX2937" s="2"/>
      <c r="BY2937" s="2">
        <v>1200</v>
      </c>
      <c r="BZ2937" s="2" t="s">
        <v>27</v>
      </c>
      <c r="CA2937" s="2" t="s">
        <v>729</v>
      </c>
      <c r="CB2937" s="2"/>
      <c r="CC2937" s="2" t="s">
        <v>145</v>
      </c>
      <c r="CD2937" s="2">
        <v>2094</v>
      </c>
      <c r="CE2937" s="2" t="s">
        <v>104</v>
      </c>
      <c r="CF2937" s="5">
        <v>42975</v>
      </c>
      <c r="CG2937" s="2"/>
      <c r="CH2937" s="2"/>
      <c r="CI2937" s="2">
        <v>1</v>
      </c>
      <c r="CJ2937" s="2">
        <v>1</v>
      </c>
      <c r="CK2937" s="2">
        <v>22</v>
      </c>
      <c r="CL2937" s="2" t="s">
        <v>86</v>
      </c>
      <c r="CM2937" s="2"/>
    </row>
    <row r="2938" spans="1:91">
      <c r="A2938" s="2" t="s">
        <v>71</v>
      </c>
      <c r="B2938" s="2" t="s">
        <v>72</v>
      </c>
      <c r="C2938" s="2" t="s">
        <v>73</v>
      </c>
      <c r="D2938" s="2"/>
      <c r="E2938" s="2" t="str">
        <f>"FES1162571105"</f>
        <v>FES1162571105</v>
      </c>
      <c r="F2938" s="3">
        <v>42971</v>
      </c>
      <c r="G2938" s="2">
        <v>201802</v>
      </c>
      <c r="H2938" s="2" t="s">
        <v>74</v>
      </c>
      <c r="I2938" s="2" t="s">
        <v>75</v>
      </c>
      <c r="J2938" s="2" t="s">
        <v>76</v>
      </c>
      <c r="K2938" s="2" t="s">
        <v>77</v>
      </c>
      <c r="L2938" s="2" t="s">
        <v>74</v>
      </c>
      <c r="M2938" s="2" t="s">
        <v>75</v>
      </c>
      <c r="N2938" s="2" t="s">
        <v>329</v>
      </c>
      <c r="O2938" s="2" t="s">
        <v>100</v>
      </c>
      <c r="P2938" s="2" t="str">
        <f>"2170584771                    "</f>
        <v xml:space="preserve">2170584771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3.13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1</v>
      </c>
      <c r="BJ2938" s="2">
        <v>0.2</v>
      </c>
      <c r="BK2938" s="2">
        <v>1</v>
      </c>
      <c r="BL2938" s="2">
        <v>32.380000000000003</v>
      </c>
      <c r="BM2938" s="2">
        <v>4.53</v>
      </c>
      <c r="BN2938" s="2">
        <v>36.909999999999997</v>
      </c>
      <c r="BO2938" s="2">
        <v>36.909999999999997</v>
      </c>
      <c r="BP2938" s="2"/>
      <c r="BQ2938" s="2" t="s">
        <v>83</v>
      </c>
      <c r="BR2938" s="2" t="s">
        <v>84</v>
      </c>
      <c r="BS2938" s="3">
        <v>42972</v>
      </c>
      <c r="BT2938" s="4">
        <v>0.32777777777777778</v>
      </c>
      <c r="BU2938" s="2" t="s">
        <v>2176</v>
      </c>
      <c r="BV2938" s="2" t="s">
        <v>95</v>
      </c>
      <c r="BW2938" s="2"/>
      <c r="BX2938" s="2"/>
      <c r="BY2938" s="2">
        <v>1200</v>
      </c>
      <c r="BZ2938" s="2" t="s">
        <v>27</v>
      </c>
      <c r="CA2938" s="2" t="s">
        <v>331</v>
      </c>
      <c r="CB2938" s="2"/>
      <c r="CC2938" s="2" t="s">
        <v>75</v>
      </c>
      <c r="CD2938" s="2">
        <v>1600</v>
      </c>
      <c r="CE2938" s="2" t="s">
        <v>104</v>
      </c>
      <c r="CF2938" s="5">
        <v>42975</v>
      </c>
      <c r="CG2938" s="2"/>
      <c r="CH2938" s="2"/>
      <c r="CI2938" s="2">
        <v>1</v>
      </c>
      <c r="CJ2938" s="2">
        <v>1</v>
      </c>
      <c r="CK2938" s="2">
        <v>22</v>
      </c>
      <c r="CL2938" s="2" t="s">
        <v>86</v>
      </c>
      <c r="CM2938" s="2"/>
    </row>
    <row r="2939" spans="1:91">
      <c r="A2939" s="2" t="s">
        <v>71</v>
      </c>
      <c r="B2939" s="2" t="s">
        <v>72</v>
      </c>
      <c r="C2939" s="2" t="s">
        <v>73</v>
      </c>
      <c r="D2939" s="2"/>
      <c r="E2939" s="2" t="str">
        <f>"FES1162571367"</f>
        <v>FES1162571367</v>
      </c>
      <c r="F2939" s="3">
        <v>42971</v>
      </c>
      <c r="G2939" s="2">
        <v>201802</v>
      </c>
      <c r="H2939" s="2" t="s">
        <v>74</v>
      </c>
      <c r="I2939" s="2" t="s">
        <v>75</v>
      </c>
      <c r="J2939" s="2" t="s">
        <v>76</v>
      </c>
      <c r="K2939" s="2" t="s">
        <v>77</v>
      </c>
      <c r="L2939" s="2" t="s">
        <v>170</v>
      </c>
      <c r="M2939" s="2" t="s">
        <v>171</v>
      </c>
      <c r="N2939" s="2" t="s">
        <v>1846</v>
      </c>
      <c r="O2939" s="2" t="s">
        <v>100</v>
      </c>
      <c r="P2939" s="2" t="str">
        <f>"2170587008                    "</f>
        <v xml:space="preserve">2170587008 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3.13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1</v>
      </c>
      <c r="BJ2939" s="2">
        <v>0.2</v>
      </c>
      <c r="BK2939" s="2">
        <v>1</v>
      </c>
      <c r="BL2939" s="2">
        <v>32.380000000000003</v>
      </c>
      <c r="BM2939" s="2">
        <v>4.53</v>
      </c>
      <c r="BN2939" s="2">
        <v>36.909999999999997</v>
      </c>
      <c r="BO2939" s="2">
        <v>36.909999999999997</v>
      </c>
      <c r="BP2939" s="2"/>
      <c r="BQ2939" s="2" t="s">
        <v>108</v>
      </c>
      <c r="BR2939" s="2" t="s">
        <v>84</v>
      </c>
      <c r="BS2939" s="3">
        <v>42972</v>
      </c>
      <c r="BT2939" s="4">
        <v>0.30277777777777776</v>
      </c>
      <c r="BU2939" s="2" t="s">
        <v>1360</v>
      </c>
      <c r="BV2939" s="2" t="s">
        <v>95</v>
      </c>
      <c r="BW2939" s="2"/>
      <c r="BX2939" s="2"/>
      <c r="BY2939" s="2">
        <v>1200</v>
      </c>
      <c r="BZ2939" s="2"/>
      <c r="CA2939" s="2" t="s">
        <v>1617</v>
      </c>
      <c r="CB2939" s="2"/>
      <c r="CC2939" s="2" t="s">
        <v>171</v>
      </c>
      <c r="CD2939" s="2">
        <v>1401</v>
      </c>
      <c r="CE2939" s="2" t="s">
        <v>104</v>
      </c>
      <c r="CF2939" s="5">
        <v>42975</v>
      </c>
      <c r="CG2939" s="2"/>
      <c r="CH2939" s="2"/>
      <c r="CI2939" s="2">
        <v>1</v>
      </c>
      <c r="CJ2939" s="2">
        <v>1</v>
      </c>
      <c r="CK2939" s="2">
        <v>22</v>
      </c>
      <c r="CL2939" s="2" t="s">
        <v>86</v>
      </c>
      <c r="CM2939" s="2"/>
    </row>
    <row r="2940" spans="1:91">
      <c r="A2940" s="2" t="s">
        <v>71</v>
      </c>
      <c r="B2940" s="2" t="s">
        <v>72</v>
      </c>
      <c r="C2940" s="2" t="s">
        <v>73</v>
      </c>
      <c r="D2940" s="2"/>
      <c r="E2940" s="2" t="str">
        <f>"FES1162571288"</f>
        <v>FES1162571288</v>
      </c>
      <c r="F2940" s="3">
        <v>42971</v>
      </c>
      <c r="G2940" s="2">
        <v>201802</v>
      </c>
      <c r="H2940" s="2" t="s">
        <v>74</v>
      </c>
      <c r="I2940" s="2" t="s">
        <v>75</v>
      </c>
      <c r="J2940" s="2" t="s">
        <v>76</v>
      </c>
      <c r="K2940" s="2" t="s">
        <v>77</v>
      </c>
      <c r="L2940" s="2" t="s">
        <v>417</v>
      </c>
      <c r="M2940" s="2" t="s">
        <v>417</v>
      </c>
      <c r="N2940" s="2" t="s">
        <v>1849</v>
      </c>
      <c r="O2940" s="2" t="s">
        <v>100</v>
      </c>
      <c r="P2940" s="2" t="str">
        <f>"2170586930                    "</f>
        <v xml:space="preserve">2170586930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4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1</v>
      </c>
      <c r="BJ2940" s="2">
        <v>0.2</v>
      </c>
      <c r="BK2940" s="2">
        <v>1</v>
      </c>
      <c r="BL2940" s="2">
        <v>41.44</v>
      </c>
      <c r="BM2940" s="2">
        <v>5.8</v>
      </c>
      <c r="BN2940" s="2">
        <v>47.24</v>
      </c>
      <c r="BO2940" s="2">
        <v>47.24</v>
      </c>
      <c r="BP2940" s="2"/>
      <c r="BQ2940" s="2" t="s">
        <v>288</v>
      </c>
      <c r="BR2940" s="2" t="s">
        <v>84</v>
      </c>
      <c r="BS2940" s="3">
        <v>42972</v>
      </c>
      <c r="BT2940" s="4">
        <v>0.55277777777777781</v>
      </c>
      <c r="BU2940" s="2" t="s">
        <v>3189</v>
      </c>
      <c r="BV2940" s="2" t="s">
        <v>95</v>
      </c>
      <c r="BW2940" s="2"/>
      <c r="BX2940" s="2"/>
      <c r="BY2940" s="2">
        <v>1200</v>
      </c>
      <c r="BZ2940" s="2"/>
      <c r="CA2940" s="2" t="s">
        <v>460</v>
      </c>
      <c r="CB2940" s="2"/>
      <c r="CC2940" s="2" t="s">
        <v>417</v>
      </c>
      <c r="CD2940" s="2">
        <v>7620</v>
      </c>
      <c r="CE2940" s="2" t="s">
        <v>104</v>
      </c>
      <c r="CF2940" s="5">
        <v>42975</v>
      </c>
      <c r="CG2940" s="2"/>
      <c r="CH2940" s="2"/>
      <c r="CI2940" s="2">
        <v>1</v>
      </c>
      <c r="CJ2940" s="2">
        <v>1</v>
      </c>
      <c r="CK2940" s="2">
        <v>21</v>
      </c>
      <c r="CL2940" s="2" t="s">
        <v>86</v>
      </c>
      <c r="CM2940" s="2"/>
    </row>
    <row r="2941" spans="1:91">
      <c r="A2941" s="2" t="s">
        <v>71</v>
      </c>
      <c r="B2941" s="2" t="s">
        <v>72</v>
      </c>
      <c r="C2941" s="2" t="s">
        <v>73</v>
      </c>
      <c r="D2941" s="2"/>
      <c r="E2941" s="2" t="str">
        <f>"FES1162571101"</f>
        <v>FES1162571101</v>
      </c>
      <c r="F2941" s="3">
        <v>42971</v>
      </c>
      <c r="G2941" s="2">
        <v>201802</v>
      </c>
      <c r="H2941" s="2" t="s">
        <v>74</v>
      </c>
      <c r="I2941" s="2" t="s">
        <v>75</v>
      </c>
      <c r="J2941" s="2" t="s">
        <v>76</v>
      </c>
      <c r="K2941" s="2" t="s">
        <v>77</v>
      </c>
      <c r="L2941" s="2" t="s">
        <v>74</v>
      </c>
      <c r="M2941" s="2" t="s">
        <v>75</v>
      </c>
      <c r="N2941" s="2" t="s">
        <v>192</v>
      </c>
      <c r="O2941" s="2" t="s">
        <v>100</v>
      </c>
      <c r="P2941" s="2" t="str">
        <f>"2170584695                    "</f>
        <v xml:space="preserve">2170584695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3.13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0.8</v>
      </c>
      <c r="BJ2941" s="2">
        <v>1.4</v>
      </c>
      <c r="BK2941" s="2">
        <v>2</v>
      </c>
      <c r="BL2941" s="2">
        <v>32.380000000000003</v>
      </c>
      <c r="BM2941" s="2">
        <v>4.53</v>
      </c>
      <c r="BN2941" s="2">
        <v>36.909999999999997</v>
      </c>
      <c r="BO2941" s="2">
        <v>36.909999999999997</v>
      </c>
      <c r="BP2941" s="2"/>
      <c r="BQ2941" s="2" t="s">
        <v>288</v>
      </c>
      <c r="BR2941" s="2" t="s">
        <v>84</v>
      </c>
      <c r="BS2941" s="3">
        <v>42972</v>
      </c>
      <c r="BT2941" s="4">
        <v>0.35902777777777778</v>
      </c>
      <c r="BU2941" s="2" t="s">
        <v>193</v>
      </c>
      <c r="BV2941" s="2" t="s">
        <v>95</v>
      </c>
      <c r="BW2941" s="2"/>
      <c r="BX2941" s="2"/>
      <c r="BY2941" s="2">
        <v>6963.94</v>
      </c>
      <c r="BZ2941" s="2" t="s">
        <v>27</v>
      </c>
      <c r="CA2941" s="2" t="s">
        <v>194</v>
      </c>
      <c r="CB2941" s="2"/>
      <c r="CC2941" s="2" t="s">
        <v>75</v>
      </c>
      <c r="CD2941" s="2">
        <v>1665</v>
      </c>
      <c r="CE2941" s="2" t="s">
        <v>104</v>
      </c>
      <c r="CF2941" s="5">
        <v>42975</v>
      </c>
      <c r="CG2941" s="2"/>
      <c r="CH2941" s="2"/>
      <c r="CI2941" s="2">
        <v>1</v>
      </c>
      <c r="CJ2941" s="2">
        <v>1</v>
      </c>
      <c r="CK2941" s="2">
        <v>22</v>
      </c>
      <c r="CL2941" s="2" t="s">
        <v>86</v>
      </c>
      <c r="CM2941" s="2"/>
    </row>
    <row r="2942" spans="1:91">
      <c r="A2942" s="2" t="s">
        <v>71</v>
      </c>
      <c r="B2942" s="2" t="s">
        <v>72</v>
      </c>
      <c r="C2942" s="2" t="s">
        <v>73</v>
      </c>
      <c r="D2942" s="2"/>
      <c r="E2942" s="2" t="str">
        <f>"FES1162571356"</f>
        <v>FES1162571356</v>
      </c>
      <c r="F2942" s="3">
        <v>42971</v>
      </c>
      <c r="G2942" s="2">
        <v>201802</v>
      </c>
      <c r="H2942" s="2" t="s">
        <v>74</v>
      </c>
      <c r="I2942" s="2" t="s">
        <v>75</v>
      </c>
      <c r="J2942" s="2" t="s">
        <v>76</v>
      </c>
      <c r="K2942" s="2" t="s">
        <v>77</v>
      </c>
      <c r="L2942" s="2" t="s">
        <v>105</v>
      </c>
      <c r="M2942" s="2" t="s">
        <v>106</v>
      </c>
      <c r="N2942" s="2" t="s">
        <v>520</v>
      </c>
      <c r="O2942" s="2" t="s">
        <v>100</v>
      </c>
      <c r="P2942" s="2" t="str">
        <f>"2170586998                    "</f>
        <v xml:space="preserve">2170586998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4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1</v>
      </c>
      <c r="BI2942" s="2">
        <v>1</v>
      </c>
      <c r="BJ2942" s="2">
        <v>0.2</v>
      </c>
      <c r="BK2942" s="2">
        <v>1</v>
      </c>
      <c r="BL2942" s="2">
        <v>41.44</v>
      </c>
      <c r="BM2942" s="2">
        <v>5.8</v>
      </c>
      <c r="BN2942" s="2">
        <v>47.24</v>
      </c>
      <c r="BO2942" s="2">
        <v>47.24</v>
      </c>
      <c r="BP2942" s="2"/>
      <c r="BQ2942" s="2" t="s">
        <v>288</v>
      </c>
      <c r="BR2942" s="2" t="s">
        <v>84</v>
      </c>
      <c r="BS2942" s="3">
        <v>42972</v>
      </c>
      <c r="BT2942" s="4">
        <v>0.3923611111111111</v>
      </c>
      <c r="BU2942" s="2" t="s">
        <v>3190</v>
      </c>
      <c r="BV2942" s="2" t="s">
        <v>95</v>
      </c>
      <c r="BW2942" s="2"/>
      <c r="BX2942" s="2"/>
      <c r="BY2942" s="2">
        <v>1200</v>
      </c>
      <c r="BZ2942" s="2"/>
      <c r="CA2942" s="2" t="s">
        <v>1867</v>
      </c>
      <c r="CB2942" s="2"/>
      <c r="CC2942" s="2" t="s">
        <v>106</v>
      </c>
      <c r="CD2942" s="2">
        <v>7405</v>
      </c>
      <c r="CE2942" s="2" t="s">
        <v>104</v>
      </c>
      <c r="CF2942" s="5">
        <v>42975</v>
      </c>
      <c r="CG2942" s="2"/>
      <c r="CH2942" s="2"/>
      <c r="CI2942" s="2">
        <v>1</v>
      </c>
      <c r="CJ2942" s="2">
        <v>1</v>
      </c>
      <c r="CK2942" s="2">
        <v>21</v>
      </c>
      <c r="CL2942" s="2" t="s">
        <v>86</v>
      </c>
      <c r="CM2942" s="2"/>
    </row>
    <row r="2943" spans="1:91">
      <c r="A2943" s="2" t="s">
        <v>71</v>
      </c>
      <c r="B2943" s="2" t="s">
        <v>72</v>
      </c>
      <c r="C2943" s="2" t="s">
        <v>73</v>
      </c>
      <c r="D2943" s="2"/>
      <c r="E2943" s="2" t="str">
        <f>"FES1162571314"</f>
        <v>FES1162571314</v>
      </c>
      <c r="F2943" s="3">
        <v>42971</v>
      </c>
      <c r="G2943" s="2">
        <v>201802</v>
      </c>
      <c r="H2943" s="2" t="s">
        <v>74</v>
      </c>
      <c r="I2943" s="2" t="s">
        <v>75</v>
      </c>
      <c r="J2943" s="2" t="s">
        <v>76</v>
      </c>
      <c r="K2943" s="2" t="s">
        <v>77</v>
      </c>
      <c r="L2943" s="2" t="s">
        <v>105</v>
      </c>
      <c r="M2943" s="2" t="s">
        <v>106</v>
      </c>
      <c r="N2943" s="2" t="s">
        <v>1093</v>
      </c>
      <c r="O2943" s="2" t="s">
        <v>100</v>
      </c>
      <c r="P2943" s="2" t="str">
        <f>"2170586963                    "</f>
        <v xml:space="preserve">2170586963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4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1</v>
      </c>
      <c r="BI2943" s="2">
        <v>1</v>
      </c>
      <c r="BJ2943" s="2">
        <v>0.2</v>
      </c>
      <c r="BK2943" s="2">
        <v>1</v>
      </c>
      <c r="BL2943" s="2">
        <v>41.44</v>
      </c>
      <c r="BM2943" s="2">
        <v>5.8</v>
      </c>
      <c r="BN2943" s="2">
        <v>47.24</v>
      </c>
      <c r="BO2943" s="2">
        <v>47.24</v>
      </c>
      <c r="BP2943" s="2"/>
      <c r="BQ2943" s="2" t="s">
        <v>83</v>
      </c>
      <c r="BR2943" s="2" t="s">
        <v>84</v>
      </c>
      <c r="BS2943" s="3">
        <v>42972</v>
      </c>
      <c r="BT2943" s="4">
        <v>0.38125000000000003</v>
      </c>
      <c r="BU2943" s="2" t="s">
        <v>1094</v>
      </c>
      <c r="BV2943" s="2" t="s">
        <v>95</v>
      </c>
      <c r="BW2943" s="2"/>
      <c r="BX2943" s="2"/>
      <c r="BY2943" s="2">
        <v>1200</v>
      </c>
      <c r="BZ2943" s="2"/>
      <c r="CA2943" s="2" t="s">
        <v>3186</v>
      </c>
      <c r="CB2943" s="2"/>
      <c r="CC2943" s="2" t="s">
        <v>106</v>
      </c>
      <c r="CD2943" s="2">
        <v>7975</v>
      </c>
      <c r="CE2943" s="2" t="s">
        <v>104</v>
      </c>
      <c r="CF2943" s="5">
        <v>42975</v>
      </c>
      <c r="CG2943" s="2"/>
      <c r="CH2943" s="2"/>
      <c r="CI2943" s="2">
        <v>1</v>
      </c>
      <c r="CJ2943" s="2">
        <v>1</v>
      </c>
      <c r="CK2943" s="2">
        <v>21</v>
      </c>
      <c r="CL2943" s="2" t="s">
        <v>86</v>
      </c>
      <c r="CM2943" s="2"/>
    </row>
    <row r="2944" spans="1:91">
      <c r="A2944" s="2" t="s">
        <v>71</v>
      </c>
      <c r="B2944" s="2" t="s">
        <v>72</v>
      </c>
      <c r="C2944" s="2" t="s">
        <v>73</v>
      </c>
      <c r="D2944" s="2"/>
      <c r="E2944" s="2" t="str">
        <f>"FES1162571358"</f>
        <v>FES1162571358</v>
      </c>
      <c r="F2944" s="3">
        <v>42971</v>
      </c>
      <c r="G2944" s="2">
        <v>201802</v>
      </c>
      <c r="H2944" s="2" t="s">
        <v>74</v>
      </c>
      <c r="I2944" s="2" t="s">
        <v>75</v>
      </c>
      <c r="J2944" s="2" t="s">
        <v>76</v>
      </c>
      <c r="K2944" s="2" t="s">
        <v>77</v>
      </c>
      <c r="L2944" s="2" t="s">
        <v>137</v>
      </c>
      <c r="M2944" s="2" t="s">
        <v>138</v>
      </c>
      <c r="N2944" s="2" t="s">
        <v>368</v>
      </c>
      <c r="O2944" s="2" t="s">
        <v>100</v>
      </c>
      <c r="P2944" s="2" t="str">
        <f>"2170587001                    "</f>
        <v xml:space="preserve">2170587001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4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1.3</v>
      </c>
      <c r="BJ2944" s="2">
        <v>1</v>
      </c>
      <c r="BK2944" s="2">
        <v>1.5</v>
      </c>
      <c r="BL2944" s="2">
        <v>41.44</v>
      </c>
      <c r="BM2944" s="2">
        <v>5.8</v>
      </c>
      <c r="BN2944" s="2">
        <v>47.24</v>
      </c>
      <c r="BO2944" s="2">
        <v>47.24</v>
      </c>
      <c r="BP2944" s="2"/>
      <c r="BQ2944" s="2" t="s">
        <v>108</v>
      </c>
      <c r="BR2944" s="2" t="s">
        <v>84</v>
      </c>
      <c r="BS2944" s="3">
        <v>42972</v>
      </c>
      <c r="BT2944" s="4">
        <v>0.34166666666666662</v>
      </c>
      <c r="BU2944" s="2" t="s">
        <v>1109</v>
      </c>
      <c r="BV2944" s="2" t="s">
        <v>95</v>
      </c>
      <c r="BW2944" s="2"/>
      <c r="BX2944" s="2"/>
      <c r="BY2944" s="2">
        <v>4879.3900000000003</v>
      </c>
      <c r="BZ2944" s="2" t="s">
        <v>27</v>
      </c>
      <c r="CA2944" s="2"/>
      <c r="CB2944" s="2"/>
      <c r="CC2944" s="2" t="s">
        <v>138</v>
      </c>
      <c r="CD2944" s="2">
        <v>157</v>
      </c>
      <c r="CE2944" s="2" t="s">
        <v>89</v>
      </c>
      <c r="CF2944" s="5">
        <v>42975</v>
      </c>
      <c r="CG2944" s="2"/>
      <c r="CH2944" s="2"/>
      <c r="CI2944" s="2">
        <v>1</v>
      </c>
      <c r="CJ2944" s="2">
        <v>1</v>
      </c>
      <c r="CK2944" s="2">
        <v>21</v>
      </c>
      <c r="CL2944" s="2" t="s">
        <v>86</v>
      </c>
      <c r="CM2944" s="2"/>
    </row>
    <row r="2945" spans="1:91">
      <c r="A2945" s="2" t="s">
        <v>71</v>
      </c>
      <c r="B2945" s="2" t="s">
        <v>72</v>
      </c>
      <c r="C2945" s="2" t="s">
        <v>73</v>
      </c>
      <c r="D2945" s="2"/>
      <c r="E2945" s="2" t="str">
        <f>"FES1162571302"</f>
        <v>FES1162571302</v>
      </c>
      <c r="F2945" s="3">
        <v>42971</v>
      </c>
      <c r="G2945" s="2">
        <v>201802</v>
      </c>
      <c r="H2945" s="2" t="s">
        <v>74</v>
      </c>
      <c r="I2945" s="2" t="s">
        <v>75</v>
      </c>
      <c r="J2945" s="2" t="s">
        <v>76</v>
      </c>
      <c r="K2945" s="2" t="s">
        <v>77</v>
      </c>
      <c r="L2945" s="2" t="s">
        <v>105</v>
      </c>
      <c r="M2945" s="2" t="s">
        <v>106</v>
      </c>
      <c r="N2945" s="2" t="s">
        <v>534</v>
      </c>
      <c r="O2945" s="2" t="s">
        <v>100</v>
      </c>
      <c r="P2945" s="2" t="str">
        <f>"2170586945                    "</f>
        <v xml:space="preserve">2170586945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18.010000000000002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5.0999999999999996</v>
      </c>
      <c r="BJ2945" s="2">
        <v>9</v>
      </c>
      <c r="BK2945" s="2">
        <v>9</v>
      </c>
      <c r="BL2945" s="2">
        <v>186.49</v>
      </c>
      <c r="BM2945" s="2">
        <v>26.11</v>
      </c>
      <c r="BN2945" s="2">
        <v>212.6</v>
      </c>
      <c r="BO2945" s="2">
        <v>212.6</v>
      </c>
      <c r="BP2945" s="2"/>
      <c r="BQ2945" s="2" t="s">
        <v>2274</v>
      </c>
      <c r="BR2945" s="2" t="s">
        <v>84</v>
      </c>
      <c r="BS2945" s="3">
        <v>42972</v>
      </c>
      <c r="BT2945" s="4">
        <v>0.35972222222222222</v>
      </c>
      <c r="BU2945" s="2" t="s">
        <v>2398</v>
      </c>
      <c r="BV2945" s="2" t="s">
        <v>95</v>
      </c>
      <c r="BW2945" s="2"/>
      <c r="BX2945" s="2"/>
      <c r="BY2945" s="2">
        <v>44952.08</v>
      </c>
      <c r="BZ2945" s="2" t="s">
        <v>27</v>
      </c>
      <c r="CA2945" s="2" t="s">
        <v>112</v>
      </c>
      <c r="CB2945" s="2"/>
      <c r="CC2945" s="2" t="s">
        <v>106</v>
      </c>
      <c r="CD2945" s="2">
        <v>7405</v>
      </c>
      <c r="CE2945" s="2" t="s">
        <v>89</v>
      </c>
      <c r="CF2945" s="5">
        <v>42975</v>
      </c>
      <c r="CG2945" s="2"/>
      <c r="CH2945" s="2"/>
      <c r="CI2945" s="2">
        <v>1</v>
      </c>
      <c r="CJ2945" s="2">
        <v>1</v>
      </c>
      <c r="CK2945" s="2">
        <v>21</v>
      </c>
      <c r="CL2945" s="2" t="s">
        <v>86</v>
      </c>
      <c r="CM2945" s="2"/>
    </row>
    <row r="2946" spans="1:91">
      <c r="A2946" s="2" t="s">
        <v>71</v>
      </c>
      <c r="B2946" s="2" t="s">
        <v>72</v>
      </c>
      <c r="C2946" s="2" t="s">
        <v>73</v>
      </c>
      <c r="D2946" s="2"/>
      <c r="E2946" s="2" t="str">
        <f>"FES1162571215"</f>
        <v>FES1162571215</v>
      </c>
      <c r="F2946" s="3">
        <v>42971</v>
      </c>
      <c r="G2946" s="2">
        <v>201802</v>
      </c>
      <c r="H2946" s="2" t="s">
        <v>74</v>
      </c>
      <c r="I2946" s="2" t="s">
        <v>75</v>
      </c>
      <c r="J2946" s="2" t="s">
        <v>76</v>
      </c>
      <c r="K2946" s="2" t="s">
        <v>77</v>
      </c>
      <c r="L2946" s="2" t="s">
        <v>268</v>
      </c>
      <c r="M2946" s="2" t="s">
        <v>269</v>
      </c>
      <c r="N2946" s="2" t="s">
        <v>3049</v>
      </c>
      <c r="O2946" s="2" t="s">
        <v>100</v>
      </c>
      <c r="P2946" s="2" t="str">
        <f>"2170586847                    "</f>
        <v xml:space="preserve">2170586847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6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1.6</v>
      </c>
      <c r="BJ2946" s="2">
        <v>3</v>
      </c>
      <c r="BK2946" s="2">
        <v>3</v>
      </c>
      <c r="BL2946" s="2">
        <v>62.16</v>
      </c>
      <c r="BM2946" s="2">
        <v>8.6999999999999993</v>
      </c>
      <c r="BN2946" s="2">
        <v>70.86</v>
      </c>
      <c r="BO2946" s="2">
        <v>70.86</v>
      </c>
      <c r="BP2946" s="2"/>
      <c r="BQ2946" s="2" t="s">
        <v>288</v>
      </c>
      <c r="BR2946" s="2" t="s">
        <v>84</v>
      </c>
      <c r="BS2946" s="3">
        <v>42972</v>
      </c>
      <c r="BT2946" s="4">
        <v>0.45833333333333331</v>
      </c>
      <c r="BU2946" s="2" t="s">
        <v>3050</v>
      </c>
      <c r="BV2946" s="2" t="s">
        <v>86</v>
      </c>
      <c r="BW2946" s="2" t="s">
        <v>110</v>
      </c>
      <c r="BX2946" s="2" t="s">
        <v>623</v>
      </c>
      <c r="BY2946" s="2">
        <v>15025.02</v>
      </c>
      <c r="BZ2946" s="2" t="s">
        <v>27</v>
      </c>
      <c r="CA2946" s="2"/>
      <c r="CB2946" s="2"/>
      <c r="CC2946" s="2" t="s">
        <v>269</v>
      </c>
      <c r="CD2946" s="2">
        <v>1</v>
      </c>
      <c r="CE2946" s="2" t="s">
        <v>104</v>
      </c>
      <c r="CF2946" s="5">
        <v>42975</v>
      </c>
      <c r="CG2946" s="2"/>
      <c r="CH2946" s="2"/>
      <c r="CI2946" s="2">
        <v>1</v>
      </c>
      <c r="CJ2946" s="2">
        <v>1</v>
      </c>
      <c r="CK2946" s="2">
        <v>21</v>
      </c>
      <c r="CL2946" s="2" t="s">
        <v>86</v>
      </c>
      <c r="CM2946" s="2"/>
    </row>
    <row r="2947" spans="1:91">
      <c r="A2947" s="2" t="s">
        <v>71</v>
      </c>
      <c r="B2947" s="2" t="s">
        <v>72</v>
      </c>
      <c r="C2947" s="2" t="s">
        <v>73</v>
      </c>
      <c r="D2947" s="2"/>
      <c r="E2947" s="2" t="str">
        <f>"FES1162571359"</f>
        <v>FES1162571359</v>
      </c>
      <c r="F2947" s="3">
        <v>42971</v>
      </c>
      <c r="G2947" s="2">
        <v>201802</v>
      </c>
      <c r="H2947" s="2" t="s">
        <v>74</v>
      </c>
      <c r="I2947" s="2" t="s">
        <v>75</v>
      </c>
      <c r="J2947" s="2" t="s">
        <v>76</v>
      </c>
      <c r="K2947" s="2" t="s">
        <v>77</v>
      </c>
      <c r="L2947" s="2" t="s">
        <v>74</v>
      </c>
      <c r="M2947" s="2" t="s">
        <v>75</v>
      </c>
      <c r="N2947" s="2" t="s">
        <v>567</v>
      </c>
      <c r="O2947" s="2" t="s">
        <v>100</v>
      </c>
      <c r="P2947" s="2" t="str">
        <f>"2170587002                    "</f>
        <v xml:space="preserve">2170587002 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3.13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1</v>
      </c>
      <c r="BI2947" s="2">
        <v>1.3</v>
      </c>
      <c r="BJ2947" s="2">
        <v>1.8</v>
      </c>
      <c r="BK2947" s="2">
        <v>2</v>
      </c>
      <c r="BL2947" s="2">
        <v>32.380000000000003</v>
      </c>
      <c r="BM2947" s="2">
        <v>4.53</v>
      </c>
      <c r="BN2947" s="2">
        <v>36.909999999999997</v>
      </c>
      <c r="BO2947" s="2">
        <v>36.909999999999997</v>
      </c>
      <c r="BP2947" s="2"/>
      <c r="BQ2947" s="2" t="s">
        <v>288</v>
      </c>
      <c r="BR2947" s="2" t="s">
        <v>84</v>
      </c>
      <c r="BS2947" s="3">
        <v>42972</v>
      </c>
      <c r="BT2947" s="4">
        <v>0.3659722222222222</v>
      </c>
      <c r="BU2947" s="2" t="s">
        <v>569</v>
      </c>
      <c r="BV2947" s="2" t="s">
        <v>95</v>
      </c>
      <c r="BW2947" s="2"/>
      <c r="BX2947" s="2"/>
      <c r="BY2947" s="2">
        <v>8887.2000000000007</v>
      </c>
      <c r="BZ2947" s="2" t="s">
        <v>27</v>
      </c>
      <c r="CA2947" s="2" t="s">
        <v>570</v>
      </c>
      <c r="CB2947" s="2"/>
      <c r="CC2947" s="2" t="s">
        <v>75</v>
      </c>
      <c r="CD2947" s="2">
        <v>1682</v>
      </c>
      <c r="CE2947" s="2" t="s">
        <v>104</v>
      </c>
      <c r="CF2947" s="5">
        <v>42975</v>
      </c>
      <c r="CG2947" s="2"/>
      <c r="CH2947" s="2"/>
      <c r="CI2947" s="2">
        <v>1</v>
      </c>
      <c r="CJ2947" s="2">
        <v>1</v>
      </c>
      <c r="CK2947" s="2">
        <v>22</v>
      </c>
      <c r="CL2947" s="2" t="s">
        <v>86</v>
      </c>
      <c r="CM2947" s="2"/>
    </row>
    <row r="2948" spans="1:91">
      <c r="A2948" s="2" t="s">
        <v>71</v>
      </c>
      <c r="B2948" s="2" t="s">
        <v>72</v>
      </c>
      <c r="C2948" s="2" t="s">
        <v>73</v>
      </c>
      <c r="D2948" s="2"/>
      <c r="E2948" s="2" t="str">
        <f>"FES1162571342"</f>
        <v>FES1162571342</v>
      </c>
      <c r="F2948" s="3">
        <v>42971</v>
      </c>
      <c r="G2948" s="2">
        <v>201802</v>
      </c>
      <c r="H2948" s="2" t="s">
        <v>74</v>
      </c>
      <c r="I2948" s="2" t="s">
        <v>75</v>
      </c>
      <c r="J2948" s="2" t="s">
        <v>76</v>
      </c>
      <c r="K2948" s="2" t="s">
        <v>77</v>
      </c>
      <c r="L2948" s="2" t="s">
        <v>137</v>
      </c>
      <c r="M2948" s="2" t="s">
        <v>138</v>
      </c>
      <c r="N2948" s="2" t="s">
        <v>368</v>
      </c>
      <c r="O2948" s="2" t="s">
        <v>100</v>
      </c>
      <c r="P2948" s="2" t="str">
        <f>"2170586991                    "</f>
        <v xml:space="preserve">2170586991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4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1</v>
      </c>
      <c r="BJ2948" s="2">
        <v>0.2</v>
      </c>
      <c r="BK2948" s="2">
        <v>1</v>
      </c>
      <c r="BL2948" s="2">
        <v>41.44</v>
      </c>
      <c r="BM2948" s="2">
        <v>5.8</v>
      </c>
      <c r="BN2948" s="2">
        <v>47.24</v>
      </c>
      <c r="BO2948" s="2">
        <v>47.24</v>
      </c>
      <c r="BP2948" s="2"/>
      <c r="BQ2948" s="2" t="s">
        <v>108</v>
      </c>
      <c r="BR2948" s="2" t="s">
        <v>84</v>
      </c>
      <c r="BS2948" s="3">
        <v>42972</v>
      </c>
      <c r="BT2948" s="4">
        <v>0.34166666666666662</v>
      </c>
      <c r="BU2948" s="2" t="s">
        <v>1109</v>
      </c>
      <c r="BV2948" s="2" t="s">
        <v>95</v>
      </c>
      <c r="BW2948" s="2"/>
      <c r="BX2948" s="2"/>
      <c r="BY2948" s="2">
        <v>1200</v>
      </c>
      <c r="BZ2948" s="2" t="s">
        <v>27</v>
      </c>
      <c r="CA2948" s="2"/>
      <c r="CB2948" s="2"/>
      <c r="CC2948" s="2" t="s">
        <v>138</v>
      </c>
      <c r="CD2948" s="2">
        <v>157</v>
      </c>
      <c r="CE2948" s="2" t="s">
        <v>104</v>
      </c>
      <c r="CF2948" s="5">
        <v>42975</v>
      </c>
      <c r="CG2948" s="2"/>
      <c r="CH2948" s="2"/>
      <c r="CI2948" s="2">
        <v>1</v>
      </c>
      <c r="CJ2948" s="2">
        <v>1</v>
      </c>
      <c r="CK2948" s="2">
        <v>21</v>
      </c>
      <c r="CL2948" s="2" t="s">
        <v>86</v>
      </c>
      <c r="CM2948" s="2"/>
    </row>
    <row r="2949" spans="1:91">
      <c r="A2949" s="2" t="s">
        <v>71</v>
      </c>
      <c r="B2949" s="2" t="s">
        <v>72</v>
      </c>
      <c r="C2949" s="2" t="s">
        <v>73</v>
      </c>
      <c r="D2949" s="2"/>
      <c r="E2949" s="2" t="str">
        <f>"FES1162571338"</f>
        <v>FES1162571338</v>
      </c>
      <c r="F2949" s="3">
        <v>42971</v>
      </c>
      <c r="G2949" s="2">
        <v>201802</v>
      </c>
      <c r="H2949" s="2" t="s">
        <v>74</v>
      </c>
      <c r="I2949" s="2" t="s">
        <v>75</v>
      </c>
      <c r="J2949" s="2" t="s">
        <v>76</v>
      </c>
      <c r="K2949" s="2" t="s">
        <v>77</v>
      </c>
      <c r="L2949" s="2" t="s">
        <v>244</v>
      </c>
      <c r="M2949" s="2" t="s">
        <v>245</v>
      </c>
      <c r="N2949" s="2" t="s">
        <v>424</v>
      </c>
      <c r="O2949" s="2" t="s">
        <v>100</v>
      </c>
      <c r="P2949" s="2" t="str">
        <f>"2170585142                    "</f>
        <v xml:space="preserve">2170585142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3.13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1</v>
      </c>
      <c r="BJ2949" s="2">
        <v>0.2</v>
      </c>
      <c r="BK2949" s="2">
        <v>1</v>
      </c>
      <c r="BL2949" s="2">
        <v>32.380000000000003</v>
      </c>
      <c r="BM2949" s="2">
        <v>4.53</v>
      </c>
      <c r="BN2949" s="2">
        <v>36.909999999999997</v>
      </c>
      <c r="BO2949" s="2">
        <v>36.909999999999997</v>
      </c>
      <c r="BP2949" s="2"/>
      <c r="BQ2949" s="2" t="s">
        <v>108</v>
      </c>
      <c r="BR2949" s="2" t="s">
        <v>84</v>
      </c>
      <c r="BS2949" s="3">
        <v>42972</v>
      </c>
      <c r="BT2949" s="4">
        <v>0.43194444444444446</v>
      </c>
      <c r="BU2949" s="2" t="s">
        <v>1360</v>
      </c>
      <c r="BV2949" s="2" t="s">
        <v>95</v>
      </c>
      <c r="BW2949" s="2"/>
      <c r="BX2949" s="2"/>
      <c r="BY2949" s="2">
        <v>1200</v>
      </c>
      <c r="BZ2949" s="2" t="s">
        <v>27</v>
      </c>
      <c r="CA2949" s="2" t="s">
        <v>733</v>
      </c>
      <c r="CB2949" s="2"/>
      <c r="CC2949" s="2" t="s">
        <v>245</v>
      </c>
      <c r="CD2949" s="2">
        <v>1459</v>
      </c>
      <c r="CE2949" s="2" t="s">
        <v>104</v>
      </c>
      <c r="CF2949" s="5">
        <v>42975</v>
      </c>
      <c r="CG2949" s="2"/>
      <c r="CH2949" s="2"/>
      <c r="CI2949" s="2">
        <v>1</v>
      </c>
      <c r="CJ2949" s="2">
        <v>1</v>
      </c>
      <c r="CK2949" s="2">
        <v>22</v>
      </c>
      <c r="CL2949" s="2" t="s">
        <v>86</v>
      </c>
      <c r="CM2949" s="2"/>
    </row>
    <row r="2950" spans="1:91">
      <c r="A2950" s="2" t="s">
        <v>71</v>
      </c>
      <c r="B2950" s="2" t="s">
        <v>72</v>
      </c>
      <c r="C2950" s="2" t="s">
        <v>73</v>
      </c>
      <c r="D2950" s="2"/>
      <c r="E2950" s="2" t="str">
        <f>"FES1162571340"</f>
        <v>FES1162571340</v>
      </c>
      <c r="F2950" s="3">
        <v>42971</v>
      </c>
      <c r="G2950" s="2">
        <v>201802</v>
      </c>
      <c r="H2950" s="2" t="s">
        <v>74</v>
      </c>
      <c r="I2950" s="2" t="s">
        <v>75</v>
      </c>
      <c r="J2950" s="2" t="s">
        <v>76</v>
      </c>
      <c r="K2950" s="2" t="s">
        <v>77</v>
      </c>
      <c r="L2950" s="2" t="s">
        <v>244</v>
      </c>
      <c r="M2950" s="2" t="s">
        <v>245</v>
      </c>
      <c r="N2950" s="2" t="s">
        <v>424</v>
      </c>
      <c r="O2950" s="2" t="s">
        <v>100</v>
      </c>
      <c r="P2950" s="2" t="str">
        <f>"2170585154                    "</f>
        <v xml:space="preserve">2170585154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3.13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1</v>
      </c>
      <c r="BI2950" s="2">
        <v>1</v>
      </c>
      <c r="BJ2950" s="2">
        <v>0.2</v>
      </c>
      <c r="BK2950" s="2">
        <v>1</v>
      </c>
      <c r="BL2950" s="2">
        <v>32.380000000000003</v>
      </c>
      <c r="BM2950" s="2">
        <v>4.53</v>
      </c>
      <c r="BN2950" s="2">
        <v>36.909999999999997</v>
      </c>
      <c r="BO2950" s="2">
        <v>36.909999999999997</v>
      </c>
      <c r="BP2950" s="2"/>
      <c r="BQ2950" s="2" t="s">
        <v>108</v>
      </c>
      <c r="BR2950" s="2" t="s">
        <v>84</v>
      </c>
      <c r="BS2950" s="3">
        <v>42972</v>
      </c>
      <c r="BT2950" s="4">
        <v>0.43194444444444446</v>
      </c>
      <c r="BU2950" s="2" t="s">
        <v>1360</v>
      </c>
      <c r="BV2950" s="2" t="s">
        <v>95</v>
      </c>
      <c r="BW2950" s="2"/>
      <c r="BX2950" s="2"/>
      <c r="BY2950" s="2">
        <v>1200</v>
      </c>
      <c r="BZ2950" s="2" t="s">
        <v>27</v>
      </c>
      <c r="CA2950" s="2" t="s">
        <v>733</v>
      </c>
      <c r="CB2950" s="2"/>
      <c r="CC2950" s="2" t="s">
        <v>245</v>
      </c>
      <c r="CD2950" s="2">
        <v>1459</v>
      </c>
      <c r="CE2950" s="2" t="s">
        <v>104</v>
      </c>
      <c r="CF2950" s="2"/>
      <c r="CG2950" s="2"/>
      <c r="CH2950" s="2"/>
      <c r="CI2950" s="2">
        <v>1</v>
      </c>
      <c r="CJ2950" s="2">
        <v>1</v>
      </c>
      <c r="CK2950" s="2">
        <v>22</v>
      </c>
      <c r="CL2950" s="2" t="s">
        <v>86</v>
      </c>
      <c r="CM2950" s="2"/>
    </row>
    <row r="2951" spans="1:91">
      <c r="A2951" s="2" t="s">
        <v>71</v>
      </c>
      <c r="B2951" s="2" t="s">
        <v>72</v>
      </c>
      <c r="C2951" s="2" t="s">
        <v>73</v>
      </c>
      <c r="D2951" s="2"/>
      <c r="E2951" s="2" t="str">
        <f>"FES1162571345"</f>
        <v>FES1162571345</v>
      </c>
      <c r="F2951" s="3">
        <v>42971</v>
      </c>
      <c r="G2951" s="2">
        <v>201802</v>
      </c>
      <c r="H2951" s="2" t="s">
        <v>74</v>
      </c>
      <c r="I2951" s="2" t="s">
        <v>75</v>
      </c>
      <c r="J2951" s="2" t="s">
        <v>76</v>
      </c>
      <c r="K2951" s="2" t="s">
        <v>77</v>
      </c>
      <c r="L2951" s="2" t="s">
        <v>128</v>
      </c>
      <c r="M2951" s="2" t="s">
        <v>129</v>
      </c>
      <c r="N2951" s="2" t="s">
        <v>2298</v>
      </c>
      <c r="O2951" s="2" t="s">
        <v>100</v>
      </c>
      <c r="P2951" s="2" t="str">
        <f>"2170582379                    "</f>
        <v xml:space="preserve">2170582379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3.13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4.7</v>
      </c>
      <c r="BJ2951" s="2">
        <v>3.3</v>
      </c>
      <c r="BK2951" s="2">
        <v>5</v>
      </c>
      <c r="BL2951" s="2">
        <v>32.380000000000003</v>
      </c>
      <c r="BM2951" s="2">
        <v>4.53</v>
      </c>
      <c r="BN2951" s="2">
        <v>36.909999999999997</v>
      </c>
      <c r="BO2951" s="2">
        <v>36.909999999999997</v>
      </c>
      <c r="BP2951" s="2"/>
      <c r="BQ2951" s="2" t="s">
        <v>288</v>
      </c>
      <c r="BR2951" s="2" t="s">
        <v>84</v>
      </c>
      <c r="BS2951" s="3">
        <v>42972</v>
      </c>
      <c r="BT2951" s="4">
        <v>0.40972222222222227</v>
      </c>
      <c r="BU2951" s="2" t="s">
        <v>2300</v>
      </c>
      <c r="BV2951" s="2" t="s">
        <v>95</v>
      </c>
      <c r="BW2951" s="2"/>
      <c r="BX2951" s="2"/>
      <c r="BY2951" s="2">
        <v>16321.16</v>
      </c>
      <c r="BZ2951" s="2" t="s">
        <v>27</v>
      </c>
      <c r="CA2951" s="2" t="s">
        <v>923</v>
      </c>
      <c r="CB2951" s="2"/>
      <c r="CC2951" s="2" t="s">
        <v>129</v>
      </c>
      <c r="CD2951" s="2">
        <v>1709</v>
      </c>
      <c r="CE2951" s="2" t="s">
        <v>89</v>
      </c>
      <c r="CF2951" s="5">
        <v>42975</v>
      </c>
      <c r="CG2951" s="2"/>
      <c r="CH2951" s="2"/>
      <c r="CI2951" s="2">
        <v>1</v>
      </c>
      <c r="CJ2951" s="2">
        <v>1</v>
      </c>
      <c r="CK2951" s="2">
        <v>22</v>
      </c>
      <c r="CL2951" s="2" t="s">
        <v>86</v>
      </c>
      <c r="CM2951" s="2"/>
    </row>
    <row r="2952" spans="1:91">
      <c r="A2952" s="2" t="s">
        <v>71</v>
      </c>
      <c r="B2952" s="2" t="s">
        <v>72</v>
      </c>
      <c r="C2952" s="2" t="s">
        <v>73</v>
      </c>
      <c r="D2952" s="2"/>
      <c r="E2952" s="2" t="str">
        <f>"FES1162571213"</f>
        <v>FES1162571213</v>
      </c>
      <c r="F2952" s="3">
        <v>42971</v>
      </c>
      <c r="G2952" s="2">
        <v>201802</v>
      </c>
      <c r="H2952" s="2" t="s">
        <v>74</v>
      </c>
      <c r="I2952" s="2" t="s">
        <v>75</v>
      </c>
      <c r="J2952" s="2" t="s">
        <v>76</v>
      </c>
      <c r="K2952" s="2" t="s">
        <v>77</v>
      </c>
      <c r="L2952" s="2" t="s">
        <v>3191</v>
      </c>
      <c r="M2952" s="2" t="s">
        <v>3192</v>
      </c>
      <c r="N2952" s="2" t="s">
        <v>3193</v>
      </c>
      <c r="O2952" s="2" t="s">
        <v>100</v>
      </c>
      <c r="P2952" s="2" t="str">
        <f>"2170586844                    "</f>
        <v xml:space="preserve">2170586844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5.63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1</v>
      </c>
      <c r="BJ2952" s="2">
        <v>0.2</v>
      </c>
      <c r="BK2952" s="2">
        <v>1</v>
      </c>
      <c r="BL2952" s="2">
        <v>58.28</v>
      </c>
      <c r="BM2952" s="2">
        <v>8.16</v>
      </c>
      <c r="BN2952" s="2">
        <v>66.44</v>
      </c>
      <c r="BO2952" s="2">
        <v>66.44</v>
      </c>
      <c r="BP2952" s="2"/>
      <c r="BQ2952" s="2" t="s">
        <v>288</v>
      </c>
      <c r="BR2952" s="2" t="s">
        <v>84</v>
      </c>
      <c r="BS2952" s="3">
        <v>42976</v>
      </c>
      <c r="BT2952" s="4">
        <v>0.41666666666666669</v>
      </c>
      <c r="BU2952" s="2" t="s">
        <v>469</v>
      </c>
      <c r="BV2952" s="2" t="s">
        <v>86</v>
      </c>
      <c r="BW2952" s="2" t="s">
        <v>336</v>
      </c>
      <c r="BX2952" s="2" t="s">
        <v>3194</v>
      </c>
      <c r="BY2952" s="2">
        <v>1200</v>
      </c>
      <c r="BZ2952" s="2" t="s">
        <v>27</v>
      </c>
      <c r="CA2952" s="2"/>
      <c r="CB2952" s="2"/>
      <c r="CC2952" s="2" t="s">
        <v>3192</v>
      </c>
      <c r="CD2952" s="2">
        <v>2370</v>
      </c>
      <c r="CE2952" s="2" t="s">
        <v>104</v>
      </c>
      <c r="CF2952" s="2"/>
      <c r="CG2952" s="2"/>
      <c r="CH2952" s="2"/>
      <c r="CI2952" s="2">
        <v>1</v>
      </c>
      <c r="CJ2952" s="2">
        <v>3</v>
      </c>
      <c r="CK2952" s="2">
        <v>24</v>
      </c>
      <c r="CL2952" s="2" t="s">
        <v>86</v>
      </c>
      <c r="CM2952" s="2"/>
    </row>
    <row r="2953" spans="1:91">
      <c r="A2953" s="2" t="s">
        <v>71</v>
      </c>
      <c r="B2953" s="2" t="s">
        <v>72</v>
      </c>
      <c r="C2953" s="2" t="s">
        <v>73</v>
      </c>
      <c r="D2953" s="2"/>
      <c r="E2953" s="2" t="str">
        <f>"FES1162571204"</f>
        <v>FES1162571204</v>
      </c>
      <c r="F2953" s="3">
        <v>42971</v>
      </c>
      <c r="G2953" s="2">
        <v>201802</v>
      </c>
      <c r="H2953" s="2" t="s">
        <v>74</v>
      </c>
      <c r="I2953" s="2" t="s">
        <v>75</v>
      </c>
      <c r="J2953" s="2" t="s">
        <v>76</v>
      </c>
      <c r="K2953" s="2" t="s">
        <v>77</v>
      </c>
      <c r="L2953" s="2" t="s">
        <v>417</v>
      </c>
      <c r="M2953" s="2" t="s">
        <v>417</v>
      </c>
      <c r="N2953" s="2" t="s">
        <v>1414</v>
      </c>
      <c r="O2953" s="2" t="s">
        <v>100</v>
      </c>
      <c r="P2953" s="2" t="str">
        <f>"2170586840                    "</f>
        <v xml:space="preserve">2170586840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36.020000000000003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7.8</v>
      </c>
      <c r="BJ2953" s="2">
        <v>17.899999999999999</v>
      </c>
      <c r="BK2953" s="2">
        <v>18</v>
      </c>
      <c r="BL2953" s="2">
        <v>372.98</v>
      </c>
      <c r="BM2953" s="2">
        <v>52.22</v>
      </c>
      <c r="BN2953" s="2">
        <v>425.2</v>
      </c>
      <c r="BO2953" s="2">
        <v>425.2</v>
      </c>
      <c r="BP2953" s="2"/>
      <c r="BQ2953" s="2" t="s">
        <v>108</v>
      </c>
      <c r="BR2953" s="2" t="s">
        <v>84</v>
      </c>
      <c r="BS2953" s="3">
        <v>42972</v>
      </c>
      <c r="BT2953" s="4">
        <v>0.54791666666666672</v>
      </c>
      <c r="BU2953" s="2" t="s">
        <v>3137</v>
      </c>
      <c r="BV2953" s="2" t="s">
        <v>95</v>
      </c>
      <c r="BW2953" s="2"/>
      <c r="BX2953" s="2"/>
      <c r="BY2953" s="2">
        <v>89319.67</v>
      </c>
      <c r="BZ2953" s="2" t="s">
        <v>27</v>
      </c>
      <c r="CA2953" s="2" t="s">
        <v>460</v>
      </c>
      <c r="CB2953" s="2"/>
      <c r="CC2953" s="2" t="s">
        <v>417</v>
      </c>
      <c r="CD2953" s="2">
        <v>7646</v>
      </c>
      <c r="CE2953" s="2" t="s">
        <v>89</v>
      </c>
      <c r="CF2953" s="5">
        <v>42975</v>
      </c>
      <c r="CG2953" s="2"/>
      <c r="CH2953" s="2"/>
      <c r="CI2953" s="2">
        <v>1</v>
      </c>
      <c r="CJ2953" s="2">
        <v>1</v>
      </c>
      <c r="CK2953" s="2">
        <v>21</v>
      </c>
      <c r="CL2953" s="2" t="s">
        <v>86</v>
      </c>
      <c r="CM2953" s="2"/>
    </row>
    <row r="2954" spans="1:91">
      <c r="A2954" s="2" t="s">
        <v>71</v>
      </c>
      <c r="B2954" s="2" t="s">
        <v>72</v>
      </c>
      <c r="C2954" s="2" t="s">
        <v>73</v>
      </c>
      <c r="D2954" s="2"/>
      <c r="E2954" s="2" t="str">
        <f>"FES1162571331"</f>
        <v>FES1162571331</v>
      </c>
      <c r="F2954" s="3">
        <v>42971</v>
      </c>
      <c r="G2954" s="2">
        <v>201802</v>
      </c>
      <c r="H2954" s="2" t="s">
        <v>74</v>
      </c>
      <c r="I2954" s="2" t="s">
        <v>75</v>
      </c>
      <c r="J2954" s="2" t="s">
        <v>76</v>
      </c>
      <c r="K2954" s="2" t="s">
        <v>77</v>
      </c>
      <c r="L2954" s="2" t="s">
        <v>174</v>
      </c>
      <c r="M2954" s="2" t="s">
        <v>175</v>
      </c>
      <c r="N2954" s="2" t="s">
        <v>208</v>
      </c>
      <c r="O2954" s="2" t="s">
        <v>100</v>
      </c>
      <c r="P2954" s="2" t="str">
        <f>"2170578573 .                  "</f>
        <v xml:space="preserve">2170578573 .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4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1</v>
      </c>
      <c r="BJ2954" s="2">
        <v>0.2</v>
      </c>
      <c r="BK2954" s="2">
        <v>1</v>
      </c>
      <c r="BL2954" s="2">
        <v>41.44</v>
      </c>
      <c r="BM2954" s="2">
        <v>5.8</v>
      </c>
      <c r="BN2954" s="2">
        <v>47.24</v>
      </c>
      <c r="BO2954" s="2">
        <v>47.24</v>
      </c>
      <c r="BP2954" s="2"/>
      <c r="BQ2954" s="2" t="s">
        <v>108</v>
      </c>
      <c r="BR2954" s="2" t="s">
        <v>84</v>
      </c>
      <c r="BS2954" s="3">
        <v>42972</v>
      </c>
      <c r="BT2954" s="4">
        <v>0.40069444444444446</v>
      </c>
      <c r="BU2954" s="2" t="s">
        <v>888</v>
      </c>
      <c r="BV2954" s="2" t="s">
        <v>95</v>
      </c>
      <c r="BW2954" s="2"/>
      <c r="BX2954" s="2"/>
      <c r="BY2954" s="2">
        <v>1200</v>
      </c>
      <c r="BZ2954" s="2" t="s">
        <v>27</v>
      </c>
      <c r="CA2954" s="2" t="s">
        <v>1420</v>
      </c>
      <c r="CB2954" s="2"/>
      <c r="CC2954" s="2" t="s">
        <v>175</v>
      </c>
      <c r="CD2954" s="2">
        <v>5201</v>
      </c>
      <c r="CE2954" s="2" t="s">
        <v>104</v>
      </c>
      <c r="CF2954" s="5">
        <v>42975</v>
      </c>
      <c r="CG2954" s="2"/>
      <c r="CH2954" s="2"/>
      <c r="CI2954" s="2">
        <v>1</v>
      </c>
      <c r="CJ2954" s="2">
        <v>1</v>
      </c>
      <c r="CK2954" s="2">
        <v>21</v>
      </c>
      <c r="CL2954" s="2" t="s">
        <v>86</v>
      </c>
      <c r="CM2954" s="2"/>
    </row>
    <row r="2955" spans="1:91">
      <c r="A2955" s="2" t="s">
        <v>71</v>
      </c>
      <c r="B2955" s="2" t="s">
        <v>72</v>
      </c>
      <c r="C2955" s="2" t="s">
        <v>73</v>
      </c>
      <c r="D2955" s="2"/>
      <c r="E2955" s="2" t="str">
        <f>"FES1162571278"</f>
        <v>FES1162571278</v>
      </c>
      <c r="F2955" s="3">
        <v>42971</v>
      </c>
      <c r="G2955" s="2">
        <v>201802</v>
      </c>
      <c r="H2955" s="2" t="s">
        <v>74</v>
      </c>
      <c r="I2955" s="2" t="s">
        <v>75</v>
      </c>
      <c r="J2955" s="2" t="s">
        <v>76</v>
      </c>
      <c r="K2955" s="2" t="s">
        <v>77</v>
      </c>
      <c r="L2955" s="2" t="s">
        <v>268</v>
      </c>
      <c r="M2955" s="2" t="s">
        <v>269</v>
      </c>
      <c r="N2955" s="2" t="s">
        <v>3195</v>
      </c>
      <c r="O2955" s="2" t="s">
        <v>100</v>
      </c>
      <c r="P2955" s="2" t="str">
        <f>"2170586575                    "</f>
        <v xml:space="preserve">2170586575 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4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0.5</v>
      </c>
      <c r="BJ2955" s="2">
        <v>2</v>
      </c>
      <c r="BK2955" s="2">
        <v>2</v>
      </c>
      <c r="BL2955" s="2">
        <v>41.44</v>
      </c>
      <c r="BM2955" s="2">
        <v>5.8</v>
      </c>
      <c r="BN2955" s="2">
        <v>47.24</v>
      </c>
      <c r="BO2955" s="2">
        <v>47.24</v>
      </c>
      <c r="BP2955" s="2"/>
      <c r="BQ2955" s="2" t="s">
        <v>288</v>
      </c>
      <c r="BR2955" s="2" t="s">
        <v>84</v>
      </c>
      <c r="BS2955" s="1" t="s">
        <v>1200</v>
      </c>
      <c r="BT2955" s="2"/>
      <c r="BU2955" s="2"/>
      <c r="BV2955" s="2"/>
      <c r="BW2955" s="2"/>
      <c r="BX2955" s="2"/>
      <c r="BY2955" s="2">
        <v>10188.42</v>
      </c>
      <c r="BZ2955" s="2" t="s">
        <v>27</v>
      </c>
      <c r="CA2955" s="2"/>
      <c r="CB2955" s="2"/>
      <c r="CC2955" s="2" t="s">
        <v>269</v>
      </c>
      <c r="CD2955" s="2">
        <v>186</v>
      </c>
      <c r="CE2955" s="2" t="s">
        <v>104</v>
      </c>
      <c r="CF2955" s="2"/>
      <c r="CG2955" s="2"/>
      <c r="CH2955" s="2"/>
      <c r="CI2955" s="2">
        <v>1</v>
      </c>
      <c r="CJ2955" s="2" t="s">
        <v>1200</v>
      </c>
      <c r="CK2955" s="2">
        <v>21</v>
      </c>
      <c r="CL2955" s="2" t="s">
        <v>86</v>
      </c>
      <c r="CM2955" s="2"/>
    </row>
    <row r="2956" spans="1:91">
      <c r="A2956" s="2" t="s">
        <v>71</v>
      </c>
      <c r="B2956" s="2" t="s">
        <v>72</v>
      </c>
      <c r="C2956" s="2" t="s">
        <v>73</v>
      </c>
      <c r="D2956" s="2"/>
      <c r="E2956" s="2" t="str">
        <f>"FES1162571216"</f>
        <v>FES1162571216</v>
      </c>
      <c r="F2956" s="3">
        <v>42971</v>
      </c>
      <c r="G2956" s="2">
        <v>201802</v>
      </c>
      <c r="H2956" s="2" t="s">
        <v>74</v>
      </c>
      <c r="I2956" s="2" t="s">
        <v>75</v>
      </c>
      <c r="J2956" s="2" t="s">
        <v>76</v>
      </c>
      <c r="K2956" s="2" t="s">
        <v>77</v>
      </c>
      <c r="L2956" s="2" t="s">
        <v>268</v>
      </c>
      <c r="M2956" s="2" t="s">
        <v>269</v>
      </c>
      <c r="N2956" s="2" t="s">
        <v>442</v>
      </c>
      <c r="O2956" s="2" t="s">
        <v>100</v>
      </c>
      <c r="P2956" s="2" t="str">
        <f>"2170586848                    "</f>
        <v xml:space="preserve">2170586848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5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0.7</v>
      </c>
      <c r="BJ2956" s="2">
        <v>2.2000000000000002</v>
      </c>
      <c r="BK2956" s="2">
        <v>2.5</v>
      </c>
      <c r="BL2956" s="2">
        <v>51.8</v>
      </c>
      <c r="BM2956" s="2">
        <v>7.25</v>
      </c>
      <c r="BN2956" s="2">
        <v>59.05</v>
      </c>
      <c r="BO2956" s="2">
        <v>59.05</v>
      </c>
      <c r="BP2956" s="2"/>
      <c r="BQ2956" s="2" t="s">
        <v>83</v>
      </c>
      <c r="BR2956" s="2" t="s">
        <v>84</v>
      </c>
      <c r="BS2956" s="3">
        <v>42972</v>
      </c>
      <c r="BT2956" s="4">
        <v>0.42708333333333331</v>
      </c>
      <c r="BU2956" s="2" t="s">
        <v>443</v>
      </c>
      <c r="BV2956" s="2" t="s">
        <v>95</v>
      </c>
      <c r="BW2956" s="2"/>
      <c r="BX2956" s="2"/>
      <c r="BY2956" s="2">
        <v>10831.16</v>
      </c>
      <c r="BZ2956" s="2" t="s">
        <v>27</v>
      </c>
      <c r="CA2956" s="2" t="s">
        <v>445</v>
      </c>
      <c r="CB2956" s="2"/>
      <c r="CC2956" s="2" t="s">
        <v>269</v>
      </c>
      <c r="CD2956" s="2">
        <v>1</v>
      </c>
      <c r="CE2956" s="2" t="s">
        <v>104</v>
      </c>
      <c r="CF2956" s="5">
        <v>42975</v>
      </c>
      <c r="CG2956" s="2"/>
      <c r="CH2956" s="2"/>
      <c r="CI2956" s="2">
        <v>1</v>
      </c>
      <c r="CJ2956" s="2">
        <v>1</v>
      </c>
      <c r="CK2956" s="2">
        <v>21</v>
      </c>
      <c r="CL2956" s="2" t="s">
        <v>86</v>
      </c>
      <c r="CM2956" s="2"/>
    </row>
    <row r="2957" spans="1:91">
      <c r="A2957" s="2" t="s">
        <v>71</v>
      </c>
      <c r="B2957" s="2" t="s">
        <v>72</v>
      </c>
      <c r="C2957" s="2" t="s">
        <v>73</v>
      </c>
      <c r="D2957" s="2"/>
      <c r="E2957" s="2" t="str">
        <f>"FES1162571253"</f>
        <v>FES1162571253</v>
      </c>
      <c r="F2957" s="3">
        <v>42971</v>
      </c>
      <c r="G2957" s="2">
        <v>201802</v>
      </c>
      <c r="H2957" s="2" t="s">
        <v>74</v>
      </c>
      <c r="I2957" s="2" t="s">
        <v>75</v>
      </c>
      <c r="J2957" s="2" t="s">
        <v>76</v>
      </c>
      <c r="K2957" s="2" t="s">
        <v>77</v>
      </c>
      <c r="L2957" s="2" t="s">
        <v>201</v>
      </c>
      <c r="M2957" s="2" t="s">
        <v>202</v>
      </c>
      <c r="N2957" s="2" t="s">
        <v>2279</v>
      </c>
      <c r="O2957" s="2" t="s">
        <v>100</v>
      </c>
      <c r="P2957" s="2" t="str">
        <f>"2170586908                    "</f>
        <v xml:space="preserve">2170586908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9.01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4</v>
      </c>
      <c r="BJ2957" s="2">
        <v>4.0999999999999996</v>
      </c>
      <c r="BK2957" s="2">
        <v>4.5</v>
      </c>
      <c r="BL2957" s="2">
        <v>93.25</v>
      </c>
      <c r="BM2957" s="2">
        <v>13.06</v>
      </c>
      <c r="BN2957" s="2">
        <v>106.31</v>
      </c>
      <c r="BO2957" s="2">
        <v>106.31</v>
      </c>
      <c r="BP2957" s="2"/>
      <c r="BQ2957" s="2" t="s">
        <v>83</v>
      </c>
      <c r="BR2957" s="2" t="s">
        <v>84</v>
      </c>
      <c r="BS2957" s="3">
        <v>42972</v>
      </c>
      <c r="BT2957" s="4">
        <v>0.47361111111111115</v>
      </c>
      <c r="BU2957" s="2" t="s">
        <v>2280</v>
      </c>
      <c r="BV2957" s="2" t="s">
        <v>95</v>
      </c>
      <c r="BW2957" s="2"/>
      <c r="BX2957" s="2"/>
      <c r="BY2957" s="2">
        <v>20358</v>
      </c>
      <c r="BZ2957" s="2" t="s">
        <v>27</v>
      </c>
      <c r="CA2957" s="2" t="s">
        <v>205</v>
      </c>
      <c r="CB2957" s="2"/>
      <c r="CC2957" s="2" t="s">
        <v>202</v>
      </c>
      <c r="CD2957" s="2">
        <v>7130</v>
      </c>
      <c r="CE2957" s="2" t="s">
        <v>89</v>
      </c>
      <c r="CF2957" s="5">
        <v>42975</v>
      </c>
      <c r="CG2957" s="2"/>
      <c r="CH2957" s="2"/>
      <c r="CI2957" s="2">
        <v>1</v>
      </c>
      <c r="CJ2957" s="2">
        <v>1</v>
      </c>
      <c r="CK2957" s="2">
        <v>21</v>
      </c>
      <c r="CL2957" s="2" t="s">
        <v>86</v>
      </c>
      <c r="CM2957" s="2"/>
    </row>
    <row r="2958" spans="1:91">
      <c r="A2958" s="2" t="s">
        <v>71</v>
      </c>
      <c r="B2958" s="2" t="s">
        <v>72</v>
      </c>
      <c r="C2958" s="2" t="s">
        <v>73</v>
      </c>
      <c r="D2958" s="2"/>
      <c r="E2958" s="2" t="str">
        <f>"FES1162571248"</f>
        <v>FES1162571248</v>
      </c>
      <c r="F2958" s="3">
        <v>42971</v>
      </c>
      <c r="G2958" s="2">
        <v>201802</v>
      </c>
      <c r="H2958" s="2" t="s">
        <v>74</v>
      </c>
      <c r="I2958" s="2" t="s">
        <v>75</v>
      </c>
      <c r="J2958" s="2" t="s">
        <v>76</v>
      </c>
      <c r="K2958" s="2" t="s">
        <v>77</v>
      </c>
      <c r="L2958" s="2" t="s">
        <v>339</v>
      </c>
      <c r="M2958" s="2" t="s">
        <v>340</v>
      </c>
      <c r="N2958" s="2" t="s">
        <v>3196</v>
      </c>
      <c r="O2958" s="2" t="s">
        <v>100</v>
      </c>
      <c r="P2958" s="2" t="str">
        <f>"2170586893                    "</f>
        <v xml:space="preserve">2170586893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5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1</v>
      </c>
      <c r="BI2958" s="2">
        <v>0.8</v>
      </c>
      <c r="BJ2958" s="2">
        <v>2.2999999999999998</v>
      </c>
      <c r="BK2958" s="2">
        <v>2.5</v>
      </c>
      <c r="BL2958" s="2">
        <v>51.8</v>
      </c>
      <c r="BM2958" s="2">
        <v>7.25</v>
      </c>
      <c r="BN2958" s="2">
        <v>59.05</v>
      </c>
      <c r="BO2958" s="2">
        <v>59.05</v>
      </c>
      <c r="BP2958" s="2"/>
      <c r="BQ2958" s="2" t="s">
        <v>108</v>
      </c>
      <c r="BR2958" s="2" t="s">
        <v>84</v>
      </c>
      <c r="BS2958" s="3">
        <v>42972</v>
      </c>
      <c r="BT2958" s="4">
        <v>0.40486111111111112</v>
      </c>
      <c r="BU2958" s="2" t="s">
        <v>3197</v>
      </c>
      <c r="BV2958" s="2" t="s">
        <v>95</v>
      </c>
      <c r="BW2958" s="2"/>
      <c r="BX2958" s="2"/>
      <c r="BY2958" s="2">
        <v>11666.34</v>
      </c>
      <c r="BZ2958" s="2" t="s">
        <v>27</v>
      </c>
      <c r="CA2958" s="2" t="s">
        <v>2236</v>
      </c>
      <c r="CB2958" s="2"/>
      <c r="CC2958" s="2" t="s">
        <v>340</v>
      </c>
      <c r="CD2958" s="2">
        <v>1947</v>
      </c>
      <c r="CE2958" s="2" t="s">
        <v>104</v>
      </c>
      <c r="CF2958" s="5">
        <v>42975</v>
      </c>
      <c r="CG2958" s="2"/>
      <c r="CH2958" s="2"/>
      <c r="CI2958" s="2">
        <v>1</v>
      </c>
      <c r="CJ2958" s="2">
        <v>1</v>
      </c>
      <c r="CK2958" s="2">
        <v>21</v>
      </c>
      <c r="CL2958" s="2" t="s">
        <v>86</v>
      </c>
      <c r="CM2958" s="2"/>
    </row>
    <row r="2959" spans="1:91">
      <c r="A2959" s="2" t="s">
        <v>71</v>
      </c>
      <c r="B2959" s="2" t="s">
        <v>72</v>
      </c>
      <c r="C2959" s="2" t="s">
        <v>73</v>
      </c>
      <c r="D2959" s="2"/>
      <c r="E2959" s="2" t="str">
        <f>"FES1162571255"</f>
        <v>FES1162571255</v>
      </c>
      <c r="F2959" s="3">
        <v>42971</v>
      </c>
      <c r="G2959" s="2">
        <v>201802</v>
      </c>
      <c r="H2959" s="2" t="s">
        <v>74</v>
      </c>
      <c r="I2959" s="2" t="s">
        <v>75</v>
      </c>
      <c r="J2959" s="2" t="s">
        <v>76</v>
      </c>
      <c r="K2959" s="2" t="s">
        <v>77</v>
      </c>
      <c r="L2959" s="2" t="s">
        <v>362</v>
      </c>
      <c r="M2959" s="2" t="s">
        <v>363</v>
      </c>
      <c r="N2959" s="2" t="s">
        <v>2959</v>
      </c>
      <c r="O2959" s="2" t="s">
        <v>100</v>
      </c>
      <c r="P2959" s="2" t="str">
        <f>"2170586907                    "</f>
        <v xml:space="preserve">2170586907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4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1.7</v>
      </c>
      <c r="BJ2959" s="2">
        <v>1.3</v>
      </c>
      <c r="BK2959" s="2">
        <v>2</v>
      </c>
      <c r="BL2959" s="2">
        <v>41.44</v>
      </c>
      <c r="BM2959" s="2">
        <v>5.8</v>
      </c>
      <c r="BN2959" s="2">
        <v>47.24</v>
      </c>
      <c r="BO2959" s="2">
        <v>47.24</v>
      </c>
      <c r="BP2959" s="2"/>
      <c r="BQ2959" s="2" t="s">
        <v>288</v>
      </c>
      <c r="BR2959" s="2" t="s">
        <v>84</v>
      </c>
      <c r="BS2959" s="3">
        <v>42972</v>
      </c>
      <c r="BT2959" s="4">
        <v>0.40625</v>
      </c>
      <c r="BU2959" s="2" t="s">
        <v>2960</v>
      </c>
      <c r="BV2959" s="2" t="s">
        <v>95</v>
      </c>
      <c r="BW2959" s="2"/>
      <c r="BX2959" s="2"/>
      <c r="BY2959" s="2">
        <v>6406.4</v>
      </c>
      <c r="BZ2959" s="2" t="s">
        <v>27</v>
      </c>
      <c r="CA2959" s="2" t="s">
        <v>2961</v>
      </c>
      <c r="CB2959" s="2"/>
      <c r="CC2959" s="2" t="s">
        <v>363</v>
      </c>
      <c r="CD2959" s="2">
        <v>3201</v>
      </c>
      <c r="CE2959" s="2" t="s">
        <v>89</v>
      </c>
      <c r="CF2959" s="5">
        <v>42975</v>
      </c>
      <c r="CG2959" s="2"/>
      <c r="CH2959" s="2"/>
      <c r="CI2959" s="2">
        <v>1</v>
      </c>
      <c r="CJ2959" s="2">
        <v>1</v>
      </c>
      <c r="CK2959" s="2">
        <v>21</v>
      </c>
      <c r="CL2959" s="2" t="s">
        <v>86</v>
      </c>
      <c r="CM2959" s="2"/>
    </row>
    <row r="2960" spans="1:91">
      <c r="A2960" s="2" t="s">
        <v>71</v>
      </c>
      <c r="B2960" s="2" t="s">
        <v>72</v>
      </c>
      <c r="C2960" s="2" t="s">
        <v>73</v>
      </c>
      <c r="D2960" s="2"/>
      <c r="E2960" s="2" t="str">
        <f>"FES1162571239"</f>
        <v>FES1162571239</v>
      </c>
      <c r="F2960" s="3">
        <v>42971</v>
      </c>
      <c r="G2960" s="2">
        <v>201802</v>
      </c>
      <c r="H2960" s="2" t="s">
        <v>74</v>
      </c>
      <c r="I2960" s="2" t="s">
        <v>75</v>
      </c>
      <c r="J2960" s="2" t="s">
        <v>76</v>
      </c>
      <c r="K2960" s="2" t="s">
        <v>77</v>
      </c>
      <c r="L2960" s="2" t="s">
        <v>105</v>
      </c>
      <c r="M2960" s="2" t="s">
        <v>106</v>
      </c>
      <c r="N2960" s="2" t="s">
        <v>2968</v>
      </c>
      <c r="O2960" s="2" t="s">
        <v>100</v>
      </c>
      <c r="P2960" s="2" t="str">
        <f>"2170586875                    "</f>
        <v xml:space="preserve">2170586875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4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1</v>
      </c>
      <c r="BI2960" s="2">
        <v>1</v>
      </c>
      <c r="BJ2960" s="2">
        <v>0.2</v>
      </c>
      <c r="BK2960" s="2">
        <v>1</v>
      </c>
      <c r="BL2960" s="2">
        <v>41.44</v>
      </c>
      <c r="BM2960" s="2">
        <v>5.8</v>
      </c>
      <c r="BN2960" s="2">
        <v>47.24</v>
      </c>
      <c r="BO2960" s="2">
        <v>47.24</v>
      </c>
      <c r="BP2960" s="2"/>
      <c r="BQ2960" s="2" t="s">
        <v>288</v>
      </c>
      <c r="BR2960" s="2" t="s">
        <v>84</v>
      </c>
      <c r="BS2960" s="3">
        <v>42972</v>
      </c>
      <c r="BT2960" s="4">
        <v>0.41944444444444445</v>
      </c>
      <c r="BU2960" s="2" t="s">
        <v>3198</v>
      </c>
      <c r="BV2960" s="2" t="s">
        <v>95</v>
      </c>
      <c r="BW2960" s="2"/>
      <c r="BX2960" s="2"/>
      <c r="BY2960" s="2">
        <v>1200</v>
      </c>
      <c r="BZ2960" s="2" t="s">
        <v>27</v>
      </c>
      <c r="CA2960" s="2" t="s">
        <v>654</v>
      </c>
      <c r="CB2960" s="2"/>
      <c r="CC2960" s="2" t="s">
        <v>106</v>
      </c>
      <c r="CD2960" s="2">
        <v>7490</v>
      </c>
      <c r="CE2960" s="2" t="s">
        <v>104</v>
      </c>
      <c r="CF2960" s="5">
        <v>42975</v>
      </c>
      <c r="CG2960" s="2"/>
      <c r="CH2960" s="2"/>
      <c r="CI2960" s="2">
        <v>1</v>
      </c>
      <c r="CJ2960" s="2">
        <v>1</v>
      </c>
      <c r="CK2960" s="2">
        <v>21</v>
      </c>
      <c r="CL2960" s="2" t="s">
        <v>86</v>
      </c>
      <c r="CM2960" s="2"/>
    </row>
    <row r="2961" spans="1:91">
      <c r="A2961" s="2" t="s">
        <v>71</v>
      </c>
      <c r="B2961" s="2" t="s">
        <v>72</v>
      </c>
      <c r="C2961" s="2" t="s">
        <v>73</v>
      </c>
      <c r="D2961" s="2"/>
      <c r="E2961" s="2" t="str">
        <f>"FES1162571312"</f>
        <v>FES1162571312</v>
      </c>
      <c r="F2961" s="3">
        <v>42971</v>
      </c>
      <c r="G2961" s="2">
        <v>201802</v>
      </c>
      <c r="H2961" s="2" t="s">
        <v>74</v>
      </c>
      <c r="I2961" s="2" t="s">
        <v>75</v>
      </c>
      <c r="J2961" s="2" t="s">
        <v>76</v>
      </c>
      <c r="K2961" s="2" t="s">
        <v>77</v>
      </c>
      <c r="L2961" s="2" t="s">
        <v>311</v>
      </c>
      <c r="M2961" s="2" t="s">
        <v>312</v>
      </c>
      <c r="N2961" s="2" t="s">
        <v>2450</v>
      </c>
      <c r="O2961" s="2" t="s">
        <v>100</v>
      </c>
      <c r="P2961" s="2" t="str">
        <f>"2170586953                    "</f>
        <v xml:space="preserve">2170586953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3.13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1</v>
      </c>
      <c r="BJ2961" s="2">
        <v>0.2</v>
      </c>
      <c r="BK2961" s="2">
        <v>1</v>
      </c>
      <c r="BL2961" s="2">
        <v>32.380000000000003</v>
      </c>
      <c r="BM2961" s="2">
        <v>4.53</v>
      </c>
      <c r="BN2961" s="2">
        <v>36.909999999999997</v>
      </c>
      <c r="BO2961" s="2">
        <v>36.909999999999997</v>
      </c>
      <c r="BP2961" s="2"/>
      <c r="BQ2961" s="2" t="s">
        <v>108</v>
      </c>
      <c r="BR2961" s="2" t="s">
        <v>84</v>
      </c>
      <c r="BS2961" s="3">
        <v>42972</v>
      </c>
      <c r="BT2961" s="4">
        <v>0.4375</v>
      </c>
      <c r="BU2961" s="2" t="s">
        <v>330</v>
      </c>
      <c r="BV2961" s="2" t="s">
        <v>95</v>
      </c>
      <c r="BW2961" s="2"/>
      <c r="BX2961" s="2"/>
      <c r="BY2961" s="2">
        <v>1200</v>
      </c>
      <c r="BZ2961" s="2" t="s">
        <v>27</v>
      </c>
      <c r="CA2961" s="2" t="s">
        <v>889</v>
      </c>
      <c r="CB2961" s="2"/>
      <c r="CC2961" s="2" t="s">
        <v>312</v>
      </c>
      <c r="CD2961" s="2">
        <v>1559</v>
      </c>
      <c r="CE2961" s="2" t="s">
        <v>104</v>
      </c>
      <c r="CF2961" s="5">
        <v>42975</v>
      </c>
      <c r="CG2961" s="2"/>
      <c r="CH2961" s="2"/>
      <c r="CI2961" s="2">
        <v>1</v>
      </c>
      <c r="CJ2961" s="2">
        <v>1</v>
      </c>
      <c r="CK2961" s="2">
        <v>22</v>
      </c>
      <c r="CL2961" s="2" t="s">
        <v>86</v>
      </c>
      <c r="CM2961" s="2"/>
    </row>
    <row r="2962" spans="1:91">
      <c r="A2962" s="2" t="s">
        <v>71</v>
      </c>
      <c r="B2962" s="2" t="s">
        <v>72</v>
      </c>
      <c r="C2962" s="2" t="s">
        <v>73</v>
      </c>
      <c r="D2962" s="2"/>
      <c r="E2962" s="2" t="str">
        <f>"FES1162571328"</f>
        <v>FES1162571328</v>
      </c>
      <c r="F2962" s="3">
        <v>42971</v>
      </c>
      <c r="G2962" s="2">
        <v>201802</v>
      </c>
      <c r="H2962" s="2" t="s">
        <v>74</v>
      </c>
      <c r="I2962" s="2" t="s">
        <v>75</v>
      </c>
      <c r="J2962" s="2" t="s">
        <v>76</v>
      </c>
      <c r="K2962" s="2" t="s">
        <v>77</v>
      </c>
      <c r="L2962" s="2" t="s">
        <v>539</v>
      </c>
      <c r="M2962" s="2" t="s">
        <v>540</v>
      </c>
      <c r="N2962" s="2" t="s">
        <v>1367</v>
      </c>
      <c r="O2962" s="2" t="s">
        <v>100</v>
      </c>
      <c r="P2962" s="2" t="str">
        <f>"2170586983                    "</f>
        <v xml:space="preserve">2170586983 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3.13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1</v>
      </c>
      <c r="BI2962" s="2">
        <v>1</v>
      </c>
      <c r="BJ2962" s="2">
        <v>0.2</v>
      </c>
      <c r="BK2962" s="2">
        <v>1</v>
      </c>
      <c r="BL2962" s="2">
        <v>32.380000000000003</v>
      </c>
      <c r="BM2962" s="2">
        <v>4.53</v>
      </c>
      <c r="BN2962" s="2">
        <v>36.909999999999997</v>
      </c>
      <c r="BO2962" s="2">
        <v>36.909999999999997</v>
      </c>
      <c r="BP2962" s="2"/>
      <c r="BQ2962" s="2" t="s">
        <v>288</v>
      </c>
      <c r="BR2962" s="2" t="s">
        <v>84</v>
      </c>
      <c r="BS2962" s="3">
        <v>42972</v>
      </c>
      <c r="BT2962" s="4">
        <v>0.3430555555555555</v>
      </c>
      <c r="BU2962" s="2" t="s">
        <v>1585</v>
      </c>
      <c r="BV2962" s="2" t="s">
        <v>95</v>
      </c>
      <c r="BW2962" s="2"/>
      <c r="BX2962" s="2"/>
      <c r="BY2962" s="2">
        <v>1200</v>
      </c>
      <c r="BZ2962" s="2" t="s">
        <v>27</v>
      </c>
      <c r="CA2962" s="2" t="s">
        <v>1368</v>
      </c>
      <c r="CB2962" s="2"/>
      <c r="CC2962" s="2" t="s">
        <v>540</v>
      </c>
      <c r="CD2962" s="2">
        <v>2194</v>
      </c>
      <c r="CE2962" s="2" t="s">
        <v>104</v>
      </c>
      <c r="CF2962" s="5">
        <v>42975</v>
      </c>
      <c r="CG2962" s="2"/>
      <c r="CH2962" s="2"/>
      <c r="CI2962" s="2">
        <v>1</v>
      </c>
      <c r="CJ2962" s="2">
        <v>1</v>
      </c>
      <c r="CK2962" s="2">
        <v>22</v>
      </c>
      <c r="CL2962" s="2" t="s">
        <v>86</v>
      </c>
      <c r="CM2962" s="2"/>
    </row>
    <row r="2963" spans="1:91">
      <c r="A2963" s="2" t="s">
        <v>71</v>
      </c>
      <c r="B2963" s="2" t="s">
        <v>72</v>
      </c>
      <c r="C2963" s="2" t="s">
        <v>73</v>
      </c>
      <c r="D2963" s="2"/>
      <c r="E2963" s="2" t="str">
        <f>"FES1162571311"</f>
        <v>FES1162571311</v>
      </c>
      <c r="F2963" s="3">
        <v>42971</v>
      </c>
      <c r="G2963" s="2">
        <v>201802</v>
      </c>
      <c r="H2963" s="2" t="s">
        <v>74</v>
      </c>
      <c r="I2963" s="2" t="s">
        <v>75</v>
      </c>
      <c r="J2963" s="2" t="s">
        <v>76</v>
      </c>
      <c r="K2963" s="2" t="s">
        <v>77</v>
      </c>
      <c r="L2963" s="2" t="s">
        <v>244</v>
      </c>
      <c r="M2963" s="2" t="s">
        <v>245</v>
      </c>
      <c r="N2963" s="2" t="s">
        <v>246</v>
      </c>
      <c r="O2963" s="2" t="s">
        <v>100</v>
      </c>
      <c r="P2963" s="2" t="str">
        <f>"2170586948                    "</f>
        <v xml:space="preserve">2170586948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3.13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1.9</v>
      </c>
      <c r="BJ2963" s="2">
        <v>3</v>
      </c>
      <c r="BK2963" s="2">
        <v>3</v>
      </c>
      <c r="BL2963" s="2">
        <v>32.380000000000003</v>
      </c>
      <c r="BM2963" s="2">
        <v>4.53</v>
      </c>
      <c r="BN2963" s="2">
        <v>36.909999999999997</v>
      </c>
      <c r="BO2963" s="2">
        <v>36.909999999999997</v>
      </c>
      <c r="BP2963" s="2"/>
      <c r="BQ2963" s="2" t="s">
        <v>108</v>
      </c>
      <c r="BR2963" s="2" t="s">
        <v>84</v>
      </c>
      <c r="BS2963" s="3">
        <v>42972</v>
      </c>
      <c r="BT2963" s="4">
        <v>0.4375</v>
      </c>
      <c r="BU2963" s="2" t="s">
        <v>1360</v>
      </c>
      <c r="BV2963" s="2" t="s">
        <v>95</v>
      </c>
      <c r="BW2963" s="2"/>
      <c r="BX2963" s="2"/>
      <c r="BY2963" s="2">
        <v>14902.56</v>
      </c>
      <c r="BZ2963" s="2" t="s">
        <v>27</v>
      </c>
      <c r="CA2963" s="2"/>
      <c r="CB2963" s="2"/>
      <c r="CC2963" s="2" t="s">
        <v>245</v>
      </c>
      <c r="CD2963" s="2">
        <v>1459</v>
      </c>
      <c r="CE2963" s="2" t="s">
        <v>89</v>
      </c>
      <c r="CF2963" s="5">
        <v>42975</v>
      </c>
      <c r="CG2963" s="2"/>
      <c r="CH2963" s="2"/>
      <c r="CI2963" s="2">
        <v>1</v>
      </c>
      <c r="CJ2963" s="2">
        <v>1</v>
      </c>
      <c r="CK2963" s="2">
        <v>22</v>
      </c>
      <c r="CL2963" s="2" t="s">
        <v>86</v>
      </c>
      <c r="CM2963" s="2"/>
    </row>
    <row r="2964" spans="1:91">
      <c r="A2964" s="2" t="s">
        <v>71</v>
      </c>
      <c r="B2964" s="2" t="s">
        <v>72</v>
      </c>
      <c r="C2964" s="2" t="s">
        <v>73</v>
      </c>
      <c r="D2964" s="2"/>
      <c r="E2964" s="2" t="str">
        <f>"FES1162571261"</f>
        <v>FES1162571261</v>
      </c>
      <c r="F2964" s="3">
        <v>42971</v>
      </c>
      <c r="G2964" s="2">
        <v>201802</v>
      </c>
      <c r="H2964" s="2" t="s">
        <v>74</v>
      </c>
      <c r="I2964" s="2" t="s">
        <v>75</v>
      </c>
      <c r="J2964" s="2" t="s">
        <v>76</v>
      </c>
      <c r="K2964" s="2" t="s">
        <v>77</v>
      </c>
      <c r="L2964" s="2" t="s">
        <v>237</v>
      </c>
      <c r="M2964" s="2" t="s">
        <v>238</v>
      </c>
      <c r="N2964" s="2" t="s">
        <v>388</v>
      </c>
      <c r="O2964" s="2" t="s">
        <v>100</v>
      </c>
      <c r="P2964" s="2" t="str">
        <f>"2170585259                    "</f>
        <v xml:space="preserve">2170585259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8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0.4</v>
      </c>
      <c r="BJ2964" s="2">
        <v>3.8</v>
      </c>
      <c r="BK2964" s="2">
        <v>4</v>
      </c>
      <c r="BL2964" s="2">
        <v>82.88</v>
      </c>
      <c r="BM2964" s="2">
        <v>11.6</v>
      </c>
      <c r="BN2964" s="2">
        <v>94.48</v>
      </c>
      <c r="BO2964" s="2">
        <v>94.48</v>
      </c>
      <c r="BP2964" s="2"/>
      <c r="BQ2964" s="2" t="s">
        <v>108</v>
      </c>
      <c r="BR2964" s="2" t="s">
        <v>84</v>
      </c>
      <c r="BS2964" s="3">
        <v>42972</v>
      </c>
      <c r="BT2964" s="4">
        <v>0.42291666666666666</v>
      </c>
      <c r="BU2964" s="2" t="s">
        <v>855</v>
      </c>
      <c r="BV2964" s="2" t="s">
        <v>95</v>
      </c>
      <c r="BW2964" s="2"/>
      <c r="BX2964" s="2"/>
      <c r="BY2964" s="2">
        <v>18802.37</v>
      </c>
      <c r="BZ2964" s="2" t="s">
        <v>27</v>
      </c>
      <c r="CA2964" s="2" t="s">
        <v>1454</v>
      </c>
      <c r="CB2964" s="2"/>
      <c r="CC2964" s="2" t="s">
        <v>238</v>
      </c>
      <c r="CD2964" s="2">
        <v>3610</v>
      </c>
      <c r="CE2964" s="2" t="s">
        <v>104</v>
      </c>
      <c r="CF2964" s="5">
        <v>42975</v>
      </c>
      <c r="CG2964" s="2"/>
      <c r="CH2964" s="2"/>
      <c r="CI2964" s="2">
        <v>1</v>
      </c>
      <c r="CJ2964" s="2">
        <v>1</v>
      </c>
      <c r="CK2964" s="2">
        <v>21</v>
      </c>
      <c r="CL2964" s="2" t="s">
        <v>86</v>
      </c>
      <c r="CM2964" s="2"/>
    </row>
    <row r="2965" spans="1:91">
      <c r="A2965" s="2" t="s">
        <v>71</v>
      </c>
      <c r="B2965" s="2" t="s">
        <v>72</v>
      </c>
      <c r="C2965" s="2" t="s">
        <v>73</v>
      </c>
      <c r="D2965" s="2"/>
      <c r="E2965" s="2" t="str">
        <f>"FES1162571257"</f>
        <v>FES1162571257</v>
      </c>
      <c r="F2965" s="3">
        <v>42971</v>
      </c>
      <c r="G2965" s="2">
        <v>201802</v>
      </c>
      <c r="H2965" s="2" t="s">
        <v>74</v>
      </c>
      <c r="I2965" s="2" t="s">
        <v>75</v>
      </c>
      <c r="J2965" s="2" t="s">
        <v>76</v>
      </c>
      <c r="K2965" s="2" t="s">
        <v>77</v>
      </c>
      <c r="L2965" s="2" t="s">
        <v>97</v>
      </c>
      <c r="M2965" s="2" t="s">
        <v>98</v>
      </c>
      <c r="N2965" s="2" t="s">
        <v>2147</v>
      </c>
      <c r="O2965" s="2" t="s">
        <v>100</v>
      </c>
      <c r="P2965" s="2" t="str">
        <f>"2170583938                    "</f>
        <v xml:space="preserve">2170583938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20.010000000000002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9.6</v>
      </c>
      <c r="BJ2965" s="2">
        <v>3.8</v>
      </c>
      <c r="BK2965" s="2">
        <v>10</v>
      </c>
      <c r="BL2965" s="2">
        <v>207.21</v>
      </c>
      <c r="BM2965" s="2">
        <v>29.01</v>
      </c>
      <c r="BN2965" s="2">
        <v>236.22</v>
      </c>
      <c r="BO2965" s="2">
        <v>236.22</v>
      </c>
      <c r="BP2965" s="2"/>
      <c r="BQ2965" s="2" t="s">
        <v>288</v>
      </c>
      <c r="BR2965" s="2" t="s">
        <v>84</v>
      </c>
      <c r="BS2965" s="3">
        <v>42972</v>
      </c>
      <c r="BT2965" s="4">
        <v>0.44444444444444442</v>
      </c>
      <c r="BU2965" s="2" t="s">
        <v>3199</v>
      </c>
      <c r="BV2965" s="2" t="s">
        <v>95</v>
      </c>
      <c r="BW2965" s="2"/>
      <c r="BX2965" s="2"/>
      <c r="BY2965" s="2">
        <v>18976.900000000001</v>
      </c>
      <c r="BZ2965" s="2" t="s">
        <v>27</v>
      </c>
      <c r="CA2965" s="2" t="s">
        <v>294</v>
      </c>
      <c r="CB2965" s="2"/>
      <c r="CC2965" s="2" t="s">
        <v>98</v>
      </c>
      <c r="CD2965" s="2">
        <v>6012</v>
      </c>
      <c r="CE2965" s="2" t="s">
        <v>89</v>
      </c>
      <c r="CF2965" s="5">
        <v>42975</v>
      </c>
      <c r="CG2965" s="2"/>
      <c r="CH2965" s="2"/>
      <c r="CI2965" s="2">
        <v>1</v>
      </c>
      <c r="CJ2965" s="2">
        <v>1</v>
      </c>
      <c r="CK2965" s="2">
        <v>21</v>
      </c>
      <c r="CL2965" s="2" t="s">
        <v>86</v>
      </c>
      <c r="CM2965" s="2"/>
    </row>
    <row r="2966" spans="1:91">
      <c r="A2966" s="2" t="s">
        <v>71</v>
      </c>
      <c r="B2966" s="2" t="s">
        <v>72</v>
      </c>
      <c r="C2966" s="2" t="s">
        <v>73</v>
      </c>
      <c r="D2966" s="2"/>
      <c r="E2966" s="2" t="str">
        <f>"FES1162571129"</f>
        <v>FES1162571129</v>
      </c>
      <c r="F2966" s="3">
        <v>42971</v>
      </c>
      <c r="G2966" s="2">
        <v>201802</v>
      </c>
      <c r="H2966" s="2" t="s">
        <v>74</v>
      </c>
      <c r="I2966" s="2" t="s">
        <v>75</v>
      </c>
      <c r="J2966" s="2" t="s">
        <v>76</v>
      </c>
      <c r="K2966" s="2" t="s">
        <v>77</v>
      </c>
      <c r="L2966" s="2" t="s">
        <v>201</v>
      </c>
      <c r="M2966" s="2" t="s">
        <v>202</v>
      </c>
      <c r="N2966" s="2" t="s">
        <v>2279</v>
      </c>
      <c r="O2966" s="2" t="s">
        <v>100</v>
      </c>
      <c r="P2966" s="2" t="str">
        <f>"2170586772                    "</f>
        <v xml:space="preserve">2170586772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4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2</v>
      </c>
      <c r="BJ2966" s="2">
        <v>1.7</v>
      </c>
      <c r="BK2966" s="2">
        <v>2</v>
      </c>
      <c r="BL2966" s="2">
        <v>41.44</v>
      </c>
      <c r="BM2966" s="2">
        <v>5.8</v>
      </c>
      <c r="BN2966" s="2">
        <v>47.24</v>
      </c>
      <c r="BO2966" s="2">
        <v>47.24</v>
      </c>
      <c r="BP2966" s="2"/>
      <c r="BQ2966" s="2" t="s">
        <v>83</v>
      </c>
      <c r="BR2966" s="2" t="s">
        <v>84</v>
      </c>
      <c r="BS2966" s="3">
        <v>42972</v>
      </c>
      <c r="BT2966" s="4">
        <v>0.47361111111111115</v>
      </c>
      <c r="BU2966" s="2" t="s">
        <v>2280</v>
      </c>
      <c r="BV2966" s="2" t="s">
        <v>95</v>
      </c>
      <c r="BW2966" s="2"/>
      <c r="BX2966" s="2"/>
      <c r="BY2966" s="2">
        <v>8331.1200000000008</v>
      </c>
      <c r="BZ2966" s="2" t="s">
        <v>27</v>
      </c>
      <c r="CA2966" s="2" t="s">
        <v>205</v>
      </c>
      <c r="CB2966" s="2"/>
      <c r="CC2966" s="2" t="s">
        <v>202</v>
      </c>
      <c r="CD2966" s="2">
        <v>7130</v>
      </c>
      <c r="CE2966" s="2" t="s">
        <v>89</v>
      </c>
      <c r="CF2966" s="5">
        <v>42975</v>
      </c>
      <c r="CG2966" s="2"/>
      <c r="CH2966" s="2"/>
      <c r="CI2966" s="2">
        <v>1</v>
      </c>
      <c r="CJ2966" s="2">
        <v>1</v>
      </c>
      <c r="CK2966" s="2">
        <v>21</v>
      </c>
      <c r="CL2966" s="2" t="s">
        <v>86</v>
      </c>
      <c r="CM2966" s="2"/>
    </row>
    <row r="2967" spans="1:91">
      <c r="A2967" s="2" t="s">
        <v>71</v>
      </c>
      <c r="B2967" s="2" t="s">
        <v>72</v>
      </c>
      <c r="C2967" s="2" t="s">
        <v>73</v>
      </c>
      <c r="D2967" s="2"/>
      <c r="E2967" s="2" t="str">
        <f>"FES1162571192"</f>
        <v>FES1162571192</v>
      </c>
      <c r="F2967" s="3">
        <v>42971</v>
      </c>
      <c r="G2967" s="2">
        <v>201802</v>
      </c>
      <c r="H2967" s="2" t="s">
        <v>74</v>
      </c>
      <c r="I2967" s="2" t="s">
        <v>75</v>
      </c>
      <c r="J2967" s="2" t="s">
        <v>76</v>
      </c>
      <c r="K2967" s="2" t="s">
        <v>77</v>
      </c>
      <c r="L2967" s="2" t="s">
        <v>74</v>
      </c>
      <c r="M2967" s="2" t="s">
        <v>75</v>
      </c>
      <c r="N2967" s="2" t="s">
        <v>407</v>
      </c>
      <c r="O2967" s="2" t="s">
        <v>100</v>
      </c>
      <c r="P2967" s="2" t="str">
        <f>"2170586822                    "</f>
        <v xml:space="preserve">2170586822 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3.13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1</v>
      </c>
      <c r="BI2967" s="2">
        <v>4.8</v>
      </c>
      <c r="BJ2967" s="2">
        <v>1.8</v>
      </c>
      <c r="BK2967" s="2">
        <v>5</v>
      </c>
      <c r="BL2967" s="2">
        <v>32.380000000000003</v>
      </c>
      <c r="BM2967" s="2">
        <v>4.53</v>
      </c>
      <c r="BN2967" s="2">
        <v>36.909999999999997</v>
      </c>
      <c r="BO2967" s="2">
        <v>36.909999999999997</v>
      </c>
      <c r="BP2967" s="2"/>
      <c r="BQ2967" s="2" t="s">
        <v>108</v>
      </c>
      <c r="BR2967" s="2" t="s">
        <v>84</v>
      </c>
      <c r="BS2967" s="3">
        <v>42972</v>
      </c>
      <c r="BT2967" s="4">
        <v>0.3125</v>
      </c>
      <c r="BU2967" s="2" t="s">
        <v>935</v>
      </c>
      <c r="BV2967" s="2" t="s">
        <v>95</v>
      </c>
      <c r="BW2967" s="2"/>
      <c r="BX2967" s="2"/>
      <c r="BY2967" s="2">
        <v>9241.4500000000007</v>
      </c>
      <c r="BZ2967" s="2" t="s">
        <v>27</v>
      </c>
      <c r="CA2967" s="2" t="s">
        <v>267</v>
      </c>
      <c r="CB2967" s="2"/>
      <c r="CC2967" s="2" t="s">
        <v>75</v>
      </c>
      <c r="CD2967" s="2">
        <v>1645</v>
      </c>
      <c r="CE2967" s="2" t="s">
        <v>89</v>
      </c>
      <c r="CF2967" s="5">
        <v>42975</v>
      </c>
      <c r="CG2967" s="2"/>
      <c r="CH2967" s="2"/>
      <c r="CI2967" s="2">
        <v>1</v>
      </c>
      <c r="CJ2967" s="2">
        <v>1</v>
      </c>
      <c r="CK2967" s="2">
        <v>22</v>
      </c>
      <c r="CL2967" s="2" t="s">
        <v>86</v>
      </c>
      <c r="CM2967" s="2"/>
    </row>
    <row r="2968" spans="1:91">
      <c r="A2968" s="2" t="s">
        <v>71</v>
      </c>
      <c r="B2968" s="2" t="s">
        <v>72</v>
      </c>
      <c r="C2968" s="2" t="s">
        <v>73</v>
      </c>
      <c r="D2968" s="2"/>
      <c r="E2968" s="2" t="str">
        <f>"FES1162571188"</f>
        <v>FES1162571188</v>
      </c>
      <c r="F2968" s="3">
        <v>42971</v>
      </c>
      <c r="G2968" s="2">
        <v>201802</v>
      </c>
      <c r="H2968" s="2" t="s">
        <v>74</v>
      </c>
      <c r="I2968" s="2" t="s">
        <v>75</v>
      </c>
      <c r="J2968" s="2" t="s">
        <v>76</v>
      </c>
      <c r="K2968" s="2" t="s">
        <v>77</v>
      </c>
      <c r="L2968" s="2" t="s">
        <v>437</v>
      </c>
      <c r="M2968" s="2" t="s">
        <v>438</v>
      </c>
      <c r="N2968" s="2" t="s">
        <v>749</v>
      </c>
      <c r="O2968" s="2" t="s">
        <v>100</v>
      </c>
      <c r="P2968" s="2" t="str">
        <f>"2170586817                    "</f>
        <v xml:space="preserve">2170586817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4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1</v>
      </c>
      <c r="BI2968" s="2">
        <v>2</v>
      </c>
      <c r="BJ2968" s="2">
        <v>0.9</v>
      </c>
      <c r="BK2968" s="2">
        <v>2</v>
      </c>
      <c r="BL2968" s="2">
        <v>41.44</v>
      </c>
      <c r="BM2968" s="2">
        <v>5.8</v>
      </c>
      <c r="BN2968" s="2">
        <v>47.24</v>
      </c>
      <c r="BO2968" s="2">
        <v>47.24</v>
      </c>
      <c r="BP2968" s="2"/>
      <c r="BQ2968" s="2" t="s">
        <v>108</v>
      </c>
      <c r="BR2968" s="2" t="s">
        <v>84</v>
      </c>
      <c r="BS2968" s="3">
        <v>42972</v>
      </c>
      <c r="BT2968" s="4">
        <v>0.36180555555555555</v>
      </c>
      <c r="BU2968" s="2" t="s">
        <v>1553</v>
      </c>
      <c r="BV2968" s="2" t="s">
        <v>95</v>
      </c>
      <c r="BW2968" s="2"/>
      <c r="BX2968" s="2"/>
      <c r="BY2968" s="2">
        <v>4275</v>
      </c>
      <c r="BZ2968" s="2" t="s">
        <v>27</v>
      </c>
      <c r="CA2968" s="2" t="s">
        <v>441</v>
      </c>
      <c r="CB2968" s="2"/>
      <c r="CC2968" s="2" t="s">
        <v>438</v>
      </c>
      <c r="CD2968" s="2">
        <v>6536</v>
      </c>
      <c r="CE2968" s="2" t="s">
        <v>89</v>
      </c>
      <c r="CF2968" s="5">
        <v>42975</v>
      </c>
      <c r="CG2968" s="2"/>
      <c r="CH2968" s="2"/>
      <c r="CI2968" s="2">
        <v>1</v>
      </c>
      <c r="CJ2968" s="2">
        <v>1</v>
      </c>
      <c r="CK2968" s="2">
        <v>21</v>
      </c>
      <c r="CL2968" s="2" t="s">
        <v>86</v>
      </c>
      <c r="CM2968" s="2"/>
    </row>
    <row r="2969" spans="1:91">
      <c r="A2969" s="2" t="s">
        <v>71</v>
      </c>
      <c r="B2969" s="2" t="s">
        <v>72</v>
      </c>
      <c r="C2969" s="2" t="s">
        <v>73</v>
      </c>
      <c r="D2969" s="2"/>
      <c r="E2969" s="2" t="str">
        <f>"FES1162571161"</f>
        <v>FES1162571161</v>
      </c>
      <c r="F2969" s="3">
        <v>42971</v>
      </c>
      <c r="G2969" s="2">
        <v>201802</v>
      </c>
      <c r="H2969" s="2" t="s">
        <v>74</v>
      </c>
      <c r="I2969" s="2" t="s">
        <v>75</v>
      </c>
      <c r="J2969" s="2" t="s">
        <v>76</v>
      </c>
      <c r="K2969" s="2" t="s">
        <v>77</v>
      </c>
      <c r="L2969" s="2" t="s">
        <v>417</v>
      </c>
      <c r="M2969" s="2" t="s">
        <v>417</v>
      </c>
      <c r="N2969" s="2" t="s">
        <v>1414</v>
      </c>
      <c r="O2969" s="2" t="s">
        <v>100</v>
      </c>
      <c r="P2969" s="2" t="str">
        <f>"2170584598                    "</f>
        <v xml:space="preserve">2170584598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6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1</v>
      </c>
      <c r="BI2969" s="2">
        <v>2.9</v>
      </c>
      <c r="BJ2969" s="2">
        <v>1.2</v>
      </c>
      <c r="BK2969" s="2">
        <v>3</v>
      </c>
      <c r="BL2969" s="2">
        <v>62.16</v>
      </c>
      <c r="BM2969" s="2">
        <v>8.6999999999999993</v>
      </c>
      <c r="BN2969" s="2">
        <v>70.86</v>
      </c>
      <c r="BO2969" s="2">
        <v>70.86</v>
      </c>
      <c r="BP2969" s="2"/>
      <c r="BQ2969" s="2" t="s">
        <v>108</v>
      </c>
      <c r="BR2969" s="2" t="s">
        <v>84</v>
      </c>
      <c r="BS2969" s="3">
        <v>42972</v>
      </c>
      <c r="BT2969" s="4">
        <v>0.54791666666666672</v>
      </c>
      <c r="BU2969" s="2" t="s">
        <v>3137</v>
      </c>
      <c r="BV2969" s="2" t="s">
        <v>95</v>
      </c>
      <c r="BW2969" s="2"/>
      <c r="BX2969" s="2"/>
      <c r="BY2969" s="2">
        <v>5998.31</v>
      </c>
      <c r="BZ2969" s="2" t="s">
        <v>27</v>
      </c>
      <c r="CA2969" s="2" t="s">
        <v>460</v>
      </c>
      <c r="CB2969" s="2"/>
      <c r="CC2969" s="2" t="s">
        <v>417</v>
      </c>
      <c r="CD2969" s="2">
        <v>7646</v>
      </c>
      <c r="CE2969" s="2" t="s">
        <v>89</v>
      </c>
      <c r="CF2969" s="5">
        <v>42975</v>
      </c>
      <c r="CG2969" s="2"/>
      <c r="CH2969" s="2"/>
      <c r="CI2969" s="2">
        <v>1</v>
      </c>
      <c r="CJ2969" s="2">
        <v>1</v>
      </c>
      <c r="CK2969" s="2">
        <v>21</v>
      </c>
      <c r="CL2969" s="2" t="s">
        <v>86</v>
      </c>
      <c r="CM2969" s="2"/>
    </row>
    <row r="2970" spans="1:91">
      <c r="A2970" s="2" t="s">
        <v>71</v>
      </c>
      <c r="B2970" s="2" t="s">
        <v>72</v>
      </c>
      <c r="C2970" s="2" t="s">
        <v>73</v>
      </c>
      <c r="D2970" s="2"/>
      <c r="E2970" s="2" t="str">
        <f>"FES1162571128"</f>
        <v>FES1162571128</v>
      </c>
      <c r="F2970" s="3">
        <v>42971</v>
      </c>
      <c r="G2970" s="2">
        <v>201802</v>
      </c>
      <c r="H2970" s="2" t="s">
        <v>74</v>
      </c>
      <c r="I2970" s="2" t="s">
        <v>75</v>
      </c>
      <c r="J2970" s="2" t="s">
        <v>76</v>
      </c>
      <c r="K2970" s="2" t="s">
        <v>77</v>
      </c>
      <c r="L2970" s="2" t="s">
        <v>105</v>
      </c>
      <c r="M2970" s="2" t="s">
        <v>106</v>
      </c>
      <c r="N2970" s="2" t="s">
        <v>1080</v>
      </c>
      <c r="O2970" s="2" t="s">
        <v>100</v>
      </c>
      <c r="P2970" s="2" t="str">
        <f>"2170586766                    "</f>
        <v xml:space="preserve">2170586766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8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4</v>
      </c>
      <c r="BJ2970" s="2">
        <v>1.5</v>
      </c>
      <c r="BK2970" s="2">
        <v>4</v>
      </c>
      <c r="BL2970" s="2">
        <v>82.88</v>
      </c>
      <c r="BM2970" s="2">
        <v>11.6</v>
      </c>
      <c r="BN2970" s="2">
        <v>94.48</v>
      </c>
      <c r="BO2970" s="2">
        <v>94.48</v>
      </c>
      <c r="BP2970" s="2"/>
      <c r="BQ2970" s="2" t="s">
        <v>288</v>
      </c>
      <c r="BR2970" s="2" t="s">
        <v>84</v>
      </c>
      <c r="BS2970" s="3">
        <v>42972</v>
      </c>
      <c r="BT2970" s="4">
        <v>0.36388888888888887</v>
      </c>
      <c r="BU2970" s="2" t="s">
        <v>1888</v>
      </c>
      <c r="BV2970" s="2" t="s">
        <v>95</v>
      </c>
      <c r="BW2970" s="2"/>
      <c r="BX2970" s="2"/>
      <c r="BY2970" s="2">
        <v>7540</v>
      </c>
      <c r="BZ2970" s="2" t="s">
        <v>27</v>
      </c>
      <c r="CA2970" s="2" t="s">
        <v>1308</v>
      </c>
      <c r="CB2970" s="2"/>
      <c r="CC2970" s="2" t="s">
        <v>106</v>
      </c>
      <c r="CD2970" s="2">
        <v>7441</v>
      </c>
      <c r="CE2970" s="2" t="s">
        <v>89</v>
      </c>
      <c r="CF2970" s="5">
        <v>42975</v>
      </c>
      <c r="CG2970" s="2"/>
      <c r="CH2970" s="2"/>
      <c r="CI2970" s="2">
        <v>1</v>
      </c>
      <c r="CJ2970" s="2">
        <v>1</v>
      </c>
      <c r="CK2970" s="2">
        <v>21</v>
      </c>
      <c r="CL2970" s="2" t="s">
        <v>86</v>
      </c>
      <c r="CM2970" s="2"/>
    </row>
    <row r="2971" spans="1:91">
      <c r="A2971" s="2" t="s">
        <v>71</v>
      </c>
      <c r="B2971" s="2" t="s">
        <v>72</v>
      </c>
      <c r="C2971" s="2" t="s">
        <v>73</v>
      </c>
      <c r="D2971" s="2"/>
      <c r="E2971" s="2" t="str">
        <f>"FES1162571095"</f>
        <v>FES1162571095</v>
      </c>
      <c r="F2971" s="3">
        <v>42971</v>
      </c>
      <c r="G2971" s="2">
        <v>201802</v>
      </c>
      <c r="H2971" s="2" t="s">
        <v>74</v>
      </c>
      <c r="I2971" s="2" t="s">
        <v>75</v>
      </c>
      <c r="J2971" s="2" t="s">
        <v>76</v>
      </c>
      <c r="K2971" s="2" t="s">
        <v>77</v>
      </c>
      <c r="L2971" s="2" t="s">
        <v>149</v>
      </c>
      <c r="M2971" s="2" t="s">
        <v>150</v>
      </c>
      <c r="N2971" s="2" t="s">
        <v>2173</v>
      </c>
      <c r="O2971" s="2" t="s">
        <v>100</v>
      </c>
      <c r="P2971" s="2" t="str">
        <f>"2170584603                    "</f>
        <v xml:space="preserve">2170584603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4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1.3</v>
      </c>
      <c r="BJ2971" s="2">
        <v>1.9</v>
      </c>
      <c r="BK2971" s="2">
        <v>2</v>
      </c>
      <c r="BL2971" s="2">
        <v>41.44</v>
      </c>
      <c r="BM2971" s="2">
        <v>5.8</v>
      </c>
      <c r="BN2971" s="2">
        <v>47.24</v>
      </c>
      <c r="BO2971" s="2">
        <v>47.24</v>
      </c>
      <c r="BP2971" s="2"/>
      <c r="BQ2971" s="2" t="s">
        <v>288</v>
      </c>
      <c r="BR2971" s="2" t="s">
        <v>84</v>
      </c>
      <c r="BS2971" s="3">
        <v>42972</v>
      </c>
      <c r="BT2971" s="4">
        <v>0.30208333333333331</v>
      </c>
      <c r="BU2971" s="2" t="s">
        <v>3200</v>
      </c>
      <c r="BV2971" s="2" t="s">
        <v>95</v>
      </c>
      <c r="BW2971" s="2"/>
      <c r="BX2971" s="2"/>
      <c r="BY2971" s="2">
        <v>9468.89</v>
      </c>
      <c r="BZ2971" s="2" t="s">
        <v>27</v>
      </c>
      <c r="CA2971" s="2" t="s">
        <v>1163</v>
      </c>
      <c r="CB2971" s="2"/>
      <c r="CC2971" s="2" t="s">
        <v>150</v>
      </c>
      <c r="CD2971" s="2">
        <v>4000</v>
      </c>
      <c r="CE2971" s="2" t="s">
        <v>104</v>
      </c>
      <c r="CF2971" s="5">
        <v>42975</v>
      </c>
      <c r="CG2971" s="2"/>
      <c r="CH2971" s="2"/>
      <c r="CI2971" s="2">
        <v>1</v>
      </c>
      <c r="CJ2971" s="2">
        <v>1</v>
      </c>
      <c r="CK2971" s="2">
        <v>21</v>
      </c>
      <c r="CL2971" s="2" t="s">
        <v>86</v>
      </c>
      <c r="CM2971" s="2"/>
    </row>
    <row r="2972" spans="1:91">
      <c r="A2972" s="2" t="s">
        <v>71</v>
      </c>
      <c r="B2972" s="2" t="s">
        <v>72</v>
      </c>
      <c r="C2972" s="2" t="s">
        <v>73</v>
      </c>
      <c r="D2972" s="2"/>
      <c r="E2972" s="2" t="str">
        <f>"FES1162571109"</f>
        <v>FES1162571109</v>
      </c>
      <c r="F2972" s="3">
        <v>42971</v>
      </c>
      <c r="G2972" s="2">
        <v>201802</v>
      </c>
      <c r="H2972" s="2" t="s">
        <v>74</v>
      </c>
      <c r="I2972" s="2" t="s">
        <v>75</v>
      </c>
      <c r="J2972" s="2" t="s">
        <v>76</v>
      </c>
      <c r="K2972" s="2" t="s">
        <v>77</v>
      </c>
      <c r="L2972" s="2" t="s">
        <v>244</v>
      </c>
      <c r="M2972" s="2" t="s">
        <v>245</v>
      </c>
      <c r="N2972" s="2" t="s">
        <v>246</v>
      </c>
      <c r="O2972" s="2" t="s">
        <v>100</v>
      </c>
      <c r="P2972" s="2" t="str">
        <f>"2170585035                    "</f>
        <v xml:space="preserve">2170585035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3.13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1</v>
      </c>
      <c r="BI2972" s="2">
        <v>1</v>
      </c>
      <c r="BJ2972" s="2">
        <v>0.2</v>
      </c>
      <c r="BK2972" s="2">
        <v>1</v>
      </c>
      <c r="BL2972" s="2">
        <v>32.380000000000003</v>
      </c>
      <c r="BM2972" s="2">
        <v>4.53</v>
      </c>
      <c r="BN2972" s="2">
        <v>36.909999999999997</v>
      </c>
      <c r="BO2972" s="2">
        <v>36.909999999999997</v>
      </c>
      <c r="BP2972" s="2"/>
      <c r="BQ2972" s="2" t="s">
        <v>108</v>
      </c>
      <c r="BR2972" s="2" t="s">
        <v>84</v>
      </c>
      <c r="BS2972" s="3">
        <v>42972</v>
      </c>
      <c r="BT2972" s="4">
        <v>0.4375</v>
      </c>
      <c r="BU2972" s="2" t="s">
        <v>1360</v>
      </c>
      <c r="BV2972" s="2" t="s">
        <v>95</v>
      </c>
      <c r="BW2972" s="2"/>
      <c r="BX2972" s="2"/>
      <c r="BY2972" s="2">
        <v>1200</v>
      </c>
      <c r="BZ2972" s="2" t="s">
        <v>27</v>
      </c>
      <c r="CA2972" s="2"/>
      <c r="CB2972" s="2"/>
      <c r="CC2972" s="2" t="s">
        <v>245</v>
      </c>
      <c r="CD2972" s="2">
        <v>1459</v>
      </c>
      <c r="CE2972" s="2" t="s">
        <v>104</v>
      </c>
      <c r="CF2972" s="5">
        <v>42975</v>
      </c>
      <c r="CG2972" s="2"/>
      <c r="CH2972" s="2"/>
      <c r="CI2972" s="2">
        <v>1</v>
      </c>
      <c r="CJ2972" s="2">
        <v>1</v>
      </c>
      <c r="CK2972" s="2">
        <v>22</v>
      </c>
      <c r="CL2972" s="2" t="s">
        <v>86</v>
      </c>
      <c r="CM2972" s="2"/>
    </row>
    <row r="2973" spans="1:91">
      <c r="A2973" s="2" t="s">
        <v>71</v>
      </c>
      <c r="B2973" s="2" t="s">
        <v>72</v>
      </c>
      <c r="C2973" s="2" t="s">
        <v>73</v>
      </c>
      <c r="D2973" s="2"/>
      <c r="E2973" s="2" t="str">
        <f>"FES1162571098"</f>
        <v>FES1162571098</v>
      </c>
      <c r="F2973" s="3">
        <v>42971</v>
      </c>
      <c r="G2973" s="2">
        <v>201802</v>
      </c>
      <c r="H2973" s="2" t="s">
        <v>74</v>
      </c>
      <c r="I2973" s="2" t="s">
        <v>75</v>
      </c>
      <c r="J2973" s="2" t="s">
        <v>76</v>
      </c>
      <c r="K2973" s="2" t="s">
        <v>77</v>
      </c>
      <c r="L2973" s="2" t="s">
        <v>144</v>
      </c>
      <c r="M2973" s="2" t="s">
        <v>145</v>
      </c>
      <c r="N2973" s="2" t="s">
        <v>3201</v>
      </c>
      <c r="O2973" s="2" t="s">
        <v>100</v>
      </c>
      <c r="P2973" s="2" t="str">
        <f>"2170584672                    "</f>
        <v xml:space="preserve">2170584672                    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3.13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1</v>
      </c>
      <c r="BI2973" s="2">
        <v>0.4</v>
      </c>
      <c r="BJ2973" s="2">
        <v>0.9</v>
      </c>
      <c r="BK2973" s="2">
        <v>1</v>
      </c>
      <c r="BL2973" s="2">
        <v>32.380000000000003</v>
      </c>
      <c r="BM2973" s="2">
        <v>4.53</v>
      </c>
      <c r="BN2973" s="2">
        <v>36.909999999999997</v>
      </c>
      <c r="BO2973" s="2">
        <v>36.909999999999997</v>
      </c>
      <c r="BP2973" s="2"/>
      <c r="BQ2973" s="2" t="s">
        <v>288</v>
      </c>
      <c r="BR2973" s="2" t="s">
        <v>84</v>
      </c>
      <c r="BS2973" s="3">
        <v>42972</v>
      </c>
      <c r="BT2973" s="4">
        <v>0.4375</v>
      </c>
      <c r="BU2973" s="2" t="s">
        <v>3202</v>
      </c>
      <c r="BV2973" s="2" t="s">
        <v>95</v>
      </c>
      <c r="BW2973" s="2"/>
      <c r="BX2973" s="2"/>
      <c r="BY2973" s="2">
        <v>4535.49</v>
      </c>
      <c r="BZ2973" s="2" t="s">
        <v>27</v>
      </c>
      <c r="CA2973" s="2"/>
      <c r="CB2973" s="2"/>
      <c r="CC2973" s="2" t="s">
        <v>145</v>
      </c>
      <c r="CD2973" s="2">
        <v>2092</v>
      </c>
      <c r="CE2973" s="2" t="s">
        <v>104</v>
      </c>
      <c r="CF2973" s="5">
        <v>42975</v>
      </c>
      <c r="CG2973" s="2"/>
      <c r="CH2973" s="2"/>
      <c r="CI2973" s="2">
        <v>1</v>
      </c>
      <c r="CJ2973" s="2">
        <v>1</v>
      </c>
      <c r="CK2973" s="2">
        <v>22</v>
      </c>
      <c r="CL2973" s="2" t="s">
        <v>86</v>
      </c>
      <c r="CM2973" s="2"/>
    </row>
    <row r="2974" spans="1:91">
      <c r="A2974" s="2" t="s">
        <v>71</v>
      </c>
      <c r="B2974" s="2" t="s">
        <v>72</v>
      </c>
      <c r="C2974" s="2" t="s">
        <v>73</v>
      </c>
      <c r="D2974" s="2"/>
      <c r="E2974" s="2" t="str">
        <f>"FES1162571160"</f>
        <v>FES1162571160</v>
      </c>
      <c r="F2974" s="3">
        <v>42971</v>
      </c>
      <c r="G2974" s="2">
        <v>201802</v>
      </c>
      <c r="H2974" s="2" t="s">
        <v>74</v>
      </c>
      <c r="I2974" s="2" t="s">
        <v>75</v>
      </c>
      <c r="J2974" s="2" t="s">
        <v>76</v>
      </c>
      <c r="K2974" s="2" t="s">
        <v>77</v>
      </c>
      <c r="L2974" s="2" t="s">
        <v>593</v>
      </c>
      <c r="M2974" s="2" t="s">
        <v>594</v>
      </c>
      <c r="N2974" s="2" t="s">
        <v>3081</v>
      </c>
      <c r="O2974" s="2" t="s">
        <v>100</v>
      </c>
      <c r="P2974" s="2" t="str">
        <f>"2170584544                    "</f>
        <v xml:space="preserve">2170584544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3.13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1</v>
      </c>
      <c r="BI2974" s="2">
        <v>0.4</v>
      </c>
      <c r="BJ2974" s="2">
        <v>1.8</v>
      </c>
      <c r="BK2974" s="2">
        <v>2</v>
      </c>
      <c r="BL2974" s="2">
        <v>32.380000000000003</v>
      </c>
      <c r="BM2974" s="2">
        <v>4.53</v>
      </c>
      <c r="BN2974" s="2">
        <v>36.909999999999997</v>
      </c>
      <c r="BO2974" s="2">
        <v>36.909999999999997</v>
      </c>
      <c r="BP2974" s="2"/>
      <c r="BQ2974" s="2" t="s">
        <v>288</v>
      </c>
      <c r="BR2974" s="2" t="s">
        <v>84</v>
      </c>
      <c r="BS2974" s="3">
        <v>42972</v>
      </c>
      <c r="BT2974" s="4">
        <v>0.4375</v>
      </c>
      <c r="BU2974" s="2" t="s">
        <v>1561</v>
      </c>
      <c r="BV2974" s="2" t="s">
        <v>95</v>
      </c>
      <c r="BW2974" s="2"/>
      <c r="BX2974" s="2"/>
      <c r="BY2974" s="2">
        <v>8856.75</v>
      </c>
      <c r="BZ2974" s="2" t="s">
        <v>27</v>
      </c>
      <c r="CA2974" s="2" t="s">
        <v>3203</v>
      </c>
      <c r="CB2974" s="2"/>
      <c r="CC2974" s="2" t="s">
        <v>594</v>
      </c>
      <c r="CD2974" s="2">
        <v>1684</v>
      </c>
      <c r="CE2974" s="2" t="s">
        <v>104</v>
      </c>
      <c r="CF2974" s="5">
        <v>42975</v>
      </c>
      <c r="CG2974" s="2"/>
      <c r="CH2974" s="2"/>
      <c r="CI2974" s="2">
        <v>1</v>
      </c>
      <c r="CJ2974" s="2">
        <v>1</v>
      </c>
      <c r="CK2974" s="2">
        <v>22</v>
      </c>
      <c r="CL2974" s="2" t="s">
        <v>86</v>
      </c>
      <c r="CM2974" s="2"/>
    </row>
    <row r="2975" spans="1:91">
      <c r="A2975" s="2" t="s">
        <v>71</v>
      </c>
      <c r="B2975" s="2" t="s">
        <v>72</v>
      </c>
      <c r="C2975" s="2" t="s">
        <v>73</v>
      </c>
      <c r="D2975" s="2"/>
      <c r="E2975" s="2" t="str">
        <f>"FES1162571171"</f>
        <v>FES1162571171</v>
      </c>
      <c r="F2975" s="3">
        <v>42971</v>
      </c>
      <c r="G2975" s="2">
        <v>201802</v>
      </c>
      <c r="H2975" s="2" t="s">
        <v>74</v>
      </c>
      <c r="I2975" s="2" t="s">
        <v>75</v>
      </c>
      <c r="J2975" s="2" t="s">
        <v>76</v>
      </c>
      <c r="K2975" s="2" t="s">
        <v>77</v>
      </c>
      <c r="L2975" s="2" t="s">
        <v>206</v>
      </c>
      <c r="M2975" s="2" t="s">
        <v>207</v>
      </c>
      <c r="N2975" s="2" t="s">
        <v>208</v>
      </c>
      <c r="O2975" s="2" t="s">
        <v>100</v>
      </c>
      <c r="P2975" s="2" t="str">
        <f>"2170584853                    "</f>
        <v xml:space="preserve">2170584853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5.63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1</v>
      </c>
      <c r="BI2975" s="2">
        <v>1</v>
      </c>
      <c r="BJ2975" s="2">
        <v>0.2</v>
      </c>
      <c r="BK2975" s="2">
        <v>1</v>
      </c>
      <c r="BL2975" s="2">
        <v>58.28</v>
      </c>
      <c r="BM2975" s="2">
        <v>8.16</v>
      </c>
      <c r="BN2975" s="2">
        <v>66.44</v>
      </c>
      <c r="BO2975" s="2">
        <v>66.44</v>
      </c>
      <c r="BP2975" s="2"/>
      <c r="BQ2975" s="2" t="s">
        <v>209</v>
      </c>
      <c r="BR2975" s="2" t="s">
        <v>84</v>
      </c>
      <c r="BS2975" s="3">
        <v>42972</v>
      </c>
      <c r="BT2975" s="4">
        <v>0.48888888888888887</v>
      </c>
      <c r="BU2975" s="2" t="s">
        <v>1689</v>
      </c>
      <c r="BV2975" s="2" t="s">
        <v>95</v>
      </c>
      <c r="BW2975" s="2"/>
      <c r="BX2975" s="2"/>
      <c r="BY2975" s="2">
        <v>1200</v>
      </c>
      <c r="BZ2975" s="2" t="s">
        <v>27</v>
      </c>
      <c r="CA2975" s="2" t="s">
        <v>640</v>
      </c>
      <c r="CB2975" s="2"/>
      <c r="CC2975" s="2" t="s">
        <v>207</v>
      </c>
      <c r="CD2975" s="2">
        <v>250</v>
      </c>
      <c r="CE2975" s="2" t="s">
        <v>104</v>
      </c>
      <c r="CF2975" s="5">
        <v>42976</v>
      </c>
      <c r="CG2975" s="2"/>
      <c r="CH2975" s="2"/>
      <c r="CI2975" s="2">
        <v>1</v>
      </c>
      <c r="CJ2975" s="2">
        <v>1</v>
      </c>
      <c r="CK2975" s="2">
        <v>24</v>
      </c>
      <c r="CL2975" s="2" t="s">
        <v>86</v>
      </c>
      <c r="CM2975" s="2"/>
    </row>
    <row r="2976" spans="1:91">
      <c r="A2976" s="2" t="s">
        <v>71</v>
      </c>
      <c r="B2976" s="2" t="s">
        <v>72</v>
      </c>
      <c r="C2976" s="2" t="s">
        <v>73</v>
      </c>
      <c r="D2976" s="2"/>
      <c r="E2976" s="2" t="str">
        <f>"FES1162571107"</f>
        <v>FES1162571107</v>
      </c>
      <c r="F2976" s="3">
        <v>42971</v>
      </c>
      <c r="G2976" s="2">
        <v>201802</v>
      </c>
      <c r="H2976" s="2" t="s">
        <v>74</v>
      </c>
      <c r="I2976" s="2" t="s">
        <v>75</v>
      </c>
      <c r="J2976" s="2" t="s">
        <v>76</v>
      </c>
      <c r="K2976" s="2" t="s">
        <v>77</v>
      </c>
      <c r="L2976" s="2" t="s">
        <v>206</v>
      </c>
      <c r="M2976" s="2" t="s">
        <v>207</v>
      </c>
      <c r="N2976" s="2" t="s">
        <v>208</v>
      </c>
      <c r="O2976" s="2" t="s">
        <v>100</v>
      </c>
      <c r="P2976" s="2" t="str">
        <f>"2170584853                    "</f>
        <v xml:space="preserve">2170584853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5.63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1</v>
      </c>
      <c r="BJ2976" s="2">
        <v>0.2</v>
      </c>
      <c r="BK2976" s="2">
        <v>1</v>
      </c>
      <c r="BL2976" s="2">
        <v>58.28</v>
      </c>
      <c r="BM2976" s="2">
        <v>8.16</v>
      </c>
      <c r="BN2976" s="2">
        <v>66.44</v>
      </c>
      <c r="BO2976" s="2">
        <v>66.44</v>
      </c>
      <c r="BP2976" s="2"/>
      <c r="BQ2976" s="2" t="s">
        <v>209</v>
      </c>
      <c r="BR2976" s="2" t="s">
        <v>84</v>
      </c>
      <c r="BS2976" s="3">
        <v>42972</v>
      </c>
      <c r="BT2976" s="4">
        <v>0.48819444444444443</v>
      </c>
      <c r="BU2976" s="2" t="s">
        <v>1689</v>
      </c>
      <c r="BV2976" s="2" t="s">
        <v>95</v>
      </c>
      <c r="BW2976" s="2"/>
      <c r="BX2976" s="2"/>
      <c r="BY2976" s="2">
        <v>1200</v>
      </c>
      <c r="BZ2976" s="2" t="s">
        <v>27</v>
      </c>
      <c r="CA2976" s="2" t="s">
        <v>640</v>
      </c>
      <c r="CB2976" s="2"/>
      <c r="CC2976" s="2" t="s">
        <v>207</v>
      </c>
      <c r="CD2976" s="2">
        <v>250</v>
      </c>
      <c r="CE2976" s="2" t="s">
        <v>104</v>
      </c>
      <c r="CF2976" s="5">
        <v>42976</v>
      </c>
      <c r="CG2976" s="2"/>
      <c r="CH2976" s="2"/>
      <c r="CI2976" s="2">
        <v>1</v>
      </c>
      <c r="CJ2976" s="2">
        <v>1</v>
      </c>
      <c r="CK2976" s="2">
        <v>24</v>
      </c>
      <c r="CL2976" s="2" t="s">
        <v>86</v>
      </c>
      <c r="CM2976" s="2"/>
    </row>
    <row r="2977" spans="1:91">
      <c r="A2977" s="2" t="s">
        <v>71</v>
      </c>
      <c r="B2977" s="2" t="s">
        <v>72</v>
      </c>
      <c r="C2977" s="2" t="s">
        <v>73</v>
      </c>
      <c r="D2977" s="2"/>
      <c r="E2977" s="2" t="str">
        <f>"FES1162571130"</f>
        <v>FES1162571130</v>
      </c>
      <c r="F2977" s="3">
        <v>42971</v>
      </c>
      <c r="G2977" s="2">
        <v>201802</v>
      </c>
      <c r="H2977" s="2" t="s">
        <v>74</v>
      </c>
      <c r="I2977" s="2" t="s">
        <v>75</v>
      </c>
      <c r="J2977" s="2" t="s">
        <v>76</v>
      </c>
      <c r="K2977" s="2" t="s">
        <v>77</v>
      </c>
      <c r="L2977" s="2" t="s">
        <v>137</v>
      </c>
      <c r="M2977" s="2" t="s">
        <v>138</v>
      </c>
      <c r="N2977" s="2" t="s">
        <v>3204</v>
      </c>
      <c r="O2977" s="2" t="s">
        <v>100</v>
      </c>
      <c r="P2977" s="2" t="str">
        <f>"2170586774                    "</f>
        <v xml:space="preserve">2170586774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4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1</v>
      </c>
      <c r="BI2977" s="2">
        <v>1</v>
      </c>
      <c r="BJ2977" s="2">
        <v>0.2</v>
      </c>
      <c r="BK2977" s="2">
        <v>1</v>
      </c>
      <c r="BL2977" s="2">
        <v>41.44</v>
      </c>
      <c r="BM2977" s="2">
        <v>5.8</v>
      </c>
      <c r="BN2977" s="2">
        <v>47.24</v>
      </c>
      <c r="BO2977" s="2">
        <v>47.24</v>
      </c>
      <c r="BP2977" s="2"/>
      <c r="BQ2977" s="2" t="s">
        <v>83</v>
      </c>
      <c r="BR2977" s="2" t="s">
        <v>84</v>
      </c>
      <c r="BS2977" s="3">
        <v>42972</v>
      </c>
      <c r="BT2977" s="4">
        <v>0.4375</v>
      </c>
      <c r="BU2977" s="2" t="s">
        <v>3205</v>
      </c>
      <c r="BV2977" s="2" t="s">
        <v>95</v>
      </c>
      <c r="BW2977" s="2"/>
      <c r="BX2977" s="2"/>
      <c r="BY2977" s="2">
        <v>1200</v>
      </c>
      <c r="BZ2977" s="2" t="s">
        <v>27</v>
      </c>
      <c r="CA2977" s="2"/>
      <c r="CB2977" s="2"/>
      <c r="CC2977" s="2" t="s">
        <v>138</v>
      </c>
      <c r="CD2977" s="2">
        <v>157</v>
      </c>
      <c r="CE2977" s="2" t="s">
        <v>104</v>
      </c>
      <c r="CF2977" s="5">
        <v>42975</v>
      </c>
      <c r="CG2977" s="2"/>
      <c r="CH2977" s="2"/>
      <c r="CI2977" s="2">
        <v>1</v>
      </c>
      <c r="CJ2977" s="2">
        <v>1</v>
      </c>
      <c r="CK2977" s="2">
        <v>21</v>
      </c>
      <c r="CL2977" s="2" t="s">
        <v>86</v>
      </c>
      <c r="CM2977" s="2"/>
    </row>
    <row r="2978" spans="1:91">
      <c r="A2978" s="2" t="s">
        <v>71</v>
      </c>
      <c r="B2978" s="2" t="s">
        <v>72</v>
      </c>
      <c r="C2978" s="2" t="s">
        <v>73</v>
      </c>
      <c r="D2978" s="2"/>
      <c r="E2978" s="2" t="str">
        <f>"FES1162571096"</f>
        <v>FES1162571096</v>
      </c>
      <c r="F2978" s="3">
        <v>42971</v>
      </c>
      <c r="G2978" s="2">
        <v>201802</v>
      </c>
      <c r="H2978" s="2" t="s">
        <v>74</v>
      </c>
      <c r="I2978" s="2" t="s">
        <v>75</v>
      </c>
      <c r="J2978" s="2" t="s">
        <v>76</v>
      </c>
      <c r="K2978" s="2" t="s">
        <v>77</v>
      </c>
      <c r="L2978" s="2" t="s">
        <v>339</v>
      </c>
      <c r="M2978" s="2" t="s">
        <v>340</v>
      </c>
      <c r="N2978" s="2" t="s">
        <v>613</v>
      </c>
      <c r="O2978" s="2" t="s">
        <v>100</v>
      </c>
      <c r="P2978" s="2" t="str">
        <f>"2170584630                    "</f>
        <v xml:space="preserve">2170584630 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4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1</v>
      </c>
      <c r="BJ2978" s="2">
        <v>0.2</v>
      </c>
      <c r="BK2978" s="2">
        <v>1</v>
      </c>
      <c r="BL2978" s="2">
        <v>41.44</v>
      </c>
      <c r="BM2978" s="2">
        <v>5.8</v>
      </c>
      <c r="BN2978" s="2">
        <v>47.24</v>
      </c>
      <c r="BO2978" s="2">
        <v>47.24</v>
      </c>
      <c r="BP2978" s="2"/>
      <c r="BQ2978" s="2" t="s">
        <v>108</v>
      </c>
      <c r="BR2978" s="2" t="s">
        <v>84</v>
      </c>
      <c r="BS2978" s="3">
        <v>42972</v>
      </c>
      <c r="BT2978" s="4">
        <v>0.4291666666666667</v>
      </c>
      <c r="BU2978" s="2" t="s">
        <v>3206</v>
      </c>
      <c r="BV2978" s="2" t="s">
        <v>95</v>
      </c>
      <c r="BW2978" s="2"/>
      <c r="BX2978" s="2"/>
      <c r="BY2978" s="2">
        <v>1200</v>
      </c>
      <c r="BZ2978" s="2" t="s">
        <v>27</v>
      </c>
      <c r="CA2978" s="2" t="s">
        <v>2236</v>
      </c>
      <c r="CB2978" s="2"/>
      <c r="CC2978" s="2" t="s">
        <v>340</v>
      </c>
      <c r="CD2978" s="2">
        <v>1947</v>
      </c>
      <c r="CE2978" s="2" t="s">
        <v>104</v>
      </c>
      <c r="CF2978" s="5">
        <v>42975</v>
      </c>
      <c r="CG2978" s="2"/>
      <c r="CH2978" s="2"/>
      <c r="CI2978" s="2">
        <v>1</v>
      </c>
      <c r="CJ2978" s="2">
        <v>1</v>
      </c>
      <c r="CK2978" s="2">
        <v>21</v>
      </c>
      <c r="CL2978" s="2" t="s">
        <v>86</v>
      </c>
      <c r="CM2978" s="2"/>
    </row>
    <row r="2979" spans="1:91">
      <c r="A2979" s="2" t="s">
        <v>71</v>
      </c>
      <c r="B2979" s="2" t="s">
        <v>72</v>
      </c>
      <c r="C2979" s="2" t="s">
        <v>73</v>
      </c>
      <c r="D2979" s="2"/>
      <c r="E2979" s="2" t="str">
        <f>"FES1162571251"</f>
        <v>FES1162571251</v>
      </c>
      <c r="F2979" s="3">
        <v>42971</v>
      </c>
      <c r="G2979" s="2">
        <v>201802</v>
      </c>
      <c r="H2979" s="2" t="s">
        <v>74</v>
      </c>
      <c r="I2979" s="2" t="s">
        <v>75</v>
      </c>
      <c r="J2979" s="2" t="s">
        <v>76</v>
      </c>
      <c r="K2979" s="2" t="s">
        <v>77</v>
      </c>
      <c r="L2979" s="2" t="s">
        <v>841</v>
      </c>
      <c r="M2979" s="2" t="s">
        <v>842</v>
      </c>
      <c r="N2979" s="2" t="s">
        <v>843</v>
      </c>
      <c r="O2979" s="2" t="s">
        <v>100</v>
      </c>
      <c r="P2979" s="2" t="str">
        <f>"2170586898                    "</f>
        <v xml:space="preserve">2170586898 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7.75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1</v>
      </c>
      <c r="BJ2979" s="2">
        <v>0.2</v>
      </c>
      <c r="BK2979" s="2">
        <v>1</v>
      </c>
      <c r="BL2979" s="2">
        <v>80.290000000000006</v>
      </c>
      <c r="BM2979" s="2">
        <v>11.24</v>
      </c>
      <c r="BN2979" s="2">
        <v>91.53</v>
      </c>
      <c r="BO2979" s="2">
        <v>91.53</v>
      </c>
      <c r="BP2979" s="2"/>
      <c r="BQ2979" s="2" t="s">
        <v>83</v>
      </c>
      <c r="BR2979" s="2" t="s">
        <v>84</v>
      </c>
      <c r="BS2979" s="3">
        <v>42972</v>
      </c>
      <c r="BT2979" s="4">
        <v>0.53472222222222221</v>
      </c>
      <c r="BU2979" s="2" t="s">
        <v>844</v>
      </c>
      <c r="BV2979" s="2" t="s">
        <v>95</v>
      </c>
      <c r="BW2979" s="2"/>
      <c r="BX2979" s="2"/>
      <c r="BY2979" s="2">
        <v>1200</v>
      </c>
      <c r="BZ2979" s="2" t="s">
        <v>27</v>
      </c>
      <c r="CA2979" s="2" t="s">
        <v>845</v>
      </c>
      <c r="CB2979" s="2"/>
      <c r="CC2979" s="2" t="s">
        <v>842</v>
      </c>
      <c r="CD2979" s="2">
        <v>3370</v>
      </c>
      <c r="CE2979" s="2" t="s">
        <v>104</v>
      </c>
      <c r="CF2979" s="5">
        <v>42976</v>
      </c>
      <c r="CG2979" s="2"/>
      <c r="CH2979" s="2"/>
      <c r="CI2979" s="2">
        <v>3</v>
      </c>
      <c r="CJ2979" s="2">
        <v>1</v>
      </c>
      <c r="CK2979" s="2">
        <v>23</v>
      </c>
      <c r="CL2979" s="2" t="s">
        <v>86</v>
      </c>
      <c r="CM2979" s="2"/>
    </row>
    <row r="2980" spans="1:91">
      <c r="A2980" s="2" t="s">
        <v>71</v>
      </c>
      <c r="B2980" s="2" t="s">
        <v>72</v>
      </c>
      <c r="C2980" s="2" t="s">
        <v>73</v>
      </c>
      <c r="D2980" s="2"/>
      <c r="E2980" s="2" t="str">
        <f>"FES1162571240"</f>
        <v>FES1162571240</v>
      </c>
      <c r="F2980" s="3">
        <v>42971</v>
      </c>
      <c r="G2980" s="2">
        <v>201802</v>
      </c>
      <c r="H2980" s="2" t="s">
        <v>74</v>
      </c>
      <c r="I2980" s="2" t="s">
        <v>75</v>
      </c>
      <c r="J2980" s="2" t="s">
        <v>76</v>
      </c>
      <c r="K2980" s="2" t="s">
        <v>77</v>
      </c>
      <c r="L2980" s="2" t="s">
        <v>149</v>
      </c>
      <c r="M2980" s="2" t="s">
        <v>150</v>
      </c>
      <c r="N2980" s="2" t="s">
        <v>503</v>
      </c>
      <c r="O2980" s="2" t="s">
        <v>100</v>
      </c>
      <c r="P2980" s="2" t="str">
        <f>"2170586881                    "</f>
        <v xml:space="preserve">2170586881 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4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1</v>
      </c>
      <c r="BJ2980" s="2">
        <v>0.2</v>
      </c>
      <c r="BK2980" s="2">
        <v>1</v>
      </c>
      <c r="BL2980" s="2">
        <v>41.44</v>
      </c>
      <c r="BM2980" s="2">
        <v>5.8</v>
      </c>
      <c r="BN2980" s="2">
        <v>47.24</v>
      </c>
      <c r="BO2980" s="2">
        <v>47.24</v>
      </c>
      <c r="BP2980" s="2"/>
      <c r="BQ2980" s="2" t="s">
        <v>288</v>
      </c>
      <c r="BR2980" s="2" t="s">
        <v>84</v>
      </c>
      <c r="BS2980" s="3">
        <v>42972</v>
      </c>
      <c r="BT2980" s="4">
        <v>0.35694444444444445</v>
      </c>
      <c r="BU2980" s="2" t="s">
        <v>3207</v>
      </c>
      <c r="BV2980" s="2" t="s">
        <v>95</v>
      </c>
      <c r="BW2980" s="2"/>
      <c r="BX2980" s="2"/>
      <c r="BY2980" s="2">
        <v>1200</v>
      </c>
      <c r="BZ2980" s="2" t="s">
        <v>27</v>
      </c>
      <c r="CA2980" s="2" t="s">
        <v>682</v>
      </c>
      <c r="CB2980" s="2"/>
      <c r="CC2980" s="2" t="s">
        <v>150</v>
      </c>
      <c r="CD2980" s="2">
        <v>4001</v>
      </c>
      <c r="CE2980" s="2" t="s">
        <v>104</v>
      </c>
      <c r="CF2980" s="5">
        <v>42975</v>
      </c>
      <c r="CG2980" s="2"/>
      <c r="CH2980" s="2"/>
      <c r="CI2980" s="2">
        <v>1</v>
      </c>
      <c r="CJ2980" s="2">
        <v>1</v>
      </c>
      <c r="CK2980" s="2">
        <v>21</v>
      </c>
      <c r="CL2980" s="2" t="s">
        <v>86</v>
      </c>
      <c r="CM2980" s="2"/>
    </row>
    <row r="2981" spans="1:91">
      <c r="A2981" s="2" t="s">
        <v>71</v>
      </c>
      <c r="B2981" s="2" t="s">
        <v>72</v>
      </c>
      <c r="C2981" s="2" t="s">
        <v>73</v>
      </c>
      <c r="D2981" s="2"/>
      <c r="E2981" s="2" t="str">
        <f>"FES1162571150"</f>
        <v>FES1162571150</v>
      </c>
      <c r="F2981" s="3">
        <v>42971</v>
      </c>
      <c r="G2981" s="2">
        <v>201802</v>
      </c>
      <c r="H2981" s="2" t="s">
        <v>74</v>
      </c>
      <c r="I2981" s="2" t="s">
        <v>75</v>
      </c>
      <c r="J2981" s="2" t="s">
        <v>76</v>
      </c>
      <c r="K2981" s="2" t="s">
        <v>77</v>
      </c>
      <c r="L2981" s="2" t="s">
        <v>97</v>
      </c>
      <c r="M2981" s="2" t="s">
        <v>98</v>
      </c>
      <c r="N2981" s="2" t="s">
        <v>625</v>
      </c>
      <c r="O2981" s="2" t="s">
        <v>100</v>
      </c>
      <c r="P2981" s="2" t="str">
        <f>"2170582307                    "</f>
        <v xml:space="preserve">2170582307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4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1.6</v>
      </c>
      <c r="BJ2981" s="2">
        <v>1</v>
      </c>
      <c r="BK2981" s="2">
        <v>2</v>
      </c>
      <c r="BL2981" s="2">
        <v>41.44</v>
      </c>
      <c r="BM2981" s="2">
        <v>5.8</v>
      </c>
      <c r="BN2981" s="2">
        <v>47.24</v>
      </c>
      <c r="BO2981" s="2">
        <v>47.24</v>
      </c>
      <c r="BP2981" s="2"/>
      <c r="BQ2981" s="2" t="s">
        <v>108</v>
      </c>
      <c r="BR2981" s="2" t="s">
        <v>84</v>
      </c>
      <c r="BS2981" s="3">
        <v>42972</v>
      </c>
      <c r="BT2981" s="4">
        <v>0.47430555555555554</v>
      </c>
      <c r="BU2981" s="2" t="s">
        <v>1087</v>
      </c>
      <c r="BV2981" s="2" t="s">
        <v>86</v>
      </c>
      <c r="BW2981" s="2" t="s">
        <v>115</v>
      </c>
      <c r="BX2981" s="2" t="s">
        <v>1028</v>
      </c>
      <c r="BY2981" s="2">
        <v>5085.99</v>
      </c>
      <c r="BZ2981" s="2" t="s">
        <v>27</v>
      </c>
      <c r="CA2981" s="2" t="s">
        <v>103</v>
      </c>
      <c r="CB2981" s="2"/>
      <c r="CC2981" s="2" t="s">
        <v>98</v>
      </c>
      <c r="CD2981" s="2">
        <v>6001</v>
      </c>
      <c r="CE2981" s="2" t="s">
        <v>89</v>
      </c>
      <c r="CF2981" s="5">
        <v>42975</v>
      </c>
      <c r="CG2981" s="2"/>
      <c r="CH2981" s="2"/>
      <c r="CI2981" s="2">
        <v>1</v>
      </c>
      <c r="CJ2981" s="2">
        <v>1</v>
      </c>
      <c r="CK2981" s="2">
        <v>21</v>
      </c>
      <c r="CL2981" s="2" t="s">
        <v>86</v>
      </c>
      <c r="CM2981" s="2"/>
    </row>
    <row r="2982" spans="1:91">
      <c r="A2982" s="2" t="s">
        <v>71</v>
      </c>
      <c r="B2982" s="2" t="s">
        <v>72</v>
      </c>
      <c r="C2982" s="2" t="s">
        <v>73</v>
      </c>
      <c r="D2982" s="2"/>
      <c r="E2982" s="2" t="str">
        <f>"FES1162571199"</f>
        <v>FES1162571199</v>
      </c>
      <c r="F2982" s="3">
        <v>42971</v>
      </c>
      <c r="G2982" s="2">
        <v>201802</v>
      </c>
      <c r="H2982" s="2" t="s">
        <v>74</v>
      </c>
      <c r="I2982" s="2" t="s">
        <v>75</v>
      </c>
      <c r="J2982" s="2" t="s">
        <v>76</v>
      </c>
      <c r="K2982" s="2" t="s">
        <v>77</v>
      </c>
      <c r="L2982" s="2" t="s">
        <v>841</v>
      </c>
      <c r="M2982" s="2" t="s">
        <v>842</v>
      </c>
      <c r="N2982" s="2" t="s">
        <v>843</v>
      </c>
      <c r="O2982" s="2" t="s">
        <v>100</v>
      </c>
      <c r="P2982" s="2" t="str">
        <f>"2170586831                    "</f>
        <v xml:space="preserve">2170586831 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7.75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1</v>
      </c>
      <c r="BJ2982" s="2">
        <v>0.2</v>
      </c>
      <c r="BK2982" s="2">
        <v>1</v>
      </c>
      <c r="BL2982" s="2">
        <v>80.290000000000006</v>
      </c>
      <c r="BM2982" s="2">
        <v>11.24</v>
      </c>
      <c r="BN2982" s="2">
        <v>91.53</v>
      </c>
      <c r="BO2982" s="2">
        <v>91.53</v>
      </c>
      <c r="BP2982" s="2"/>
      <c r="BQ2982" s="2" t="s">
        <v>83</v>
      </c>
      <c r="BR2982" s="2" t="s">
        <v>84</v>
      </c>
      <c r="BS2982" s="3">
        <v>42972</v>
      </c>
      <c r="BT2982" s="4">
        <v>0.59861111111111109</v>
      </c>
      <c r="BU2982" s="2" t="s">
        <v>844</v>
      </c>
      <c r="BV2982" s="2" t="s">
        <v>95</v>
      </c>
      <c r="BW2982" s="2"/>
      <c r="BX2982" s="2"/>
      <c r="BY2982" s="2">
        <v>1200</v>
      </c>
      <c r="BZ2982" s="2" t="s">
        <v>27</v>
      </c>
      <c r="CA2982" s="2"/>
      <c r="CB2982" s="2"/>
      <c r="CC2982" s="2" t="s">
        <v>842</v>
      </c>
      <c r="CD2982" s="2">
        <v>3370</v>
      </c>
      <c r="CE2982" s="2" t="s">
        <v>104</v>
      </c>
      <c r="CF2982" s="5">
        <v>42976</v>
      </c>
      <c r="CG2982" s="2"/>
      <c r="CH2982" s="2"/>
      <c r="CI2982" s="2">
        <v>3</v>
      </c>
      <c r="CJ2982" s="2">
        <v>1</v>
      </c>
      <c r="CK2982" s="2">
        <v>23</v>
      </c>
      <c r="CL2982" s="2" t="s">
        <v>86</v>
      </c>
      <c r="CM2982" s="2"/>
    </row>
    <row r="2983" spans="1:91">
      <c r="A2983" s="2" t="s">
        <v>71</v>
      </c>
      <c r="B2983" s="2" t="s">
        <v>72</v>
      </c>
      <c r="C2983" s="2" t="s">
        <v>73</v>
      </c>
      <c r="D2983" s="2"/>
      <c r="E2983" s="2" t="str">
        <f>"FES1162571170"</f>
        <v>FES1162571170</v>
      </c>
      <c r="F2983" s="3">
        <v>42971</v>
      </c>
      <c r="G2983" s="2">
        <v>201802</v>
      </c>
      <c r="H2983" s="2" t="s">
        <v>74</v>
      </c>
      <c r="I2983" s="2" t="s">
        <v>75</v>
      </c>
      <c r="J2983" s="2" t="s">
        <v>76</v>
      </c>
      <c r="K2983" s="2" t="s">
        <v>77</v>
      </c>
      <c r="L2983" s="2" t="s">
        <v>174</v>
      </c>
      <c r="M2983" s="2" t="s">
        <v>175</v>
      </c>
      <c r="N2983" s="2" t="s">
        <v>2492</v>
      </c>
      <c r="O2983" s="2" t="s">
        <v>100</v>
      </c>
      <c r="P2983" s="2" t="str">
        <f>"2170584852                    "</f>
        <v xml:space="preserve">2170584852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10.01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0.6</v>
      </c>
      <c r="BJ2983" s="2">
        <v>4.8</v>
      </c>
      <c r="BK2983" s="2">
        <v>5</v>
      </c>
      <c r="BL2983" s="2">
        <v>103.61</v>
      </c>
      <c r="BM2983" s="2">
        <v>14.51</v>
      </c>
      <c r="BN2983" s="2">
        <v>118.12</v>
      </c>
      <c r="BO2983" s="2">
        <v>118.12</v>
      </c>
      <c r="BP2983" s="2"/>
      <c r="BQ2983" s="2" t="s">
        <v>209</v>
      </c>
      <c r="BR2983" s="2" t="s">
        <v>84</v>
      </c>
      <c r="BS2983" s="3">
        <v>42972</v>
      </c>
      <c r="BT2983" s="4">
        <v>0.4055555555555555</v>
      </c>
      <c r="BU2983" s="2" t="s">
        <v>2493</v>
      </c>
      <c r="BV2983" s="2" t="s">
        <v>95</v>
      </c>
      <c r="BW2983" s="2"/>
      <c r="BX2983" s="2"/>
      <c r="BY2983" s="2">
        <v>24060.84</v>
      </c>
      <c r="BZ2983" s="2" t="s">
        <v>27</v>
      </c>
      <c r="CA2983" s="2" t="s">
        <v>1420</v>
      </c>
      <c r="CB2983" s="2"/>
      <c r="CC2983" s="2" t="s">
        <v>175</v>
      </c>
      <c r="CD2983" s="2">
        <v>5201</v>
      </c>
      <c r="CE2983" s="2" t="s">
        <v>104</v>
      </c>
      <c r="CF2983" s="5">
        <v>42975</v>
      </c>
      <c r="CG2983" s="2"/>
      <c r="CH2983" s="2"/>
      <c r="CI2983" s="2">
        <v>1</v>
      </c>
      <c r="CJ2983" s="2">
        <v>1</v>
      </c>
      <c r="CK2983" s="2">
        <v>21</v>
      </c>
      <c r="CL2983" s="2" t="s">
        <v>86</v>
      </c>
      <c r="CM2983" s="2"/>
    </row>
    <row r="2984" spans="1:91">
      <c r="A2984" s="2" t="s">
        <v>71</v>
      </c>
      <c r="B2984" s="2" t="s">
        <v>72</v>
      </c>
      <c r="C2984" s="2" t="s">
        <v>73</v>
      </c>
      <c r="D2984" s="2"/>
      <c r="E2984" s="2" t="str">
        <f>"FES1162571103"</f>
        <v>FES1162571103</v>
      </c>
      <c r="F2984" s="3">
        <v>42971</v>
      </c>
      <c r="G2984" s="2">
        <v>201802</v>
      </c>
      <c r="H2984" s="2" t="s">
        <v>74</v>
      </c>
      <c r="I2984" s="2" t="s">
        <v>75</v>
      </c>
      <c r="J2984" s="2" t="s">
        <v>76</v>
      </c>
      <c r="K2984" s="2" t="s">
        <v>77</v>
      </c>
      <c r="L2984" s="2" t="s">
        <v>237</v>
      </c>
      <c r="M2984" s="2" t="s">
        <v>238</v>
      </c>
      <c r="N2984" s="2" t="s">
        <v>2089</v>
      </c>
      <c r="O2984" s="2" t="s">
        <v>100</v>
      </c>
      <c r="P2984" s="2" t="str">
        <f>"2170584715                    "</f>
        <v xml:space="preserve">2170584715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4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1</v>
      </c>
      <c r="BJ2984" s="2">
        <v>0.2</v>
      </c>
      <c r="BK2984" s="2">
        <v>1</v>
      </c>
      <c r="BL2984" s="2">
        <v>41.44</v>
      </c>
      <c r="BM2984" s="2">
        <v>5.8</v>
      </c>
      <c r="BN2984" s="2">
        <v>47.24</v>
      </c>
      <c r="BO2984" s="2">
        <v>47.24</v>
      </c>
      <c r="BP2984" s="2"/>
      <c r="BQ2984" s="2" t="s">
        <v>83</v>
      </c>
      <c r="BR2984" s="2" t="s">
        <v>84</v>
      </c>
      <c r="BS2984" s="3">
        <v>42972</v>
      </c>
      <c r="BT2984" s="4">
        <v>0.4375</v>
      </c>
      <c r="BU2984" s="2" t="s">
        <v>1407</v>
      </c>
      <c r="BV2984" s="2" t="s">
        <v>95</v>
      </c>
      <c r="BW2984" s="2"/>
      <c r="BX2984" s="2"/>
      <c r="BY2984" s="2">
        <v>1200</v>
      </c>
      <c r="BZ2984" s="2" t="s">
        <v>27</v>
      </c>
      <c r="CA2984" s="2" t="s">
        <v>672</v>
      </c>
      <c r="CB2984" s="2"/>
      <c r="CC2984" s="2" t="s">
        <v>238</v>
      </c>
      <c r="CD2984" s="2">
        <v>3610</v>
      </c>
      <c r="CE2984" s="2" t="s">
        <v>104</v>
      </c>
      <c r="CF2984" s="5">
        <v>42975</v>
      </c>
      <c r="CG2984" s="2"/>
      <c r="CH2984" s="2"/>
      <c r="CI2984" s="2">
        <v>1</v>
      </c>
      <c r="CJ2984" s="2">
        <v>1</v>
      </c>
      <c r="CK2984" s="2">
        <v>21</v>
      </c>
      <c r="CL2984" s="2" t="s">
        <v>86</v>
      </c>
      <c r="CM2984" s="2"/>
    </row>
    <row r="2985" spans="1:91">
      <c r="A2985" s="2" t="s">
        <v>71</v>
      </c>
      <c r="B2985" s="2" t="s">
        <v>72</v>
      </c>
      <c r="C2985" s="2" t="s">
        <v>73</v>
      </c>
      <c r="D2985" s="2"/>
      <c r="E2985" s="2" t="str">
        <f>"FES1162571190"</f>
        <v>FES1162571190</v>
      </c>
      <c r="F2985" s="3">
        <v>42971</v>
      </c>
      <c r="G2985" s="2">
        <v>201802</v>
      </c>
      <c r="H2985" s="2" t="s">
        <v>74</v>
      </c>
      <c r="I2985" s="2" t="s">
        <v>75</v>
      </c>
      <c r="J2985" s="2" t="s">
        <v>76</v>
      </c>
      <c r="K2985" s="2" t="s">
        <v>77</v>
      </c>
      <c r="L2985" s="2" t="s">
        <v>149</v>
      </c>
      <c r="M2985" s="2" t="s">
        <v>150</v>
      </c>
      <c r="N2985" s="2" t="s">
        <v>786</v>
      </c>
      <c r="O2985" s="2" t="s">
        <v>100</v>
      </c>
      <c r="P2985" s="2" t="str">
        <f>"2170586818                    "</f>
        <v xml:space="preserve">2170586818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4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1</v>
      </c>
      <c r="BJ2985" s="2">
        <v>0.2</v>
      </c>
      <c r="BK2985" s="2">
        <v>1</v>
      </c>
      <c r="BL2985" s="2">
        <v>41.44</v>
      </c>
      <c r="BM2985" s="2">
        <v>5.8</v>
      </c>
      <c r="BN2985" s="2">
        <v>47.24</v>
      </c>
      <c r="BO2985" s="2">
        <v>47.24</v>
      </c>
      <c r="BP2985" s="2"/>
      <c r="BQ2985" s="2" t="s">
        <v>288</v>
      </c>
      <c r="BR2985" s="2" t="s">
        <v>84</v>
      </c>
      <c r="BS2985" s="3">
        <v>42972</v>
      </c>
      <c r="BT2985" s="4">
        <v>0.36388888888888887</v>
      </c>
      <c r="BU2985" s="2" t="s">
        <v>2922</v>
      </c>
      <c r="BV2985" s="2" t="s">
        <v>95</v>
      </c>
      <c r="BW2985" s="2"/>
      <c r="BX2985" s="2"/>
      <c r="BY2985" s="2">
        <v>1200</v>
      </c>
      <c r="BZ2985" s="2" t="s">
        <v>27</v>
      </c>
      <c r="CA2985" s="2" t="s">
        <v>774</v>
      </c>
      <c r="CB2985" s="2"/>
      <c r="CC2985" s="2" t="s">
        <v>150</v>
      </c>
      <c r="CD2985" s="2">
        <v>4051</v>
      </c>
      <c r="CE2985" s="2" t="s">
        <v>104</v>
      </c>
      <c r="CF2985" s="5">
        <v>42975</v>
      </c>
      <c r="CG2985" s="2"/>
      <c r="CH2985" s="2"/>
      <c r="CI2985" s="2">
        <v>1</v>
      </c>
      <c r="CJ2985" s="2">
        <v>1</v>
      </c>
      <c r="CK2985" s="2">
        <v>21</v>
      </c>
      <c r="CL2985" s="2" t="s">
        <v>86</v>
      </c>
      <c r="CM2985" s="2"/>
    </row>
    <row r="2986" spans="1:91">
      <c r="A2986" s="2" t="s">
        <v>71</v>
      </c>
      <c r="B2986" s="2" t="s">
        <v>72</v>
      </c>
      <c r="C2986" s="2" t="s">
        <v>73</v>
      </c>
      <c r="D2986" s="2"/>
      <c r="E2986" s="2" t="str">
        <f>"FES1162571187"</f>
        <v>FES1162571187</v>
      </c>
      <c r="F2986" s="3">
        <v>42971</v>
      </c>
      <c r="G2986" s="2">
        <v>201802</v>
      </c>
      <c r="H2986" s="2" t="s">
        <v>74</v>
      </c>
      <c r="I2986" s="2" t="s">
        <v>75</v>
      </c>
      <c r="J2986" s="2" t="s">
        <v>76</v>
      </c>
      <c r="K2986" s="2" t="s">
        <v>77</v>
      </c>
      <c r="L2986" s="2" t="s">
        <v>362</v>
      </c>
      <c r="M2986" s="2" t="s">
        <v>363</v>
      </c>
      <c r="N2986" s="2" t="s">
        <v>546</v>
      </c>
      <c r="O2986" s="2" t="s">
        <v>100</v>
      </c>
      <c r="P2986" s="2" t="str">
        <f>"2170586815                    "</f>
        <v xml:space="preserve">2170586815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4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1</v>
      </c>
      <c r="BJ2986" s="2">
        <v>0.2</v>
      </c>
      <c r="BK2986" s="2">
        <v>1</v>
      </c>
      <c r="BL2986" s="2">
        <v>41.44</v>
      </c>
      <c r="BM2986" s="2">
        <v>5.8</v>
      </c>
      <c r="BN2986" s="2">
        <v>47.24</v>
      </c>
      <c r="BO2986" s="2">
        <v>47.24</v>
      </c>
      <c r="BP2986" s="2"/>
      <c r="BQ2986" s="2" t="s">
        <v>209</v>
      </c>
      <c r="BR2986" s="2" t="s">
        <v>84</v>
      </c>
      <c r="BS2986" s="3">
        <v>42972</v>
      </c>
      <c r="BT2986" s="4">
        <v>0.40972222222222227</v>
      </c>
      <c r="BU2986" s="2" t="s">
        <v>3208</v>
      </c>
      <c r="BV2986" s="2" t="s">
        <v>95</v>
      </c>
      <c r="BW2986" s="2"/>
      <c r="BX2986" s="2"/>
      <c r="BY2986" s="2">
        <v>1200</v>
      </c>
      <c r="BZ2986" s="2" t="s">
        <v>27</v>
      </c>
      <c r="CA2986" s="2" t="s">
        <v>379</v>
      </c>
      <c r="CB2986" s="2"/>
      <c r="CC2986" s="2" t="s">
        <v>363</v>
      </c>
      <c r="CD2986" s="2">
        <v>3201</v>
      </c>
      <c r="CE2986" s="2" t="s">
        <v>104</v>
      </c>
      <c r="CF2986" s="5">
        <v>42976</v>
      </c>
      <c r="CG2986" s="2"/>
      <c r="CH2986" s="2"/>
      <c r="CI2986" s="2">
        <v>1</v>
      </c>
      <c r="CJ2986" s="2">
        <v>1</v>
      </c>
      <c r="CK2986" s="2">
        <v>21</v>
      </c>
      <c r="CL2986" s="2" t="s">
        <v>86</v>
      </c>
      <c r="CM2986" s="2"/>
    </row>
    <row r="2987" spans="1:91">
      <c r="A2987" s="2" t="s">
        <v>71</v>
      </c>
      <c r="B2987" s="2" t="s">
        <v>72</v>
      </c>
      <c r="C2987" s="2" t="s">
        <v>73</v>
      </c>
      <c r="D2987" s="2"/>
      <c r="E2987" s="2" t="str">
        <f>"FES1162571163"</f>
        <v>FES1162571163</v>
      </c>
      <c r="F2987" s="3">
        <v>42971</v>
      </c>
      <c r="G2987" s="2">
        <v>201802</v>
      </c>
      <c r="H2987" s="2" t="s">
        <v>74</v>
      </c>
      <c r="I2987" s="2" t="s">
        <v>75</v>
      </c>
      <c r="J2987" s="2" t="s">
        <v>76</v>
      </c>
      <c r="K2987" s="2" t="s">
        <v>77</v>
      </c>
      <c r="L2987" s="2" t="s">
        <v>174</v>
      </c>
      <c r="M2987" s="2" t="s">
        <v>175</v>
      </c>
      <c r="N2987" s="2" t="s">
        <v>2787</v>
      </c>
      <c r="O2987" s="2" t="s">
        <v>100</v>
      </c>
      <c r="P2987" s="2" t="str">
        <f>"2170584635                    "</f>
        <v xml:space="preserve">2170584635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4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1</v>
      </c>
      <c r="BJ2987" s="2">
        <v>0.2</v>
      </c>
      <c r="BK2987" s="2">
        <v>1</v>
      </c>
      <c r="BL2987" s="2">
        <v>41.44</v>
      </c>
      <c r="BM2987" s="2">
        <v>5.8</v>
      </c>
      <c r="BN2987" s="2">
        <v>47.24</v>
      </c>
      <c r="BO2987" s="2">
        <v>47.24</v>
      </c>
      <c r="BP2987" s="2"/>
      <c r="BQ2987" s="2" t="s">
        <v>288</v>
      </c>
      <c r="BR2987" s="2" t="s">
        <v>84</v>
      </c>
      <c r="BS2987" s="3">
        <v>42972</v>
      </c>
      <c r="BT2987" s="4">
        <v>0.38194444444444442</v>
      </c>
      <c r="BU2987" s="2" t="s">
        <v>3209</v>
      </c>
      <c r="BV2987" s="2" t="s">
        <v>95</v>
      </c>
      <c r="BW2987" s="2"/>
      <c r="BX2987" s="2"/>
      <c r="BY2987" s="2">
        <v>1200</v>
      </c>
      <c r="BZ2987" s="2" t="s">
        <v>27</v>
      </c>
      <c r="CA2987" s="2" t="s">
        <v>1420</v>
      </c>
      <c r="CB2987" s="2"/>
      <c r="CC2987" s="2" t="s">
        <v>175</v>
      </c>
      <c r="CD2987" s="2">
        <v>5201</v>
      </c>
      <c r="CE2987" s="2" t="s">
        <v>104</v>
      </c>
      <c r="CF2987" s="5">
        <v>42975</v>
      </c>
      <c r="CG2987" s="2"/>
      <c r="CH2987" s="2"/>
      <c r="CI2987" s="2">
        <v>1</v>
      </c>
      <c r="CJ2987" s="2">
        <v>1</v>
      </c>
      <c r="CK2987" s="2">
        <v>21</v>
      </c>
      <c r="CL2987" s="2" t="s">
        <v>86</v>
      </c>
      <c r="CM2987" s="2"/>
    </row>
    <row r="2988" spans="1:91">
      <c r="A2988" s="2" t="s">
        <v>71</v>
      </c>
      <c r="B2988" s="2" t="s">
        <v>72</v>
      </c>
      <c r="C2988" s="2" t="s">
        <v>73</v>
      </c>
      <c r="D2988" s="2"/>
      <c r="E2988" s="2" t="str">
        <f>"FES1162571137"</f>
        <v>FES1162571137</v>
      </c>
      <c r="F2988" s="3">
        <v>42971</v>
      </c>
      <c r="G2988" s="2">
        <v>201802</v>
      </c>
      <c r="H2988" s="2" t="s">
        <v>74</v>
      </c>
      <c r="I2988" s="2" t="s">
        <v>75</v>
      </c>
      <c r="J2988" s="2" t="s">
        <v>76</v>
      </c>
      <c r="K2988" s="2" t="s">
        <v>77</v>
      </c>
      <c r="L2988" s="2" t="s">
        <v>2054</v>
      </c>
      <c r="M2988" s="2" t="s">
        <v>2055</v>
      </c>
      <c r="N2988" s="2" t="s">
        <v>3210</v>
      </c>
      <c r="O2988" s="2" t="s">
        <v>100</v>
      </c>
      <c r="P2988" s="2" t="str">
        <f>"2170586785                    "</f>
        <v xml:space="preserve">2170586785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5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0.6</v>
      </c>
      <c r="BJ2988" s="2">
        <v>2.5</v>
      </c>
      <c r="BK2988" s="2">
        <v>2.5</v>
      </c>
      <c r="BL2988" s="2">
        <v>51.8</v>
      </c>
      <c r="BM2988" s="2">
        <v>7.25</v>
      </c>
      <c r="BN2988" s="2">
        <v>59.05</v>
      </c>
      <c r="BO2988" s="2">
        <v>59.05</v>
      </c>
      <c r="BP2988" s="2"/>
      <c r="BQ2988" s="2" t="s">
        <v>288</v>
      </c>
      <c r="BR2988" s="2" t="s">
        <v>84</v>
      </c>
      <c r="BS2988" s="3">
        <v>42972</v>
      </c>
      <c r="BT2988" s="4">
        <v>0.69791666666666663</v>
      </c>
      <c r="BU2988" s="2" t="s">
        <v>3211</v>
      </c>
      <c r="BV2988" s="2" t="s">
        <v>95</v>
      </c>
      <c r="BW2988" s="2"/>
      <c r="BX2988" s="2"/>
      <c r="BY2988" s="2">
        <v>12306.84</v>
      </c>
      <c r="BZ2988" s="2" t="s">
        <v>27</v>
      </c>
      <c r="CA2988" s="2"/>
      <c r="CB2988" s="2"/>
      <c r="CC2988" s="2" t="s">
        <v>2055</v>
      </c>
      <c r="CD2988" s="2">
        <v>3265</v>
      </c>
      <c r="CE2988" s="2" t="s">
        <v>104</v>
      </c>
      <c r="CF2988" s="5">
        <v>42976</v>
      </c>
      <c r="CG2988" s="2"/>
      <c r="CH2988" s="2"/>
      <c r="CI2988" s="2">
        <v>1</v>
      </c>
      <c r="CJ2988" s="2">
        <v>1</v>
      </c>
      <c r="CK2988" s="2">
        <v>21</v>
      </c>
      <c r="CL2988" s="2" t="s">
        <v>86</v>
      </c>
      <c r="CM2988" s="2"/>
    </row>
    <row r="2989" spans="1:91">
      <c r="A2989" s="2" t="s">
        <v>71</v>
      </c>
      <c r="B2989" s="2" t="s">
        <v>72</v>
      </c>
      <c r="C2989" s="2" t="s">
        <v>73</v>
      </c>
      <c r="D2989" s="2"/>
      <c r="E2989" s="2" t="str">
        <f>"FES1162571166"</f>
        <v>FES1162571166</v>
      </c>
      <c r="F2989" s="3">
        <v>42971</v>
      </c>
      <c r="G2989" s="2">
        <v>201802</v>
      </c>
      <c r="H2989" s="2" t="s">
        <v>74</v>
      </c>
      <c r="I2989" s="2" t="s">
        <v>75</v>
      </c>
      <c r="J2989" s="2" t="s">
        <v>76</v>
      </c>
      <c r="K2989" s="2" t="s">
        <v>77</v>
      </c>
      <c r="L2989" s="2" t="s">
        <v>237</v>
      </c>
      <c r="M2989" s="2" t="s">
        <v>238</v>
      </c>
      <c r="N2989" s="2" t="s">
        <v>2089</v>
      </c>
      <c r="O2989" s="2" t="s">
        <v>100</v>
      </c>
      <c r="P2989" s="2" t="str">
        <f>"2170584715                    "</f>
        <v xml:space="preserve">2170584715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4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1</v>
      </c>
      <c r="BJ2989" s="2">
        <v>0.2</v>
      </c>
      <c r="BK2989" s="2">
        <v>1</v>
      </c>
      <c r="BL2989" s="2">
        <v>41.44</v>
      </c>
      <c r="BM2989" s="2">
        <v>5.8</v>
      </c>
      <c r="BN2989" s="2">
        <v>47.24</v>
      </c>
      <c r="BO2989" s="2">
        <v>47.24</v>
      </c>
      <c r="BP2989" s="2"/>
      <c r="BQ2989" s="2" t="s">
        <v>83</v>
      </c>
      <c r="BR2989" s="2" t="s">
        <v>84</v>
      </c>
      <c r="BS2989" s="3">
        <v>42972</v>
      </c>
      <c r="BT2989" s="4">
        <v>0.4375</v>
      </c>
      <c r="BU2989" s="2" t="s">
        <v>1407</v>
      </c>
      <c r="BV2989" s="2" t="s">
        <v>95</v>
      </c>
      <c r="BW2989" s="2"/>
      <c r="BX2989" s="2"/>
      <c r="BY2989" s="2">
        <v>1200</v>
      </c>
      <c r="BZ2989" s="2" t="s">
        <v>27</v>
      </c>
      <c r="CA2989" s="2" t="s">
        <v>672</v>
      </c>
      <c r="CB2989" s="2"/>
      <c r="CC2989" s="2" t="s">
        <v>238</v>
      </c>
      <c r="CD2989" s="2">
        <v>3610</v>
      </c>
      <c r="CE2989" s="2" t="s">
        <v>104</v>
      </c>
      <c r="CF2989" s="5">
        <v>42975</v>
      </c>
      <c r="CG2989" s="2"/>
      <c r="CH2989" s="2"/>
      <c r="CI2989" s="2">
        <v>1</v>
      </c>
      <c r="CJ2989" s="2">
        <v>1</v>
      </c>
      <c r="CK2989" s="2">
        <v>21</v>
      </c>
      <c r="CL2989" s="2" t="s">
        <v>86</v>
      </c>
      <c r="CM2989" s="2"/>
    </row>
    <row r="2990" spans="1:91">
      <c r="A2990" s="2" t="s">
        <v>71</v>
      </c>
      <c r="B2990" s="2" t="s">
        <v>72</v>
      </c>
      <c r="C2990" s="2" t="s">
        <v>73</v>
      </c>
      <c r="D2990" s="2"/>
      <c r="E2990" s="2" t="str">
        <f>"FES1162571178"</f>
        <v>FES1162571178</v>
      </c>
      <c r="F2990" s="3">
        <v>42971</v>
      </c>
      <c r="G2990" s="2">
        <v>201802</v>
      </c>
      <c r="H2990" s="2" t="s">
        <v>74</v>
      </c>
      <c r="I2990" s="2" t="s">
        <v>75</v>
      </c>
      <c r="J2990" s="2" t="s">
        <v>76</v>
      </c>
      <c r="K2990" s="2" t="s">
        <v>77</v>
      </c>
      <c r="L2990" s="2" t="s">
        <v>237</v>
      </c>
      <c r="M2990" s="2" t="s">
        <v>238</v>
      </c>
      <c r="N2990" s="2" t="s">
        <v>2510</v>
      </c>
      <c r="O2990" s="2" t="s">
        <v>100</v>
      </c>
      <c r="P2990" s="2" t="str">
        <f>"2170586803                    "</f>
        <v xml:space="preserve">2170586803  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4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1</v>
      </c>
      <c r="BI2990" s="2">
        <v>1</v>
      </c>
      <c r="BJ2990" s="2">
        <v>0.2</v>
      </c>
      <c r="BK2990" s="2">
        <v>1</v>
      </c>
      <c r="BL2990" s="2">
        <v>41.44</v>
      </c>
      <c r="BM2990" s="2">
        <v>5.8</v>
      </c>
      <c r="BN2990" s="2">
        <v>47.24</v>
      </c>
      <c r="BO2990" s="2">
        <v>47.24</v>
      </c>
      <c r="BP2990" s="2"/>
      <c r="BQ2990" s="2" t="s">
        <v>83</v>
      </c>
      <c r="BR2990" s="2" t="s">
        <v>84</v>
      </c>
      <c r="BS2990" s="3">
        <v>42972</v>
      </c>
      <c r="BT2990" s="4">
        <v>0.41041666666666665</v>
      </c>
      <c r="BU2990" s="2" t="s">
        <v>2647</v>
      </c>
      <c r="BV2990" s="2" t="s">
        <v>95</v>
      </c>
      <c r="BW2990" s="2"/>
      <c r="BX2990" s="2"/>
      <c r="BY2990" s="2">
        <v>1200</v>
      </c>
      <c r="BZ2990" s="2" t="s">
        <v>27</v>
      </c>
      <c r="CA2990" s="2" t="s">
        <v>2641</v>
      </c>
      <c r="CB2990" s="2"/>
      <c r="CC2990" s="2" t="s">
        <v>238</v>
      </c>
      <c r="CD2990" s="2">
        <v>3610</v>
      </c>
      <c r="CE2990" s="2" t="s">
        <v>104</v>
      </c>
      <c r="CF2990" s="5">
        <v>42975</v>
      </c>
      <c r="CG2990" s="2"/>
      <c r="CH2990" s="2"/>
      <c r="CI2990" s="2">
        <v>1</v>
      </c>
      <c r="CJ2990" s="2">
        <v>1</v>
      </c>
      <c r="CK2990" s="2">
        <v>21</v>
      </c>
      <c r="CL2990" s="2" t="s">
        <v>86</v>
      </c>
      <c r="CM2990" s="2"/>
    </row>
    <row r="2991" spans="1:91">
      <c r="A2991" s="2" t="s">
        <v>71</v>
      </c>
      <c r="B2991" s="2" t="s">
        <v>72</v>
      </c>
      <c r="C2991" s="2" t="s">
        <v>73</v>
      </c>
      <c r="D2991" s="2"/>
      <c r="E2991" s="2" t="str">
        <f>"FES1162571090"</f>
        <v>FES1162571090</v>
      </c>
      <c r="F2991" s="3">
        <v>42971</v>
      </c>
      <c r="G2991" s="2">
        <v>201802</v>
      </c>
      <c r="H2991" s="2" t="s">
        <v>74</v>
      </c>
      <c r="I2991" s="2" t="s">
        <v>75</v>
      </c>
      <c r="J2991" s="2" t="s">
        <v>76</v>
      </c>
      <c r="K2991" s="2" t="s">
        <v>77</v>
      </c>
      <c r="L2991" s="2" t="s">
        <v>2227</v>
      </c>
      <c r="M2991" s="2" t="s">
        <v>2228</v>
      </c>
      <c r="N2991" s="2" t="s">
        <v>770</v>
      </c>
      <c r="O2991" s="2" t="s">
        <v>100</v>
      </c>
      <c r="P2991" s="2" t="str">
        <f>"2170582946                    "</f>
        <v xml:space="preserve">2170582946  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7.75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1</v>
      </c>
      <c r="BI2991" s="2">
        <v>1</v>
      </c>
      <c r="BJ2991" s="2">
        <v>0.2</v>
      </c>
      <c r="BK2991" s="2">
        <v>1</v>
      </c>
      <c r="BL2991" s="2">
        <v>80.290000000000006</v>
      </c>
      <c r="BM2991" s="2">
        <v>11.24</v>
      </c>
      <c r="BN2991" s="2">
        <v>91.53</v>
      </c>
      <c r="BO2991" s="2">
        <v>91.53</v>
      </c>
      <c r="BP2991" s="2"/>
      <c r="BQ2991" s="2" t="s">
        <v>288</v>
      </c>
      <c r="BR2991" s="2" t="s">
        <v>84</v>
      </c>
      <c r="BS2991" s="3">
        <v>42972</v>
      </c>
      <c r="BT2991" s="4">
        <v>0.38263888888888892</v>
      </c>
      <c r="BU2991" s="2" t="s">
        <v>2232</v>
      </c>
      <c r="BV2991" s="2" t="s">
        <v>95</v>
      </c>
      <c r="BW2991" s="2"/>
      <c r="BX2991" s="2"/>
      <c r="BY2991" s="2">
        <v>1200</v>
      </c>
      <c r="BZ2991" s="2" t="s">
        <v>27</v>
      </c>
      <c r="CA2991" s="2" t="s">
        <v>1885</v>
      </c>
      <c r="CB2991" s="2"/>
      <c r="CC2991" s="2" t="s">
        <v>2228</v>
      </c>
      <c r="CD2991" s="2">
        <v>4170</v>
      </c>
      <c r="CE2991" s="2" t="s">
        <v>104</v>
      </c>
      <c r="CF2991" s="5">
        <v>42975</v>
      </c>
      <c r="CG2991" s="2"/>
      <c r="CH2991" s="2"/>
      <c r="CI2991" s="2">
        <v>1</v>
      </c>
      <c r="CJ2991" s="2">
        <v>1</v>
      </c>
      <c r="CK2991" s="2">
        <v>23</v>
      </c>
      <c r="CL2991" s="2" t="s">
        <v>86</v>
      </c>
      <c r="CM2991" s="2"/>
    </row>
    <row r="2992" spans="1:91">
      <c r="A2992" s="2" t="s">
        <v>71</v>
      </c>
      <c r="B2992" s="2" t="s">
        <v>72</v>
      </c>
      <c r="C2992" s="2" t="s">
        <v>73</v>
      </c>
      <c r="D2992" s="2"/>
      <c r="E2992" s="2" t="str">
        <f>"FES1162571113"</f>
        <v>FES1162571113</v>
      </c>
      <c r="F2992" s="3">
        <v>42971</v>
      </c>
      <c r="G2992" s="2">
        <v>201802</v>
      </c>
      <c r="H2992" s="2" t="s">
        <v>74</v>
      </c>
      <c r="I2992" s="2" t="s">
        <v>75</v>
      </c>
      <c r="J2992" s="2" t="s">
        <v>76</v>
      </c>
      <c r="K2992" s="2" t="s">
        <v>77</v>
      </c>
      <c r="L2992" s="2" t="s">
        <v>137</v>
      </c>
      <c r="M2992" s="2" t="s">
        <v>138</v>
      </c>
      <c r="N2992" s="2" t="s">
        <v>226</v>
      </c>
      <c r="O2992" s="2" t="s">
        <v>100</v>
      </c>
      <c r="P2992" s="2" t="str">
        <f>"2170585326                    "</f>
        <v xml:space="preserve">2170585326 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5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1</v>
      </c>
      <c r="BI2992" s="2">
        <v>2</v>
      </c>
      <c r="BJ2992" s="2">
        <v>2.1</v>
      </c>
      <c r="BK2992" s="2">
        <v>2.5</v>
      </c>
      <c r="BL2992" s="2">
        <v>51.8</v>
      </c>
      <c r="BM2992" s="2">
        <v>7.25</v>
      </c>
      <c r="BN2992" s="2">
        <v>59.05</v>
      </c>
      <c r="BO2992" s="2">
        <v>59.05</v>
      </c>
      <c r="BP2992" s="2"/>
      <c r="BQ2992" s="2" t="s">
        <v>288</v>
      </c>
      <c r="BR2992" s="2" t="s">
        <v>84</v>
      </c>
      <c r="BS2992" s="3">
        <v>42972</v>
      </c>
      <c r="BT2992" s="4">
        <v>0.37708333333333338</v>
      </c>
      <c r="BU2992" s="2" t="s">
        <v>228</v>
      </c>
      <c r="BV2992" s="2" t="s">
        <v>95</v>
      </c>
      <c r="BW2992" s="2"/>
      <c r="BX2992" s="2"/>
      <c r="BY2992" s="2">
        <v>10395</v>
      </c>
      <c r="BZ2992" s="2" t="s">
        <v>27</v>
      </c>
      <c r="CA2992" s="2"/>
      <c r="CB2992" s="2"/>
      <c r="CC2992" s="2" t="s">
        <v>138</v>
      </c>
      <c r="CD2992" s="2">
        <v>157</v>
      </c>
      <c r="CE2992" s="2" t="s">
        <v>89</v>
      </c>
      <c r="CF2992" s="5">
        <v>42975</v>
      </c>
      <c r="CG2992" s="2"/>
      <c r="CH2992" s="2"/>
      <c r="CI2992" s="2">
        <v>1</v>
      </c>
      <c r="CJ2992" s="2">
        <v>1</v>
      </c>
      <c r="CK2992" s="2">
        <v>21</v>
      </c>
      <c r="CL2992" s="2" t="s">
        <v>86</v>
      </c>
      <c r="CM2992" s="2"/>
    </row>
    <row r="2993" spans="1:91">
      <c r="A2993" s="2" t="s">
        <v>71</v>
      </c>
      <c r="B2993" s="2" t="s">
        <v>72</v>
      </c>
      <c r="C2993" s="2" t="s">
        <v>73</v>
      </c>
      <c r="D2993" s="2"/>
      <c r="E2993" s="2" t="str">
        <f>"FES1162571122"</f>
        <v>FES1162571122</v>
      </c>
      <c r="F2993" s="3">
        <v>42971</v>
      </c>
      <c r="G2993" s="2">
        <v>201802</v>
      </c>
      <c r="H2993" s="2" t="s">
        <v>74</v>
      </c>
      <c r="I2993" s="2" t="s">
        <v>75</v>
      </c>
      <c r="J2993" s="2" t="s">
        <v>76</v>
      </c>
      <c r="K2993" s="2" t="s">
        <v>77</v>
      </c>
      <c r="L2993" s="2" t="s">
        <v>221</v>
      </c>
      <c r="M2993" s="2" t="s">
        <v>222</v>
      </c>
      <c r="N2993" s="2" t="s">
        <v>415</v>
      </c>
      <c r="O2993" s="2" t="s">
        <v>100</v>
      </c>
      <c r="P2993" s="2" t="str">
        <f>"2170586529                    "</f>
        <v xml:space="preserve">2170586529  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4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2</v>
      </c>
      <c r="BJ2993" s="2">
        <v>1.5</v>
      </c>
      <c r="BK2993" s="2">
        <v>2</v>
      </c>
      <c r="BL2993" s="2">
        <v>41.44</v>
      </c>
      <c r="BM2993" s="2">
        <v>5.8</v>
      </c>
      <c r="BN2993" s="2">
        <v>47.24</v>
      </c>
      <c r="BO2993" s="2">
        <v>47.24</v>
      </c>
      <c r="BP2993" s="2"/>
      <c r="BQ2993" s="2" t="s">
        <v>108</v>
      </c>
      <c r="BR2993" s="2" t="s">
        <v>84</v>
      </c>
      <c r="BS2993" s="3">
        <v>42972</v>
      </c>
      <c r="BT2993" s="4">
        <v>0.35347222222222219</v>
      </c>
      <c r="BU2993" s="2" t="s">
        <v>416</v>
      </c>
      <c r="BV2993" s="2" t="s">
        <v>95</v>
      </c>
      <c r="BW2993" s="2"/>
      <c r="BX2993" s="2"/>
      <c r="BY2993" s="2">
        <v>7540</v>
      </c>
      <c r="BZ2993" s="2" t="s">
        <v>27</v>
      </c>
      <c r="CA2993" s="2" t="s">
        <v>934</v>
      </c>
      <c r="CB2993" s="2"/>
      <c r="CC2993" s="2" t="s">
        <v>222</v>
      </c>
      <c r="CD2993" s="2">
        <v>4302</v>
      </c>
      <c r="CE2993" s="2" t="s">
        <v>89</v>
      </c>
      <c r="CF2993" s="5">
        <v>42975</v>
      </c>
      <c r="CG2993" s="2"/>
      <c r="CH2993" s="2"/>
      <c r="CI2993" s="2">
        <v>1</v>
      </c>
      <c r="CJ2993" s="2">
        <v>1</v>
      </c>
      <c r="CK2993" s="2">
        <v>21</v>
      </c>
      <c r="CL2993" s="2" t="s">
        <v>86</v>
      </c>
      <c r="CM2993" s="2"/>
    </row>
    <row r="2994" spans="1:91">
      <c r="A2994" s="2" t="s">
        <v>71</v>
      </c>
      <c r="B2994" s="2" t="s">
        <v>72</v>
      </c>
      <c r="C2994" s="2" t="s">
        <v>73</v>
      </c>
      <c r="D2994" s="2"/>
      <c r="E2994" s="2" t="str">
        <f>"FES1162571131"</f>
        <v>FES1162571131</v>
      </c>
      <c r="F2994" s="3">
        <v>42971</v>
      </c>
      <c r="G2994" s="2">
        <v>201802</v>
      </c>
      <c r="H2994" s="2" t="s">
        <v>74</v>
      </c>
      <c r="I2994" s="2" t="s">
        <v>75</v>
      </c>
      <c r="J2994" s="2" t="s">
        <v>76</v>
      </c>
      <c r="K2994" s="2" t="s">
        <v>77</v>
      </c>
      <c r="L2994" s="2" t="s">
        <v>237</v>
      </c>
      <c r="M2994" s="2" t="s">
        <v>238</v>
      </c>
      <c r="N2994" s="2" t="s">
        <v>2002</v>
      </c>
      <c r="O2994" s="2" t="s">
        <v>100</v>
      </c>
      <c r="P2994" s="2" t="str">
        <f>"2170586775                    "</f>
        <v xml:space="preserve">2170586775       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4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1</v>
      </c>
      <c r="BI2994" s="2">
        <v>1</v>
      </c>
      <c r="BJ2994" s="2">
        <v>0.2</v>
      </c>
      <c r="BK2994" s="2">
        <v>1</v>
      </c>
      <c r="BL2994" s="2">
        <v>41.44</v>
      </c>
      <c r="BM2994" s="2">
        <v>5.8</v>
      </c>
      <c r="BN2994" s="2">
        <v>47.24</v>
      </c>
      <c r="BO2994" s="2">
        <v>47.24</v>
      </c>
      <c r="BP2994" s="2"/>
      <c r="BQ2994" s="2" t="s">
        <v>365</v>
      </c>
      <c r="BR2994" s="2" t="s">
        <v>84</v>
      </c>
      <c r="BS2994" s="3">
        <v>42972</v>
      </c>
      <c r="BT2994" s="4">
        <v>0.40625</v>
      </c>
      <c r="BU2994" s="2" t="s">
        <v>3212</v>
      </c>
      <c r="BV2994" s="2" t="s">
        <v>95</v>
      </c>
      <c r="BW2994" s="2"/>
      <c r="BX2994" s="2"/>
      <c r="BY2994" s="2">
        <v>1200</v>
      </c>
      <c r="BZ2994" s="2" t="s">
        <v>27</v>
      </c>
      <c r="CA2994" s="2" t="s">
        <v>672</v>
      </c>
      <c r="CB2994" s="2"/>
      <c r="CC2994" s="2" t="s">
        <v>238</v>
      </c>
      <c r="CD2994" s="2">
        <v>3610</v>
      </c>
      <c r="CE2994" s="2" t="s">
        <v>104</v>
      </c>
      <c r="CF2994" s="5">
        <v>42975</v>
      </c>
      <c r="CG2994" s="2"/>
      <c r="CH2994" s="2"/>
      <c r="CI2994" s="2">
        <v>1</v>
      </c>
      <c r="CJ2994" s="2">
        <v>1</v>
      </c>
      <c r="CK2994" s="2">
        <v>21</v>
      </c>
      <c r="CL2994" s="2" t="s">
        <v>86</v>
      </c>
      <c r="CM2994" s="2"/>
    </row>
    <row r="2995" spans="1:91">
      <c r="A2995" s="2" t="s">
        <v>71</v>
      </c>
      <c r="B2995" s="2" t="s">
        <v>72</v>
      </c>
      <c r="C2995" s="2" t="s">
        <v>73</v>
      </c>
      <c r="D2995" s="2"/>
      <c r="E2995" s="2" t="str">
        <f>"FES1162571138"</f>
        <v>FES1162571138</v>
      </c>
      <c r="F2995" s="3">
        <v>42971</v>
      </c>
      <c r="G2995" s="2">
        <v>201802</v>
      </c>
      <c r="H2995" s="2" t="s">
        <v>74</v>
      </c>
      <c r="I2995" s="2" t="s">
        <v>75</v>
      </c>
      <c r="J2995" s="2" t="s">
        <v>76</v>
      </c>
      <c r="K2995" s="2" t="s">
        <v>77</v>
      </c>
      <c r="L2995" s="2" t="s">
        <v>170</v>
      </c>
      <c r="M2995" s="2" t="s">
        <v>171</v>
      </c>
      <c r="N2995" s="2" t="s">
        <v>1938</v>
      </c>
      <c r="O2995" s="2" t="s">
        <v>100</v>
      </c>
      <c r="P2995" s="2" t="str">
        <f>"2170586786                    "</f>
        <v xml:space="preserve">2170586786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3.13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1</v>
      </c>
      <c r="BJ2995" s="2">
        <v>0.2</v>
      </c>
      <c r="BK2995" s="2">
        <v>1</v>
      </c>
      <c r="BL2995" s="2">
        <v>32.380000000000003</v>
      </c>
      <c r="BM2995" s="2">
        <v>4.53</v>
      </c>
      <c r="BN2995" s="2">
        <v>36.909999999999997</v>
      </c>
      <c r="BO2995" s="2">
        <v>36.909999999999997</v>
      </c>
      <c r="BP2995" s="2"/>
      <c r="BQ2995" s="2" t="s">
        <v>108</v>
      </c>
      <c r="BR2995" s="2" t="s">
        <v>84</v>
      </c>
      <c r="BS2995" s="3">
        <v>42975</v>
      </c>
      <c r="BT2995" s="4">
        <v>0.3444444444444445</v>
      </c>
      <c r="BU2995" s="2" t="s">
        <v>1133</v>
      </c>
      <c r="BV2995" s="2" t="s">
        <v>86</v>
      </c>
      <c r="BW2995" s="2" t="s">
        <v>124</v>
      </c>
      <c r="BX2995" s="2" t="s">
        <v>498</v>
      </c>
      <c r="BY2995" s="2">
        <v>1200</v>
      </c>
      <c r="BZ2995" s="2" t="s">
        <v>27</v>
      </c>
      <c r="CA2995" s="2" t="s">
        <v>148</v>
      </c>
      <c r="CB2995" s="2"/>
      <c r="CC2995" s="2" t="s">
        <v>171</v>
      </c>
      <c r="CD2995" s="2">
        <v>1401</v>
      </c>
      <c r="CE2995" s="2" t="s">
        <v>104</v>
      </c>
      <c r="CF2995" s="5">
        <v>42976</v>
      </c>
      <c r="CG2995" s="2"/>
      <c r="CH2995" s="2"/>
      <c r="CI2995" s="2">
        <v>1</v>
      </c>
      <c r="CJ2995" s="2">
        <v>2</v>
      </c>
      <c r="CK2995" s="2">
        <v>22</v>
      </c>
      <c r="CL2995" s="2" t="s">
        <v>86</v>
      </c>
      <c r="CM2995" s="2"/>
    </row>
    <row r="2996" spans="1:91">
      <c r="A2996" s="2" t="s">
        <v>71</v>
      </c>
      <c r="B2996" s="2" t="s">
        <v>72</v>
      </c>
      <c r="C2996" s="2" t="s">
        <v>73</v>
      </c>
      <c r="D2996" s="2"/>
      <c r="E2996" s="2" t="str">
        <f>"FES1162571194"</f>
        <v>FES1162571194</v>
      </c>
      <c r="F2996" s="3">
        <v>42971</v>
      </c>
      <c r="G2996" s="2">
        <v>201802</v>
      </c>
      <c r="H2996" s="2" t="s">
        <v>74</v>
      </c>
      <c r="I2996" s="2" t="s">
        <v>75</v>
      </c>
      <c r="J2996" s="2" t="s">
        <v>76</v>
      </c>
      <c r="K2996" s="2" t="s">
        <v>77</v>
      </c>
      <c r="L2996" s="2" t="s">
        <v>446</v>
      </c>
      <c r="M2996" s="2" t="s">
        <v>447</v>
      </c>
      <c r="N2996" s="2" t="s">
        <v>961</v>
      </c>
      <c r="O2996" s="2" t="s">
        <v>100</v>
      </c>
      <c r="P2996" s="2" t="str">
        <f>"2170580674                    "</f>
        <v xml:space="preserve">2170580674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5.63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1</v>
      </c>
      <c r="BJ2996" s="2">
        <v>0.2</v>
      </c>
      <c r="BK2996" s="2">
        <v>1</v>
      </c>
      <c r="BL2996" s="2">
        <v>58.28</v>
      </c>
      <c r="BM2996" s="2">
        <v>8.16</v>
      </c>
      <c r="BN2996" s="2">
        <v>66.44</v>
      </c>
      <c r="BO2996" s="2">
        <v>66.44</v>
      </c>
      <c r="BP2996" s="2"/>
      <c r="BQ2996" s="2" t="s">
        <v>83</v>
      </c>
      <c r="BR2996" s="2" t="s">
        <v>84</v>
      </c>
      <c r="BS2996" s="3">
        <v>42972</v>
      </c>
      <c r="BT2996" s="4">
        <v>0.41666666666666669</v>
      </c>
      <c r="BU2996" s="2" t="s">
        <v>3213</v>
      </c>
      <c r="BV2996" s="2" t="s">
        <v>95</v>
      </c>
      <c r="BW2996" s="2"/>
      <c r="BX2996" s="2"/>
      <c r="BY2996" s="2">
        <v>1200</v>
      </c>
      <c r="BZ2996" s="2" t="s">
        <v>27</v>
      </c>
      <c r="CA2996" s="2" t="s">
        <v>148</v>
      </c>
      <c r="CB2996" s="2"/>
      <c r="CC2996" s="2" t="s">
        <v>447</v>
      </c>
      <c r="CD2996" s="2">
        <v>1759</v>
      </c>
      <c r="CE2996" s="2" t="s">
        <v>104</v>
      </c>
      <c r="CF2996" s="5">
        <v>42975</v>
      </c>
      <c r="CG2996" s="2"/>
      <c r="CH2996" s="2"/>
      <c r="CI2996" s="2">
        <v>1</v>
      </c>
      <c r="CJ2996" s="2">
        <v>1</v>
      </c>
      <c r="CK2996" s="2">
        <v>24</v>
      </c>
      <c r="CL2996" s="2" t="s">
        <v>86</v>
      </c>
      <c r="CM2996" s="2"/>
    </row>
    <row r="2997" spans="1:91">
      <c r="A2997" s="2" t="s">
        <v>71</v>
      </c>
      <c r="B2997" s="2" t="s">
        <v>72</v>
      </c>
      <c r="C2997" s="2" t="s">
        <v>73</v>
      </c>
      <c r="D2997" s="2"/>
      <c r="E2997" s="2" t="str">
        <f>"FES1162571197"</f>
        <v>FES1162571197</v>
      </c>
      <c r="F2997" s="3">
        <v>42971</v>
      </c>
      <c r="G2997" s="2">
        <v>201802</v>
      </c>
      <c r="H2997" s="2" t="s">
        <v>74</v>
      </c>
      <c r="I2997" s="2" t="s">
        <v>75</v>
      </c>
      <c r="J2997" s="2" t="s">
        <v>76</v>
      </c>
      <c r="K2997" s="2" t="s">
        <v>77</v>
      </c>
      <c r="L2997" s="2" t="s">
        <v>74</v>
      </c>
      <c r="M2997" s="2" t="s">
        <v>75</v>
      </c>
      <c r="N2997" s="2" t="s">
        <v>1297</v>
      </c>
      <c r="O2997" s="2" t="s">
        <v>100</v>
      </c>
      <c r="P2997" s="2" t="str">
        <f>"2170586828                    "</f>
        <v xml:space="preserve">2170586828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3.13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1</v>
      </c>
      <c r="BJ2997" s="2">
        <v>0.2</v>
      </c>
      <c r="BK2997" s="2">
        <v>1</v>
      </c>
      <c r="BL2997" s="2">
        <v>32.380000000000003</v>
      </c>
      <c r="BM2997" s="2">
        <v>4.53</v>
      </c>
      <c r="BN2997" s="2">
        <v>36.909999999999997</v>
      </c>
      <c r="BO2997" s="2">
        <v>36.909999999999997</v>
      </c>
      <c r="BP2997" s="2"/>
      <c r="BQ2997" s="2" t="s">
        <v>83</v>
      </c>
      <c r="BR2997" s="2" t="s">
        <v>84</v>
      </c>
      <c r="BS2997" s="3">
        <v>42972</v>
      </c>
      <c r="BT2997" s="4">
        <v>0.32569444444444445</v>
      </c>
      <c r="BU2997" s="2" t="s">
        <v>3214</v>
      </c>
      <c r="BV2997" s="2" t="s">
        <v>95</v>
      </c>
      <c r="BW2997" s="2"/>
      <c r="BX2997" s="2"/>
      <c r="BY2997" s="2">
        <v>1200</v>
      </c>
      <c r="BZ2997" s="2" t="s">
        <v>27</v>
      </c>
      <c r="CA2997" s="2" t="s">
        <v>194</v>
      </c>
      <c r="CB2997" s="2"/>
      <c r="CC2997" s="2" t="s">
        <v>75</v>
      </c>
      <c r="CD2997" s="2">
        <v>1665</v>
      </c>
      <c r="CE2997" s="2" t="s">
        <v>104</v>
      </c>
      <c r="CF2997" s="5">
        <v>42975</v>
      </c>
      <c r="CG2997" s="2"/>
      <c r="CH2997" s="2"/>
      <c r="CI2997" s="2">
        <v>1</v>
      </c>
      <c r="CJ2997" s="2">
        <v>1</v>
      </c>
      <c r="CK2997" s="2">
        <v>22</v>
      </c>
      <c r="CL2997" s="2" t="s">
        <v>86</v>
      </c>
      <c r="CM2997" s="2"/>
    </row>
    <row r="2998" spans="1:91">
      <c r="A2998" s="2" t="s">
        <v>71</v>
      </c>
      <c r="B2998" s="2" t="s">
        <v>72</v>
      </c>
      <c r="C2998" s="2" t="s">
        <v>73</v>
      </c>
      <c r="D2998" s="2"/>
      <c r="E2998" s="2" t="str">
        <f>"FES1162571195"</f>
        <v>FES1162571195</v>
      </c>
      <c r="F2998" s="3">
        <v>42971</v>
      </c>
      <c r="G2998" s="2">
        <v>201802</v>
      </c>
      <c r="H2998" s="2" t="s">
        <v>74</v>
      </c>
      <c r="I2998" s="2" t="s">
        <v>75</v>
      </c>
      <c r="J2998" s="2" t="s">
        <v>76</v>
      </c>
      <c r="K2998" s="2" t="s">
        <v>77</v>
      </c>
      <c r="L2998" s="2" t="s">
        <v>105</v>
      </c>
      <c r="M2998" s="2" t="s">
        <v>106</v>
      </c>
      <c r="N2998" s="2" t="s">
        <v>1270</v>
      </c>
      <c r="O2998" s="2" t="s">
        <v>100</v>
      </c>
      <c r="P2998" s="2" t="str">
        <f>"2170584659                    "</f>
        <v xml:space="preserve">2170584659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15.01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3</v>
      </c>
      <c r="BJ2998" s="2">
        <v>7.1</v>
      </c>
      <c r="BK2998" s="2">
        <v>7.5</v>
      </c>
      <c r="BL2998" s="2">
        <v>155.41</v>
      </c>
      <c r="BM2998" s="2">
        <v>21.76</v>
      </c>
      <c r="BN2998" s="2">
        <v>177.17</v>
      </c>
      <c r="BO2998" s="2">
        <v>177.17</v>
      </c>
      <c r="BP2998" s="2"/>
      <c r="BQ2998" s="2" t="s">
        <v>83</v>
      </c>
      <c r="BR2998" s="2" t="s">
        <v>84</v>
      </c>
      <c r="BS2998" s="3">
        <v>42972</v>
      </c>
      <c r="BT2998" s="4">
        <v>0.49722222222222223</v>
      </c>
      <c r="BU2998" s="2" t="s">
        <v>3215</v>
      </c>
      <c r="BV2998" s="2" t="s">
        <v>86</v>
      </c>
      <c r="BW2998" s="2" t="s">
        <v>124</v>
      </c>
      <c r="BX2998" s="2" t="s">
        <v>116</v>
      </c>
      <c r="BY2998" s="2">
        <v>35420</v>
      </c>
      <c r="BZ2998" s="2" t="s">
        <v>27</v>
      </c>
      <c r="CA2998" s="2" t="s">
        <v>255</v>
      </c>
      <c r="CB2998" s="2"/>
      <c r="CC2998" s="2" t="s">
        <v>106</v>
      </c>
      <c r="CD2998" s="2">
        <v>7800</v>
      </c>
      <c r="CE2998" s="2" t="s">
        <v>89</v>
      </c>
      <c r="CF2998" s="5">
        <v>42972</v>
      </c>
      <c r="CG2998" s="2"/>
      <c r="CH2998" s="2"/>
      <c r="CI2998" s="2">
        <v>1</v>
      </c>
      <c r="CJ2998" s="2">
        <v>1</v>
      </c>
      <c r="CK2998" s="2">
        <v>21</v>
      </c>
      <c r="CL2998" s="2" t="s">
        <v>86</v>
      </c>
      <c r="CM2998" s="2"/>
    </row>
    <row r="2999" spans="1:91">
      <c r="A2999" s="2" t="s">
        <v>71</v>
      </c>
      <c r="B2999" s="2" t="s">
        <v>72</v>
      </c>
      <c r="C2999" s="2" t="s">
        <v>73</v>
      </c>
      <c r="D2999" s="2"/>
      <c r="E2999" s="2" t="str">
        <f>"FES1162571001"</f>
        <v>FES1162571001</v>
      </c>
      <c r="F2999" s="3">
        <v>42971</v>
      </c>
      <c r="G2999" s="2">
        <v>201802</v>
      </c>
      <c r="H2999" s="2" t="s">
        <v>74</v>
      </c>
      <c r="I2999" s="2" t="s">
        <v>75</v>
      </c>
      <c r="J2999" s="2" t="s">
        <v>76</v>
      </c>
      <c r="K2999" s="2" t="s">
        <v>77</v>
      </c>
      <c r="L2999" s="2" t="s">
        <v>244</v>
      </c>
      <c r="M2999" s="2" t="s">
        <v>245</v>
      </c>
      <c r="N2999" s="2" t="s">
        <v>882</v>
      </c>
      <c r="O2999" s="2" t="s">
        <v>100</v>
      </c>
      <c r="P2999" s="2" t="str">
        <f>"2170585888                    "</f>
        <v xml:space="preserve">2170585888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3.13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3</v>
      </c>
      <c r="BJ2999" s="2">
        <v>1.4</v>
      </c>
      <c r="BK2999" s="2">
        <v>3</v>
      </c>
      <c r="BL2999" s="2">
        <v>32.380000000000003</v>
      </c>
      <c r="BM2999" s="2">
        <v>4.53</v>
      </c>
      <c r="BN2999" s="2">
        <v>36.909999999999997</v>
      </c>
      <c r="BO2999" s="2">
        <v>36.909999999999997</v>
      </c>
      <c r="BP2999" s="2"/>
      <c r="BQ2999" s="2" t="s">
        <v>108</v>
      </c>
      <c r="BR2999" s="2" t="s">
        <v>84</v>
      </c>
      <c r="BS2999" s="3">
        <v>42972</v>
      </c>
      <c r="BT2999" s="4">
        <v>0.44027777777777777</v>
      </c>
      <c r="BU2999" s="2" t="s">
        <v>2016</v>
      </c>
      <c r="BV2999" s="2" t="s">
        <v>95</v>
      </c>
      <c r="BW2999" s="2"/>
      <c r="BX2999" s="2"/>
      <c r="BY2999" s="2">
        <v>6840</v>
      </c>
      <c r="BZ2999" s="2" t="s">
        <v>27</v>
      </c>
      <c r="CA2999" s="2" t="s">
        <v>733</v>
      </c>
      <c r="CB2999" s="2"/>
      <c r="CC2999" s="2" t="s">
        <v>245</v>
      </c>
      <c r="CD2999" s="2">
        <v>1459</v>
      </c>
      <c r="CE2999" s="2" t="s">
        <v>89</v>
      </c>
      <c r="CF2999" s="5">
        <v>42975</v>
      </c>
      <c r="CG2999" s="2"/>
      <c r="CH2999" s="2"/>
      <c r="CI2999" s="2">
        <v>1</v>
      </c>
      <c r="CJ2999" s="2">
        <v>1</v>
      </c>
      <c r="CK2999" s="2">
        <v>22</v>
      </c>
      <c r="CL2999" s="2" t="s">
        <v>86</v>
      </c>
      <c r="CM2999" s="2"/>
    </row>
    <row r="3000" spans="1:91">
      <c r="A3000" s="2" t="s">
        <v>71</v>
      </c>
      <c r="B3000" s="2" t="s">
        <v>72</v>
      </c>
      <c r="C3000" s="2" t="s">
        <v>73</v>
      </c>
      <c r="D3000" s="2"/>
      <c r="E3000" s="2" t="str">
        <f>"FES1162570899"</f>
        <v>FES1162570899</v>
      </c>
      <c r="F3000" s="3">
        <v>42971</v>
      </c>
      <c r="G3000" s="2">
        <v>201802</v>
      </c>
      <c r="H3000" s="2" t="s">
        <v>74</v>
      </c>
      <c r="I3000" s="2" t="s">
        <v>75</v>
      </c>
      <c r="J3000" s="2" t="s">
        <v>76</v>
      </c>
      <c r="K3000" s="2" t="s">
        <v>77</v>
      </c>
      <c r="L3000" s="2" t="s">
        <v>216</v>
      </c>
      <c r="M3000" s="2" t="s">
        <v>217</v>
      </c>
      <c r="N3000" s="2" t="s">
        <v>1588</v>
      </c>
      <c r="O3000" s="2" t="s">
        <v>100</v>
      </c>
      <c r="P3000" s="2" t="str">
        <f>"2170586338                    "</f>
        <v xml:space="preserve">2170586338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3.5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1</v>
      </c>
      <c r="BI3000" s="2">
        <v>8.5</v>
      </c>
      <c r="BJ3000" s="2">
        <v>2.2999999999999998</v>
      </c>
      <c r="BK3000" s="2">
        <v>9</v>
      </c>
      <c r="BL3000" s="2">
        <v>36.26</v>
      </c>
      <c r="BM3000" s="2">
        <v>5.08</v>
      </c>
      <c r="BN3000" s="2">
        <v>41.34</v>
      </c>
      <c r="BO3000" s="2">
        <v>41.34</v>
      </c>
      <c r="BP3000" s="2"/>
      <c r="BQ3000" s="2" t="s">
        <v>108</v>
      </c>
      <c r="BR3000" s="2" t="s">
        <v>84</v>
      </c>
      <c r="BS3000" s="3">
        <v>42972</v>
      </c>
      <c r="BT3000" s="4">
        <v>0.37638888888888888</v>
      </c>
      <c r="BU3000" s="2" t="s">
        <v>3216</v>
      </c>
      <c r="BV3000" s="2" t="s">
        <v>95</v>
      </c>
      <c r="BW3000" s="2"/>
      <c r="BX3000" s="2"/>
      <c r="BY3000" s="2">
        <v>11649.42</v>
      </c>
      <c r="BZ3000" s="2" t="s">
        <v>27</v>
      </c>
      <c r="CA3000" s="2" t="s">
        <v>220</v>
      </c>
      <c r="CB3000" s="2"/>
      <c r="CC3000" s="2" t="s">
        <v>217</v>
      </c>
      <c r="CD3000" s="2">
        <v>1451</v>
      </c>
      <c r="CE3000" s="2" t="s">
        <v>89</v>
      </c>
      <c r="CF3000" s="5">
        <v>42975</v>
      </c>
      <c r="CG3000" s="2"/>
      <c r="CH3000" s="2"/>
      <c r="CI3000" s="2">
        <v>1</v>
      </c>
      <c r="CJ3000" s="2">
        <v>1</v>
      </c>
      <c r="CK3000" s="2">
        <v>22</v>
      </c>
      <c r="CL3000" s="2" t="s">
        <v>86</v>
      </c>
      <c r="CM3000" s="2"/>
    </row>
    <row r="3001" spans="1:91">
      <c r="A3001" s="2" t="s">
        <v>71</v>
      </c>
      <c r="B3001" s="2" t="s">
        <v>72</v>
      </c>
      <c r="C3001" s="2" t="s">
        <v>73</v>
      </c>
      <c r="D3001" s="2"/>
      <c r="E3001" s="2" t="str">
        <f>"FES1162571005"</f>
        <v>FES1162571005</v>
      </c>
      <c r="F3001" s="3">
        <v>42971</v>
      </c>
      <c r="G3001" s="2">
        <v>201802</v>
      </c>
      <c r="H3001" s="2" t="s">
        <v>74</v>
      </c>
      <c r="I3001" s="2" t="s">
        <v>75</v>
      </c>
      <c r="J3001" s="2" t="s">
        <v>76</v>
      </c>
      <c r="K3001" s="2" t="s">
        <v>77</v>
      </c>
      <c r="L3001" s="2" t="s">
        <v>170</v>
      </c>
      <c r="M3001" s="2" t="s">
        <v>171</v>
      </c>
      <c r="N3001" s="2" t="s">
        <v>3217</v>
      </c>
      <c r="O3001" s="2" t="s">
        <v>100</v>
      </c>
      <c r="P3001" s="2" t="str">
        <f>"2170584803                    "</f>
        <v xml:space="preserve">2170584803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3.13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1</v>
      </c>
      <c r="BI3001" s="2">
        <v>7</v>
      </c>
      <c r="BJ3001" s="2">
        <v>4.0999999999999996</v>
      </c>
      <c r="BK3001" s="2">
        <v>7</v>
      </c>
      <c r="BL3001" s="2">
        <v>32.380000000000003</v>
      </c>
      <c r="BM3001" s="2">
        <v>4.53</v>
      </c>
      <c r="BN3001" s="2">
        <v>36.909999999999997</v>
      </c>
      <c r="BO3001" s="2">
        <v>36.909999999999997</v>
      </c>
      <c r="BP3001" s="2"/>
      <c r="BQ3001" s="2" t="s">
        <v>108</v>
      </c>
      <c r="BR3001" s="2" t="s">
        <v>84</v>
      </c>
      <c r="BS3001" s="3">
        <v>42972</v>
      </c>
      <c r="BT3001" s="4">
        <v>0.40347222222222223</v>
      </c>
      <c r="BU3001" s="2" t="s">
        <v>3218</v>
      </c>
      <c r="BV3001" s="2" t="s">
        <v>95</v>
      </c>
      <c r="BW3001" s="2"/>
      <c r="BX3001" s="2"/>
      <c r="BY3001" s="2">
        <v>20358</v>
      </c>
      <c r="BZ3001" s="2" t="s">
        <v>27</v>
      </c>
      <c r="CA3001" s="2" t="s">
        <v>1441</v>
      </c>
      <c r="CB3001" s="2"/>
      <c r="CC3001" s="2" t="s">
        <v>171</v>
      </c>
      <c r="CD3001" s="2">
        <v>1401</v>
      </c>
      <c r="CE3001" s="2" t="s">
        <v>89</v>
      </c>
      <c r="CF3001" s="5">
        <v>42975</v>
      </c>
      <c r="CG3001" s="2"/>
      <c r="CH3001" s="2"/>
      <c r="CI3001" s="2">
        <v>1</v>
      </c>
      <c r="CJ3001" s="2">
        <v>1</v>
      </c>
      <c r="CK3001" s="2">
        <v>22</v>
      </c>
      <c r="CL3001" s="2" t="s">
        <v>86</v>
      </c>
      <c r="CM3001" s="2"/>
    </row>
    <row r="3002" spans="1:91">
      <c r="A3002" s="2" t="s">
        <v>71</v>
      </c>
      <c r="B3002" s="2" t="s">
        <v>72</v>
      </c>
      <c r="C3002" s="2" t="s">
        <v>73</v>
      </c>
      <c r="D3002" s="2"/>
      <c r="E3002" s="2" t="str">
        <f>"FES1162571043"</f>
        <v>FES1162571043</v>
      </c>
      <c r="F3002" s="3">
        <v>42971</v>
      </c>
      <c r="G3002" s="2">
        <v>201802</v>
      </c>
      <c r="H3002" s="2" t="s">
        <v>74</v>
      </c>
      <c r="I3002" s="2" t="s">
        <v>75</v>
      </c>
      <c r="J3002" s="2" t="s">
        <v>76</v>
      </c>
      <c r="K3002" s="2" t="s">
        <v>77</v>
      </c>
      <c r="L3002" s="2" t="s">
        <v>593</v>
      </c>
      <c r="M3002" s="2" t="s">
        <v>594</v>
      </c>
      <c r="N3002" s="2" t="s">
        <v>3219</v>
      </c>
      <c r="O3002" s="2" t="s">
        <v>100</v>
      </c>
      <c r="P3002" s="2" t="str">
        <f>"2170586720                    "</f>
        <v xml:space="preserve">2170586720  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3.13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1</v>
      </c>
      <c r="BI3002" s="2">
        <v>1</v>
      </c>
      <c r="BJ3002" s="2">
        <v>0.2</v>
      </c>
      <c r="BK3002" s="2">
        <v>1</v>
      </c>
      <c r="BL3002" s="2">
        <v>32.380000000000003</v>
      </c>
      <c r="BM3002" s="2">
        <v>4.53</v>
      </c>
      <c r="BN3002" s="2">
        <v>36.909999999999997</v>
      </c>
      <c r="BO3002" s="2">
        <v>36.909999999999997</v>
      </c>
      <c r="BP3002" s="2"/>
      <c r="BQ3002" s="2" t="s">
        <v>108</v>
      </c>
      <c r="BR3002" s="2" t="s">
        <v>84</v>
      </c>
      <c r="BS3002" s="3">
        <v>42972</v>
      </c>
      <c r="BT3002" s="4">
        <v>0.40277777777777773</v>
      </c>
      <c r="BU3002" s="2" t="s">
        <v>1754</v>
      </c>
      <c r="BV3002" s="2" t="s">
        <v>95</v>
      </c>
      <c r="BW3002" s="2"/>
      <c r="BX3002" s="2"/>
      <c r="BY3002" s="2">
        <v>1200</v>
      </c>
      <c r="BZ3002" s="2" t="s">
        <v>27</v>
      </c>
      <c r="CA3002" s="2" t="s">
        <v>2693</v>
      </c>
      <c r="CB3002" s="2"/>
      <c r="CC3002" s="2" t="s">
        <v>594</v>
      </c>
      <c r="CD3002" s="2">
        <v>1685</v>
      </c>
      <c r="CE3002" s="2" t="s">
        <v>104</v>
      </c>
      <c r="CF3002" s="5">
        <v>42975</v>
      </c>
      <c r="CG3002" s="2"/>
      <c r="CH3002" s="2"/>
      <c r="CI3002" s="2">
        <v>1</v>
      </c>
      <c r="CJ3002" s="2">
        <v>1</v>
      </c>
      <c r="CK3002" s="2">
        <v>22</v>
      </c>
      <c r="CL3002" s="2" t="s">
        <v>86</v>
      </c>
      <c r="CM3002" s="2"/>
    </row>
    <row r="3003" spans="1:91">
      <c r="A3003" s="2" t="s">
        <v>71</v>
      </c>
      <c r="B3003" s="2" t="s">
        <v>72</v>
      </c>
      <c r="C3003" s="2" t="s">
        <v>73</v>
      </c>
      <c r="D3003" s="2"/>
      <c r="E3003" s="2" t="str">
        <f>"FES1162571146"</f>
        <v>FES1162571146</v>
      </c>
      <c r="F3003" s="3">
        <v>42971</v>
      </c>
      <c r="G3003" s="2">
        <v>201802</v>
      </c>
      <c r="H3003" s="2" t="s">
        <v>74</v>
      </c>
      <c r="I3003" s="2" t="s">
        <v>75</v>
      </c>
      <c r="J3003" s="2" t="s">
        <v>76</v>
      </c>
      <c r="K3003" s="2" t="s">
        <v>77</v>
      </c>
      <c r="L3003" s="2" t="s">
        <v>174</v>
      </c>
      <c r="M3003" s="2" t="s">
        <v>175</v>
      </c>
      <c r="N3003" s="2" t="s">
        <v>930</v>
      </c>
      <c r="O3003" s="2" t="s">
        <v>100</v>
      </c>
      <c r="P3003" s="2" t="str">
        <f>"2170577174                    "</f>
        <v xml:space="preserve">2170577174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4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1</v>
      </c>
      <c r="BJ3003" s="2">
        <v>0.2</v>
      </c>
      <c r="BK3003" s="2">
        <v>1</v>
      </c>
      <c r="BL3003" s="2">
        <v>41.44</v>
      </c>
      <c r="BM3003" s="2">
        <v>5.8</v>
      </c>
      <c r="BN3003" s="2">
        <v>47.24</v>
      </c>
      <c r="BO3003" s="2">
        <v>47.24</v>
      </c>
      <c r="BP3003" s="2"/>
      <c r="BQ3003" s="2" t="s">
        <v>83</v>
      </c>
      <c r="BR3003" s="2" t="s">
        <v>84</v>
      </c>
      <c r="BS3003" s="3">
        <v>42972</v>
      </c>
      <c r="BT3003" s="4">
        <v>0.38472222222222219</v>
      </c>
      <c r="BU3003" s="2" t="s">
        <v>1408</v>
      </c>
      <c r="BV3003" s="2" t="s">
        <v>95</v>
      </c>
      <c r="BW3003" s="2"/>
      <c r="BX3003" s="2"/>
      <c r="BY3003" s="2">
        <v>1200</v>
      </c>
      <c r="BZ3003" s="2" t="s">
        <v>27</v>
      </c>
      <c r="CA3003" s="2" t="s">
        <v>1373</v>
      </c>
      <c r="CB3003" s="2"/>
      <c r="CC3003" s="2" t="s">
        <v>175</v>
      </c>
      <c r="CD3003" s="2">
        <v>5201</v>
      </c>
      <c r="CE3003" s="2" t="s">
        <v>104</v>
      </c>
      <c r="CF3003" s="5">
        <v>42975</v>
      </c>
      <c r="CG3003" s="2"/>
      <c r="CH3003" s="2"/>
      <c r="CI3003" s="2">
        <v>1</v>
      </c>
      <c r="CJ3003" s="2">
        <v>1</v>
      </c>
      <c r="CK3003" s="2">
        <v>21</v>
      </c>
      <c r="CL3003" s="2" t="s">
        <v>86</v>
      </c>
      <c r="CM3003" s="2"/>
    </row>
    <row r="3004" spans="1:91">
      <c r="A3004" s="2" t="s">
        <v>71</v>
      </c>
      <c r="B3004" s="2" t="s">
        <v>72</v>
      </c>
      <c r="C3004" s="2" t="s">
        <v>73</v>
      </c>
      <c r="D3004" s="2"/>
      <c r="E3004" s="2" t="str">
        <f>"FES1162571040"</f>
        <v>FES1162571040</v>
      </c>
      <c r="F3004" s="3">
        <v>42971</v>
      </c>
      <c r="G3004" s="2">
        <v>201802</v>
      </c>
      <c r="H3004" s="2" t="s">
        <v>74</v>
      </c>
      <c r="I3004" s="2" t="s">
        <v>75</v>
      </c>
      <c r="J3004" s="2" t="s">
        <v>76</v>
      </c>
      <c r="K3004" s="2" t="s">
        <v>77</v>
      </c>
      <c r="L3004" s="2" t="s">
        <v>74</v>
      </c>
      <c r="M3004" s="2" t="s">
        <v>75</v>
      </c>
      <c r="N3004" s="2" t="s">
        <v>1385</v>
      </c>
      <c r="O3004" s="2" t="s">
        <v>100</v>
      </c>
      <c r="P3004" s="2" t="str">
        <f>"2170586715                    "</f>
        <v xml:space="preserve">2170586715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3.13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1</v>
      </c>
      <c r="BI3004" s="2">
        <v>6.8</v>
      </c>
      <c r="BJ3004" s="2">
        <v>3.2</v>
      </c>
      <c r="BK3004" s="2">
        <v>7</v>
      </c>
      <c r="BL3004" s="2">
        <v>32.380000000000003</v>
      </c>
      <c r="BM3004" s="2">
        <v>4.53</v>
      </c>
      <c r="BN3004" s="2">
        <v>36.909999999999997</v>
      </c>
      <c r="BO3004" s="2">
        <v>36.909999999999997</v>
      </c>
      <c r="BP3004" s="2"/>
      <c r="BQ3004" s="2" t="s">
        <v>108</v>
      </c>
      <c r="BR3004" s="2" t="s">
        <v>84</v>
      </c>
      <c r="BS3004" s="3">
        <v>42972</v>
      </c>
      <c r="BT3004" s="4">
        <v>0.3215277777777778</v>
      </c>
      <c r="BU3004" s="2" t="s">
        <v>1360</v>
      </c>
      <c r="BV3004" s="2" t="s">
        <v>95</v>
      </c>
      <c r="BW3004" s="2"/>
      <c r="BX3004" s="2"/>
      <c r="BY3004" s="2">
        <v>15978.24</v>
      </c>
      <c r="BZ3004" s="2" t="s">
        <v>27</v>
      </c>
      <c r="CA3004" s="2" t="s">
        <v>1448</v>
      </c>
      <c r="CB3004" s="2"/>
      <c r="CC3004" s="2" t="s">
        <v>75</v>
      </c>
      <c r="CD3004" s="2">
        <v>1609</v>
      </c>
      <c r="CE3004" s="2" t="s">
        <v>89</v>
      </c>
      <c r="CF3004" s="5">
        <v>42975</v>
      </c>
      <c r="CG3004" s="2"/>
      <c r="CH3004" s="2"/>
      <c r="CI3004" s="2">
        <v>1</v>
      </c>
      <c r="CJ3004" s="2">
        <v>1</v>
      </c>
      <c r="CK3004" s="2">
        <v>22</v>
      </c>
      <c r="CL3004" s="2" t="s">
        <v>86</v>
      </c>
      <c r="CM3004" s="2"/>
    </row>
    <row r="3005" spans="1:91">
      <c r="A3005" s="2" t="s">
        <v>71</v>
      </c>
      <c r="B3005" s="2" t="s">
        <v>72</v>
      </c>
      <c r="C3005" s="2" t="s">
        <v>73</v>
      </c>
      <c r="D3005" s="2"/>
      <c r="E3005" s="2" t="str">
        <f>"FES1162571028"</f>
        <v>FES1162571028</v>
      </c>
      <c r="F3005" s="3">
        <v>42971</v>
      </c>
      <c r="G3005" s="2">
        <v>201802</v>
      </c>
      <c r="H3005" s="2" t="s">
        <v>74</v>
      </c>
      <c r="I3005" s="2" t="s">
        <v>75</v>
      </c>
      <c r="J3005" s="2" t="s">
        <v>76</v>
      </c>
      <c r="K3005" s="2" t="s">
        <v>77</v>
      </c>
      <c r="L3005" s="2" t="s">
        <v>74</v>
      </c>
      <c r="M3005" s="2" t="s">
        <v>75</v>
      </c>
      <c r="N3005" s="2" t="s">
        <v>454</v>
      </c>
      <c r="O3005" s="2" t="s">
        <v>100</v>
      </c>
      <c r="P3005" s="2" t="str">
        <f>"2170586706                    "</f>
        <v xml:space="preserve">2170586706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3.13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2.1</v>
      </c>
      <c r="BJ3005" s="2">
        <v>2</v>
      </c>
      <c r="BK3005" s="2">
        <v>3</v>
      </c>
      <c r="BL3005" s="2">
        <v>32.380000000000003</v>
      </c>
      <c r="BM3005" s="2">
        <v>4.53</v>
      </c>
      <c r="BN3005" s="2">
        <v>36.909999999999997</v>
      </c>
      <c r="BO3005" s="2">
        <v>36.909999999999997</v>
      </c>
      <c r="BP3005" s="2"/>
      <c r="BQ3005" s="2" t="s">
        <v>108</v>
      </c>
      <c r="BR3005" s="2" t="s">
        <v>84</v>
      </c>
      <c r="BS3005" s="3">
        <v>42972</v>
      </c>
      <c r="BT3005" s="4">
        <v>0.3263888888888889</v>
      </c>
      <c r="BU3005" s="2" t="s">
        <v>3220</v>
      </c>
      <c r="BV3005" s="2" t="s">
        <v>95</v>
      </c>
      <c r="BW3005" s="2"/>
      <c r="BX3005" s="2"/>
      <c r="BY3005" s="2">
        <v>9778.23</v>
      </c>
      <c r="BZ3005" s="2" t="s">
        <v>27</v>
      </c>
      <c r="CA3005" s="2" t="s">
        <v>328</v>
      </c>
      <c r="CB3005" s="2"/>
      <c r="CC3005" s="2" t="s">
        <v>75</v>
      </c>
      <c r="CD3005" s="2">
        <v>1601</v>
      </c>
      <c r="CE3005" s="2" t="s">
        <v>104</v>
      </c>
      <c r="CF3005" s="5">
        <v>42975</v>
      </c>
      <c r="CG3005" s="2"/>
      <c r="CH3005" s="2"/>
      <c r="CI3005" s="2">
        <v>1</v>
      </c>
      <c r="CJ3005" s="2">
        <v>1</v>
      </c>
      <c r="CK3005" s="2">
        <v>22</v>
      </c>
      <c r="CL3005" s="2" t="s">
        <v>86</v>
      </c>
      <c r="CM3005" s="2"/>
    </row>
    <row r="3006" spans="1:91">
      <c r="A3006" s="2" t="s">
        <v>71</v>
      </c>
      <c r="B3006" s="2" t="s">
        <v>72</v>
      </c>
      <c r="C3006" s="2" t="s">
        <v>73</v>
      </c>
      <c r="D3006" s="2"/>
      <c r="E3006" s="2" t="str">
        <f>"FES1162571077"</f>
        <v>FES1162571077</v>
      </c>
      <c r="F3006" s="3">
        <v>42971</v>
      </c>
      <c r="G3006" s="2">
        <v>201802</v>
      </c>
      <c r="H3006" s="2" t="s">
        <v>74</v>
      </c>
      <c r="I3006" s="2" t="s">
        <v>75</v>
      </c>
      <c r="J3006" s="2" t="s">
        <v>76</v>
      </c>
      <c r="K3006" s="2" t="s">
        <v>77</v>
      </c>
      <c r="L3006" s="2" t="s">
        <v>244</v>
      </c>
      <c r="M3006" s="2" t="s">
        <v>245</v>
      </c>
      <c r="N3006" s="2" t="s">
        <v>1794</v>
      </c>
      <c r="O3006" s="2" t="s">
        <v>100</v>
      </c>
      <c r="P3006" s="2" t="str">
        <f>"2170586759                    "</f>
        <v xml:space="preserve">2170586759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3.13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2.7</v>
      </c>
      <c r="BJ3006" s="2">
        <v>2.6</v>
      </c>
      <c r="BK3006" s="2">
        <v>3</v>
      </c>
      <c r="BL3006" s="2">
        <v>32.380000000000003</v>
      </c>
      <c r="BM3006" s="2">
        <v>4.53</v>
      </c>
      <c r="BN3006" s="2">
        <v>36.909999999999997</v>
      </c>
      <c r="BO3006" s="2">
        <v>36.909999999999997</v>
      </c>
      <c r="BP3006" s="2"/>
      <c r="BQ3006" s="2" t="s">
        <v>108</v>
      </c>
      <c r="BR3006" s="2" t="s">
        <v>84</v>
      </c>
      <c r="BS3006" s="3">
        <v>42972</v>
      </c>
      <c r="BT3006" s="4">
        <v>0.33194444444444443</v>
      </c>
      <c r="BU3006" s="2" t="s">
        <v>1796</v>
      </c>
      <c r="BV3006" s="2" t="s">
        <v>95</v>
      </c>
      <c r="BW3006" s="2"/>
      <c r="BX3006" s="2"/>
      <c r="BY3006" s="2">
        <v>12916.64</v>
      </c>
      <c r="BZ3006" s="2" t="s">
        <v>27</v>
      </c>
      <c r="CA3006" s="2" t="s">
        <v>499</v>
      </c>
      <c r="CB3006" s="2"/>
      <c r="CC3006" s="2" t="s">
        <v>245</v>
      </c>
      <c r="CD3006" s="2">
        <v>1459</v>
      </c>
      <c r="CE3006" s="2" t="s">
        <v>104</v>
      </c>
      <c r="CF3006" s="5">
        <v>42975</v>
      </c>
      <c r="CG3006" s="2"/>
      <c r="CH3006" s="2"/>
      <c r="CI3006" s="2">
        <v>1</v>
      </c>
      <c r="CJ3006" s="2">
        <v>1</v>
      </c>
      <c r="CK3006" s="2">
        <v>22</v>
      </c>
      <c r="CL3006" s="2" t="s">
        <v>86</v>
      </c>
      <c r="CM3006" s="2"/>
    </row>
    <row r="3007" spans="1:91">
      <c r="A3007" s="2" t="s">
        <v>71</v>
      </c>
      <c r="B3007" s="2" t="s">
        <v>72</v>
      </c>
      <c r="C3007" s="2" t="s">
        <v>73</v>
      </c>
      <c r="D3007" s="2"/>
      <c r="E3007" s="2" t="str">
        <f>"FES1162571088"</f>
        <v>FES1162571088</v>
      </c>
      <c r="F3007" s="3">
        <v>42971</v>
      </c>
      <c r="G3007" s="2">
        <v>201802</v>
      </c>
      <c r="H3007" s="2" t="s">
        <v>74</v>
      </c>
      <c r="I3007" s="2" t="s">
        <v>75</v>
      </c>
      <c r="J3007" s="2" t="s">
        <v>76</v>
      </c>
      <c r="K3007" s="2" t="s">
        <v>77</v>
      </c>
      <c r="L3007" s="2" t="s">
        <v>97</v>
      </c>
      <c r="M3007" s="2" t="s">
        <v>98</v>
      </c>
      <c r="N3007" s="2" t="s">
        <v>248</v>
      </c>
      <c r="O3007" s="2" t="s">
        <v>100</v>
      </c>
      <c r="P3007" s="2" t="str">
        <f>"2170583517                    "</f>
        <v xml:space="preserve">2170583517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12.01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6</v>
      </c>
      <c r="BJ3007" s="2">
        <v>2</v>
      </c>
      <c r="BK3007" s="2">
        <v>6</v>
      </c>
      <c r="BL3007" s="2">
        <v>124.33</v>
      </c>
      <c r="BM3007" s="2">
        <v>17.41</v>
      </c>
      <c r="BN3007" s="2">
        <v>141.74</v>
      </c>
      <c r="BO3007" s="2">
        <v>141.74</v>
      </c>
      <c r="BP3007" s="2"/>
      <c r="BQ3007" s="2" t="s">
        <v>83</v>
      </c>
      <c r="BR3007" s="2" t="s">
        <v>84</v>
      </c>
      <c r="BS3007" s="3">
        <v>42975</v>
      </c>
      <c r="BT3007" s="4">
        <v>0.34722222222222227</v>
      </c>
      <c r="BU3007" s="2" t="s">
        <v>390</v>
      </c>
      <c r="BV3007" s="2" t="s">
        <v>86</v>
      </c>
      <c r="BW3007" s="2" t="s">
        <v>1042</v>
      </c>
      <c r="BX3007" s="2" t="s">
        <v>1028</v>
      </c>
      <c r="BY3007" s="2">
        <v>9918</v>
      </c>
      <c r="BZ3007" s="2" t="s">
        <v>27</v>
      </c>
      <c r="CA3007" s="2" t="s">
        <v>294</v>
      </c>
      <c r="CB3007" s="2"/>
      <c r="CC3007" s="2" t="s">
        <v>98</v>
      </c>
      <c r="CD3007" s="2">
        <v>6001</v>
      </c>
      <c r="CE3007" s="2" t="s">
        <v>89</v>
      </c>
      <c r="CF3007" s="5">
        <v>42977</v>
      </c>
      <c r="CG3007" s="2"/>
      <c r="CH3007" s="2"/>
      <c r="CI3007" s="2">
        <v>1</v>
      </c>
      <c r="CJ3007" s="2">
        <v>2</v>
      </c>
      <c r="CK3007" s="2">
        <v>21</v>
      </c>
      <c r="CL3007" s="2" t="s">
        <v>86</v>
      </c>
      <c r="CM3007" s="2"/>
    </row>
    <row r="3008" spans="1:91">
      <c r="A3008" s="2" t="s">
        <v>71</v>
      </c>
      <c r="B3008" s="2" t="s">
        <v>72</v>
      </c>
      <c r="C3008" s="2" t="s">
        <v>73</v>
      </c>
      <c r="D3008" s="2"/>
      <c r="E3008" s="2" t="str">
        <f>"FES1162570649"</f>
        <v>FES1162570649</v>
      </c>
      <c r="F3008" s="3">
        <v>42971</v>
      </c>
      <c r="G3008" s="2">
        <v>201802</v>
      </c>
      <c r="H3008" s="2" t="s">
        <v>74</v>
      </c>
      <c r="I3008" s="2" t="s">
        <v>75</v>
      </c>
      <c r="J3008" s="2" t="s">
        <v>76</v>
      </c>
      <c r="K3008" s="2" t="s">
        <v>77</v>
      </c>
      <c r="L3008" s="2" t="s">
        <v>74</v>
      </c>
      <c r="M3008" s="2" t="s">
        <v>75</v>
      </c>
      <c r="N3008" s="2" t="s">
        <v>1214</v>
      </c>
      <c r="O3008" s="2" t="s">
        <v>100</v>
      </c>
      <c r="P3008" s="2" t="str">
        <f>"2170586231                    "</f>
        <v xml:space="preserve">2170586231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3.13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5</v>
      </c>
      <c r="BJ3008" s="2">
        <v>2.2999999999999998</v>
      </c>
      <c r="BK3008" s="2">
        <v>5</v>
      </c>
      <c r="BL3008" s="2">
        <v>32.380000000000003</v>
      </c>
      <c r="BM3008" s="2">
        <v>4.53</v>
      </c>
      <c r="BN3008" s="2">
        <v>36.909999999999997</v>
      </c>
      <c r="BO3008" s="2">
        <v>36.909999999999997</v>
      </c>
      <c r="BP3008" s="2"/>
      <c r="BQ3008" s="2" t="s">
        <v>108</v>
      </c>
      <c r="BR3008" s="2" t="s">
        <v>84</v>
      </c>
      <c r="BS3008" s="3">
        <v>42972</v>
      </c>
      <c r="BT3008" s="4">
        <v>0.34097222222222223</v>
      </c>
      <c r="BU3008" s="2" t="s">
        <v>3221</v>
      </c>
      <c r="BV3008" s="2" t="s">
        <v>95</v>
      </c>
      <c r="BW3008" s="2"/>
      <c r="BX3008" s="2"/>
      <c r="BY3008" s="2">
        <v>11313.07</v>
      </c>
      <c r="BZ3008" s="2" t="s">
        <v>27</v>
      </c>
      <c r="CA3008" s="2" t="s">
        <v>194</v>
      </c>
      <c r="CB3008" s="2"/>
      <c r="CC3008" s="2" t="s">
        <v>75</v>
      </c>
      <c r="CD3008" s="2">
        <v>1666</v>
      </c>
      <c r="CE3008" s="2" t="s">
        <v>135</v>
      </c>
      <c r="CF3008" s="5">
        <v>42975</v>
      </c>
      <c r="CG3008" s="2"/>
      <c r="CH3008" s="2"/>
      <c r="CI3008" s="2">
        <v>1</v>
      </c>
      <c r="CJ3008" s="2">
        <v>1</v>
      </c>
      <c r="CK3008" s="2">
        <v>22</v>
      </c>
      <c r="CL3008" s="2" t="s">
        <v>86</v>
      </c>
      <c r="CM3008" s="2"/>
    </row>
    <row r="3009" spans="1:91">
      <c r="A3009" s="2" t="s">
        <v>71</v>
      </c>
      <c r="B3009" s="2" t="s">
        <v>72</v>
      </c>
      <c r="C3009" s="2" t="s">
        <v>73</v>
      </c>
      <c r="D3009" s="2"/>
      <c r="E3009" s="2" t="str">
        <f>"FES1162571058"</f>
        <v>FES1162571058</v>
      </c>
      <c r="F3009" s="3">
        <v>42971</v>
      </c>
      <c r="G3009" s="2">
        <v>201802</v>
      </c>
      <c r="H3009" s="2" t="s">
        <v>74</v>
      </c>
      <c r="I3009" s="2" t="s">
        <v>75</v>
      </c>
      <c r="J3009" s="2" t="s">
        <v>76</v>
      </c>
      <c r="K3009" s="2" t="s">
        <v>77</v>
      </c>
      <c r="L3009" s="2" t="s">
        <v>74</v>
      </c>
      <c r="M3009" s="2" t="s">
        <v>75</v>
      </c>
      <c r="N3009" s="2" t="s">
        <v>1967</v>
      </c>
      <c r="O3009" s="2" t="s">
        <v>100</v>
      </c>
      <c r="P3009" s="2" t="str">
        <f>"2170586731                    "</f>
        <v xml:space="preserve">2170586731 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3.13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1</v>
      </c>
      <c r="BJ3009" s="2">
        <v>0.2</v>
      </c>
      <c r="BK3009" s="2">
        <v>1</v>
      </c>
      <c r="BL3009" s="2">
        <v>32.380000000000003</v>
      </c>
      <c r="BM3009" s="2">
        <v>4.53</v>
      </c>
      <c r="BN3009" s="2">
        <v>36.909999999999997</v>
      </c>
      <c r="BO3009" s="2">
        <v>36.909999999999997</v>
      </c>
      <c r="BP3009" s="2"/>
      <c r="BQ3009" s="2" t="s">
        <v>108</v>
      </c>
      <c r="BR3009" s="2" t="s">
        <v>84</v>
      </c>
      <c r="BS3009" s="3">
        <v>42972</v>
      </c>
      <c r="BT3009" s="4">
        <v>0.4055555555555555</v>
      </c>
      <c r="BU3009" s="2" t="s">
        <v>1754</v>
      </c>
      <c r="BV3009" s="2" t="s">
        <v>95</v>
      </c>
      <c r="BW3009" s="2"/>
      <c r="BX3009" s="2"/>
      <c r="BY3009" s="2">
        <v>1200</v>
      </c>
      <c r="BZ3009" s="2" t="s">
        <v>27</v>
      </c>
      <c r="CA3009" s="2" t="s">
        <v>2693</v>
      </c>
      <c r="CB3009" s="2"/>
      <c r="CC3009" s="2" t="s">
        <v>75</v>
      </c>
      <c r="CD3009" s="2">
        <v>1682</v>
      </c>
      <c r="CE3009" s="2" t="s">
        <v>104</v>
      </c>
      <c r="CF3009" s="5">
        <v>42975</v>
      </c>
      <c r="CG3009" s="2"/>
      <c r="CH3009" s="2"/>
      <c r="CI3009" s="2">
        <v>1</v>
      </c>
      <c r="CJ3009" s="2">
        <v>1</v>
      </c>
      <c r="CK3009" s="2">
        <v>22</v>
      </c>
      <c r="CL3009" s="2" t="s">
        <v>86</v>
      </c>
      <c r="CM3009" s="2"/>
    </row>
    <row r="3010" spans="1:91">
      <c r="A3010" s="2" t="s">
        <v>71</v>
      </c>
      <c r="B3010" s="2" t="s">
        <v>72</v>
      </c>
      <c r="C3010" s="2" t="s">
        <v>73</v>
      </c>
      <c r="D3010" s="2"/>
      <c r="E3010" s="2" t="str">
        <f>"FES1162571080"</f>
        <v>FES1162571080</v>
      </c>
      <c r="F3010" s="3">
        <v>42971</v>
      </c>
      <c r="G3010" s="2">
        <v>201802</v>
      </c>
      <c r="H3010" s="2" t="s">
        <v>74</v>
      </c>
      <c r="I3010" s="2" t="s">
        <v>75</v>
      </c>
      <c r="J3010" s="2" t="s">
        <v>76</v>
      </c>
      <c r="K3010" s="2" t="s">
        <v>77</v>
      </c>
      <c r="L3010" s="2" t="s">
        <v>244</v>
      </c>
      <c r="M3010" s="2" t="s">
        <v>245</v>
      </c>
      <c r="N3010" s="2" t="s">
        <v>2564</v>
      </c>
      <c r="O3010" s="2" t="s">
        <v>100</v>
      </c>
      <c r="P3010" s="2" t="str">
        <f>"2170586764                    "</f>
        <v xml:space="preserve">2170586764 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3.13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1</v>
      </c>
      <c r="BJ3010" s="2">
        <v>0.2</v>
      </c>
      <c r="BK3010" s="2">
        <v>1</v>
      </c>
      <c r="BL3010" s="2">
        <v>32.380000000000003</v>
      </c>
      <c r="BM3010" s="2">
        <v>4.53</v>
      </c>
      <c r="BN3010" s="2">
        <v>36.909999999999997</v>
      </c>
      <c r="BO3010" s="2">
        <v>36.909999999999997</v>
      </c>
      <c r="BP3010" s="2"/>
      <c r="BQ3010" s="2" t="s">
        <v>108</v>
      </c>
      <c r="BR3010" s="2" t="s">
        <v>84</v>
      </c>
      <c r="BS3010" s="3">
        <v>42972</v>
      </c>
      <c r="BT3010" s="4">
        <v>0.3298611111111111</v>
      </c>
      <c r="BU3010" s="2" t="s">
        <v>1181</v>
      </c>
      <c r="BV3010" s="2" t="s">
        <v>95</v>
      </c>
      <c r="BW3010" s="2"/>
      <c r="BX3010" s="2"/>
      <c r="BY3010" s="2">
        <v>1200</v>
      </c>
      <c r="BZ3010" s="2" t="s">
        <v>27</v>
      </c>
      <c r="CA3010" s="2" t="s">
        <v>499</v>
      </c>
      <c r="CB3010" s="2"/>
      <c r="CC3010" s="2" t="s">
        <v>245</v>
      </c>
      <c r="CD3010" s="2">
        <v>1459</v>
      </c>
      <c r="CE3010" s="2" t="s">
        <v>104</v>
      </c>
      <c r="CF3010" s="5">
        <v>42975</v>
      </c>
      <c r="CG3010" s="2"/>
      <c r="CH3010" s="2"/>
      <c r="CI3010" s="2">
        <v>1</v>
      </c>
      <c r="CJ3010" s="2">
        <v>1</v>
      </c>
      <c r="CK3010" s="2">
        <v>22</v>
      </c>
      <c r="CL3010" s="2" t="s">
        <v>86</v>
      </c>
      <c r="CM3010" s="2"/>
    </row>
    <row r="3011" spans="1:91">
      <c r="A3011" s="2" t="s">
        <v>71</v>
      </c>
      <c r="B3011" s="2" t="s">
        <v>72</v>
      </c>
      <c r="C3011" s="2" t="s">
        <v>73</v>
      </c>
      <c r="D3011" s="2"/>
      <c r="E3011" s="2" t="str">
        <f>"FES1162571267"</f>
        <v>FES1162571267</v>
      </c>
      <c r="F3011" s="3">
        <v>42971</v>
      </c>
      <c r="G3011" s="2">
        <v>201802</v>
      </c>
      <c r="H3011" s="2" t="s">
        <v>74</v>
      </c>
      <c r="I3011" s="2" t="s">
        <v>75</v>
      </c>
      <c r="J3011" s="2" t="s">
        <v>76</v>
      </c>
      <c r="K3011" s="2" t="s">
        <v>77</v>
      </c>
      <c r="L3011" s="2" t="s">
        <v>846</v>
      </c>
      <c r="M3011" s="2" t="s">
        <v>847</v>
      </c>
      <c r="N3011" s="2" t="s">
        <v>848</v>
      </c>
      <c r="O3011" s="2" t="s">
        <v>100</v>
      </c>
      <c r="P3011" s="2" t="str">
        <f>"2170584741                    "</f>
        <v xml:space="preserve">2170584741  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7.75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1</v>
      </c>
      <c r="BJ3011" s="2">
        <v>0.2</v>
      </c>
      <c r="BK3011" s="2">
        <v>1</v>
      </c>
      <c r="BL3011" s="2">
        <v>80.290000000000006</v>
      </c>
      <c r="BM3011" s="2">
        <v>11.24</v>
      </c>
      <c r="BN3011" s="2">
        <v>91.53</v>
      </c>
      <c r="BO3011" s="2">
        <v>91.53</v>
      </c>
      <c r="BP3011" s="2"/>
      <c r="BQ3011" s="2" t="s">
        <v>108</v>
      </c>
      <c r="BR3011" s="2" t="s">
        <v>84</v>
      </c>
      <c r="BS3011" s="3">
        <v>42972</v>
      </c>
      <c r="BT3011" s="4">
        <v>0.48958333333333331</v>
      </c>
      <c r="BU3011" s="2" t="s">
        <v>3222</v>
      </c>
      <c r="BV3011" s="2" t="s">
        <v>95</v>
      </c>
      <c r="BW3011" s="2"/>
      <c r="BX3011" s="2"/>
      <c r="BY3011" s="2">
        <v>1200</v>
      </c>
      <c r="BZ3011" s="2"/>
      <c r="CA3011" s="2" t="s">
        <v>850</v>
      </c>
      <c r="CB3011" s="2"/>
      <c r="CC3011" s="2" t="s">
        <v>847</v>
      </c>
      <c r="CD3011" s="2">
        <v>7349</v>
      </c>
      <c r="CE3011" s="2" t="s">
        <v>104</v>
      </c>
      <c r="CF3011" s="5">
        <v>42975</v>
      </c>
      <c r="CG3011" s="2"/>
      <c r="CH3011" s="2"/>
      <c r="CI3011" s="2">
        <v>1</v>
      </c>
      <c r="CJ3011" s="2">
        <v>1</v>
      </c>
      <c r="CK3011" s="2">
        <v>23</v>
      </c>
      <c r="CL3011" s="2" t="s">
        <v>86</v>
      </c>
      <c r="CM3011" s="2"/>
    </row>
    <row r="3012" spans="1:91">
      <c r="A3012" s="2" t="s">
        <v>71</v>
      </c>
      <c r="B3012" s="2" t="s">
        <v>72</v>
      </c>
      <c r="C3012" s="2" t="s">
        <v>73</v>
      </c>
      <c r="D3012" s="2"/>
      <c r="E3012" s="2" t="str">
        <f>"FES1162571218"</f>
        <v>FES1162571218</v>
      </c>
      <c r="F3012" s="3">
        <v>42971</v>
      </c>
      <c r="G3012" s="2">
        <v>201802</v>
      </c>
      <c r="H3012" s="2" t="s">
        <v>74</v>
      </c>
      <c r="I3012" s="2" t="s">
        <v>75</v>
      </c>
      <c r="J3012" s="2" t="s">
        <v>76</v>
      </c>
      <c r="K3012" s="2" t="s">
        <v>77</v>
      </c>
      <c r="L3012" s="2" t="s">
        <v>417</v>
      </c>
      <c r="M3012" s="2" t="s">
        <v>417</v>
      </c>
      <c r="N3012" s="2" t="s">
        <v>458</v>
      </c>
      <c r="O3012" s="2" t="s">
        <v>100</v>
      </c>
      <c r="P3012" s="2" t="str">
        <f>"2170586851                    "</f>
        <v xml:space="preserve">2170586851 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4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1</v>
      </c>
      <c r="BJ3012" s="2">
        <v>0.2</v>
      </c>
      <c r="BK3012" s="2">
        <v>1</v>
      </c>
      <c r="BL3012" s="2">
        <v>41.44</v>
      </c>
      <c r="BM3012" s="2">
        <v>5.8</v>
      </c>
      <c r="BN3012" s="2">
        <v>47.24</v>
      </c>
      <c r="BO3012" s="2">
        <v>47.24</v>
      </c>
      <c r="BP3012" s="2"/>
      <c r="BQ3012" s="2" t="s">
        <v>83</v>
      </c>
      <c r="BR3012" s="2" t="s">
        <v>84</v>
      </c>
      <c r="BS3012" s="3">
        <v>42972</v>
      </c>
      <c r="BT3012" s="4">
        <v>0.54097222222222219</v>
      </c>
      <c r="BU3012" s="2" t="s">
        <v>459</v>
      </c>
      <c r="BV3012" s="2" t="s">
        <v>95</v>
      </c>
      <c r="BW3012" s="2"/>
      <c r="BX3012" s="2"/>
      <c r="BY3012" s="2">
        <v>1200</v>
      </c>
      <c r="BZ3012" s="2"/>
      <c r="CA3012" s="2" t="s">
        <v>460</v>
      </c>
      <c r="CB3012" s="2"/>
      <c r="CC3012" s="2" t="s">
        <v>417</v>
      </c>
      <c r="CD3012" s="2">
        <v>7646</v>
      </c>
      <c r="CE3012" s="2" t="s">
        <v>104</v>
      </c>
      <c r="CF3012" s="5">
        <v>42975</v>
      </c>
      <c r="CG3012" s="2"/>
      <c r="CH3012" s="2"/>
      <c r="CI3012" s="2">
        <v>1</v>
      </c>
      <c r="CJ3012" s="2">
        <v>1</v>
      </c>
      <c r="CK3012" s="2">
        <v>21</v>
      </c>
      <c r="CL3012" s="2" t="s">
        <v>86</v>
      </c>
      <c r="CM3012" s="2"/>
    </row>
    <row r="3013" spans="1:91">
      <c r="A3013" s="2" t="s">
        <v>71</v>
      </c>
      <c r="B3013" s="2" t="s">
        <v>72</v>
      </c>
      <c r="C3013" s="2" t="s">
        <v>73</v>
      </c>
      <c r="D3013" s="2"/>
      <c r="E3013" s="2" t="str">
        <f>"FES1162571254"</f>
        <v>FES1162571254</v>
      </c>
      <c r="F3013" s="3">
        <v>42971</v>
      </c>
      <c r="G3013" s="2">
        <v>201802</v>
      </c>
      <c r="H3013" s="2" t="s">
        <v>74</v>
      </c>
      <c r="I3013" s="2" t="s">
        <v>75</v>
      </c>
      <c r="J3013" s="2" t="s">
        <v>76</v>
      </c>
      <c r="K3013" s="2" t="s">
        <v>77</v>
      </c>
      <c r="L3013" s="2" t="s">
        <v>417</v>
      </c>
      <c r="M3013" s="2" t="s">
        <v>417</v>
      </c>
      <c r="N3013" s="2" t="s">
        <v>458</v>
      </c>
      <c r="O3013" s="2" t="s">
        <v>100</v>
      </c>
      <c r="P3013" s="2" t="str">
        <f>"2170586901                    "</f>
        <v xml:space="preserve">2170586901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4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1</v>
      </c>
      <c r="BJ3013" s="2">
        <v>0.2</v>
      </c>
      <c r="BK3013" s="2">
        <v>1</v>
      </c>
      <c r="BL3013" s="2">
        <v>41.44</v>
      </c>
      <c r="BM3013" s="2">
        <v>5.8</v>
      </c>
      <c r="BN3013" s="2">
        <v>47.24</v>
      </c>
      <c r="BO3013" s="2">
        <v>47.24</v>
      </c>
      <c r="BP3013" s="2"/>
      <c r="BQ3013" s="2" t="s">
        <v>83</v>
      </c>
      <c r="BR3013" s="2" t="s">
        <v>84</v>
      </c>
      <c r="BS3013" s="3">
        <v>42972</v>
      </c>
      <c r="BT3013" s="4">
        <v>0.54097222222222219</v>
      </c>
      <c r="BU3013" s="2" t="s">
        <v>459</v>
      </c>
      <c r="BV3013" s="2"/>
      <c r="BW3013" s="2"/>
      <c r="BX3013" s="2"/>
      <c r="BY3013" s="2">
        <v>1200</v>
      </c>
      <c r="BZ3013" s="2"/>
      <c r="CA3013" s="2" t="s">
        <v>460</v>
      </c>
      <c r="CB3013" s="2"/>
      <c r="CC3013" s="2" t="s">
        <v>417</v>
      </c>
      <c r="CD3013" s="2">
        <v>7646</v>
      </c>
      <c r="CE3013" s="2" t="s">
        <v>104</v>
      </c>
      <c r="CF3013" s="5">
        <v>42975</v>
      </c>
      <c r="CG3013" s="2"/>
      <c r="CH3013" s="2"/>
      <c r="CI3013" s="2">
        <v>0</v>
      </c>
      <c r="CJ3013" s="2">
        <v>0</v>
      </c>
      <c r="CK3013" s="2">
        <v>21</v>
      </c>
      <c r="CL3013" s="2" t="s">
        <v>86</v>
      </c>
      <c r="CM3013" s="2"/>
    </row>
    <row r="3014" spans="1:91">
      <c r="A3014" s="2" t="s">
        <v>71</v>
      </c>
      <c r="B3014" s="2" t="s">
        <v>72</v>
      </c>
      <c r="C3014" s="2" t="s">
        <v>73</v>
      </c>
      <c r="D3014" s="2"/>
      <c r="E3014" s="2" t="str">
        <f>"FES1162571149"</f>
        <v>FES1162571149</v>
      </c>
      <c r="F3014" s="3">
        <v>42971</v>
      </c>
      <c r="G3014" s="2">
        <v>201802</v>
      </c>
      <c r="H3014" s="2" t="s">
        <v>74</v>
      </c>
      <c r="I3014" s="2" t="s">
        <v>75</v>
      </c>
      <c r="J3014" s="2" t="s">
        <v>76</v>
      </c>
      <c r="K3014" s="2" t="s">
        <v>77</v>
      </c>
      <c r="L3014" s="2" t="s">
        <v>417</v>
      </c>
      <c r="M3014" s="2" t="s">
        <v>417</v>
      </c>
      <c r="N3014" s="2" t="s">
        <v>1309</v>
      </c>
      <c r="O3014" s="2" t="s">
        <v>100</v>
      </c>
      <c r="P3014" s="2" t="str">
        <f>"2170588687                    "</f>
        <v xml:space="preserve">2170588687                    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4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  <c r="BG3014" s="2">
        <v>0</v>
      </c>
      <c r="BH3014" s="2">
        <v>1</v>
      </c>
      <c r="BI3014" s="2">
        <v>1</v>
      </c>
      <c r="BJ3014" s="2">
        <v>0.2</v>
      </c>
      <c r="BK3014" s="2">
        <v>1</v>
      </c>
      <c r="BL3014" s="2">
        <v>41.44</v>
      </c>
      <c r="BM3014" s="2">
        <v>5.8</v>
      </c>
      <c r="BN3014" s="2">
        <v>47.24</v>
      </c>
      <c r="BO3014" s="2">
        <v>47.24</v>
      </c>
      <c r="BP3014" s="2"/>
      <c r="BQ3014" s="2" t="s">
        <v>83</v>
      </c>
      <c r="BR3014" s="2" t="s">
        <v>84</v>
      </c>
      <c r="BS3014" s="3">
        <v>42972</v>
      </c>
      <c r="BT3014" s="4">
        <v>0.50902777777777775</v>
      </c>
      <c r="BU3014" s="2" t="s">
        <v>653</v>
      </c>
      <c r="BV3014" s="2" t="s">
        <v>95</v>
      </c>
      <c r="BW3014" s="2"/>
      <c r="BX3014" s="2"/>
      <c r="BY3014" s="2">
        <v>1200</v>
      </c>
      <c r="BZ3014" s="2"/>
      <c r="CA3014" s="2" t="s">
        <v>460</v>
      </c>
      <c r="CB3014" s="2"/>
      <c r="CC3014" s="2" t="s">
        <v>417</v>
      </c>
      <c r="CD3014" s="2">
        <v>7646</v>
      </c>
      <c r="CE3014" s="2" t="s">
        <v>104</v>
      </c>
      <c r="CF3014" s="5">
        <v>42975</v>
      </c>
      <c r="CG3014" s="2"/>
      <c r="CH3014" s="2"/>
      <c r="CI3014" s="2">
        <v>1</v>
      </c>
      <c r="CJ3014" s="2">
        <v>1</v>
      </c>
      <c r="CK3014" s="2">
        <v>21</v>
      </c>
      <c r="CL3014" s="2" t="s">
        <v>86</v>
      </c>
      <c r="CM3014" s="2"/>
    </row>
    <row r="3015" spans="1:91">
      <c r="A3015" s="2" t="s">
        <v>71</v>
      </c>
      <c r="B3015" s="2" t="s">
        <v>72</v>
      </c>
      <c r="C3015" s="2" t="s">
        <v>73</v>
      </c>
      <c r="D3015" s="2"/>
      <c r="E3015" s="2" t="str">
        <f>"FES1162571094"</f>
        <v>FES1162571094</v>
      </c>
      <c r="F3015" s="3">
        <v>42971</v>
      </c>
      <c r="G3015" s="2">
        <v>201802</v>
      </c>
      <c r="H3015" s="2" t="s">
        <v>74</v>
      </c>
      <c r="I3015" s="2" t="s">
        <v>75</v>
      </c>
      <c r="J3015" s="2" t="s">
        <v>76</v>
      </c>
      <c r="K3015" s="2" t="s">
        <v>77</v>
      </c>
      <c r="L3015" s="2" t="s">
        <v>417</v>
      </c>
      <c r="M3015" s="2" t="s">
        <v>417</v>
      </c>
      <c r="N3015" s="2" t="s">
        <v>1414</v>
      </c>
      <c r="O3015" s="2" t="s">
        <v>100</v>
      </c>
      <c r="P3015" s="2" t="str">
        <f>"2170584598                    "</f>
        <v xml:space="preserve">2170584598                    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4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  <c r="BG3015" s="2">
        <v>0</v>
      </c>
      <c r="BH3015" s="2">
        <v>1</v>
      </c>
      <c r="BI3015" s="2">
        <v>1</v>
      </c>
      <c r="BJ3015" s="2">
        <v>0.2</v>
      </c>
      <c r="BK3015" s="2">
        <v>1</v>
      </c>
      <c r="BL3015" s="2">
        <v>41.44</v>
      </c>
      <c r="BM3015" s="2">
        <v>5.8</v>
      </c>
      <c r="BN3015" s="2">
        <v>47.24</v>
      </c>
      <c r="BO3015" s="2">
        <v>47.24</v>
      </c>
      <c r="BP3015" s="2"/>
      <c r="BQ3015" s="2" t="s">
        <v>108</v>
      </c>
      <c r="BR3015" s="2" t="s">
        <v>84</v>
      </c>
      <c r="BS3015" s="3">
        <v>42972</v>
      </c>
      <c r="BT3015" s="4">
        <v>0.54791666666666672</v>
      </c>
      <c r="BU3015" s="2" t="s">
        <v>3137</v>
      </c>
      <c r="BV3015" s="2" t="s">
        <v>95</v>
      </c>
      <c r="BW3015" s="2"/>
      <c r="BX3015" s="2"/>
      <c r="BY3015" s="2">
        <v>1200</v>
      </c>
      <c r="BZ3015" s="2"/>
      <c r="CA3015" s="2" t="s">
        <v>460</v>
      </c>
      <c r="CB3015" s="2"/>
      <c r="CC3015" s="2" t="s">
        <v>417</v>
      </c>
      <c r="CD3015" s="2">
        <v>7646</v>
      </c>
      <c r="CE3015" s="2" t="s">
        <v>104</v>
      </c>
      <c r="CF3015" s="5">
        <v>42975</v>
      </c>
      <c r="CG3015" s="2"/>
      <c r="CH3015" s="2"/>
      <c r="CI3015" s="2">
        <v>1</v>
      </c>
      <c r="CJ3015" s="2">
        <v>1</v>
      </c>
      <c r="CK3015" s="2">
        <v>21</v>
      </c>
      <c r="CL3015" s="2" t="s">
        <v>86</v>
      </c>
      <c r="CM3015" s="2"/>
    </row>
    <row r="3016" spans="1:91">
      <c r="A3016" s="2" t="s">
        <v>71</v>
      </c>
      <c r="B3016" s="2" t="s">
        <v>72</v>
      </c>
      <c r="C3016" s="2" t="s">
        <v>73</v>
      </c>
      <c r="D3016" s="2"/>
      <c r="E3016" s="2" t="str">
        <f>"FES1162571167"</f>
        <v>FES1162571167</v>
      </c>
      <c r="F3016" s="3">
        <v>42971</v>
      </c>
      <c r="G3016" s="2">
        <v>201802</v>
      </c>
      <c r="H3016" s="2" t="s">
        <v>74</v>
      </c>
      <c r="I3016" s="2" t="s">
        <v>75</v>
      </c>
      <c r="J3016" s="2" t="s">
        <v>76</v>
      </c>
      <c r="K3016" s="2" t="s">
        <v>77</v>
      </c>
      <c r="L3016" s="2" t="s">
        <v>846</v>
      </c>
      <c r="M3016" s="2" t="s">
        <v>847</v>
      </c>
      <c r="N3016" s="2" t="s">
        <v>848</v>
      </c>
      <c r="O3016" s="2" t="s">
        <v>100</v>
      </c>
      <c r="P3016" s="2" t="str">
        <f>"2170584741                    "</f>
        <v xml:space="preserve">2170584741                    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7.75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0</v>
      </c>
      <c r="BE3016" s="2">
        <v>0</v>
      </c>
      <c r="BF3016" s="2">
        <v>0</v>
      </c>
      <c r="BG3016" s="2">
        <v>0</v>
      </c>
      <c r="BH3016" s="2">
        <v>1</v>
      </c>
      <c r="BI3016" s="2">
        <v>1</v>
      </c>
      <c r="BJ3016" s="2">
        <v>0.2</v>
      </c>
      <c r="BK3016" s="2">
        <v>1</v>
      </c>
      <c r="BL3016" s="2">
        <v>80.290000000000006</v>
      </c>
      <c r="BM3016" s="2">
        <v>11.24</v>
      </c>
      <c r="BN3016" s="2">
        <v>91.53</v>
      </c>
      <c r="BO3016" s="2">
        <v>91.53</v>
      </c>
      <c r="BP3016" s="2"/>
      <c r="BQ3016" s="2" t="s">
        <v>108</v>
      </c>
      <c r="BR3016" s="2" t="s">
        <v>84</v>
      </c>
      <c r="BS3016" s="3">
        <v>42972</v>
      </c>
      <c r="BT3016" s="4">
        <v>0.48888888888888887</v>
      </c>
      <c r="BU3016" s="2" t="s">
        <v>3222</v>
      </c>
      <c r="BV3016" s="2" t="s">
        <v>95</v>
      </c>
      <c r="BW3016" s="2"/>
      <c r="BX3016" s="2"/>
      <c r="BY3016" s="2">
        <v>1200</v>
      </c>
      <c r="BZ3016" s="2"/>
      <c r="CA3016" s="2" t="s">
        <v>850</v>
      </c>
      <c r="CB3016" s="2"/>
      <c r="CC3016" s="2" t="s">
        <v>847</v>
      </c>
      <c r="CD3016" s="2">
        <v>7349</v>
      </c>
      <c r="CE3016" s="2" t="s">
        <v>104</v>
      </c>
      <c r="CF3016" s="5">
        <v>42975</v>
      </c>
      <c r="CG3016" s="2"/>
      <c r="CH3016" s="2"/>
      <c r="CI3016" s="2">
        <v>1</v>
      </c>
      <c r="CJ3016" s="2">
        <v>1</v>
      </c>
      <c r="CK3016" s="2">
        <v>23</v>
      </c>
      <c r="CL3016" s="2" t="s">
        <v>86</v>
      </c>
      <c r="CM3016" s="2"/>
    </row>
    <row r="3017" spans="1:91">
      <c r="A3017" s="2" t="s">
        <v>71</v>
      </c>
      <c r="B3017" s="2" t="s">
        <v>72</v>
      </c>
      <c r="C3017" s="2" t="s">
        <v>73</v>
      </c>
      <c r="D3017" s="2"/>
      <c r="E3017" s="2" t="str">
        <f>"FES1162571118"</f>
        <v>FES1162571118</v>
      </c>
      <c r="F3017" s="3">
        <v>42971</v>
      </c>
      <c r="G3017" s="2">
        <v>201802</v>
      </c>
      <c r="H3017" s="2" t="s">
        <v>74</v>
      </c>
      <c r="I3017" s="2" t="s">
        <v>75</v>
      </c>
      <c r="J3017" s="2" t="s">
        <v>76</v>
      </c>
      <c r="K3017" s="2" t="s">
        <v>77</v>
      </c>
      <c r="L3017" s="2" t="s">
        <v>417</v>
      </c>
      <c r="M3017" s="2" t="s">
        <v>417</v>
      </c>
      <c r="N3017" s="2" t="s">
        <v>475</v>
      </c>
      <c r="O3017" s="2" t="s">
        <v>100</v>
      </c>
      <c r="P3017" s="2" t="str">
        <f>"2170586288                    "</f>
        <v xml:space="preserve">2170586288                    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4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1</v>
      </c>
      <c r="BI3017" s="2">
        <v>1.4</v>
      </c>
      <c r="BJ3017" s="2">
        <v>1.1000000000000001</v>
      </c>
      <c r="BK3017" s="2">
        <v>1.5</v>
      </c>
      <c r="BL3017" s="2">
        <v>41.44</v>
      </c>
      <c r="BM3017" s="2">
        <v>5.8</v>
      </c>
      <c r="BN3017" s="2">
        <v>47.24</v>
      </c>
      <c r="BO3017" s="2">
        <v>47.24</v>
      </c>
      <c r="BP3017" s="2"/>
      <c r="BQ3017" s="2" t="s">
        <v>108</v>
      </c>
      <c r="BR3017" s="2" t="s">
        <v>84</v>
      </c>
      <c r="BS3017" s="3">
        <v>42972</v>
      </c>
      <c r="BT3017" s="4">
        <v>0.51111111111111118</v>
      </c>
      <c r="BU3017" s="2" t="s">
        <v>476</v>
      </c>
      <c r="BV3017" s="2" t="s">
        <v>95</v>
      </c>
      <c r="BW3017" s="2"/>
      <c r="BX3017" s="2"/>
      <c r="BY3017" s="2">
        <v>5652.12</v>
      </c>
      <c r="BZ3017" s="2"/>
      <c r="CA3017" s="2" t="s">
        <v>460</v>
      </c>
      <c r="CB3017" s="2"/>
      <c r="CC3017" s="2" t="s">
        <v>417</v>
      </c>
      <c r="CD3017" s="2">
        <v>7646</v>
      </c>
      <c r="CE3017" s="2" t="s">
        <v>89</v>
      </c>
      <c r="CF3017" s="5">
        <v>42975</v>
      </c>
      <c r="CG3017" s="2"/>
      <c r="CH3017" s="2"/>
      <c r="CI3017" s="2">
        <v>1</v>
      </c>
      <c r="CJ3017" s="2">
        <v>1</v>
      </c>
      <c r="CK3017" s="2">
        <v>21</v>
      </c>
      <c r="CL3017" s="2" t="s">
        <v>86</v>
      </c>
      <c r="CM3017" s="2"/>
    </row>
    <row r="3018" spans="1:91">
      <c r="A3018" s="2" t="s">
        <v>71</v>
      </c>
      <c r="B3018" s="2" t="s">
        <v>72</v>
      </c>
      <c r="C3018" s="2" t="s">
        <v>73</v>
      </c>
      <c r="D3018" s="2"/>
      <c r="E3018" s="2" t="str">
        <f>"FES1162571220"</f>
        <v>FES1162571220</v>
      </c>
      <c r="F3018" s="3">
        <v>42971</v>
      </c>
      <c r="G3018" s="2">
        <v>201802</v>
      </c>
      <c r="H3018" s="2" t="s">
        <v>74</v>
      </c>
      <c r="I3018" s="2" t="s">
        <v>75</v>
      </c>
      <c r="J3018" s="2" t="s">
        <v>76</v>
      </c>
      <c r="K3018" s="2" t="s">
        <v>77</v>
      </c>
      <c r="L3018" s="2" t="s">
        <v>105</v>
      </c>
      <c r="M3018" s="2" t="s">
        <v>106</v>
      </c>
      <c r="N3018" s="2" t="s">
        <v>782</v>
      </c>
      <c r="O3018" s="2" t="s">
        <v>100</v>
      </c>
      <c r="P3018" s="2" t="str">
        <f>"2170586834                    "</f>
        <v xml:space="preserve">2170586834                    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4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1</v>
      </c>
      <c r="BI3018" s="2">
        <v>1</v>
      </c>
      <c r="BJ3018" s="2">
        <v>0.2</v>
      </c>
      <c r="BK3018" s="2">
        <v>1</v>
      </c>
      <c r="BL3018" s="2">
        <v>41.44</v>
      </c>
      <c r="BM3018" s="2">
        <v>5.8</v>
      </c>
      <c r="BN3018" s="2">
        <v>47.24</v>
      </c>
      <c r="BO3018" s="2">
        <v>47.24</v>
      </c>
      <c r="BP3018" s="2"/>
      <c r="BQ3018" s="2" t="s">
        <v>288</v>
      </c>
      <c r="BR3018" s="2" t="s">
        <v>84</v>
      </c>
      <c r="BS3018" s="3">
        <v>42972</v>
      </c>
      <c r="BT3018" s="4">
        <v>0.59305555555555556</v>
      </c>
      <c r="BU3018" s="2" t="s">
        <v>3223</v>
      </c>
      <c r="BV3018" s="2" t="s">
        <v>86</v>
      </c>
      <c r="BW3018" s="2" t="s">
        <v>110</v>
      </c>
      <c r="BX3018" s="2" t="s">
        <v>537</v>
      </c>
      <c r="BY3018" s="2">
        <v>1200</v>
      </c>
      <c r="BZ3018" s="2"/>
      <c r="CA3018" s="2" t="s">
        <v>3224</v>
      </c>
      <c r="CB3018" s="2"/>
      <c r="CC3018" s="2" t="s">
        <v>106</v>
      </c>
      <c r="CD3018" s="2">
        <v>7802</v>
      </c>
      <c r="CE3018" s="2" t="s">
        <v>104</v>
      </c>
      <c r="CF3018" s="5">
        <v>42975</v>
      </c>
      <c r="CG3018" s="2"/>
      <c r="CH3018" s="2"/>
      <c r="CI3018" s="2">
        <v>1</v>
      </c>
      <c r="CJ3018" s="2">
        <v>1</v>
      </c>
      <c r="CK3018" s="2">
        <v>21</v>
      </c>
      <c r="CL3018" s="2" t="s">
        <v>86</v>
      </c>
      <c r="CM3018" s="2"/>
    </row>
    <row r="3019" spans="1:91">
      <c r="A3019" s="2" t="s">
        <v>71</v>
      </c>
      <c r="B3019" s="2" t="s">
        <v>72</v>
      </c>
      <c r="C3019" s="2" t="s">
        <v>73</v>
      </c>
      <c r="D3019" s="2"/>
      <c r="E3019" s="2" t="str">
        <f>"FES1162571200"</f>
        <v>FES1162571200</v>
      </c>
      <c r="F3019" s="3">
        <v>42971</v>
      </c>
      <c r="G3019" s="2">
        <v>201802</v>
      </c>
      <c r="H3019" s="2" t="s">
        <v>74</v>
      </c>
      <c r="I3019" s="2" t="s">
        <v>75</v>
      </c>
      <c r="J3019" s="2" t="s">
        <v>76</v>
      </c>
      <c r="K3019" s="2" t="s">
        <v>77</v>
      </c>
      <c r="L3019" s="2" t="s">
        <v>417</v>
      </c>
      <c r="M3019" s="2" t="s">
        <v>417</v>
      </c>
      <c r="N3019" s="2" t="s">
        <v>475</v>
      </c>
      <c r="O3019" s="2" t="s">
        <v>100</v>
      </c>
      <c r="P3019" s="2" t="str">
        <f>"2170586832                    "</f>
        <v xml:space="preserve">2170586832                    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4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1</v>
      </c>
      <c r="BI3019" s="2">
        <v>1</v>
      </c>
      <c r="BJ3019" s="2">
        <v>0.2</v>
      </c>
      <c r="BK3019" s="2">
        <v>1</v>
      </c>
      <c r="BL3019" s="2">
        <v>41.44</v>
      </c>
      <c r="BM3019" s="2">
        <v>5.8</v>
      </c>
      <c r="BN3019" s="2">
        <v>47.24</v>
      </c>
      <c r="BO3019" s="2">
        <v>47.24</v>
      </c>
      <c r="BP3019" s="2"/>
      <c r="BQ3019" s="2" t="s">
        <v>108</v>
      </c>
      <c r="BR3019" s="2" t="s">
        <v>84</v>
      </c>
      <c r="BS3019" s="3">
        <v>42972</v>
      </c>
      <c r="BT3019" s="4">
        <v>0.51111111111111118</v>
      </c>
      <c r="BU3019" s="2" t="s">
        <v>476</v>
      </c>
      <c r="BV3019" s="2" t="s">
        <v>95</v>
      </c>
      <c r="BW3019" s="2"/>
      <c r="BX3019" s="2"/>
      <c r="BY3019" s="2">
        <v>1200</v>
      </c>
      <c r="BZ3019" s="2"/>
      <c r="CA3019" s="2" t="s">
        <v>460</v>
      </c>
      <c r="CB3019" s="2"/>
      <c r="CC3019" s="2" t="s">
        <v>417</v>
      </c>
      <c r="CD3019" s="2">
        <v>7646</v>
      </c>
      <c r="CE3019" s="2" t="s">
        <v>104</v>
      </c>
      <c r="CF3019" s="5">
        <v>42975</v>
      </c>
      <c r="CG3019" s="2"/>
      <c r="CH3019" s="2"/>
      <c r="CI3019" s="2">
        <v>1</v>
      </c>
      <c r="CJ3019" s="2">
        <v>1</v>
      </c>
      <c r="CK3019" s="2">
        <v>21</v>
      </c>
      <c r="CL3019" s="2" t="s">
        <v>86</v>
      </c>
      <c r="CM3019" s="2"/>
    </row>
    <row r="3020" spans="1:91">
      <c r="A3020" s="2" t="s">
        <v>71</v>
      </c>
      <c r="B3020" s="2" t="s">
        <v>72</v>
      </c>
      <c r="C3020" s="2" t="s">
        <v>73</v>
      </c>
      <c r="D3020" s="2"/>
      <c r="E3020" s="2" t="str">
        <f>"FES1162571354"</f>
        <v>FES1162571354</v>
      </c>
      <c r="F3020" s="3">
        <v>42971</v>
      </c>
      <c r="G3020" s="2">
        <v>201802</v>
      </c>
      <c r="H3020" s="2" t="s">
        <v>74</v>
      </c>
      <c r="I3020" s="2" t="s">
        <v>75</v>
      </c>
      <c r="J3020" s="2" t="s">
        <v>76</v>
      </c>
      <c r="K3020" s="2" t="s">
        <v>77</v>
      </c>
      <c r="L3020" s="2" t="s">
        <v>105</v>
      </c>
      <c r="M3020" s="2" t="s">
        <v>106</v>
      </c>
      <c r="N3020" s="2" t="s">
        <v>3093</v>
      </c>
      <c r="O3020" s="2" t="s">
        <v>100</v>
      </c>
      <c r="P3020" s="2" t="str">
        <f>"2170586345                    "</f>
        <v xml:space="preserve">2170586345                    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4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1</v>
      </c>
      <c r="BI3020" s="2">
        <v>1.5</v>
      </c>
      <c r="BJ3020" s="2">
        <v>0.7</v>
      </c>
      <c r="BK3020" s="2">
        <v>1.5</v>
      </c>
      <c r="BL3020" s="2">
        <v>41.44</v>
      </c>
      <c r="BM3020" s="2">
        <v>5.8</v>
      </c>
      <c r="BN3020" s="2">
        <v>47.24</v>
      </c>
      <c r="BO3020" s="2">
        <v>47.24</v>
      </c>
      <c r="BP3020" s="2"/>
      <c r="BQ3020" s="2" t="s">
        <v>288</v>
      </c>
      <c r="BR3020" s="2" t="s">
        <v>84</v>
      </c>
      <c r="BS3020" s="3">
        <v>42972</v>
      </c>
      <c r="BT3020" s="4">
        <v>0.42152777777777778</v>
      </c>
      <c r="BU3020" s="2" t="s">
        <v>2630</v>
      </c>
      <c r="BV3020" s="2" t="s">
        <v>95</v>
      </c>
      <c r="BW3020" s="2"/>
      <c r="BX3020" s="2"/>
      <c r="BY3020" s="2">
        <v>3639.17</v>
      </c>
      <c r="BZ3020" s="2"/>
      <c r="CA3020" s="2" t="s">
        <v>2134</v>
      </c>
      <c r="CB3020" s="2"/>
      <c r="CC3020" s="2" t="s">
        <v>106</v>
      </c>
      <c r="CD3020" s="2">
        <v>7550</v>
      </c>
      <c r="CE3020" s="2" t="s">
        <v>89</v>
      </c>
      <c r="CF3020" s="5">
        <v>42975</v>
      </c>
      <c r="CG3020" s="2"/>
      <c r="CH3020" s="2"/>
      <c r="CI3020" s="2">
        <v>1</v>
      </c>
      <c r="CJ3020" s="2">
        <v>1</v>
      </c>
      <c r="CK3020" s="2">
        <v>21</v>
      </c>
      <c r="CL3020" s="2" t="s">
        <v>86</v>
      </c>
      <c r="CM3020" s="2"/>
    </row>
    <row r="3021" spans="1:91">
      <c r="A3021" s="2" t="s">
        <v>71</v>
      </c>
      <c r="B3021" s="2" t="s">
        <v>72</v>
      </c>
      <c r="C3021" s="2" t="s">
        <v>73</v>
      </c>
      <c r="D3021" s="2"/>
      <c r="E3021" s="2" t="str">
        <f>"FES1162571117"</f>
        <v>FES1162571117</v>
      </c>
      <c r="F3021" s="3">
        <v>42971</v>
      </c>
      <c r="G3021" s="2">
        <v>201802</v>
      </c>
      <c r="H3021" s="2" t="s">
        <v>74</v>
      </c>
      <c r="I3021" s="2" t="s">
        <v>75</v>
      </c>
      <c r="J3021" s="2" t="s">
        <v>76</v>
      </c>
      <c r="K3021" s="2" t="s">
        <v>77</v>
      </c>
      <c r="L3021" s="2" t="s">
        <v>105</v>
      </c>
      <c r="M3021" s="2" t="s">
        <v>106</v>
      </c>
      <c r="N3021" s="2" t="s">
        <v>1851</v>
      </c>
      <c r="O3021" s="2" t="s">
        <v>100</v>
      </c>
      <c r="P3021" s="2" t="str">
        <f>"2170586172                    "</f>
        <v xml:space="preserve">2170586172                    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4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1</v>
      </c>
      <c r="BI3021" s="2">
        <v>1</v>
      </c>
      <c r="BJ3021" s="2">
        <v>0.2</v>
      </c>
      <c r="BK3021" s="2">
        <v>1</v>
      </c>
      <c r="BL3021" s="2">
        <v>41.44</v>
      </c>
      <c r="BM3021" s="2">
        <v>5.8</v>
      </c>
      <c r="BN3021" s="2">
        <v>47.24</v>
      </c>
      <c r="BO3021" s="2">
        <v>47.24</v>
      </c>
      <c r="BP3021" s="2"/>
      <c r="BQ3021" s="2" t="s">
        <v>83</v>
      </c>
      <c r="BR3021" s="2" t="s">
        <v>84</v>
      </c>
      <c r="BS3021" s="3">
        <v>42972</v>
      </c>
      <c r="BT3021" s="4">
        <v>0.35833333333333334</v>
      </c>
      <c r="BU3021" s="2" t="s">
        <v>1256</v>
      </c>
      <c r="BV3021" s="2" t="s">
        <v>95</v>
      </c>
      <c r="BW3021" s="2"/>
      <c r="BX3021" s="2"/>
      <c r="BY3021" s="2">
        <v>1200</v>
      </c>
      <c r="BZ3021" s="2"/>
      <c r="CA3021" s="2" t="s">
        <v>302</v>
      </c>
      <c r="CB3021" s="2"/>
      <c r="CC3021" s="2" t="s">
        <v>106</v>
      </c>
      <c r="CD3021" s="2">
        <v>7530</v>
      </c>
      <c r="CE3021" s="2" t="s">
        <v>104</v>
      </c>
      <c r="CF3021" s="5">
        <v>42975</v>
      </c>
      <c r="CG3021" s="2"/>
      <c r="CH3021" s="2"/>
      <c r="CI3021" s="2">
        <v>1</v>
      </c>
      <c r="CJ3021" s="2">
        <v>1</v>
      </c>
      <c r="CK3021" s="2">
        <v>21</v>
      </c>
      <c r="CL3021" s="2" t="s">
        <v>86</v>
      </c>
      <c r="CM3021" s="2"/>
    </row>
    <row r="3022" spans="1:91">
      <c r="A3022" s="2" t="s">
        <v>71</v>
      </c>
      <c r="B3022" s="2" t="s">
        <v>72</v>
      </c>
      <c r="C3022" s="2" t="s">
        <v>73</v>
      </c>
      <c r="D3022" s="2"/>
      <c r="E3022" s="2" t="str">
        <f>"FES1162571104"</f>
        <v>FES1162571104</v>
      </c>
      <c r="F3022" s="3">
        <v>42971</v>
      </c>
      <c r="G3022" s="2">
        <v>201802</v>
      </c>
      <c r="H3022" s="2" t="s">
        <v>74</v>
      </c>
      <c r="I3022" s="2" t="s">
        <v>75</v>
      </c>
      <c r="J3022" s="2" t="s">
        <v>76</v>
      </c>
      <c r="K3022" s="2" t="s">
        <v>77</v>
      </c>
      <c r="L3022" s="2" t="s">
        <v>105</v>
      </c>
      <c r="M3022" s="2" t="s">
        <v>106</v>
      </c>
      <c r="N3022" s="2" t="s">
        <v>107</v>
      </c>
      <c r="O3022" s="2" t="s">
        <v>100</v>
      </c>
      <c r="P3022" s="2" t="str">
        <f>"2170584763                    "</f>
        <v xml:space="preserve">2170584763                    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4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1</v>
      </c>
      <c r="BI3022" s="2">
        <v>0.4</v>
      </c>
      <c r="BJ3022" s="2">
        <v>1.5</v>
      </c>
      <c r="BK3022" s="2">
        <v>1.5</v>
      </c>
      <c r="BL3022" s="2">
        <v>41.44</v>
      </c>
      <c r="BM3022" s="2">
        <v>5.8</v>
      </c>
      <c r="BN3022" s="2">
        <v>47.24</v>
      </c>
      <c r="BO3022" s="2">
        <v>47.24</v>
      </c>
      <c r="BP3022" s="2"/>
      <c r="BQ3022" s="2" t="s">
        <v>108</v>
      </c>
      <c r="BR3022" s="2" t="s">
        <v>84</v>
      </c>
      <c r="BS3022" s="3">
        <v>42972</v>
      </c>
      <c r="BT3022" s="4">
        <v>0.40486111111111112</v>
      </c>
      <c r="BU3022" s="2" t="s">
        <v>1503</v>
      </c>
      <c r="BV3022" s="2" t="s">
        <v>95</v>
      </c>
      <c r="BW3022" s="2"/>
      <c r="BX3022" s="2"/>
      <c r="BY3022" s="2">
        <v>7614.63</v>
      </c>
      <c r="BZ3022" s="2"/>
      <c r="CA3022" s="2" t="s">
        <v>112</v>
      </c>
      <c r="CB3022" s="2"/>
      <c r="CC3022" s="2" t="s">
        <v>106</v>
      </c>
      <c r="CD3022" s="2">
        <v>7405</v>
      </c>
      <c r="CE3022" s="2" t="s">
        <v>104</v>
      </c>
      <c r="CF3022" s="5">
        <v>42975</v>
      </c>
      <c r="CG3022" s="2"/>
      <c r="CH3022" s="2"/>
      <c r="CI3022" s="2">
        <v>1</v>
      </c>
      <c r="CJ3022" s="2">
        <v>1</v>
      </c>
      <c r="CK3022" s="2">
        <v>21</v>
      </c>
      <c r="CL3022" s="2" t="s">
        <v>86</v>
      </c>
      <c r="CM3022" s="2"/>
    </row>
    <row r="3023" spans="1:91">
      <c r="A3023" s="2" t="s">
        <v>71</v>
      </c>
      <c r="B3023" s="2" t="s">
        <v>72</v>
      </c>
      <c r="C3023" s="2" t="s">
        <v>73</v>
      </c>
      <c r="D3023" s="2"/>
      <c r="E3023" s="2" t="str">
        <f>"FES1162571111"</f>
        <v>FES1162571111</v>
      </c>
      <c r="F3023" s="3">
        <v>42971</v>
      </c>
      <c r="G3023" s="2">
        <v>201802</v>
      </c>
      <c r="H3023" s="2" t="s">
        <v>74</v>
      </c>
      <c r="I3023" s="2" t="s">
        <v>75</v>
      </c>
      <c r="J3023" s="2" t="s">
        <v>76</v>
      </c>
      <c r="K3023" s="2" t="s">
        <v>77</v>
      </c>
      <c r="L3023" s="2" t="s">
        <v>846</v>
      </c>
      <c r="M3023" s="2" t="s">
        <v>847</v>
      </c>
      <c r="N3023" s="2" t="s">
        <v>1017</v>
      </c>
      <c r="O3023" s="2" t="s">
        <v>100</v>
      </c>
      <c r="P3023" s="2" t="str">
        <f>"2170585205                    "</f>
        <v xml:space="preserve">2170585205                    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7.75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1</v>
      </c>
      <c r="BI3023" s="2">
        <v>1</v>
      </c>
      <c r="BJ3023" s="2">
        <v>0.2</v>
      </c>
      <c r="BK3023" s="2">
        <v>1</v>
      </c>
      <c r="BL3023" s="2">
        <v>80.290000000000006</v>
      </c>
      <c r="BM3023" s="2">
        <v>11.24</v>
      </c>
      <c r="BN3023" s="2">
        <v>91.53</v>
      </c>
      <c r="BO3023" s="2">
        <v>91.53</v>
      </c>
      <c r="BP3023" s="2"/>
      <c r="BQ3023" s="2" t="s">
        <v>83</v>
      </c>
      <c r="BR3023" s="2" t="s">
        <v>84</v>
      </c>
      <c r="BS3023" s="3">
        <v>42972</v>
      </c>
      <c r="BT3023" s="4">
        <v>0.4909722222222222</v>
      </c>
      <c r="BU3023" s="2" t="s">
        <v>830</v>
      </c>
      <c r="BV3023" s="2" t="s">
        <v>95</v>
      </c>
      <c r="BW3023" s="2"/>
      <c r="BX3023" s="2"/>
      <c r="BY3023" s="2">
        <v>1200</v>
      </c>
      <c r="BZ3023" s="2"/>
      <c r="CA3023" s="2" t="s">
        <v>850</v>
      </c>
      <c r="CB3023" s="2"/>
      <c r="CC3023" s="2" t="s">
        <v>847</v>
      </c>
      <c r="CD3023" s="2">
        <v>7349</v>
      </c>
      <c r="CE3023" s="2" t="s">
        <v>104</v>
      </c>
      <c r="CF3023" s="5">
        <v>42972</v>
      </c>
      <c r="CG3023" s="2"/>
      <c r="CH3023" s="2"/>
      <c r="CI3023" s="2">
        <v>1</v>
      </c>
      <c r="CJ3023" s="2">
        <v>1</v>
      </c>
      <c r="CK3023" s="2">
        <v>23</v>
      </c>
      <c r="CL3023" s="2" t="s">
        <v>86</v>
      </c>
      <c r="CM3023" s="2"/>
    </row>
    <row r="3024" spans="1:91">
      <c r="A3024" s="2" t="s">
        <v>71</v>
      </c>
      <c r="B3024" s="2" t="s">
        <v>72</v>
      </c>
      <c r="C3024" s="2" t="s">
        <v>73</v>
      </c>
      <c r="D3024" s="2"/>
      <c r="E3024" s="2" t="str">
        <f>"FES1162571125"</f>
        <v>FES1162571125</v>
      </c>
      <c r="F3024" s="3">
        <v>42971</v>
      </c>
      <c r="G3024" s="2">
        <v>201802</v>
      </c>
      <c r="H3024" s="2" t="s">
        <v>74</v>
      </c>
      <c r="I3024" s="2" t="s">
        <v>75</v>
      </c>
      <c r="J3024" s="2" t="s">
        <v>76</v>
      </c>
      <c r="K3024" s="2" t="s">
        <v>77</v>
      </c>
      <c r="L3024" s="2" t="s">
        <v>105</v>
      </c>
      <c r="M3024" s="2" t="s">
        <v>106</v>
      </c>
      <c r="N3024" s="2" t="s">
        <v>1669</v>
      </c>
      <c r="O3024" s="2" t="s">
        <v>100</v>
      </c>
      <c r="P3024" s="2" t="str">
        <f>"2170586658                    "</f>
        <v xml:space="preserve">2170586658                    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4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1</v>
      </c>
      <c r="BI3024" s="2">
        <v>1.4</v>
      </c>
      <c r="BJ3024" s="2">
        <v>1.7</v>
      </c>
      <c r="BK3024" s="2">
        <v>2</v>
      </c>
      <c r="BL3024" s="2">
        <v>41.44</v>
      </c>
      <c r="BM3024" s="2">
        <v>5.8</v>
      </c>
      <c r="BN3024" s="2">
        <v>47.24</v>
      </c>
      <c r="BO3024" s="2">
        <v>47.24</v>
      </c>
      <c r="BP3024" s="2"/>
      <c r="BQ3024" s="2" t="s">
        <v>288</v>
      </c>
      <c r="BR3024" s="2" t="s">
        <v>84</v>
      </c>
      <c r="BS3024" s="3">
        <v>42972</v>
      </c>
      <c r="BT3024" s="4">
        <v>0.36180555555555555</v>
      </c>
      <c r="BU3024" s="2" t="s">
        <v>3037</v>
      </c>
      <c r="BV3024" s="2" t="s">
        <v>95</v>
      </c>
      <c r="BW3024" s="2"/>
      <c r="BX3024" s="2"/>
      <c r="BY3024" s="2">
        <v>8284.43</v>
      </c>
      <c r="BZ3024" s="2"/>
      <c r="CA3024" s="2" t="s">
        <v>654</v>
      </c>
      <c r="CB3024" s="2"/>
      <c r="CC3024" s="2" t="s">
        <v>106</v>
      </c>
      <c r="CD3024" s="2">
        <v>7493</v>
      </c>
      <c r="CE3024" s="2" t="s">
        <v>104</v>
      </c>
      <c r="CF3024" s="5">
        <v>42975</v>
      </c>
      <c r="CG3024" s="2"/>
      <c r="CH3024" s="2"/>
      <c r="CI3024" s="2">
        <v>1</v>
      </c>
      <c r="CJ3024" s="2">
        <v>1</v>
      </c>
      <c r="CK3024" s="2">
        <v>21</v>
      </c>
      <c r="CL3024" s="2" t="s">
        <v>86</v>
      </c>
      <c r="CM3024" s="2"/>
    </row>
    <row r="3025" spans="1:91">
      <c r="A3025" s="2" t="s">
        <v>71</v>
      </c>
      <c r="B3025" s="2" t="s">
        <v>72</v>
      </c>
      <c r="C3025" s="2" t="s">
        <v>73</v>
      </c>
      <c r="D3025" s="2"/>
      <c r="E3025" s="2" t="str">
        <f>"FES1162571326"</f>
        <v>FES1162571326</v>
      </c>
      <c r="F3025" s="3">
        <v>42971</v>
      </c>
      <c r="G3025" s="2">
        <v>201802</v>
      </c>
      <c r="H3025" s="2" t="s">
        <v>74</v>
      </c>
      <c r="I3025" s="2" t="s">
        <v>75</v>
      </c>
      <c r="J3025" s="2" t="s">
        <v>76</v>
      </c>
      <c r="K3025" s="2" t="s">
        <v>77</v>
      </c>
      <c r="L3025" s="2" t="s">
        <v>105</v>
      </c>
      <c r="M3025" s="2" t="s">
        <v>106</v>
      </c>
      <c r="N3025" s="2" t="s">
        <v>534</v>
      </c>
      <c r="O3025" s="2" t="s">
        <v>100</v>
      </c>
      <c r="P3025" s="2" t="str">
        <f>"2170586975                    "</f>
        <v xml:space="preserve">2170586975                    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4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1</v>
      </c>
      <c r="BI3025" s="2">
        <v>1</v>
      </c>
      <c r="BJ3025" s="2">
        <v>0.2</v>
      </c>
      <c r="BK3025" s="2">
        <v>1</v>
      </c>
      <c r="BL3025" s="2">
        <v>41.44</v>
      </c>
      <c r="BM3025" s="2">
        <v>5.8</v>
      </c>
      <c r="BN3025" s="2">
        <v>47.24</v>
      </c>
      <c r="BO3025" s="2">
        <v>47.24</v>
      </c>
      <c r="BP3025" s="2"/>
      <c r="BQ3025" s="2" t="s">
        <v>2274</v>
      </c>
      <c r="BR3025" s="2" t="s">
        <v>84</v>
      </c>
      <c r="BS3025" s="3">
        <v>42972</v>
      </c>
      <c r="BT3025" s="4">
        <v>0.36041666666666666</v>
      </c>
      <c r="BU3025" s="2" t="s">
        <v>2398</v>
      </c>
      <c r="BV3025" s="2" t="s">
        <v>95</v>
      </c>
      <c r="BW3025" s="2"/>
      <c r="BX3025" s="2"/>
      <c r="BY3025" s="2">
        <v>1200</v>
      </c>
      <c r="BZ3025" s="2"/>
      <c r="CA3025" s="2" t="s">
        <v>112</v>
      </c>
      <c r="CB3025" s="2"/>
      <c r="CC3025" s="2" t="s">
        <v>106</v>
      </c>
      <c r="CD3025" s="2">
        <v>7405</v>
      </c>
      <c r="CE3025" s="2" t="s">
        <v>104</v>
      </c>
      <c r="CF3025" s="5">
        <v>42975</v>
      </c>
      <c r="CG3025" s="2"/>
      <c r="CH3025" s="2"/>
      <c r="CI3025" s="2">
        <v>1</v>
      </c>
      <c r="CJ3025" s="2">
        <v>1</v>
      </c>
      <c r="CK3025" s="2">
        <v>21</v>
      </c>
      <c r="CL3025" s="2" t="s">
        <v>86</v>
      </c>
      <c r="CM3025" s="2"/>
    </row>
    <row r="3026" spans="1:91">
      <c r="A3026" s="2" t="s">
        <v>71</v>
      </c>
      <c r="B3026" s="2" t="s">
        <v>72</v>
      </c>
      <c r="C3026" s="2" t="s">
        <v>73</v>
      </c>
      <c r="D3026" s="2"/>
      <c r="E3026" s="2" t="str">
        <f>"FES1162571378"</f>
        <v>FES1162571378</v>
      </c>
      <c r="F3026" s="3">
        <v>42971</v>
      </c>
      <c r="G3026" s="2">
        <v>201802</v>
      </c>
      <c r="H3026" s="2" t="s">
        <v>74</v>
      </c>
      <c r="I3026" s="2" t="s">
        <v>75</v>
      </c>
      <c r="J3026" s="2" t="s">
        <v>76</v>
      </c>
      <c r="K3026" s="2" t="s">
        <v>77</v>
      </c>
      <c r="L3026" s="2" t="s">
        <v>164</v>
      </c>
      <c r="M3026" s="2" t="s">
        <v>165</v>
      </c>
      <c r="N3026" s="2" t="s">
        <v>166</v>
      </c>
      <c r="O3026" s="2" t="s">
        <v>100</v>
      </c>
      <c r="P3026" s="2" t="str">
        <f>"2170586996                    "</f>
        <v xml:space="preserve">2170586996                    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4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0</v>
      </c>
      <c r="BD3026" s="2">
        <v>0</v>
      </c>
      <c r="BE3026" s="2">
        <v>0</v>
      </c>
      <c r="BF3026" s="2">
        <v>0</v>
      </c>
      <c r="BG3026" s="2">
        <v>0</v>
      </c>
      <c r="BH3026" s="2">
        <v>1</v>
      </c>
      <c r="BI3026" s="2">
        <v>1</v>
      </c>
      <c r="BJ3026" s="2">
        <v>0.2</v>
      </c>
      <c r="BK3026" s="2">
        <v>1</v>
      </c>
      <c r="BL3026" s="2">
        <v>41.44</v>
      </c>
      <c r="BM3026" s="2">
        <v>5.8</v>
      </c>
      <c r="BN3026" s="2">
        <v>47.24</v>
      </c>
      <c r="BO3026" s="2">
        <v>47.24</v>
      </c>
      <c r="BP3026" s="2"/>
      <c r="BQ3026" s="2" t="s">
        <v>83</v>
      </c>
      <c r="BR3026" s="2" t="s">
        <v>84</v>
      </c>
      <c r="BS3026" s="3">
        <v>42972</v>
      </c>
      <c r="BT3026" s="4">
        <v>0.38472222222222219</v>
      </c>
      <c r="BU3026" s="2" t="s">
        <v>3225</v>
      </c>
      <c r="BV3026" s="2" t="s">
        <v>95</v>
      </c>
      <c r="BW3026" s="2"/>
      <c r="BX3026" s="2"/>
      <c r="BY3026" s="2">
        <v>1200</v>
      </c>
      <c r="BZ3026" s="2"/>
      <c r="CA3026" s="2" t="s">
        <v>168</v>
      </c>
      <c r="CB3026" s="2"/>
      <c r="CC3026" s="2" t="s">
        <v>165</v>
      </c>
      <c r="CD3026" s="2">
        <v>6849</v>
      </c>
      <c r="CE3026" s="2" t="s">
        <v>104</v>
      </c>
      <c r="CF3026" s="5">
        <v>42975</v>
      </c>
      <c r="CG3026" s="2"/>
      <c r="CH3026" s="2"/>
      <c r="CI3026" s="2">
        <v>3</v>
      </c>
      <c r="CJ3026" s="2">
        <v>1</v>
      </c>
      <c r="CK3026" s="2">
        <v>21</v>
      </c>
      <c r="CL3026" s="2" t="s">
        <v>86</v>
      </c>
      <c r="CM3026" s="2"/>
    </row>
    <row r="3027" spans="1:91">
      <c r="A3027" s="2" t="s">
        <v>71</v>
      </c>
      <c r="B3027" s="2" t="s">
        <v>72</v>
      </c>
      <c r="C3027" s="2" t="s">
        <v>73</v>
      </c>
      <c r="D3027" s="2"/>
      <c r="E3027" s="2" t="str">
        <f>"FES1162571366"</f>
        <v>FES1162571366</v>
      </c>
      <c r="F3027" s="3">
        <v>42971</v>
      </c>
      <c r="G3027" s="2">
        <v>201802</v>
      </c>
      <c r="H3027" s="2" t="s">
        <v>74</v>
      </c>
      <c r="I3027" s="2" t="s">
        <v>75</v>
      </c>
      <c r="J3027" s="2" t="s">
        <v>76</v>
      </c>
      <c r="K3027" s="2" t="s">
        <v>77</v>
      </c>
      <c r="L3027" s="2" t="s">
        <v>105</v>
      </c>
      <c r="M3027" s="2" t="s">
        <v>106</v>
      </c>
      <c r="N3027" s="2" t="s">
        <v>486</v>
      </c>
      <c r="O3027" s="2" t="s">
        <v>100</v>
      </c>
      <c r="P3027" s="2" t="str">
        <f>"2170587006                    "</f>
        <v xml:space="preserve">2170587006                    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4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1</v>
      </c>
      <c r="BI3027" s="2">
        <v>1</v>
      </c>
      <c r="BJ3027" s="2">
        <v>0.2</v>
      </c>
      <c r="BK3027" s="2">
        <v>1</v>
      </c>
      <c r="BL3027" s="2">
        <v>41.44</v>
      </c>
      <c r="BM3027" s="2">
        <v>5.8</v>
      </c>
      <c r="BN3027" s="2">
        <v>47.24</v>
      </c>
      <c r="BO3027" s="2">
        <v>47.24</v>
      </c>
      <c r="BP3027" s="2"/>
      <c r="BQ3027" s="2" t="s">
        <v>108</v>
      </c>
      <c r="BR3027" s="2" t="s">
        <v>84</v>
      </c>
      <c r="BS3027" s="3">
        <v>42972</v>
      </c>
      <c r="BT3027" s="4">
        <v>0.42083333333333334</v>
      </c>
      <c r="BU3027" s="2" t="s">
        <v>2038</v>
      </c>
      <c r="BV3027" s="2" t="s">
        <v>95</v>
      </c>
      <c r="BW3027" s="2"/>
      <c r="BX3027" s="2"/>
      <c r="BY3027" s="2">
        <v>1200</v>
      </c>
      <c r="BZ3027" s="2"/>
      <c r="CA3027" s="2" t="s">
        <v>291</v>
      </c>
      <c r="CB3027" s="2"/>
      <c r="CC3027" s="2" t="s">
        <v>106</v>
      </c>
      <c r="CD3027" s="2">
        <v>7441</v>
      </c>
      <c r="CE3027" s="2" t="s">
        <v>104</v>
      </c>
      <c r="CF3027" s="5">
        <v>42975</v>
      </c>
      <c r="CG3027" s="2"/>
      <c r="CH3027" s="2"/>
      <c r="CI3027" s="2">
        <v>1</v>
      </c>
      <c r="CJ3027" s="2">
        <v>1</v>
      </c>
      <c r="CK3027" s="2">
        <v>21</v>
      </c>
      <c r="CL3027" s="2" t="s">
        <v>86</v>
      </c>
      <c r="CM3027" s="2"/>
    </row>
    <row r="3028" spans="1:91">
      <c r="A3028" s="2" t="s">
        <v>71</v>
      </c>
      <c r="B3028" s="2" t="s">
        <v>72</v>
      </c>
      <c r="C3028" s="2" t="s">
        <v>73</v>
      </c>
      <c r="D3028" s="2"/>
      <c r="E3028" s="2" t="str">
        <f>"FES1162571601"</f>
        <v>FES1162571601</v>
      </c>
      <c r="F3028" s="3">
        <v>42972</v>
      </c>
      <c r="G3028" s="2">
        <v>201802</v>
      </c>
      <c r="H3028" s="2" t="s">
        <v>74</v>
      </c>
      <c r="I3028" s="2" t="s">
        <v>75</v>
      </c>
      <c r="J3028" s="2" t="s">
        <v>76</v>
      </c>
      <c r="K3028" s="2" t="s">
        <v>77</v>
      </c>
      <c r="L3028" s="2" t="s">
        <v>105</v>
      </c>
      <c r="M3028" s="2" t="s">
        <v>106</v>
      </c>
      <c r="N3028" s="2" t="s">
        <v>3226</v>
      </c>
      <c r="O3028" s="2" t="s">
        <v>100</v>
      </c>
      <c r="P3028" s="2" t="str">
        <f>"1162571589                    "</f>
        <v xml:space="preserve">1162571589                    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62.04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1</v>
      </c>
      <c r="BI3028" s="2">
        <v>14.7</v>
      </c>
      <c r="BJ3028" s="2">
        <v>31</v>
      </c>
      <c r="BK3028" s="2">
        <v>31</v>
      </c>
      <c r="BL3028" s="2">
        <v>642.36</v>
      </c>
      <c r="BM3028" s="2">
        <v>89.93</v>
      </c>
      <c r="BN3028" s="2">
        <v>732.29</v>
      </c>
      <c r="BO3028" s="2">
        <v>732.29</v>
      </c>
      <c r="BP3028" s="2" t="s">
        <v>3227</v>
      </c>
      <c r="BQ3028" s="2" t="s">
        <v>108</v>
      </c>
      <c r="BR3028" s="2" t="s">
        <v>84</v>
      </c>
      <c r="BS3028" s="3">
        <v>42975</v>
      </c>
      <c r="BT3028" s="4">
        <v>0.3972222222222222</v>
      </c>
      <c r="BU3028" s="2" t="s">
        <v>3228</v>
      </c>
      <c r="BV3028" s="2" t="s">
        <v>95</v>
      </c>
      <c r="BW3028" s="2"/>
      <c r="BX3028" s="2"/>
      <c r="BY3028" s="2">
        <v>155134.79999999999</v>
      </c>
      <c r="BZ3028" s="2"/>
      <c r="CA3028" s="2" t="s">
        <v>869</v>
      </c>
      <c r="CB3028" s="2"/>
      <c r="CC3028" s="2" t="s">
        <v>106</v>
      </c>
      <c r="CD3028" s="2">
        <v>8001</v>
      </c>
      <c r="CE3028" s="2" t="s">
        <v>89</v>
      </c>
      <c r="CF3028" s="5">
        <v>42976</v>
      </c>
      <c r="CG3028" s="2"/>
      <c r="CH3028" s="2"/>
      <c r="CI3028" s="2">
        <v>1</v>
      </c>
      <c r="CJ3028" s="2">
        <v>1</v>
      </c>
      <c r="CK3028" s="2">
        <v>21</v>
      </c>
      <c r="CL3028" s="2" t="s">
        <v>86</v>
      </c>
      <c r="CM3028" s="2"/>
    </row>
    <row r="3029" spans="1:91">
      <c r="A3029" s="2" t="s">
        <v>71</v>
      </c>
      <c r="B3029" s="2" t="s">
        <v>72</v>
      </c>
      <c r="C3029" s="2" t="s">
        <v>73</v>
      </c>
      <c r="D3029" s="2"/>
      <c r="E3029" s="2" t="str">
        <f>"FES1162571593"</f>
        <v>FES1162571593</v>
      </c>
      <c r="F3029" s="3">
        <v>42972</v>
      </c>
      <c r="G3029" s="2">
        <v>201802</v>
      </c>
      <c r="H3029" s="2" t="s">
        <v>74</v>
      </c>
      <c r="I3029" s="2" t="s">
        <v>75</v>
      </c>
      <c r="J3029" s="2" t="s">
        <v>76</v>
      </c>
      <c r="K3029" s="2" t="s">
        <v>77</v>
      </c>
      <c r="L3029" s="2" t="s">
        <v>417</v>
      </c>
      <c r="M3029" s="2" t="s">
        <v>417</v>
      </c>
      <c r="N3029" s="2" t="s">
        <v>458</v>
      </c>
      <c r="O3029" s="2" t="s">
        <v>100</v>
      </c>
      <c r="P3029" s="2" t="str">
        <f>"2170587239                    "</f>
        <v xml:space="preserve">2170587239                    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4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1</v>
      </c>
      <c r="BI3029" s="2">
        <v>1</v>
      </c>
      <c r="BJ3029" s="2">
        <v>0.2</v>
      </c>
      <c r="BK3029" s="2">
        <v>1</v>
      </c>
      <c r="BL3029" s="2">
        <v>41.44</v>
      </c>
      <c r="BM3029" s="2">
        <v>5.8</v>
      </c>
      <c r="BN3029" s="2">
        <v>47.24</v>
      </c>
      <c r="BO3029" s="2">
        <v>47.24</v>
      </c>
      <c r="BP3029" s="2"/>
      <c r="BQ3029" s="2" t="s">
        <v>83</v>
      </c>
      <c r="BR3029" s="2" t="s">
        <v>84</v>
      </c>
      <c r="BS3029" s="3">
        <v>42975</v>
      </c>
      <c r="BT3029" s="4">
        <v>0.51250000000000007</v>
      </c>
      <c r="BU3029" s="2" t="s">
        <v>459</v>
      </c>
      <c r="BV3029" s="2" t="s">
        <v>95</v>
      </c>
      <c r="BW3029" s="2"/>
      <c r="BX3029" s="2"/>
      <c r="BY3029" s="2">
        <v>1200</v>
      </c>
      <c r="BZ3029" s="2"/>
      <c r="CA3029" s="2" t="s">
        <v>460</v>
      </c>
      <c r="CB3029" s="2"/>
      <c r="CC3029" s="2" t="s">
        <v>417</v>
      </c>
      <c r="CD3029" s="2">
        <v>7646</v>
      </c>
      <c r="CE3029" s="2" t="s">
        <v>104</v>
      </c>
      <c r="CF3029" s="5">
        <v>42976</v>
      </c>
      <c r="CG3029" s="2"/>
      <c r="CH3029" s="2"/>
      <c r="CI3029" s="2">
        <v>1</v>
      </c>
      <c r="CJ3029" s="2">
        <v>1</v>
      </c>
      <c r="CK3029" s="2">
        <v>21</v>
      </c>
      <c r="CL3029" s="2" t="s">
        <v>86</v>
      </c>
      <c r="CM3029" s="2"/>
    </row>
    <row r="3030" spans="1:91">
      <c r="A3030" s="2" t="s">
        <v>71</v>
      </c>
      <c r="B3030" s="2" t="s">
        <v>72</v>
      </c>
      <c r="C3030" s="2" t="s">
        <v>73</v>
      </c>
      <c r="D3030" s="2"/>
      <c r="E3030" s="2" t="str">
        <f>"FES1162571607"</f>
        <v>FES1162571607</v>
      </c>
      <c r="F3030" s="3">
        <v>42972</v>
      </c>
      <c r="G3030" s="2">
        <v>201802</v>
      </c>
      <c r="H3030" s="2" t="s">
        <v>74</v>
      </c>
      <c r="I3030" s="2" t="s">
        <v>75</v>
      </c>
      <c r="J3030" s="2" t="s">
        <v>76</v>
      </c>
      <c r="K3030" s="2" t="s">
        <v>77</v>
      </c>
      <c r="L3030" s="2" t="s">
        <v>576</v>
      </c>
      <c r="M3030" s="2" t="s">
        <v>577</v>
      </c>
      <c r="N3030" s="2" t="s">
        <v>3229</v>
      </c>
      <c r="O3030" s="2" t="s">
        <v>100</v>
      </c>
      <c r="P3030" s="2" t="str">
        <f>"2170587257                    "</f>
        <v xml:space="preserve">2170587257                    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25.26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1</v>
      </c>
      <c r="BI3030" s="2">
        <v>7</v>
      </c>
      <c r="BJ3030" s="2">
        <v>2</v>
      </c>
      <c r="BK3030" s="2">
        <v>7</v>
      </c>
      <c r="BL3030" s="2">
        <v>261.60000000000002</v>
      </c>
      <c r="BM3030" s="2">
        <v>36.619999999999997</v>
      </c>
      <c r="BN3030" s="2">
        <v>298.22000000000003</v>
      </c>
      <c r="BO3030" s="2">
        <v>298.22000000000003</v>
      </c>
      <c r="BP3030" s="2"/>
      <c r="BQ3030" s="2" t="s">
        <v>288</v>
      </c>
      <c r="BR3030" s="2" t="s">
        <v>84</v>
      </c>
      <c r="BS3030" s="3">
        <v>42975</v>
      </c>
      <c r="BT3030" s="4">
        <v>0.42222222222222222</v>
      </c>
      <c r="BU3030" s="2" t="s">
        <v>3230</v>
      </c>
      <c r="BV3030" s="2" t="s">
        <v>95</v>
      </c>
      <c r="BW3030" s="2"/>
      <c r="BX3030" s="2"/>
      <c r="BY3030" s="2">
        <v>10212.799999999999</v>
      </c>
      <c r="BZ3030" s="2"/>
      <c r="CA3030" s="2" t="s">
        <v>580</v>
      </c>
      <c r="CB3030" s="2"/>
      <c r="CC3030" s="2" t="s">
        <v>577</v>
      </c>
      <c r="CD3030" s="2">
        <v>3236</v>
      </c>
      <c r="CE3030" s="2" t="s">
        <v>89</v>
      </c>
      <c r="CF3030" s="5">
        <v>42977</v>
      </c>
      <c r="CG3030" s="2"/>
      <c r="CH3030" s="2"/>
      <c r="CI3030" s="2">
        <v>1</v>
      </c>
      <c r="CJ3030" s="2">
        <v>1</v>
      </c>
      <c r="CK3030" s="2">
        <v>23</v>
      </c>
      <c r="CL3030" s="2" t="s">
        <v>86</v>
      </c>
      <c r="CM3030" s="2"/>
    </row>
    <row r="3031" spans="1:91">
      <c r="A3031" s="2" t="s">
        <v>71</v>
      </c>
      <c r="B3031" s="2" t="s">
        <v>72</v>
      </c>
      <c r="C3031" s="2" t="s">
        <v>73</v>
      </c>
      <c r="D3031" s="2"/>
      <c r="E3031" s="2" t="str">
        <f>"FES1162571604"</f>
        <v>FES1162571604</v>
      </c>
      <c r="F3031" s="3">
        <v>42972</v>
      </c>
      <c r="G3031" s="2">
        <v>201802</v>
      </c>
      <c r="H3031" s="2" t="s">
        <v>74</v>
      </c>
      <c r="I3031" s="2" t="s">
        <v>75</v>
      </c>
      <c r="J3031" s="2" t="s">
        <v>76</v>
      </c>
      <c r="K3031" s="2" t="s">
        <v>77</v>
      </c>
      <c r="L3031" s="2" t="s">
        <v>149</v>
      </c>
      <c r="M3031" s="2" t="s">
        <v>150</v>
      </c>
      <c r="N3031" s="2" t="s">
        <v>482</v>
      </c>
      <c r="O3031" s="2" t="s">
        <v>100</v>
      </c>
      <c r="P3031" s="2" t="str">
        <f>"2170587250                    "</f>
        <v xml:space="preserve">2170587250                    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4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1</v>
      </c>
      <c r="BI3031" s="2">
        <v>1</v>
      </c>
      <c r="BJ3031" s="2">
        <v>0.2</v>
      </c>
      <c r="BK3031" s="2">
        <v>1</v>
      </c>
      <c r="BL3031" s="2">
        <v>41.44</v>
      </c>
      <c r="BM3031" s="2">
        <v>5.8</v>
      </c>
      <c r="BN3031" s="2">
        <v>47.24</v>
      </c>
      <c r="BO3031" s="2">
        <v>47.24</v>
      </c>
      <c r="BP3031" s="2"/>
      <c r="BQ3031" s="2" t="s">
        <v>83</v>
      </c>
      <c r="BR3031" s="2" t="s">
        <v>84</v>
      </c>
      <c r="BS3031" s="3">
        <v>42975</v>
      </c>
      <c r="BT3031" s="4">
        <v>0.35138888888888892</v>
      </c>
      <c r="BU3031" s="2" t="s">
        <v>483</v>
      </c>
      <c r="BV3031" s="2" t="s">
        <v>95</v>
      </c>
      <c r="BW3031" s="2"/>
      <c r="BX3031" s="2"/>
      <c r="BY3031" s="2">
        <v>1200</v>
      </c>
      <c r="BZ3031" s="2"/>
      <c r="CA3031" s="2" t="s">
        <v>484</v>
      </c>
      <c r="CB3031" s="2"/>
      <c r="CC3031" s="2" t="s">
        <v>150</v>
      </c>
      <c r="CD3031" s="2">
        <v>4001</v>
      </c>
      <c r="CE3031" s="2" t="s">
        <v>104</v>
      </c>
      <c r="CF3031" s="5">
        <v>42976</v>
      </c>
      <c r="CG3031" s="2"/>
      <c r="CH3031" s="2"/>
      <c r="CI3031" s="2">
        <v>1</v>
      </c>
      <c r="CJ3031" s="2">
        <v>1</v>
      </c>
      <c r="CK3031" s="2">
        <v>21</v>
      </c>
      <c r="CL3031" s="2" t="s">
        <v>86</v>
      </c>
      <c r="CM3031" s="2"/>
    </row>
    <row r="3032" spans="1:91">
      <c r="A3032" s="2" t="s">
        <v>71</v>
      </c>
      <c r="B3032" s="2" t="s">
        <v>72</v>
      </c>
      <c r="C3032" s="2" t="s">
        <v>73</v>
      </c>
      <c r="D3032" s="2"/>
      <c r="E3032" s="2" t="str">
        <f>"FES1162571551"</f>
        <v>FES1162571551</v>
      </c>
      <c r="F3032" s="3">
        <v>42972</v>
      </c>
      <c r="G3032" s="2">
        <v>201802</v>
      </c>
      <c r="H3032" s="2" t="s">
        <v>74</v>
      </c>
      <c r="I3032" s="2" t="s">
        <v>75</v>
      </c>
      <c r="J3032" s="2" t="s">
        <v>76</v>
      </c>
      <c r="K3032" s="2" t="s">
        <v>77</v>
      </c>
      <c r="L3032" s="2" t="s">
        <v>105</v>
      </c>
      <c r="M3032" s="2" t="s">
        <v>106</v>
      </c>
      <c r="N3032" s="2" t="s">
        <v>3231</v>
      </c>
      <c r="O3032" s="2" t="s">
        <v>100</v>
      </c>
      <c r="P3032" s="2" t="str">
        <f>"2170587181                    "</f>
        <v xml:space="preserve">2170587181                    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4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0</v>
      </c>
      <c r="BG3032" s="2">
        <v>0</v>
      </c>
      <c r="BH3032" s="2">
        <v>1</v>
      </c>
      <c r="BI3032" s="2">
        <v>1.9</v>
      </c>
      <c r="BJ3032" s="2">
        <v>1.1000000000000001</v>
      </c>
      <c r="BK3032" s="2">
        <v>2</v>
      </c>
      <c r="BL3032" s="2">
        <v>41.44</v>
      </c>
      <c r="BM3032" s="2">
        <v>5.8</v>
      </c>
      <c r="BN3032" s="2">
        <v>47.24</v>
      </c>
      <c r="BO3032" s="2">
        <v>47.24</v>
      </c>
      <c r="BP3032" s="2"/>
      <c r="BQ3032" s="2" t="s">
        <v>108</v>
      </c>
      <c r="BR3032" s="2" t="s">
        <v>84</v>
      </c>
      <c r="BS3032" s="3">
        <v>42975</v>
      </c>
      <c r="BT3032" s="4">
        <v>0.41666666666666669</v>
      </c>
      <c r="BU3032" s="2" t="s">
        <v>3232</v>
      </c>
      <c r="BV3032" s="2" t="s">
        <v>95</v>
      </c>
      <c r="BW3032" s="2"/>
      <c r="BX3032" s="2"/>
      <c r="BY3032" s="2">
        <v>5665.14</v>
      </c>
      <c r="BZ3032" s="2"/>
      <c r="CA3032" s="2"/>
      <c r="CB3032" s="2"/>
      <c r="CC3032" s="2" t="s">
        <v>106</v>
      </c>
      <c r="CD3032" s="2">
        <v>7945</v>
      </c>
      <c r="CE3032" s="2" t="s">
        <v>89</v>
      </c>
      <c r="CF3032" s="5">
        <v>42978</v>
      </c>
      <c r="CG3032" s="2"/>
      <c r="CH3032" s="2"/>
      <c r="CI3032" s="2">
        <v>1</v>
      </c>
      <c r="CJ3032" s="2">
        <v>1</v>
      </c>
      <c r="CK3032" s="2">
        <v>21</v>
      </c>
      <c r="CL3032" s="2" t="s">
        <v>86</v>
      </c>
      <c r="CM3032" s="2"/>
    </row>
    <row r="3033" spans="1:91">
      <c r="A3033" s="2" t="s">
        <v>71</v>
      </c>
      <c r="B3033" s="2" t="s">
        <v>72</v>
      </c>
      <c r="C3033" s="2" t="s">
        <v>73</v>
      </c>
      <c r="D3033" s="2"/>
      <c r="E3033" s="2" t="str">
        <f>"FES1162571563"</f>
        <v>FES1162571563</v>
      </c>
      <c r="F3033" s="3">
        <v>42972</v>
      </c>
      <c r="G3033" s="2">
        <v>201802</v>
      </c>
      <c r="H3033" s="2" t="s">
        <v>74</v>
      </c>
      <c r="I3033" s="2" t="s">
        <v>75</v>
      </c>
      <c r="J3033" s="2" t="s">
        <v>76</v>
      </c>
      <c r="K3033" s="2" t="s">
        <v>77</v>
      </c>
      <c r="L3033" s="2" t="s">
        <v>221</v>
      </c>
      <c r="M3033" s="2" t="s">
        <v>222</v>
      </c>
      <c r="N3033" s="2" t="s">
        <v>1275</v>
      </c>
      <c r="O3033" s="2" t="s">
        <v>100</v>
      </c>
      <c r="P3033" s="2" t="str">
        <f>"2170587205                    "</f>
        <v xml:space="preserve">2170587205                    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4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1</v>
      </c>
      <c r="BI3033" s="2">
        <v>1</v>
      </c>
      <c r="BJ3033" s="2">
        <v>0.2</v>
      </c>
      <c r="BK3033" s="2">
        <v>1</v>
      </c>
      <c r="BL3033" s="2">
        <v>41.44</v>
      </c>
      <c r="BM3033" s="2">
        <v>5.8</v>
      </c>
      <c r="BN3033" s="2">
        <v>47.24</v>
      </c>
      <c r="BO3033" s="2">
        <v>47.24</v>
      </c>
      <c r="BP3033" s="2"/>
      <c r="BQ3033" s="2" t="s">
        <v>227</v>
      </c>
      <c r="BR3033" s="2" t="s">
        <v>84</v>
      </c>
      <c r="BS3033" s="3">
        <v>42975</v>
      </c>
      <c r="BT3033" s="4">
        <v>0.38541666666666669</v>
      </c>
      <c r="BU3033" s="2" t="s">
        <v>2756</v>
      </c>
      <c r="BV3033" s="2" t="s">
        <v>95</v>
      </c>
      <c r="BW3033" s="2"/>
      <c r="BX3033" s="2"/>
      <c r="BY3033" s="2">
        <v>1200</v>
      </c>
      <c r="BZ3033" s="2"/>
      <c r="CA3033" s="2" t="s">
        <v>2757</v>
      </c>
      <c r="CB3033" s="2"/>
      <c r="CC3033" s="2" t="s">
        <v>222</v>
      </c>
      <c r="CD3033" s="2">
        <v>4300</v>
      </c>
      <c r="CE3033" s="2" t="s">
        <v>104</v>
      </c>
      <c r="CF3033" s="5">
        <v>42976</v>
      </c>
      <c r="CG3033" s="2"/>
      <c r="CH3033" s="2"/>
      <c r="CI3033" s="2">
        <v>1</v>
      </c>
      <c r="CJ3033" s="2">
        <v>1</v>
      </c>
      <c r="CK3033" s="2">
        <v>21</v>
      </c>
      <c r="CL3033" s="2" t="s">
        <v>86</v>
      </c>
      <c r="CM3033" s="2"/>
    </row>
    <row r="3034" spans="1:91">
      <c r="A3034" s="2" t="s">
        <v>71</v>
      </c>
      <c r="B3034" s="2" t="s">
        <v>72</v>
      </c>
      <c r="C3034" s="2" t="s">
        <v>73</v>
      </c>
      <c r="D3034" s="2"/>
      <c r="E3034" s="2" t="str">
        <f>"FES1162571592"</f>
        <v>FES1162571592</v>
      </c>
      <c r="F3034" s="3">
        <v>42972</v>
      </c>
      <c r="G3034" s="2">
        <v>201802</v>
      </c>
      <c r="H3034" s="2" t="s">
        <v>74</v>
      </c>
      <c r="I3034" s="2" t="s">
        <v>75</v>
      </c>
      <c r="J3034" s="2" t="s">
        <v>76</v>
      </c>
      <c r="K3034" s="2" t="s">
        <v>77</v>
      </c>
      <c r="L3034" s="2" t="s">
        <v>105</v>
      </c>
      <c r="M3034" s="2" t="s">
        <v>106</v>
      </c>
      <c r="N3034" s="2" t="s">
        <v>3233</v>
      </c>
      <c r="O3034" s="2" t="s">
        <v>100</v>
      </c>
      <c r="P3034" s="2" t="str">
        <f>"2170587229                    "</f>
        <v xml:space="preserve">2170587229                    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4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1</v>
      </c>
      <c r="BI3034" s="2">
        <v>1</v>
      </c>
      <c r="BJ3034" s="2">
        <v>0.2</v>
      </c>
      <c r="BK3034" s="2">
        <v>1</v>
      </c>
      <c r="BL3034" s="2">
        <v>41.44</v>
      </c>
      <c r="BM3034" s="2">
        <v>5.8</v>
      </c>
      <c r="BN3034" s="2">
        <v>47.24</v>
      </c>
      <c r="BO3034" s="2">
        <v>47.24</v>
      </c>
      <c r="BP3034" s="2"/>
      <c r="BQ3034" s="2" t="s">
        <v>288</v>
      </c>
      <c r="BR3034" s="2" t="s">
        <v>84</v>
      </c>
      <c r="BS3034" s="3">
        <v>42975</v>
      </c>
      <c r="BT3034" s="4">
        <v>0.35902777777777778</v>
      </c>
      <c r="BU3034" s="2" t="s">
        <v>3234</v>
      </c>
      <c r="BV3034" s="2" t="s">
        <v>95</v>
      </c>
      <c r="BW3034" s="2"/>
      <c r="BX3034" s="2"/>
      <c r="BY3034" s="2">
        <v>1200</v>
      </c>
      <c r="BZ3034" s="2"/>
      <c r="CA3034" s="2"/>
      <c r="CB3034" s="2"/>
      <c r="CC3034" s="2" t="s">
        <v>106</v>
      </c>
      <c r="CD3034" s="2">
        <v>7560</v>
      </c>
      <c r="CE3034" s="2" t="s">
        <v>104</v>
      </c>
      <c r="CF3034" s="5">
        <v>42976</v>
      </c>
      <c r="CG3034" s="2"/>
      <c r="CH3034" s="2"/>
      <c r="CI3034" s="2">
        <v>1</v>
      </c>
      <c r="CJ3034" s="2">
        <v>1</v>
      </c>
      <c r="CK3034" s="2">
        <v>21</v>
      </c>
      <c r="CL3034" s="2" t="s">
        <v>86</v>
      </c>
      <c r="CM3034" s="2"/>
    </row>
    <row r="3035" spans="1:91">
      <c r="A3035" s="2" t="s">
        <v>71</v>
      </c>
      <c r="B3035" s="2" t="s">
        <v>72</v>
      </c>
      <c r="C3035" s="2" t="s">
        <v>73</v>
      </c>
      <c r="D3035" s="2"/>
      <c r="E3035" s="2" t="str">
        <f>"FES1162571573"</f>
        <v>FES1162571573</v>
      </c>
      <c r="F3035" s="3">
        <v>42972</v>
      </c>
      <c r="G3035" s="2">
        <v>201802</v>
      </c>
      <c r="H3035" s="2" t="s">
        <v>74</v>
      </c>
      <c r="I3035" s="2" t="s">
        <v>75</v>
      </c>
      <c r="J3035" s="2" t="s">
        <v>76</v>
      </c>
      <c r="K3035" s="2" t="s">
        <v>77</v>
      </c>
      <c r="L3035" s="2" t="s">
        <v>105</v>
      </c>
      <c r="M3035" s="2" t="s">
        <v>106</v>
      </c>
      <c r="N3035" s="2" t="s">
        <v>107</v>
      </c>
      <c r="O3035" s="2" t="s">
        <v>100</v>
      </c>
      <c r="P3035" s="2" t="str">
        <f>"217587219                     "</f>
        <v xml:space="preserve">217587219                     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4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1</v>
      </c>
      <c r="BI3035" s="2">
        <v>0.9</v>
      </c>
      <c r="BJ3035" s="2">
        <v>1.1000000000000001</v>
      </c>
      <c r="BK3035" s="2">
        <v>1.5</v>
      </c>
      <c r="BL3035" s="2">
        <v>41.44</v>
      </c>
      <c r="BM3035" s="2">
        <v>5.8</v>
      </c>
      <c r="BN3035" s="2">
        <v>47.24</v>
      </c>
      <c r="BO3035" s="2">
        <v>47.24</v>
      </c>
      <c r="BP3035" s="2"/>
      <c r="BQ3035" s="2" t="s">
        <v>108</v>
      </c>
      <c r="BR3035" s="2" t="s">
        <v>84</v>
      </c>
      <c r="BS3035" s="3">
        <v>42975</v>
      </c>
      <c r="BT3035" s="4">
        <v>0.36805555555555558</v>
      </c>
      <c r="BU3035" s="2" t="s">
        <v>1503</v>
      </c>
      <c r="BV3035" s="2" t="s">
        <v>95</v>
      </c>
      <c r="BW3035" s="2"/>
      <c r="BX3035" s="2"/>
      <c r="BY3035" s="2">
        <v>5622.71</v>
      </c>
      <c r="BZ3035" s="2"/>
      <c r="CA3035" s="2" t="s">
        <v>112</v>
      </c>
      <c r="CB3035" s="2"/>
      <c r="CC3035" s="2" t="s">
        <v>106</v>
      </c>
      <c r="CD3035" s="2">
        <v>7405</v>
      </c>
      <c r="CE3035" s="2" t="s">
        <v>89</v>
      </c>
      <c r="CF3035" s="5">
        <v>42976</v>
      </c>
      <c r="CG3035" s="2"/>
      <c r="CH3035" s="2"/>
      <c r="CI3035" s="2">
        <v>1</v>
      </c>
      <c r="CJ3035" s="2">
        <v>1</v>
      </c>
      <c r="CK3035" s="2">
        <v>21</v>
      </c>
      <c r="CL3035" s="2" t="s">
        <v>86</v>
      </c>
      <c r="CM3035" s="2"/>
    </row>
    <row r="3036" spans="1:91">
      <c r="A3036" s="2" t="s">
        <v>71</v>
      </c>
      <c r="B3036" s="2" t="s">
        <v>72</v>
      </c>
      <c r="C3036" s="2" t="s">
        <v>73</v>
      </c>
      <c r="D3036" s="2"/>
      <c r="E3036" s="2" t="str">
        <f>"FES1162571583"</f>
        <v>FES1162571583</v>
      </c>
      <c r="F3036" s="3">
        <v>42972</v>
      </c>
      <c r="G3036" s="2">
        <v>201802</v>
      </c>
      <c r="H3036" s="2" t="s">
        <v>74</v>
      </c>
      <c r="I3036" s="2" t="s">
        <v>75</v>
      </c>
      <c r="J3036" s="2" t="s">
        <v>76</v>
      </c>
      <c r="K3036" s="2" t="s">
        <v>77</v>
      </c>
      <c r="L3036" s="2" t="s">
        <v>164</v>
      </c>
      <c r="M3036" s="2" t="s">
        <v>165</v>
      </c>
      <c r="N3036" s="2" t="s">
        <v>1191</v>
      </c>
      <c r="O3036" s="2" t="s">
        <v>100</v>
      </c>
      <c r="P3036" s="2" t="str">
        <f>"2170587227                    "</f>
        <v xml:space="preserve">2170587227                    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4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1</v>
      </c>
      <c r="BI3036" s="2">
        <v>1</v>
      </c>
      <c r="BJ3036" s="2">
        <v>0.2</v>
      </c>
      <c r="BK3036" s="2">
        <v>1</v>
      </c>
      <c r="BL3036" s="2">
        <v>41.44</v>
      </c>
      <c r="BM3036" s="2">
        <v>5.8</v>
      </c>
      <c r="BN3036" s="2">
        <v>47.24</v>
      </c>
      <c r="BO3036" s="2">
        <v>47.24</v>
      </c>
      <c r="BP3036" s="2"/>
      <c r="BQ3036" s="2" t="s">
        <v>288</v>
      </c>
      <c r="BR3036" s="2" t="s">
        <v>84</v>
      </c>
      <c r="BS3036" s="3">
        <v>42975</v>
      </c>
      <c r="BT3036" s="4">
        <v>0.39374999999999999</v>
      </c>
      <c r="BU3036" s="2" t="s">
        <v>3235</v>
      </c>
      <c r="BV3036" s="2" t="s">
        <v>95</v>
      </c>
      <c r="BW3036" s="2"/>
      <c r="BX3036" s="2"/>
      <c r="BY3036" s="2">
        <v>1200</v>
      </c>
      <c r="BZ3036" s="2"/>
      <c r="CA3036" s="2" t="s">
        <v>168</v>
      </c>
      <c r="CB3036" s="2"/>
      <c r="CC3036" s="2" t="s">
        <v>165</v>
      </c>
      <c r="CD3036" s="2">
        <v>6850</v>
      </c>
      <c r="CE3036" s="2" t="s">
        <v>104</v>
      </c>
      <c r="CF3036" s="5">
        <v>42976</v>
      </c>
      <c r="CG3036" s="2"/>
      <c r="CH3036" s="2"/>
      <c r="CI3036" s="2">
        <v>3</v>
      </c>
      <c r="CJ3036" s="2">
        <v>1</v>
      </c>
      <c r="CK3036" s="2">
        <v>21</v>
      </c>
      <c r="CL3036" s="2" t="s">
        <v>86</v>
      </c>
      <c r="CM3036" s="2"/>
    </row>
    <row r="3037" spans="1:91">
      <c r="A3037" s="2" t="s">
        <v>71</v>
      </c>
      <c r="B3037" s="2" t="s">
        <v>72</v>
      </c>
      <c r="C3037" s="2" t="s">
        <v>73</v>
      </c>
      <c r="D3037" s="2"/>
      <c r="E3037" s="2" t="str">
        <f>"FES1162571595"</f>
        <v>FES1162571595</v>
      </c>
      <c r="F3037" s="3">
        <v>42972</v>
      </c>
      <c r="G3037" s="2">
        <v>201802</v>
      </c>
      <c r="H3037" s="2" t="s">
        <v>74</v>
      </c>
      <c r="I3037" s="2" t="s">
        <v>75</v>
      </c>
      <c r="J3037" s="2" t="s">
        <v>76</v>
      </c>
      <c r="K3037" s="2" t="s">
        <v>77</v>
      </c>
      <c r="L3037" s="2" t="s">
        <v>417</v>
      </c>
      <c r="M3037" s="2" t="s">
        <v>417</v>
      </c>
      <c r="N3037" s="2" t="s">
        <v>475</v>
      </c>
      <c r="O3037" s="2" t="s">
        <v>100</v>
      </c>
      <c r="P3037" s="2" t="str">
        <f>"2170587243                    "</f>
        <v xml:space="preserve">2170587243                    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4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1</v>
      </c>
      <c r="BI3037" s="2">
        <v>1</v>
      </c>
      <c r="BJ3037" s="2">
        <v>0.2</v>
      </c>
      <c r="BK3037" s="2">
        <v>1</v>
      </c>
      <c r="BL3037" s="2">
        <v>41.44</v>
      </c>
      <c r="BM3037" s="2">
        <v>5.8</v>
      </c>
      <c r="BN3037" s="2">
        <v>47.24</v>
      </c>
      <c r="BO3037" s="2">
        <v>47.24</v>
      </c>
      <c r="BP3037" s="2"/>
      <c r="BQ3037" s="2" t="s">
        <v>108</v>
      </c>
      <c r="BR3037" s="2" t="s">
        <v>84</v>
      </c>
      <c r="BS3037" s="3">
        <v>42975</v>
      </c>
      <c r="BT3037" s="4">
        <v>0.50624999999999998</v>
      </c>
      <c r="BU3037" s="2" t="s">
        <v>509</v>
      </c>
      <c r="BV3037" s="2" t="s">
        <v>95</v>
      </c>
      <c r="BW3037" s="2"/>
      <c r="BX3037" s="2"/>
      <c r="BY3037" s="2">
        <v>1200</v>
      </c>
      <c r="BZ3037" s="2"/>
      <c r="CA3037" s="2" t="s">
        <v>460</v>
      </c>
      <c r="CB3037" s="2"/>
      <c r="CC3037" s="2" t="s">
        <v>417</v>
      </c>
      <c r="CD3037" s="2">
        <v>7646</v>
      </c>
      <c r="CE3037" s="2" t="s">
        <v>104</v>
      </c>
      <c r="CF3037" s="5">
        <v>42976</v>
      </c>
      <c r="CG3037" s="2"/>
      <c r="CH3037" s="2"/>
      <c r="CI3037" s="2">
        <v>1</v>
      </c>
      <c r="CJ3037" s="2">
        <v>1</v>
      </c>
      <c r="CK3037" s="2">
        <v>21</v>
      </c>
      <c r="CL3037" s="2" t="s">
        <v>86</v>
      </c>
      <c r="CM3037" s="2"/>
    </row>
    <row r="3038" spans="1:91">
      <c r="A3038" s="2" t="s">
        <v>71</v>
      </c>
      <c r="B3038" s="2" t="s">
        <v>72</v>
      </c>
      <c r="C3038" s="2" t="s">
        <v>73</v>
      </c>
      <c r="D3038" s="2"/>
      <c r="E3038" s="2" t="str">
        <f>"FES1162571554"</f>
        <v>FES1162571554</v>
      </c>
      <c r="F3038" s="3">
        <v>42972</v>
      </c>
      <c r="G3038" s="2">
        <v>201802</v>
      </c>
      <c r="H3038" s="2" t="s">
        <v>74</v>
      </c>
      <c r="I3038" s="2" t="s">
        <v>75</v>
      </c>
      <c r="J3038" s="2" t="s">
        <v>76</v>
      </c>
      <c r="K3038" s="2" t="s">
        <v>77</v>
      </c>
      <c r="L3038" s="2" t="s">
        <v>105</v>
      </c>
      <c r="M3038" s="2" t="s">
        <v>106</v>
      </c>
      <c r="N3038" s="2" t="s">
        <v>2517</v>
      </c>
      <c r="O3038" s="2" t="s">
        <v>100</v>
      </c>
      <c r="P3038" s="2" t="str">
        <f>"2170587193                    "</f>
        <v xml:space="preserve">2170587193                    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8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1</v>
      </c>
      <c r="BI3038" s="2">
        <v>3.9</v>
      </c>
      <c r="BJ3038" s="2">
        <v>1.7</v>
      </c>
      <c r="BK3038" s="2">
        <v>4</v>
      </c>
      <c r="BL3038" s="2">
        <v>82.88</v>
      </c>
      <c r="BM3038" s="2">
        <v>11.6</v>
      </c>
      <c r="BN3038" s="2">
        <v>94.48</v>
      </c>
      <c r="BO3038" s="2">
        <v>94.48</v>
      </c>
      <c r="BP3038" s="2"/>
      <c r="BQ3038" s="2" t="s">
        <v>108</v>
      </c>
      <c r="BR3038" s="2" t="s">
        <v>84</v>
      </c>
      <c r="BS3038" s="3">
        <v>42975</v>
      </c>
      <c r="BT3038" s="4">
        <v>0.44027777777777777</v>
      </c>
      <c r="BU3038" s="2" t="s">
        <v>3236</v>
      </c>
      <c r="BV3038" s="2" t="s">
        <v>95</v>
      </c>
      <c r="BW3038" s="2"/>
      <c r="BX3038" s="2"/>
      <c r="BY3038" s="2">
        <v>8328.86</v>
      </c>
      <c r="BZ3038" s="2"/>
      <c r="CA3038" s="2" t="s">
        <v>1867</v>
      </c>
      <c r="CB3038" s="2"/>
      <c r="CC3038" s="2" t="s">
        <v>106</v>
      </c>
      <c r="CD3038" s="2">
        <v>7405</v>
      </c>
      <c r="CE3038" s="2" t="s">
        <v>89</v>
      </c>
      <c r="CF3038" s="5">
        <v>42976</v>
      </c>
      <c r="CG3038" s="2"/>
      <c r="CH3038" s="2"/>
      <c r="CI3038" s="2">
        <v>1</v>
      </c>
      <c r="CJ3038" s="2">
        <v>1</v>
      </c>
      <c r="CK3038" s="2">
        <v>21</v>
      </c>
      <c r="CL3038" s="2" t="s">
        <v>86</v>
      </c>
      <c r="CM3038" s="2"/>
    </row>
    <row r="3039" spans="1:91">
      <c r="A3039" s="2" t="s">
        <v>71</v>
      </c>
      <c r="B3039" s="2" t="s">
        <v>72</v>
      </c>
      <c r="C3039" s="2" t="s">
        <v>73</v>
      </c>
      <c r="D3039" s="2"/>
      <c r="E3039" s="2" t="str">
        <f>"FES1162571632"</f>
        <v>FES1162571632</v>
      </c>
      <c r="F3039" s="3">
        <v>42972</v>
      </c>
      <c r="G3039" s="2">
        <v>201802</v>
      </c>
      <c r="H3039" s="2" t="s">
        <v>74</v>
      </c>
      <c r="I3039" s="2" t="s">
        <v>75</v>
      </c>
      <c r="J3039" s="2" t="s">
        <v>76</v>
      </c>
      <c r="K3039" s="2" t="s">
        <v>77</v>
      </c>
      <c r="L3039" s="2" t="s">
        <v>105</v>
      </c>
      <c r="M3039" s="2" t="s">
        <v>106</v>
      </c>
      <c r="N3039" s="2" t="s">
        <v>3237</v>
      </c>
      <c r="O3039" s="2" t="s">
        <v>100</v>
      </c>
      <c r="P3039" s="2" t="str">
        <f>"2170587114                    "</f>
        <v xml:space="preserve">2170587114                    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4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1</v>
      </c>
      <c r="BI3039" s="2">
        <v>1.7</v>
      </c>
      <c r="BJ3039" s="2">
        <v>1</v>
      </c>
      <c r="BK3039" s="2">
        <v>2</v>
      </c>
      <c r="BL3039" s="2">
        <v>41.44</v>
      </c>
      <c r="BM3039" s="2">
        <v>5.8</v>
      </c>
      <c r="BN3039" s="2">
        <v>47.24</v>
      </c>
      <c r="BO3039" s="2">
        <v>47.24</v>
      </c>
      <c r="BP3039" s="2"/>
      <c r="BQ3039" s="2" t="s">
        <v>108</v>
      </c>
      <c r="BR3039" s="2" t="s">
        <v>84</v>
      </c>
      <c r="BS3039" s="3">
        <v>42975</v>
      </c>
      <c r="BT3039" s="4">
        <v>0.33333333333333331</v>
      </c>
      <c r="BU3039" s="2" t="s">
        <v>3238</v>
      </c>
      <c r="BV3039" s="2" t="s">
        <v>95</v>
      </c>
      <c r="BW3039" s="2"/>
      <c r="BX3039" s="2"/>
      <c r="BY3039" s="2">
        <v>4941.96</v>
      </c>
      <c r="BZ3039" s="2"/>
      <c r="CA3039" s="2"/>
      <c r="CB3039" s="2"/>
      <c r="CC3039" s="2" t="s">
        <v>106</v>
      </c>
      <c r="CD3039" s="2">
        <v>7530</v>
      </c>
      <c r="CE3039" s="2" t="s">
        <v>89</v>
      </c>
      <c r="CF3039" s="5">
        <v>42976</v>
      </c>
      <c r="CG3039" s="2"/>
      <c r="CH3039" s="2"/>
      <c r="CI3039" s="2">
        <v>1</v>
      </c>
      <c r="CJ3039" s="2">
        <v>1</v>
      </c>
      <c r="CK3039" s="2">
        <v>21</v>
      </c>
      <c r="CL3039" s="2" t="s">
        <v>86</v>
      </c>
      <c r="CM3039" s="2"/>
    </row>
    <row r="3040" spans="1:91">
      <c r="A3040" s="2" t="s">
        <v>71</v>
      </c>
      <c r="B3040" s="2" t="s">
        <v>72</v>
      </c>
      <c r="C3040" s="2" t="s">
        <v>73</v>
      </c>
      <c r="D3040" s="2"/>
      <c r="E3040" s="2" t="str">
        <f>"FES1162571605"</f>
        <v>FES1162571605</v>
      </c>
      <c r="F3040" s="3">
        <v>42972</v>
      </c>
      <c r="G3040" s="2">
        <v>201802</v>
      </c>
      <c r="H3040" s="2" t="s">
        <v>74</v>
      </c>
      <c r="I3040" s="2" t="s">
        <v>75</v>
      </c>
      <c r="J3040" s="2" t="s">
        <v>76</v>
      </c>
      <c r="K3040" s="2" t="s">
        <v>77</v>
      </c>
      <c r="L3040" s="2" t="s">
        <v>231</v>
      </c>
      <c r="M3040" s="2" t="s">
        <v>232</v>
      </c>
      <c r="N3040" s="2" t="s">
        <v>233</v>
      </c>
      <c r="O3040" s="2" t="s">
        <v>100</v>
      </c>
      <c r="P3040" s="2" t="str">
        <f>"2170587554                    "</f>
        <v xml:space="preserve">2170587554                    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4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1</v>
      </c>
      <c r="BI3040" s="2">
        <v>2</v>
      </c>
      <c r="BJ3040" s="2">
        <v>1.1000000000000001</v>
      </c>
      <c r="BK3040" s="2">
        <v>2</v>
      </c>
      <c r="BL3040" s="2">
        <v>41.44</v>
      </c>
      <c r="BM3040" s="2">
        <v>5.8</v>
      </c>
      <c r="BN3040" s="2">
        <v>47.24</v>
      </c>
      <c r="BO3040" s="2">
        <v>47.24</v>
      </c>
      <c r="BP3040" s="2"/>
      <c r="BQ3040" s="2" t="s">
        <v>83</v>
      </c>
      <c r="BR3040" s="2" t="s">
        <v>84</v>
      </c>
      <c r="BS3040" s="3">
        <v>42975</v>
      </c>
      <c r="BT3040" s="4">
        <v>0.34166666666666662</v>
      </c>
      <c r="BU3040" s="2" t="s">
        <v>3239</v>
      </c>
      <c r="BV3040" s="2" t="s">
        <v>95</v>
      </c>
      <c r="BW3040" s="2"/>
      <c r="BX3040" s="2"/>
      <c r="BY3040" s="2">
        <v>5320</v>
      </c>
      <c r="BZ3040" s="2"/>
      <c r="CA3040" s="2" t="s">
        <v>1352</v>
      </c>
      <c r="CB3040" s="2"/>
      <c r="CC3040" s="2" t="s">
        <v>232</v>
      </c>
      <c r="CD3040" s="2">
        <v>4026</v>
      </c>
      <c r="CE3040" s="2" t="s">
        <v>89</v>
      </c>
      <c r="CF3040" s="5">
        <v>42976</v>
      </c>
      <c r="CG3040" s="2"/>
      <c r="CH3040" s="2"/>
      <c r="CI3040" s="2">
        <v>1</v>
      </c>
      <c r="CJ3040" s="2">
        <v>1</v>
      </c>
      <c r="CK3040" s="2">
        <v>21</v>
      </c>
      <c r="CL3040" s="2" t="s">
        <v>86</v>
      </c>
      <c r="CM3040" s="2"/>
    </row>
    <row r="3041" spans="1:91">
      <c r="A3041" s="2" t="s">
        <v>71</v>
      </c>
      <c r="B3041" s="2" t="s">
        <v>72</v>
      </c>
      <c r="C3041" s="2" t="s">
        <v>73</v>
      </c>
      <c r="D3041" s="2"/>
      <c r="E3041" s="2" t="str">
        <f>"FES1162571621"</f>
        <v>FES1162571621</v>
      </c>
      <c r="F3041" s="3">
        <v>42972</v>
      </c>
      <c r="G3041" s="2">
        <v>201802</v>
      </c>
      <c r="H3041" s="2" t="s">
        <v>74</v>
      </c>
      <c r="I3041" s="2" t="s">
        <v>75</v>
      </c>
      <c r="J3041" s="2" t="s">
        <v>76</v>
      </c>
      <c r="K3041" s="2" t="s">
        <v>77</v>
      </c>
      <c r="L3041" s="2" t="s">
        <v>105</v>
      </c>
      <c r="M3041" s="2" t="s">
        <v>106</v>
      </c>
      <c r="N3041" s="2" t="s">
        <v>1093</v>
      </c>
      <c r="O3041" s="2" t="s">
        <v>100</v>
      </c>
      <c r="P3041" s="2" t="str">
        <f>"2170587272                    "</f>
        <v xml:space="preserve">2170587272                    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19.010000000000002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1</v>
      </c>
      <c r="BI3041" s="2">
        <v>5.2</v>
      </c>
      <c r="BJ3041" s="2">
        <v>9.1</v>
      </c>
      <c r="BK3041" s="2">
        <v>9.5</v>
      </c>
      <c r="BL3041" s="2">
        <v>196.85</v>
      </c>
      <c r="BM3041" s="2">
        <v>27.56</v>
      </c>
      <c r="BN3041" s="2">
        <v>224.41</v>
      </c>
      <c r="BO3041" s="2">
        <v>224.41</v>
      </c>
      <c r="BP3041" s="2"/>
      <c r="BQ3041" s="2" t="s">
        <v>83</v>
      </c>
      <c r="BR3041" s="2" t="s">
        <v>84</v>
      </c>
      <c r="BS3041" s="3">
        <v>42975</v>
      </c>
      <c r="BT3041" s="4">
        <v>0.38680555555555557</v>
      </c>
      <c r="BU3041" s="2" t="s">
        <v>3240</v>
      </c>
      <c r="BV3041" s="2" t="s">
        <v>95</v>
      </c>
      <c r="BW3041" s="2"/>
      <c r="BX3041" s="2"/>
      <c r="BY3041" s="2">
        <v>45467.88</v>
      </c>
      <c r="BZ3041" s="2"/>
      <c r="CA3041" s="2" t="s">
        <v>1095</v>
      </c>
      <c r="CB3041" s="2"/>
      <c r="CC3041" s="2" t="s">
        <v>106</v>
      </c>
      <c r="CD3041" s="2">
        <v>7975</v>
      </c>
      <c r="CE3041" s="2" t="s">
        <v>89</v>
      </c>
      <c r="CF3041" s="5">
        <v>42976</v>
      </c>
      <c r="CG3041" s="2"/>
      <c r="CH3041" s="2"/>
      <c r="CI3041" s="2">
        <v>1</v>
      </c>
      <c r="CJ3041" s="2">
        <v>1</v>
      </c>
      <c r="CK3041" s="2">
        <v>21</v>
      </c>
      <c r="CL3041" s="2" t="s">
        <v>86</v>
      </c>
      <c r="CM3041" s="2"/>
    </row>
    <row r="3042" spans="1:91">
      <c r="A3042" s="2" t="s">
        <v>71</v>
      </c>
      <c r="B3042" s="2" t="s">
        <v>72</v>
      </c>
      <c r="C3042" s="2" t="s">
        <v>73</v>
      </c>
      <c r="D3042" s="2"/>
      <c r="E3042" s="2" t="str">
        <f>"FES1162571628"</f>
        <v>FES1162571628</v>
      </c>
      <c r="F3042" s="3">
        <v>42972</v>
      </c>
      <c r="G3042" s="2">
        <v>201802</v>
      </c>
      <c r="H3042" s="2" t="s">
        <v>74</v>
      </c>
      <c r="I3042" s="2" t="s">
        <v>75</v>
      </c>
      <c r="J3042" s="2" t="s">
        <v>76</v>
      </c>
      <c r="K3042" s="2" t="s">
        <v>77</v>
      </c>
      <c r="L3042" s="2" t="s">
        <v>97</v>
      </c>
      <c r="M3042" s="2" t="s">
        <v>98</v>
      </c>
      <c r="N3042" s="2" t="s">
        <v>1044</v>
      </c>
      <c r="O3042" s="2" t="s">
        <v>100</v>
      </c>
      <c r="P3042" s="2" t="str">
        <f>"2170587285                    "</f>
        <v xml:space="preserve">2170587285                    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4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1</v>
      </c>
      <c r="BI3042" s="2">
        <v>1</v>
      </c>
      <c r="BJ3042" s="2">
        <v>0.2</v>
      </c>
      <c r="BK3042" s="2">
        <v>1</v>
      </c>
      <c r="BL3042" s="2">
        <v>41.44</v>
      </c>
      <c r="BM3042" s="2">
        <v>5.8</v>
      </c>
      <c r="BN3042" s="2">
        <v>47.24</v>
      </c>
      <c r="BO3042" s="2">
        <v>47.24</v>
      </c>
      <c r="BP3042" s="2"/>
      <c r="BQ3042" s="2" t="s">
        <v>288</v>
      </c>
      <c r="BR3042" s="2" t="s">
        <v>84</v>
      </c>
      <c r="BS3042" s="3">
        <v>42975</v>
      </c>
      <c r="BT3042" s="4">
        <v>0.43194444444444446</v>
      </c>
      <c r="BU3042" s="2" t="s">
        <v>1336</v>
      </c>
      <c r="BV3042" s="2" t="s">
        <v>95</v>
      </c>
      <c r="BW3042" s="2"/>
      <c r="BX3042" s="2"/>
      <c r="BY3042" s="2">
        <v>1200</v>
      </c>
      <c r="BZ3042" s="2"/>
      <c r="CA3042" s="2" t="s">
        <v>1047</v>
      </c>
      <c r="CB3042" s="2"/>
      <c r="CC3042" s="2" t="s">
        <v>98</v>
      </c>
      <c r="CD3042" s="2">
        <v>6045</v>
      </c>
      <c r="CE3042" s="2" t="s">
        <v>104</v>
      </c>
      <c r="CF3042" s="5">
        <v>42976</v>
      </c>
      <c r="CG3042" s="2"/>
      <c r="CH3042" s="2"/>
      <c r="CI3042" s="2">
        <v>1</v>
      </c>
      <c r="CJ3042" s="2">
        <v>1</v>
      </c>
      <c r="CK3042" s="2">
        <v>21</v>
      </c>
      <c r="CL3042" s="2" t="s">
        <v>86</v>
      </c>
      <c r="CM3042" s="2"/>
    </row>
    <row r="3043" spans="1:91">
      <c r="A3043" s="2" t="s">
        <v>71</v>
      </c>
      <c r="B3043" s="2" t="s">
        <v>72</v>
      </c>
      <c r="C3043" s="2" t="s">
        <v>73</v>
      </c>
      <c r="D3043" s="2"/>
      <c r="E3043" s="2" t="str">
        <f>"FES1162571421"</f>
        <v>FES1162571421</v>
      </c>
      <c r="F3043" s="3">
        <v>42972</v>
      </c>
      <c r="G3043" s="2">
        <v>201802</v>
      </c>
      <c r="H3043" s="2" t="s">
        <v>74</v>
      </c>
      <c r="I3043" s="2" t="s">
        <v>75</v>
      </c>
      <c r="J3043" s="2" t="s">
        <v>76</v>
      </c>
      <c r="K3043" s="2" t="s">
        <v>77</v>
      </c>
      <c r="L3043" s="2" t="s">
        <v>244</v>
      </c>
      <c r="M3043" s="2" t="s">
        <v>245</v>
      </c>
      <c r="N3043" s="2" t="s">
        <v>882</v>
      </c>
      <c r="O3043" s="2" t="s">
        <v>100</v>
      </c>
      <c r="P3043" s="2" t="str">
        <f>"2170584965                    "</f>
        <v xml:space="preserve">2170584965                    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3.13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1</v>
      </c>
      <c r="BI3043" s="2">
        <v>1</v>
      </c>
      <c r="BJ3043" s="2">
        <v>0.2</v>
      </c>
      <c r="BK3043" s="2">
        <v>1</v>
      </c>
      <c r="BL3043" s="2">
        <v>32.380000000000003</v>
      </c>
      <c r="BM3043" s="2">
        <v>4.53</v>
      </c>
      <c r="BN3043" s="2">
        <v>36.909999999999997</v>
      </c>
      <c r="BO3043" s="2">
        <v>36.909999999999997</v>
      </c>
      <c r="BP3043" s="2"/>
      <c r="BQ3043" s="2" t="s">
        <v>108</v>
      </c>
      <c r="BR3043" s="2" t="s">
        <v>84</v>
      </c>
      <c r="BS3043" s="3">
        <v>42975</v>
      </c>
      <c r="BT3043" s="4">
        <v>0.32430555555555557</v>
      </c>
      <c r="BU3043" s="2" t="s">
        <v>3241</v>
      </c>
      <c r="BV3043" s="2" t="s">
        <v>95</v>
      </c>
      <c r="BW3043" s="2"/>
      <c r="BX3043" s="2"/>
      <c r="BY3043" s="2">
        <v>1200</v>
      </c>
      <c r="BZ3043" s="2"/>
      <c r="CA3043" s="2"/>
      <c r="CB3043" s="2"/>
      <c r="CC3043" s="2" t="s">
        <v>245</v>
      </c>
      <c r="CD3043" s="2">
        <v>1459</v>
      </c>
      <c r="CE3043" s="2" t="s">
        <v>104</v>
      </c>
      <c r="CF3043" s="5">
        <v>42976</v>
      </c>
      <c r="CG3043" s="2"/>
      <c r="CH3043" s="2"/>
      <c r="CI3043" s="2">
        <v>1</v>
      </c>
      <c r="CJ3043" s="2">
        <v>1</v>
      </c>
      <c r="CK3043" s="2">
        <v>22</v>
      </c>
      <c r="CL3043" s="2" t="s">
        <v>86</v>
      </c>
      <c r="CM3043" s="2"/>
    </row>
    <row r="3044" spans="1:91">
      <c r="A3044" s="2" t="s">
        <v>71</v>
      </c>
      <c r="B3044" s="2" t="s">
        <v>72</v>
      </c>
      <c r="C3044" s="2" t="s">
        <v>73</v>
      </c>
      <c r="D3044" s="2"/>
      <c r="E3044" s="2" t="str">
        <f>"FES1162571606"</f>
        <v>FES1162571606</v>
      </c>
      <c r="F3044" s="3">
        <v>42972</v>
      </c>
      <c r="G3044" s="2">
        <v>201802</v>
      </c>
      <c r="H3044" s="2" t="s">
        <v>74</v>
      </c>
      <c r="I3044" s="2" t="s">
        <v>75</v>
      </c>
      <c r="J3044" s="2" t="s">
        <v>76</v>
      </c>
      <c r="K3044" s="2" t="s">
        <v>77</v>
      </c>
      <c r="L3044" s="2" t="s">
        <v>144</v>
      </c>
      <c r="M3044" s="2" t="s">
        <v>145</v>
      </c>
      <c r="N3044" s="2" t="s">
        <v>454</v>
      </c>
      <c r="O3044" s="2" t="s">
        <v>100</v>
      </c>
      <c r="P3044" s="2" t="str">
        <f>"2170587255                    "</f>
        <v xml:space="preserve">2170587255                    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3.13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1</v>
      </c>
      <c r="BI3044" s="2">
        <v>1</v>
      </c>
      <c r="BJ3044" s="2">
        <v>0.2</v>
      </c>
      <c r="BK3044" s="2">
        <v>1</v>
      </c>
      <c r="BL3044" s="2">
        <v>32.380000000000003</v>
      </c>
      <c r="BM3044" s="2">
        <v>4.53</v>
      </c>
      <c r="BN3044" s="2">
        <v>36.909999999999997</v>
      </c>
      <c r="BO3044" s="2">
        <v>36.909999999999997</v>
      </c>
      <c r="BP3044" s="2"/>
      <c r="BQ3044" s="2" t="s">
        <v>108</v>
      </c>
      <c r="BR3044" s="2" t="s">
        <v>84</v>
      </c>
      <c r="BS3044" s="3">
        <v>42975</v>
      </c>
      <c r="BT3044" s="4">
        <v>0.3659722222222222</v>
      </c>
      <c r="BU3044" s="2" t="s">
        <v>3109</v>
      </c>
      <c r="BV3044" s="2" t="s">
        <v>95</v>
      </c>
      <c r="BW3044" s="2"/>
      <c r="BX3044" s="2"/>
      <c r="BY3044" s="2">
        <v>1200</v>
      </c>
      <c r="BZ3044" s="2"/>
      <c r="CA3044" s="2"/>
      <c r="CB3044" s="2"/>
      <c r="CC3044" s="2" t="s">
        <v>145</v>
      </c>
      <c r="CD3044" s="2">
        <v>2093</v>
      </c>
      <c r="CE3044" s="2" t="s">
        <v>104</v>
      </c>
      <c r="CF3044" s="5">
        <v>42976</v>
      </c>
      <c r="CG3044" s="2"/>
      <c r="CH3044" s="2"/>
      <c r="CI3044" s="2">
        <v>1</v>
      </c>
      <c r="CJ3044" s="2">
        <v>1</v>
      </c>
      <c r="CK3044" s="2">
        <v>22</v>
      </c>
      <c r="CL3044" s="2" t="s">
        <v>86</v>
      </c>
      <c r="CM3044" s="2"/>
    </row>
    <row r="3045" spans="1:91">
      <c r="A3045" s="2" t="s">
        <v>71</v>
      </c>
      <c r="B3045" s="2" t="s">
        <v>72</v>
      </c>
      <c r="C3045" s="2" t="s">
        <v>73</v>
      </c>
      <c r="D3045" s="2"/>
      <c r="E3045" s="2" t="str">
        <f>"009935791674"</f>
        <v>009935791674</v>
      </c>
      <c r="F3045" s="3">
        <v>42972</v>
      </c>
      <c r="G3045" s="2">
        <v>201802</v>
      </c>
      <c r="H3045" s="2" t="s">
        <v>74</v>
      </c>
      <c r="I3045" s="2" t="s">
        <v>75</v>
      </c>
      <c r="J3045" s="2" t="s">
        <v>76</v>
      </c>
      <c r="K3045" s="2" t="s">
        <v>77</v>
      </c>
      <c r="L3045" s="2" t="s">
        <v>362</v>
      </c>
      <c r="M3045" s="2" t="s">
        <v>363</v>
      </c>
      <c r="N3045" s="2" t="s">
        <v>546</v>
      </c>
      <c r="O3045" s="2" t="s">
        <v>100</v>
      </c>
      <c r="P3045" s="2" t="str">
        <f>"2170584936 1162568931         "</f>
        <v xml:space="preserve">2170584936 1162568931         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11.01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1</v>
      </c>
      <c r="BI3045" s="2">
        <v>5.2</v>
      </c>
      <c r="BJ3045" s="2">
        <v>3.3</v>
      </c>
      <c r="BK3045" s="2">
        <v>5.5</v>
      </c>
      <c r="BL3045" s="2">
        <v>113.97</v>
      </c>
      <c r="BM3045" s="2">
        <v>15.96</v>
      </c>
      <c r="BN3045" s="2">
        <v>129.93</v>
      </c>
      <c r="BO3045" s="2">
        <v>129.93</v>
      </c>
      <c r="BP3045" s="2" t="s">
        <v>3242</v>
      </c>
      <c r="BQ3045" s="2" t="s">
        <v>83</v>
      </c>
      <c r="BR3045" s="2" t="s">
        <v>84</v>
      </c>
      <c r="BS3045" s="3">
        <v>42975</v>
      </c>
      <c r="BT3045" s="4">
        <v>0.38958333333333334</v>
      </c>
      <c r="BU3045" s="2" t="s">
        <v>3243</v>
      </c>
      <c r="BV3045" s="2" t="s">
        <v>95</v>
      </c>
      <c r="BW3045" s="2"/>
      <c r="BX3045" s="2"/>
      <c r="BY3045" s="2">
        <v>16486.5</v>
      </c>
      <c r="BZ3045" s="2"/>
      <c r="CA3045" s="2" t="s">
        <v>379</v>
      </c>
      <c r="CB3045" s="2"/>
      <c r="CC3045" s="2" t="s">
        <v>363</v>
      </c>
      <c r="CD3045" s="2">
        <v>3201</v>
      </c>
      <c r="CE3045" s="2" t="s">
        <v>89</v>
      </c>
      <c r="CF3045" s="2"/>
      <c r="CG3045" s="2"/>
      <c r="CH3045" s="2"/>
      <c r="CI3045" s="2">
        <v>1</v>
      </c>
      <c r="CJ3045" s="2">
        <v>1</v>
      </c>
      <c r="CK3045" s="2">
        <v>21</v>
      </c>
      <c r="CL3045" s="2" t="s">
        <v>86</v>
      </c>
      <c r="CM3045" s="2"/>
    </row>
    <row r="3046" spans="1:91">
      <c r="A3046" s="2" t="s">
        <v>71</v>
      </c>
      <c r="B3046" s="2" t="s">
        <v>72</v>
      </c>
      <c r="C3046" s="2" t="s">
        <v>73</v>
      </c>
      <c r="D3046" s="2"/>
      <c r="E3046" s="2" t="str">
        <f>"FES1162571564"</f>
        <v>FES1162571564</v>
      </c>
      <c r="F3046" s="3">
        <v>42972</v>
      </c>
      <c r="G3046" s="2">
        <v>201802</v>
      </c>
      <c r="H3046" s="2" t="s">
        <v>74</v>
      </c>
      <c r="I3046" s="2" t="s">
        <v>75</v>
      </c>
      <c r="J3046" s="2" t="s">
        <v>76</v>
      </c>
      <c r="K3046" s="2" t="s">
        <v>77</v>
      </c>
      <c r="L3046" s="2" t="s">
        <v>144</v>
      </c>
      <c r="M3046" s="2" t="s">
        <v>145</v>
      </c>
      <c r="N3046" s="2" t="s">
        <v>1462</v>
      </c>
      <c r="O3046" s="2" t="s">
        <v>100</v>
      </c>
      <c r="P3046" s="2" t="str">
        <f>"2170587208                    "</f>
        <v xml:space="preserve">2170587208                    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3.13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1</v>
      </c>
      <c r="BI3046" s="2">
        <v>1</v>
      </c>
      <c r="BJ3046" s="2">
        <v>0.2</v>
      </c>
      <c r="BK3046" s="2">
        <v>1</v>
      </c>
      <c r="BL3046" s="2">
        <v>32.380000000000003</v>
      </c>
      <c r="BM3046" s="2">
        <v>4.53</v>
      </c>
      <c r="BN3046" s="2">
        <v>36.909999999999997</v>
      </c>
      <c r="BO3046" s="2">
        <v>36.909999999999997</v>
      </c>
      <c r="BP3046" s="2"/>
      <c r="BQ3046" s="2" t="s">
        <v>108</v>
      </c>
      <c r="BR3046" s="2" t="s">
        <v>84</v>
      </c>
      <c r="BS3046" s="3">
        <v>42975</v>
      </c>
      <c r="BT3046" s="4">
        <v>0.35625000000000001</v>
      </c>
      <c r="BU3046" s="2" t="s">
        <v>3244</v>
      </c>
      <c r="BV3046" s="2" t="s">
        <v>95</v>
      </c>
      <c r="BW3046" s="2"/>
      <c r="BX3046" s="2"/>
      <c r="BY3046" s="2">
        <v>1200</v>
      </c>
      <c r="BZ3046" s="2"/>
      <c r="CA3046" s="2"/>
      <c r="CB3046" s="2"/>
      <c r="CC3046" s="2" t="s">
        <v>145</v>
      </c>
      <c r="CD3046" s="2">
        <v>2094</v>
      </c>
      <c r="CE3046" s="2" t="s">
        <v>104</v>
      </c>
      <c r="CF3046" s="5">
        <v>42976</v>
      </c>
      <c r="CG3046" s="2"/>
      <c r="CH3046" s="2"/>
      <c r="CI3046" s="2">
        <v>1</v>
      </c>
      <c r="CJ3046" s="2">
        <v>1</v>
      </c>
      <c r="CK3046" s="2">
        <v>22</v>
      </c>
      <c r="CL3046" s="2" t="s">
        <v>86</v>
      </c>
      <c r="CM3046" s="2"/>
    </row>
    <row r="3047" spans="1:91">
      <c r="A3047" s="2" t="s">
        <v>71</v>
      </c>
      <c r="B3047" s="2" t="s">
        <v>72</v>
      </c>
      <c r="C3047" s="2" t="s">
        <v>73</v>
      </c>
      <c r="D3047" s="2"/>
      <c r="E3047" s="2" t="str">
        <f>"FES1162571622"</f>
        <v>FES1162571622</v>
      </c>
      <c r="F3047" s="3">
        <v>42972</v>
      </c>
      <c r="G3047" s="2">
        <v>201802</v>
      </c>
      <c r="H3047" s="2" t="s">
        <v>74</v>
      </c>
      <c r="I3047" s="2" t="s">
        <v>75</v>
      </c>
      <c r="J3047" s="2" t="s">
        <v>76</v>
      </c>
      <c r="K3047" s="2" t="s">
        <v>77</v>
      </c>
      <c r="L3047" s="2" t="s">
        <v>149</v>
      </c>
      <c r="M3047" s="2" t="s">
        <v>150</v>
      </c>
      <c r="N3047" s="2" t="s">
        <v>3245</v>
      </c>
      <c r="O3047" s="2" t="s">
        <v>100</v>
      </c>
      <c r="P3047" s="2" t="str">
        <f>"2170587274                    "</f>
        <v xml:space="preserve">2170587274                    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4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1</v>
      </c>
      <c r="BI3047" s="2">
        <v>1.4</v>
      </c>
      <c r="BJ3047" s="2">
        <v>0.9</v>
      </c>
      <c r="BK3047" s="2">
        <v>1.5</v>
      </c>
      <c r="BL3047" s="2">
        <v>41.44</v>
      </c>
      <c r="BM3047" s="2">
        <v>5.8</v>
      </c>
      <c r="BN3047" s="2">
        <v>47.24</v>
      </c>
      <c r="BO3047" s="2">
        <v>47.24</v>
      </c>
      <c r="BP3047" s="2"/>
      <c r="BQ3047" s="2" t="s">
        <v>288</v>
      </c>
      <c r="BR3047" s="2" t="s">
        <v>84</v>
      </c>
      <c r="BS3047" s="3">
        <v>42975</v>
      </c>
      <c r="BT3047" s="4">
        <v>0.41666666666666669</v>
      </c>
      <c r="BU3047" s="2" t="s">
        <v>3246</v>
      </c>
      <c r="BV3047" s="2" t="s">
        <v>95</v>
      </c>
      <c r="BW3047" s="2"/>
      <c r="BX3047" s="2"/>
      <c r="BY3047" s="2">
        <v>4304.66</v>
      </c>
      <c r="BZ3047" s="2"/>
      <c r="CA3047" s="2" t="s">
        <v>148</v>
      </c>
      <c r="CB3047" s="2"/>
      <c r="CC3047" s="2" t="s">
        <v>150</v>
      </c>
      <c r="CD3047" s="2">
        <v>4052</v>
      </c>
      <c r="CE3047" s="2" t="s">
        <v>89</v>
      </c>
      <c r="CF3047" s="5">
        <v>42976</v>
      </c>
      <c r="CG3047" s="2"/>
      <c r="CH3047" s="2"/>
      <c r="CI3047" s="2">
        <v>1</v>
      </c>
      <c r="CJ3047" s="2">
        <v>1</v>
      </c>
      <c r="CK3047" s="2">
        <v>21</v>
      </c>
      <c r="CL3047" s="2" t="s">
        <v>86</v>
      </c>
      <c r="CM3047" s="2"/>
    </row>
    <row r="3048" spans="1:91">
      <c r="A3048" s="2" t="s">
        <v>71</v>
      </c>
      <c r="B3048" s="2" t="s">
        <v>72</v>
      </c>
      <c r="C3048" s="2" t="s">
        <v>73</v>
      </c>
      <c r="D3048" s="2"/>
      <c r="E3048" s="2" t="str">
        <f>"FES1162571611"</f>
        <v>FES1162571611</v>
      </c>
      <c r="F3048" s="3">
        <v>42972</v>
      </c>
      <c r="G3048" s="2">
        <v>201802</v>
      </c>
      <c r="H3048" s="2" t="s">
        <v>74</v>
      </c>
      <c r="I3048" s="2" t="s">
        <v>75</v>
      </c>
      <c r="J3048" s="2" t="s">
        <v>76</v>
      </c>
      <c r="K3048" s="2" t="s">
        <v>77</v>
      </c>
      <c r="L3048" s="2" t="s">
        <v>105</v>
      </c>
      <c r="M3048" s="2" t="s">
        <v>106</v>
      </c>
      <c r="N3048" s="2" t="s">
        <v>348</v>
      </c>
      <c r="O3048" s="2" t="s">
        <v>100</v>
      </c>
      <c r="P3048" s="2" t="str">
        <f>"2170587259                    "</f>
        <v xml:space="preserve">2170587259                    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4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1</v>
      </c>
      <c r="BI3048" s="2">
        <v>1</v>
      </c>
      <c r="BJ3048" s="2">
        <v>0.2</v>
      </c>
      <c r="BK3048" s="2">
        <v>1</v>
      </c>
      <c r="BL3048" s="2">
        <v>41.44</v>
      </c>
      <c r="BM3048" s="2">
        <v>5.8</v>
      </c>
      <c r="BN3048" s="2">
        <v>47.24</v>
      </c>
      <c r="BO3048" s="2">
        <v>47.24</v>
      </c>
      <c r="BP3048" s="2"/>
      <c r="BQ3048" s="2" t="s">
        <v>108</v>
      </c>
      <c r="BR3048" s="2" t="s">
        <v>84</v>
      </c>
      <c r="BS3048" s="3">
        <v>42976</v>
      </c>
      <c r="BT3048" s="4">
        <v>0.56111111111111112</v>
      </c>
      <c r="BU3048" s="2" t="s">
        <v>3247</v>
      </c>
      <c r="BV3048" s="2" t="s">
        <v>86</v>
      </c>
      <c r="BW3048" s="2" t="s">
        <v>110</v>
      </c>
      <c r="BX3048" s="2" t="s">
        <v>111</v>
      </c>
      <c r="BY3048" s="2">
        <v>1200</v>
      </c>
      <c r="BZ3048" s="2"/>
      <c r="CA3048" s="2" t="s">
        <v>350</v>
      </c>
      <c r="CB3048" s="2"/>
      <c r="CC3048" s="2" t="s">
        <v>106</v>
      </c>
      <c r="CD3048" s="2">
        <v>7945</v>
      </c>
      <c r="CE3048" s="2" t="s">
        <v>104</v>
      </c>
      <c r="CF3048" s="5">
        <v>42976</v>
      </c>
      <c r="CG3048" s="2"/>
      <c r="CH3048" s="2"/>
      <c r="CI3048" s="2">
        <v>1</v>
      </c>
      <c r="CJ3048" s="2">
        <v>2</v>
      </c>
      <c r="CK3048" s="2">
        <v>21</v>
      </c>
      <c r="CL3048" s="2" t="s">
        <v>86</v>
      </c>
      <c r="CM3048" s="2"/>
    </row>
    <row r="3049" spans="1:91">
      <c r="A3049" s="2" t="s">
        <v>71</v>
      </c>
      <c r="B3049" s="2" t="s">
        <v>72</v>
      </c>
      <c r="C3049" s="2" t="s">
        <v>73</v>
      </c>
      <c r="D3049" s="2"/>
      <c r="E3049" s="2" t="str">
        <f>"FES1162571627"</f>
        <v>FES1162571627</v>
      </c>
      <c r="F3049" s="3">
        <v>42972</v>
      </c>
      <c r="G3049" s="2">
        <v>201802</v>
      </c>
      <c r="H3049" s="2" t="s">
        <v>74</v>
      </c>
      <c r="I3049" s="2" t="s">
        <v>75</v>
      </c>
      <c r="J3049" s="2" t="s">
        <v>76</v>
      </c>
      <c r="K3049" s="2" t="s">
        <v>77</v>
      </c>
      <c r="L3049" s="2" t="s">
        <v>105</v>
      </c>
      <c r="M3049" s="2" t="s">
        <v>106</v>
      </c>
      <c r="N3049" s="2" t="s">
        <v>397</v>
      </c>
      <c r="O3049" s="2" t="s">
        <v>100</v>
      </c>
      <c r="P3049" s="2" t="str">
        <f>"2170587280                    "</f>
        <v xml:space="preserve">2170587280                    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16.010000000000002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1</v>
      </c>
      <c r="BI3049" s="2">
        <v>8</v>
      </c>
      <c r="BJ3049" s="2">
        <v>4.0999999999999996</v>
      </c>
      <c r="BK3049" s="2">
        <v>8</v>
      </c>
      <c r="BL3049" s="2">
        <v>165.77</v>
      </c>
      <c r="BM3049" s="2">
        <v>23.21</v>
      </c>
      <c r="BN3049" s="2">
        <v>188.98</v>
      </c>
      <c r="BO3049" s="2">
        <v>188.98</v>
      </c>
      <c r="BP3049" s="2"/>
      <c r="BQ3049" s="2" t="s">
        <v>83</v>
      </c>
      <c r="BR3049" s="2" t="s">
        <v>84</v>
      </c>
      <c r="BS3049" s="3">
        <v>42975</v>
      </c>
      <c r="BT3049" s="4">
        <v>0.34930555555555554</v>
      </c>
      <c r="BU3049" s="2" t="s">
        <v>2026</v>
      </c>
      <c r="BV3049" s="2" t="s">
        <v>95</v>
      </c>
      <c r="BW3049" s="2"/>
      <c r="BX3049" s="2"/>
      <c r="BY3049" s="2">
        <v>20358</v>
      </c>
      <c r="BZ3049" s="2"/>
      <c r="CA3049" s="2" t="s">
        <v>112</v>
      </c>
      <c r="CB3049" s="2"/>
      <c r="CC3049" s="2" t="s">
        <v>106</v>
      </c>
      <c r="CD3049" s="2">
        <v>7405</v>
      </c>
      <c r="CE3049" s="2" t="s">
        <v>89</v>
      </c>
      <c r="CF3049" s="5">
        <v>42976</v>
      </c>
      <c r="CG3049" s="2"/>
      <c r="CH3049" s="2"/>
      <c r="CI3049" s="2">
        <v>1</v>
      </c>
      <c r="CJ3049" s="2">
        <v>1</v>
      </c>
      <c r="CK3049" s="2">
        <v>21</v>
      </c>
      <c r="CL3049" s="2" t="s">
        <v>86</v>
      </c>
      <c r="CM3049" s="2"/>
    </row>
    <row r="3050" spans="1:91">
      <c r="A3050" s="2" t="s">
        <v>71</v>
      </c>
      <c r="B3050" s="2" t="s">
        <v>72</v>
      </c>
      <c r="C3050" s="2" t="s">
        <v>73</v>
      </c>
      <c r="D3050" s="2"/>
      <c r="E3050" s="2" t="str">
        <f>"FES1162571565"</f>
        <v>FES1162571565</v>
      </c>
      <c r="F3050" s="3">
        <v>42972</v>
      </c>
      <c r="G3050" s="2">
        <v>201802</v>
      </c>
      <c r="H3050" s="2" t="s">
        <v>74</v>
      </c>
      <c r="I3050" s="2" t="s">
        <v>75</v>
      </c>
      <c r="J3050" s="2" t="s">
        <v>76</v>
      </c>
      <c r="K3050" s="2" t="s">
        <v>77</v>
      </c>
      <c r="L3050" s="2" t="s">
        <v>362</v>
      </c>
      <c r="M3050" s="2" t="s">
        <v>363</v>
      </c>
      <c r="N3050" s="2" t="s">
        <v>936</v>
      </c>
      <c r="O3050" s="2" t="s">
        <v>100</v>
      </c>
      <c r="P3050" s="2" t="str">
        <f>"2170587212                    "</f>
        <v xml:space="preserve">2170587212                    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4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1</v>
      </c>
      <c r="BI3050" s="2">
        <v>1</v>
      </c>
      <c r="BJ3050" s="2">
        <v>0.2</v>
      </c>
      <c r="BK3050" s="2">
        <v>1</v>
      </c>
      <c r="BL3050" s="2">
        <v>41.44</v>
      </c>
      <c r="BM3050" s="2">
        <v>5.8</v>
      </c>
      <c r="BN3050" s="2">
        <v>47.24</v>
      </c>
      <c r="BO3050" s="2">
        <v>47.24</v>
      </c>
      <c r="BP3050" s="2"/>
      <c r="BQ3050" s="2" t="s">
        <v>288</v>
      </c>
      <c r="BR3050" s="2" t="s">
        <v>84</v>
      </c>
      <c r="BS3050" s="3">
        <v>42975</v>
      </c>
      <c r="BT3050" s="4">
        <v>0.3611111111111111</v>
      </c>
      <c r="BU3050" s="2" t="s">
        <v>1755</v>
      </c>
      <c r="BV3050" s="2" t="s">
        <v>95</v>
      </c>
      <c r="BW3050" s="2"/>
      <c r="BX3050" s="2"/>
      <c r="BY3050" s="2">
        <v>1200</v>
      </c>
      <c r="BZ3050" s="2"/>
      <c r="CA3050" s="2" t="s">
        <v>379</v>
      </c>
      <c r="CB3050" s="2"/>
      <c r="CC3050" s="2" t="s">
        <v>363</v>
      </c>
      <c r="CD3050" s="2">
        <v>3200</v>
      </c>
      <c r="CE3050" s="2" t="s">
        <v>104</v>
      </c>
      <c r="CF3050" s="5">
        <v>42976</v>
      </c>
      <c r="CG3050" s="2"/>
      <c r="CH3050" s="2"/>
      <c r="CI3050" s="2">
        <v>1</v>
      </c>
      <c r="CJ3050" s="2">
        <v>1</v>
      </c>
      <c r="CK3050" s="2">
        <v>21</v>
      </c>
      <c r="CL3050" s="2" t="s">
        <v>86</v>
      </c>
      <c r="CM3050" s="2"/>
    </row>
    <row r="3051" spans="1:91">
      <c r="A3051" s="2" t="s">
        <v>71</v>
      </c>
      <c r="B3051" s="2" t="s">
        <v>72</v>
      </c>
      <c r="C3051" s="2" t="s">
        <v>73</v>
      </c>
      <c r="D3051" s="2"/>
      <c r="E3051" s="2" t="str">
        <f>"FES1162571584"</f>
        <v>FES1162571584</v>
      </c>
      <c r="F3051" s="3">
        <v>42972</v>
      </c>
      <c r="G3051" s="2">
        <v>201802</v>
      </c>
      <c r="H3051" s="2" t="s">
        <v>74</v>
      </c>
      <c r="I3051" s="2" t="s">
        <v>75</v>
      </c>
      <c r="J3051" s="2" t="s">
        <v>76</v>
      </c>
      <c r="K3051" s="2" t="s">
        <v>77</v>
      </c>
      <c r="L3051" s="2" t="s">
        <v>144</v>
      </c>
      <c r="M3051" s="2" t="s">
        <v>145</v>
      </c>
      <c r="N3051" s="2" t="s">
        <v>1578</v>
      </c>
      <c r="O3051" s="2" t="s">
        <v>100</v>
      </c>
      <c r="P3051" s="2" t="str">
        <f>"2170587228                    "</f>
        <v xml:space="preserve">2170587228                    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3.13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1</v>
      </c>
      <c r="BI3051" s="2">
        <v>1</v>
      </c>
      <c r="BJ3051" s="2">
        <v>0.2</v>
      </c>
      <c r="BK3051" s="2">
        <v>1</v>
      </c>
      <c r="BL3051" s="2">
        <v>32.380000000000003</v>
      </c>
      <c r="BM3051" s="2">
        <v>4.53</v>
      </c>
      <c r="BN3051" s="2">
        <v>36.909999999999997</v>
      </c>
      <c r="BO3051" s="2">
        <v>36.909999999999997</v>
      </c>
      <c r="BP3051" s="2"/>
      <c r="BQ3051" s="2" t="s">
        <v>108</v>
      </c>
      <c r="BR3051" s="2" t="s">
        <v>84</v>
      </c>
      <c r="BS3051" s="3">
        <v>42975</v>
      </c>
      <c r="BT3051" s="4">
        <v>0.3833333333333333</v>
      </c>
      <c r="BU3051" s="2" t="s">
        <v>1754</v>
      </c>
      <c r="BV3051" s="2" t="s">
        <v>95</v>
      </c>
      <c r="BW3051" s="2"/>
      <c r="BX3051" s="2"/>
      <c r="BY3051" s="2">
        <v>1200</v>
      </c>
      <c r="BZ3051" s="2"/>
      <c r="CA3051" s="2"/>
      <c r="CB3051" s="2"/>
      <c r="CC3051" s="2" t="s">
        <v>145</v>
      </c>
      <c r="CD3051" s="2">
        <v>2197</v>
      </c>
      <c r="CE3051" s="2" t="s">
        <v>104</v>
      </c>
      <c r="CF3051" s="5">
        <v>42976</v>
      </c>
      <c r="CG3051" s="2"/>
      <c r="CH3051" s="2"/>
      <c r="CI3051" s="2">
        <v>1</v>
      </c>
      <c r="CJ3051" s="2">
        <v>1</v>
      </c>
      <c r="CK3051" s="2">
        <v>22</v>
      </c>
      <c r="CL3051" s="2" t="s">
        <v>86</v>
      </c>
      <c r="CM3051" s="2"/>
    </row>
    <row r="3052" spans="1:91">
      <c r="A3052" s="2" t="s">
        <v>71</v>
      </c>
      <c r="B3052" s="2" t="s">
        <v>72</v>
      </c>
      <c r="C3052" s="2" t="s">
        <v>73</v>
      </c>
      <c r="D3052" s="2"/>
      <c r="E3052" s="2" t="str">
        <f>"FES1162571586"</f>
        <v>FES1162571586</v>
      </c>
      <c r="F3052" s="3">
        <v>42972</v>
      </c>
      <c r="G3052" s="2">
        <v>201802</v>
      </c>
      <c r="H3052" s="2" t="s">
        <v>74</v>
      </c>
      <c r="I3052" s="2" t="s">
        <v>75</v>
      </c>
      <c r="J3052" s="2" t="s">
        <v>76</v>
      </c>
      <c r="K3052" s="2" t="s">
        <v>77</v>
      </c>
      <c r="L3052" s="2" t="s">
        <v>417</v>
      </c>
      <c r="M3052" s="2" t="s">
        <v>417</v>
      </c>
      <c r="N3052" s="2" t="s">
        <v>1309</v>
      </c>
      <c r="O3052" s="2" t="s">
        <v>100</v>
      </c>
      <c r="P3052" s="2" t="str">
        <f>"2170587232                    "</f>
        <v xml:space="preserve">2170587232                    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4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0</v>
      </c>
      <c r="BD3052" s="2">
        <v>0</v>
      </c>
      <c r="BE3052" s="2">
        <v>0</v>
      </c>
      <c r="BF3052" s="2">
        <v>0</v>
      </c>
      <c r="BG3052" s="2">
        <v>0</v>
      </c>
      <c r="BH3052" s="2">
        <v>1</v>
      </c>
      <c r="BI3052" s="2">
        <v>1.2</v>
      </c>
      <c r="BJ3052" s="2">
        <v>1</v>
      </c>
      <c r="BK3052" s="2">
        <v>1.5</v>
      </c>
      <c r="BL3052" s="2">
        <v>41.44</v>
      </c>
      <c r="BM3052" s="2">
        <v>5.8</v>
      </c>
      <c r="BN3052" s="2">
        <v>47.24</v>
      </c>
      <c r="BO3052" s="2">
        <v>47.24</v>
      </c>
      <c r="BP3052" s="2"/>
      <c r="BQ3052" s="2" t="s">
        <v>83</v>
      </c>
      <c r="BR3052" s="2" t="s">
        <v>84</v>
      </c>
      <c r="BS3052" s="3">
        <v>42975</v>
      </c>
      <c r="BT3052" s="4">
        <v>0.51111111111111118</v>
      </c>
      <c r="BU3052" s="2" t="s">
        <v>3248</v>
      </c>
      <c r="BV3052" s="2" t="s">
        <v>95</v>
      </c>
      <c r="BW3052" s="2"/>
      <c r="BX3052" s="2"/>
      <c r="BY3052" s="2">
        <v>5039.6499999999996</v>
      </c>
      <c r="BZ3052" s="2"/>
      <c r="CA3052" s="2" t="s">
        <v>460</v>
      </c>
      <c r="CB3052" s="2"/>
      <c r="CC3052" s="2" t="s">
        <v>417</v>
      </c>
      <c r="CD3052" s="2">
        <v>7646</v>
      </c>
      <c r="CE3052" s="2" t="s">
        <v>89</v>
      </c>
      <c r="CF3052" s="5">
        <v>42976</v>
      </c>
      <c r="CG3052" s="2"/>
      <c r="CH3052" s="2"/>
      <c r="CI3052" s="2">
        <v>1</v>
      </c>
      <c r="CJ3052" s="2">
        <v>1</v>
      </c>
      <c r="CK3052" s="2">
        <v>21</v>
      </c>
      <c r="CL3052" s="2" t="s">
        <v>86</v>
      </c>
      <c r="CM3052" s="2"/>
    </row>
    <row r="3053" spans="1:91">
      <c r="A3053" s="2" t="s">
        <v>71</v>
      </c>
      <c r="B3053" s="2" t="s">
        <v>72</v>
      </c>
      <c r="C3053" s="2" t="s">
        <v>73</v>
      </c>
      <c r="D3053" s="2"/>
      <c r="E3053" s="2" t="str">
        <f>"FES1162571624"</f>
        <v>FES1162571624</v>
      </c>
      <c r="F3053" s="3">
        <v>42972</v>
      </c>
      <c r="G3053" s="2">
        <v>201802</v>
      </c>
      <c r="H3053" s="2" t="s">
        <v>74</v>
      </c>
      <c r="I3053" s="2" t="s">
        <v>75</v>
      </c>
      <c r="J3053" s="2" t="s">
        <v>76</v>
      </c>
      <c r="K3053" s="2" t="s">
        <v>77</v>
      </c>
      <c r="L3053" s="2" t="s">
        <v>539</v>
      </c>
      <c r="M3053" s="2" t="s">
        <v>540</v>
      </c>
      <c r="N3053" s="2" t="s">
        <v>1633</v>
      </c>
      <c r="O3053" s="2" t="s">
        <v>100</v>
      </c>
      <c r="P3053" s="2" t="str">
        <f>"2170587182                    "</f>
        <v xml:space="preserve">2170587182                    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3.13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1</v>
      </c>
      <c r="BI3053" s="2">
        <v>1</v>
      </c>
      <c r="BJ3053" s="2">
        <v>0.2</v>
      </c>
      <c r="BK3053" s="2">
        <v>1</v>
      </c>
      <c r="BL3053" s="2">
        <v>32.380000000000003</v>
      </c>
      <c r="BM3053" s="2">
        <v>4.53</v>
      </c>
      <c r="BN3053" s="2">
        <v>36.909999999999997</v>
      </c>
      <c r="BO3053" s="2">
        <v>36.909999999999997</v>
      </c>
      <c r="BP3053" s="2"/>
      <c r="BQ3053" s="2" t="s">
        <v>288</v>
      </c>
      <c r="BR3053" s="2" t="s">
        <v>84</v>
      </c>
      <c r="BS3053" s="3">
        <v>42975</v>
      </c>
      <c r="BT3053" s="4">
        <v>0.41666666666666669</v>
      </c>
      <c r="BU3053" s="2" t="s">
        <v>3249</v>
      </c>
      <c r="BV3053" s="2" t="s">
        <v>95</v>
      </c>
      <c r="BW3053" s="2"/>
      <c r="BX3053" s="2"/>
      <c r="BY3053" s="2">
        <v>1200</v>
      </c>
      <c r="BZ3053" s="2"/>
      <c r="CA3053" s="2" t="s">
        <v>148</v>
      </c>
      <c r="CB3053" s="2"/>
      <c r="CC3053" s="2" t="s">
        <v>540</v>
      </c>
      <c r="CD3053" s="2">
        <v>2170</v>
      </c>
      <c r="CE3053" s="2" t="s">
        <v>104</v>
      </c>
      <c r="CF3053" s="5">
        <v>42976</v>
      </c>
      <c r="CG3053" s="2"/>
      <c r="CH3053" s="2"/>
      <c r="CI3053" s="2">
        <v>1</v>
      </c>
      <c r="CJ3053" s="2">
        <v>1</v>
      </c>
      <c r="CK3053" s="2">
        <v>22</v>
      </c>
      <c r="CL3053" s="2" t="s">
        <v>86</v>
      </c>
      <c r="CM3053" s="2"/>
    </row>
    <row r="3054" spans="1:91">
      <c r="A3054" s="2" t="s">
        <v>71</v>
      </c>
      <c r="B3054" s="2" t="s">
        <v>72</v>
      </c>
      <c r="C3054" s="2" t="s">
        <v>73</v>
      </c>
      <c r="D3054" s="2"/>
      <c r="E3054" s="2" t="str">
        <f>"FES1162571480"</f>
        <v>FES1162571480</v>
      </c>
      <c r="F3054" s="3">
        <v>42972</v>
      </c>
      <c r="G3054" s="2">
        <v>201802</v>
      </c>
      <c r="H3054" s="2" t="s">
        <v>74</v>
      </c>
      <c r="I3054" s="2" t="s">
        <v>75</v>
      </c>
      <c r="J3054" s="2" t="s">
        <v>76</v>
      </c>
      <c r="K3054" s="2" t="s">
        <v>77</v>
      </c>
      <c r="L3054" s="2" t="s">
        <v>105</v>
      </c>
      <c r="M3054" s="2" t="s">
        <v>106</v>
      </c>
      <c r="N3054" s="2" t="s">
        <v>107</v>
      </c>
      <c r="O3054" s="2" t="s">
        <v>100</v>
      </c>
      <c r="P3054" s="2" t="str">
        <f>"2170587107                    "</f>
        <v xml:space="preserve">2170587107                    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11.01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2</v>
      </c>
      <c r="BI3054" s="2">
        <v>5.4</v>
      </c>
      <c r="BJ3054" s="2">
        <v>2.9</v>
      </c>
      <c r="BK3054" s="2">
        <v>5.5</v>
      </c>
      <c r="BL3054" s="2">
        <v>113.97</v>
      </c>
      <c r="BM3054" s="2">
        <v>15.96</v>
      </c>
      <c r="BN3054" s="2">
        <v>129.93</v>
      </c>
      <c r="BO3054" s="2">
        <v>129.93</v>
      </c>
      <c r="BP3054" s="2"/>
      <c r="BQ3054" s="2" t="s">
        <v>108</v>
      </c>
      <c r="BR3054" s="2" t="s">
        <v>84</v>
      </c>
      <c r="BS3054" s="3">
        <v>42975</v>
      </c>
      <c r="BT3054" s="4">
        <v>0.36805555555555558</v>
      </c>
      <c r="BU3054" s="2" t="s">
        <v>1503</v>
      </c>
      <c r="BV3054" s="2" t="s">
        <v>95</v>
      </c>
      <c r="BW3054" s="2"/>
      <c r="BX3054" s="2"/>
      <c r="BY3054" s="2">
        <v>14558.13</v>
      </c>
      <c r="BZ3054" s="2"/>
      <c r="CA3054" s="2" t="s">
        <v>112</v>
      </c>
      <c r="CB3054" s="2"/>
      <c r="CC3054" s="2" t="s">
        <v>106</v>
      </c>
      <c r="CD3054" s="2">
        <v>7405</v>
      </c>
      <c r="CE3054" s="2" t="s">
        <v>89</v>
      </c>
      <c r="CF3054" s="5">
        <v>42976</v>
      </c>
      <c r="CG3054" s="2"/>
      <c r="CH3054" s="2"/>
      <c r="CI3054" s="2">
        <v>1</v>
      </c>
      <c r="CJ3054" s="2">
        <v>1</v>
      </c>
      <c r="CK3054" s="2">
        <v>21</v>
      </c>
      <c r="CL3054" s="2" t="s">
        <v>86</v>
      </c>
      <c r="CM3054" s="2"/>
    </row>
    <row r="3055" spans="1:91">
      <c r="A3055" s="2" t="s">
        <v>71</v>
      </c>
      <c r="B3055" s="2" t="s">
        <v>72</v>
      </c>
      <c r="C3055" s="2" t="s">
        <v>73</v>
      </c>
      <c r="D3055" s="2"/>
      <c r="E3055" s="2" t="str">
        <f>"FES1162571616"</f>
        <v>FES1162571616</v>
      </c>
      <c r="F3055" s="3">
        <v>42972</v>
      </c>
      <c r="G3055" s="2">
        <v>201802</v>
      </c>
      <c r="H3055" s="2" t="s">
        <v>74</v>
      </c>
      <c r="I3055" s="2" t="s">
        <v>75</v>
      </c>
      <c r="J3055" s="2" t="s">
        <v>76</v>
      </c>
      <c r="K3055" s="2" t="s">
        <v>77</v>
      </c>
      <c r="L3055" s="2" t="s">
        <v>539</v>
      </c>
      <c r="M3055" s="2" t="s">
        <v>540</v>
      </c>
      <c r="N3055" s="2" t="s">
        <v>1367</v>
      </c>
      <c r="O3055" s="2" t="s">
        <v>100</v>
      </c>
      <c r="P3055" s="2" t="str">
        <f>"2170587269                    "</f>
        <v xml:space="preserve">2170587269                    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3.13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1</v>
      </c>
      <c r="BI3055" s="2">
        <v>1</v>
      </c>
      <c r="BJ3055" s="2">
        <v>0.2</v>
      </c>
      <c r="BK3055" s="2">
        <v>1</v>
      </c>
      <c r="BL3055" s="2">
        <v>32.380000000000003</v>
      </c>
      <c r="BM3055" s="2">
        <v>4.53</v>
      </c>
      <c r="BN3055" s="2">
        <v>36.909999999999997</v>
      </c>
      <c r="BO3055" s="2">
        <v>36.909999999999997</v>
      </c>
      <c r="BP3055" s="2"/>
      <c r="BQ3055" s="2" t="s">
        <v>288</v>
      </c>
      <c r="BR3055" s="2" t="s">
        <v>84</v>
      </c>
      <c r="BS3055" s="3">
        <v>42975</v>
      </c>
      <c r="BT3055" s="4">
        <v>0.3298611111111111</v>
      </c>
      <c r="BU3055" s="2" t="s">
        <v>3250</v>
      </c>
      <c r="BV3055" s="2" t="s">
        <v>95</v>
      </c>
      <c r="BW3055" s="2"/>
      <c r="BX3055" s="2"/>
      <c r="BY3055" s="2">
        <v>1200</v>
      </c>
      <c r="BZ3055" s="2"/>
      <c r="CA3055" s="2"/>
      <c r="CB3055" s="2"/>
      <c r="CC3055" s="2" t="s">
        <v>540</v>
      </c>
      <c r="CD3055" s="2">
        <v>2194</v>
      </c>
      <c r="CE3055" s="2" t="s">
        <v>104</v>
      </c>
      <c r="CF3055" s="5">
        <v>42976</v>
      </c>
      <c r="CG3055" s="2"/>
      <c r="CH3055" s="2"/>
      <c r="CI3055" s="2">
        <v>1</v>
      </c>
      <c r="CJ3055" s="2">
        <v>1</v>
      </c>
      <c r="CK3055" s="2">
        <v>22</v>
      </c>
      <c r="CL3055" s="2" t="s">
        <v>86</v>
      </c>
      <c r="CM3055" s="2"/>
    </row>
    <row r="3056" spans="1:91">
      <c r="A3056" s="2" t="s">
        <v>71</v>
      </c>
      <c r="B3056" s="2" t="s">
        <v>72</v>
      </c>
      <c r="C3056" s="2" t="s">
        <v>73</v>
      </c>
      <c r="D3056" s="2"/>
      <c r="E3056" s="2" t="str">
        <f>"009935791639"</f>
        <v>009935791639</v>
      </c>
      <c r="F3056" s="3">
        <v>42972</v>
      </c>
      <c r="G3056" s="2">
        <v>201802</v>
      </c>
      <c r="H3056" s="2" t="s">
        <v>74</v>
      </c>
      <c r="I3056" s="2" t="s">
        <v>75</v>
      </c>
      <c r="J3056" s="2" t="s">
        <v>76</v>
      </c>
      <c r="K3056" s="2" t="s">
        <v>77</v>
      </c>
      <c r="L3056" s="2" t="s">
        <v>268</v>
      </c>
      <c r="M3056" s="2" t="s">
        <v>269</v>
      </c>
      <c r="N3056" s="2" t="s">
        <v>3251</v>
      </c>
      <c r="O3056" s="2" t="s">
        <v>100</v>
      </c>
      <c r="P3056" s="2" t="str">
        <f>"2170572202 1162557645         "</f>
        <v xml:space="preserve">2170572202 1162557645         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4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1</v>
      </c>
      <c r="BI3056" s="2">
        <v>1</v>
      </c>
      <c r="BJ3056" s="2">
        <v>0.2</v>
      </c>
      <c r="BK3056" s="2">
        <v>1</v>
      </c>
      <c r="BL3056" s="2">
        <v>41.44</v>
      </c>
      <c r="BM3056" s="2">
        <v>5.8</v>
      </c>
      <c r="BN3056" s="2">
        <v>47.24</v>
      </c>
      <c r="BO3056" s="2">
        <v>47.24</v>
      </c>
      <c r="BP3056" s="2" t="s">
        <v>3242</v>
      </c>
      <c r="BQ3056" s="2" t="s">
        <v>3252</v>
      </c>
      <c r="BR3056" s="2" t="s">
        <v>84</v>
      </c>
      <c r="BS3056" s="3">
        <v>42975</v>
      </c>
      <c r="BT3056" s="4">
        <v>0.4236111111111111</v>
      </c>
      <c r="BU3056" s="2" t="s">
        <v>1287</v>
      </c>
      <c r="BV3056" s="2" t="s">
        <v>95</v>
      </c>
      <c r="BW3056" s="2"/>
      <c r="BX3056" s="2"/>
      <c r="BY3056" s="2">
        <v>1200</v>
      </c>
      <c r="BZ3056" s="2"/>
      <c r="CA3056" s="2"/>
      <c r="CB3056" s="2"/>
      <c r="CC3056" s="2" t="s">
        <v>269</v>
      </c>
      <c r="CD3056" s="2">
        <v>200</v>
      </c>
      <c r="CE3056" s="2" t="s">
        <v>104</v>
      </c>
      <c r="CF3056" s="2"/>
      <c r="CG3056" s="2"/>
      <c r="CH3056" s="2"/>
      <c r="CI3056" s="2">
        <v>1</v>
      </c>
      <c r="CJ3056" s="2">
        <v>1</v>
      </c>
      <c r="CK3056" s="2">
        <v>21</v>
      </c>
      <c r="CL3056" s="2" t="s">
        <v>86</v>
      </c>
      <c r="CM3056" s="2"/>
    </row>
    <row r="3057" spans="1:91">
      <c r="A3057" s="2" t="s">
        <v>71</v>
      </c>
      <c r="B3057" s="2" t="s">
        <v>72</v>
      </c>
      <c r="C3057" s="2" t="s">
        <v>73</v>
      </c>
      <c r="D3057" s="2"/>
      <c r="E3057" s="2" t="str">
        <f>"FES1162571482"</f>
        <v>FES1162571482</v>
      </c>
      <c r="F3057" s="3">
        <v>42972</v>
      </c>
      <c r="G3057" s="2">
        <v>201802</v>
      </c>
      <c r="H3057" s="2" t="s">
        <v>74</v>
      </c>
      <c r="I3057" s="2" t="s">
        <v>75</v>
      </c>
      <c r="J3057" s="2" t="s">
        <v>76</v>
      </c>
      <c r="K3057" s="2" t="s">
        <v>77</v>
      </c>
      <c r="L3057" s="2" t="s">
        <v>105</v>
      </c>
      <c r="M3057" s="2" t="s">
        <v>106</v>
      </c>
      <c r="N3057" s="2" t="s">
        <v>1576</v>
      </c>
      <c r="O3057" s="2" t="s">
        <v>100</v>
      </c>
      <c r="P3057" s="2" t="str">
        <f>"2170587109                    "</f>
        <v xml:space="preserve">2170587109                    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4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1</v>
      </c>
      <c r="BI3057" s="2">
        <v>1</v>
      </c>
      <c r="BJ3057" s="2">
        <v>0.2</v>
      </c>
      <c r="BK3057" s="2">
        <v>1</v>
      </c>
      <c r="BL3057" s="2">
        <v>41.44</v>
      </c>
      <c r="BM3057" s="2">
        <v>5.8</v>
      </c>
      <c r="BN3057" s="2">
        <v>47.24</v>
      </c>
      <c r="BO3057" s="2">
        <v>47.24</v>
      </c>
      <c r="BP3057" s="2"/>
      <c r="BQ3057" s="2" t="s">
        <v>83</v>
      </c>
      <c r="BR3057" s="2" t="s">
        <v>84</v>
      </c>
      <c r="BS3057" s="3">
        <v>42975</v>
      </c>
      <c r="BT3057" s="4">
        <v>0.41597222222222219</v>
      </c>
      <c r="BU3057" s="2" t="s">
        <v>2888</v>
      </c>
      <c r="BV3057" s="2" t="s">
        <v>95</v>
      </c>
      <c r="BW3057" s="2"/>
      <c r="BX3057" s="2"/>
      <c r="BY3057" s="2">
        <v>1200</v>
      </c>
      <c r="BZ3057" s="2"/>
      <c r="CA3057" s="2" t="s">
        <v>869</v>
      </c>
      <c r="CB3057" s="2"/>
      <c r="CC3057" s="2" t="s">
        <v>106</v>
      </c>
      <c r="CD3057" s="2">
        <v>7460</v>
      </c>
      <c r="CE3057" s="2" t="s">
        <v>104</v>
      </c>
      <c r="CF3057" s="5">
        <v>42976</v>
      </c>
      <c r="CG3057" s="2"/>
      <c r="CH3057" s="2"/>
      <c r="CI3057" s="2">
        <v>1</v>
      </c>
      <c r="CJ3057" s="2">
        <v>1</v>
      </c>
      <c r="CK3057" s="2">
        <v>21</v>
      </c>
      <c r="CL3057" s="2" t="s">
        <v>86</v>
      </c>
      <c r="CM3057" s="2"/>
    </row>
    <row r="3058" spans="1:91">
      <c r="A3058" s="2" t="s">
        <v>71</v>
      </c>
      <c r="B3058" s="2" t="s">
        <v>72</v>
      </c>
      <c r="C3058" s="2" t="s">
        <v>73</v>
      </c>
      <c r="D3058" s="2"/>
      <c r="E3058" s="2" t="str">
        <f>"009935791640"</f>
        <v>009935791640</v>
      </c>
      <c r="F3058" s="3">
        <v>42972</v>
      </c>
      <c r="G3058" s="2">
        <v>201802</v>
      </c>
      <c r="H3058" s="2" t="s">
        <v>74</v>
      </c>
      <c r="I3058" s="2" t="s">
        <v>75</v>
      </c>
      <c r="J3058" s="2" t="s">
        <v>76</v>
      </c>
      <c r="K3058" s="2" t="s">
        <v>77</v>
      </c>
      <c r="L3058" s="2" t="s">
        <v>149</v>
      </c>
      <c r="M3058" s="2" t="s">
        <v>150</v>
      </c>
      <c r="N3058" s="2" t="s">
        <v>3253</v>
      </c>
      <c r="O3058" s="2" t="s">
        <v>100</v>
      </c>
      <c r="P3058" s="2" t="str">
        <f>"VILLY MHLAHLO                 "</f>
        <v xml:space="preserve">VILLY MHLAHLO                 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4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1</v>
      </c>
      <c r="BI3058" s="2">
        <v>1</v>
      </c>
      <c r="BJ3058" s="2">
        <v>0.2</v>
      </c>
      <c r="BK3058" s="2">
        <v>1</v>
      </c>
      <c r="BL3058" s="2">
        <v>41.44</v>
      </c>
      <c r="BM3058" s="2">
        <v>5.8</v>
      </c>
      <c r="BN3058" s="2">
        <v>47.24</v>
      </c>
      <c r="BO3058" s="2">
        <v>47.24</v>
      </c>
      <c r="BP3058" s="2"/>
      <c r="BQ3058" s="2" t="s">
        <v>3254</v>
      </c>
      <c r="BR3058" s="2" t="s">
        <v>84</v>
      </c>
      <c r="BS3058" s="3">
        <v>42975</v>
      </c>
      <c r="BT3058" s="4">
        <v>0.53541666666666665</v>
      </c>
      <c r="BU3058" s="2" t="s">
        <v>2341</v>
      </c>
      <c r="BV3058" s="2" t="s">
        <v>95</v>
      </c>
      <c r="BW3058" s="2"/>
      <c r="BX3058" s="2"/>
      <c r="BY3058" s="2">
        <v>1200</v>
      </c>
      <c r="BZ3058" s="2"/>
      <c r="CA3058" s="2" t="s">
        <v>3255</v>
      </c>
      <c r="CB3058" s="2"/>
      <c r="CC3058" s="2" t="s">
        <v>150</v>
      </c>
      <c r="CD3058" s="2">
        <v>4031</v>
      </c>
      <c r="CE3058" s="2" t="s">
        <v>104</v>
      </c>
      <c r="CF3058" s="5">
        <v>42975</v>
      </c>
      <c r="CG3058" s="2"/>
      <c r="CH3058" s="2"/>
      <c r="CI3058" s="2">
        <v>1</v>
      </c>
      <c r="CJ3058" s="2">
        <v>1</v>
      </c>
      <c r="CK3058" s="2">
        <v>21</v>
      </c>
      <c r="CL3058" s="2" t="s">
        <v>86</v>
      </c>
      <c r="CM3058" s="2"/>
    </row>
    <row r="3059" spans="1:91">
      <c r="A3059" s="2" t="s">
        <v>71</v>
      </c>
      <c r="B3059" s="2" t="s">
        <v>72</v>
      </c>
      <c r="C3059" s="2" t="s">
        <v>73</v>
      </c>
      <c r="D3059" s="2"/>
      <c r="E3059" s="2" t="str">
        <f>"FES1162571441"</f>
        <v>FES1162571441</v>
      </c>
      <c r="F3059" s="3">
        <v>42972</v>
      </c>
      <c r="G3059" s="2">
        <v>201802</v>
      </c>
      <c r="H3059" s="2" t="s">
        <v>74</v>
      </c>
      <c r="I3059" s="2" t="s">
        <v>75</v>
      </c>
      <c r="J3059" s="2" t="s">
        <v>76</v>
      </c>
      <c r="K3059" s="2" t="s">
        <v>77</v>
      </c>
      <c r="L3059" s="2" t="s">
        <v>74</v>
      </c>
      <c r="M3059" s="2" t="s">
        <v>75</v>
      </c>
      <c r="N3059" s="2" t="s">
        <v>821</v>
      </c>
      <c r="O3059" s="2" t="s">
        <v>100</v>
      </c>
      <c r="P3059" s="2" t="str">
        <f>"2170586641                    "</f>
        <v xml:space="preserve">2170586641                    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3.13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1</v>
      </c>
      <c r="BI3059" s="2">
        <v>2.9</v>
      </c>
      <c r="BJ3059" s="2">
        <v>4.0999999999999996</v>
      </c>
      <c r="BK3059" s="2">
        <v>5</v>
      </c>
      <c r="BL3059" s="2">
        <v>32.380000000000003</v>
      </c>
      <c r="BM3059" s="2">
        <v>4.53</v>
      </c>
      <c r="BN3059" s="2">
        <v>36.909999999999997</v>
      </c>
      <c r="BO3059" s="2">
        <v>36.909999999999997</v>
      </c>
      <c r="BP3059" s="2"/>
      <c r="BQ3059" s="2" t="s">
        <v>83</v>
      </c>
      <c r="BR3059" s="2" t="s">
        <v>84</v>
      </c>
      <c r="BS3059" s="3">
        <v>42975</v>
      </c>
      <c r="BT3059" s="4">
        <v>0.4368055555555555</v>
      </c>
      <c r="BU3059" s="2" t="s">
        <v>1517</v>
      </c>
      <c r="BV3059" s="2" t="s">
        <v>95</v>
      </c>
      <c r="BW3059" s="2"/>
      <c r="BX3059" s="2"/>
      <c r="BY3059" s="2">
        <v>20369.759999999998</v>
      </c>
      <c r="BZ3059" s="2"/>
      <c r="CA3059" s="2" t="s">
        <v>194</v>
      </c>
      <c r="CB3059" s="2"/>
      <c r="CC3059" s="2" t="s">
        <v>75</v>
      </c>
      <c r="CD3059" s="2">
        <v>1665</v>
      </c>
      <c r="CE3059" s="2" t="s">
        <v>89</v>
      </c>
      <c r="CF3059" s="5">
        <v>42976</v>
      </c>
      <c r="CG3059" s="2"/>
      <c r="CH3059" s="2"/>
      <c r="CI3059" s="2">
        <v>1</v>
      </c>
      <c r="CJ3059" s="2">
        <v>1</v>
      </c>
      <c r="CK3059" s="2">
        <v>22</v>
      </c>
      <c r="CL3059" s="2" t="s">
        <v>86</v>
      </c>
      <c r="CM3059" s="2"/>
    </row>
    <row r="3060" spans="1:91">
      <c r="A3060" s="2" t="s">
        <v>71</v>
      </c>
      <c r="B3060" s="2" t="s">
        <v>72</v>
      </c>
      <c r="C3060" s="2" t="s">
        <v>73</v>
      </c>
      <c r="D3060" s="2"/>
      <c r="E3060" s="2" t="str">
        <f>"FES1162571522"</f>
        <v>FES1162571522</v>
      </c>
      <c r="F3060" s="3">
        <v>42972</v>
      </c>
      <c r="G3060" s="2">
        <v>201802</v>
      </c>
      <c r="H3060" s="2" t="s">
        <v>74</v>
      </c>
      <c r="I3060" s="2" t="s">
        <v>75</v>
      </c>
      <c r="J3060" s="2" t="s">
        <v>76</v>
      </c>
      <c r="K3060" s="2" t="s">
        <v>77</v>
      </c>
      <c r="L3060" s="2" t="s">
        <v>144</v>
      </c>
      <c r="M3060" s="2" t="s">
        <v>145</v>
      </c>
      <c r="N3060" s="2" t="s">
        <v>1578</v>
      </c>
      <c r="O3060" s="2" t="s">
        <v>100</v>
      </c>
      <c r="P3060" s="2" t="str">
        <f>"2170586728                    "</f>
        <v xml:space="preserve">2170586728                    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3.13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1</v>
      </c>
      <c r="BI3060" s="2">
        <v>3.7</v>
      </c>
      <c r="BJ3060" s="2">
        <v>1.8</v>
      </c>
      <c r="BK3060" s="2">
        <v>4</v>
      </c>
      <c r="BL3060" s="2">
        <v>32.380000000000003</v>
      </c>
      <c r="BM3060" s="2">
        <v>4.53</v>
      </c>
      <c r="BN3060" s="2">
        <v>36.909999999999997</v>
      </c>
      <c r="BO3060" s="2">
        <v>36.909999999999997</v>
      </c>
      <c r="BP3060" s="2"/>
      <c r="BQ3060" s="2" t="s">
        <v>108</v>
      </c>
      <c r="BR3060" s="2" t="s">
        <v>84</v>
      </c>
      <c r="BS3060" s="3">
        <v>42975</v>
      </c>
      <c r="BT3060" s="4">
        <v>0.3833333333333333</v>
      </c>
      <c r="BU3060" s="2" t="s">
        <v>1754</v>
      </c>
      <c r="BV3060" s="2" t="s">
        <v>95</v>
      </c>
      <c r="BW3060" s="2"/>
      <c r="BX3060" s="2"/>
      <c r="BY3060" s="2">
        <v>8812.7999999999993</v>
      </c>
      <c r="BZ3060" s="2"/>
      <c r="CA3060" s="2"/>
      <c r="CB3060" s="2"/>
      <c r="CC3060" s="2" t="s">
        <v>145</v>
      </c>
      <c r="CD3060" s="2">
        <v>2197</v>
      </c>
      <c r="CE3060" s="2" t="s">
        <v>89</v>
      </c>
      <c r="CF3060" s="5">
        <v>42976</v>
      </c>
      <c r="CG3060" s="2"/>
      <c r="CH3060" s="2"/>
      <c r="CI3060" s="2">
        <v>1</v>
      </c>
      <c r="CJ3060" s="2">
        <v>1</v>
      </c>
      <c r="CK3060" s="2">
        <v>22</v>
      </c>
      <c r="CL3060" s="2" t="s">
        <v>86</v>
      </c>
      <c r="CM3060" s="2"/>
    </row>
    <row r="3061" spans="1:91">
      <c r="A3061" s="2" t="s">
        <v>71</v>
      </c>
      <c r="B3061" s="2" t="s">
        <v>72</v>
      </c>
      <c r="C3061" s="2" t="s">
        <v>73</v>
      </c>
      <c r="D3061" s="2"/>
      <c r="E3061" s="2" t="str">
        <f>"FES1162571608"</f>
        <v>FES1162571608</v>
      </c>
      <c r="F3061" s="3">
        <v>42972</v>
      </c>
      <c r="G3061" s="2">
        <v>201802</v>
      </c>
      <c r="H3061" s="2" t="s">
        <v>74</v>
      </c>
      <c r="I3061" s="2" t="s">
        <v>75</v>
      </c>
      <c r="J3061" s="2" t="s">
        <v>76</v>
      </c>
      <c r="K3061" s="2" t="s">
        <v>77</v>
      </c>
      <c r="L3061" s="2" t="s">
        <v>723</v>
      </c>
      <c r="M3061" s="2" t="s">
        <v>724</v>
      </c>
      <c r="N3061" s="2" t="s">
        <v>351</v>
      </c>
      <c r="O3061" s="2" t="s">
        <v>100</v>
      </c>
      <c r="P3061" s="2" t="str">
        <f>"2170587253                    "</f>
        <v xml:space="preserve">2170587253                    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11.11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1</v>
      </c>
      <c r="BI3061" s="2">
        <v>3.9</v>
      </c>
      <c r="BJ3061" s="2">
        <v>1</v>
      </c>
      <c r="BK3061" s="2">
        <v>4</v>
      </c>
      <c r="BL3061" s="2">
        <v>115.04</v>
      </c>
      <c r="BM3061" s="2">
        <v>16.11</v>
      </c>
      <c r="BN3061" s="2">
        <v>131.15</v>
      </c>
      <c r="BO3061" s="2">
        <v>131.15</v>
      </c>
      <c r="BP3061" s="2"/>
      <c r="BQ3061" s="2" t="s">
        <v>83</v>
      </c>
      <c r="BR3061" s="2" t="s">
        <v>84</v>
      </c>
      <c r="BS3061" s="3">
        <v>42975</v>
      </c>
      <c r="BT3061" s="4">
        <v>0.30416666666666664</v>
      </c>
      <c r="BU3061" s="2" t="s">
        <v>330</v>
      </c>
      <c r="BV3061" s="2" t="s">
        <v>95</v>
      </c>
      <c r="BW3061" s="2"/>
      <c r="BX3061" s="2"/>
      <c r="BY3061" s="2">
        <v>4878.62</v>
      </c>
      <c r="BZ3061" s="2"/>
      <c r="CA3061" s="2"/>
      <c r="CB3061" s="2"/>
      <c r="CC3061" s="2" t="s">
        <v>724</v>
      </c>
      <c r="CD3061" s="2">
        <v>1754</v>
      </c>
      <c r="CE3061" s="2" t="s">
        <v>89</v>
      </c>
      <c r="CF3061" s="5">
        <v>42976</v>
      </c>
      <c r="CG3061" s="2"/>
      <c r="CH3061" s="2"/>
      <c r="CI3061" s="2">
        <v>1</v>
      </c>
      <c r="CJ3061" s="2">
        <v>1</v>
      </c>
      <c r="CK3061" s="2">
        <v>24</v>
      </c>
      <c r="CL3061" s="2" t="s">
        <v>86</v>
      </c>
      <c r="CM3061" s="2"/>
    </row>
    <row r="3062" spans="1:91">
      <c r="A3062" s="2" t="s">
        <v>71</v>
      </c>
      <c r="B3062" s="2" t="s">
        <v>72</v>
      </c>
      <c r="C3062" s="2" t="s">
        <v>73</v>
      </c>
      <c r="D3062" s="2"/>
      <c r="E3062" s="2" t="str">
        <f>"FES1162571493"</f>
        <v>FES1162571493</v>
      </c>
      <c r="F3062" s="3">
        <v>42972</v>
      </c>
      <c r="G3062" s="2">
        <v>201802</v>
      </c>
      <c r="H3062" s="2" t="s">
        <v>74</v>
      </c>
      <c r="I3062" s="2" t="s">
        <v>75</v>
      </c>
      <c r="J3062" s="2" t="s">
        <v>76</v>
      </c>
      <c r="K3062" s="2" t="s">
        <v>77</v>
      </c>
      <c r="L3062" s="2" t="s">
        <v>74</v>
      </c>
      <c r="M3062" s="2" t="s">
        <v>75</v>
      </c>
      <c r="N3062" s="2" t="s">
        <v>407</v>
      </c>
      <c r="O3062" s="2" t="s">
        <v>100</v>
      </c>
      <c r="P3062" s="2" t="str">
        <f>"2170587130                    "</f>
        <v xml:space="preserve">2170587130                    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3.13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1</v>
      </c>
      <c r="BI3062" s="2">
        <v>1</v>
      </c>
      <c r="BJ3062" s="2">
        <v>0.2</v>
      </c>
      <c r="BK3062" s="2">
        <v>1</v>
      </c>
      <c r="BL3062" s="2">
        <v>32.380000000000003</v>
      </c>
      <c r="BM3062" s="2">
        <v>4.53</v>
      </c>
      <c r="BN3062" s="2">
        <v>36.909999999999997</v>
      </c>
      <c r="BO3062" s="2">
        <v>36.909999999999997</v>
      </c>
      <c r="BP3062" s="2"/>
      <c r="BQ3062" s="2" t="s">
        <v>108</v>
      </c>
      <c r="BR3062" s="2" t="s">
        <v>84</v>
      </c>
      <c r="BS3062" s="3">
        <v>42975</v>
      </c>
      <c r="BT3062" s="4">
        <v>0.3125</v>
      </c>
      <c r="BU3062" s="2" t="s">
        <v>1872</v>
      </c>
      <c r="BV3062" s="2" t="s">
        <v>95</v>
      </c>
      <c r="BW3062" s="2"/>
      <c r="BX3062" s="2"/>
      <c r="BY3062" s="2">
        <v>1200</v>
      </c>
      <c r="BZ3062" s="2"/>
      <c r="CA3062" s="2"/>
      <c r="CB3062" s="2"/>
      <c r="CC3062" s="2" t="s">
        <v>75</v>
      </c>
      <c r="CD3062" s="2">
        <v>1645</v>
      </c>
      <c r="CE3062" s="2" t="s">
        <v>104</v>
      </c>
      <c r="CF3062" s="5">
        <v>42976</v>
      </c>
      <c r="CG3062" s="2"/>
      <c r="CH3062" s="2"/>
      <c r="CI3062" s="2">
        <v>1</v>
      </c>
      <c r="CJ3062" s="2">
        <v>1</v>
      </c>
      <c r="CK3062" s="2">
        <v>22</v>
      </c>
      <c r="CL3062" s="2" t="s">
        <v>86</v>
      </c>
      <c r="CM3062" s="2"/>
    </row>
    <row r="3063" spans="1:91">
      <c r="A3063" s="2" t="s">
        <v>71</v>
      </c>
      <c r="B3063" s="2" t="s">
        <v>72</v>
      </c>
      <c r="C3063" s="2" t="s">
        <v>73</v>
      </c>
      <c r="D3063" s="2"/>
      <c r="E3063" s="2" t="str">
        <f>"FES1162571572"</f>
        <v>FES1162571572</v>
      </c>
      <c r="F3063" s="3">
        <v>42972</v>
      </c>
      <c r="G3063" s="2">
        <v>201802</v>
      </c>
      <c r="H3063" s="2" t="s">
        <v>74</v>
      </c>
      <c r="I3063" s="2" t="s">
        <v>75</v>
      </c>
      <c r="J3063" s="2" t="s">
        <v>76</v>
      </c>
      <c r="K3063" s="2" t="s">
        <v>77</v>
      </c>
      <c r="L3063" s="2" t="s">
        <v>144</v>
      </c>
      <c r="M3063" s="2" t="s">
        <v>145</v>
      </c>
      <c r="N3063" s="2" t="s">
        <v>146</v>
      </c>
      <c r="O3063" s="2" t="s">
        <v>100</v>
      </c>
      <c r="P3063" s="2" t="str">
        <f>"2170587217                    "</f>
        <v xml:space="preserve">2170587217                    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3.13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1</v>
      </c>
      <c r="BI3063" s="2">
        <v>1</v>
      </c>
      <c r="BJ3063" s="2">
        <v>0.2</v>
      </c>
      <c r="BK3063" s="2">
        <v>1</v>
      </c>
      <c r="BL3063" s="2">
        <v>32.380000000000003</v>
      </c>
      <c r="BM3063" s="2">
        <v>4.53</v>
      </c>
      <c r="BN3063" s="2">
        <v>36.909999999999997</v>
      </c>
      <c r="BO3063" s="2">
        <v>36.909999999999997</v>
      </c>
      <c r="BP3063" s="2"/>
      <c r="BQ3063" s="2" t="s">
        <v>83</v>
      </c>
      <c r="BR3063" s="2" t="s">
        <v>84</v>
      </c>
      <c r="BS3063" s="3">
        <v>42975</v>
      </c>
      <c r="BT3063" s="4">
        <v>0.36805555555555558</v>
      </c>
      <c r="BU3063" s="2" t="s">
        <v>785</v>
      </c>
      <c r="BV3063" s="2" t="s">
        <v>95</v>
      </c>
      <c r="BW3063" s="2"/>
      <c r="BX3063" s="2"/>
      <c r="BY3063" s="2">
        <v>1200</v>
      </c>
      <c r="BZ3063" s="2"/>
      <c r="CA3063" s="2"/>
      <c r="CB3063" s="2"/>
      <c r="CC3063" s="2" t="s">
        <v>145</v>
      </c>
      <c r="CD3063" s="2">
        <v>2094</v>
      </c>
      <c r="CE3063" s="2" t="s">
        <v>104</v>
      </c>
      <c r="CF3063" s="5">
        <v>42976</v>
      </c>
      <c r="CG3063" s="2"/>
      <c r="CH3063" s="2"/>
      <c r="CI3063" s="2">
        <v>1</v>
      </c>
      <c r="CJ3063" s="2">
        <v>1</v>
      </c>
      <c r="CK3063" s="2">
        <v>22</v>
      </c>
      <c r="CL3063" s="2" t="s">
        <v>86</v>
      </c>
      <c r="CM3063" s="2"/>
    </row>
    <row r="3064" spans="1:91">
      <c r="A3064" s="2" t="s">
        <v>71</v>
      </c>
      <c r="B3064" s="2" t="s">
        <v>72</v>
      </c>
      <c r="C3064" s="2" t="s">
        <v>73</v>
      </c>
      <c r="D3064" s="2"/>
      <c r="E3064" s="2" t="str">
        <f>"FES1162571600"</f>
        <v>FES1162571600</v>
      </c>
      <c r="F3064" s="3">
        <v>42972</v>
      </c>
      <c r="G3064" s="2">
        <v>201802</v>
      </c>
      <c r="H3064" s="2" t="s">
        <v>74</v>
      </c>
      <c r="I3064" s="2" t="s">
        <v>75</v>
      </c>
      <c r="J3064" s="2" t="s">
        <v>76</v>
      </c>
      <c r="K3064" s="2" t="s">
        <v>77</v>
      </c>
      <c r="L3064" s="2" t="s">
        <v>470</v>
      </c>
      <c r="M3064" s="2" t="s">
        <v>471</v>
      </c>
      <c r="N3064" s="2" t="s">
        <v>2980</v>
      </c>
      <c r="O3064" s="2" t="s">
        <v>100</v>
      </c>
      <c r="P3064" s="2" t="str">
        <f>"2170587247                    "</f>
        <v xml:space="preserve">2170587247                    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4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1</v>
      </c>
      <c r="BI3064" s="2">
        <v>1</v>
      </c>
      <c r="BJ3064" s="2">
        <v>0.2</v>
      </c>
      <c r="BK3064" s="2">
        <v>1</v>
      </c>
      <c r="BL3064" s="2">
        <v>41.44</v>
      </c>
      <c r="BM3064" s="2">
        <v>5.8</v>
      </c>
      <c r="BN3064" s="2">
        <v>47.24</v>
      </c>
      <c r="BO3064" s="2">
        <v>47.24</v>
      </c>
      <c r="BP3064" s="2"/>
      <c r="BQ3064" s="2" t="s">
        <v>2981</v>
      </c>
      <c r="BR3064" s="2" t="s">
        <v>84</v>
      </c>
      <c r="BS3064" s="3">
        <v>42975</v>
      </c>
      <c r="BT3064" s="4">
        <v>0.41041666666666665</v>
      </c>
      <c r="BU3064" s="2" t="s">
        <v>3256</v>
      </c>
      <c r="BV3064" s="2" t="s">
        <v>95</v>
      </c>
      <c r="BW3064" s="2"/>
      <c r="BX3064" s="2"/>
      <c r="BY3064" s="2">
        <v>1200</v>
      </c>
      <c r="BZ3064" s="2"/>
      <c r="CA3064" s="2" t="s">
        <v>2982</v>
      </c>
      <c r="CB3064" s="2"/>
      <c r="CC3064" s="2" t="s">
        <v>471</v>
      </c>
      <c r="CD3064" s="2">
        <v>1911</v>
      </c>
      <c r="CE3064" s="2" t="s">
        <v>104</v>
      </c>
      <c r="CF3064" s="5">
        <v>42976</v>
      </c>
      <c r="CG3064" s="2"/>
      <c r="CH3064" s="2"/>
      <c r="CI3064" s="2">
        <v>1</v>
      </c>
      <c r="CJ3064" s="2">
        <v>1</v>
      </c>
      <c r="CK3064" s="2">
        <v>21</v>
      </c>
      <c r="CL3064" s="2" t="s">
        <v>86</v>
      </c>
      <c r="CM3064" s="2"/>
    </row>
    <row r="3065" spans="1:91">
      <c r="A3065" s="2" t="s">
        <v>71</v>
      </c>
      <c r="B3065" s="2" t="s">
        <v>72</v>
      </c>
      <c r="C3065" s="2" t="s">
        <v>73</v>
      </c>
      <c r="D3065" s="2"/>
      <c r="E3065" s="2" t="str">
        <f>"FES1162571612"</f>
        <v>FES1162571612</v>
      </c>
      <c r="F3065" s="3">
        <v>42972</v>
      </c>
      <c r="G3065" s="2">
        <v>201802</v>
      </c>
      <c r="H3065" s="2" t="s">
        <v>74</v>
      </c>
      <c r="I3065" s="2" t="s">
        <v>75</v>
      </c>
      <c r="J3065" s="2" t="s">
        <v>76</v>
      </c>
      <c r="K3065" s="2" t="s">
        <v>77</v>
      </c>
      <c r="L3065" s="2" t="s">
        <v>74</v>
      </c>
      <c r="M3065" s="2" t="s">
        <v>75</v>
      </c>
      <c r="N3065" s="2" t="s">
        <v>2324</v>
      </c>
      <c r="O3065" s="2" t="s">
        <v>100</v>
      </c>
      <c r="P3065" s="2" t="str">
        <f>"2170587260                    "</f>
        <v xml:space="preserve">2170587260                    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3.13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1</v>
      </c>
      <c r="BI3065" s="2">
        <v>1</v>
      </c>
      <c r="BJ3065" s="2">
        <v>0.2</v>
      </c>
      <c r="BK3065" s="2">
        <v>1</v>
      </c>
      <c r="BL3065" s="2">
        <v>32.380000000000003</v>
      </c>
      <c r="BM3065" s="2">
        <v>4.53</v>
      </c>
      <c r="BN3065" s="2">
        <v>36.909999999999997</v>
      </c>
      <c r="BO3065" s="2">
        <v>36.909999999999997</v>
      </c>
      <c r="BP3065" s="2"/>
      <c r="BQ3065" s="2" t="s">
        <v>288</v>
      </c>
      <c r="BR3065" s="2" t="s">
        <v>84</v>
      </c>
      <c r="BS3065" s="3">
        <v>42975</v>
      </c>
      <c r="BT3065" s="4">
        <v>0.40069444444444446</v>
      </c>
      <c r="BU3065" s="2" t="s">
        <v>3257</v>
      </c>
      <c r="BV3065" s="2" t="s">
        <v>95</v>
      </c>
      <c r="BW3065" s="2"/>
      <c r="BX3065" s="2"/>
      <c r="BY3065" s="2">
        <v>1200</v>
      </c>
      <c r="BZ3065" s="2"/>
      <c r="CA3065" s="2"/>
      <c r="CB3065" s="2"/>
      <c r="CC3065" s="2" t="s">
        <v>75</v>
      </c>
      <c r="CD3065" s="2">
        <v>1600</v>
      </c>
      <c r="CE3065" s="2" t="s">
        <v>104</v>
      </c>
      <c r="CF3065" s="5">
        <v>42976</v>
      </c>
      <c r="CG3065" s="2"/>
      <c r="CH3065" s="2"/>
      <c r="CI3065" s="2">
        <v>1</v>
      </c>
      <c r="CJ3065" s="2">
        <v>1</v>
      </c>
      <c r="CK3065" s="2">
        <v>22</v>
      </c>
      <c r="CL3065" s="2" t="s">
        <v>86</v>
      </c>
      <c r="CM3065" s="2"/>
    </row>
    <row r="3066" spans="1:91">
      <c r="A3066" s="2" t="s">
        <v>71</v>
      </c>
      <c r="B3066" s="2" t="s">
        <v>72</v>
      </c>
      <c r="C3066" s="2" t="s">
        <v>73</v>
      </c>
      <c r="D3066" s="2"/>
      <c r="E3066" s="2" t="str">
        <f>"FES1162571542"</f>
        <v>FES1162571542</v>
      </c>
      <c r="F3066" s="3">
        <v>42972</v>
      </c>
      <c r="G3066" s="2">
        <v>201802</v>
      </c>
      <c r="H3066" s="2" t="s">
        <v>74</v>
      </c>
      <c r="I3066" s="2" t="s">
        <v>75</v>
      </c>
      <c r="J3066" s="2" t="s">
        <v>76</v>
      </c>
      <c r="K3066" s="2" t="s">
        <v>77</v>
      </c>
      <c r="L3066" s="2" t="s">
        <v>144</v>
      </c>
      <c r="M3066" s="2" t="s">
        <v>145</v>
      </c>
      <c r="N3066" s="2" t="s">
        <v>1462</v>
      </c>
      <c r="O3066" s="2" t="s">
        <v>100</v>
      </c>
      <c r="P3066" s="2" t="str">
        <f>"2170587165                    "</f>
        <v xml:space="preserve">2170587165                    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3.13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1</v>
      </c>
      <c r="BI3066" s="2">
        <v>1</v>
      </c>
      <c r="BJ3066" s="2">
        <v>0.2</v>
      </c>
      <c r="BK3066" s="2">
        <v>1</v>
      </c>
      <c r="BL3066" s="2">
        <v>32.380000000000003</v>
      </c>
      <c r="BM3066" s="2">
        <v>4.53</v>
      </c>
      <c r="BN3066" s="2">
        <v>36.909999999999997</v>
      </c>
      <c r="BO3066" s="2">
        <v>36.909999999999997</v>
      </c>
      <c r="BP3066" s="2"/>
      <c r="BQ3066" s="2" t="s">
        <v>108</v>
      </c>
      <c r="BR3066" s="2" t="s">
        <v>84</v>
      </c>
      <c r="BS3066" s="3">
        <v>42975</v>
      </c>
      <c r="BT3066" s="4">
        <v>0.35625000000000001</v>
      </c>
      <c r="BU3066" s="2" t="s">
        <v>3244</v>
      </c>
      <c r="BV3066" s="2" t="s">
        <v>95</v>
      </c>
      <c r="BW3066" s="2"/>
      <c r="BX3066" s="2"/>
      <c r="BY3066" s="2">
        <v>1200</v>
      </c>
      <c r="BZ3066" s="2"/>
      <c r="CA3066" s="2"/>
      <c r="CB3066" s="2"/>
      <c r="CC3066" s="2" t="s">
        <v>145</v>
      </c>
      <c r="CD3066" s="2">
        <v>2094</v>
      </c>
      <c r="CE3066" s="2" t="s">
        <v>104</v>
      </c>
      <c r="CF3066" s="5">
        <v>42976</v>
      </c>
      <c r="CG3066" s="2"/>
      <c r="CH3066" s="2"/>
      <c r="CI3066" s="2">
        <v>1</v>
      </c>
      <c r="CJ3066" s="2">
        <v>1</v>
      </c>
      <c r="CK3066" s="2">
        <v>22</v>
      </c>
      <c r="CL3066" s="2" t="s">
        <v>86</v>
      </c>
      <c r="CM3066" s="2"/>
    </row>
    <row r="3067" spans="1:91">
      <c r="A3067" s="2" t="s">
        <v>71</v>
      </c>
      <c r="B3067" s="2" t="s">
        <v>72</v>
      </c>
      <c r="C3067" s="2" t="s">
        <v>73</v>
      </c>
      <c r="D3067" s="2"/>
      <c r="E3067" s="2" t="str">
        <f>"FES1162571631"</f>
        <v>FES1162571631</v>
      </c>
      <c r="F3067" s="3">
        <v>42972</v>
      </c>
      <c r="G3067" s="2">
        <v>201802</v>
      </c>
      <c r="H3067" s="2" t="s">
        <v>74</v>
      </c>
      <c r="I3067" s="2" t="s">
        <v>75</v>
      </c>
      <c r="J3067" s="2" t="s">
        <v>76</v>
      </c>
      <c r="K3067" s="2" t="s">
        <v>77</v>
      </c>
      <c r="L3067" s="2" t="s">
        <v>268</v>
      </c>
      <c r="M3067" s="2" t="s">
        <v>269</v>
      </c>
      <c r="N3067" s="2" t="s">
        <v>3258</v>
      </c>
      <c r="O3067" s="2" t="s">
        <v>100</v>
      </c>
      <c r="P3067" s="2" t="str">
        <f>"2170586905                    "</f>
        <v xml:space="preserve">2170586905                    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4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1</v>
      </c>
      <c r="BI3067" s="2">
        <v>1</v>
      </c>
      <c r="BJ3067" s="2">
        <v>0.2</v>
      </c>
      <c r="BK3067" s="2">
        <v>1</v>
      </c>
      <c r="BL3067" s="2">
        <v>41.44</v>
      </c>
      <c r="BM3067" s="2">
        <v>5.8</v>
      </c>
      <c r="BN3067" s="2">
        <v>47.24</v>
      </c>
      <c r="BO3067" s="2">
        <v>47.24</v>
      </c>
      <c r="BP3067" s="2"/>
      <c r="BQ3067" s="2" t="s">
        <v>288</v>
      </c>
      <c r="BR3067" s="2" t="s">
        <v>84</v>
      </c>
      <c r="BS3067" s="3">
        <v>42975</v>
      </c>
      <c r="BT3067" s="4">
        <v>0.37222222222222223</v>
      </c>
      <c r="BU3067" s="2" t="s">
        <v>3259</v>
      </c>
      <c r="BV3067" s="2" t="s">
        <v>95</v>
      </c>
      <c r="BW3067" s="2"/>
      <c r="BX3067" s="2"/>
      <c r="BY3067" s="2">
        <v>1200</v>
      </c>
      <c r="BZ3067" s="2"/>
      <c r="CA3067" s="2" t="s">
        <v>1880</v>
      </c>
      <c r="CB3067" s="2"/>
      <c r="CC3067" s="2" t="s">
        <v>269</v>
      </c>
      <c r="CD3067" s="2">
        <v>1</v>
      </c>
      <c r="CE3067" s="2" t="s">
        <v>104</v>
      </c>
      <c r="CF3067" s="5">
        <v>42976</v>
      </c>
      <c r="CG3067" s="2"/>
      <c r="CH3067" s="2"/>
      <c r="CI3067" s="2">
        <v>1</v>
      </c>
      <c r="CJ3067" s="2">
        <v>1</v>
      </c>
      <c r="CK3067" s="2">
        <v>21</v>
      </c>
      <c r="CL3067" s="2" t="s">
        <v>86</v>
      </c>
      <c r="CM3067" s="2"/>
    </row>
    <row r="3068" spans="1:91">
      <c r="A3068" s="2" t="s">
        <v>71</v>
      </c>
      <c r="B3068" s="2" t="s">
        <v>72</v>
      </c>
      <c r="C3068" s="2" t="s">
        <v>73</v>
      </c>
      <c r="D3068" s="2"/>
      <c r="E3068" s="2" t="str">
        <f>"FES1162571425"</f>
        <v>FES1162571425</v>
      </c>
      <c r="F3068" s="3">
        <v>42972</v>
      </c>
      <c r="G3068" s="2">
        <v>201802</v>
      </c>
      <c r="H3068" s="2" t="s">
        <v>74</v>
      </c>
      <c r="I3068" s="2" t="s">
        <v>75</v>
      </c>
      <c r="J3068" s="2" t="s">
        <v>76</v>
      </c>
      <c r="K3068" s="2" t="s">
        <v>77</v>
      </c>
      <c r="L3068" s="2" t="s">
        <v>144</v>
      </c>
      <c r="M3068" s="2" t="s">
        <v>145</v>
      </c>
      <c r="N3068" s="2" t="s">
        <v>3260</v>
      </c>
      <c r="O3068" s="2" t="s">
        <v>100</v>
      </c>
      <c r="P3068" s="2" t="str">
        <f>"2170585055                    "</f>
        <v xml:space="preserve">2170585055                    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3.13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1</v>
      </c>
      <c r="BI3068" s="2">
        <v>1</v>
      </c>
      <c r="BJ3068" s="2">
        <v>0.2</v>
      </c>
      <c r="BK3068" s="2">
        <v>1</v>
      </c>
      <c r="BL3068" s="2">
        <v>32.380000000000003</v>
      </c>
      <c r="BM3068" s="2">
        <v>4.53</v>
      </c>
      <c r="BN3068" s="2">
        <v>36.909999999999997</v>
      </c>
      <c r="BO3068" s="2">
        <v>36.909999999999997</v>
      </c>
      <c r="BP3068" s="2"/>
      <c r="BQ3068" s="2" t="s">
        <v>108</v>
      </c>
      <c r="BR3068" s="2" t="s">
        <v>84</v>
      </c>
      <c r="BS3068" s="3">
        <v>42975</v>
      </c>
      <c r="BT3068" s="4">
        <v>0.35069444444444442</v>
      </c>
      <c r="BU3068" s="2" t="s">
        <v>2577</v>
      </c>
      <c r="BV3068" s="2" t="s">
        <v>95</v>
      </c>
      <c r="BW3068" s="2"/>
      <c r="BX3068" s="2"/>
      <c r="BY3068" s="2">
        <v>1200</v>
      </c>
      <c r="BZ3068" s="2"/>
      <c r="CA3068" s="2"/>
      <c r="CB3068" s="2"/>
      <c r="CC3068" s="2" t="s">
        <v>145</v>
      </c>
      <c r="CD3068" s="2">
        <v>2094</v>
      </c>
      <c r="CE3068" s="2" t="s">
        <v>104</v>
      </c>
      <c r="CF3068" s="5">
        <v>42976</v>
      </c>
      <c r="CG3068" s="2"/>
      <c r="CH3068" s="2"/>
      <c r="CI3068" s="2">
        <v>1</v>
      </c>
      <c r="CJ3068" s="2">
        <v>1</v>
      </c>
      <c r="CK3068" s="2">
        <v>22</v>
      </c>
      <c r="CL3068" s="2" t="s">
        <v>86</v>
      </c>
      <c r="CM3068" s="2"/>
    </row>
    <row r="3069" spans="1:91">
      <c r="A3069" s="2" t="s">
        <v>71</v>
      </c>
      <c r="B3069" s="2" t="s">
        <v>72</v>
      </c>
      <c r="C3069" s="2" t="s">
        <v>73</v>
      </c>
      <c r="D3069" s="2"/>
      <c r="E3069" s="2" t="str">
        <f>"FES1162571553"</f>
        <v>FES1162571553</v>
      </c>
      <c r="F3069" s="3">
        <v>42972</v>
      </c>
      <c r="G3069" s="2">
        <v>201802</v>
      </c>
      <c r="H3069" s="2" t="s">
        <v>74</v>
      </c>
      <c r="I3069" s="2" t="s">
        <v>75</v>
      </c>
      <c r="J3069" s="2" t="s">
        <v>76</v>
      </c>
      <c r="K3069" s="2" t="s">
        <v>77</v>
      </c>
      <c r="L3069" s="2" t="s">
        <v>144</v>
      </c>
      <c r="M3069" s="2" t="s">
        <v>145</v>
      </c>
      <c r="N3069" s="2" t="s">
        <v>1964</v>
      </c>
      <c r="O3069" s="2" t="s">
        <v>100</v>
      </c>
      <c r="P3069" s="2" t="str">
        <f>"2170587179                    "</f>
        <v xml:space="preserve">2170587179                    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3.13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0</v>
      </c>
      <c r="BH3069" s="2">
        <v>1</v>
      </c>
      <c r="BI3069" s="2">
        <v>1</v>
      </c>
      <c r="BJ3069" s="2">
        <v>0.2</v>
      </c>
      <c r="BK3069" s="2">
        <v>1</v>
      </c>
      <c r="BL3069" s="2">
        <v>32.380000000000003</v>
      </c>
      <c r="BM3069" s="2">
        <v>4.53</v>
      </c>
      <c r="BN3069" s="2">
        <v>36.909999999999997</v>
      </c>
      <c r="BO3069" s="2">
        <v>36.909999999999997</v>
      </c>
      <c r="BP3069" s="2"/>
      <c r="BQ3069" s="2" t="s">
        <v>108</v>
      </c>
      <c r="BR3069" s="2" t="s">
        <v>84</v>
      </c>
      <c r="BS3069" s="3">
        <v>42975</v>
      </c>
      <c r="BT3069" s="4">
        <v>0.34375</v>
      </c>
      <c r="BU3069" s="2" t="s">
        <v>1965</v>
      </c>
      <c r="BV3069" s="2" t="s">
        <v>95</v>
      </c>
      <c r="BW3069" s="2"/>
      <c r="BX3069" s="2"/>
      <c r="BY3069" s="2">
        <v>1200</v>
      </c>
      <c r="BZ3069" s="2"/>
      <c r="CA3069" s="2"/>
      <c r="CB3069" s="2"/>
      <c r="CC3069" s="2" t="s">
        <v>145</v>
      </c>
      <c r="CD3069" s="2">
        <v>2093</v>
      </c>
      <c r="CE3069" s="2" t="s">
        <v>104</v>
      </c>
      <c r="CF3069" s="5">
        <v>42976</v>
      </c>
      <c r="CG3069" s="2"/>
      <c r="CH3069" s="2"/>
      <c r="CI3069" s="2">
        <v>1</v>
      </c>
      <c r="CJ3069" s="2">
        <v>1</v>
      </c>
      <c r="CK3069" s="2">
        <v>22</v>
      </c>
      <c r="CL3069" s="2" t="s">
        <v>86</v>
      </c>
      <c r="CM3069" s="2"/>
    </row>
    <row r="3070" spans="1:91">
      <c r="A3070" s="2" t="s">
        <v>71</v>
      </c>
      <c r="B3070" s="2" t="s">
        <v>72</v>
      </c>
      <c r="C3070" s="2" t="s">
        <v>73</v>
      </c>
      <c r="D3070" s="2"/>
      <c r="E3070" s="2" t="str">
        <f>"FES1162571620"</f>
        <v>FES1162571620</v>
      </c>
      <c r="F3070" s="3">
        <v>42972</v>
      </c>
      <c r="G3070" s="2">
        <v>201802</v>
      </c>
      <c r="H3070" s="2" t="s">
        <v>74</v>
      </c>
      <c r="I3070" s="2" t="s">
        <v>75</v>
      </c>
      <c r="J3070" s="2" t="s">
        <v>76</v>
      </c>
      <c r="K3070" s="2" t="s">
        <v>77</v>
      </c>
      <c r="L3070" s="2" t="s">
        <v>97</v>
      </c>
      <c r="M3070" s="2" t="s">
        <v>98</v>
      </c>
      <c r="N3070" s="2" t="s">
        <v>2945</v>
      </c>
      <c r="O3070" s="2" t="s">
        <v>100</v>
      </c>
      <c r="P3070" s="2" t="str">
        <f>"2170587267                    "</f>
        <v xml:space="preserve">2170587267                    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8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1</v>
      </c>
      <c r="BI3070" s="2">
        <v>3.7</v>
      </c>
      <c r="BJ3070" s="2">
        <v>1.8</v>
      </c>
      <c r="BK3070" s="2">
        <v>4</v>
      </c>
      <c r="BL3070" s="2">
        <v>82.88</v>
      </c>
      <c r="BM3070" s="2">
        <v>11.6</v>
      </c>
      <c r="BN3070" s="2">
        <v>94.48</v>
      </c>
      <c r="BO3070" s="2">
        <v>94.48</v>
      </c>
      <c r="BP3070" s="2"/>
      <c r="BQ3070" s="2" t="s">
        <v>83</v>
      </c>
      <c r="BR3070" s="2" t="s">
        <v>84</v>
      </c>
      <c r="BS3070" s="3">
        <v>42975</v>
      </c>
      <c r="BT3070" s="4">
        <v>0.35416666666666669</v>
      </c>
      <c r="BU3070" s="2" t="s">
        <v>3261</v>
      </c>
      <c r="BV3070" s="2" t="s">
        <v>95</v>
      </c>
      <c r="BW3070" s="2"/>
      <c r="BX3070" s="2"/>
      <c r="BY3070" s="2">
        <v>9024.5499999999993</v>
      </c>
      <c r="BZ3070" s="2"/>
      <c r="CA3070" s="2" t="s">
        <v>1775</v>
      </c>
      <c r="CB3070" s="2"/>
      <c r="CC3070" s="2" t="s">
        <v>98</v>
      </c>
      <c r="CD3070" s="2">
        <v>6001</v>
      </c>
      <c r="CE3070" s="2" t="s">
        <v>135</v>
      </c>
      <c r="CF3070" s="5">
        <v>42976</v>
      </c>
      <c r="CG3070" s="2"/>
      <c r="CH3070" s="2"/>
      <c r="CI3070" s="2">
        <v>1</v>
      </c>
      <c r="CJ3070" s="2">
        <v>1</v>
      </c>
      <c r="CK3070" s="2">
        <v>21</v>
      </c>
      <c r="CL3070" s="2" t="s">
        <v>86</v>
      </c>
      <c r="CM3070" s="2"/>
    </row>
    <row r="3071" spans="1:91">
      <c r="A3071" s="2" t="s">
        <v>71</v>
      </c>
      <c r="B3071" s="2" t="s">
        <v>72</v>
      </c>
      <c r="C3071" s="2" t="s">
        <v>73</v>
      </c>
      <c r="D3071" s="2"/>
      <c r="E3071" s="2" t="str">
        <f>"FES1162571558"</f>
        <v>FES1162571558</v>
      </c>
      <c r="F3071" s="3">
        <v>42972</v>
      </c>
      <c r="G3071" s="2">
        <v>201802</v>
      </c>
      <c r="H3071" s="2" t="s">
        <v>74</v>
      </c>
      <c r="I3071" s="2" t="s">
        <v>75</v>
      </c>
      <c r="J3071" s="2" t="s">
        <v>76</v>
      </c>
      <c r="K3071" s="2" t="s">
        <v>77</v>
      </c>
      <c r="L3071" s="2" t="s">
        <v>362</v>
      </c>
      <c r="M3071" s="2" t="s">
        <v>363</v>
      </c>
      <c r="N3071" s="2" t="s">
        <v>1020</v>
      </c>
      <c r="O3071" s="2" t="s">
        <v>100</v>
      </c>
      <c r="P3071" s="2" t="str">
        <f>"2170587209                    "</f>
        <v xml:space="preserve">2170587209                    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4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1</v>
      </c>
      <c r="BI3071" s="2">
        <v>1</v>
      </c>
      <c r="BJ3071" s="2">
        <v>0.2</v>
      </c>
      <c r="BK3071" s="2">
        <v>1</v>
      </c>
      <c r="BL3071" s="2">
        <v>41.44</v>
      </c>
      <c r="BM3071" s="2">
        <v>5.8</v>
      </c>
      <c r="BN3071" s="2">
        <v>47.24</v>
      </c>
      <c r="BO3071" s="2">
        <v>47.24</v>
      </c>
      <c r="BP3071" s="2"/>
      <c r="BQ3071" s="2" t="s">
        <v>108</v>
      </c>
      <c r="BR3071" s="2" t="s">
        <v>84</v>
      </c>
      <c r="BS3071" s="3">
        <v>42975</v>
      </c>
      <c r="BT3071" s="4">
        <v>0.4375</v>
      </c>
      <c r="BU3071" s="2" t="s">
        <v>1040</v>
      </c>
      <c r="BV3071" s="2" t="s">
        <v>95</v>
      </c>
      <c r="BW3071" s="2"/>
      <c r="BX3071" s="2"/>
      <c r="BY3071" s="2">
        <v>1200</v>
      </c>
      <c r="BZ3071" s="2"/>
      <c r="CA3071" s="2" t="s">
        <v>367</v>
      </c>
      <c r="CB3071" s="2"/>
      <c r="CC3071" s="2" t="s">
        <v>363</v>
      </c>
      <c r="CD3071" s="2">
        <v>3200</v>
      </c>
      <c r="CE3071" s="2" t="s">
        <v>104</v>
      </c>
      <c r="CF3071" s="5">
        <v>42976</v>
      </c>
      <c r="CG3071" s="2"/>
      <c r="CH3071" s="2"/>
      <c r="CI3071" s="2">
        <v>1</v>
      </c>
      <c r="CJ3071" s="2">
        <v>1</v>
      </c>
      <c r="CK3071" s="2">
        <v>21</v>
      </c>
      <c r="CL3071" s="2" t="s">
        <v>86</v>
      </c>
      <c r="CM3071" s="2"/>
    </row>
    <row r="3072" spans="1:91">
      <c r="A3072" s="2" t="s">
        <v>71</v>
      </c>
      <c r="B3072" s="2" t="s">
        <v>72</v>
      </c>
      <c r="C3072" s="2" t="s">
        <v>73</v>
      </c>
      <c r="D3072" s="2"/>
      <c r="E3072" s="2" t="str">
        <f>"FES1162571603"</f>
        <v>FES1162571603</v>
      </c>
      <c r="F3072" s="3">
        <v>42972</v>
      </c>
      <c r="G3072" s="2">
        <v>201802</v>
      </c>
      <c r="H3072" s="2" t="s">
        <v>74</v>
      </c>
      <c r="I3072" s="2" t="s">
        <v>75</v>
      </c>
      <c r="J3072" s="2" t="s">
        <v>76</v>
      </c>
      <c r="K3072" s="2" t="s">
        <v>77</v>
      </c>
      <c r="L3072" s="2" t="s">
        <v>137</v>
      </c>
      <c r="M3072" s="2" t="s">
        <v>138</v>
      </c>
      <c r="N3072" s="2" t="s">
        <v>2674</v>
      </c>
      <c r="O3072" s="2" t="s">
        <v>100</v>
      </c>
      <c r="P3072" s="2" t="str">
        <f>"2170587203                    "</f>
        <v xml:space="preserve">2170587203                    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8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1</v>
      </c>
      <c r="BI3072" s="2">
        <v>2</v>
      </c>
      <c r="BJ3072" s="2">
        <v>3.6</v>
      </c>
      <c r="BK3072" s="2">
        <v>4</v>
      </c>
      <c r="BL3072" s="2">
        <v>82.88</v>
      </c>
      <c r="BM3072" s="2">
        <v>11.6</v>
      </c>
      <c r="BN3072" s="2">
        <v>94.48</v>
      </c>
      <c r="BO3072" s="2">
        <v>94.48</v>
      </c>
      <c r="BP3072" s="2"/>
      <c r="BQ3072" s="2" t="s">
        <v>227</v>
      </c>
      <c r="BR3072" s="2" t="s">
        <v>84</v>
      </c>
      <c r="BS3072" s="3">
        <v>42975</v>
      </c>
      <c r="BT3072" s="4">
        <v>0.47569444444444442</v>
      </c>
      <c r="BU3072" s="2" t="s">
        <v>3262</v>
      </c>
      <c r="BV3072" s="2" t="s">
        <v>95</v>
      </c>
      <c r="BW3072" s="2"/>
      <c r="BX3072" s="2"/>
      <c r="BY3072" s="2">
        <v>18144</v>
      </c>
      <c r="BZ3072" s="2"/>
      <c r="CA3072" s="2" t="s">
        <v>2676</v>
      </c>
      <c r="CB3072" s="2"/>
      <c r="CC3072" s="2" t="s">
        <v>138</v>
      </c>
      <c r="CD3072" s="2">
        <v>157</v>
      </c>
      <c r="CE3072" s="2" t="s">
        <v>135</v>
      </c>
      <c r="CF3072" s="5">
        <v>42975</v>
      </c>
      <c r="CG3072" s="2"/>
      <c r="CH3072" s="2"/>
      <c r="CI3072" s="2">
        <v>1</v>
      </c>
      <c r="CJ3072" s="2">
        <v>1</v>
      </c>
      <c r="CK3072" s="2">
        <v>21</v>
      </c>
      <c r="CL3072" s="2" t="s">
        <v>86</v>
      </c>
      <c r="CM3072" s="2"/>
    </row>
    <row r="3073" spans="1:91">
      <c r="A3073" s="2" t="s">
        <v>71</v>
      </c>
      <c r="B3073" s="2" t="s">
        <v>72</v>
      </c>
      <c r="C3073" s="2" t="s">
        <v>73</v>
      </c>
      <c r="D3073" s="2"/>
      <c r="E3073" s="2" t="str">
        <f>"FES1162571587"</f>
        <v>FES1162571587</v>
      </c>
      <c r="F3073" s="3">
        <v>42972</v>
      </c>
      <c r="G3073" s="2">
        <v>201802</v>
      </c>
      <c r="H3073" s="2" t="s">
        <v>74</v>
      </c>
      <c r="I3073" s="2" t="s">
        <v>75</v>
      </c>
      <c r="J3073" s="2" t="s">
        <v>76</v>
      </c>
      <c r="K3073" s="2" t="s">
        <v>77</v>
      </c>
      <c r="L3073" s="2" t="s">
        <v>806</v>
      </c>
      <c r="M3073" s="2" t="s">
        <v>807</v>
      </c>
      <c r="N3073" s="2" t="s">
        <v>808</v>
      </c>
      <c r="O3073" s="2" t="s">
        <v>100</v>
      </c>
      <c r="P3073" s="2" t="str">
        <f>"2170587233                    "</f>
        <v xml:space="preserve">2170587233                    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5.63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1</v>
      </c>
      <c r="BI3073" s="2">
        <v>1</v>
      </c>
      <c r="BJ3073" s="2">
        <v>0.2</v>
      </c>
      <c r="BK3073" s="2">
        <v>1</v>
      </c>
      <c r="BL3073" s="2">
        <v>58.28</v>
      </c>
      <c r="BM3073" s="2">
        <v>8.16</v>
      </c>
      <c r="BN3073" s="2">
        <v>66.44</v>
      </c>
      <c r="BO3073" s="2">
        <v>66.44</v>
      </c>
      <c r="BP3073" s="2"/>
      <c r="BQ3073" s="2" t="s">
        <v>83</v>
      </c>
      <c r="BR3073" s="2" t="s">
        <v>84</v>
      </c>
      <c r="BS3073" s="3">
        <v>42975</v>
      </c>
      <c r="BT3073" s="4">
        <v>0.41666666666666669</v>
      </c>
      <c r="BU3073" s="2" t="s">
        <v>2606</v>
      </c>
      <c r="BV3073" s="2" t="s">
        <v>95</v>
      </c>
      <c r="BW3073" s="2"/>
      <c r="BX3073" s="2"/>
      <c r="BY3073" s="2">
        <v>1200</v>
      </c>
      <c r="BZ3073" s="2"/>
      <c r="CA3073" s="2"/>
      <c r="CB3073" s="2"/>
      <c r="CC3073" s="2" t="s">
        <v>807</v>
      </c>
      <c r="CD3073" s="2">
        <v>2410</v>
      </c>
      <c r="CE3073" s="2" t="s">
        <v>104</v>
      </c>
      <c r="CF3073" s="5">
        <v>42976</v>
      </c>
      <c r="CG3073" s="2"/>
      <c r="CH3073" s="2"/>
      <c r="CI3073" s="2">
        <v>1</v>
      </c>
      <c r="CJ3073" s="2">
        <v>1</v>
      </c>
      <c r="CK3073" s="2">
        <v>24</v>
      </c>
      <c r="CL3073" s="2" t="s">
        <v>86</v>
      </c>
      <c r="CM3073" s="2"/>
    </row>
    <row r="3074" spans="1:91">
      <c r="A3074" s="2" t="s">
        <v>71</v>
      </c>
      <c r="B3074" s="2" t="s">
        <v>72</v>
      </c>
      <c r="C3074" s="2" t="s">
        <v>73</v>
      </c>
      <c r="D3074" s="2"/>
      <c r="E3074" s="2" t="str">
        <f>"FES1162571578"</f>
        <v>FES1162571578</v>
      </c>
      <c r="F3074" s="3">
        <v>42972</v>
      </c>
      <c r="G3074" s="2">
        <v>201802</v>
      </c>
      <c r="H3074" s="2" t="s">
        <v>74</v>
      </c>
      <c r="I3074" s="2" t="s">
        <v>75</v>
      </c>
      <c r="J3074" s="2" t="s">
        <v>76</v>
      </c>
      <c r="K3074" s="2" t="s">
        <v>77</v>
      </c>
      <c r="L3074" s="2" t="s">
        <v>201</v>
      </c>
      <c r="M3074" s="2" t="s">
        <v>202</v>
      </c>
      <c r="N3074" s="2" t="s">
        <v>409</v>
      </c>
      <c r="O3074" s="2" t="s">
        <v>100</v>
      </c>
      <c r="P3074" s="2" t="str">
        <f>"2170586863                    "</f>
        <v xml:space="preserve">2170586863                    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4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0</v>
      </c>
      <c r="BE3074" s="2">
        <v>0</v>
      </c>
      <c r="BF3074" s="2">
        <v>0</v>
      </c>
      <c r="BG3074" s="2">
        <v>0</v>
      </c>
      <c r="BH3074" s="2">
        <v>1</v>
      </c>
      <c r="BI3074" s="2">
        <v>1</v>
      </c>
      <c r="BJ3074" s="2">
        <v>0.2</v>
      </c>
      <c r="BK3074" s="2">
        <v>1</v>
      </c>
      <c r="BL3074" s="2">
        <v>41.44</v>
      </c>
      <c r="BM3074" s="2">
        <v>5.8</v>
      </c>
      <c r="BN3074" s="2">
        <v>47.24</v>
      </c>
      <c r="BO3074" s="2">
        <v>47.24</v>
      </c>
      <c r="BP3074" s="2"/>
      <c r="BQ3074" s="2" t="s">
        <v>108</v>
      </c>
      <c r="BR3074" s="2" t="s">
        <v>84</v>
      </c>
      <c r="BS3074" s="3">
        <v>42975</v>
      </c>
      <c r="BT3074" s="4">
        <v>0.53472222222222221</v>
      </c>
      <c r="BU3074" s="2" t="s">
        <v>3263</v>
      </c>
      <c r="BV3074" s="2" t="s">
        <v>95</v>
      </c>
      <c r="BW3074" s="2"/>
      <c r="BX3074" s="2"/>
      <c r="BY3074" s="2">
        <v>1200</v>
      </c>
      <c r="BZ3074" s="2"/>
      <c r="CA3074" s="2" t="s">
        <v>411</v>
      </c>
      <c r="CB3074" s="2"/>
      <c r="CC3074" s="2" t="s">
        <v>202</v>
      </c>
      <c r="CD3074" s="2">
        <v>7130</v>
      </c>
      <c r="CE3074" s="2" t="s">
        <v>104</v>
      </c>
      <c r="CF3074" s="5">
        <v>42976</v>
      </c>
      <c r="CG3074" s="2"/>
      <c r="CH3074" s="2"/>
      <c r="CI3074" s="2">
        <v>1</v>
      </c>
      <c r="CJ3074" s="2">
        <v>1</v>
      </c>
      <c r="CK3074" s="2">
        <v>21</v>
      </c>
      <c r="CL3074" s="2" t="s">
        <v>86</v>
      </c>
      <c r="CM3074" s="2"/>
    </row>
    <row r="3075" spans="1:91">
      <c r="A3075" s="2" t="s">
        <v>71</v>
      </c>
      <c r="B3075" s="2" t="s">
        <v>72</v>
      </c>
      <c r="C3075" s="2" t="s">
        <v>73</v>
      </c>
      <c r="D3075" s="2"/>
      <c r="E3075" s="2" t="str">
        <f>"FES1162571582"</f>
        <v>FES1162571582</v>
      </c>
      <c r="F3075" s="3">
        <v>42972</v>
      </c>
      <c r="G3075" s="2">
        <v>201802</v>
      </c>
      <c r="H3075" s="2" t="s">
        <v>74</v>
      </c>
      <c r="I3075" s="2" t="s">
        <v>75</v>
      </c>
      <c r="J3075" s="2" t="s">
        <v>76</v>
      </c>
      <c r="K3075" s="2" t="s">
        <v>77</v>
      </c>
      <c r="L3075" s="2" t="s">
        <v>149</v>
      </c>
      <c r="M3075" s="2" t="s">
        <v>150</v>
      </c>
      <c r="N3075" s="2" t="s">
        <v>463</v>
      </c>
      <c r="O3075" s="2" t="s">
        <v>100</v>
      </c>
      <c r="P3075" s="2" t="str">
        <f>"2170587076                    "</f>
        <v xml:space="preserve">2170587076                    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12.01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1</v>
      </c>
      <c r="BI3075" s="2">
        <v>5.9</v>
      </c>
      <c r="BJ3075" s="2">
        <v>2.2999999999999998</v>
      </c>
      <c r="BK3075" s="2">
        <v>6</v>
      </c>
      <c r="BL3075" s="2">
        <v>124.33</v>
      </c>
      <c r="BM3075" s="2">
        <v>17.41</v>
      </c>
      <c r="BN3075" s="2">
        <v>141.74</v>
      </c>
      <c r="BO3075" s="2">
        <v>141.74</v>
      </c>
      <c r="BP3075" s="2"/>
      <c r="BQ3075" s="2" t="s">
        <v>288</v>
      </c>
      <c r="BR3075" s="2" t="s">
        <v>84</v>
      </c>
      <c r="BS3075" s="3">
        <v>42975</v>
      </c>
      <c r="BT3075" s="4">
        <v>0.41666666666666669</v>
      </c>
      <c r="BU3075" s="2" t="s">
        <v>3264</v>
      </c>
      <c r="BV3075" s="2" t="s">
        <v>95</v>
      </c>
      <c r="BW3075" s="2"/>
      <c r="BX3075" s="2"/>
      <c r="BY3075" s="2">
        <v>11539.5</v>
      </c>
      <c r="BZ3075" s="2"/>
      <c r="CA3075" s="2"/>
      <c r="CB3075" s="2"/>
      <c r="CC3075" s="2" t="s">
        <v>150</v>
      </c>
      <c r="CD3075" s="2">
        <v>4001</v>
      </c>
      <c r="CE3075" s="2" t="s">
        <v>135</v>
      </c>
      <c r="CF3075" s="5">
        <v>42976</v>
      </c>
      <c r="CG3075" s="2"/>
      <c r="CH3075" s="2"/>
      <c r="CI3075" s="2">
        <v>1</v>
      </c>
      <c r="CJ3075" s="2">
        <v>1</v>
      </c>
      <c r="CK3075" s="2">
        <v>21</v>
      </c>
      <c r="CL3075" s="2" t="s">
        <v>86</v>
      </c>
      <c r="CM3075" s="2"/>
    </row>
    <row r="3076" spans="1:91">
      <c r="A3076" s="2" t="s">
        <v>71</v>
      </c>
      <c r="B3076" s="2" t="s">
        <v>72</v>
      </c>
      <c r="C3076" s="2" t="s">
        <v>73</v>
      </c>
      <c r="D3076" s="2"/>
      <c r="E3076" s="2" t="str">
        <f>"FES1162571619"</f>
        <v>FES1162571619</v>
      </c>
      <c r="F3076" s="3">
        <v>42972</v>
      </c>
      <c r="G3076" s="2">
        <v>201802</v>
      </c>
      <c r="H3076" s="2" t="s">
        <v>74</v>
      </c>
      <c r="I3076" s="2" t="s">
        <v>75</v>
      </c>
      <c r="J3076" s="2" t="s">
        <v>76</v>
      </c>
      <c r="K3076" s="2" t="s">
        <v>77</v>
      </c>
      <c r="L3076" s="2" t="s">
        <v>306</v>
      </c>
      <c r="M3076" s="2" t="s">
        <v>307</v>
      </c>
      <c r="N3076" s="2" t="s">
        <v>1573</v>
      </c>
      <c r="O3076" s="2" t="s">
        <v>100</v>
      </c>
      <c r="P3076" s="2" t="str">
        <f>"2170587266                    "</f>
        <v xml:space="preserve">2170587266                    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4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1</v>
      </c>
      <c r="BI3076" s="2">
        <v>2</v>
      </c>
      <c r="BJ3076" s="2">
        <v>0.2</v>
      </c>
      <c r="BK3076" s="2">
        <v>2</v>
      </c>
      <c r="BL3076" s="2">
        <v>41.44</v>
      </c>
      <c r="BM3076" s="2">
        <v>5.8</v>
      </c>
      <c r="BN3076" s="2">
        <v>47.24</v>
      </c>
      <c r="BO3076" s="2">
        <v>47.24</v>
      </c>
      <c r="BP3076" s="2"/>
      <c r="BQ3076" s="2" t="s">
        <v>83</v>
      </c>
      <c r="BR3076" s="2" t="s">
        <v>84</v>
      </c>
      <c r="BS3076" s="3">
        <v>42975</v>
      </c>
      <c r="BT3076" s="4">
        <v>0.41666666666666669</v>
      </c>
      <c r="BU3076" s="2" t="s">
        <v>1574</v>
      </c>
      <c r="BV3076" s="2" t="s">
        <v>95</v>
      </c>
      <c r="BW3076" s="2"/>
      <c r="BX3076" s="2"/>
      <c r="BY3076" s="2">
        <v>1200</v>
      </c>
      <c r="BZ3076" s="2"/>
      <c r="CA3076" s="2" t="s">
        <v>2575</v>
      </c>
      <c r="CB3076" s="2"/>
      <c r="CC3076" s="2" t="s">
        <v>307</v>
      </c>
      <c r="CD3076" s="2">
        <v>1939</v>
      </c>
      <c r="CE3076" s="2" t="s">
        <v>104</v>
      </c>
      <c r="CF3076" s="5">
        <v>42976</v>
      </c>
      <c r="CG3076" s="2"/>
      <c r="CH3076" s="2"/>
      <c r="CI3076" s="2">
        <v>1</v>
      </c>
      <c r="CJ3076" s="2">
        <v>1</v>
      </c>
      <c r="CK3076" s="2">
        <v>21</v>
      </c>
      <c r="CL3076" s="2" t="s">
        <v>86</v>
      </c>
      <c r="CM3076" s="2"/>
    </row>
    <row r="3077" spans="1:91">
      <c r="A3077" s="2" t="s">
        <v>71</v>
      </c>
      <c r="B3077" s="2" t="s">
        <v>72</v>
      </c>
      <c r="C3077" s="2" t="s">
        <v>73</v>
      </c>
      <c r="D3077" s="2"/>
      <c r="E3077" s="2" t="str">
        <f>"FES1162571580"</f>
        <v>FES1162571580</v>
      </c>
      <c r="F3077" s="3">
        <v>42972</v>
      </c>
      <c r="G3077" s="2">
        <v>201802</v>
      </c>
      <c r="H3077" s="2" t="s">
        <v>74</v>
      </c>
      <c r="I3077" s="2" t="s">
        <v>75</v>
      </c>
      <c r="J3077" s="2" t="s">
        <v>76</v>
      </c>
      <c r="K3077" s="2" t="s">
        <v>77</v>
      </c>
      <c r="L3077" s="2" t="s">
        <v>149</v>
      </c>
      <c r="M3077" s="2" t="s">
        <v>150</v>
      </c>
      <c r="N3077" s="2" t="s">
        <v>3265</v>
      </c>
      <c r="O3077" s="2" t="s">
        <v>100</v>
      </c>
      <c r="P3077" s="2" t="str">
        <f>"2170587039                    "</f>
        <v xml:space="preserve">2170587039                    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4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1</v>
      </c>
      <c r="BI3077" s="2">
        <v>1</v>
      </c>
      <c r="BJ3077" s="2">
        <v>0.2</v>
      </c>
      <c r="BK3077" s="2">
        <v>1</v>
      </c>
      <c r="BL3077" s="2">
        <v>41.44</v>
      </c>
      <c r="BM3077" s="2">
        <v>5.8</v>
      </c>
      <c r="BN3077" s="2">
        <v>47.24</v>
      </c>
      <c r="BO3077" s="2">
        <v>47.24</v>
      </c>
      <c r="BP3077" s="2"/>
      <c r="BQ3077" s="2" t="s">
        <v>108</v>
      </c>
      <c r="BR3077" s="2" t="s">
        <v>84</v>
      </c>
      <c r="BS3077" s="3">
        <v>42975</v>
      </c>
      <c r="BT3077" s="4">
        <v>0.38263888888888892</v>
      </c>
      <c r="BU3077" s="2" t="s">
        <v>3266</v>
      </c>
      <c r="BV3077" s="2" t="s">
        <v>95</v>
      </c>
      <c r="BW3077" s="2"/>
      <c r="BX3077" s="2"/>
      <c r="BY3077" s="2">
        <v>1200</v>
      </c>
      <c r="BZ3077" s="2"/>
      <c r="CA3077" s="2" t="s">
        <v>1352</v>
      </c>
      <c r="CB3077" s="2"/>
      <c r="CC3077" s="2" t="s">
        <v>150</v>
      </c>
      <c r="CD3077" s="2">
        <v>4052</v>
      </c>
      <c r="CE3077" s="2" t="s">
        <v>104</v>
      </c>
      <c r="CF3077" s="5">
        <v>42976</v>
      </c>
      <c r="CG3077" s="2"/>
      <c r="CH3077" s="2"/>
      <c r="CI3077" s="2">
        <v>1</v>
      </c>
      <c r="CJ3077" s="2">
        <v>1</v>
      </c>
      <c r="CK3077" s="2">
        <v>21</v>
      </c>
      <c r="CL3077" s="2" t="s">
        <v>86</v>
      </c>
      <c r="CM3077" s="2"/>
    </row>
    <row r="3078" spans="1:91">
      <c r="A3078" s="2" t="s">
        <v>71</v>
      </c>
      <c r="B3078" s="2" t="s">
        <v>72</v>
      </c>
      <c r="C3078" s="2" t="s">
        <v>73</v>
      </c>
      <c r="D3078" s="2"/>
      <c r="E3078" s="2" t="str">
        <f>"FES11625717201"</f>
        <v>FES11625717201</v>
      </c>
      <c r="F3078" s="3">
        <v>42972</v>
      </c>
      <c r="G3078" s="2">
        <v>201802</v>
      </c>
      <c r="H3078" s="2" t="s">
        <v>74</v>
      </c>
      <c r="I3078" s="2" t="s">
        <v>75</v>
      </c>
      <c r="J3078" s="2" t="s">
        <v>76</v>
      </c>
      <c r="K3078" s="2" t="s">
        <v>77</v>
      </c>
      <c r="L3078" s="2" t="s">
        <v>221</v>
      </c>
      <c r="M3078" s="2" t="s">
        <v>222</v>
      </c>
      <c r="N3078" s="2" t="s">
        <v>1275</v>
      </c>
      <c r="O3078" s="2" t="s">
        <v>100</v>
      </c>
      <c r="P3078" s="2" t="str">
        <f>"2170587201                    "</f>
        <v xml:space="preserve">2170587201                    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4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1</v>
      </c>
      <c r="BI3078" s="2">
        <v>1</v>
      </c>
      <c r="BJ3078" s="2">
        <v>0.2</v>
      </c>
      <c r="BK3078" s="2">
        <v>1</v>
      </c>
      <c r="BL3078" s="2">
        <v>41.44</v>
      </c>
      <c r="BM3078" s="2">
        <v>5.8</v>
      </c>
      <c r="BN3078" s="2">
        <v>47.24</v>
      </c>
      <c r="BO3078" s="2">
        <v>47.24</v>
      </c>
      <c r="BP3078" s="2"/>
      <c r="BQ3078" s="2" t="s">
        <v>227</v>
      </c>
      <c r="BR3078" s="2" t="s">
        <v>84</v>
      </c>
      <c r="BS3078" s="3">
        <v>42975</v>
      </c>
      <c r="BT3078" s="4">
        <v>0.38541666666666669</v>
      </c>
      <c r="BU3078" s="2" t="s">
        <v>1276</v>
      </c>
      <c r="BV3078" s="2" t="s">
        <v>95</v>
      </c>
      <c r="BW3078" s="2"/>
      <c r="BX3078" s="2"/>
      <c r="BY3078" s="2">
        <v>1200</v>
      </c>
      <c r="BZ3078" s="2"/>
      <c r="CA3078" s="2"/>
      <c r="CB3078" s="2"/>
      <c r="CC3078" s="2" t="s">
        <v>222</v>
      </c>
      <c r="CD3078" s="2">
        <v>4300</v>
      </c>
      <c r="CE3078" s="2" t="s">
        <v>104</v>
      </c>
      <c r="CF3078" s="2"/>
      <c r="CG3078" s="2"/>
      <c r="CH3078" s="2"/>
      <c r="CI3078" s="2">
        <v>1</v>
      </c>
      <c r="CJ3078" s="2">
        <v>1</v>
      </c>
      <c r="CK3078" s="2">
        <v>21</v>
      </c>
      <c r="CL3078" s="2" t="s">
        <v>86</v>
      </c>
      <c r="CM3078" s="2"/>
    </row>
    <row r="3079" spans="1:91">
      <c r="A3079" s="2" t="s">
        <v>71</v>
      </c>
      <c r="B3079" s="2" t="s">
        <v>72</v>
      </c>
      <c r="C3079" s="2" t="s">
        <v>73</v>
      </c>
      <c r="D3079" s="2"/>
      <c r="E3079" s="2" t="str">
        <f>"009935791675"</f>
        <v>009935791675</v>
      </c>
      <c r="F3079" s="3">
        <v>42972</v>
      </c>
      <c r="G3079" s="2">
        <v>201802</v>
      </c>
      <c r="H3079" s="2" t="s">
        <v>74</v>
      </c>
      <c r="I3079" s="2" t="s">
        <v>75</v>
      </c>
      <c r="J3079" s="2" t="s">
        <v>76</v>
      </c>
      <c r="K3079" s="2" t="s">
        <v>77</v>
      </c>
      <c r="L3079" s="2" t="s">
        <v>383</v>
      </c>
      <c r="M3079" s="2" t="s">
        <v>384</v>
      </c>
      <c r="N3079" s="2" t="s">
        <v>3267</v>
      </c>
      <c r="O3079" s="2" t="s">
        <v>100</v>
      </c>
      <c r="P3079" s="2" t="str">
        <f>"2170585277                    "</f>
        <v xml:space="preserve">2170585277                    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12.48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1</v>
      </c>
      <c r="BI3079" s="2">
        <v>4.0999999999999996</v>
      </c>
      <c r="BJ3079" s="2">
        <v>4.4000000000000004</v>
      </c>
      <c r="BK3079" s="2">
        <v>4.5</v>
      </c>
      <c r="BL3079" s="2">
        <v>129.22999999999999</v>
      </c>
      <c r="BM3079" s="2">
        <v>18.09</v>
      </c>
      <c r="BN3079" s="2">
        <v>147.32</v>
      </c>
      <c r="BO3079" s="2">
        <v>147.32</v>
      </c>
      <c r="BP3079" s="2"/>
      <c r="BQ3079" s="2" t="s">
        <v>108</v>
      </c>
      <c r="BR3079" s="2" t="s">
        <v>84</v>
      </c>
      <c r="BS3079" s="3">
        <v>42975</v>
      </c>
      <c r="BT3079" s="4">
        <v>0.43333333333333335</v>
      </c>
      <c r="BU3079" s="2" t="s">
        <v>3268</v>
      </c>
      <c r="BV3079" s="2" t="s">
        <v>95</v>
      </c>
      <c r="BW3079" s="2"/>
      <c r="BX3079" s="2"/>
      <c r="BY3079" s="2">
        <v>22166.85</v>
      </c>
      <c r="BZ3079" s="2"/>
      <c r="CA3079" s="2"/>
      <c r="CB3079" s="2"/>
      <c r="CC3079" s="2" t="s">
        <v>384</v>
      </c>
      <c r="CD3079" s="2">
        <v>2200</v>
      </c>
      <c r="CE3079" s="2" t="s">
        <v>135</v>
      </c>
      <c r="CF3079" s="2"/>
      <c r="CG3079" s="2"/>
      <c r="CH3079" s="2"/>
      <c r="CI3079" s="2">
        <v>1</v>
      </c>
      <c r="CJ3079" s="2">
        <v>1</v>
      </c>
      <c r="CK3079" s="2">
        <v>24</v>
      </c>
      <c r="CL3079" s="2" t="s">
        <v>86</v>
      </c>
      <c r="CM3079" s="2"/>
    </row>
    <row r="3080" spans="1:91">
      <c r="A3080" s="2" t="s">
        <v>71</v>
      </c>
      <c r="B3080" s="2" t="s">
        <v>72</v>
      </c>
      <c r="C3080" s="2" t="s">
        <v>73</v>
      </c>
      <c r="D3080" s="2"/>
      <c r="E3080" s="2" t="str">
        <f>"FES1162571610"</f>
        <v>FES1162571610</v>
      </c>
      <c r="F3080" s="3">
        <v>42972</v>
      </c>
      <c r="G3080" s="2">
        <v>201802</v>
      </c>
      <c r="H3080" s="2" t="s">
        <v>74</v>
      </c>
      <c r="I3080" s="2" t="s">
        <v>75</v>
      </c>
      <c r="J3080" s="2" t="s">
        <v>76</v>
      </c>
      <c r="K3080" s="2" t="s">
        <v>77</v>
      </c>
      <c r="L3080" s="2" t="s">
        <v>97</v>
      </c>
      <c r="M3080" s="2" t="s">
        <v>98</v>
      </c>
      <c r="N3080" s="2" t="s">
        <v>3269</v>
      </c>
      <c r="O3080" s="2" t="s">
        <v>100</v>
      </c>
      <c r="P3080" s="2" t="str">
        <f>"2170587258                    "</f>
        <v xml:space="preserve">2170587258                    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4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1</v>
      </c>
      <c r="BI3080" s="2">
        <v>1.1000000000000001</v>
      </c>
      <c r="BJ3080" s="2">
        <v>1.5</v>
      </c>
      <c r="BK3080" s="2">
        <v>1.5</v>
      </c>
      <c r="BL3080" s="2">
        <v>41.44</v>
      </c>
      <c r="BM3080" s="2">
        <v>5.8</v>
      </c>
      <c r="BN3080" s="2">
        <v>47.24</v>
      </c>
      <c r="BO3080" s="2">
        <v>47.24</v>
      </c>
      <c r="BP3080" s="2"/>
      <c r="BQ3080" s="2"/>
      <c r="BR3080" s="2" t="s">
        <v>84</v>
      </c>
      <c r="BS3080" s="3">
        <v>42975</v>
      </c>
      <c r="BT3080" s="4">
        <v>0.42430555555555555</v>
      </c>
      <c r="BU3080" s="2" t="s">
        <v>3270</v>
      </c>
      <c r="BV3080" s="2" t="s">
        <v>95</v>
      </c>
      <c r="BW3080" s="2"/>
      <c r="BX3080" s="2"/>
      <c r="BY3080" s="2">
        <v>7469.01</v>
      </c>
      <c r="BZ3080" s="2"/>
      <c r="CA3080" s="2" t="s">
        <v>627</v>
      </c>
      <c r="CB3080" s="2"/>
      <c r="CC3080" s="2" t="s">
        <v>98</v>
      </c>
      <c r="CD3080" s="2">
        <v>6001</v>
      </c>
      <c r="CE3080" s="2" t="s">
        <v>89</v>
      </c>
      <c r="CF3080" s="5">
        <v>42976</v>
      </c>
      <c r="CG3080" s="2"/>
      <c r="CH3080" s="2"/>
      <c r="CI3080" s="2">
        <v>1</v>
      </c>
      <c r="CJ3080" s="2">
        <v>1</v>
      </c>
      <c r="CK3080" s="2">
        <v>21</v>
      </c>
      <c r="CL3080" s="2" t="s">
        <v>86</v>
      </c>
      <c r="CM3080" s="2"/>
    </row>
    <row r="3081" spans="1:91">
      <c r="A3081" s="2" t="s">
        <v>71</v>
      </c>
      <c r="B3081" s="2" t="s">
        <v>72</v>
      </c>
      <c r="C3081" s="2" t="s">
        <v>73</v>
      </c>
      <c r="D3081" s="2"/>
      <c r="E3081" s="2" t="str">
        <f>"FES1162571508"</f>
        <v>FES1162571508</v>
      </c>
      <c r="F3081" s="3">
        <v>42972</v>
      </c>
      <c r="G3081" s="2">
        <v>201802</v>
      </c>
      <c r="H3081" s="2" t="s">
        <v>74</v>
      </c>
      <c r="I3081" s="2" t="s">
        <v>75</v>
      </c>
      <c r="J3081" s="2" t="s">
        <v>76</v>
      </c>
      <c r="K3081" s="2" t="s">
        <v>77</v>
      </c>
      <c r="L3081" s="2" t="s">
        <v>105</v>
      </c>
      <c r="M3081" s="2" t="s">
        <v>106</v>
      </c>
      <c r="N3081" s="2" t="s">
        <v>3001</v>
      </c>
      <c r="O3081" s="2" t="s">
        <v>100</v>
      </c>
      <c r="P3081" s="2" t="str">
        <f>"2170587149                    "</f>
        <v xml:space="preserve">2170587149                    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4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1</v>
      </c>
      <c r="BI3081" s="2">
        <v>1.7</v>
      </c>
      <c r="BJ3081" s="2">
        <v>1</v>
      </c>
      <c r="BK3081" s="2">
        <v>2</v>
      </c>
      <c r="BL3081" s="2">
        <v>41.44</v>
      </c>
      <c r="BM3081" s="2">
        <v>5.8</v>
      </c>
      <c r="BN3081" s="2">
        <v>47.24</v>
      </c>
      <c r="BO3081" s="2">
        <v>47.24</v>
      </c>
      <c r="BP3081" s="2"/>
      <c r="BQ3081" s="2" t="s">
        <v>83</v>
      </c>
      <c r="BR3081" s="2" t="s">
        <v>84</v>
      </c>
      <c r="BS3081" s="3">
        <v>42975</v>
      </c>
      <c r="BT3081" s="4">
        <v>0.37083333333333335</v>
      </c>
      <c r="BU3081" s="2" t="s">
        <v>3271</v>
      </c>
      <c r="BV3081" s="2" t="s">
        <v>95</v>
      </c>
      <c r="BW3081" s="2"/>
      <c r="BX3081" s="2"/>
      <c r="BY3081" s="2">
        <v>4937.63</v>
      </c>
      <c r="BZ3081" s="2"/>
      <c r="CA3081" s="2" t="s">
        <v>112</v>
      </c>
      <c r="CB3081" s="2"/>
      <c r="CC3081" s="2" t="s">
        <v>106</v>
      </c>
      <c r="CD3081" s="2">
        <v>7405</v>
      </c>
      <c r="CE3081" s="2" t="s">
        <v>89</v>
      </c>
      <c r="CF3081" s="5">
        <v>42976</v>
      </c>
      <c r="CG3081" s="2"/>
      <c r="CH3081" s="2"/>
      <c r="CI3081" s="2">
        <v>1</v>
      </c>
      <c r="CJ3081" s="2">
        <v>1</v>
      </c>
      <c r="CK3081" s="2">
        <v>21</v>
      </c>
      <c r="CL3081" s="2" t="s">
        <v>86</v>
      </c>
      <c r="CM3081" s="2"/>
    </row>
    <row r="3082" spans="1:91">
      <c r="A3082" s="2" t="s">
        <v>71</v>
      </c>
      <c r="B3082" s="2" t="s">
        <v>72</v>
      </c>
      <c r="C3082" s="2" t="s">
        <v>73</v>
      </c>
      <c r="D3082" s="2"/>
      <c r="E3082" s="2" t="str">
        <f>"FES1162571488"</f>
        <v>FES1162571488</v>
      </c>
      <c r="F3082" s="3">
        <v>42972</v>
      </c>
      <c r="G3082" s="2">
        <v>201802</v>
      </c>
      <c r="H3082" s="2" t="s">
        <v>74</v>
      </c>
      <c r="I3082" s="2" t="s">
        <v>75</v>
      </c>
      <c r="J3082" s="2" t="s">
        <v>76</v>
      </c>
      <c r="K3082" s="2" t="s">
        <v>77</v>
      </c>
      <c r="L3082" s="2" t="s">
        <v>105</v>
      </c>
      <c r="M3082" s="2" t="s">
        <v>106</v>
      </c>
      <c r="N3082" s="2" t="s">
        <v>3272</v>
      </c>
      <c r="O3082" s="2" t="s">
        <v>100</v>
      </c>
      <c r="P3082" s="2" t="str">
        <f>"2170587116                    "</f>
        <v xml:space="preserve">2170587116                    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4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1</v>
      </c>
      <c r="BI3082" s="2">
        <v>1</v>
      </c>
      <c r="BJ3082" s="2">
        <v>0.2</v>
      </c>
      <c r="BK3082" s="2">
        <v>1</v>
      </c>
      <c r="BL3082" s="2">
        <v>41.44</v>
      </c>
      <c r="BM3082" s="2">
        <v>5.8</v>
      </c>
      <c r="BN3082" s="2">
        <v>47.24</v>
      </c>
      <c r="BO3082" s="2">
        <v>47.24</v>
      </c>
      <c r="BP3082" s="2"/>
      <c r="BQ3082" s="2" t="s">
        <v>108</v>
      </c>
      <c r="BR3082" s="2" t="s">
        <v>84</v>
      </c>
      <c r="BS3082" s="3">
        <v>42975</v>
      </c>
      <c r="BT3082" s="4">
        <v>0.33333333333333331</v>
      </c>
      <c r="BU3082" s="2" t="s">
        <v>3238</v>
      </c>
      <c r="BV3082" s="2" t="s">
        <v>95</v>
      </c>
      <c r="BW3082" s="2"/>
      <c r="BX3082" s="2"/>
      <c r="BY3082" s="2">
        <v>1200</v>
      </c>
      <c r="BZ3082" s="2"/>
      <c r="CA3082" s="2"/>
      <c r="CB3082" s="2"/>
      <c r="CC3082" s="2" t="s">
        <v>106</v>
      </c>
      <c r="CD3082" s="2">
        <v>7530</v>
      </c>
      <c r="CE3082" s="2" t="s">
        <v>104</v>
      </c>
      <c r="CF3082" s="5">
        <v>42976</v>
      </c>
      <c r="CG3082" s="2"/>
      <c r="CH3082" s="2"/>
      <c r="CI3082" s="2">
        <v>1</v>
      </c>
      <c r="CJ3082" s="2">
        <v>1</v>
      </c>
      <c r="CK3082" s="2">
        <v>21</v>
      </c>
      <c r="CL3082" s="2" t="s">
        <v>86</v>
      </c>
      <c r="CM3082" s="2"/>
    </row>
    <row r="3083" spans="1:91">
      <c r="A3083" s="2" t="s">
        <v>71</v>
      </c>
      <c r="B3083" s="2" t="s">
        <v>72</v>
      </c>
      <c r="C3083" s="2" t="s">
        <v>73</v>
      </c>
      <c r="D3083" s="2"/>
      <c r="E3083" s="2" t="str">
        <f>"FES1162571487"</f>
        <v>FES1162571487</v>
      </c>
      <c r="F3083" s="3">
        <v>42972</v>
      </c>
      <c r="G3083" s="2">
        <v>201802</v>
      </c>
      <c r="H3083" s="2" t="s">
        <v>74</v>
      </c>
      <c r="I3083" s="2" t="s">
        <v>75</v>
      </c>
      <c r="J3083" s="2" t="s">
        <v>76</v>
      </c>
      <c r="K3083" s="2" t="s">
        <v>77</v>
      </c>
      <c r="L3083" s="2" t="s">
        <v>105</v>
      </c>
      <c r="M3083" s="2" t="s">
        <v>106</v>
      </c>
      <c r="N3083" s="2" t="s">
        <v>3272</v>
      </c>
      <c r="O3083" s="2" t="s">
        <v>100</v>
      </c>
      <c r="P3083" s="2" t="str">
        <f>"2170587114                    "</f>
        <v xml:space="preserve">2170587114                    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4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1</v>
      </c>
      <c r="BI3083" s="2">
        <v>1.3</v>
      </c>
      <c r="BJ3083" s="2">
        <v>0.9</v>
      </c>
      <c r="BK3083" s="2">
        <v>1.5</v>
      </c>
      <c r="BL3083" s="2">
        <v>41.44</v>
      </c>
      <c r="BM3083" s="2">
        <v>5.8</v>
      </c>
      <c r="BN3083" s="2">
        <v>47.24</v>
      </c>
      <c r="BO3083" s="2">
        <v>47.24</v>
      </c>
      <c r="BP3083" s="2"/>
      <c r="BQ3083" s="2" t="s">
        <v>108</v>
      </c>
      <c r="BR3083" s="2" t="s">
        <v>84</v>
      </c>
      <c r="BS3083" s="3">
        <v>42975</v>
      </c>
      <c r="BT3083" s="4">
        <v>0.33333333333333331</v>
      </c>
      <c r="BU3083" s="2" t="s">
        <v>3273</v>
      </c>
      <c r="BV3083" s="2" t="s">
        <v>95</v>
      </c>
      <c r="BW3083" s="2"/>
      <c r="BX3083" s="2"/>
      <c r="BY3083" s="2">
        <v>4278.09</v>
      </c>
      <c r="BZ3083" s="2"/>
      <c r="CA3083" s="2"/>
      <c r="CB3083" s="2"/>
      <c r="CC3083" s="2" t="s">
        <v>106</v>
      </c>
      <c r="CD3083" s="2">
        <v>7530</v>
      </c>
      <c r="CE3083" s="2" t="s">
        <v>135</v>
      </c>
      <c r="CF3083" s="5">
        <v>42976</v>
      </c>
      <c r="CG3083" s="2"/>
      <c r="CH3083" s="2"/>
      <c r="CI3083" s="2">
        <v>1</v>
      </c>
      <c r="CJ3083" s="2">
        <v>1</v>
      </c>
      <c r="CK3083" s="2">
        <v>21</v>
      </c>
      <c r="CL3083" s="2" t="s">
        <v>86</v>
      </c>
      <c r="CM3083" s="2"/>
    </row>
    <row r="3084" spans="1:91">
      <c r="A3084" s="2" t="s">
        <v>71</v>
      </c>
      <c r="B3084" s="2" t="s">
        <v>72</v>
      </c>
      <c r="C3084" s="2" t="s">
        <v>73</v>
      </c>
      <c r="D3084" s="2"/>
      <c r="E3084" s="2" t="str">
        <f>"FES1162571489"</f>
        <v>FES1162571489</v>
      </c>
      <c r="F3084" s="3">
        <v>42972</v>
      </c>
      <c r="G3084" s="2">
        <v>201802</v>
      </c>
      <c r="H3084" s="2" t="s">
        <v>74</v>
      </c>
      <c r="I3084" s="2" t="s">
        <v>75</v>
      </c>
      <c r="J3084" s="2" t="s">
        <v>76</v>
      </c>
      <c r="K3084" s="2" t="s">
        <v>77</v>
      </c>
      <c r="L3084" s="2" t="s">
        <v>105</v>
      </c>
      <c r="M3084" s="2" t="s">
        <v>106</v>
      </c>
      <c r="N3084" s="2" t="s">
        <v>746</v>
      </c>
      <c r="O3084" s="2" t="s">
        <v>100</v>
      </c>
      <c r="P3084" s="2" t="str">
        <f>"2170587125                    "</f>
        <v xml:space="preserve">2170587125                    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4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1</v>
      </c>
      <c r="BI3084" s="2">
        <v>1</v>
      </c>
      <c r="BJ3084" s="2">
        <v>0.2</v>
      </c>
      <c r="BK3084" s="2">
        <v>1</v>
      </c>
      <c r="BL3084" s="2">
        <v>41.44</v>
      </c>
      <c r="BM3084" s="2">
        <v>5.8</v>
      </c>
      <c r="BN3084" s="2">
        <v>47.24</v>
      </c>
      <c r="BO3084" s="2">
        <v>47.24</v>
      </c>
      <c r="BP3084" s="2"/>
      <c r="BQ3084" s="2" t="s">
        <v>108</v>
      </c>
      <c r="BR3084" s="2" t="s">
        <v>84</v>
      </c>
      <c r="BS3084" s="3">
        <v>42975</v>
      </c>
      <c r="BT3084" s="4">
        <v>0.36180555555555555</v>
      </c>
      <c r="BU3084" s="2" t="s">
        <v>747</v>
      </c>
      <c r="BV3084" s="2" t="s">
        <v>95</v>
      </c>
      <c r="BW3084" s="2"/>
      <c r="BX3084" s="2"/>
      <c r="BY3084" s="2">
        <v>1200</v>
      </c>
      <c r="BZ3084" s="2"/>
      <c r="CA3084" s="2" t="s">
        <v>748</v>
      </c>
      <c r="CB3084" s="2"/>
      <c r="CC3084" s="2" t="s">
        <v>106</v>
      </c>
      <c r="CD3084" s="2">
        <v>7441</v>
      </c>
      <c r="CE3084" s="2" t="s">
        <v>104</v>
      </c>
      <c r="CF3084" s="5">
        <v>42976</v>
      </c>
      <c r="CG3084" s="2"/>
      <c r="CH3084" s="2"/>
      <c r="CI3084" s="2">
        <v>1</v>
      </c>
      <c r="CJ3084" s="2">
        <v>1</v>
      </c>
      <c r="CK3084" s="2">
        <v>21</v>
      </c>
      <c r="CL3084" s="2" t="s">
        <v>86</v>
      </c>
      <c r="CM3084" s="2"/>
    </row>
    <row r="3085" spans="1:91">
      <c r="A3085" s="2" t="s">
        <v>71</v>
      </c>
      <c r="B3085" s="2" t="s">
        <v>72</v>
      </c>
      <c r="C3085" s="2" t="s">
        <v>73</v>
      </c>
      <c r="D3085" s="2"/>
      <c r="E3085" s="2" t="str">
        <f>"FES1162571541"</f>
        <v>FES1162571541</v>
      </c>
      <c r="F3085" s="3">
        <v>42972</v>
      </c>
      <c r="G3085" s="2">
        <v>201802</v>
      </c>
      <c r="H3085" s="2" t="s">
        <v>74</v>
      </c>
      <c r="I3085" s="2" t="s">
        <v>75</v>
      </c>
      <c r="J3085" s="2" t="s">
        <v>76</v>
      </c>
      <c r="K3085" s="2" t="s">
        <v>77</v>
      </c>
      <c r="L3085" s="2" t="s">
        <v>715</v>
      </c>
      <c r="M3085" s="2" t="s">
        <v>716</v>
      </c>
      <c r="N3085" s="2" t="s">
        <v>717</v>
      </c>
      <c r="O3085" s="2" t="s">
        <v>100</v>
      </c>
      <c r="P3085" s="2" t="str">
        <f>"2170587164                    "</f>
        <v xml:space="preserve">2170587164                    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4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1</v>
      </c>
      <c r="BI3085" s="2">
        <v>1</v>
      </c>
      <c r="BJ3085" s="2">
        <v>0.2</v>
      </c>
      <c r="BK3085" s="2">
        <v>1</v>
      </c>
      <c r="BL3085" s="2">
        <v>41.44</v>
      </c>
      <c r="BM3085" s="2">
        <v>5.8</v>
      </c>
      <c r="BN3085" s="2">
        <v>47.24</v>
      </c>
      <c r="BO3085" s="2">
        <v>47.24</v>
      </c>
      <c r="BP3085" s="2"/>
      <c r="BQ3085" s="2" t="s">
        <v>108</v>
      </c>
      <c r="BR3085" s="2" t="s">
        <v>84</v>
      </c>
      <c r="BS3085" s="3">
        <v>42975</v>
      </c>
      <c r="BT3085" s="4">
        <v>0.44513888888888892</v>
      </c>
      <c r="BU3085" s="2" t="s">
        <v>718</v>
      </c>
      <c r="BV3085" s="2" t="s">
        <v>95</v>
      </c>
      <c r="BW3085" s="2"/>
      <c r="BX3085" s="2"/>
      <c r="BY3085" s="2">
        <v>1200</v>
      </c>
      <c r="BZ3085" s="2"/>
      <c r="CA3085" s="2" t="s">
        <v>566</v>
      </c>
      <c r="CB3085" s="2"/>
      <c r="CC3085" s="2" t="s">
        <v>716</v>
      </c>
      <c r="CD3085" s="2">
        <v>3290</v>
      </c>
      <c r="CE3085" s="2" t="s">
        <v>104</v>
      </c>
      <c r="CF3085" s="5">
        <v>42977</v>
      </c>
      <c r="CG3085" s="2"/>
      <c r="CH3085" s="2"/>
      <c r="CI3085" s="2">
        <v>1</v>
      </c>
      <c r="CJ3085" s="2">
        <v>1</v>
      </c>
      <c r="CK3085" s="2">
        <v>21</v>
      </c>
      <c r="CL3085" s="2" t="s">
        <v>86</v>
      </c>
      <c r="CM3085" s="2"/>
    </row>
    <row r="3086" spans="1:91">
      <c r="A3086" s="2" t="s">
        <v>71</v>
      </c>
      <c r="B3086" s="2" t="s">
        <v>72</v>
      </c>
      <c r="C3086" s="2" t="s">
        <v>73</v>
      </c>
      <c r="D3086" s="2"/>
      <c r="E3086" s="2" t="str">
        <f>"FES1162571439"</f>
        <v>FES1162571439</v>
      </c>
      <c r="F3086" s="3">
        <v>42972</v>
      </c>
      <c r="G3086" s="2">
        <v>201802</v>
      </c>
      <c r="H3086" s="2" t="s">
        <v>74</v>
      </c>
      <c r="I3086" s="2" t="s">
        <v>75</v>
      </c>
      <c r="J3086" s="2" t="s">
        <v>76</v>
      </c>
      <c r="K3086" s="2" t="s">
        <v>77</v>
      </c>
      <c r="L3086" s="2" t="s">
        <v>417</v>
      </c>
      <c r="M3086" s="2" t="s">
        <v>417</v>
      </c>
      <c r="N3086" s="2" t="s">
        <v>475</v>
      </c>
      <c r="O3086" s="2" t="s">
        <v>100</v>
      </c>
      <c r="P3086" s="2" t="str">
        <f>"2170586480                    "</f>
        <v xml:space="preserve">2170586480                    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4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1</v>
      </c>
      <c r="BI3086" s="2">
        <v>1</v>
      </c>
      <c r="BJ3086" s="2">
        <v>0.2</v>
      </c>
      <c r="BK3086" s="2">
        <v>1</v>
      </c>
      <c r="BL3086" s="2">
        <v>41.44</v>
      </c>
      <c r="BM3086" s="2">
        <v>5.8</v>
      </c>
      <c r="BN3086" s="2">
        <v>47.24</v>
      </c>
      <c r="BO3086" s="2">
        <v>47.24</v>
      </c>
      <c r="BP3086" s="2"/>
      <c r="BQ3086" s="2" t="s">
        <v>108</v>
      </c>
      <c r="BR3086" s="2" t="s">
        <v>84</v>
      </c>
      <c r="BS3086" s="3">
        <v>42975</v>
      </c>
      <c r="BT3086" s="4">
        <v>0.50624999999999998</v>
      </c>
      <c r="BU3086" s="2" t="s">
        <v>509</v>
      </c>
      <c r="BV3086" s="2" t="s">
        <v>95</v>
      </c>
      <c r="BW3086" s="2"/>
      <c r="BX3086" s="2"/>
      <c r="BY3086" s="2">
        <v>1200</v>
      </c>
      <c r="BZ3086" s="2"/>
      <c r="CA3086" s="2" t="s">
        <v>460</v>
      </c>
      <c r="CB3086" s="2"/>
      <c r="CC3086" s="2" t="s">
        <v>417</v>
      </c>
      <c r="CD3086" s="2">
        <v>7646</v>
      </c>
      <c r="CE3086" s="2" t="s">
        <v>104</v>
      </c>
      <c r="CF3086" s="5">
        <v>42976</v>
      </c>
      <c r="CG3086" s="2"/>
      <c r="CH3086" s="2"/>
      <c r="CI3086" s="2">
        <v>1</v>
      </c>
      <c r="CJ3086" s="2">
        <v>1</v>
      </c>
      <c r="CK3086" s="2">
        <v>21</v>
      </c>
      <c r="CL3086" s="2" t="s">
        <v>86</v>
      </c>
      <c r="CM3086" s="2"/>
    </row>
    <row r="3087" spans="1:91">
      <c r="A3087" s="2" t="s">
        <v>71</v>
      </c>
      <c r="B3087" s="2" t="s">
        <v>72</v>
      </c>
      <c r="C3087" s="2" t="s">
        <v>73</v>
      </c>
      <c r="D3087" s="2"/>
      <c r="E3087" s="2" t="str">
        <f>"FES1162571440"</f>
        <v>FES1162571440</v>
      </c>
      <c r="F3087" s="3">
        <v>42972</v>
      </c>
      <c r="G3087" s="2">
        <v>201802</v>
      </c>
      <c r="H3087" s="2" t="s">
        <v>74</v>
      </c>
      <c r="I3087" s="2" t="s">
        <v>75</v>
      </c>
      <c r="J3087" s="2" t="s">
        <v>76</v>
      </c>
      <c r="K3087" s="2" t="s">
        <v>77</v>
      </c>
      <c r="L3087" s="2" t="s">
        <v>137</v>
      </c>
      <c r="M3087" s="2" t="s">
        <v>138</v>
      </c>
      <c r="N3087" s="2" t="s">
        <v>226</v>
      </c>
      <c r="O3087" s="2" t="s">
        <v>100</v>
      </c>
      <c r="P3087" s="2" t="str">
        <f>"2170586496                    "</f>
        <v xml:space="preserve">2170586496                    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4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1</v>
      </c>
      <c r="BI3087" s="2">
        <v>1.8</v>
      </c>
      <c r="BJ3087" s="2">
        <v>1.5</v>
      </c>
      <c r="BK3087" s="2">
        <v>2</v>
      </c>
      <c r="BL3087" s="2">
        <v>41.44</v>
      </c>
      <c r="BM3087" s="2">
        <v>5.8</v>
      </c>
      <c r="BN3087" s="2">
        <v>47.24</v>
      </c>
      <c r="BO3087" s="2">
        <v>47.24</v>
      </c>
      <c r="BP3087" s="2"/>
      <c r="BQ3087" s="2" t="s">
        <v>227</v>
      </c>
      <c r="BR3087" s="2" t="s">
        <v>84</v>
      </c>
      <c r="BS3087" s="3">
        <v>42975</v>
      </c>
      <c r="BT3087" s="4">
        <v>0.41736111111111113</v>
      </c>
      <c r="BU3087" s="2" t="s">
        <v>3274</v>
      </c>
      <c r="BV3087" s="2" t="s">
        <v>95</v>
      </c>
      <c r="BW3087" s="2"/>
      <c r="BX3087" s="2"/>
      <c r="BY3087" s="2">
        <v>7629.8</v>
      </c>
      <c r="BZ3087" s="2"/>
      <c r="CA3087" s="2" t="s">
        <v>970</v>
      </c>
      <c r="CB3087" s="2"/>
      <c r="CC3087" s="2" t="s">
        <v>138</v>
      </c>
      <c r="CD3087" s="2">
        <v>157</v>
      </c>
      <c r="CE3087" s="2" t="s">
        <v>89</v>
      </c>
      <c r="CF3087" s="5">
        <v>42976</v>
      </c>
      <c r="CG3087" s="2"/>
      <c r="CH3087" s="2"/>
      <c r="CI3087" s="2">
        <v>1</v>
      </c>
      <c r="CJ3087" s="2">
        <v>1</v>
      </c>
      <c r="CK3087" s="2">
        <v>21</v>
      </c>
      <c r="CL3087" s="2" t="s">
        <v>86</v>
      </c>
      <c r="CM3087" s="2"/>
    </row>
    <row r="3088" spans="1:91">
      <c r="A3088" s="2" t="s">
        <v>71</v>
      </c>
      <c r="B3088" s="2" t="s">
        <v>72</v>
      </c>
      <c r="C3088" s="2" t="s">
        <v>73</v>
      </c>
      <c r="D3088" s="2"/>
      <c r="E3088" s="2" t="str">
        <f>"FES1162571507"</f>
        <v>FES1162571507</v>
      </c>
      <c r="F3088" s="3">
        <v>42972</v>
      </c>
      <c r="G3088" s="2">
        <v>201802</v>
      </c>
      <c r="H3088" s="2" t="s">
        <v>74</v>
      </c>
      <c r="I3088" s="2" t="s">
        <v>75</v>
      </c>
      <c r="J3088" s="2" t="s">
        <v>76</v>
      </c>
      <c r="K3088" s="2" t="s">
        <v>77</v>
      </c>
      <c r="L3088" s="2" t="s">
        <v>524</v>
      </c>
      <c r="M3088" s="2" t="s">
        <v>525</v>
      </c>
      <c r="N3088" s="2" t="s">
        <v>1777</v>
      </c>
      <c r="O3088" s="2" t="s">
        <v>100</v>
      </c>
      <c r="P3088" s="2" t="str">
        <f>"2170587147                    "</f>
        <v xml:space="preserve">2170587147                    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18.260000000000002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1</v>
      </c>
      <c r="BI3088" s="2">
        <v>4.8</v>
      </c>
      <c r="BJ3088" s="2">
        <v>3.6</v>
      </c>
      <c r="BK3088" s="2">
        <v>5</v>
      </c>
      <c r="BL3088" s="2">
        <v>189.08</v>
      </c>
      <c r="BM3088" s="2">
        <v>26.47</v>
      </c>
      <c r="BN3088" s="2">
        <v>215.55</v>
      </c>
      <c r="BO3088" s="2">
        <v>215.55</v>
      </c>
      <c r="BP3088" s="2"/>
      <c r="BQ3088" s="2" t="s">
        <v>13</v>
      </c>
      <c r="BR3088" s="2" t="s">
        <v>84</v>
      </c>
      <c r="BS3088" s="3">
        <v>42975</v>
      </c>
      <c r="BT3088" s="4">
        <v>0.85902777777777783</v>
      </c>
      <c r="BU3088" s="2" t="s">
        <v>3275</v>
      </c>
      <c r="BV3088" s="2" t="s">
        <v>95</v>
      </c>
      <c r="BW3088" s="2"/>
      <c r="BX3088" s="2"/>
      <c r="BY3088" s="2">
        <v>18120.36</v>
      </c>
      <c r="BZ3088" s="2"/>
      <c r="CA3088" s="2" t="s">
        <v>3276</v>
      </c>
      <c r="CB3088" s="2"/>
      <c r="CC3088" s="2" t="s">
        <v>525</v>
      </c>
      <c r="CD3088" s="2">
        <v>5660</v>
      </c>
      <c r="CE3088" s="2" t="s">
        <v>89</v>
      </c>
      <c r="CF3088" s="5">
        <v>42977</v>
      </c>
      <c r="CG3088" s="2"/>
      <c r="CH3088" s="2"/>
      <c r="CI3088" s="2">
        <v>3</v>
      </c>
      <c r="CJ3088" s="2">
        <v>1</v>
      </c>
      <c r="CK3088" s="2">
        <v>23</v>
      </c>
      <c r="CL3088" s="2" t="s">
        <v>86</v>
      </c>
      <c r="CM3088" s="2"/>
    </row>
    <row r="3089" spans="1:91">
      <c r="A3089" s="2" t="s">
        <v>71</v>
      </c>
      <c r="B3089" s="2" t="s">
        <v>72</v>
      </c>
      <c r="C3089" s="2" t="s">
        <v>73</v>
      </c>
      <c r="D3089" s="2"/>
      <c r="E3089" s="2" t="str">
        <f>"FES1162571426"</f>
        <v>FES1162571426</v>
      </c>
      <c r="F3089" s="3">
        <v>42972</v>
      </c>
      <c r="G3089" s="2">
        <v>201802</v>
      </c>
      <c r="H3089" s="2" t="s">
        <v>74</v>
      </c>
      <c r="I3089" s="2" t="s">
        <v>75</v>
      </c>
      <c r="J3089" s="2" t="s">
        <v>76</v>
      </c>
      <c r="K3089" s="2" t="s">
        <v>77</v>
      </c>
      <c r="L3089" s="2" t="s">
        <v>128</v>
      </c>
      <c r="M3089" s="2" t="s">
        <v>129</v>
      </c>
      <c r="N3089" s="2" t="s">
        <v>130</v>
      </c>
      <c r="O3089" s="2" t="s">
        <v>100</v>
      </c>
      <c r="P3089" s="2" t="str">
        <f>"2170585088                    "</f>
        <v xml:space="preserve">2170585088                    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4.25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0</v>
      </c>
      <c r="BE3089" s="2">
        <v>0</v>
      </c>
      <c r="BF3089" s="2">
        <v>0</v>
      </c>
      <c r="BG3089" s="2">
        <v>0</v>
      </c>
      <c r="BH3089" s="2">
        <v>1</v>
      </c>
      <c r="BI3089" s="2">
        <v>10.4</v>
      </c>
      <c r="BJ3089" s="2">
        <v>8.9</v>
      </c>
      <c r="BK3089" s="2">
        <v>11</v>
      </c>
      <c r="BL3089" s="2">
        <v>44.03</v>
      </c>
      <c r="BM3089" s="2">
        <v>6.16</v>
      </c>
      <c r="BN3089" s="2">
        <v>50.19</v>
      </c>
      <c r="BO3089" s="2">
        <v>50.19</v>
      </c>
      <c r="BP3089" s="2"/>
      <c r="BQ3089" s="2" t="s">
        <v>83</v>
      </c>
      <c r="BR3089" s="2" t="s">
        <v>84</v>
      </c>
      <c r="BS3089" s="3">
        <v>42975</v>
      </c>
      <c r="BT3089" s="4">
        <v>0.36458333333333331</v>
      </c>
      <c r="BU3089" s="2" t="s">
        <v>330</v>
      </c>
      <c r="BV3089" s="2" t="s">
        <v>95</v>
      </c>
      <c r="BW3089" s="2"/>
      <c r="BX3089" s="2"/>
      <c r="BY3089" s="2">
        <v>44617.48</v>
      </c>
      <c r="BZ3089" s="2"/>
      <c r="CA3089" s="2"/>
      <c r="CB3089" s="2"/>
      <c r="CC3089" s="2" t="s">
        <v>129</v>
      </c>
      <c r="CD3089" s="2">
        <v>1724</v>
      </c>
      <c r="CE3089" s="2" t="s">
        <v>89</v>
      </c>
      <c r="CF3089" s="5">
        <v>42976</v>
      </c>
      <c r="CG3089" s="2"/>
      <c r="CH3089" s="2"/>
      <c r="CI3089" s="2">
        <v>1</v>
      </c>
      <c r="CJ3089" s="2">
        <v>1</v>
      </c>
      <c r="CK3089" s="2">
        <v>22</v>
      </c>
      <c r="CL3089" s="2" t="s">
        <v>86</v>
      </c>
      <c r="CM3089" s="2"/>
    </row>
    <row r="3090" spans="1:91">
      <c r="A3090" s="2" t="s">
        <v>71</v>
      </c>
      <c r="B3090" s="2" t="s">
        <v>72</v>
      </c>
      <c r="C3090" s="2" t="s">
        <v>73</v>
      </c>
      <c r="D3090" s="2"/>
      <c r="E3090" s="2" t="str">
        <f>"FES1162571428"</f>
        <v>FES1162571428</v>
      </c>
      <c r="F3090" s="3">
        <v>42972</v>
      </c>
      <c r="G3090" s="2">
        <v>201802</v>
      </c>
      <c r="H3090" s="2" t="s">
        <v>74</v>
      </c>
      <c r="I3090" s="2" t="s">
        <v>75</v>
      </c>
      <c r="J3090" s="2" t="s">
        <v>76</v>
      </c>
      <c r="K3090" s="2" t="s">
        <v>77</v>
      </c>
      <c r="L3090" s="2" t="s">
        <v>97</v>
      </c>
      <c r="M3090" s="2" t="s">
        <v>98</v>
      </c>
      <c r="N3090" s="2" t="s">
        <v>3277</v>
      </c>
      <c r="O3090" s="2" t="s">
        <v>100</v>
      </c>
      <c r="P3090" s="2" t="str">
        <f>"2170585124                    "</f>
        <v xml:space="preserve">2170585124                    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7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1.5</v>
      </c>
      <c r="BJ3090" s="2">
        <v>3.5</v>
      </c>
      <c r="BK3090" s="2">
        <v>3.5</v>
      </c>
      <c r="BL3090" s="2">
        <v>72.52</v>
      </c>
      <c r="BM3090" s="2">
        <v>10.15</v>
      </c>
      <c r="BN3090" s="2">
        <v>82.67</v>
      </c>
      <c r="BO3090" s="2">
        <v>82.67</v>
      </c>
      <c r="BP3090" s="2"/>
      <c r="BQ3090" s="2" t="s">
        <v>83</v>
      </c>
      <c r="BR3090" s="2" t="s">
        <v>84</v>
      </c>
      <c r="BS3090" s="3">
        <v>42975</v>
      </c>
      <c r="BT3090" s="4">
        <v>0.4055555555555555</v>
      </c>
      <c r="BU3090" s="2" t="s">
        <v>3278</v>
      </c>
      <c r="BV3090" s="2" t="s">
        <v>95</v>
      </c>
      <c r="BW3090" s="2"/>
      <c r="BX3090" s="2"/>
      <c r="BY3090" s="2">
        <v>17383.18</v>
      </c>
      <c r="BZ3090" s="2"/>
      <c r="CA3090" s="2" t="s">
        <v>627</v>
      </c>
      <c r="CB3090" s="2"/>
      <c r="CC3090" s="2" t="s">
        <v>98</v>
      </c>
      <c r="CD3090" s="2">
        <v>6001</v>
      </c>
      <c r="CE3090" s="2" t="s">
        <v>89</v>
      </c>
      <c r="CF3090" s="5">
        <v>42976</v>
      </c>
      <c r="CG3090" s="2"/>
      <c r="CH3090" s="2"/>
      <c r="CI3090" s="2">
        <v>1</v>
      </c>
      <c r="CJ3090" s="2">
        <v>1</v>
      </c>
      <c r="CK3090" s="2">
        <v>21</v>
      </c>
      <c r="CL3090" s="2" t="s">
        <v>86</v>
      </c>
      <c r="CM3090" s="2"/>
    </row>
    <row r="3091" spans="1:91">
      <c r="A3091" s="2" t="s">
        <v>71</v>
      </c>
      <c r="B3091" s="2" t="s">
        <v>72</v>
      </c>
      <c r="C3091" s="2" t="s">
        <v>73</v>
      </c>
      <c r="D3091" s="2"/>
      <c r="E3091" s="2" t="str">
        <f>"FES1162571414"</f>
        <v>FES1162571414</v>
      </c>
      <c r="F3091" s="3">
        <v>42972</v>
      </c>
      <c r="G3091" s="2">
        <v>201802</v>
      </c>
      <c r="H3091" s="2" t="s">
        <v>74</v>
      </c>
      <c r="I3091" s="2" t="s">
        <v>75</v>
      </c>
      <c r="J3091" s="2" t="s">
        <v>76</v>
      </c>
      <c r="K3091" s="2" t="s">
        <v>77</v>
      </c>
      <c r="L3091" s="2" t="s">
        <v>97</v>
      </c>
      <c r="M3091" s="2" t="s">
        <v>98</v>
      </c>
      <c r="N3091" s="2" t="s">
        <v>214</v>
      </c>
      <c r="O3091" s="2" t="s">
        <v>100</v>
      </c>
      <c r="P3091" s="2" t="str">
        <f>"2170584898                    "</f>
        <v xml:space="preserve">2170584898                    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5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1</v>
      </c>
      <c r="BI3091" s="2">
        <v>2.2999999999999998</v>
      </c>
      <c r="BJ3091" s="2">
        <v>2.5</v>
      </c>
      <c r="BK3091" s="2">
        <v>2.5</v>
      </c>
      <c r="BL3091" s="2">
        <v>51.8</v>
      </c>
      <c r="BM3091" s="2">
        <v>7.25</v>
      </c>
      <c r="BN3091" s="2">
        <v>59.05</v>
      </c>
      <c r="BO3091" s="2">
        <v>59.05</v>
      </c>
      <c r="BP3091" s="2"/>
      <c r="BQ3091" s="2" t="s">
        <v>108</v>
      </c>
      <c r="BR3091" s="2" t="s">
        <v>84</v>
      </c>
      <c r="BS3091" s="3">
        <v>42975</v>
      </c>
      <c r="BT3091" s="4">
        <v>0.47083333333333338</v>
      </c>
      <c r="BU3091" s="2" t="s">
        <v>3279</v>
      </c>
      <c r="BV3091" s="2" t="s">
        <v>86</v>
      </c>
      <c r="BW3091" s="2" t="s">
        <v>115</v>
      </c>
      <c r="BX3091" s="2" t="s">
        <v>1028</v>
      </c>
      <c r="BY3091" s="2">
        <v>12421.5</v>
      </c>
      <c r="BZ3091" s="2"/>
      <c r="CA3091" s="2" t="s">
        <v>3280</v>
      </c>
      <c r="CB3091" s="2"/>
      <c r="CC3091" s="2" t="s">
        <v>98</v>
      </c>
      <c r="CD3091" s="2">
        <v>6001</v>
      </c>
      <c r="CE3091" s="2" t="s">
        <v>89</v>
      </c>
      <c r="CF3091" s="5">
        <v>42976</v>
      </c>
      <c r="CG3091" s="2"/>
      <c r="CH3091" s="2"/>
      <c r="CI3091" s="2">
        <v>1</v>
      </c>
      <c r="CJ3091" s="2">
        <v>1</v>
      </c>
      <c r="CK3091" s="2">
        <v>21</v>
      </c>
      <c r="CL3091" s="2" t="s">
        <v>86</v>
      </c>
      <c r="CM3091" s="2"/>
    </row>
    <row r="3092" spans="1:91">
      <c r="A3092" s="2" t="s">
        <v>71</v>
      </c>
      <c r="B3092" s="2" t="s">
        <v>72</v>
      </c>
      <c r="C3092" s="2" t="s">
        <v>73</v>
      </c>
      <c r="D3092" s="2"/>
      <c r="E3092" s="2" t="str">
        <f>"FES1162571443"</f>
        <v>FES1162571443</v>
      </c>
      <c r="F3092" s="3">
        <v>42972</v>
      </c>
      <c r="G3092" s="2">
        <v>201802</v>
      </c>
      <c r="H3092" s="2" t="s">
        <v>74</v>
      </c>
      <c r="I3092" s="2" t="s">
        <v>75</v>
      </c>
      <c r="J3092" s="2" t="s">
        <v>76</v>
      </c>
      <c r="K3092" s="2" t="s">
        <v>77</v>
      </c>
      <c r="L3092" s="2" t="s">
        <v>74</v>
      </c>
      <c r="M3092" s="2" t="s">
        <v>75</v>
      </c>
      <c r="N3092" s="2" t="s">
        <v>3281</v>
      </c>
      <c r="O3092" s="2" t="s">
        <v>100</v>
      </c>
      <c r="P3092" s="2" t="str">
        <f>"2170586737                    "</f>
        <v xml:space="preserve">2170586737                    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3.13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1</v>
      </c>
      <c r="BI3092" s="2">
        <v>1</v>
      </c>
      <c r="BJ3092" s="2">
        <v>0.2</v>
      </c>
      <c r="BK3092" s="2">
        <v>1</v>
      </c>
      <c r="BL3092" s="2">
        <v>32.380000000000003</v>
      </c>
      <c r="BM3092" s="2">
        <v>4.53</v>
      </c>
      <c r="BN3092" s="2">
        <v>36.909999999999997</v>
      </c>
      <c r="BO3092" s="2">
        <v>36.909999999999997</v>
      </c>
      <c r="BP3092" s="2"/>
      <c r="BQ3092" s="2" t="s">
        <v>83</v>
      </c>
      <c r="BR3092" s="2" t="s">
        <v>84</v>
      </c>
      <c r="BS3092" s="3">
        <v>42975</v>
      </c>
      <c r="BT3092" s="4">
        <v>0.34375</v>
      </c>
      <c r="BU3092" s="2" t="s">
        <v>1360</v>
      </c>
      <c r="BV3092" s="2" t="s">
        <v>95</v>
      </c>
      <c r="BW3092" s="2"/>
      <c r="BX3092" s="2"/>
      <c r="BY3092" s="2">
        <v>1200</v>
      </c>
      <c r="BZ3092" s="2"/>
      <c r="CA3092" s="2"/>
      <c r="CB3092" s="2"/>
      <c r="CC3092" s="2" t="s">
        <v>75</v>
      </c>
      <c r="CD3092" s="2">
        <v>1609</v>
      </c>
      <c r="CE3092" s="2" t="s">
        <v>104</v>
      </c>
      <c r="CF3092" s="5">
        <v>42976</v>
      </c>
      <c r="CG3092" s="2"/>
      <c r="CH3092" s="2"/>
      <c r="CI3092" s="2">
        <v>1</v>
      </c>
      <c r="CJ3092" s="2">
        <v>1</v>
      </c>
      <c r="CK3092" s="2">
        <v>22</v>
      </c>
      <c r="CL3092" s="2" t="s">
        <v>86</v>
      </c>
      <c r="CM3092" s="2"/>
    </row>
    <row r="3093" spans="1:91">
      <c r="A3093" s="2" t="s">
        <v>71</v>
      </c>
      <c r="B3093" s="2" t="s">
        <v>72</v>
      </c>
      <c r="C3093" s="2" t="s">
        <v>73</v>
      </c>
      <c r="D3093" s="2"/>
      <c r="E3093" s="2" t="str">
        <f>"FES1162571432"</f>
        <v>FES1162571432</v>
      </c>
      <c r="F3093" s="3">
        <v>42972</v>
      </c>
      <c r="G3093" s="2">
        <v>201802</v>
      </c>
      <c r="H3093" s="2" t="s">
        <v>74</v>
      </c>
      <c r="I3093" s="2" t="s">
        <v>75</v>
      </c>
      <c r="J3093" s="2" t="s">
        <v>76</v>
      </c>
      <c r="K3093" s="2" t="s">
        <v>77</v>
      </c>
      <c r="L3093" s="2" t="s">
        <v>144</v>
      </c>
      <c r="M3093" s="2" t="s">
        <v>145</v>
      </c>
      <c r="N3093" s="2" t="s">
        <v>146</v>
      </c>
      <c r="O3093" s="2" t="s">
        <v>100</v>
      </c>
      <c r="P3093" s="2" t="str">
        <f>"2170586000                    "</f>
        <v xml:space="preserve">2170586000                    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3.13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1</v>
      </c>
      <c r="BI3093" s="2">
        <v>1</v>
      </c>
      <c r="BJ3093" s="2">
        <v>0.2</v>
      </c>
      <c r="BK3093" s="2">
        <v>1</v>
      </c>
      <c r="BL3093" s="2">
        <v>32.380000000000003</v>
      </c>
      <c r="BM3093" s="2">
        <v>4.53</v>
      </c>
      <c r="BN3093" s="2">
        <v>36.909999999999997</v>
      </c>
      <c r="BO3093" s="2">
        <v>36.909999999999997</v>
      </c>
      <c r="BP3093" s="2"/>
      <c r="BQ3093" s="2" t="s">
        <v>83</v>
      </c>
      <c r="BR3093" s="2" t="s">
        <v>84</v>
      </c>
      <c r="BS3093" s="3">
        <v>42975</v>
      </c>
      <c r="BT3093" s="4">
        <v>0.36805555555555558</v>
      </c>
      <c r="BU3093" s="2" t="s">
        <v>785</v>
      </c>
      <c r="BV3093" s="2" t="s">
        <v>95</v>
      </c>
      <c r="BW3093" s="2"/>
      <c r="BX3093" s="2"/>
      <c r="BY3093" s="2">
        <v>1200</v>
      </c>
      <c r="BZ3093" s="2"/>
      <c r="CA3093" s="2"/>
      <c r="CB3093" s="2"/>
      <c r="CC3093" s="2" t="s">
        <v>145</v>
      </c>
      <c r="CD3093" s="2">
        <v>2094</v>
      </c>
      <c r="CE3093" s="2" t="s">
        <v>104</v>
      </c>
      <c r="CF3093" s="5">
        <v>42976</v>
      </c>
      <c r="CG3093" s="2"/>
      <c r="CH3093" s="2"/>
      <c r="CI3093" s="2">
        <v>1</v>
      </c>
      <c r="CJ3093" s="2">
        <v>1</v>
      </c>
      <c r="CK3093" s="2">
        <v>22</v>
      </c>
      <c r="CL3093" s="2" t="s">
        <v>86</v>
      </c>
      <c r="CM3093" s="2"/>
    </row>
    <row r="3094" spans="1:91">
      <c r="A3094" s="2" t="s">
        <v>71</v>
      </c>
      <c r="B3094" s="2" t="s">
        <v>72</v>
      </c>
      <c r="C3094" s="2" t="s">
        <v>73</v>
      </c>
      <c r="D3094" s="2"/>
      <c r="E3094" s="2" t="str">
        <f>"FES1162571419"</f>
        <v>FES1162571419</v>
      </c>
      <c r="F3094" s="3">
        <v>42972</v>
      </c>
      <c r="G3094" s="2">
        <v>201802</v>
      </c>
      <c r="H3094" s="2" t="s">
        <v>74</v>
      </c>
      <c r="I3094" s="2" t="s">
        <v>75</v>
      </c>
      <c r="J3094" s="2" t="s">
        <v>76</v>
      </c>
      <c r="K3094" s="2" t="s">
        <v>77</v>
      </c>
      <c r="L3094" s="2" t="s">
        <v>539</v>
      </c>
      <c r="M3094" s="2" t="s">
        <v>540</v>
      </c>
      <c r="N3094" s="2" t="s">
        <v>3282</v>
      </c>
      <c r="O3094" s="2" t="s">
        <v>100</v>
      </c>
      <c r="P3094" s="2" t="str">
        <f>"2170584947                    "</f>
        <v xml:space="preserve">2170584947                    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3.13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1</v>
      </c>
      <c r="BI3094" s="2">
        <v>1</v>
      </c>
      <c r="BJ3094" s="2">
        <v>0.2</v>
      </c>
      <c r="BK3094" s="2">
        <v>1</v>
      </c>
      <c r="BL3094" s="2">
        <v>32.380000000000003</v>
      </c>
      <c r="BM3094" s="2">
        <v>4.53</v>
      </c>
      <c r="BN3094" s="2">
        <v>36.909999999999997</v>
      </c>
      <c r="BO3094" s="2">
        <v>36.909999999999997</v>
      </c>
      <c r="BP3094" s="2"/>
      <c r="BQ3094" s="2" t="s">
        <v>288</v>
      </c>
      <c r="BR3094" s="2" t="s">
        <v>84</v>
      </c>
      <c r="BS3094" s="3">
        <v>42975</v>
      </c>
      <c r="BT3094" s="4">
        <v>0.34583333333333338</v>
      </c>
      <c r="BU3094" s="2" t="s">
        <v>3268</v>
      </c>
      <c r="BV3094" s="2" t="s">
        <v>95</v>
      </c>
      <c r="BW3094" s="2"/>
      <c r="BX3094" s="2"/>
      <c r="BY3094" s="2">
        <v>1200</v>
      </c>
      <c r="BZ3094" s="2"/>
      <c r="CA3094" s="2"/>
      <c r="CB3094" s="2"/>
      <c r="CC3094" s="2" t="s">
        <v>540</v>
      </c>
      <c r="CD3094" s="2">
        <v>2194</v>
      </c>
      <c r="CE3094" s="2" t="s">
        <v>104</v>
      </c>
      <c r="CF3094" s="5">
        <v>42976</v>
      </c>
      <c r="CG3094" s="2"/>
      <c r="CH3094" s="2"/>
      <c r="CI3094" s="2">
        <v>1</v>
      </c>
      <c r="CJ3094" s="2">
        <v>1</v>
      </c>
      <c r="CK3094" s="2">
        <v>22</v>
      </c>
      <c r="CL3094" s="2" t="s">
        <v>86</v>
      </c>
      <c r="CM3094" s="2"/>
    </row>
    <row r="3095" spans="1:91">
      <c r="A3095" s="2" t="s">
        <v>71</v>
      </c>
      <c r="B3095" s="2" t="s">
        <v>72</v>
      </c>
      <c r="C3095" s="2" t="s">
        <v>73</v>
      </c>
      <c r="D3095" s="2"/>
      <c r="E3095" s="2" t="str">
        <f>"FES1162571417"</f>
        <v>FES1162571417</v>
      </c>
      <c r="F3095" s="3">
        <v>42972</v>
      </c>
      <c r="G3095" s="2">
        <v>201802</v>
      </c>
      <c r="H3095" s="2" t="s">
        <v>74</v>
      </c>
      <c r="I3095" s="2" t="s">
        <v>75</v>
      </c>
      <c r="J3095" s="2" t="s">
        <v>76</v>
      </c>
      <c r="K3095" s="2" t="s">
        <v>77</v>
      </c>
      <c r="L3095" s="2" t="s">
        <v>97</v>
      </c>
      <c r="M3095" s="2" t="s">
        <v>98</v>
      </c>
      <c r="N3095" s="2" t="s">
        <v>292</v>
      </c>
      <c r="O3095" s="2" t="s">
        <v>100</v>
      </c>
      <c r="P3095" s="2" t="str">
        <f>"2170584938                    "</f>
        <v xml:space="preserve">2170584938                    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4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1</v>
      </c>
      <c r="BI3095" s="2">
        <v>1</v>
      </c>
      <c r="BJ3095" s="2">
        <v>0.2</v>
      </c>
      <c r="BK3095" s="2">
        <v>1</v>
      </c>
      <c r="BL3095" s="2">
        <v>41.44</v>
      </c>
      <c r="BM3095" s="2">
        <v>5.8</v>
      </c>
      <c r="BN3095" s="2">
        <v>47.24</v>
      </c>
      <c r="BO3095" s="2">
        <v>47.24</v>
      </c>
      <c r="BP3095" s="2"/>
      <c r="BQ3095" s="2" t="s">
        <v>83</v>
      </c>
      <c r="BR3095" s="2" t="s">
        <v>84</v>
      </c>
      <c r="BS3095" s="3">
        <v>42975</v>
      </c>
      <c r="BT3095" s="4">
        <v>0.31944444444444448</v>
      </c>
      <c r="BU3095" s="2" t="s">
        <v>1288</v>
      </c>
      <c r="BV3095" s="2" t="s">
        <v>95</v>
      </c>
      <c r="BW3095" s="2"/>
      <c r="BX3095" s="2"/>
      <c r="BY3095" s="2">
        <v>1200</v>
      </c>
      <c r="BZ3095" s="2"/>
      <c r="CA3095" s="2" t="s">
        <v>294</v>
      </c>
      <c r="CB3095" s="2"/>
      <c r="CC3095" s="2" t="s">
        <v>98</v>
      </c>
      <c r="CD3095" s="2">
        <v>6001</v>
      </c>
      <c r="CE3095" s="2" t="s">
        <v>104</v>
      </c>
      <c r="CF3095" s="5">
        <v>42976</v>
      </c>
      <c r="CG3095" s="2"/>
      <c r="CH3095" s="2"/>
      <c r="CI3095" s="2">
        <v>1</v>
      </c>
      <c r="CJ3095" s="2">
        <v>1</v>
      </c>
      <c r="CK3095" s="2">
        <v>21</v>
      </c>
      <c r="CL3095" s="2" t="s">
        <v>86</v>
      </c>
      <c r="CM3095" s="2"/>
    </row>
    <row r="3096" spans="1:91">
      <c r="A3096" s="2" t="s">
        <v>71</v>
      </c>
      <c r="B3096" s="2" t="s">
        <v>72</v>
      </c>
      <c r="C3096" s="2" t="s">
        <v>73</v>
      </c>
      <c r="D3096" s="2"/>
      <c r="E3096" s="2" t="str">
        <f>"FES1162571422"</f>
        <v>FES1162571422</v>
      </c>
      <c r="F3096" s="3">
        <v>42972</v>
      </c>
      <c r="G3096" s="2">
        <v>201802</v>
      </c>
      <c r="H3096" s="2" t="s">
        <v>74</v>
      </c>
      <c r="I3096" s="2" t="s">
        <v>75</v>
      </c>
      <c r="J3096" s="2" t="s">
        <v>76</v>
      </c>
      <c r="K3096" s="2" t="s">
        <v>77</v>
      </c>
      <c r="L3096" s="2" t="s">
        <v>97</v>
      </c>
      <c r="M3096" s="2" t="s">
        <v>98</v>
      </c>
      <c r="N3096" s="2" t="s">
        <v>99</v>
      </c>
      <c r="O3096" s="2" t="s">
        <v>100</v>
      </c>
      <c r="P3096" s="2" t="str">
        <f>"2170584983                    "</f>
        <v xml:space="preserve">2170584983                    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4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1</v>
      </c>
      <c r="BI3096" s="2">
        <v>1</v>
      </c>
      <c r="BJ3096" s="2">
        <v>0.2</v>
      </c>
      <c r="BK3096" s="2">
        <v>1</v>
      </c>
      <c r="BL3096" s="2">
        <v>41.44</v>
      </c>
      <c r="BM3096" s="2">
        <v>5.8</v>
      </c>
      <c r="BN3096" s="2">
        <v>47.24</v>
      </c>
      <c r="BO3096" s="2">
        <v>47.24</v>
      </c>
      <c r="BP3096" s="2"/>
      <c r="BQ3096" s="2" t="s">
        <v>83</v>
      </c>
      <c r="BR3096" s="2" t="s">
        <v>84</v>
      </c>
      <c r="BS3096" s="3">
        <v>42975</v>
      </c>
      <c r="BT3096" s="4">
        <v>0.35138888888888892</v>
      </c>
      <c r="BU3096" s="2" t="s">
        <v>2683</v>
      </c>
      <c r="BV3096" s="2" t="s">
        <v>95</v>
      </c>
      <c r="BW3096" s="2"/>
      <c r="BX3096" s="2"/>
      <c r="BY3096" s="2">
        <v>1200</v>
      </c>
      <c r="BZ3096" s="2"/>
      <c r="CA3096" s="2" t="s">
        <v>627</v>
      </c>
      <c r="CB3096" s="2"/>
      <c r="CC3096" s="2" t="s">
        <v>98</v>
      </c>
      <c r="CD3096" s="2">
        <v>6210</v>
      </c>
      <c r="CE3096" s="2" t="s">
        <v>104</v>
      </c>
      <c r="CF3096" s="5">
        <v>42976</v>
      </c>
      <c r="CG3096" s="2"/>
      <c r="CH3096" s="2"/>
      <c r="CI3096" s="2">
        <v>1</v>
      </c>
      <c r="CJ3096" s="2">
        <v>1</v>
      </c>
      <c r="CK3096" s="2">
        <v>21</v>
      </c>
      <c r="CL3096" s="2" t="s">
        <v>86</v>
      </c>
      <c r="CM3096" s="2"/>
    </row>
    <row r="3097" spans="1:91">
      <c r="A3097" s="2" t="s">
        <v>71</v>
      </c>
      <c r="B3097" s="2" t="s">
        <v>72</v>
      </c>
      <c r="C3097" s="2" t="s">
        <v>73</v>
      </c>
      <c r="D3097" s="2"/>
      <c r="E3097" s="2" t="str">
        <f>"FES1162571412"</f>
        <v>FES1162571412</v>
      </c>
      <c r="F3097" s="3">
        <v>42972</v>
      </c>
      <c r="G3097" s="2">
        <v>201802</v>
      </c>
      <c r="H3097" s="2" t="s">
        <v>74</v>
      </c>
      <c r="I3097" s="2" t="s">
        <v>75</v>
      </c>
      <c r="J3097" s="2" t="s">
        <v>76</v>
      </c>
      <c r="K3097" s="2" t="s">
        <v>77</v>
      </c>
      <c r="L3097" s="2" t="s">
        <v>362</v>
      </c>
      <c r="M3097" s="2" t="s">
        <v>363</v>
      </c>
      <c r="N3097" s="2" t="s">
        <v>683</v>
      </c>
      <c r="O3097" s="2" t="s">
        <v>100</v>
      </c>
      <c r="P3097" s="2" t="str">
        <f>"2170584133                    "</f>
        <v xml:space="preserve">2170584133                    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11.01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1</v>
      </c>
      <c r="BI3097" s="2">
        <v>5.2</v>
      </c>
      <c r="BJ3097" s="2">
        <v>1.6</v>
      </c>
      <c r="BK3097" s="2">
        <v>5.5</v>
      </c>
      <c r="BL3097" s="2">
        <v>113.97</v>
      </c>
      <c r="BM3097" s="2">
        <v>15.96</v>
      </c>
      <c r="BN3097" s="2">
        <v>129.93</v>
      </c>
      <c r="BO3097" s="2">
        <v>129.93</v>
      </c>
      <c r="BP3097" s="2"/>
      <c r="BQ3097" s="2" t="s">
        <v>108</v>
      </c>
      <c r="BR3097" s="2" t="s">
        <v>84</v>
      </c>
      <c r="BS3097" s="3">
        <v>42975</v>
      </c>
      <c r="BT3097" s="4">
        <v>0.4368055555555555</v>
      </c>
      <c r="BU3097" s="2" t="s">
        <v>805</v>
      </c>
      <c r="BV3097" s="2" t="s">
        <v>95</v>
      </c>
      <c r="BW3097" s="2"/>
      <c r="BX3097" s="2"/>
      <c r="BY3097" s="2">
        <v>8037</v>
      </c>
      <c r="BZ3097" s="2"/>
      <c r="CA3097" s="2" t="s">
        <v>367</v>
      </c>
      <c r="CB3097" s="2"/>
      <c r="CC3097" s="2" t="s">
        <v>363</v>
      </c>
      <c r="CD3097" s="2">
        <v>3201</v>
      </c>
      <c r="CE3097" s="2" t="s">
        <v>89</v>
      </c>
      <c r="CF3097" s="5">
        <v>42976</v>
      </c>
      <c r="CG3097" s="2"/>
      <c r="CH3097" s="2"/>
      <c r="CI3097" s="2">
        <v>1</v>
      </c>
      <c r="CJ3097" s="2">
        <v>1</v>
      </c>
      <c r="CK3097" s="2">
        <v>21</v>
      </c>
      <c r="CL3097" s="2" t="s">
        <v>86</v>
      </c>
      <c r="CM3097" s="2"/>
    </row>
    <row r="3098" spans="1:91">
      <c r="A3098" s="2" t="s">
        <v>71</v>
      </c>
      <c r="B3098" s="2" t="s">
        <v>72</v>
      </c>
      <c r="C3098" s="2" t="s">
        <v>73</v>
      </c>
      <c r="D3098" s="2"/>
      <c r="E3098" s="2" t="str">
        <f>"FES1162571418"</f>
        <v>FES1162571418</v>
      </c>
      <c r="F3098" s="3">
        <v>42972</v>
      </c>
      <c r="G3098" s="2">
        <v>201802</v>
      </c>
      <c r="H3098" s="2" t="s">
        <v>74</v>
      </c>
      <c r="I3098" s="2" t="s">
        <v>75</v>
      </c>
      <c r="J3098" s="2" t="s">
        <v>76</v>
      </c>
      <c r="K3098" s="2" t="s">
        <v>77</v>
      </c>
      <c r="L3098" s="2" t="s">
        <v>97</v>
      </c>
      <c r="M3098" s="2" t="s">
        <v>98</v>
      </c>
      <c r="N3098" s="2" t="s">
        <v>1212</v>
      </c>
      <c r="O3098" s="2" t="s">
        <v>100</v>
      </c>
      <c r="P3098" s="2" t="str">
        <f>"2170584941                    "</f>
        <v xml:space="preserve">2170584941                    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4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1</v>
      </c>
      <c r="BI3098" s="2">
        <v>1</v>
      </c>
      <c r="BJ3098" s="2">
        <v>0.2</v>
      </c>
      <c r="BK3098" s="2">
        <v>1</v>
      </c>
      <c r="BL3098" s="2">
        <v>41.44</v>
      </c>
      <c r="BM3098" s="2">
        <v>5.8</v>
      </c>
      <c r="BN3098" s="2">
        <v>47.24</v>
      </c>
      <c r="BO3098" s="2">
        <v>47.24</v>
      </c>
      <c r="BP3098" s="2"/>
      <c r="BQ3098" s="2" t="s">
        <v>108</v>
      </c>
      <c r="BR3098" s="2" t="s">
        <v>84</v>
      </c>
      <c r="BS3098" s="3">
        <v>42975</v>
      </c>
      <c r="BT3098" s="4">
        <v>0.31875000000000003</v>
      </c>
      <c r="BU3098" s="2" t="s">
        <v>1213</v>
      </c>
      <c r="BV3098" s="2" t="s">
        <v>95</v>
      </c>
      <c r="BW3098" s="2"/>
      <c r="BX3098" s="2"/>
      <c r="BY3098" s="2">
        <v>1200</v>
      </c>
      <c r="BZ3098" s="2"/>
      <c r="CA3098" s="2" t="s">
        <v>213</v>
      </c>
      <c r="CB3098" s="2"/>
      <c r="CC3098" s="2" t="s">
        <v>98</v>
      </c>
      <c r="CD3098" s="2">
        <v>6001</v>
      </c>
      <c r="CE3098" s="2" t="s">
        <v>104</v>
      </c>
      <c r="CF3098" s="5">
        <v>42976</v>
      </c>
      <c r="CG3098" s="2"/>
      <c r="CH3098" s="2"/>
      <c r="CI3098" s="2">
        <v>1</v>
      </c>
      <c r="CJ3098" s="2">
        <v>1</v>
      </c>
      <c r="CK3098" s="2">
        <v>21</v>
      </c>
      <c r="CL3098" s="2" t="s">
        <v>86</v>
      </c>
      <c r="CM3098" s="2"/>
    </row>
    <row r="3099" spans="1:91">
      <c r="A3099" s="2" t="s">
        <v>71</v>
      </c>
      <c r="B3099" s="2" t="s">
        <v>72</v>
      </c>
      <c r="C3099" s="2" t="s">
        <v>73</v>
      </c>
      <c r="D3099" s="2"/>
      <c r="E3099" s="2" t="str">
        <f>"FES1162571444"</f>
        <v>FES1162571444</v>
      </c>
      <c r="F3099" s="3">
        <v>42972</v>
      </c>
      <c r="G3099" s="2">
        <v>201802</v>
      </c>
      <c r="H3099" s="2" t="s">
        <v>74</v>
      </c>
      <c r="I3099" s="2" t="s">
        <v>75</v>
      </c>
      <c r="J3099" s="2" t="s">
        <v>76</v>
      </c>
      <c r="K3099" s="2" t="s">
        <v>77</v>
      </c>
      <c r="L3099" s="2" t="s">
        <v>137</v>
      </c>
      <c r="M3099" s="2" t="s">
        <v>138</v>
      </c>
      <c r="N3099" s="2" t="s">
        <v>2674</v>
      </c>
      <c r="O3099" s="2" t="s">
        <v>100</v>
      </c>
      <c r="P3099" s="2" t="str">
        <f>"2170586826                    "</f>
        <v xml:space="preserve">2170586826                    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8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1</v>
      </c>
      <c r="BI3099" s="2">
        <v>2.2999999999999998</v>
      </c>
      <c r="BJ3099" s="2">
        <v>4</v>
      </c>
      <c r="BK3099" s="2">
        <v>4</v>
      </c>
      <c r="BL3099" s="2">
        <v>82.88</v>
      </c>
      <c r="BM3099" s="2">
        <v>11.6</v>
      </c>
      <c r="BN3099" s="2">
        <v>94.48</v>
      </c>
      <c r="BO3099" s="2">
        <v>94.48</v>
      </c>
      <c r="BP3099" s="2"/>
      <c r="BQ3099" s="2" t="s">
        <v>83</v>
      </c>
      <c r="BR3099" s="2" t="s">
        <v>84</v>
      </c>
      <c r="BS3099" s="3">
        <v>42975</v>
      </c>
      <c r="BT3099" s="4">
        <v>0.47569444444444442</v>
      </c>
      <c r="BU3099" s="2" t="s">
        <v>3262</v>
      </c>
      <c r="BV3099" s="2" t="s">
        <v>95</v>
      </c>
      <c r="BW3099" s="2"/>
      <c r="BX3099" s="2"/>
      <c r="BY3099" s="2">
        <v>19856.23</v>
      </c>
      <c r="BZ3099" s="2"/>
      <c r="CA3099" s="2" t="s">
        <v>2676</v>
      </c>
      <c r="CB3099" s="2"/>
      <c r="CC3099" s="2" t="s">
        <v>138</v>
      </c>
      <c r="CD3099" s="2">
        <v>157</v>
      </c>
      <c r="CE3099" s="2" t="s">
        <v>89</v>
      </c>
      <c r="CF3099" s="5">
        <v>42976</v>
      </c>
      <c r="CG3099" s="2"/>
      <c r="CH3099" s="2"/>
      <c r="CI3099" s="2">
        <v>1</v>
      </c>
      <c r="CJ3099" s="2">
        <v>1</v>
      </c>
      <c r="CK3099" s="2">
        <v>21</v>
      </c>
      <c r="CL3099" s="2" t="s">
        <v>86</v>
      </c>
      <c r="CM3099" s="2"/>
    </row>
    <row r="3100" spans="1:91">
      <c r="A3100" s="2" t="s">
        <v>71</v>
      </c>
      <c r="B3100" s="2" t="s">
        <v>72</v>
      </c>
      <c r="C3100" s="2" t="s">
        <v>73</v>
      </c>
      <c r="D3100" s="2"/>
      <c r="E3100" s="2" t="str">
        <f>"FES1162571453"</f>
        <v>FES1162571453</v>
      </c>
      <c r="F3100" s="3">
        <v>42972</v>
      </c>
      <c r="G3100" s="2">
        <v>201802</v>
      </c>
      <c r="H3100" s="2" t="s">
        <v>74</v>
      </c>
      <c r="I3100" s="2" t="s">
        <v>75</v>
      </c>
      <c r="J3100" s="2" t="s">
        <v>76</v>
      </c>
      <c r="K3100" s="2" t="s">
        <v>77</v>
      </c>
      <c r="L3100" s="2" t="s">
        <v>244</v>
      </c>
      <c r="M3100" s="2" t="s">
        <v>245</v>
      </c>
      <c r="N3100" s="2" t="s">
        <v>1794</v>
      </c>
      <c r="O3100" s="2" t="s">
        <v>100</v>
      </c>
      <c r="P3100" s="2" t="str">
        <f>"2170587062                    "</f>
        <v xml:space="preserve">2170587062                    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3.13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</v>
      </c>
      <c r="BI3100" s="2">
        <v>3.7</v>
      </c>
      <c r="BJ3100" s="2">
        <v>3.5</v>
      </c>
      <c r="BK3100" s="2">
        <v>4</v>
      </c>
      <c r="BL3100" s="2">
        <v>32.380000000000003</v>
      </c>
      <c r="BM3100" s="2">
        <v>4.53</v>
      </c>
      <c r="BN3100" s="2">
        <v>36.909999999999997</v>
      </c>
      <c r="BO3100" s="2">
        <v>36.909999999999997</v>
      </c>
      <c r="BP3100" s="2"/>
      <c r="BQ3100" s="2" t="s">
        <v>108</v>
      </c>
      <c r="BR3100" s="2" t="s">
        <v>84</v>
      </c>
      <c r="BS3100" s="3">
        <v>42975</v>
      </c>
      <c r="BT3100" s="4">
        <v>0.2986111111111111</v>
      </c>
      <c r="BU3100" s="2" t="s">
        <v>1892</v>
      </c>
      <c r="BV3100" s="2" t="s">
        <v>95</v>
      </c>
      <c r="BW3100" s="2"/>
      <c r="BX3100" s="2"/>
      <c r="BY3100" s="2">
        <v>17380.46</v>
      </c>
      <c r="BZ3100" s="2"/>
      <c r="CA3100" s="2"/>
      <c r="CB3100" s="2"/>
      <c r="CC3100" s="2" t="s">
        <v>245</v>
      </c>
      <c r="CD3100" s="2">
        <v>1459</v>
      </c>
      <c r="CE3100" s="2" t="s">
        <v>89</v>
      </c>
      <c r="CF3100" s="5">
        <v>42976</v>
      </c>
      <c r="CG3100" s="2"/>
      <c r="CH3100" s="2"/>
      <c r="CI3100" s="2">
        <v>1</v>
      </c>
      <c r="CJ3100" s="2">
        <v>1</v>
      </c>
      <c r="CK3100" s="2">
        <v>22</v>
      </c>
      <c r="CL3100" s="2" t="s">
        <v>86</v>
      </c>
      <c r="CM3100" s="2"/>
    </row>
    <row r="3101" spans="1:91">
      <c r="A3101" s="2" t="s">
        <v>71</v>
      </c>
      <c r="B3101" s="2" t="s">
        <v>72</v>
      </c>
      <c r="C3101" s="2" t="s">
        <v>73</v>
      </c>
      <c r="D3101" s="2"/>
      <c r="E3101" s="2" t="str">
        <f>"FES1162571468"</f>
        <v>FES1162571468</v>
      </c>
      <c r="F3101" s="3">
        <v>42972</v>
      </c>
      <c r="G3101" s="2">
        <v>201802</v>
      </c>
      <c r="H3101" s="2" t="s">
        <v>74</v>
      </c>
      <c r="I3101" s="2" t="s">
        <v>75</v>
      </c>
      <c r="J3101" s="2" t="s">
        <v>76</v>
      </c>
      <c r="K3101" s="2" t="s">
        <v>77</v>
      </c>
      <c r="L3101" s="2" t="s">
        <v>74</v>
      </c>
      <c r="M3101" s="2" t="s">
        <v>75</v>
      </c>
      <c r="N3101" s="2" t="s">
        <v>2324</v>
      </c>
      <c r="O3101" s="2" t="s">
        <v>100</v>
      </c>
      <c r="P3101" s="2" t="str">
        <f>"2170582019                    "</f>
        <v xml:space="preserve">2170582019                    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3.13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1</v>
      </c>
      <c r="BI3101" s="2">
        <v>1</v>
      </c>
      <c r="BJ3101" s="2">
        <v>1</v>
      </c>
      <c r="BK3101" s="2">
        <v>1</v>
      </c>
      <c r="BL3101" s="2">
        <v>32.380000000000003</v>
      </c>
      <c r="BM3101" s="2">
        <v>4.53</v>
      </c>
      <c r="BN3101" s="2">
        <v>36.909999999999997</v>
      </c>
      <c r="BO3101" s="2">
        <v>36.909999999999997</v>
      </c>
      <c r="BP3101" s="2"/>
      <c r="BQ3101" s="2" t="s">
        <v>3283</v>
      </c>
      <c r="BR3101" s="2" t="s">
        <v>84</v>
      </c>
      <c r="BS3101" s="3">
        <v>42975</v>
      </c>
      <c r="BT3101" s="4">
        <v>0.40069444444444446</v>
      </c>
      <c r="BU3101" s="2" t="s">
        <v>3257</v>
      </c>
      <c r="BV3101" s="2" t="s">
        <v>95</v>
      </c>
      <c r="BW3101" s="2"/>
      <c r="BX3101" s="2"/>
      <c r="BY3101" s="2">
        <v>5046.0200000000004</v>
      </c>
      <c r="BZ3101" s="2"/>
      <c r="CA3101" s="2"/>
      <c r="CB3101" s="2"/>
      <c r="CC3101" s="2" t="s">
        <v>75</v>
      </c>
      <c r="CD3101" s="2">
        <v>1600</v>
      </c>
      <c r="CE3101" s="2" t="s">
        <v>89</v>
      </c>
      <c r="CF3101" s="5">
        <v>42976</v>
      </c>
      <c r="CG3101" s="2"/>
      <c r="CH3101" s="2"/>
      <c r="CI3101" s="2">
        <v>1</v>
      </c>
      <c r="CJ3101" s="2">
        <v>1</v>
      </c>
      <c r="CK3101" s="2">
        <v>22</v>
      </c>
      <c r="CL3101" s="2" t="s">
        <v>86</v>
      </c>
      <c r="CM3101" s="2"/>
    </row>
    <row r="3102" spans="1:91">
      <c r="A3102" s="2" t="s">
        <v>71</v>
      </c>
      <c r="B3102" s="2" t="s">
        <v>72</v>
      </c>
      <c r="C3102" s="2" t="s">
        <v>73</v>
      </c>
      <c r="D3102" s="2"/>
      <c r="E3102" s="2" t="str">
        <f>"FES1162571496"</f>
        <v>FES1162571496</v>
      </c>
      <c r="F3102" s="3">
        <v>42972</v>
      </c>
      <c r="G3102" s="2">
        <v>201802</v>
      </c>
      <c r="H3102" s="2" t="s">
        <v>74</v>
      </c>
      <c r="I3102" s="2" t="s">
        <v>75</v>
      </c>
      <c r="J3102" s="2" t="s">
        <v>76</v>
      </c>
      <c r="K3102" s="2" t="s">
        <v>77</v>
      </c>
      <c r="L3102" s="2" t="s">
        <v>144</v>
      </c>
      <c r="M3102" s="2" t="s">
        <v>145</v>
      </c>
      <c r="N3102" s="2" t="s">
        <v>146</v>
      </c>
      <c r="O3102" s="2" t="s">
        <v>100</v>
      </c>
      <c r="P3102" s="2" t="str">
        <f>"2170587134                    "</f>
        <v xml:space="preserve">2170587134                    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3.13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1</v>
      </c>
      <c r="BI3102" s="2">
        <v>1</v>
      </c>
      <c r="BJ3102" s="2">
        <v>0.2</v>
      </c>
      <c r="BK3102" s="2">
        <v>1</v>
      </c>
      <c r="BL3102" s="2">
        <v>32.380000000000003</v>
      </c>
      <c r="BM3102" s="2">
        <v>4.53</v>
      </c>
      <c r="BN3102" s="2">
        <v>36.909999999999997</v>
      </c>
      <c r="BO3102" s="2">
        <v>36.909999999999997</v>
      </c>
      <c r="BP3102" s="2"/>
      <c r="BQ3102" s="2" t="s">
        <v>83</v>
      </c>
      <c r="BR3102" s="2" t="s">
        <v>84</v>
      </c>
      <c r="BS3102" s="3">
        <v>42975</v>
      </c>
      <c r="BT3102" s="4">
        <v>0.36805555555555558</v>
      </c>
      <c r="BU3102" s="2" t="s">
        <v>785</v>
      </c>
      <c r="BV3102" s="2" t="s">
        <v>95</v>
      </c>
      <c r="BW3102" s="2"/>
      <c r="BX3102" s="2"/>
      <c r="BY3102" s="2">
        <v>1200</v>
      </c>
      <c r="BZ3102" s="2"/>
      <c r="CA3102" s="2"/>
      <c r="CB3102" s="2"/>
      <c r="CC3102" s="2" t="s">
        <v>145</v>
      </c>
      <c r="CD3102" s="2">
        <v>2094</v>
      </c>
      <c r="CE3102" s="2" t="s">
        <v>104</v>
      </c>
      <c r="CF3102" s="5">
        <v>42976</v>
      </c>
      <c r="CG3102" s="2"/>
      <c r="CH3102" s="2"/>
      <c r="CI3102" s="2">
        <v>1</v>
      </c>
      <c r="CJ3102" s="2">
        <v>1</v>
      </c>
      <c r="CK3102" s="2">
        <v>22</v>
      </c>
      <c r="CL3102" s="2" t="s">
        <v>86</v>
      </c>
      <c r="CM3102" s="2"/>
    </row>
    <row r="3103" spans="1:91">
      <c r="A3103" s="2" t="s">
        <v>71</v>
      </c>
      <c r="B3103" s="2" t="s">
        <v>72</v>
      </c>
      <c r="C3103" s="2" t="s">
        <v>73</v>
      </c>
      <c r="D3103" s="2"/>
      <c r="E3103" s="2" t="str">
        <f>"FES1162571446"</f>
        <v>FES1162571446</v>
      </c>
      <c r="F3103" s="3">
        <v>42972</v>
      </c>
      <c r="G3103" s="2">
        <v>201802</v>
      </c>
      <c r="H3103" s="2" t="s">
        <v>74</v>
      </c>
      <c r="I3103" s="2" t="s">
        <v>75</v>
      </c>
      <c r="J3103" s="2" t="s">
        <v>76</v>
      </c>
      <c r="K3103" s="2" t="s">
        <v>77</v>
      </c>
      <c r="L3103" s="2" t="s">
        <v>144</v>
      </c>
      <c r="M3103" s="2" t="s">
        <v>145</v>
      </c>
      <c r="N3103" s="2" t="s">
        <v>3284</v>
      </c>
      <c r="O3103" s="2" t="s">
        <v>100</v>
      </c>
      <c r="P3103" s="2" t="str">
        <f>"2170587051                    "</f>
        <v xml:space="preserve">2170587051                    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3.13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1</v>
      </c>
      <c r="BI3103" s="2">
        <v>1</v>
      </c>
      <c r="BJ3103" s="2">
        <v>0.2</v>
      </c>
      <c r="BK3103" s="2">
        <v>1</v>
      </c>
      <c r="BL3103" s="2">
        <v>32.380000000000003</v>
      </c>
      <c r="BM3103" s="2">
        <v>4.53</v>
      </c>
      <c r="BN3103" s="2">
        <v>36.909999999999997</v>
      </c>
      <c r="BO3103" s="2">
        <v>36.909999999999997</v>
      </c>
      <c r="BP3103" s="2"/>
      <c r="BQ3103" s="2" t="s">
        <v>108</v>
      </c>
      <c r="BR3103" s="2" t="s">
        <v>84</v>
      </c>
      <c r="BS3103" s="3">
        <v>42975</v>
      </c>
      <c r="BT3103" s="4">
        <v>0.36805555555555558</v>
      </c>
      <c r="BU3103" s="2" t="s">
        <v>3285</v>
      </c>
      <c r="BV3103" s="2" t="s">
        <v>95</v>
      </c>
      <c r="BW3103" s="2"/>
      <c r="BX3103" s="2"/>
      <c r="BY3103" s="2">
        <v>1200</v>
      </c>
      <c r="BZ3103" s="2"/>
      <c r="CA3103" s="2"/>
      <c r="CB3103" s="2"/>
      <c r="CC3103" s="2" t="s">
        <v>145</v>
      </c>
      <c r="CD3103" s="2">
        <v>1725</v>
      </c>
      <c r="CE3103" s="2" t="s">
        <v>104</v>
      </c>
      <c r="CF3103" s="5">
        <v>42976</v>
      </c>
      <c r="CG3103" s="2"/>
      <c r="CH3103" s="2"/>
      <c r="CI3103" s="2">
        <v>1</v>
      </c>
      <c r="CJ3103" s="2">
        <v>1</v>
      </c>
      <c r="CK3103" s="2">
        <v>22</v>
      </c>
      <c r="CL3103" s="2" t="s">
        <v>86</v>
      </c>
      <c r="CM3103" s="2"/>
    </row>
    <row r="3104" spans="1:91">
      <c r="A3104" s="2" t="s">
        <v>71</v>
      </c>
      <c r="B3104" s="2" t="s">
        <v>72</v>
      </c>
      <c r="C3104" s="2" t="s">
        <v>73</v>
      </c>
      <c r="D3104" s="2"/>
      <c r="E3104" s="2" t="str">
        <f>"FES1162571544"</f>
        <v>FES1162571544</v>
      </c>
      <c r="F3104" s="3">
        <v>42972</v>
      </c>
      <c r="G3104" s="2">
        <v>201802</v>
      </c>
      <c r="H3104" s="2" t="s">
        <v>74</v>
      </c>
      <c r="I3104" s="2" t="s">
        <v>75</v>
      </c>
      <c r="J3104" s="2" t="s">
        <v>76</v>
      </c>
      <c r="K3104" s="2" t="s">
        <v>77</v>
      </c>
      <c r="L3104" s="2" t="s">
        <v>144</v>
      </c>
      <c r="M3104" s="2" t="s">
        <v>145</v>
      </c>
      <c r="N3104" s="2" t="s">
        <v>1462</v>
      </c>
      <c r="O3104" s="2" t="s">
        <v>100</v>
      </c>
      <c r="P3104" s="2" t="str">
        <f>"2170587170                    "</f>
        <v xml:space="preserve">2170587170                    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3.13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1</v>
      </c>
      <c r="BI3104" s="2">
        <v>1</v>
      </c>
      <c r="BJ3104" s="2">
        <v>0.2</v>
      </c>
      <c r="BK3104" s="2">
        <v>1</v>
      </c>
      <c r="BL3104" s="2">
        <v>32.380000000000003</v>
      </c>
      <c r="BM3104" s="2">
        <v>4.53</v>
      </c>
      <c r="BN3104" s="2">
        <v>36.909999999999997</v>
      </c>
      <c r="BO3104" s="2">
        <v>36.909999999999997</v>
      </c>
      <c r="BP3104" s="2"/>
      <c r="BQ3104" s="2" t="s">
        <v>108</v>
      </c>
      <c r="BR3104" s="2" t="s">
        <v>84</v>
      </c>
      <c r="BS3104" s="3">
        <v>42975</v>
      </c>
      <c r="BT3104" s="4">
        <v>0.3576388888888889</v>
      </c>
      <c r="BU3104" s="2" t="s">
        <v>3244</v>
      </c>
      <c r="BV3104" s="2" t="s">
        <v>95</v>
      </c>
      <c r="BW3104" s="2"/>
      <c r="BX3104" s="2"/>
      <c r="BY3104" s="2">
        <v>1200</v>
      </c>
      <c r="BZ3104" s="2"/>
      <c r="CA3104" s="2"/>
      <c r="CB3104" s="2"/>
      <c r="CC3104" s="2" t="s">
        <v>145</v>
      </c>
      <c r="CD3104" s="2">
        <v>2094</v>
      </c>
      <c r="CE3104" s="2" t="s">
        <v>104</v>
      </c>
      <c r="CF3104" s="5">
        <v>42976</v>
      </c>
      <c r="CG3104" s="2"/>
      <c r="CH3104" s="2"/>
      <c r="CI3104" s="2">
        <v>1</v>
      </c>
      <c r="CJ3104" s="2">
        <v>1</v>
      </c>
      <c r="CK3104" s="2">
        <v>22</v>
      </c>
      <c r="CL3104" s="2" t="s">
        <v>86</v>
      </c>
      <c r="CM3104" s="2"/>
    </row>
    <row r="3105" spans="1:91">
      <c r="A3105" s="2" t="s">
        <v>71</v>
      </c>
      <c r="B3105" s="2" t="s">
        <v>72</v>
      </c>
      <c r="C3105" s="2" t="s">
        <v>73</v>
      </c>
      <c r="D3105" s="2"/>
      <c r="E3105" s="2" t="str">
        <f>"FES1162571498"</f>
        <v>FES1162571498</v>
      </c>
      <c r="F3105" s="3">
        <v>42972</v>
      </c>
      <c r="G3105" s="2">
        <v>201802</v>
      </c>
      <c r="H3105" s="2" t="s">
        <v>74</v>
      </c>
      <c r="I3105" s="2" t="s">
        <v>75</v>
      </c>
      <c r="J3105" s="2" t="s">
        <v>76</v>
      </c>
      <c r="K3105" s="2" t="s">
        <v>77</v>
      </c>
      <c r="L3105" s="2" t="s">
        <v>216</v>
      </c>
      <c r="M3105" s="2" t="s">
        <v>217</v>
      </c>
      <c r="N3105" s="2" t="s">
        <v>351</v>
      </c>
      <c r="O3105" s="2" t="s">
        <v>100</v>
      </c>
      <c r="P3105" s="2" t="str">
        <f>"2170587136                    "</f>
        <v xml:space="preserve">2170587136                    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3.13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1</v>
      </c>
      <c r="BI3105" s="2">
        <v>1</v>
      </c>
      <c r="BJ3105" s="2">
        <v>0.2</v>
      </c>
      <c r="BK3105" s="2">
        <v>1</v>
      </c>
      <c r="BL3105" s="2">
        <v>32.380000000000003</v>
      </c>
      <c r="BM3105" s="2">
        <v>4.53</v>
      </c>
      <c r="BN3105" s="2">
        <v>36.909999999999997</v>
      </c>
      <c r="BO3105" s="2">
        <v>36.909999999999997</v>
      </c>
      <c r="BP3105" s="2"/>
      <c r="BQ3105" s="2" t="s">
        <v>83</v>
      </c>
      <c r="BR3105" s="2" t="s">
        <v>84</v>
      </c>
      <c r="BS3105" s="3">
        <v>42975</v>
      </c>
      <c r="BT3105" s="4">
        <v>0.41666666666666669</v>
      </c>
      <c r="BU3105" s="2" t="s">
        <v>3286</v>
      </c>
      <c r="BV3105" s="2" t="s">
        <v>95</v>
      </c>
      <c r="BW3105" s="2"/>
      <c r="BX3105" s="2"/>
      <c r="BY3105" s="2">
        <v>1200</v>
      </c>
      <c r="BZ3105" s="2"/>
      <c r="CA3105" s="2"/>
      <c r="CB3105" s="2"/>
      <c r="CC3105" s="2" t="s">
        <v>217</v>
      </c>
      <c r="CD3105" s="2">
        <v>1451</v>
      </c>
      <c r="CE3105" s="2" t="s">
        <v>104</v>
      </c>
      <c r="CF3105" s="5">
        <v>42976</v>
      </c>
      <c r="CG3105" s="2"/>
      <c r="CH3105" s="2"/>
      <c r="CI3105" s="2">
        <v>1</v>
      </c>
      <c r="CJ3105" s="2">
        <v>1</v>
      </c>
      <c r="CK3105" s="2">
        <v>22</v>
      </c>
      <c r="CL3105" s="2" t="s">
        <v>86</v>
      </c>
      <c r="CM3105" s="2"/>
    </row>
    <row r="3106" spans="1:91">
      <c r="A3106" s="2" t="s">
        <v>71</v>
      </c>
      <c r="B3106" s="2" t="s">
        <v>72</v>
      </c>
      <c r="C3106" s="2" t="s">
        <v>73</v>
      </c>
      <c r="D3106" s="2"/>
      <c r="E3106" s="2" t="str">
        <f>"FES1162571505"</f>
        <v>FES1162571505</v>
      </c>
      <c r="F3106" s="3">
        <v>42972</v>
      </c>
      <c r="G3106" s="2">
        <v>201802</v>
      </c>
      <c r="H3106" s="2" t="s">
        <v>74</v>
      </c>
      <c r="I3106" s="2" t="s">
        <v>75</v>
      </c>
      <c r="J3106" s="2" t="s">
        <v>76</v>
      </c>
      <c r="K3106" s="2" t="s">
        <v>77</v>
      </c>
      <c r="L3106" s="2" t="s">
        <v>170</v>
      </c>
      <c r="M3106" s="2" t="s">
        <v>171</v>
      </c>
      <c r="N3106" s="2" t="s">
        <v>1389</v>
      </c>
      <c r="O3106" s="2" t="s">
        <v>100</v>
      </c>
      <c r="P3106" s="2" t="str">
        <f>"2170587143                    "</f>
        <v xml:space="preserve">2170587143                    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3.13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1</v>
      </c>
      <c r="BI3106" s="2">
        <v>1</v>
      </c>
      <c r="BJ3106" s="2">
        <v>0.2</v>
      </c>
      <c r="BK3106" s="2">
        <v>1</v>
      </c>
      <c r="BL3106" s="2">
        <v>32.380000000000003</v>
      </c>
      <c r="BM3106" s="2">
        <v>4.53</v>
      </c>
      <c r="BN3106" s="2">
        <v>36.909999999999997</v>
      </c>
      <c r="BO3106" s="2">
        <v>36.909999999999997</v>
      </c>
      <c r="BP3106" s="2"/>
      <c r="BQ3106" s="2" t="s">
        <v>108</v>
      </c>
      <c r="BR3106" s="2" t="s">
        <v>84</v>
      </c>
      <c r="BS3106" s="3">
        <v>42975</v>
      </c>
      <c r="BT3106" s="4">
        <v>0.37847222222222227</v>
      </c>
      <c r="BU3106" s="2" t="s">
        <v>3287</v>
      </c>
      <c r="BV3106" s="2" t="s">
        <v>95</v>
      </c>
      <c r="BW3106" s="2"/>
      <c r="BX3106" s="2"/>
      <c r="BY3106" s="2">
        <v>1200</v>
      </c>
      <c r="BZ3106" s="2"/>
      <c r="CA3106" s="2" t="s">
        <v>148</v>
      </c>
      <c r="CB3106" s="2"/>
      <c r="CC3106" s="2" t="s">
        <v>171</v>
      </c>
      <c r="CD3106" s="2">
        <v>1401</v>
      </c>
      <c r="CE3106" s="2" t="s">
        <v>104</v>
      </c>
      <c r="CF3106" s="5">
        <v>42976</v>
      </c>
      <c r="CG3106" s="2"/>
      <c r="CH3106" s="2"/>
      <c r="CI3106" s="2">
        <v>1</v>
      </c>
      <c r="CJ3106" s="2">
        <v>1</v>
      </c>
      <c r="CK3106" s="2">
        <v>22</v>
      </c>
      <c r="CL3106" s="2" t="s">
        <v>86</v>
      </c>
      <c r="CM3106" s="2"/>
    </row>
    <row r="3107" spans="1:91">
      <c r="A3107" s="2" t="s">
        <v>71</v>
      </c>
      <c r="B3107" s="2" t="s">
        <v>72</v>
      </c>
      <c r="C3107" s="2" t="s">
        <v>73</v>
      </c>
      <c r="D3107" s="2"/>
      <c r="E3107" s="2" t="str">
        <f>"FES1162571547"</f>
        <v>FES1162571547</v>
      </c>
      <c r="F3107" s="3">
        <v>42972</v>
      </c>
      <c r="G3107" s="2">
        <v>201802</v>
      </c>
      <c r="H3107" s="2" t="s">
        <v>74</v>
      </c>
      <c r="I3107" s="2" t="s">
        <v>75</v>
      </c>
      <c r="J3107" s="2" t="s">
        <v>76</v>
      </c>
      <c r="K3107" s="2" t="s">
        <v>77</v>
      </c>
      <c r="L3107" s="2" t="s">
        <v>244</v>
      </c>
      <c r="M3107" s="2" t="s">
        <v>245</v>
      </c>
      <c r="N3107" s="2" t="s">
        <v>1794</v>
      </c>
      <c r="O3107" s="2" t="s">
        <v>100</v>
      </c>
      <c r="P3107" s="2" t="str">
        <f>"2170586759                    "</f>
        <v xml:space="preserve">2170586759                    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3.13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1</v>
      </c>
      <c r="BI3107" s="2">
        <v>1</v>
      </c>
      <c r="BJ3107" s="2">
        <v>0.2</v>
      </c>
      <c r="BK3107" s="2">
        <v>1</v>
      </c>
      <c r="BL3107" s="2">
        <v>32.380000000000003</v>
      </c>
      <c r="BM3107" s="2">
        <v>4.53</v>
      </c>
      <c r="BN3107" s="2">
        <v>36.909999999999997</v>
      </c>
      <c r="BO3107" s="2">
        <v>36.909999999999997</v>
      </c>
      <c r="BP3107" s="2"/>
      <c r="BQ3107" s="2" t="s">
        <v>108</v>
      </c>
      <c r="BR3107" s="2" t="s">
        <v>84</v>
      </c>
      <c r="BS3107" s="3">
        <v>42975</v>
      </c>
      <c r="BT3107" s="4">
        <v>0.2986111111111111</v>
      </c>
      <c r="BU3107" s="2" t="s">
        <v>1892</v>
      </c>
      <c r="BV3107" s="2" t="s">
        <v>95</v>
      </c>
      <c r="BW3107" s="2"/>
      <c r="BX3107" s="2"/>
      <c r="BY3107" s="2">
        <v>1200</v>
      </c>
      <c r="BZ3107" s="2"/>
      <c r="CA3107" s="2"/>
      <c r="CB3107" s="2"/>
      <c r="CC3107" s="2" t="s">
        <v>245</v>
      </c>
      <c r="CD3107" s="2">
        <v>1459</v>
      </c>
      <c r="CE3107" s="2" t="s">
        <v>104</v>
      </c>
      <c r="CF3107" s="5">
        <v>42976</v>
      </c>
      <c r="CG3107" s="2"/>
      <c r="CH3107" s="2"/>
      <c r="CI3107" s="2">
        <v>1</v>
      </c>
      <c r="CJ3107" s="2">
        <v>1</v>
      </c>
      <c r="CK3107" s="2">
        <v>22</v>
      </c>
      <c r="CL3107" s="2" t="s">
        <v>86</v>
      </c>
      <c r="CM3107" s="2"/>
    </row>
    <row r="3108" spans="1:91">
      <c r="A3108" s="2" t="s">
        <v>71</v>
      </c>
      <c r="B3108" s="2" t="s">
        <v>72</v>
      </c>
      <c r="C3108" s="2" t="s">
        <v>73</v>
      </c>
      <c r="D3108" s="2"/>
      <c r="E3108" s="2" t="str">
        <f>"FES1162571539"</f>
        <v>FES1162571539</v>
      </c>
      <c r="F3108" s="3">
        <v>42972</v>
      </c>
      <c r="G3108" s="2">
        <v>201802</v>
      </c>
      <c r="H3108" s="2" t="s">
        <v>74</v>
      </c>
      <c r="I3108" s="2" t="s">
        <v>75</v>
      </c>
      <c r="J3108" s="2" t="s">
        <v>76</v>
      </c>
      <c r="K3108" s="2" t="s">
        <v>77</v>
      </c>
      <c r="L3108" s="2" t="s">
        <v>144</v>
      </c>
      <c r="M3108" s="2" t="s">
        <v>145</v>
      </c>
      <c r="N3108" s="2" t="s">
        <v>1784</v>
      </c>
      <c r="O3108" s="2" t="s">
        <v>100</v>
      </c>
      <c r="P3108" s="2" t="str">
        <f>"2170587033                    "</f>
        <v xml:space="preserve">2170587033                    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3.13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1</v>
      </c>
      <c r="BI3108" s="2">
        <v>1</v>
      </c>
      <c r="BJ3108" s="2">
        <v>0.2</v>
      </c>
      <c r="BK3108" s="2">
        <v>1</v>
      </c>
      <c r="BL3108" s="2">
        <v>32.380000000000003</v>
      </c>
      <c r="BM3108" s="2">
        <v>4.53</v>
      </c>
      <c r="BN3108" s="2">
        <v>36.909999999999997</v>
      </c>
      <c r="BO3108" s="2">
        <v>36.909999999999997</v>
      </c>
      <c r="BP3108" s="2"/>
      <c r="BQ3108" s="2" t="s">
        <v>83</v>
      </c>
      <c r="BR3108" s="2" t="s">
        <v>84</v>
      </c>
      <c r="BS3108" s="3">
        <v>42975</v>
      </c>
      <c r="BT3108" s="4">
        <v>0.34652777777777777</v>
      </c>
      <c r="BU3108" s="2" t="s">
        <v>3288</v>
      </c>
      <c r="BV3108" s="2" t="s">
        <v>95</v>
      </c>
      <c r="BW3108" s="2"/>
      <c r="BX3108" s="2"/>
      <c r="BY3108" s="2">
        <v>1200</v>
      </c>
      <c r="BZ3108" s="2"/>
      <c r="CA3108" s="2"/>
      <c r="CB3108" s="2"/>
      <c r="CC3108" s="2" t="s">
        <v>145</v>
      </c>
      <c r="CD3108" s="2">
        <v>2094</v>
      </c>
      <c r="CE3108" s="2" t="s">
        <v>104</v>
      </c>
      <c r="CF3108" s="5">
        <v>42976</v>
      </c>
      <c r="CG3108" s="2"/>
      <c r="CH3108" s="2"/>
      <c r="CI3108" s="2">
        <v>1</v>
      </c>
      <c r="CJ3108" s="2">
        <v>1</v>
      </c>
      <c r="CK3108" s="2">
        <v>22</v>
      </c>
      <c r="CL3108" s="2" t="s">
        <v>86</v>
      </c>
      <c r="CM3108" s="2"/>
    </row>
    <row r="3109" spans="1:91">
      <c r="A3109" s="2" t="s">
        <v>71</v>
      </c>
      <c r="B3109" s="2" t="s">
        <v>72</v>
      </c>
      <c r="C3109" s="2" t="s">
        <v>73</v>
      </c>
      <c r="D3109" s="2"/>
      <c r="E3109" s="2" t="str">
        <f>"FES1162571476"</f>
        <v>FES1162571476</v>
      </c>
      <c r="F3109" s="3">
        <v>42972</v>
      </c>
      <c r="G3109" s="2">
        <v>201802</v>
      </c>
      <c r="H3109" s="2" t="s">
        <v>74</v>
      </c>
      <c r="I3109" s="2" t="s">
        <v>75</v>
      </c>
      <c r="J3109" s="2" t="s">
        <v>76</v>
      </c>
      <c r="K3109" s="2" t="s">
        <v>77</v>
      </c>
      <c r="L3109" s="2" t="s">
        <v>144</v>
      </c>
      <c r="M3109" s="2" t="s">
        <v>145</v>
      </c>
      <c r="N3109" s="2" t="s">
        <v>393</v>
      </c>
      <c r="O3109" s="2" t="s">
        <v>100</v>
      </c>
      <c r="P3109" s="2" t="str">
        <f>"2170587096                    "</f>
        <v xml:space="preserve">2170587096                    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3.88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1</v>
      </c>
      <c r="BI3109" s="2">
        <v>7</v>
      </c>
      <c r="BJ3109" s="2">
        <v>9.9</v>
      </c>
      <c r="BK3109" s="2">
        <v>10</v>
      </c>
      <c r="BL3109" s="2">
        <v>40.15</v>
      </c>
      <c r="BM3109" s="2">
        <v>5.62</v>
      </c>
      <c r="BN3109" s="2">
        <v>45.77</v>
      </c>
      <c r="BO3109" s="2">
        <v>45.77</v>
      </c>
      <c r="BP3109" s="2"/>
      <c r="BQ3109" s="2" t="s">
        <v>288</v>
      </c>
      <c r="BR3109" s="2" t="s">
        <v>84</v>
      </c>
      <c r="BS3109" s="3">
        <v>42975</v>
      </c>
      <c r="BT3109" s="4">
        <v>0.41666666666666669</v>
      </c>
      <c r="BU3109" s="2" t="s">
        <v>3289</v>
      </c>
      <c r="BV3109" s="2" t="s">
        <v>95</v>
      </c>
      <c r="BW3109" s="2"/>
      <c r="BX3109" s="2"/>
      <c r="BY3109" s="2">
        <v>49695.11</v>
      </c>
      <c r="BZ3109" s="2"/>
      <c r="CA3109" s="2"/>
      <c r="CB3109" s="2"/>
      <c r="CC3109" s="2" t="s">
        <v>145</v>
      </c>
      <c r="CD3109" s="2">
        <v>2001</v>
      </c>
      <c r="CE3109" s="2" t="s">
        <v>89</v>
      </c>
      <c r="CF3109" s="5">
        <v>42976</v>
      </c>
      <c r="CG3109" s="2"/>
      <c r="CH3109" s="2"/>
      <c r="CI3109" s="2">
        <v>1</v>
      </c>
      <c r="CJ3109" s="2">
        <v>1</v>
      </c>
      <c r="CK3109" s="2">
        <v>22</v>
      </c>
      <c r="CL3109" s="2" t="s">
        <v>86</v>
      </c>
      <c r="CM3109" s="2"/>
    </row>
    <row r="3110" spans="1:91">
      <c r="A3110" s="2" t="s">
        <v>71</v>
      </c>
      <c r="B3110" s="2" t="s">
        <v>72</v>
      </c>
      <c r="C3110" s="2" t="s">
        <v>73</v>
      </c>
      <c r="D3110" s="2"/>
      <c r="E3110" s="2" t="str">
        <f>"FES1162571433"</f>
        <v>FES1162571433</v>
      </c>
      <c r="F3110" s="3">
        <v>42972</v>
      </c>
      <c r="G3110" s="2">
        <v>201802</v>
      </c>
      <c r="H3110" s="2" t="s">
        <v>74</v>
      </c>
      <c r="I3110" s="2" t="s">
        <v>75</v>
      </c>
      <c r="J3110" s="2" t="s">
        <v>76</v>
      </c>
      <c r="K3110" s="2" t="s">
        <v>77</v>
      </c>
      <c r="L3110" s="2" t="s">
        <v>343</v>
      </c>
      <c r="M3110" s="2" t="s">
        <v>344</v>
      </c>
      <c r="N3110" s="2" t="s">
        <v>351</v>
      </c>
      <c r="O3110" s="2" t="s">
        <v>100</v>
      </c>
      <c r="P3110" s="2" t="str">
        <f>"2170586248                    "</f>
        <v xml:space="preserve">2170586248                    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5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1</v>
      </c>
      <c r="BI3110" s="2">
        <v>2.4</v>
      </c>
      <c r="BJ3110" s="2">
        <v>0.9</v>
      </c>
      <c r="BK3110" s="2">
        <v>2.5</v>
      </c>
      <c r="BL3110" s="2">
        <v>51.8</v>
      </c>
      <c r="BM3110" s="2">
        <v>7.25</v>
      </c>
      <c r="BN3110" s="2">
        <v>59.05</v>
      </c>
      <c r="BO3110" s="2">
        <v>59.05</v>
      </c>
      <c r="BP3110" s="2"/>
      <c r="BQ3110" s="2" t="s">
        <v>108</v>
      </c>
      <c r="BR3110" s="2" t="s">
        <v>84</v>
      </c>
      <c r="BS3110" s="3">
        <v>42975</v>
      </c>
      <c r="BT3110" s="4">
        <v>0.41666666666666669</v>
      </c>
      <c r="BU3110" s="2" t="s">
        <v>3290</v>
      </c>
      <c r="BV3110" s="2" t="s">
        <v>95</v>
      </c>
      <c r="BW3110" s="2"/>
      <c r="BX3110" s="2"/>
      <c r="BY3110" s="2">
        <v>4565.66</v>
      </c>
      <c r="BZ3110" s="2"/>
      <c r="CA3110" s="2"/>
      <c r="CB3110" s="2"/>
      <c r="CC3110" s="2" t="s">
        <v>344</v>
      </c>
      <c r="CD3110" s="2">
        <v>4133</v>
      </c>
      <c r="CE3110" s="2" t="s">
        <v>89</v>
      </c>
      <c r="CF3110" s="5">
        <v>42976</v>
      </c>
      <c r="CG3110" s="2"/>
      <c r="CH3110" s="2"/>
      <c r="CI3110" s="2">
        <v>1</v>
      </c>
      <c r="CJ3110" s="2">
        <v>1</v>
      </c>
      <c r="CK3110" s="2">
        <v>21</v>
      </c>
      <c r="CL3110" s="2" t="s">
        <v>86</v>
      </c>
      <c r="CM3110" s="2"/>
    </row>
    <row r="3111" spans="1:91">
      <c r="A3111" s="2" t="s">
        <v>71</v>
      </c>
      <c r="B3111" s="2" t="s">
        <v>72</v>
      </c>
      <c r="C3111" s="2" t="s">
        <v>73</v>
      </c>
      <c r="D3111" s="2"/>
      <c r="E3111" s="2" t="str">
        <f>"FES1162571491"</f>
        <v>FES1162571491</v>
      </c>
      <c r="F3111" s="3">
        <v>42972</v>
      </c>
      <c r="G3111" s="2">
        <v>201802</v>
      </c>
      <c r="H3111" s="2" t="s">
        <v>74</v>
      </c>
      <c r="I3111" s="2" t="s">
        <v>75</v>
      </c>
      <c r="J3111" s="2" t="s">
        <v>76</v>
      </c>
      <c r="K3111" s="2" t="s">
        <v>77</v>
      </c>
      <c r="L3111" s="2" t="s">
        <v>149</v>
      </c>
      <c r="M3111" s="2" t="s">
        <v>150</v>
      </c>
      <c r="N3111" s="2" t="s">
        <v>482</v>
      </c>
      <c r="O3111" s="2" t="s">
        <v>100</v>
      </c>
      <c r="P3111" s="2" t="str">
        <f>"2170587126                    "</f>
        <v xml:space="preserve">2170587126                    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21.01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1</v>
      </c>
      <c r="BI3111" s="2">
        <v>10.199999999999999</v>
      </c>
      <c r="BJ3111" s="2">
        <v>6.8</v>
      </c>
      <c r="BK3111" s="2">
        <v>10.5</v>
      </c>
      <c r="BL3111" s="2">
        <v>217.57</v>
      </c>
      <c r="BM3111" s="2">
        <v>30.46</v>
      </c>
      <c r="BN3111" s="2">
        <v>248.03</v>
      </c>
      <c r="BO3111" s="2">
        <v>248.03</v>
      </c>
      <c r="BP3111" s="2"/>
      <c r="BQ3111" s="2" t="s">
        <v>83</v>
      </c>
      <c r="BR3111" s="2" t="s">
        <v>84</v>
      </c>
      <c r="BS3111" s="3">
        <v>42975</v>
      </c>
      <c r="BT3111" s="4">
        <v>0.35000000000000003</v>
      </c>
      <c r="BU3111" s="2" t="s">
        <v>483</v>
      </c>
      <c r="BV3111" s="2" t="s">
        <v>95</v>
      </c>
      <c r="BW3111" s="2"/>
      <c r="BX3111" s="2"/>
      <c r="BY3111" s="2">
        <v>33943.4</v>
      </c>
      <c r="BZ3111" s="2"/>
      <c r="CA3111" s="2" t="s">
        <v>484</v>
      </c>
      <c r="CB3111" s="2"/>
      <c r="CC3111" s="2" t="s">
        <v>150</v>
      </c>
      <c r="CD3111" s="2">
        <v>4001</v>
      </c>
      <c r="CE3111" s="2" t="s">
        <v>89</v>
      </c>
      <c r="CF3111" s="5">
        <v>42976</v>
      </c>
      <c r="CG3111" s="2"/>
      <c r="CH3111" s="2"/>
      <c r="CI3111" s="2">
        <v>1</v>
      </c>
      <c r="CJ3111" s="2">
        <v>1</v>
      </c>
      <c r="CK3111" s="2">
        <v>21</v>
      </c>
      <c r="CL3111" s="2" t="s">
        <v>86</v>
      </c>
      <c r="CM3111" s="2"/>
    </row>
    <row r="3112" spans="1:91">
      <c r="A3112" s="2" t="s">
        <v>71</v>
      </c>
      <c r="B3112" s="2" t="s">
        <v>72</v>
      </c>
      <c r="C3112" s="2" t="s">
        <v>73</v>
      </c>
      <c r="D3112" s="2"/>
      <c r="E3112" s="2" t="str">
        <f>"FES1162571409"</f>
        <v>FES1162571409</v>
      </c>
      <c r="F3112" s="3">
        <v>42972</v>
      </c>
      <c r="G3112" s="2">
        <v>201802</v>
      </c>
      <c r="H3112" s="2" t="s">
        <v>74</v>
      </c>
      <c r="I3112" s="2" t="s">
        <v>75</v>
      </c>
      <c r="J3112" s="2" t="s">
        <v>76</v>
      </c>
      <c r="K3112" s="2" t="s">
        <v>77</v>
      </c>
      <c r="L3112" s="2" t="s">
        <v>268</v>
      </c>
      <c r="M3112" s="2" t="s">
        <v>269</v>
      </c>
      <c r="N3112" s="2" t="s">
        <v>876</v>
      </c>
      <c r="O3112" s="2" t="s">
        <v>100</v>
      </c>
      <c r="P3112" s="2" t="str">
        <f>"2170579037                    "</f>
        <v xml:space="preserve">2170579037                    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4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1</v>
      </c>
      <c r="BI3112" s="2">
        <v>0.7</v>
      </c>
      <c r="BJ3112" s="2">
        <v>1.7</v>
      </c>
      <c r="BK3112" s="2">
        <v>2</v>
      </c>
      <c r="BL3112" s="2">
        <v>41.44</v>
      </c>
      <c r="BM3112" s="2">
        <v>5.8</v>
      </c>
      <c r="BN3112" s="2">
        <v>47.24</v>
      </c>
      <c r="BO3112" s="2">
        <v>47.24</v>
      </c>
      <c r="BP3112" s="2"/>
      <c r="BQ3112" s="2" t="s">
        <v>108</v>
      </c>
      <c r="BR3112" s="2" t="s">
        <v>84</v>
      </c>
      <c r="BS3112" s="3">
        <v>42975</v>
      </c>
      <c r="BT3112" s="4">
        <v>0.4826388888888889</v>
      </c>
      <c r="BU3112" s="2"/>
      <c r="BV3112" s="2" t="s">
        <v>86</v>
      </c>
      <c r="BW3112" s="2"/>
      <c r="BX3112" s="2"/>
      <c r="BY3112" s="2">
        <v>8340.9</v>
      </c>
      <c r="BZ3112" s="2"/>
      <c r="CA3112" s="2"/>
      <c r="CB3112" s="2"/>
      <c r="CC3112" s="2" t="s">
        <v>269</v>
      </c>
      <c r="CD3112" s="2">
        <v>186</v>
      </c>
      <c r="CE3112" s="2" t="s">
        <v>89</v>
      </c>
      <c r="CF3112" s="2"/>
      <c r="CG3112" s="2"/>
      <c r="CH3112" s="2"/>
      <c r="CI3112" s="2">
        <v>1</v>
      </c>
      <c r="CJ3112" s="2">
        <v>1</v>
      </c>
      <c r="CK3112" s="2">
        <v>21</v>
      </c>
      <c r="CL3112" s="2" t="s">
        <v>86</v>
      </c>
      <c r="CM3112" s="2"/>
    </row>
    <row r="3113" spans="1:91">
      <c r="A3113" s="2" t="s">
        <v>71</v>
      </c>
      <c r="B3113" s="2" t="s">
        <v>72</v>
      </c>
      <c r="C3113" s="2" t="s">
        <v>73</v>
      </c>
      <c r="D3113" s="2"/>
      <c r="E3113" s="2" t="str">
        <f>"FES1162571513"</f>
        <v>FES1162571513</v>
      </c>
      <c r="F3113" s="3">
        <v>42972</v>
      </c>
      <c r="G3113" s="2">
        <v>201802</v>
      </c>
      <c r="H3113" s="2" t="s">
        <v>74</v>
      </c>
      <c r="I3113" s="2" t="s">
        <v>75</v>
      </c>
      <c r="J3113" s="2" t="s">
        <v>76</v>
      </c>
      <c r="K3113" s="2" t="s">
        <v>77</v>
      </c>
      <c r="L3113" s="2" t="s">
        <v>137</v>
      </c>
      <c r="M3113" s="2" t="s">
        <v>138</v>
      </c>
      <c r="N3113" s="2" t="s">
        <v>226</v>
      </c>
      <c r="O3113" s="2" t="s">
        <v>100</v>
      </c>
      <c r="P3113" s="2" t="str">
        <f>"2170584725                    "</f>
        <v xml:space="preserve">2170584725                    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16.010000000000002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0</v>
      </c>
      <c r="BD3113" s="2">
        <v>0</v>
      </c>
      <c r="BE3113" s="2">
        <v>0</v>
      </c>
      <c r="BF3113" s="2">
        <v>0</v>
      </c>
      <c r="BG3113" s="2">
        <v>0</v>
      </c>
      <c r="BH3113" s="2">
        <v>1</v>
      </c>
      <c r="BI3113" s="2">
        <v>4.8</v>
      </c>
      <c r="BJ3113" s="2">
        <v>7.7</v>
      </c>
      <c r="BK3113" s="2">
        <v>8</v>
      </c>
      <c r="BL3113" s="2">
        <v>165.77</v>
      </c>
      <c r="BM3113" s="2">
        <v>23.21</v>
      </c>
      <c r="BN3113" s="2">
        <v>188.98</v>
      </c>
      <c r="BO3113" s="2">
        <v>188.98</v>
      </c>
      <c r="BP3113" s="2"/>
      <c r="BQ3113" s="2" t="s">
        <v>108</v>
      </c>
      <c r="BR3113" s="2" t="s">
        <v>84</v>
      </c>
      <c r="BS3113" s="3">
        <v>42975</v>
      </c>
      <c r="BT3113" s="4">
        <v>0.41805555555555557</v>
      </c>
      <c r="BU3113" s="2" t="s">
        <v>3274</v>
      </c>
      <c r="BV3113" s="2" t="s">
        <v>95</v>
      </c>
      <c r="BW3113" s="2"/>
      <c r="BX3113" s="2"/>
      <c r="BY3113" s="2">
        <v>38426.300000000003</v>
      </c>
      <c r="BZ3113" s="2"/>
      <c r="CA3113" s="2" t="s">
        <v>970</v>
      </c>
      <c r="CB3113" s="2"/>
      <c r="CC3113" s="2" t="s">
        <v>138</v>
      </c>
      <c r="CD3113" s="2">
        <v>157</v>
      </c>
      <c r="CE3113" s="2" t="s">
        <v>135</v>
      </c>
      <c r="CF3113" s="5">
        <v>42976</v>
      </c>
      <c r="CG3113" s="2"/>
      <c r="CH3113" s="2"/>
      <c r="CI3113" s="2">
        <v>1</v>
      </c>
      <c r="CJ3113" s="2">
        <v>1</v>
      </c>
      <c r="CK3113" s="2">
        <v>21</v>
      </c>
      <c r="CL3113" s="2" t="s">
        <v>86</v>
      </c>
      <c r="CM3113" s="2"/>
    </row>
    <row r="3114" spans="1:91">
      <c r="A3114" s="2" t="s">
        <v>71</v>
      </c>
      <c r="B3114" s="2" t="s">
        <v>72</v>
      </c>
      <c r="C3114" s="2" t="s">
        <v>73</v>
      </c>
      <c r="D3114" s="2"/>
      <c r="E3114" s="2" t="str">
        <f>"FES1162571515"</f>
        <v>FES1162571515</v>
      </c>
      <c r="F3114" s="3">
        <v>42972</v>
      </c>
      <c r="G3114" s="2">
        <v>201802</v>
      </c>
      <c r="H3114" s="2" t="s">
        <v>74</v>
      </c>
      <c r="I3114" s="2" t="s">
        <v>75</v>
      </c>
      <c r="J3114" s="2" t="s">
        <v>76</v>
      </c>
      <c r="K3114" s="2" t="s">
        <v>77</v>
      </c>
      <c r="L3114" s="2" t="s">
        <v>149</v>
      </c>
      <c r="M3114" s="2" t="s">
        <v>150</v>
      </c>
      <c r="N3114" s="2" t="s">
        <v>2548</v>
      </c>
      <c r="O3114" s="2" t="s">
        <v>100</v>
      </c>
      <c r="P3114" s="2" t="str">
        <f>"2170585600                    "</f>
        <v xml:space="preserve">2170585600                    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6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1</v>
      </c>
      <c r="BI3114" s="2">
        <v>2.7</v>
      </c>
      <c r="BJ3114" s="2">
        <v>1.6</v>
      </c>
      <c r="BK3114" s="2">
        <v>3</v>
      </c>
      <c r="BL3114" s="2">
        <v>62.16</v>
      </c>
      <c r="BM3114" s="2">
        <v>8.6999999999999993</v>
      </c>
      <c r="BN3114" s="2">
        <v>70.86</v>
      </c>
      <c r="BO3114" s="2">
        <v>70.86</v>
      </c>
      <c r="BP3114" s="2"/>
      <c r="BQ3114" s="2" t="s">
        <v>108</v>
      </c>
      <c r="BR3114" s="2" t="s">
        <v>84</v>
      </c>
      <c r="BS3114" s="3">
        <v>42976</v>
      </c>
      <c r="BT3114" s="4">
        <v>0.4368055555555555</v>
      </c>
      <c r="BU3114" s="2" t="s">
        <v>3291</v>
      </c>
      <c r="BV3114" s="2" t="s">
        <v>86</v>
      </c>
      <c r="BW3114" s="2" t="s">
        <v>124</v>
      </c>
      <c r="BX3114" s="2" t="s">
        <v>337</v>
      </c>
      <c r="BY3114" s="2">
        <v>8023.05</v>
      </c>
      <c r="BZ3114" s="2"/>
      <c r="CA3114" s="2" t="s">
        <v>2558</v>
      </c>
      <c r="CB3114" s="2"/>
      <c r="CC3114" s="2" t="s">
        <v>150</v>
      </c>
      <c r="CD3114" s="2">
        <v>4072</v>
      </c>
      <c r="CE3114" s="2" t="s">
        <v>89</v>
      </c>
      <c r="CF3114" s="5">
        <v>42977</v>
      </c>
      <c r="CG3114" s="2"/>
      <c r="CH3114" s="2"/>
      <c r="CI3114" s="2">
        <v>1</v>
      </c>
      <c r="CJ3114" s="2">
        <v>2</v>
      </c>
      <c r="CK3114" s="2">
        <v>21</v>
      </c>
      <c r="CL3114" s="2" t="s">
        <v>86</v>
      </c>
      <c r="CM3114" s="2"/>
    </row>
    <row r="3115" spans="1:91">
      <c r="A3115" s="2" t="s">
        <v>71</v>
      </c>
      <c r="B3115" s="2" t="s">
        <v>72</v>
      </c>
      <c r="C3115" s="2" t="s">
        <v>73</v>
      </c>
      <c r="D3115" s="2"/>
      <c r="E3115" s="2" t="str">
        <f>"FES1162571538"</f>
        <v>FES1162571538</v>
      </c>
      <c r="F3115" s="3">
        <v>42972</v>
      </c>
      <c r="G3115" s="2">
        <v>201802</v>
      </c>
      <c r="H3115" s="2" t="s">
        <v>74</v>
      </c>
      <c r="I3115" s="2" t="s">
        <v>75</v>
      </c>
      <c r="J3115" s="2" t="s">
        <v>76</v>
      </c>
      <c r="K3115" s="2" t="s">
        <v>77</v>
      </c>
      <c r="L3115" s="2" t="s">
        <v>149</v>
      </c>
      <c r="M3115" s="2" t="s">
        <v>150</v>
      </c>
      <c r="N3115" s="2" t="s">
        <v>3292</v>
      </c>
      <c r="O3115" s="2" t="s">
        <v>100</v>
      </c>
      <c r="P3115" s="2" t="str">
        <f>"2170586927                    "</f>
        <v xml:space="preserve">2170586927                    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4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1</v>
      </c>
      <c r="BI3115" s="2">
        <v>1</v>
      </c>
      <c r="BJ3115" s="2">
        <v>0.2</v>
      </c>
      <c r="BK3115" s="2">
        <v>1</v>
      </c>
      <c r="BL3115" s="2">
        <v>41.44</v>
      </c>
      <c r="BM3115" s="2">
        <v>5.8</v>
      </c>
      <c r="BN3115" s="2">
        <v>47.24</v>
      </c>
      <c r="BO3115" s="2">
        <v>47.24</v>
      </c>
      <c r="BP3115" s="2"/>
      <c r="BQ3115" s="2" t="s">
        <v>288</v>
      </c>
      <c r="BR3115" s="2" t="s">
        <v>84</v>
      </c>
      <c r="BS3115" s="3">
        <v>42975</v>
      </c>
      <c r="BT3115" s="4">
        <v>0.3430555555555555</v>
      </c>
      <c r="BU3115" s="2" t="s">
        <v>3293</v>
      </c>
      <c r="BV3115" s="2" t="s">
        <v>95</v>
      </c>
      <c r="BW3115" s="2"/>
      <c r="BX3115" s="2"/>
      <c r="BY3115" s="2">
        <v>1200</v>
      </c>
      <c r="BZ3115" s="2"/>
      <c r="CA3115" s="2" t="s">
        <v>189</v>
      </c>
      <c r="CB3115" s="2"/>
      <c r="CC3115" s="2" t="s">
        <v>150</v>
      </c>
      <c r="CD3115" s="2">
        <v>4051</v>
      </c>
      <c r="CE3115" s="2" t="s">
        <v>104</v>
      </c>
      <c r="CF3115" s="5">
        <v>42976</v>
      </c>
      <c r="CG3115" s="2"/>
      <c r="CH3115" s="2"/>
      <c r="CI3115" s="2">
        <v>1</v>
      </c>
      <c r="CJ3115" s="2">
        <v>1</v>
      </c>
      <c r="CK3115" s="2">
        <v>21</v>
      </c>
      <c r="CL3115" s="2" t="s">
        <v>86</v>
      </c>
      <c r="CM3115" s="2"/>
    </row>
    <row r="3116" spans="1:91">
      <c r="A3116" s="2" t="s">
        <v>71</v>
      </c>
      <c r="B3116" s="2" t="s">
        <v>72</v>
      </c>
      <c r="C3116" s="2" t="s">
        <v>73</v>
      </c>
      <c r="D3116" s="2"/>
      <c r="E3116" s="2" t="str">
        <f>"FES1162571457"</f>
        <v>FES1162571457</v>
      </c>
      <c r="F3116" s="3">
        <v>42972</v>
      </c>
      <c r="G3116" s="2">
        <v>201802</v>
      </c>
      <c r="H3116" s="2" t="s">
        <v>74</v>
      </c>
      <c r="I3116" s="2" t="s">
        <v>75</v>
      </c>
      <c r="J3116" s="2" t="s">
        <v>76</v>
      </c>
      <c r="K3116" s="2" t="s">
        <v>77</v>
      </c>
      <c r="L3116" s="2" t="s">
        <v>159</v>
      </c>
      <c r="M3116" s="2" t="s">
        <v>160</v>
      </c>
      <c r="N3116" s="2" t="s">
        <v>3294</v>
      </c>
      <c r="O3116" s="2" t="s">
        <v>100</v>
      </c>
      <c r="P3116" s="2" t="str">
        <f>"2170587067                    "</f>
        <v xml:space="preserve">2170587067                    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5.63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1</v>
      </c>
      <c r="BI3116" s="2">
        <v>1</v>
      </c>
      <c r="BJ3116" s="2">
        <v>0.2</v>
      </c>
      <c r="BK3116" s="2">
        <v>1</v>
      </c>
      <c r="BL3116" s="2">
        <v>58.28</v>
      </c>
      <c r="BM3116" s="2">
        <v>8.16</v>
      </c>
      <c r="BN3116" s="2">
        <v>66.44</v>
      </c>
      <c r="BO3116" s="2">
        <v>66.44</v>
      </c>
      <c r="BP3116" s="2"/>
      <c r="BQ3116" s="2" t="s">
        <v>108</v>
      </c>
      <c r="BR3116" s="2" t="s">
        <v>84</v>
      </c>
      <c r="BS3116" s="3">
        <v>42975</v>
      </c>
      <c r="BT3116" s="4">
        <v>0.60486111111111118</v>
      </c>
      <c r="BU3116" s="2" t="s">
        <v>3295</v>
      </c>
      <c r="BV3116" s="2" t="s">
        <v>86</v>
      </c>
      <c r="BW3116" s="2" t="s">
        <v>124</v>
      </c>
      <c r="BX3116" s="2" t="s">
        <v>623</v>
      </c>
      <c r="BY3116" s="2">
        <v>1200</v>
      </c>
      <c r="BZ3116" s="2"/>
      <c r="CA3116" s="2"/>
      <c r="CB3116" s="2"/>
      <c r="CC3116" s="2" t="s">
        <v>160</v>
      </c>
      <c r="CD3116" s="2">
        <v>407</v>
      </c>
      <c r="CE3116" s="2" t="s">
        <v>104</v>
      </c>
      <c r="CF3116" s="5">
        <v>42976</v>
      </c>
      <c r="CG3116" s="2"/>
      <c r="CH3116" s="2"/>
      <c r="CI3116" s="2">
        <v>1</v>
      </c>
      <c r="CJ3116" s="2">
        <v>1</v>
      </c>
      <c r="CK3116" s="2">
        <v>24</v>
      </c>
      <c r="CL3116" s="2" t="s">
        <v>86</v>
      </c>
      <c r="CM3116" s="2"/>
    </row>
    <row r="3117" spans="1:91">
      <c r="A3117" s="2" t="s">
        <v>71</v>
      </c>
      <c r="B3117" s="2" t="s">
        <v>72</v>
      </c>
      <c r="C3117" s="2" t="s">
        <v>73</v>
      </c>
      <c r="D3117" s="2"/>
      <c r="E3117" s="2" t="str">
        <f>"FES1162571411"</f>
        <v>FES1162571411</v>
      </c>
      <c r="F3117" s="3">
        <v>42972</v>
      </c>
      <c r="G3117" s="2">
        <v>201802</v>
      </c>
      <c r="H3117" s="2" t="s">
        <v>74</v>
      </c>
      <c r="I3117" s="2" t="s">
        <v>75</v>
      </c>
      <c r="J3117" s="2" t="s">
        <v>76</v>
      </c>
      <c r="K3117" s="2" t="s">
        <v>77</v>
      </c>
      <c r="L3117" s="2" t="s">
        <v>149</v>
      </c>
      <c r="M3117" s="2" t="s">
        <v>150</v>
      </c>
      <c r="N3117" s="2" t="s">
        <v>372</v>
      </c>
      <c r="O3117" s="2" t="s">
        <v>100</v>
      </c>
      <c r="P3117" s="2" t="str">
        <f>"2170583893                    "</f>
        <v xml:space="preserve">2170583893                    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4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1</v>
      </c>
      <c r="BI3117" s="2">
        <v>1</v>
      </c>
      <c r="BJ3117" s="2">
        <v>0.2</v>
      </c>
      <c r="BK3117" s="2">
        <v>1</v>
      </c>
      <c r="BL3117" s="2">
        <v>41.44</v>
      </c>
      <c r="BM3117" s="2">
        <v>5.8</v>
      </c>
      <c r="BN3117" s="2">
        <v>47.24</v>
      </c>
      <c r="BO3117" s="2">
        <v>47.24</v>
      </c>
      <c r="BP3117" s="2"/>
      <c r="BQ3117" s="2" t="s">
        <v>83</v>
      </c>
      <c r="BR3117" s="2" t="s">
        <v>84</v>
      </c>
      <c r="BS3117" s="3">
        <v>42975</v>
      </c>
      <c r="BT3117" s="4">
        <v>0.34375</v>
      </c>
      <c r="BU3117" s="2" t="s">
        <v>2616</v>
      </c>
      <c r="BV3117" s="2" t="s">
        <v>95</v>
      </c>
      <c r="BW3117" s="2"/>
      <c r="BX3117" s="2"/>
      <c r="BY3117" s="2">
        <v>1200</v>
      </c>
      <c r="BZ3117" s="2"/>
      <c r="CA3117" s="2" t="s">
        <v>1352</v>
      </c>
      <c r="CB3117" s="2"/>
      <c r="CC3117" s="2" t="s">
        <v>150</v>
      </c>
      <c r="CD3117" s="2">
        <v>4052</v>
      </c>
      <c r="CE3117" s="2" t="s">
        <v>104</v>
      </c>
      <c r="CF3117" s="5">
        <v>42976</v>
      </c>
      <c r="CG3117" s="2"/>
      <c r="CH3117" s="2"/>
      <c r="CI3117" s="2">
        <v>1</v>
      </c>
      <c r="CJ3117" s="2">
        <v>1</v>
      </c>
      <c r="CK3117" s="2">
        <v>21</v>
      </c>
      <c r="CL3117" s="2" t="s">
        <v>86</v>
      </c>
      <c r="CM3117" s="2"/>
    </row>
    <row r="3118" spans="1:91">
      <c r="A3118" s="2" t="s">
        <v>71</v>
      </c>
      <c r="B3118" s="2" t="s">
        <v>72</v>
      </c>
      <c r="C3118" s="2" t="s">
        <v>73</v>
      </c>
      <c r="D3118" s="2"/>
      <c r="E3118" s="2" t="str">
        <f>"FES1162571463"</f>
        <v>FES1162571463</v>
      </c>
      <c r="F3118" s="3">
        <v>42972</v>
      </c>
      <c r="G3118" s="2">
        <v>201802</v>
      </c>
      <c r="H3118" s="2" t="s">
        <v>74</v>
      </c>
      <c r="I3118" s="2" t="s">
        <v>75</v>
      </c>
      <c r="J3118" s="2" t="s">
        <v>76</v>
      </c>
      <c r="K3118" s="2" t="s">
        <v>77</v>
      </c>
      <c r="L3118" s="2" t="s">
        <v>149</v>
      </c>
      <c r="M3118" s="2" t="s">
        <v>150</v>
      </c>
      <c r="N3118" s="2" t="s">
        <v>1592</v>
      </c>
      <c r="O3118" s="2" t="s">
        <v>100</v>
      </c>
      <c r="P3118" s="2" t="str">
        <f>"2170587072                    "</f>
        <v xml:space="preserve">2170587072                    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6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1</v>
      </c>
      <c r="BI3118" s="2">
        <v>3</v>
      </c>
      <c r="BJ3118" s="2">
        <v>0.2</v>
      </c>
      <c r="BK3118" s="2">
        <v>3</v>
      </c>
      <c r="BL3118" s="2">
        <v>62.16</v>
      </c>
      <c r="BM3118" s="2">
        <v>8.6999999999999993</v>
      </c>
      <c r="BN3118" s="2">
        <v>70.86</v>
      </c>
      <c r="BO3118" s="2">
        <v>70.86</v>
      </c>
      <c r="BP3118" s="2"/>
      <c r="BQ3118" s="2" t="s">
        <v>83</v>
      </c>
      <c r="BR3118" s="2" t="s">
        <v>84</v>
      </c>
      <c r="BS3118" s="3">
        <v>42975</v>
      </c>
      <c r="BT3118" s="4">
        <v>0.35069444444444442</v>
      </c>
      <c r="BU3118" s="2" t="s">
        <v>3296</v>
      </c>
      <c r="BV3118" s="2" t="s">
        <v>95</v>
      </c>
      <c r="BW3118" s="2"/>
      <c r="BX3118" s="2"/>
      <c r="BY3118" s="2">
        <v>1200</v>
      </c>
      <c r="BZ3118" s="2"/>
      <c r="CA3118" s="2" t="s">
        <v>1163</v>
      </c>
      <c r="CB3118" s="2"/>
      <c r="CC3118" s="2" t="s">
        <v>150</v>
      </c>
      <c r="CD3118" s="2">
        <v>4094</v>
      </c>
      <c r="CE3118" s="2" t="s">
        <v>104</v>
      </c>
      <c r="CF3118" s="5">
        <v>42976</v>
      </c>
      <c r="CG3118" s="2"/>
      <c r="CH3118" s="2"/>
      <c r="CI3118" s="2">
        <v>1</v>
      </c>
      <c r="CJ3118" s="2">
        <v>1</v>
      </c>
      <c r="CK3118" s="2">
        <v>21</v>
      </c>
      <c r="CL3118" s="2" t="s">
        <v>86</v>
      </c>
      <c r="CM3118" s="2"/>
    </row>
    <row r="3119" spans="1:91">
      <c r="A3119" s="2" t="s">
        <v>71</v>
      </c>
      <c r="B3119" s="2" t="s">
        <v>72</v>
      </c>
      <c r="C3119" s="2" t="s">
        <v>73</v>
      </c>
      <c r="D3119" s="2"/>
      <c r="E3119" s="2" t="str">
        <f>"FES1162571518"</f>
        <v>FES1162571518</v>
      </c>
      <c r="F3119" s="3">
        <v>42972</v>
      </c>
      <c r="G3119" s="2">
        <v>201802</v>
      </c>
      <c r="H3119" s="2" t="s">
        <v>74</v>
      </c>
      <c r="I3119" s="2" t="s">
        <v>75</v>
      </c>
      <c r="J3119" s="2" t="s">
        <v>76</v>
      </c>
      <c r="K3119" s="2" t="s">
        <v>77</v>
      </c>
      <c r="L3119" s="2" t="s">
        <v>268</v>
      </c>
      <c r="M3119" s="2" t="s">
        <v>269</v>
      </c>
      <c r="N3119" s="2" t="s">
        <v>982</v>
      </c>
      <c r="O3119" s="2" t="s">
        <v>100</v>
      </c>
      <c r="P3119" s="2" t="str">
        <f>"2170586463                    "</f>
        <v xml:space="preserve">2170586463                    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4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0</v>
      </c>
      <c r="BH3119" s="2">
        <v>1</v>
      </c>
      <c r="BI3119" s="2">
        <v>1</v>
      </c>
      <c r="BJ3119" s="2">
        <v>0.2</v>
      </c>
      <c r="BK3119" s="2">
        <v>1</v>
      </c>
      <c r="BL3119" s="2">
        <v>41.44</v>
      </c>
      <c r="BM3119" s="2">
        <v>5.8</v>
      </c>
      <c r="BN3119" s="2">
        <v>47.24</v>
      </c>
      <c r="BO3119" s="2">
        <v>47.24</v>
      </c>
      <c r="BP3119" s="2"/>
      <c r="BQ3119" s="2" t="s">
        <v>108</v>
      </c>
      <c r="BR3119" s="2" t="s">
        <v>84</v>
      </c>
      <c r="BS3119" s="3">
        <v>42975</v>
      </c>
      <c r="BT3119" s="4">
        <v>0.43472222222222223</v>
      </c>
      <c r="BU3119" s="2" t="s">
        <v>3297</v>
      </c>
      <c r="BV3119" s="2" t="s">
        <v>95</v>
      </c>
      <c r="BW3119" s="2"/>
      <c r="BX3119" s="2"/>
      <c r="BY3119" s="2">
        <v>1200</v>
      </c>
      <c r="BZ3119" s="2"/>
      <c r="CA3119" s="2" t="s">
        <v>272</v>
      </c>
      <c r="CB3119" s="2"/>
      <c r="CC3119" s="2" t="s">
        <v>269</v>
      </c>
      <c r="CD3119" s="2">
        <v>200</v>
      </c>
      <c r="CE3119" s="2" t="s">
        <v>104</v>
      </c>
      <c r="CF3119" s="5">
        <v>42976</v>
      </c>
      <c r="CG3119" s="2"/>
      <c r="CH3119" s="2"/>
      <c r="CI3119" s="2">
        <v>1</v>
      </c>
      <c r="CJ3119" s="2">
        <v>1</v>
      </c>
      <c r="CK3119" s="2">
        <v>21</v>
      </c>
      <c r="CL3119" s="2" t="s">
        <v>86</v>
      </c>
      <c r="CM3119" s="2"/>
    </row>
    <row r="3120" spans="1:91">
      <c r="A3120" s="2" t="s">
        <v>71</v>
      </c>
      <c r="B3120" s="2" t="s">
        <v>72</v>
      </c>
      <c r="C3120" s="2" t="s">
        <v>73</v>
      </c>
      <c r="D3120" s="2"/>
      <c r="E3120" s="2" t="str">
        <f>"FES1162571516"</f>
        <v>FES1162571516</v>
      </c>
      <c r="F3120" s="3">
        <v>42972</v>
      </c>
      <c r="G3120" s="2">
        <v>201802</v>
      </c>
      <c r="H3120" s="2" t="s">
        <v>74</v>
      </c>
      <c r="I3120" s="2" t="s">
        <v>75</v>
      </c>
      <c r="J3120" s="2" t="s">
        <v>76</v>
      </c>
      <c r="K3120" s="2" t="s">
        <v>77</v>
      </c>
      <c r="L3120" s="2" t="s">
        <v>306</v>
      </c>
      <c r="M3120" s="2" t="s">
        <v>307</v>
      </c>
      <c r="N3120" s="2" t="s">
        <v>1140</v>
      </c>
      <c r="O3120" s="2" t="s">
        <v>100</v>
      </c>
      <c r="P3120" s="2" t="str">
        <f>"2170585634                    "</f>
        <v xml:space="preserve">2170585634                    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4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1</v>
      </c>
      <c r="BI3120" s="2">
        <v>1</v>
      </c>
      <c r="BJ3120" s="2">
        <v>0.2</v>
      </c>
      <c r="BK3120" s="2">
        <v>1</v>
      </c>
      <c r="BL3120" s="2">
        <v>41.44</v>
      </c>
      <c r="BM3120" s="2">
        <v>5.8</v>
      </c>
      <c r="BN3120" s="2">
        <v>47.24</v>
      </c>
      <c r="BO3120" s="2">
        <v>47.24</v>
      </c>
      <c r="BP3120" s="2"/>
      <c r="BQ3120" s="2" t="s">
        <v>83</v>
      </c>
      <c r="BR3120" s="2" t="s">
        <v>84</v>
      </c>
      <c r="BS3120" s="3">
        <v>42975</v>
      </c>
      <c r="BT3120" s="4">
        <v>0.60069444444444442</v>
      </c>
      <c r="BU3120" s="2" t="s">
        <v>3298</v>
      </c>
      <c r="BV3120" s="2" t="s">
        <v>86</v>
      </c>
      <c r="BW3120" s="2"/>
      <c r="BX3120" s="2"/>
      <c r="BY3120" s="2">
        <v>1200</v>
      </c>
      <c r="BZ3120" s="2"/>
      <c r="CA3120" s="2"/>
      <c r="CB3120" s="2"/>
      <c r="CC3120" s="2" t="s">
        <v>307</v>
      </c>
      <c r="CD3120" s="2">
        <v>1873</v>
      </c>
      <c r="CE3120" s="2" t="s">
        <v>104</v>
      </c>
      <c r="CF3120" s="5">
        <v>42976</v>
      </c>
      <c r="CG3120" s="2"/>
      <c r="CH3120" s="2"/>
      <c r="CI3120" s="2">
        <v>1</v>
      </c>
      <c r="CJ3120" s="2">
        <v>1</v>
      </c>
      <c r="CK3120" s="2">
        <v>21</v>
      </c>
      <c r="CL3120" s="2" t="s">
        <v>86</v>
      </c>
      <c r="CM3120" s="2"/>
    </row>
    <row r="3121" spans="1:91">
      <c r="A3121" s="2" t="s">
        <v>71</v>
      </c>
      <c r="B3121" s="2" t="s">
        <v>72</v>
      </c>
      <c r="C3121" s="2" t="s">
        <v>73</v>
      </c>
      <c r="D3121" s="2"/>
      <c r="E3121" s="2" t="str">
        <f>"FES1162571464"</f>
        <v>FES1162571464</v>
      </c>
      <c r="F3121" s="3">
        <v>42972</v>
      </c>
      <c r="G3121" s="2">
        <v>201802</v>
      </c>
      <c r="H3121" s="2" t="s">
        <v>74</v>
      </c>
      <c r="I3121" s="2" t="s">
        <v>75</v>
      </c>
      <c r="J3121" s="2" t="s">
        <v>76</v>
      </c>
      <c r="K3121" s="2" t="s">
        <v>77</v>
      </c>
      <c r="L3121" s="2" t="s">
        <v>268</v>
      </c>
      <c r="M3121" s="2" t="s">
        <v>269</v>
      </c>
      <c r="N3121" s="2" t="s">
        <v>982</v>
      </c>
      <c r="O3121" s="2" t="s">
        <v>100</v>
      </c>
      <c r="P3121" s="2" t="str">
        <f>"2170587073                    "</f>
        <v xml:space="preserve">2170587073                    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4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1</v>
      </c>
      <c r="BI3121" s="2">
        <v>1</v>
      </c>
      <c r="BJ3121" s="2">
        <v>0.2</v>
      </c>
      <c r="BK3121" s="2">
        <v>1</v>
      </c>
      <c r="BL3121" s="2">
        <v>41.44</v>
      </c>
      <c r="BM3121" s="2">
        <v>5.8</v>
      </c>
      <c r="BN3121" s="2">
        <v>47.24</v>
      </c>
      <c r="BO3121" s="2">
        <v>47.24</v>
      </c>
      <c r="BP3121" s="2"/>
      <c r="BQ3121" s="2" t="s">
        <v>108</v>
      </c>
      <c r="BR3121" s="2" t="s">
        <v>84</v>
      </c>
      <c r="BS3121" s="3">
        <v>42975</v>
      </c>
      <c r="BT3121" s="4">
        <v>0.41319444444444442</v>
      </c>
      <c r="BU3121" s="2" t="s">
        <v>125</v>
      </c>
      <c r="BV3121" s="2" t="s">
        <v>95</v>
      </c>
      <c r="BW3121" s="2"/>
      <c r="BX3121" s="2"/>
      <c r="BY3121" s="2">
        <v>1200</v>
      </c>
      <c r="BZ3121" s="2"/>
      <c r="CA3121" s="2"/>
      <c r="CB3121" s="2"/>
      <c r="CC3121" s="2" t="s">
        <v>269</v>
      </c>
      <c r="CD3121" s="2">
        <v>200</v>
      </c>
      <c r="CE3121" s="2" t="s">
        <v>104</v>
      </c>
      <c r="CF3121" s="5">
        <v>42976</v>
      </c>
      <c r="CG3121" s="2"/>
      <c r="CH3121" s="2"/>
      <c r="CI3121" s="2">
        <v>1</v>
      </c>
      <c r="CJ3121" s="2">
        <v>1</v>
      </c>
      <c r="CK3121" s="2">
        <v>21</v>
      </c>
      <c r="CL3121" s="2" t="s">
        <v>86</v>
      </c>
      <c r="CM3121" s="2"/>
    </row>
    <row r="3122" spans="1:91">
      <c r="A3122" s="2" t="s">
        <v>71</v>
      </c>
      <c r="B3122" s="2" t="s">
        <v>72</v>
      </c>
      <c r="C3122" s="2" t="s">
        <v>73</v>
      </c>
      <c r="D3122" s="2"/>
      <c r="E3122" s="2" t="str">
        <f>"FES1162571416"</f>
        <v>FES1162571416</v>
      </c>
      <c r="F3122" s="3">
        <v>42972</v>
      </c>
      <c r="G3122" s="2">
        <v>201802</v>
      </c>
      <c r="H3122" s="2" t="s">
        <v>74</v>
      </c>
      <c r="I3122" s="2" t="s">
        <v>75</v>
      </c>
      <c r="J3122" s="2" t="s">
        <v>76</v>
      </c>
      <c r="K3122" s="2" t="s">
        <v>77</v>
      </c>
      <c r="L3122" s="2" t="s">
        <v>268</v>
      </c>
      <c r="M3122" s="2" t="s">
        <v>269</v>
      </c>
      <c r="N3122" s="2" t="s">
        <v>635</v>
      </c>
      <c r="O3122" s="2" t="s">
        <v>100</v>
      </c>
      <c r="P3122" s="2" t="str">
        <f>"2170584931                    "</f>
        <v xml:space="preserve">2170584931                    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4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1</v>
      </c>
      <c r="BI3122" s="2">
        <v>1</v>
      </c>
      <c r="BJ3122" s="2">
        <v>0.2</v>
      </c>
      <c r="BK3122" s="2">
        <v>1</v>
      </c>
      <c r="BL3122" s="2">
        <v>41.44</v>
      </c>
      <c r="BM3122" s="2">
        <v>5.8</v>
      </c>
      <c r="BN3122" s="2">
        <v>47.24</v>
      </c>
      <c r="BO3122" s="2">
        <v>47.24</v>
      </c>
      <c r="BP3122" s="2"/>
      <c r="BQ3122" s="2" t="s">
        <v>108</v>
      </c>
      <c r="BR3122" s="2" t="s">
        <v>84</v>
      </c>
      <c r="BS3122" s="3">
        <v>42975</v>
      </c>
      <c r="BT3122" s="4">
        <v>0.38194444444444442</v>
      </c>
      <c r="BU3122" s="2" t="s">
        <v>3299</v>
      </c>
      <c r="BV3122" s="2" t="s">
        <v>95</v>
      </c>
      <c r="BW3122" s="2"/>
      <c r="BX3122" s="2"/>
      <c r="BY3122" s="2">
        <v>1200</v>
      </c>
      <c r="BZ3122" s="2"/>
      <c r="CA3122" s="2" t="s">
        <v>1880</v>
      </c>
      <c r="CB3122" s="2"/>
      <c r="CC3122" s="2" t="s">
        <v>269</v>
      </c>
      <c r="CD3122" s="2">
        <v>184</v>
      </c>
      <c r="CE3122" s="2" t="s">
        <v>104</v>
      </c>
      <c r="CF3122" s="5">
        <v>42976</v>
      </c>
      <c r="CG3122" s="2"/>
      <c r="CH3122" s="2"/>
      <c r="CI3122" s="2">
        <v>1</v>
      </c>
      <c r="CJ3122" s="2">
        <v>1</v>
      </c>
      <c r="CK3122" s="2">
        <v>21</v>
      </c>
      <c r="CL3122" s="2" t="s">
        <v>86</v>
      </c>
      <c r="CM3122" s="2"/>
    </row>
    <row r="3123" spans="1:91">
      <c r="A3123" s="2" t="s">
        <v>71</v>
      </c>
      <c r="B3123" s="2" t="s">
        <v>72</v>
      </c>
      <c r="C3123" s="2" t="s">
        <v>73</v>
      </c>
      <c r="D3123" s="2"/>
      <c r="E3123" s="2" t="str">
        <f>"FES1162571442"</f>
        <v>FES1162571442</v>
      </c>
      <c r="F3123" s="3">
        <v>42972</v>
      </c>
      <c r="G3123" s="2">
        <v>201802</v>
      </c>
      <c r="H3123" s="2" t="s">
        <v>74</v>
      </c>
      <c r="I3123" s="2" t="s">
        <v>75</v>
      </c>
      <c r="J3123" s="2" t="s">
        <v>76</v>
      </c>
      <c r="K3123" s="2" t="s">
        <v>77</v>
      </c>
      <c r="L3123" s="2" t="s">
        <v>268</v>
      </c>
      <c r="M3123" s="2" t="s">
        <v>269</v>
      </c>
      <c r="N3123" s="2" t="s">
        <v>432</v>
      </c>
      <c r="O3123" s="2" t="s">
        <v>100</v>
      </c>
      <c r="P3123" s="2" t="str">
        <f>"2170586656                    "</f>
        <v xml:space="preserve">2170586656                    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4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1</v>
      </c>
      <c r="BI3123" s="2">
        <v>1</v>
      </c>
      <c r="BJ3123" s="2">
        <v>0.2</v>
      </c>
      <c r="BK3123" s="2">
        <v>1</v>
      </c>
      <c r="BL3123" s="2">
        <v>41.44</v>
      </c>
      <c r="BM3123" s="2">
        <v>5.8</v>
      </c>
      <c r="BN3123" s="2">
        <v>47.24</v>
      </c>
      <c r="BO3123" s="2">
        <v>47.24</v>
      </c>
      <c r="BP3123" s="2"/>
      <c r="BQ3123" s="2" t="s">
        <v>108</v>
      </c>
      <c r="BR3123" s="2" t="s">
        <v>84</v>
      </c>
      <c r="BS3123" s="3">
        <v>42975</v>
      </c>
      <c r="BT3123" s="4">
        <v>0.56111111111111112</v>
      </c>
      <c r="BU3123" s="2" t="s">
        <v>3300</v>
      </c>
      <c r="BV3123" s="2" t="s">
        <v>86</v>
      </c>
      <c r="BW3123" s="2" t="s">
        <v>110</v>
      </c>
      <c r="BX3123" s="2" t="s">
        <v>444</v>
      </c>
      <c r="BY3123" s="2">
        <v>1200</v>
      </c>
      <c r="BZ3123" s="2"/>
      <c r="CA3123" s="2" t="s">
        <v>148</v>
      </c>
      <c r="CB3123" s="2"/>
      <c r="CC3123" s="2" t="s">
        <v>269</v>
      </c>
      <c r="CD3123" s="2">
        <v>117</v>
      </c>
      <c r="CE3123" s="2" t="s">
        <v>104</v>
      </c>
      <c r="CF3123" s="5">
        <v>42976</v>
      </c>
      <c r="CG3123" s="2"/>
      <c r="CH3123" s="2"/>
      <c r="CI3123" s="2">
        <v>1</v>
      </c>
      <c r="CJ3123" s="2">
        <v>1</v>
      </c>
      <c r="CK3123" s="2">
        <v>21</v>
      </c>
      <c r="CL3123" s="2" t="s">
        <v>86</v>
      </c>
      <c r="CM3123" s="2"/>
    </row>
    <row r="3124" spans="1:91">
      <c r="A3124" s="2" t="s">
        <v>71</v>
      </c>
      <c r="B3124" s="2" t="s">
        <v>72</v>
      </c>
      <c r="C3124" s="2" t="s">
        <v>73</v>
      </c>
      <c r="D3124" s="2"/>
      <c r="E3124" s="2" t="str">
        <f>"FES1162571494"</f>
        <v>FES1162571494</v>
      </c>
      <c r="F3124" s="3">
        <v>42972</v>
      </c>
      <c r="G3124" s="2">
        <v>201802</v>
      </c>
      <c r="H3124" s="2" t="s">
        <v>74</v>
      </c>
      <c r="I3124" s="2" t="s">
        <v>75</v>
      </c>
      <c r="J3124" s="2" t="s">
        <v>76</v>
      </c>
      <c r="K3124" s="2" t="s">
        <v>77</v>
      </c>
      <c r="L3124" s="2" t="s">
        <v>268</v>
      </c>
      <c r="M3124" s="2" t="s">
        <v>269</v>
      </c>
      <c r="N3124" s="2" t="s">
        <v>635</v>
      </c>
      <c r="O3124" s="2" t="s">
        <v>100</v>
      </c>
      <c r="P3124" s="2" t="str">
        <f>"2170587131                    "</f>
        <v xml:space="preserve">2170587131                    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4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1</v>
      </c>
      <c r="BI3124" s="2">
        <v>1</v>
      </c>
      <c r="BJ3124" s="2">
        <v>0.2</v>
      </c>
      <c r="BK3124" s="2">
        <v>1</v>
      </c>
      <c r="BL3124" s="2">
        <v>41.44</v>
      </c>
      <c r="BM3124" s="2">
        <v>5.8</v>
      </c>
      <c r="BN3124" s="2">
        <v>47.24</v>
      </c>
      <c r="BO3124" s="2">
        <v>47.24</v>
      </c>
      <c r="BP3124" s="2"/>
      <c r="BQ3124" s="2" t="s">
        <v>108</v>
      </c>
      <c r="BR3124" s="2" t="s">
        <v>84</v>
      </c>
      <c r="BS3124" s="3">
        <v>42975</v>
      </c>
      <c r="BT3124" s="4">
        <v>0.38194444444444442</v>
      </c>
      <c r="BU3124" s="2" t="s">
        <v>3299</v>
      </c>
      <c r="BV3124" s="2" t="s">
        <v>95</v>
      </c>
      <c r="BW3124" s="2"/>
      <c r="BX3124" s="2"/>
      <c r="BY3124" s="2">
        <v>1200</v>
      </c>
      <c r="BZ3124" s="2"/>
      <c r="CA3124" s="2" t="s">
        <v>1880</v>
      </c>
      <c r="CB3124" s="2"/>
      <c r="CC3124" s="2" t="s">
        <v>269</v>
      </c>
      <c r="CD3124" s="2">
        <v>184</v>
      </c>
      <c r="CE3124" s="2" t="s">
        <v>104</v>
      </c>
      <c r="CF3124" s="5">
        <v>42976</v>
      </c>
      <c r="CG3124" s="2"/>
      <c r="CH3124" s="2"/>
      <c r="CI3124" s="2">
        <v>1</v>
      </c>
      <c r="CJ3124" s="2">
        <v>1</v>
      </c>
      <c r="CK3124" s="2">
        <v>21</v>
      </c>
      <c r="CL3124" s="2" t="s">
        <v>86</v>
      </c>
      <c r="CM3124" s="2"/>
    </row>
    <row r="3125" spans="1:91">
      <c r="A3125" s="2" t="s">
        <v>71</v>
      </c>
      <c r="B3125" s="2" t="s">
        <v>72</v>
      </c>
      <c r="C3125" s="2" t="s">
        <v>73</v>
      </c>
      <c r="D3125" s="2"/>
      <c r="E3125" s="2" t="str">
        <f>"FES1162571517"</f>
        <v>FES1162571517</v>
      </c>
      <c r="F3125" s="3">
        <v>42972</v>
      </c>
      <c r="G3125" s="2">
        <v>201802</v>
      </c>
      <c r="H3125" s="2" t="s">
        <v>74</v>
      </c>
      <c r="I3125" s="2" t="s">
        <v>75</v>
      </c>
      <c r="J3125" s="2" t="s">
        <v>76</v>
      </c>
      <c r="K3125" s="2" t="s">
        <v>77</v>
      </c>
      <c r="L3125" s="2" t="s">
        <v>417</v>
      </c>
      <c r="M3125" s="2" t="s">
        <v>417</v>
      </c>
      <c r="N3125" s="2" t="s">
        <v>475</v>
      </c>
      <c r="O3125" s="2" t="s">
        <v>100</v>
      </c>
      <c r="P3125" s="2" t="str">
        <f>"2170586288                    "</f>
        <v xml:space="preserve">2170586288                    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4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1</v>
      </c>
      <c r="BI3125" s="2">
        <v>1</v>
      </c>
      <c r="BJ3125" s="2">
        <v>0.2</v>
      </c>
      <c r="BK3125" s="2">
        <v>1</v>
      </c>
      <c r="BL3125" s="2">
        <v>41.44</v>
      </c>
      <c r="BM3125" s="2">
        <v>5.8</v>
      </c>
      <c r="BN3125" s="2">
        <v>47.24</v>
      </c>
      <c r="BO3125" s="2">
        <v>47.24</v>
      </c>
      <c r="BP3125" s="2"/>
      <c r="BQ3125" s="2" t="s">
        <v>108</v>
      </c>
      <c r="BR3125" s="2" t="s">
        <v>84</v>
      </c>
      <c r="BS3125" s="3">
        <v>42975</v>
      </c>
      <c r="BT3125" s="4">
        <v>0.50624999999999998</v>
      </c>
      <c r="BU3125" s="2" t="s">
        <v>509</v>
      </c>
      <c r="BV3125" s="2" t="s">
        <v>95</v>
      </c>
      <c r="BW3125" s="2"/>
      <c r="BX3125" s="2"/>
      <c r="BY3125" s="2">
        <v>1200</v>
      </c>
      <c r="BZ3125" s="2"/>
      <c r="CA3125" s="2" t="s">
        <v>460</v>
      </c>
      <c r="CB3125" s="2"/>
      <c r="CC3125" s="2" t="s">
        <v>417</v>
      </c>
      <c r="CD3125" s="2">
        <v>7646</v>
      </c>
      <c r="CE3125" s="2" t="s">
        <v>104</v>
      </c>
      <c r="CF3125" s="5">
        <v>42976</v>
      </c>
      <c r="CG3125" s="2"/>
      <c r="CH3125" s="2"/>
      <c r="CI3125" s="2">
        <v>1</v>
      </c>
      <c r="CJ3125" s="2">
        <v>1</v>
      </c>
      <c r="CK3125" s="2">
        <v>21</v>
      </c>
      <c r="CL3125" s="2" t="s">
        <v>86</v>
      </c>
      <c r="CM3125" s="2"/>
    </row>
    <row r="3126" spans="1:91">
      <c r="A3126" s="2" t="s">
        <v>71</v>
      </c>
      <c r="B3126" s="2" t="s">
        <v>72</v>
      </c>
      <c r="C3126" s="2" t="s">
        <v>73</v>
      </c>
      <c r="D3126" s="2"/>
      <c r="E3126" s="2" t="str">
        <f>"FES1162571571"</f>
        <v>FES1162571571</v>
      </c>
      <c r="F3126" s="3">
        <v>42972</v>
      </c>
      <c r="G3126" s="2">
        <v>201802</v>
      </c>
      <c r="H3126" s="2" t="s">
        <v>74</v>
      </c>
      <c r="I3126" s="2" t="s">
        <v>75</v>
      </c>
      <c r="J3126" s="2" t="s">
        <v>76</v>
      </c>
      <c r="K3126" s="2" t="s">
        <v>77</v>
      </c>
      <c r="L3126" s="2" t="s">
        <v>105</v>
      </c>
      <c r="M3126" s="2" t="s">
        <v>106</v>
      </c>
      <c r="N3126" s="2" t="s">
        <v>657</v>
      </c>
      <c r="O3126" s="2" t="s">
        <v>100</v>
      </c>
      <c r="P3126" s="2" t="str">
        <f>"2170587216                    "</f>
        <v xml:space="preserve">2170587216                    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4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1</v>
      </c>
      <c r="BI3126" s="2">
        <v>1</v>
      </c>
      <c r="BJ3126" s="2">
        <v>0.2</v>
      </c>
      <c r="BK3126" s="2">
        <v>1</v>
      </c>
      <c r="BL3126" s="2">
        <v>41.44</v>
      </c>
      <c r="BM3126" s="2">
        <v>5.8</v>
      </c>
      <c r="BN3126" s="2">
        <v>47.24</v>
      </c>
      <c r="BO3126" s="2">
        <v>47.24</v>
      </c>
      <c r="BP3126" s="2"/>
      <c r="BQ3126" s="2" t="s">
        <v>83</v>
      </c>
      <c r="BR3126" s="2" t="s">
        <v>84</v>
      </c>
      <c r="BS3126" s="3">
        <v>42975</v>
      </c>
      <c r="BT3126" s="4">
        <v>0.40069444444444446</v>
      </c>
      <c r="BU3126" s="2" t="s">
        <v>3301</v>
      </c>
      <c r="BV3126" s="2" t="s">
        <v>95</v>
      </c>
      <c r="BW3126" s="2"/>
      <c r="BX3126" s="2"/>
      <c r="BY3126" s="2">
        <v>1200</v>
      </c>
      <c r="BZ3126" s="2" t="s">
        <v>27</v>
      </c>
      <c r="CA3126" s="2" t="s">
        <v>350</v>
      </c>
      <c r="CB3126" s="2"/>
      <c r="CC3126" s="2" t="s">
        <v>106</v>
      </c>
      <c r="CD3126" s="2">
        <v>7945</v>
      </c>
      <c r="CE3126" s="2" t="s">
        <v>104</v>
      </c>
      <c r="CF3126" s="5">
        <v>42976</v>
      </c>
      <c r="CG3126" s="2"/>
      <c r="CH3126" s="2"/>
      <c r="CI3126" s="2">
        <v>1</v>
      </c>
      <c r="CJ3126" s="2">
        <v>1</v>
      </c>
      <c r="CK3126" s="2">
        <v>21</v>
      </c>
      <c r="CL3126" s="2" t="s">
        <v>86</v>
      </c>
      <c r="CM3126" s="2"/>
    </row>
    <row r="3127" spans="1:91">
      <c r="A3127" s="2" t="s">
        <v>71</v>
      </c>
      <c r="B3127" s="2" t="s">
        <v>72</v>
      </c>
      <c r="C3127" s="2" t="s">
        <v>73</v>
      </c>
      <c r="D3127" s="2"/>
      <c r="E3127" s="2" t="str">
        <f>"FES1162571530"</f>
        <v>FES1162571530</v>
      </c>
      <c r="F3127" s="3">
        <v>42972</v>
      </c>
      <c r="G3127" s="2">
        <v>201802</v>
      </c>
      <c r="H3127" s="2" t="s">
        <v>74</v>
      </c>
      <c r="I3127" s="2" t="s">
        <v>75</v>
      </c>
      <c r="J3127" s="2" t="s">
        <v>76</v>
      </c>
      <c r="K3127" s="2" t="s">
        <v>77</v>
      </c>
      <c r="L3127" s="2" t="s">
        <v>170</v>
      </c>
      <c r="M3127" s="2" t="s">
        <v>171</v>
      </c>
      <c r="N3127" s="2" t="s">
        <v>1389</v>
      </c>
      <c r="O3127" s="2" t="s">
        <v>100</v>
      </c>
      <c r="P3127" s="2" t="str">
        <f>"2170587143                    "</f>
        <v xml:space="preserve">2170587143                    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3.13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1</v>
      </c>
      <c r="BI3127" s="2">
        <v>1</v>
      </c>
      <c r="BJ3127" s="2">
        <v>0.2</v>
      </c>
      <c r="BK3127" s="2">
        <v>1</v>
      </c>
      <c r="BL3127" s="2">
        <v>32.380000000000003</v>
      </c>
      <c r="BM3127" s="2">
        <v>4.53</v>
      </c>
      <c r="BN3127" s="2">
        <v>36.909999999999997</v>
      </c>
      <c r="BO3127" s="2">
        <v>36.909999999999997</v>
      </c>
      <c r="BP3127" s="2"/>
      <c r="BQ3127" s="2" t="s">
        <v>108</v>
      </c>
      <c r="BR3127" s="2" t="s">
        <v>84</v>
      </c>
      <c r="BS3127" s="3">
        <v>42975</v>
      </c>
      <c r="BT3127" s="4">
        <v>0.37777777777777777</v>
      </c>
      <c r="BU3127" s="2" t="s">
        <v>3287</v>
      </c>
      <c r="BV3127" s="2" t="s">
        <v>95</v>
      </c>
      <c r="BW3127" s="2"/>
      <c r="BX3127" s="2"/>
      <c r="BY3127" s="2">
        <v>1200</v>
      </c>
      <c r="BZ3127" s="2"/>
      <c r="CA3127" s="2" t="s">
        <v>148</v>
      </c>
      <c r="CB3127" s="2"/>
      <c r="CC3127" s="2" t="s">
        <v>171</v>
      </c>
      <c r="CD3127" s="2">
        <v>1401</v>
      </c>
      <c r="CE3127" s="2" t="s">
        <v>104</v>
      </c>
      <c r="CF3127" s="5">
        <v>42976</v>
      </c>
      <c r="CG3127" s="2"/>
      <c r="CH3127" s="2"/>
      <c r="CI3127" s="2">
        <v>1</v>
      </c>
      <c r="CJ3127" s="2">
        <v>1</v>
      </c>
      <c r="CK3127" s="2">
        <v>22</v>
      </c>
      <c r="CL3127" s="2" t="s">
        <v>86</v>
      </c>
      <c r="CM3127" s="2"/>
    </row>
    <row r="3128" spans="1:91">
      <c r="A3128" s="2" t="s">
        <v>71</v>
      </c>
      <c r="B3128" s="2" t="s">
        <v>72</v>
      </c>
      <c r="C3128" s="2" t="s">
        <v>73</v>
      </c>
      <c r="D3128" s="2"/>
      <c r="E3128" s="2" t="str">
        <f>"FES1162571434"</f>
        <v>FES1162571434</v>
      </c>
      <c r="F3128" s="3">
        <v>42972</v>
      </c>
      <c r="G3128" s="2">
        <v>201802</v>
      </c>
      <c r="H3128" s="2" t="s">
        <v>74</v>
      </c>
      <c r="I3128" s="2" t="s">
        <v>75</v>
      </c>
      <c r="J3128" s="2" t="s">
        <v>76</v>
      </c>
      <c r="K3128" s="2" t="s">
        <v>77</v>
      </c>
      <c r="L3128" s="2" t="s">
        <v>105</v>
      </c>
      <c r="M3128" s="2" t="s">
        <v>106</v>
      </c>
      <c r="N3128" s="2" t="s">
        <v>1851</v>
      </c>
      <c r="O3128" s="2" t="s">
        <v>100</v>
      </c>
      <c r="P3128" s="2" t="str">
        <f>"2170586292                    "</f>
        <v xml:space="preserve">2170586292                    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4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1</v>
      </c>
      <c r="BI3128" s="2">
        <v>1</v>
      </c>
      <c r="BJ3128" s="2">
        <v>0.2</v>
      </c>
      <c r="BK3128" s="2">
        <v>1</v>
      </c>
      <c r="BL3128" s="2">
        <v>41.44</v>
      </c>
      <c r="BM3128" s="2">
        <v>5.8</v>
      </c>
      <c r="BN3128" s="2">
        <v>47.24</v>
      </c>
      <c r="BO3128" s="2">
        <v>47.24</v>
      </c>
      <c r="BP3128" s="2"/>
      <c r="BQ3128" s="2" t="s">
        <v>83</v>
      </c>
      <c r="BR3128" s="2" t="s">
        <v>84</v>
      </c>
      <c r="BS3128" s="3">
        <v>42975</v>
      </c>
      <c r="BT3128" s="4">
        <v>0.3979166666666667</v>
      </c>
      <c r="BU3128" s="2" t="s">
        <v>1852</v>
      </c>
      <c r="BV3128" s="2" t="s">
        <v>95</v>
      </c>
      <c r="BW3128" s="2"/>
      <c r="BX3128" s="2"/>
      <c r="BY3128" s="2">
        <v>1200</v>
      </c>
      <c r="BZ3128" s="2"/>
      <c r="CA3128" s="2" t="s">
        <v>302</v>
      </c>
      <c r="CB3128" s="2"/>
      <c r="CC3128" s="2" t="s">
        <v>106</v>
      </c>
      <c r="CD3128" s="2">
        <v>7530</v>
      </c>
      <c r="CE3128" s="2" t="s">
        <v>104</v>
      </c>
      <c r="CF3128" s="5">
        <v>42976</v>
      </c>
      <c r="CG3128" s="2"/>
      <c r="CH3128" s="2"/>
      <c r="CI3128" s="2">
        <v>1</v>
      </c>
      <c r="CJ3128" s="2">
        <v>1</v>
      </c>
      <c r="CK3128" s="2">
        <v>21</v>
      </c>
      <c r="CL3128" s="2" t="s">
        <v>86</v>
      </c>
      <c r="CM3128" s="2"/>
    </row>
    <row r="3129" spans="1:91">
      <c r="A3129" s="2" t="s">
        <v>71</v>
      </c>
      <c r="B3129" s="2" t="s">
        <v>72</v>
      </c>
      <c r="C3129" s="2" t="s">
        <v>73</v>
      </c>
      <c r="D3129" s="2"/>
      <c r="E3129" s="2" t="str">
        <f>"FES1162571427"</f>
        <v>FES1162571427</v>
      </c>
      <c r="F3129" s="3">
        <v>42972</v>
      </c>
      <c r="G3129" s="2">
        <v>201802</v>
      </c>
      <c r="H3129" s="2" t="s">
        <v>74</v>
      </c>
      <c r="I3129" s="2" t="s">
        <v>75</v>
      </c>
      <c r="J3129" s="2" t="s">
        <v>76</v>
      </c>
      <c r="K3129" s="2" t="s">
        <v>77</v>
      </c>
      <c r="L3129" s="2" t="s">
        <v>105</v>
      </c>
      <c r="M3129" s="2" t="s">
        <v>106</v>
      </c>
      <c r="N3129" s="2" t="s">
        <v>1093</v>
      </c>
      <c r="O3129" s="2" t="s">
        <v>100</v>
      </c>
      <c r="P3129" s="2" t="str">
        <f>"2170585092                    "</f>
        <v xml:space="preserve">2170585092                    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4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1</v>
      </c>
      <c r="BI3129" s="2">
        <v>1</v>
      </c>
      <c r="BJ3129" s="2">
        <v>0.2</v>
      </c>
      <c r="BK3129" s="2">
        <v>1</v>
      </c>
      <c r="BL3129" s="2">
        <v>41.44</v>
      </c>
      <c r="BM3129" s="2">
        <v>5.8</v>
      </c>
      <c r="BN3129" s="2">
        <v>47.24</v>
      </c>
      <c r="BO3129" s="2">
        <v>47.24</v>
      </c>
      <c r="BP3129" s="2"/>
      <c r="BQ3129" s="2" t="s">
        <v>83</v>
      </c>
      <c r="BR3129" s="2" t="s">
        <v>84</v>
      </c>
      <c r="BS3129" s="3">
        <v>42975</v>
      </c>
      <c r="BT3129" s="4">
        <v>0.38611111111111113</v>
      </c>
      <c r="BU3129" s="2" t="s">
        <v>3240</v>
      </c>
      <c r="BV3129" s="2" t="s">
        <v>95</v>
      </c>
      <c r="BW3129" s="2"/>
      <c r="BX3129" s="2"/>
      <c r="BY3129" s="2">
        <v>1200</v>
      </c>
      <c r="BZ3129" s="2"/>
      <c r="CA3129" s="2" t="s">
        <v>1095</v>
      </c>
      <c r="CB3129" s="2"/>
      <c r="CC3129" s="2" t="s">
        <v>106</v>
      </c>
      <c r="CD3129" s="2">
        <v>7975</v>
      </c>
      <c r="CE3129" s="2" t="s">
        <v>104</v>
      </c>
      <c r="CF3129" s="5">
        <v>42976</v>
      </c>
      <c r="CG3129" s="2"/>
      <c r="CH3129" s="2"/>
      <c r="CI3129" s="2">
        <v>1</v>
      </c>
      <c r="CJ3129" s="2">
        <v>1</v>
      </c>
      <c r="CK3129" s="2">
        <v>21</v>
      </c>
      <c r="CL3129" s="2" t="s">
        <v>86</v>
      </c>
      <c r="CM3129" s="2"/>
    </row>
    <row r="3130" spans="1:91">
      <c r="A3130" s="2" t="s">
        <v>71</v>
      </c>
      <c r="B3130" s="2" t="s">
        <v>72</v>
      </c>
      <c r="C3130" s="2" t="s">
        <v>73</v>
      </c>
      <c r="D3130" s="2"/>
      <c r="E3130" s="2" t="str">
        <f>"FES1162571567"</f>
        <v>FES1162571567</v>
      </c>
      <c r="F3130" s="3">
        <v>42972</v>
      </c>
      <c r="G3130" s="2">
        <v>201802</v>
      </c>
      <c r="H3130" s="2" t="s">
        <v>74</v>
      </c>
      <c r="I3130" s="2" t="s">
        <v>75</v>
      </c>
      <c r="J3130" s="2" t="s">
        <v>76</v>
      </c>
      <c r="K3130" s="2" t="s">
        <v>77</v>
      </c>
      <c r="L3130" s="2" t="s">
        <v>3302</v>
      </c>
      <c r="M3130" s="2" t="s">
        <v>3303</v>
      </c>
      <c r="N3130" s="2" t="s">
        <v>3304</v>
      </c>
      <c r="O3130" s="2" t="s">
        <v>100</v>
      </c>
      <c r="P3130" s="2" t="str">
        <f>"2170587215                    "</f>
        <v xml:space="preserve">2170587215                    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7.75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1</v>
      </c>
      <c r="BI3130" s="2">
        <v>1</v>
      </c>
      <c r="BJ3130" s="2">
        <v>0.2</v>
      </c>
      <c r="BK3130" s="2">
        <v>1</v>
      </c>
      <c r="BL3130" s="2">
        <v>80.290000000000006</v>
      </c>
      <c r="BM3130" s="2">
        <v>11.24</v>
      </c>
      <c r="BN3130" s="2">
        <v>91.53</v>
      </c>
      <c r="BO3130" s="2">
        <v>91.53</v>
      </c>
      <c r="BP3130" s="2"/>
      <c r="BQ3130" s="2" t="s">
        <v>108</v>
      </c>
      <c r="BR3130" s="2" t="s">
        <v>84</v>
      </c>
      <c r="BS3130" s="1" t="s">
        <v>1200</v>
      </c>
      <c r="BT3130" s="2"/>
      <c r="BU3130" s="2"/>
      <c r="BV3130" s="2"/>
      <c r="BW3130" s="2"/>
      <c r="BX3130" s="2"/>
      <c r="BY3130" s="2">
        <v>1200</v>
      </c>
      <c r="BZ3130" s="2"/>
      <c r="CA3130" s="2"/>
      <c r="CB3130" s="2"/>
      <c r="CC3130" s="2" t="s">
        <v>3303</v>
      </c>
      <c r="CD3130" s="2">
        <v>6309</v>
      </c>
      <c r="CE3130" s="2" t="s">
        <v>104</v>
      </c>
      <c r="CF3130" s="2"/>
      <c r="CG3130" s="2"/>
      <c r="CH3130" s="2"/>
      <c r="CI3130" s="2">
        <v>4</v>
      </c>
      <c r="CJ3130" s="2" t="s">
        <v>1200</v>
      </c>
      <c r="CK3130" s="2">
        <v>23</v>
      </c>
      <c r="CL3130" s="2" t="s">
        <v>86</v>
      </c>
      <c r="CM3130" s="2"/>
    </row>
    <row r="3131" spans="1:91">
      <c r="A3131" s="2" t="s">
        <v>71</v>
      </c>
      <c r="B3131" s="2" t="s">
        <v>72</v>
      </c>
      <c r="C3131" s="2" t="s">
        <v>73</v>
      </c>
      <c r="D3131" s="2"/>
      <c r="E3131" s="2" t="str">
        <f>"FES1162571454"</f>
        <v>FES1162571454</v>
      </c>
      <c r="F3131" s="3">
        <v>42972</v>
      </c>
      <c r="G3131" s="2">
        <v>201802</v>
      </c>
      <c r="H3131" s="2" t="s">
        <v>74</v>
      </c>
      <c r="I3131" s="2" t="s">
        <v>75</v>
      </c>
      <c r="J3131" s="2" t="s">
        <v>76</v>
      </c>
      <c r="K3131" s="2" t="s">
        <v>77</v>
      </c>
      <c r="L3131" s="2" t="s">
        <v>164</v>
      </c>
      <c r="M3131" s="2" t="s">
        <v>165</v>
      </c>
      <c r="N3131" s="2" t="s">
        <v>2301</v>
      </c>
      <c r="O3131" s="2" t="s">
        <v>100</v>
      </c>
      <c r="P3131" s="2" t="str">
        <f>"2170587063                    "</f>
        <v xml:space="preserve">2170587063                    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4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1</v>
      </c>
      <c r="BI3131" s="2">
        <v>0.8</v>
      </c>
      <c r="BJ3131" s="2">
        <v>0.9</v>
      </c>
      <c r="BK3131" s="2">
        <v>1</v>
      </c>
      <c r="BL3131" s="2">
        <v>41.44</v>
      </c>
      <c r="BM3131" s="2">
        <v>5.8</v>
      </c>
      <c r="BN3131" s="2">
        <v>47.24</v>
      </c>
      <c r="BO3131" s="2">
        <v>47.24</v>
      </c>
      <c r="BP3131" s="2"/>
      <c r="BQ3131" s="2" t="s">
        <v>288</v>
      </c>
      <c r="BR3131" s="2" t="s">
        <v>84</v>
      </c>
      <c r="BS3131" s="3">
        <v>42975</v>
      </c>
      <c r="BT3131" s="4">
        <v>0.39999999999999997</v>
      </c>
      <c r="BU3131" s="2" t="s">
        <v>3305</v>
      </c>
      <c r="BV3131" s="2"/>
      <c r="BW3131" s="2"/>
      <c r="BX3131" s="2"/>
      <c r="BY3131" s="2">
        <v>4382.6899999999996</v>
      </c>
      <c r="BZ3131" s="2"/>
      <c r="CA3131" s="2" t="s">
        <v>168</v>
      </c>
      <c r="CB3131" s="2"/>
      <c r="CC3131" s="2" t="s">
        <v>165</v>
      </c>
      <c r="CD3131" s="2">
        <v>6850</v>
      </c>
      <c r="CE3131" s="2" t="s">
        <v>89</v>
      </c>
      <c r="CF3131" s="5">
        <v>42976</v>
      </c>
      <c r="CG3131" s="2"/>
      <c r="CH3131" s="2"/>
      <c r="CI3131" s="2">
        <v>0</v>
      </c>
      <c r="CJ3131" s="2">
        <v>0</v>
      </c>
      <c r="CK3131" s="2">
        <v>21</v>
      </c>
      <c r="CL3131" s="2" t="s">
        <v>86</v>
      </c>
      <c r="CM3131" s="2"/>
    </row>
    <row r="3132" spans="1:91">
      <c r="A3132" s="2" t="s">
        <v>71</v>
      </c>
      <c r="B3132" s="2" t="s">
        <v>72</v>
      </c>
      <c r="C3132" s="2" t="s">
        <v>73</v>
      </c>
      <c r="D3132" s="2"/>
      <c r="E3132" s="2" t="str">
        <f>"FES1162571519"</f>
        <v>FES1162571519</v>
      </c>
      <c r="F3132" s="3">
        <v>42972</v>
      </c>
      <c r="G3132" s="2">
        <v>201802</v>
      </c>
      <c r="H3132" s="2" t="s">
        <v>74</v>
      </c>
      <c r="I3132" s="2" t="s">
        <v>75</v>
      </c>
      <c r="J3132" s="2" t="s">
        <v>76</v>
      </c>
      <c r="K3132" s="2" t="s">
        <v>77</v>
      </c>
      <c r="L3132" s="2" t="s">
        <v>105</v>
      </c>
      <c r="M3132" s="2" t="s">
        <v>106</v>
      </c>
      <c r="N3132" s="2" t="s">
        <v>824</v>
      </c>
      <c r="O3132" s="2" t="s">
        <v>100</v>
      </c>
      <c r="P3132" s="2" t="str">
        <f>"2170586521                    "</f>
        <v xml:space="preserve">2170586521                    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4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1</v>
      </c>
      <c r="BI3132" s="2">
        <v>1</v>
      </c>
      <c r="BJ3132" s="2">
        <v>0.2</v>
      </c>
      <c r="BK3132" s="2">
        <v>1</v>
      </c>
      <c r="BL3132" s="2">
        <v>41.44</v>
      </c>
      <c r="BM3132" s="2">
        <v>5.8</v>
      </c>
      <c r="BN3132" s="2">
        <v>47.24</v>
      </c>
      <c r="BO3132" s="2">
        <v>47.24</v>
      </c>
      <c r="BP3132" s="2"/>
      <c r="BQ3132" s="2" t="s">
        <v>83</v>
      </c>
      <c r="BR3132" s="2" t="s">
        <v>84</v>
      </c>
      <c r="BS3132" s="3">
        <v>42975</v>
      </c>
      <c r="BT3132" s="4">
        <v>0.41736111111111113</v>
      </c>
      <c r="BU3132" s="2" t="s">
        <v>3017</v>
      </c>
      <c r="BV3132" s="2" t="s">
        <v>95</v>
      </c>
      <c r="BW3132" s="2"/>
      <c r="BX3132" s="2"/>
      <c r="BY3132" s="2">
        <v>1200</v>
      </c>
      <c r="BZ3132" s="2"/>
      <c r="CA3132" s="2" t="s">
        <v>1591</v>
      </c>
      <c r="CB3132" s="2"/>
      <c r="CC3132" s="2" t="s">
        <v>106</v>
      </c>
      <c r="CD3132" s="2">
        <v>7800</v>
      </c>
      <c r="CE3132" s="2" t="s">
        <v>104</v>
      </c>
      <c r="CF3132" s="5">
        <v>42976</v>
      </c>
      <c r="CG3132" s="2"/>
      <c r="CH3132" s="2"/>
      <c r="CI3132" s="2">
        <v>1</v>
      </c>
      <c r="CJ3132" s="2">
        <v>1</v>
      </c>
      <c r="CK3132" s="2">
        <v>21</v>
      </c>
      <c r="CL3132" s="2" t="s">
        <v>86</v>
      </c>
      <c r="CM3132" s="2"/>
    </row>
    <row r="3133" spans="1:91">
      <c r="A3133" s="2" t="s">
        <v>71</v>
      </c>
      <c r="B3133" s="2" t="s">
        <v>72</v>
      </c>
      <c r="C3133" s="2" t="s">
        <v>73</v>
      </c>
      <c r="D3133" s="2"/>
      <c r="E3133" s="2" t="str">
        <f>"FES1162571449"</f>
        <v>FES1162571449</v>
      </c>
      <c r="F3133" s="3">
        <v>42972</v>
      </c>
      <c r="G3133" s="2">
        <v>201802</v>
      </c>
      <c r="H3133" s="2" t="s">
        <v>74</v>
      </c>
      <c r="I3133" s="2" t="s">
        <v>75</v>
      </c>
      <c r="J3133" s="2" t="s">
        <v>76</v>
      </c>
      <c r="K3133" s="2" t="s">
        <v>77</v>
      </c>
      <c r="L3133" s="2" t="s">
        <v>105</v>
      </c>
      <c r="M3133" s="2" t="s">
        <v>106</v>
      </c>
      <c r="N3133" s="2" t="s">
        <v>107</v>
      </c>
      <c r="O3133" s="2" t="s">
        <v>100</v>
      </c>
      <c r="P3133" s="2" t="str">
        <f>"2170587056                    "</f>
        <v xml:space="preserve">2170587056                    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4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1</v>
      </c>
      <c r="BI3133" s="2">
        <v>0.9</v>
      </c>
      <c r="BJ3133" s="2">
        <v>1</v>
      </c>
      <c r="BK3133" s="2">
        <v>1</v>
      </c>
      <c r="BL3133" s="2">
        <v>41.44</v>
      </c>
      <c r="BM3133" s="2">
        <v>5.8</v>
      </c>
      <c r="BN3133" s="2">
        <v>47.24</v>
      </c>
      <c r="BO3133" s="2">
        <v>47.24</v>
      </c>
      <c r="BP3133" s="2"/>
      <c r="BQ3133" s="2" t="s">
        <v>108</v>
      </c>
      <c r="BR3133" s="2" t="s">
        <v>84</v>
      </c>
      <c r="BS3133" s="3">
        <v>42975</v>
      </c>
      <c r="BT3133" s="4">
        <v>0.36805555555555558</v>
      </c>
      <c r="BU3133" s="2" t="s">
        <v>1503</v>
      </c>
      <c r="BV3133" s="2" t="s">
        <v>95</v>
      </c>
      <c r="BW3133" s="2"/>
      <c r="BX3133" s="2"/>
      <c r="BY3133" s="2">
        <v>4993.88</v>
      </c>
      <c r="BZ3133" s="2"/>
      <c r="CA3133" s="2" t="s">
        <v>112</v>
      </c>
      <c r="CB3133" s="2"/>
      <c r="CC3133" s="2" t="s">
        <v>106</v>
      </c>
      <c r="CD3133" s="2">
        <v>7405</v>
      </c>
      <c r="CE3133" s="2" t="s">
        <v>89</v>
      </c>
      <c r="CF3133" s="5">
        <v>42976</v>
      </c>
      <c r="CG3133" s="2"/>
      <c r="CH3133" s="2"/>
      <c r="CI3133" s="2">
        <v>1</v>
      </c>
      <c r="CJ3133" s="2">
        <v>1</v>
      </c>
      <c r="CK3133" s="2">
        <v>21</v>
      </c>
      <c r="CL3133" s="2" t="s">
        <v>86</v>
      </c>
      <c r="CM3133" s="2"/>
    </row>
    <row r="3134" spans="1:91">
      <c r="A3134" s="2" t="s">
        <v>71</v>
      </c>
      <c r="B3134" s="2" t="s">
        <v>72</v>
      </c>
      <c r="C3134" s="2" t="s">
        <v>73</v>
      </c>
      <c r="D3134" s="2"/>
      <c r="E3134" s="2" t="str">
        <f>"FES1162571557"</f>
        <v>FES1162571557</v>
      </c>
      <c r="F3134" s="3">
        <v>42972</v>
      </c>
      <c r="G3134" s="2">
        <v>201802</v>
      </c>
      <c r="H3134" s="2" t="s">
        <v>74</v>
      </c>
      <c r="I3134" s="2" t="s">
        <v>75</v>
      </c>
      <c r="J3134" s="2" t="s">
        <v>76</v>
      </c>
      <c r="K3134" s="2" t="s">
        <v>77</v>
      </c>
      <c r="L3134" s="2" t="s">
        <v>417</v>
      </c>
      <c r="M3134" s="2" t="s">
        <v>417</v>
      </c>
      <c r="N3134" s="2" t="s">
        <v>1414</v>
      </c>
      <c r="O3134" s="2" t="s">
        <v>100</v>
      </c>
      <c r="P3134" s="2" t="str">
        <f>"2170586946                    "</f>
        <v xml:space="preserve">2170586946                    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8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1</v>
      </c>
      <c r="BI3134" s="2">
        <v>3.9</v>
      </c>
      <c r="BJ3134" s="2">
        <v>3.4</v>
      </c>
      <c r="BK3134" s="2">
        <v>4</v>
      </c>
      <c r="BL3134" s="2">
        <v>82.88</v>
      </c>
      <c r="BM3134" s="2">
        <v>11.6</v>
      </c>
      <c r="BN3134" s="2">
        <v>94.48</v>
      </c>
      <c r="BO3134" s="2">
        <v>94.48</v>
      </c>
      <c r="BP3134" s="2"/>
      <c r="BQ3134" s="2" t="s">
        <v>108</v>
      </c>
      <c r="BR3134" s="2" t="s">
        <v>84</v>
      </c>
      <c r="BS3134" s="3">
        <v>42975</v>
      </c>
      <c r="BT3134" s="4">
        <v>0.51597222222222217</v>
      </c>
      <c r="BU3134" s="2" t="s">
        <v>3137</v>
      </c>
      <c r="BV3134" s="2" t="s">
        <v>95</v>
      </c>
      <c r="BW3134" s="2"/>
      <c r="BX3134" s="2"/>
      <c r="BY3134" s="2">
        <v>16838.560000000001</v>
      </c>
      <c r="BZ3134" s="2"/>
      <c r="CA3134" s="2" t="s">
        <v>460</v>
      </c>
      <c r="CB3134" s="2"/>
      <c r="CC3134" s="2" t="s">
        <v>417</v>
      </c>
      <c r="CD3134" s="2">
        <v>7646</v>
      </c>
      <c r="CE3134" s="2" t="s">
        <v>89</v>
      </c>
      <c r="CF3134" s="5">
        <v>42976</v>
      </c>
      <c r="CG3134" s="2"/>
      <c r="CH3134" s="2"/>
      <c r="CI3134" s="2">
        <v>1</v>
      </c>
      <c r="CJ3134" s="2">
        <v>1</v>
      </c>
      <c r="CK3134" s="2">
        <v>21</v>
      </c>
      <c r="CL3134" s="2" t="s">
        <v>86</v>
      </c>
      <c r="CM3134" s="2"/>
    </row>
    <row r="3135" spans="1:91">
      <c r="A3135" s="2" t="s">
        <v>71</v>
      </c>
      <c r="B3135" s="2" t="s">
        <v>72</v>
      </c>
      <c r="C3135" s="2" t="s">
        <v>73</v>
      </c>
      <c r="D3135" s="2"/>
      <c r="E3135" s="2" t="str">
        <f>"FES1162571445"</f>
        <v>FES1162571445</v>
      </c>
      <c r="F3135" s="3">
        <v>42972</v>
      </c>
      <c r="G3135" s="2">
        <v>201802</v>
      </c>
      <c r="H3135" s="2" t="s">
        <v>74</v>
      </c>
      <c r="I3135" s="2" t="s">
        <v>75</v>
      </c>
      <c r="J3135" s="2" t="s">
        <v>76</v>
      </c>
      <c r="K3135" s="2" t="s">
        <v>77</v>
      </c>
      <c r="L3135" s="2" t="s">
        <v>144</v>
      </c>
      <c r="M3135" s="2" t="s">
        <v>145</v>
      </c>
      <c r="N3135" s="2" t="s">
        <v>915</v>
      </c>
      <c r="O3135" s="2" t="s">
        <v>100</v>
      </c>
      <c r="P3135" s="2" t="str">
        <f>"2170587048                    "</f>
        <v xml:space="preserve">2170587048                    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3.13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1</v>
      </c>
      <c r="BI3135" s="2">
        <v>1</v>
      </c>
      <c r="BJ3135" s="2">
        <v>0.2</v>
      </c>
      <c r="BK3135" s="2">
        <v>1</v>
      </c>
      <c r="BL3135" s="2">
        <v>32.380000000000003</v>
      </c>
      <c r="BM3135" s="2">
        <v>4.53</v>
      </c>
      <c r="BN3135" s="2">
        <v>36.909999999999997</v>
      </c>
      <c r="BO3135" s="2">
        <v>36.909999999999997</v>
      </c>
      <c r="BP3135" s="2"/>
      <c r="BQ3135" s="2" t="s">
        <v>288</v>
      </c>
      <c r="BR3135" s="2" t="s">
        <v>84</v>
      </c>
      <c r="BS3135" s="3">
        <v>42975</v>
      </c>
      <c r="BT3135" s="4">
        <v>0.41666666666666669</v>
      </c>
      <c r="BU3135" s="2" t="s">
        <v>916</v>
      </c>
      <c r="BV3135" s="2" t="s">
        <v>95</v>
      </c>
      <c r="BW3135" s="2"/>
      <c r="BX3135" s="2"/>
      <c r="BY3135" s="2">
        <v>1200</v>
      </c>
      <c r="BZ3135" s="2"/>
      <c r="CA3135" s="2"/>
      <c r="CB3135" s="2"/>
      <c r="CC3135" s="2" t="s">
        <v>145</v>
      </c>
      <c r="CD3135" s="2">
        <v>2091</v>
      </c>
      <c r="CE3135" s="2" t="s">
        <v>104</v>
      </c>
      <c r="CF3135" s="5">
        <v>42976</v>
      </c>
      <c r="CG3135" s="2"/>
      <c r="CH3135" s="2"/>
      <c r="CI3135" s="2">
        <v>1</v>
      </c>
      <c r="CJ3135" s="2">
        <v>1</v>
      </c>
      <c r="CK3135" s="2">
        <v>22</v>
      </c>
      <c r="CL3135" s="2" t="s">
        <v>86</v>
      </c>
      <c r="CM3135" s="2"/>
    </row>
    <row r="3136" spans="1:91">
      <c r="A3136" s="2" t="s">
        <v>71</v>
      </c>
      <c r="B3136" s="2" t="s">
        <v>72</v>
      </c>
      <c r="C3136" s="2" t="s">
        <v>73</v>
      </c>
      <c r="D3136" s="2"/>
      <c r="E3136" s="2" t="str">
        <f>"FES1162571460"</f>
        <v>FES1162571460</v>
      </c>
      <c r="F3136" s="3">
        <v>42972</v>
      </c>
      <c r="G3136" s="2">
        <v>201802</v>
      </c>
      <c r="H3136" s="2" t="s">
        <v>74</v>
      </c>
      <c r="I3136" s="2" t="s">
        <v>75</v>
      </c>
      <c r="J3136" s="2" t="s">
        <v>76</v>
      </c>
      <c r="K3136" s="2" t="s">
        <v>77</v>
      </c>
      <c r="L3136" s="2" t="s">
        <v>244</v>
      </c>
      <c r="M3136" s="2" t="s">
        <v>245</v>
      </c>
      <c r="N3136" s="2" t="s">
        <v>581</v>
      </c>
      <c r="O3136" s="2" t="s">
        <v>100</v>
      </c>
      <c r="P3136" s="2" t="str">
        <f>"2170587070                    "</f>
        <v xml:space="preserve">2170587070                    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3.13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1</v>
      </c>
      <c r="BI3136" s="2">
        <v>1</v>
      </c>
      <c r="BJ3136" s="2">
        <v>0.2</v>
      </c>
      <c r="BK3136" s="2">
        <v>1</v>
      </c>
      <c r="BL3136" s="2">
        <v>32.380000000000003</v>
      </c>
      <c r="BM3136" s="2">
        <v>4.53</v>
      </c>
      <c r="BN3136" s="2">
        <v>36.909999999999997</v>
      </c>
      <c r="BO3136" s="2">
        <v>36.909999999999997</v>
      </c>
      <c r="BP3136" s="2"/>
      <c r="BQ3136" s="2" t="s">
        <v>209</v>
      </c>
      <c r="BR3136" s="2" t="s">
        <v>84</v>
      </c>
      <c r="BS3136" s="3">
        <v>42975</v>
      </c>
      <c r="BT3136" s="4">
        <v>0.33333333333333331</v>
      </c>
      <c r="BU3136" s="2" t="s">
        <v>2643</v>
      </c>
      <c r="BV3136" s="2" t="s">
        <v>95</v>
      </c>
      <c r="BW3136" s="2"/>
      <c r="BX3136" s="2"/>
      <c r="BY3136" s="2">
        <v>1200</v>
      </c>
      <c r="BZ3136" s="2"/>
      <c r="CA3136" s="2"/>
      <c r="CB3136" s="2"/>
      <c r="CC3136" s="2" t="s">
        <v>245</v>
      </c>
      <c r="CD3136" s="2">
        <v>1459</v>
      </c>
      <c r="CE3136" s="2" t="s">
        <v>104</v>
      </c>
      <c r="CF3136" s="5">
        <v>42976</v>
      </c>
      <c r="CG3136" s="2"/>
      <c r="CH3136" s="2"/>
      <c r="CI3136" s="2">
        <v>1</v>
      </c>
      <c r="CJ3136" s="2">
        <v>1</v>
      </c>
      <c r="CK3136" s="2">
        <v>22</v>
      </c>
      <c r="CL3136" s="2" t="s">
        <v>86</v>
      </c>
      <c r="CM3136" s="2"/>
    </row>
    <row r="3137" spans="1:91">
      <c r="A3137" s="2" t="s">
        <v>71</v>
      </c>
      <c r="B3137" s="2" t="s">
        <v>72</v>
      </c>
      <c r="C3137" s="2" t="s">
        <v>73</v>
      </c>
      <c r="D3137" s="2"/>
      <c r="E3137" s="2" t="str">
        <f>"FES1162571514"</f>
        <v>FES1162571514</v>
      </c>
      <c r="F3137" s="3">
        <v>42972</v>
      </c>
      <c r="G3137" s="2">
        <v>201802</v>
      </c>
      <c r="H3137" s="2" t="s">
        <v>74</v>
      </c>
      <c r="I3137" s="2" t="s">
        <v>75</v>
      </c>
      <c r="J3137" s="2" t="s">
        <v>76</v>
      </c>
      <c r="K3137" s="2" t="s">
        <v>77</v>
      </c>
      <c r="L3137" s="2" t="s">
        <v>3306</v>
      </c>
      <c r="M3137" s="2" t="s">
        <v>3307</v>
      </c>
      <c r="N3137" s="2" t="s">
        <v>3308</v>
      </c>
      <c r="O3137" s="2" t="s">
        <v>100</v>
      </c>
      <c r="P3137" s="2" t="str">
        <f>"2170585565                    "</f>
        <v xml:space="preserve">2170585565                    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4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1</v>
      </c>
      <c r="BI3137" s="2">
        <v>1</v>
      </c>
      <c r="BJ3137" s="2">
        <v>0.2</v>
      </c>
      <c r="BK3137" s="2">
        <v>1</v>
      </c>
      <c r="BL3137" s="2">
        <v>41.44</v>
      </c>
      <c r="BM3137" s="2">
        <v>5.8</v>
      </c>
      <c r="BN3137" s="2">
        <v>47.24</v>
      </c>
      <c r="BO3137" s="2">
        <v>47.24</v>
      </c>
      <c r="BP3137" s="2"/>
      <c r="BQ3137" s="2" t="s">
        <v>288</v>
      </c>
      <c r="BR3137" s="2" t="s">
        <v>84</v>
      </c>
      <c r="BS3137" s="3">
        <v>42975</v>
      </c>
      <c r="BT3137" s="4">
        <v>0.57986111111111105</v>
      </c>
      <c r="BU3137" s="2" t="s">
        <v>3309</v>
      </c>
      <c r="BV3137" s="2" t="s">
        <v>95</v>
      </c>
      <c r="BW3137" s="2"/>
      <c r="BX3137" s="2"/>
      <c r="BY3137" s="2">
        <v>1200</v>
      </c>
      <c r="BZ3137" s="2"/>
      <c r="CA3137" s="2" t="s">
        <v>566</v>
      </c>
      <c r="CB3137" s="2"/>
      <c r="CC3137" s="2" t="s">
        <v>3307</v>
      </c>
      <c r="CD3137" s="2">
        <v>3301</v>
      </c>
      <c r="CE3137" s="2" t="s">
        <v>104</v>
      </c>
      <c r="CF3137" s="5">
        <v>42977</v>
      </c>
      <c r="CG3137" s="2"/>
      <c r="CH3137" s="2"/>
      <c r="CI3137" s="2">
        <v>1</v>
      </c>
      <c r="CJ3137" s="2">
        <v>1</v>
      </c>
      <c r="CK3137" s="2">
        <v>21</v>
      </c>
      <c r="CL3137" s="2" t="s">
        <v>86</v>
      </c>
      <c r="CM3137" s="2"/>
    </row>
    <row r="3138" spans="1:91">
      <c r="A3138" s="2" t="s">
        <v>71</v>
      </c>
      <c r="B3138" s="2" t="s">
        <v>72</v>
      </c>
      <c r="C3138" s="2" t="s">
        <v>73</v>
      </c>
      <c r="D3138" s="2"/>
      <c r="E3138" s="2" t="str">
        <f>"FES1162571525"</f>
        <v>FES1162571525</v>
      </c>
      <c r="F3138" s="3">
        <v>42972</v>
      </c>
      <c r="G3138" s="2">
        <v>201802</v>
      </c>
      <c r="H3138" s="2" t="s">
        <v>74</v>
      </c>
      <c r="I3138" s="2" t="s">
        <v>75</v>
      </c>
      <c r="J3138" s="2" t="s">
        <v>76</v>
      </c>
      <c r="K3138" s="2" t="s">
        <v>77</v>
      </c>
      <c r="L3138" s="2" t="s">
        <v>97</v>
      </c>
      <c r="M3138" s="2" t="s">
        <v>98</v>
      </c>
      <c r="N3138" s="2" t="s">
        <v>1029</v>
      </c>
      <c r="O3138" s="2" t="s">
        <v>100</v>
      </c>
      <c r="P3138" s="2" t="str">
        <f>"2170586940                    "</f>
        <v xml:space="preserve">2170586940                    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4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1</v>
      </c>
      <c r="BI3138" s="2">
        <v>1</v>
      </c>
      <c r="BJ3138" s="2">
        <v>0.2</v>
      </c>
      <c r="BK3138" s="2">
        <v>1</v>
      </c>
      <c r="BL3138" s="2">
        <v>41.44</v>
      </c>
      <c r="BM3138" s="2">
        <v>5.8</v>
      </c>
      <c r="BN3138" s="2">
        <v>47.24</v>
      </c>
      <c r="BO3138" s="2">
        <v>47.24</v>
      </c>
      <c r="BP3138" s="2"/>
      <c r="BQ3138" s="2" t="s">
        <v>288</v>
      </c>
      <c r="BR3138" s="2" t="s">
        <v>84</v>
      </c>
      <c r="BS3138" s="3">
        <v>42975</v>
      </c>
      <c r="BT3138" s="4">
        <v>0.3430555555555555</v>
      </c>
      <c r="BU3138" s="2" t="s">
        <v>2944</v>
      </c>
      <c r="BV3138" s="2" t="s">
        <v>95</v>
      </c>
      <c r="BW3138" s="2"/>
      <c r="BX3138" s="2"/>
      <c r="BY3138" s="2">
        <v>1200</v>
      </c>
      <c r="BZ3138" s="2"/>
      <c r="CA3138" s="2" t="s">
        <v>213</v>
      </c>
      <c r="CB3138" s="2"/>
      <c r="CC3138" s="2" t="s">
        <v>98</v>
      </c>
      <c r="CD3138" s="2">
        <v>6001</v>
      </c>
      <c r="CE3138" s="2" t="s">
        <v>104</v>
      </c>
      <c r="CF3138" s="5">
        <v>42976</v>
      </c>
      <c r="CG3138" s="2"/>
      <c r="CH3138" s="2"/>
      <c r="CI3138" s="2">
        <v>1</v>
      </c>
      <c r="CJ3138" s="2">
        <v>1</v>
      </c>
      <c r="CK3138" s="2">
        <v>21</v>
      </c>
      <c r="CL3138" s="2" t="s">
        <v>86</v>
      </c>
      <c r="CM3138" s="2"/>
    </row>
    <row r="3139" spans="1:91">
      <c r="A3139" s="2" t="s">
        <v>71</v>
      </c>
      <c r="B3139" s="2" t="s">
        <v>72</v>
      </c>
      <c r="C3139" s="2" t="s">
        <v>73</v>
      </c>
      <c r="D3139" s="2"/>
      <c r="E3139" s="2" t="str">
        <f>"FES1162571490"</f>
        <v>FES1162571490</v>
      </c>
      <c r="F3139" s="3">
        <v>42972</v>
      </c>
      <c r="G3139" s="2">
        <v>201802</v>
      </c>
      <c r="H3139" s="2" t="s">
        <v>74</v>
      </c>
      <c r="I3139" s="2" t="s">
        <v>75</v>
      </c>
      <c r="J3139" s="2" t="s">
        <v>76</v>
      </c>
      <c r="K3139" s="2" t="s">
        <v>77</v>
      </c>
      <c r="L3139" s="2" t="s">
        <v>97</v>
      </c>
      <c r="M3139" s="2" t="s">
        <v>98</v>
      </c>
      <c r="N3139" s="2" t="s">
        <v>3310</v>
      </c>
      <c r="O3139" s="2" t="s">
        <v>100</v>
      </c>
      <c r="P3139" s="2" t="str">
        <f>"2170587121                    "</f>
        <v xml:space="preserve">2170587121                    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4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1</v>
      </c>
      <c r="BI3139" s="2">
        <v>1</v>
      </c>
      <c r="BJ3139" s="2">
        <v>0.2</v>
      </c>
      <c r="BK3139" s="2">
        <v>1</v>
      </c>
      <c r="BL3139" s="2">
        <v>41.44</v>
      </c>
      <c r="BM3139" s="2">
        <v>5.8</v>
      </c>
      <c r="BN3139" s="2">
        <v>47.24</v>
      </c>
      <c r="BO3139" s="2">
        <v>47.24</v>
      </c>
      <c r="BP3139" s="2"/>
      <c r="BQ3139" s="2" t="s">
        <v>288</v>
      </c>
      <c r="BR3139" s="2" t="s">
        <v>84</v>
      </c>
      <c r="BS3139" s="3">
        <v>42975</v>
      </c>
      <c r="BT3139" s="4">
        <v>0.4236111111111111</v>
      </c>
      <c r="BU3139" s="2" t="s">
        <v>3311</v>
      </c>
      <c r="BV3139" s="2" t="s">
        <v>95</v>
      </c>
      <c r="BW3139" s="2"/>
      <c r="BX3139" s="2"/>
      <c r="BY3139" s="2">
        <v>1200</v>
      </c>
      <c r="BZ3139" s="2"/>
      <c r="CA3139" s="2" t="s">
        <v>294</v>
      </c>
      <c r="CB3139" s="2"/>
      <c r="CC3139" s="2" t="s">
        <v>98</v>
      </c>
      <c r="CD3139" s="2">
        <v>6001</v>
      </c>
      <c r="CE3139" s="2" t="s">
        <v>104</v>
      </c>
      <c r="CF3139" s="5">
        <v>42976</v>
      </c>
      <c r="CG3139" s="2"/>
      <c r="CH3139" s="2"/>
      <c r="CI3139" s="2">
        <v>1</v>
      </c>
      <c r="CJ3139" s="2">
        <v>1</v>
      </c>
      <c r="CK3139" s="2">
        <v>21</v>
      </c>
      <c r="CL3139" s="2" t="s">
        <v>86</v>
      </c>
      <c r="CM3139" s="2"/>
    </row>
    <row r="3140" spans="1:91">
      <c r="A3140" s="2" t="s">
        <v>71</v>
      </c>
      <c r="B3140" s="2" t="s">
        <v>72</v>
      </c>
      <c r="C3140" s="2" t="s">
        <v>73</v>
      </c>
      <c r="D3140" s="2"/>
      <c r="E3140" s="2" t="str">
        <f>"FES1162571415"</f>
        <v>FES1162571415</v>
      </c>
      <c r="F3140" s="3">
        <v>42972</v>
      </c>
      <c r="G3140" s="2">
        <v>201802</v>
      </c>
      <c r="H3140" s="2" t="s">
        <v>74</v>
      </c>
      <c r="I3140" s="2" t="s">
        <v>75</v>
      </c>
      <c r="J3140" s="2" t="s">
        <v>76</v>
      </c>
      <c r="K3140" s="2" t="s">
        <v>77</v>
      </c>
      <c r="L3140" s="2" t="s">
        <v>237</v>
      </c>
      <c r="M3140" s="2" t="s">
        <v>238</v>
      </c>
      <c r="N3140" s="2" t="s">
        <v>695</v>
      </c>
      <c r="O3140" s="2" t="s">
        <v>100</v>
      </c>
      <c r="P3140" s="2" t="str">
        <f>"2170584930                    "</f>
        <v xml:space="preserve">2170584930                    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4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1</v>
      </c>
      <c r="BI3140" s="2">
        <v>1</v>
      </c>
      <c r="BJ3140" s="2">
        <v>0.2</v>
      </c>
      <c r="BK3140" s="2">
        <v>1</v>
      </c>
      <c r="BL3140" s="2">
        <v>41.44</v>
      </c>
      <c r="BM3140" s="2">
        <v>5.8</v>
      </c>
      <c r="BN3140" s="2">
        <v>47.24</v>
      </c>
      <c r="BO3140" s="2">
        <v>47.24</v>
      </c>
      <c r="BP3140" s="2"/>
      <c r="BQ3140" s="2" t="s">
        <v>209</v>
      </c>
      <c r="BR3140" s="2" t="s">
        <v>84</v>
      </c>
      <c r="BS3140" s="3">
        <v>42975</v>
      </c>
      <c r="BT3140" s="4">
        <v>0.43055555555555558</v>
      </c>
      <c r="BU3140" s="2" t="s">
        <v>3312</v>
      </c>
      <c r="BV3140" s="2" t="s">
        <v>95</v>
      </c>
      <c r="BW3140" s="2"/>
      <c r="BX3140" s="2"/>
      <c r="BY3140" s="2">
        <v>1200</v>
      </c>
      <c r="BZ3140" s="2"/>
      <c r="CA3140" s="2" t="s">
        <v>389</v>
      </c>
      <c r="CB3140" s="2"/>
      <c r="CC3140" s="2" t="s">
        <v>238</v>
      </c>
      <c r="CD3140" s="2">
        <v>3600</v>
      </c>
      <c r="CE3140" s="2" t="s">
        <v>104</v>
      </c>
      <c r="CF3140" s="5">
        <v>42976</v>
      </c>
      <c r="CG3140" s="2"/>
      <c r="CH3140" s="2"/>
      <c r="CI3140" s="2">
        <v>1</v>
      </c>
      <c r="CJ3140" s="2">
        <v>1</v>
      </c>
      <c r="CK3140" s="2">
        <v>21</v>
      </c>
      <c r="CL3140" s="2" t="s">
        <v>86</v>
      </c>
      <c r="CM3140" s="2"/>
    </row>
    <row r="3141" spans="1:91">
      <c r="A3141" s="2" t="s">
        <v>71</v>
      </c>
      <c r="B3141" s="2" t="s">
        <v>72</v>
      </c>
      <c r="C3141" s="2" t="s">
        <v>73</v>
      </c>
      <c r="D3141" s="2"/>
      <c r="E3141" s="2" t="str">
        <f>"FES1162571462"</f>
        <v>FES1162571462</v>
      </c>
      <c r="F3141" s="3">
        <v>42972</v>
      </c>
      <c r="G3141" s="2">
        <v>201802</v>
      </c>
      <c r="H3141" s="2" t="s">
        <v>74</v>
      </c>
      <c r="I3141" s="2" t="s">
        <v>75</v>
      </c>
      <c r="J3141" s="2" t="s">
        <v>76</v>
      </c>
      <c r="K3141" s="2" t="s">
        <v>77</v>
      </c>
      <c r="L3141" s="2" t="s">
        <v>339</v>
      </c>
      <c r="M3141" s="2" t="s">
        <v>340</v>
      </c>
      <c r="N3141" s="2" t="s">
        <v>3313</v>
      </c>
      <c r="O3141" s="2" t="s">
        <v>100</v>
      </c>
      <c r="P3141" s="2" t="str">
        <f>"2170586861                    "</f>
        <v xml:space="preserve">2170586861                    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4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1</v>
      </c>
      <c r="BI3141" s="2">
        <v>1</v>
      </c>
      <c r="BJ3141" s="2">
        <v>0.2</v>
      </c>
      <c r="BK3141" s="2">
        <v>1</v>
      </c>
      <c r="BL3141" s="2">
        <v>41.44</v>
      </c>
      <c r="BM3141" s="2">
        <v>5.8</v>
      </c>
      <c r="BN3141" s="2">
        <v>47.24</v>
      </c>
      <c r="BO3141" s="2">
        <v>47.24</v>
      </c>
      <c r="BP3141" s="2"/>
      <c r="BQ3141" s="2" t="s">
        <v>288</v>
      </c>
      <c r="BR3141" s="2" t="s">
        <v>84</v>
      </c>
      <c r="BS3141" s="3">
        <v>42975</v>
      </c>
      <c r="BT3141" s="4">
        <v>0.63888888888888895</v>
      </c>
      <c r="BU3141" s="2" t="s">
        <v>3314</v>
      </c>
      <c r="BV3141" s="2" t="s">
        <v>86</v>
      </c>
      <c r="BW3141" s="2"/>
      <c r="BX3141" s="2"/>
      <c r="BY3141" s="2">
        <v>1200</v>
      </c>
      <c r="BZ3141" s="2"/>
      <c r="CA3141" s="2"/>
      <c r="CB3141" s="2"/>
      <c r="CC3141" s="2" t="s">
        <v>340</v>
      </c>
      <c r="CD3141" s="2">
        <v>1947</v>
      </c>
      <c r="CE3141" s="2" t="s">
        <v>104</v>
      </c>
      <c r="CF3141" s="5">
        <v>42976</v>
      </c>
      <c r="CG3141" s="2"/>
      <c r="CH3141" s="2"/>
      <c r="CI3141" s="2">
        <v>1</v>
      </c>
      <c r="CJ3141" s="2">
        <v>1</v>
      </c>
      <c r="CK3141" s="2">
        <v>21</v>
      </c>
      <c r="CL3141" s="2" t="s">
        <v>86</v>
      </c>
      <c r="CM3141" s="2"/>
    </row>
    <row r="3142" spans="1:91">
      <c r="A3142" s="2" t="s">
        <v>71</v>
      </c>
      <c r="B3142" s="2" t="s">
        <v>72</v>
      </c>
      <c r="C3142" s="2" t="s">
        <v>73</v>
      </c>
      <c r="D3142" s="2"/>
      <c r="E3142" s="2" t="str">
        <f>"FES1162571529"</f>
        <v>FES1162571529</v>
      </c>
      <c r="F3142" s="3">
        <v>42972</v>
      </c>
      <c r="G3142" s="2">
        <v>201802</v>
      </c>
      <c r="H3142" s="2" t="s">
        <v>74</v>
      </c>
      <c r="I3142" s="2" t="s">
        <v>75</v>
      </c>
      <c r="J3142" s="2" t="s">
        <v>76</v>
      </c>
      <c r="K3142" s="2" t="s">
        <v>77</v>
      </c>
      <c r="L3142" s="2" t="s">
        <v>149</v>
      </c>
      <c r="M3142" s="2" t="s">
        <v>150</v>
      </c>
      <c r="N3142" s="2" t="s">
        <v>482</v>
      </c>
      <c r="O3142" s="2" t="s">
        <v>100</v>
      </c>
      <c r="P3142" s="2" t="str">
        <f>"2170587126                    "</f>
        <v xml:space="preserve">2170587126                    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4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1</v>
      </c>
      <c r="BI3142" s="2">
        <v>1</v>
      </c>
      <c r="BJ3142" s="2">
        <v>0.2</v>
      </c>
      <c r="BK3142" s="2">
        <v>1</v>
      </c>
      <c r="BL3142" s="2">
        <v>41.44</v>
      </c>
      <c r="BM3142" s="2">
        <v>5.8</v>
      </c>
      <c r="BN3142" s="2">
        <v>47.24</v>
      </c>
      <c r="BO3142" s="2">
        <v>47.24</v>
      </c>
      <c r="BP3142" s="2"/>
      <c r="BQ3142" s="2" t="s">
        <v>83</v>
      </c>
      <c r="BR3142" s="2" t="s">
        <v>84</v>
      </c>
      <c r="BS3142" s="3">
        <v>42975</v>
      </c>
      <c r="BT3142" s="4">
        <v>0.35000000000000003</v>
      </c>
      <c r="BU3142" s="2" t="s">
        <v>483</v>
      </c>
      <c r="BV3142" s="2" t="s">
        <v>95</v>
      </c>
      <c r="BW3142" s="2"/>
      <c r="BX3142" s="2"/>
      <c r="BY3142" s="2">
        <v>1200</v>
      </c>
      <c r="BZ3142" s="2"/>
      <c r="CA3142" s="2" t="s">
        <v>484</v>
      </c>
      <c r="CB3142" s="2"/>
      <c r="CC3142" s="2" t="s">
        <v>150</v>
      </c>
      <c r="CD3142" s="2">
        <v>4001</v>
      </c>
      <c r="CE3142" s="2" t="s">
        <v>104</v>
      </c>
      <c r="CF3142" s="5">
        <v>42976</v>
      </c>
      <c r="CG3142" s="2"/>
      <c r="CH3142" s="2"/>
      <c r="CI3142" s="2">
        <v>1</v>
      </c>
      <c r="CJ3142" s="2">
        <v>1</v>
      </c>
      <c r="CK3142" s="2">
        <v>21</v>
      </c>
      <c r="CL3142" s="2" t="s">
        <v>86</v>
      </c>
      <c r="CM3142" s="2"/>
    </row>
    <row r="3143" spans="1:91">
      <c r="A3143" s="2" t="s">
        <v>71</v>
      </c>
      <c r="B3143" s="2" t="s">
        <v>72</v>
      </c>
      <c r="C3143" s="2" t="s">
        <v>73</v>
      </c>
      <c r="D3143" s="2"/>
      <c r="E3143" s="2" t="str">
        <f>"FES1162571413"</f>
        <v>FES1162571413</v>
      </c>
      <c r="F3143" s="3">
        <v>42972</v>
      </c>
      <c r="G3143" s="2">
        <v>201802</v>
      </c>
      <c r="H3143" s="2" t="s">
        <v>74</v>
      </c>
      <c r="I3143" s="2" t="s">
        <v>75</v>
      </c>
      <c r="J3143" s="2" t="s">
        <v>76</v>
      </c>
      <c r="K3143" s="2" t="s">
        <v>77</v>
      </c>
      <c r="L3143" s="2" t="s">
        <v>221</v>
      </c>
      <c r="M3143" s="2" t="s">
        <v>222</v>
      </c>
      <c r="N3143" s="2" t="s">
        <v>415</v>
      </c>
      <c r="O3143" s="2" t="s">
        <v>100</v>
      </c>
      <c r="P3143" s="2" t="str">
        <f>"2170584716                    "</f>
        <v xml:space="preserve">2170584716                    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4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1</v>
      </c>
      <c r="BI3143" s="2">
        <v>1</v>
      </c>
      <c r="BJ3143" s="2">
        <v>0.2</v>
      </c>
      <c r="BK3143" s="2">
        <v>1</v>
      </c>
      <c r="BL3143" s="2">
        <v>41.44</v>
      </c>
      <c r="BM3143" s="2">
        <v>5.8</v>
      </c>
      <c r="BN3143" s="2">
        <v>47.24</v>
      </c>
      <c r="BO3143" s="2">
        <v>47.24</v>
      </c>
      <c r="BP3143" s="2"/>
      <c r="BQ3143" s="2" t="s">
        <v>108</v>
      </c>
      <c r="BR3143" s="2" t="s">
        <v>84</v>
      </c>
      <c r="BS3143" s="3">
        <v>42975</v>
      </c>
      <c r="BT3143" s="4">
        <v>0.34166666666666662</v>
      </c>
      <c r="BU3143" s="2" t="s">
        <v>416</v>
      </c>
      <c r="BV3143" s="2" t="s">
        <v>95</v>
      </c>
      <c r="BW3143" s="2"/>
      <c r="BX3143" s="2"/>
      <c r="BY3143" s="2">
        <v>1200</v>
      </c>
      <c r="BZ3143" s="2"/>
      <c r="CA3143" s="2" t="s">
        <v>934</v>
      </c>
      <c r="CB3143" s="2"/>
      <c r="CC3143" s="2" t="s">
        <v>222</v>
      </c>
      <c r="CD3143" s="2">
        <v>4302</v>
      </c>
      <c r="CE3143" s="2" t="s">
        <v>104</v>
      </c>
      <c r="CF3143" s="5">
        <v>42976</v>
      </c>
      <c r="CG3143" s="2"/>
      <c r="CH3143" s="2"/>
      <c r="CI3143" s="2">
        <v>1</v>
      </c>
      <c r="CJ3143" s="2">
        <v>1</v>
      </c>
      <c r="CK3143" s="2">
        <v>21</v>
      </c>
      <c r="CL3143" s="2" t="s">
        <v>86</v>
      </c>
      <c r="CM3143" s="2"/>
    </row>
    <row r="3144" spans="1:91">
      <c r="A3144" s="2" t="s">
        <v>71</v>
      </c>
      <c r="B3144" s="2" t="s">
        <v>72</v>
      </c>
      <c r="C3144" s="2" t="s">
        <v>73</v>
      </c>
      <c r="D3144" s="2"/>
      <c r="E3144" s="2" t="str">
        <f>"FES1162571479"</f>
        <v>FES1162571479</v>
      </c>
      <c r="F3144" s="3">
        <v>42972</v>
      </c>
      <c r="G3144" s="2">
        <v>201802</v>
      </c>
      <c r="H3144" s="2" t="s">
        <v>74</v>
      </c>
      <c r="I3144" s="2" t="s">
        <v>75</v>
      </c>
      <c r="J3144" s="2" t="s">
        <v>76</v>
      </c>
      <c r="K3144" s="2" t="s">
        <v>77</v>
      </c>
      <c r="L3144" s="2" t="s">
        <v>343</v>
      </c>
      <c r="M3144" s="2" t="s">
        <v>344</v>
      </c>
      <c r="N3144" s="2" t="s">
        <v>351</v>
      </c>
      <c r="O3144" s="2" t="s">
        <v>100</v>
      </c>
      <c r="P3144" s="2" t="str">
        <f>"2170587104                    "</f>
        <v xml:space="preserve">2170587104                    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4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1</v>
      </c>
      <c r="BI3144" s="2">
        <v>1</v>
      </c>
      <c r="BJ3144" s="2">
        <v>0.2</v>
      </c>
      <c r="BK3144" s="2">
        <v>1</v>
      </c>
      <c r="BL3144" s="2">
        <v>41.44</v>
      </c>
      <c r="BM3144" s="2">
        <v>5.8</v>
      </c>
      <c r="BN3144" s="2">
        <v>47.24</v>
      </c>
      <c r="BO3144" s="2">
        <v>47.24</v>
      </c>
      <c r="BP3144" s="2"/>
      <c r="BQ3144" s="2" t="s">
        <v>108</v>
      </c>
      <c r="BR3144" s="2" t="s">
        <v>84</v>
      </c>
      <c r="BS3144" s="3">
        <v>42975</v>
      </c>
      <c r="BT3144" s="4">
        <v>0.41875000000000001</v>
      </c>
      <c r="BU3144" s="2" t="s">
        <v>3290</v>
      </c>
      <c r="BV3144" s="2" t="s">
        <v>95</v>
      </c>
      <c r="BW3144" s="2"/>
      <c r="BX3144" s="2"/>
      <c r="BY3144" s="2">
        <v>1200</v>
      </c>
      <c r="BZ3144" s="2"/>
      <c r="CA3144" s="2"/>
      <c r="CB3144" s="2"/>
      <c r="CC3144" s="2" t="s">
        <v>344</v>
      </c>
      <c r="CD3144" s="2">
        <v>4133</v>
      </c>
      <c r="CE3144" s="2" t="s">
        <v>104</v>
      </c>
      <c r="CF3144" s="5">
        <v>42976</v>
      </c>
      <c r="CG3144" s="2"/>
      <c r="CH3144" s="2"/>
      <c r="CI3144" s="2">
        <v>1</v>
      </c>
      <c r="CJ3144" s="2">
        <v>1</v>
      </c>
      <c r="CK3144" s="2">
        <v>21</v>
      </c>
      <c r="CL3144" s="2" t="s">
        <v>86</v>
      </c>
      <c r="CM3144" s="2"/>
    </row>
    <row r="3145" spans="1:91">
      <c r="A3145" s="2" t="s">
        <v>71</v>
      </c>
      <c r="B3145" s="2" t="s">
        <v>72</v>
      </c>
      <c r="C3145" s="2" t="s">
        <v>73</v>
      </c>
      <c r="D3145" s="2"/>
      <c r="E3145" s="2" t="str">
        <f>"FES1162571483"</f>
        <v>FES1162571483</v>
      </c>
      <c r="F3145" s="3">
        <v>42972</v>
      </c>
      <c r="G3145" s="2">
        <v>201802</v>
      </c>
      <c r="H3145" s="2" t="s">
        <v>74</v>
      </c>
      <c r="I3145" s="2" t="s">
        <v>75</v>
      </c>
      <c r="J3145" s="2" t="s">
        <v>76</v>
      </c>
      <c r="K3145" s="2" t="s">
        <v>77</v>
      </c>
      <c r="L3145" s="2" t="s">
        <v>244</v>
      </c>
      <c r="M3145" s="2" t="s">
        <v>245</v>
      </c>
      <c r="N3145" s="2" t="s">
        <v>3315</v>
      </c>
      <c r="O3145" s="2" t="s">
        <v>100</v>
      </c>
      <c r="P3145" s="2" t="str">
        <f>"2170585066                    "</f>
        <v xml:space="preserve">2170585066                    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3.13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1</v>
      </c>
      <c r="BI3145" s="2">
        <v>1</v>
      </c>
      <c r="BJ3145" s="2">
        <v>0.2</v>
      </c>
      <c r="BK3145" s="2">
        <v>1</v>
      </c>
      <c r="BL3145" s="2">
        <v>32.380000000000003</v>
      </c>
      <c r="BM3145" s="2">
        <v>4.53</v>
      </c>
      <c r="BN3145" s="2">
        <v>36.909999999999997</v>
      </c>
      <c r="BO3145" s="2">
        <v>36.909999999999997</v>
      </c>
      <c r="BP3145" s="2"/>
      <c r="BQ3145" s="2" t="s">
        <v>288</v>
      </c>
      <c r="BR3145" s="2" t="s">
        <v>84</v>
      </c>
      <c r="BS3145" s="3">
        <v>42975</v>
      </c>
      <c r="BT3145" s="4">
        <v>0.37291666666666662</v>
      </c>
      <c r="BU3145" s="2" t="s">
        <v>3316</v>
      </c>
      <c r="BV3145" s="2" t="s">
        <v>95</v>
      </c>
      <c r="BW3145" s="2"/>
      <c r="BX3145" s="2"/>
      <c r="BY3145" s="2">
        <v>1200</v>
      </c>
      <c r="BZ3145" s="2"/>
      <c r="CA3145" s="2"/>
      <c r="CB3145" s="2"/>
      <c r="CC3145" s="2" t="s">
        <v>245</v>
      </c>
      <c r="CD3145" s="2">
        <v>1478</v>
      </c>
      <c r="CE3145" s="2" t="s">
        <v>104</v>
      </c>
      <c r="CF3145" s="5">
        <v>42976</v>
      </c>
      <c r="CG3145" s="2"/>
      <c r="CH3145" s="2"/>
      <c r="CI3145" s="2">
        <v>1</v>
      </c>
      <c r="CJ3145" s="2">
        <v>1</v>
      </c>
      <c r="CK3145" s="2">
        <v>22</v>
      </c>
      <c r="CL3145" s="2" t="s">
        <v>86</v>
      </c>
      <c r="CM3145" s="2"/>
    </row>
    <row r="3146" spans="1:91">
      <c r="A3146" s="2" t="s">
        <v>71</v>
      </c>
      <c r="B3146" s="2" t="s">
        <v>72</v>
      </c>
      <c r="C3146" s="2" t="s">
        <v>73</v>
      </c>
      <c r="D3146" s="2"/>
      <c r="E3146" s="2" t="str">
        <f>"FES1162571528"</f>
        <v>FES1162571528</v>
      </c>
      <c r="F3146" s="3">
        <v>42972</v>
      </c>
      <c r="G3146" s="2">
        <v>201802</v>
      </c>
      <c r="H3146" s="2" t="s">
        <v>74</v>
      </c>
      <c r="I3146" s="2" t="s">
        <v>75</v>
      </c>
      <c r="J3146" s="2" t="s">
        <v>76</v>
      </c>
      <c r="K3146" s="2" t="s">
        <v>77</v>
      </c>
      <c r="L3146" s="2" t="s">
        <v>149</v>
      </c>
      <c r="M3146" s="2" t="s">
        <v>150</v>
      </c>
      <c r="N3146" s="2" t="s">
        <v>482</v>
      </c>
      <c r="O3146" s="2" t="s">
        <v>100</v>
      </c>
      <c r="P3146" s="2" t="str">
        <f>"23170587060                   "</f>
        <v xml:space="preserve">23170587060                   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4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  <c r="BG3146" s="2">
        <v>0</v>
      </c>
      <c r="BH3146" s="2">
        <v>1</v>
      </c>
      <c r="BI3146" s="2">
        <v>1</v>
      </c>
      <c r="BJ3146" s="2">
        <v>0.2</v>
      </c>
      <c r="BK3146" s="2">
        <v>1</v>
      </c>
      <c r="BL3146" s="2">
        <v>41.44</v>
      </c>
      <c r="BM3146" s="2">
        <v>5.8</v>
      </c>
      <c r="BN3146" s="2">
        <v>47.24</v>
      </c>
      <c r="BO3146" s="2">
        <v>47.24</v>
      </c>
      <c r="BP3146" s="2"/>
      <c r="BQ3146" s="2" t="s">
        <v>83</v>
      </c>
      <c r="BR3146" s="2" t="s">
        <v>84</v>
      </c>
      <c r="BS3146" s="3">
        <v>42975</v>
      </c>
      <c r="BT3146" s="4">
        <v>0.35069444444444442</v>
      </c>
      <c r="BU3146" s="2" t="s">
        <v>483</v>
      </c>
      <c r="BV3146" s="2" t="s">
        <v>95</v>
      </c>
      <c r="BW3146" s="2"/>
      <c r="BX3146" s="2"/>
      <c r="BY3146" s="2">
        <v>1200</v>
      </c>
      <c r="BZ3146" s="2"/>
      <c r="CA3146" s="2" t="s">
        <v>484</v>
      </c>
      <c r="CB3146" s="2"/>
      <c r="CC3146" s="2" t="s">
        <v>150</v>
      </c>
      <c r="CD3146" s="2">
        <v>4001</v>
      </c>
      <c r="CE3146" s="2" t="s">
        <v>104</v>
      </c>
      <c r="CF3146" s="5">
        <v>42976</v>
      </c>
      <c r="CG3146" s="2"/>
      <c r="CH3146" s="2"/>
      <c r="CI3146" s="2">
        <v>1</v>
      </c>
      <c r="CJ3146" s="2">
        <v>1</v>
      </c>
      <c r="CK3146" s="2">
        <v>21</v>
      </c>
      <c r="CL3146" s="2" t="s">
        <v>86</v>
      </c>
      <c r="CM3146" s="2"/>
    </row>
    <row r="3147" spans="1:91">
      <c r="A3147" s="2" t="s">
        <v>71</v>
      </c>
      <c r="B3147" s="2" t="s">
        <v>72</v>
      </c>
      <c r="C3147" s="2" t="s">
        <v>73</v>
      </c>
      <c r="D3147" s="2"/>
      <c r="E3147" s="2" t="str">
        <f>"FES1162571435"</f>
        <v>FES1162571435</v>
      </c>
      <c r="F3147" s="3">
        <v>42972</v>
      </c>
      <c r="G3147" s="2">
        <v>201802</v>
      </c>
      <c r="H3147" s="2" t="s">
        <v>74</v>
      </c>
      <c r="I3147" s="2" t="s">
        <v>75</v>
      </c>
      <c r="J3147" s="2" t="s">
        <v>76</v>
      </c>
      <c r="K3147" s="2" t="s">
        <v>77</v>
      </c>
      <c r="L3147" s="2" t="s">
        <v>237</v>
      </c>
      <c r="M3147" s="2" t="s">
        <v>238</v>
      </c>
      <c r="N3147" s="2" t="s">
        <v>673</v>
      </c>
      <c r="O3147" s="2" t="s">
        <v>100</v>
      </c>
      <c r="P3147" s="2" t="str">
        <f>"2170586340                    "</f>
        <v xml:space="preserve">2170586340                    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4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1</v>
      </c>
      <c r="BI3147" s="2">
        <v>1</v>
      </c>
      <c r="BJ3147" s="2">
        <v>0.2</v>
      </c>
      <c r="BK3147" s="2">
        <v>1</v>
      </c>
      <c r="BL3147" s="2">
        <v>41.44</v>
      </c>
      <c r="BM3147" s="2">
        <v>5.8</v>
      </c>
      <c r="BN3147" s="2">
        <v>47.24</v>
      </c>
      <c r="BO3147" s="2">
        <v>47.24</v>
      </c>
      <c r="BP3147" s="2"/>
      <c r="BQ3147" s="2" t="s">
        <v>83</v>
      </c>
      <c r="BR3147" s="2" t="s">
        <v>84</v>
      </c>
      <c r="BS3147" s="3">
        <v>42975</v>
      </c>
      <c r="BT3147" s="4">
        <v>0.39861111111111108</v>
      </c>
      <c r="BU3147" s="2" t="s">
        <v>674</v>
      </c>
      <c r="BV3147" s="2" t="s">
        <v>95</v>
      </c>
      <c r="BW3147" s="2"/>
      <c r="BX3147" s="2"/>
      <c r="BY3147" s="2">
        <v>1200</v>
      </c>
      <c r="BZ3147" s="2"/>
      <c r="CA3147" s="2" t="s">
        <v>401</v>
      </c>
      <c r="CB3147" s="2"/>
      <c r="CC3147" s="2" t="s">
        <v>238</v>
      </c>
      <c r="CD3147" s="2">
        <v>3610</v>
      </c>
      <c r="CE3147" s="2" t="s">
        <v>104</v>
      </c>
      <c r="CF3147" s="5">
        <v>42976</v>
      </c>
      <c r="CG3147" s="2"/>
      <c r="CH3147" s="2"/>
      <c r="CI3147" s="2">
        <v>1</v>
      </c>
      <c r="CJ3147" s="2">
        <v>1</v>
      </c>
      <c r="CK3147" s="2">
        <v>21</v>
      </c>
      <c r="CL3147" s="2" t="s">
        <v>86</v>
      </c>
      <c r="CM3147" s="2"/>
    </row>
    <row r="3148" spans="1:91">
      <c r="A3148" s="2" t="s">
        <v>71</v>
      </c>
      <c r="B3148" s="2" t="s">
        <v>72</v>
      </c>
      <c r="C3148" s="2" t="s">
        <v>73</v>
      </c>
      <c r="D3148" s="2"/>
      <c r="E3148" s="2" t="str">
        <f>"FES1162571429"</f>
        <v>FES1162571429</v>
      </c>
      <c r="F3148" s="3">
        <v>42972</v>
      </c>
      <c r="G3148" s="2">
        <v>201802</v>
      </c>
      <c r="H3148" s="2" t="s">
        <v>74</v>
      </c>
      <c r="I3148" s="2" t="s">
        <v>75</v>
      </c>
      <c r="J3148" s="2" t="s">
        <v>76</v>
      </c>
      <c r="K3148" s="2" t="s">
        <v>77</v>
      </c>
      <c r="L3148" s="2" t="s">
        <v>710</v>
      </c>
      <c r="M3148" s="2" t="s">
        <v>711</v>
      </c>
      <c r="N3148" s="2" t="s">
        <v>3317</v>
      </c>
      <c r="O3148" s="2" t="s">
        <v>100</v>
      </c>
      <c r="P3148" s="2" t="str">
        <f>"2170585132                    "</f>
        <v xml:space="preserve">2170585132                    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7.75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1</v>
      </c>
      <c r="BI3148" s="2">
        <v>1</v>
      </c>
      <c r="BJ3148" s="2">
        <v>0.2</v>
      </c>
      <c r="BK3148" s="2">
        <v>1</v>
      </c>
      <c r="BL3148" s="2">
        <v>80.290000000000006</v>
      </c>
      <c r="BM3148" s="2">
        <v>11.24</v>
      </c>
      <c r="BN3148" s="2">
        <v>91.53</v>
      </c>
      <c r="BO3148" s="2">
        <v>91.53</v>
      </c>
      <c r="BP3148" s="2"/>
      <c r="BQ3148" s="2" t="s">
        <v>83</v>
      </c>
      <c r="BR3148" s="2" t="s">
        <v>84</v>
      </c>
      <c r="BS3148" s="3">
        <v>42975</v>
      </c>
      <c r="BT3148" s="4">
        <v>0.42708333333333331</v>
      </c>
      <c r="BU3148" s="2" t="s">
        <v>3318</v>
      </c>
      <c r="BV3148" s="2" t="s">
        <v>95</v>
      </c>
      <c r="BW3148" s="2"/>
      <c r="BX3148" s="2"/>
      <c r="BY3148" s="2">
        <v>1200</v>
      </c>
      <c r="BZ3148" s="2"/>
      <c r="CA3148" s="2"/>
      <c r="CB3148" s="2"/>
      <c r="CC3148" s="2" t="s">
        <v>711</v>
      </c>
      <c r="CD3148" s="2">
        <v>4339</v>
      </c>
      <c r="CE3148" s="2" t="s">
        <v>104</v>
      </c>
      <c r="CF3148" s="5">
        <v>42976</v>
      </c>
      <c r="CG3148" s="2"/>
      <c r="CH3148" s="2"/>
      <c r="CI3148" s="2">
        <v>1</v>
      </c>
      <c r="CJ3148" s="2">
        <v>1</v>
      </c>
      <c r="CK3148" s="2">
        <v>23</v>
      </c>
      <c r="CL3148" s="2" t="s">
        <v>86</v>
      </c>
      <c r="CM3148" s="2"/>
    </row>
    <row r="3149" spans="1:91">
      <c r="A3149" s="2" t="s">
        <v>71</v>
      </c>
      <c r="B3149" s="2" t="s">
        <v>72</v>
      </c>
      <c r="C3149" s="2" t="s">
        <v>73</v>
      </c>
      <c r="D3149" s="2"/>
      <c r="E3149" s="2" t="str">
        <f>"FES1162571512"</f>
        <v>FES1162571512</v>
      </c>
      <c r="F3149" s="3">
        <v>42972</v>
      </c>
      <c r="G3149" s="2">
        <v>201802</v>
      </c>
      <c r="H3149" s="2" t="s">
        <v>74</v>
      </c>
      <c r="I3149" s="2" t="s">
        <v>75</v>
      </c>
      <c r="J3149" s="2" t="s">
        <v>76</v>
      </c>
      <c r="K3149" s="2" t="s">
        <v>77</v>
      </c>
      <c r="L3149" s="2" t="s">
        <v>149</v>
      </c>
      <c r="M3149" s="2" t="s">
        <v>150</v>
      </c>
      <c r="N3149" s="2" t="s">
        <v>2548</v>
      </c>
      <c r="O3149" s="2" t="s">
        <v>100</v>
      </c>
      <c r="P3149" s="2" t="str">
        <f>"2170584712                    "</f>
        <v xml:space="preserve">2170584712                    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6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1</v>
      </c>
      <c r="BI3149" s="2">
        <v>2.9</v>
      </c>
      <c r="BJ3149" s="2">
        <v>1.8</v>
      </c>
      <c r="BK3149" s="2">
        <v>3</v>
      </c>
      <c r="BL3149" s="2">
        <v>62.16</v>
      </c>
      <c r="BM3149" s="2">
        <v>8.6999999999999993</v>
      </c>
      <c r="BN3149" s="2">
        <v>70.86</v>
      </c>
      <c r="BO3149" s="2">
        <v>70.86</v>
      </c>
      <c r="BP3149" s="2"/>
      <c r="BQ3149" s="2" t="s">
        <v>572</v>
      </c>
      <c r="BR3149" s="2" t="s">
        <v>84</v>
      </c>
      <c r="BS3149" s="3">
        <v>42975</v>
      </c>
      <c r="BT3149" s="4">
        <v>0.38055555555555554</v>
      </c>
      <c r="BU3149" s="2" t="s">
        <v>2825</v>
      </c>
      <c r="BV3149" s="2" t="s">
        <v>95</v>
      </c>
      <c r="BW3149" s="2"/>
      <c r="BX3149" s="2"/>
      <c r="BY3149" s="2">
        <v>8782.2000000000007</v>
      </c>
      <c r="BZ3149" s="2"/>
      <c r="CA3149" s="2" t="s">
        <v>1163</v>
      </c>
      <c r="CB3149" s="2"/>
      <c r="CC3149" s="2" t="s">
        <v>150</v>
      </c>
      <c r="CD3149" s="2">
        <v>4072</v>
      </c>
      <c r="CE3149" s="2" t="s">
        <v>89</v>
      </c>
      <c r="CF3149" s="5">
        <v>42976</v>
      </c>
      <c r="CG3149" s="2"/>
      <c r="CH3149" s="2"/>
      <c r="CI3149" s="2">
        <v>1</v>
      </c>
      <c r="CJ3149" s="2">
        <v>1</v>
      </c>
      <c r="CK3149" s="2">
        <v>21</v>
      </c>
      <c r="CL3149" s="2" t="s">
        <v>86</v>
      </c>
      <c r="CM3149" s="2"/>
    </row>
    <row r="3150" spans="1:91">
      <c r="A3150" s="2" t="s">
        <v>71</v>
      </c>
      <c r="B3150" s="2" t="s">
        <v>72</v>
      </c>
      <c r="C3150" s="2" t="s">
        <v>73</v>
      </c>
      <c r="D3150" s="2"/>
      <c r="E3150" s="2" t="str">
        <f>"FES1162571430"</f>
        <v>FES1162571430</v>
      </c>
      <c r="F3150" s="3">
        <v>42972</v>
      </c>
      <c r="G3150" s="2">
        <v>201802</v>
      </c>
      <c r="H3150" s="2" t="s">
        <v>74</v>
      </c>
      <c r="I3150" s="2" t="s">
        <v>75</v>
      </c>
      <c r="J3150" s="2" t="s">
        <v>76</v>
      </c>
      <c r="K3150" s="2" t="s">
        <v>77</v>
      </c>
      <c r="L3150" s="2" t="s">
        <v>237</v>
      </c>
      <c r="M3150" s="2" t="s">
        <v>238</v>
      </c>
      <c r="N3150" s="2" t="s">
        <v>1986</v>
      </c>
      <c r="O3150" s="2" t="s">
        <v>100</v>
      </c>
      <c r="P3150" s="2" t="str">
        <f>"2170585137                    "</f>
        <v xml:space="preserve">2170585137                    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4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1</v>
      </c>
      <c r="BI3150" s="2">
        <v>1</v>
      </c>
      <c r="BJ3150" s="2">
        <v>0.2</v>
      </c>
      <c r="BK3150" s="2">
        <v>1</v>
      </c>
      <c r="BL3150" s="2">
        <v>41.44</v>
      </c>
      <c r="BM3150" s="2">
        <v>5.8</v>
      </c>
      <c r="BN3150" s="2">
        <v>47.24</v>
      </c>
      <c r="BO3150" s="2">
        <v>47.24</v>
      </c>
      <c r="BP3150" s="2"/>
      <c r="BQ3150" s="2" t="s">
        <v>288</v>
      </c>
      <c r="BR3150" s="2" t="s">
        <v>84</v>
      </c>
      <c r="BS3150" s="3">
        <v>42975</v>
      </c>
      <c r="BT3150" s="4">
        <v>0.37222222222222223</v>
      </c>
      <c r="BU3150" s="2" t="s">
        <v>1651</v>
      </c>
      <c r="BV3150" s="2" t="s">
        <v>95</v>
      </c>
      <c r="BW3150" s="2"/>
      <c r="BX3150" s="2"/>
      <c r="BY3150" s="2">
        <v>1200</v>
      </c>
      <c r="BZ3150" s="2"/>
      <c r="CA3150" s="2" t="s">
        <v>401</v>
      </c>
      <c r="CB3150" s="2"/>
      <c r="CC3150" s="2" t="s">
        <v>238</v>
      </c>
      <c r="CD3150" s="2">
        <v>3610</v>
      </c>
      <c r="CE3150" s="2" t="s">
        <v>104</v>
      </c>
      <c r="CF3150" s="5">
        <v>42976</v>
      </c>
      <c r="CG3150" s="2"/>
      <c r="CH3150" s="2"/>
      <c r="CI3150" s="2">
        <v>1</v>
      </c>
      <c r="CJ3150" s="2">
        <v>1</v>
      </c>
      <c r="CK3150" s="2">
        <v>21</v>
      </c>
      <c r="CL3150" s="2" t="s">
        <v>86</v>
      </c>
      <c r="CM3150" s="2"/>
    </row>
    <row r="3151" spans="1:91">
      <c r="A3151" s="2" t="s">
        <v>71</v>
      </c>
      <c r="B3151" s="2" t="s">
        <v>72</v>
      </c>
      <c r="C3151" s="2" t="s">
        <v>73</v>
      </c>
      <c r="D3151" s="2"/>
      <c r="E3151" s="2" t="str">
        <f>"FES1162571447"</f>
        <v>FES1162571447</v>
      </c>
      <c r="F3151" s="3">
        <v>42972</v>
      </c>
      <c r="G3151" s="2">
        <v>201802</v>
      </c>
      <c r="H3151" s="2" t="s">
        <v>74</v>
      </c>
      <c r="I3151" s="2" t="s">
        <v>75</v>
      </c>
      <c r="J3151" s="2" t="s">
        <v>76</v>
      </c>
      <c r="K3151" s="2" t="s">
        <v>77</v>
      </c>
      <c r="L3151" s="2" t="s">
        <v>3149</v>
      </c>
      <c r="M3151" s="2" t="s">
        <v>3150</v>
      </c>
      <c r="N3151" s="2" t="s">
        <v>3151</v>
      </c>
      <c r="O3151" s="2" t="s">
        <v>100</v>
      </c>
      <c r="P3151" s="2" t="str">
        <f>"2170587053                    "</f>
        <v xml:space="preserve">2170587053                    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7.75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0</v>
      </c>
      <c r="BD3151" s="2">
        <v>0</v>
      </c>
      <c r="BE3151" s="2">
        <v>0</v>
      </c>
      <c r="BF3151" s="2">
        <v>0</v>
      </c>
      <c r="BG3151" s="2">
        <v>0</v>
      </c>
      <c r="BH3151" s="2">
        <v>1</v>
      </c>
      <c r="BI3151" s="2">
        <v>1</v>
      </c>
      <c r="BJ3151" s="2">
        <v>0.2</v>
      </c>
      <c r="BK3151" s="2">
        <v>1</v>
      </c>
      <c r="BL3151" s="2">
        <v>80.290000000000006</v>
      </c>
      <c r="BM3151" s="2">
        <v>11.24</v>
      </c>
      <c r="BN3151" s="2">
        <v>91.53</v>
      </c>
      <c r="BO3151" s="2">
        <v>91.53</v>
      </c>
      <c r="BP3151" s="2"/>
      <c r="BQ3151" s="2" t="s">
        <v>288</v>
      </c>
      <c r="BR3151" s="2" t="s">
        <v>84</v>
      </c>
      <c r="BS3151" s="3">
        <v>42975</v>
      </c>
      <c r="BT3151" s="4">
        <v>0.58472222222222225</v>
      </c>
      <c r="BU3151" s="2" t="s">
        <v>3319</v>
      </c>
      <c r="BV3151" s="2" t="s">
        <v>95</v>
      </c>
      <c r="BW3151" s="2"/>
      <c r="BX3151" s="2"/>
      <c r="BY3151" s="2">
        <v>1200</v>
      </c>
      <c r="BZ3151" s="2"/>
      <c r="CA3151" s="2" t="s">
        <v>1885</v>
      </c>
      <c r="CB3151" s="2"/>
      <c r="CC3151" s="2" t="s">
        <v>3150</v>
      </c>
      <c r="CD3151" s="2">
        <v>4252</v>
      </c>
      <c r="CE3151" s="2" t="s">
        <v>104</v>
      </c>
      <c r="CF3151" s="5">
        <v>42976</v>
      </c>
      <c r="CG3151" s="2"/>
      <c r="CH3151" s="2"/>
      <c r="CI3151" s="2">
        <v>1</v>
      </c>
      <c r="CJ3151" s="2">
        <v>1</v>
      </c>
      <c r="CK3151" s="2">
        <v>23</v>
      </c>
      <c r="CL3151" s="2" t="s">
        <v>86</v>
      </c>
      <c r="CM3151" s="2"/>
    </row>
    <row r="3152" spans="1:91">
      <c r="A3152" s="2" t="s">
        <v>71</v>
      </c>
      <c r="B3152" s="2" t="s">
        <v>72</v>
      </c>
      <c r="C3152" s="2" t="s">
        <v>73</v>
      </c>
      <c r="D3152" s="2"/>
      <c r="E3152" s="2" t="str">
        <f>"FES1162571458"</f>
        <v>FES1162571458</v>
      </c>
      <c r="F3152" s="3">
        <v>42972</v>
      </c>
      <c r="G3152" s="2">
        <v>201802</v>
      </c>
      <c r="H3152" s="2" t="s">
        <v>74</v>
      </c>
      <c r="I3152" s="2" t="s">
        <v>75</v>
      </c>
      <c r="J3152" s="2" t="s">
        <v>76</v>
      </c>
      <c r="K3152" s="2" t="s">
        <v>77</v>
      </c>
      <c r="L3152" s="2" t="s">
        <v>149</v>
      </c>
      <c r="M3152" s="2" t="s">
        <v>150</v>
      </c>
      <c r="N3152" s="2" t="s">
        <v>435</v>
      </c>
      <c r="O3152" s="2" t="s">
        <v>100</v>
      </c>
      <c r="P3152" s="2" t="str">
        <f>"2170587068                    "</f>
        <v xml:space="preserve">2170587068                    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4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1</v>
      </c>
      <c r="BI3152" s="2">
        <v>1</v>
      </c>
      <c r="BJ3152" s="2">
        <v>0.2</v>
      </c>
      <c r="BK3152" s="2">
        <v>1</v>
      </c>
      <c r="BL3152" s="2">
        <v>41.44</v>
      </c>
      <c r="BM3152" s="2">
        <v>5.8</v>
      </c>
      <c r="BN3152" s="2">
        <v>47.24</v>
      </c>
      <c r="BO3152" s="2">
        <v>47.24</v>
      </c>
      <c r="BP3152" s="2"/>
      <c r="BQ3152" s="2" t="s">
        <v>288</v>
      </c>
      <c r="BR3152" s="2" t="s">
        <v>84</v>
      </c>
      <c r="BS3152" s="3">
        <v>42975</v>
      </c>
      <c r="BT3152" s="4">
        <v>0.4375</v>
      </c>
      <c r="BU3152" s="2" t="s">
        <v>3320</v>
      </c>
      <c r="BV3152" s="2" t="s">
        <v>95</v>
      </c>
      <c r="BW3152" s="2"/>
      <c r="BX3152" s="2"/>
      <c r="BY3152" s="2">
        <v>1200</v>
      </c>
      <c r="BZ3152" s="2"/>
      <c r="CA3152" s="2" t="s">
        <v>148</v>
      </c>
      <c r="CB3152" s="2"/>
      <c r="CC3152" s="2" t="s">
        <v>150</v>
      </c>
      <c r="CD3152" s="2">
        <v>4001</v>
      </c>
      <c r="CE3152" s="2" t="s">
        <v>104</v>
      </c>
      <c r="CF3152" s="5">
        <v>42976</v>
      </c>
      <c r="CG3152" s="2"/>
      <c r="CH3152" s="2"/>
      <c r="CI3152" s="2">
        <v>1</v>
      </c>
      <c r="CJ3152" s="2">
        <v>1</v>
      </c>
      <c r="CK3152" s="2">
        <v>21</v>
      </c>
      <c r="CL3152" s="2" t="s">
        <v>86</v>
      </c>
      <c r="CM3152" s="2"/>
    </row>
    <row r="3153" spans="1:91">
      <c r="A3153" s="2" t="s">
        <v>71</v>
      </c>
      <c r="B3153" s="2" t="s">
        <v>72</v>
      </c>
      <c r="C3153" s="2" t="s">
        <v>73</v>
      </c>
      <c r="D3153" s="2"/>
      <c r="E3153" s="2" t="str">
        <f>"FES1162571465"</f>
        <v>FES1162571465</v>
      </c>
      <c r="F3153" s="3">
        <v>42972</v>
      </c>
      <c r="G3153" s="2">
        <v>201802</v>
      </c>
      <c r="H3153" s="2" t="s">
        <v>74</v>
      </c>
      <c r="I3153" s="2" t="s">
        <v>75</v>
      </c>
      <c r="J3153" s="2" t="s">
        <v>76</v>
      </c>
      <c r="K3153" s="2" t="s">
        <v>77</v>
      </c>
      <c r="L3153" s="2" t="s">
        <v>149</v>
      </c>
      <c r="M3153" s="2" t="s">
        <v>150</v>
      </c>
      <c r="N3153" s="2" t="s">
        <v>463</v>
      </c>
      <c r="O3153" s="2" t="s">
        <v>100</v>
      </c>
      <c r="P3153" s="2" t="str">
        <f>"2170587076                    "</f>
        <v xml:space="preserve">2170587076                    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4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  <c r="BG3153" s="2">
        <v>0</v>
      </c>
      <c r="BH3153" s="2">
        <v>1</v>
      </c>
      <c r="BI3153" s="2">
        <v>1</v>
      </c>
      <c r="BJ3153" s="2">
        <v>0.2</v>
      </c>
      <c r="BK3153" s="2">
        <v>1</v>
      </c>
      <c r="BL3153" s="2">
        <v>41.44</v>
      </c>
      <c r="BM3153" s="2">
        <v>5.8</v>
      </c>
      <c r="BN3153" s="2">
        <v>47.24</v>
      </c>
      <c r="BO3153" s="2">
        <v>47.24</v>
      </c>
      <c r="BP3153" s="2"/>
      <c r="BQ3153" s="2" t="s">
        <v>288</v>
      </c>
      <c r="BR3153" s="2" t="s">
        <v>84</v>
      </c>
      <c r="BS3153" s="3">
        <v>42975</v>
      </c>
      <c r="BT3153" s="4">
        <v>0.43055555555555558</v>
      </c>
      <c r="BU3153" s="2" t="s">
        <v>3321</v>
      </c>
      <c r="BV3153" s="2" t="s">
        <v>95</v>
      </c>
      <c r="BW3153" s="2"/>
      <c r="BX3153" s="2"/>
      <c r="BY3153" s="2">
        <v>1200</v>
      </c>
      <c r="BZ3153" s="2"/>
      <c r="CA3153" s="2"/>
      <c r="CB3153" s="2"/>
      <c r="CC3153" s="2" t="s">
        <v>150</v>
      </c>
      <c r="CD3153" s="2">
        <v>4001</v>
      </c>
      <c r="CE3153" s="2" t="s">
        <v>104</v>
      </c>
      <c r="CF3153" s="5">
        <v>42976</v>
      </c>
      <c r="CG3153" s="2"/>
      <c r="CH3153" s="2"/>
      <c r="CI3153" s="2">
        <v>1</v>
      </c>
      <c r="CJ3153" s="2">
        <v>1</v>
      </c>
      <c r="CK3153" s="2">
        <v>21</v>
      </c>
      <c r="CL3153" s="2" t="s">
        <v>86</v>
      </c>
      <c r="CM3153" s="2"/>
    </row>
    <row r="3154" spans="1:91">
      <c r="A3154" s="2" t="s">
        <v>71</v>
      </c>
      <c r="B3154" s="2" t="s">
        <v>72</v>
      </c>
      <c r="C3154" s="2" t="s">
        <v>73</v>
      </c>
      <c r="D3154" s="2"/>
      <c r="E3154" s="2" t="str">
        <f>"FES1162571524"</f>
        <v>FES1162571524</v>
      </c>
      <c r="F3154" s="3">
        <v>42972</v>
      </c>
      <c r="G3154" s="2">
        <v>201802</v>
      </c>
      <c r="H3154" s="2" t="s">
        <v>74</v>
      </c>
      <c r="I3154" s="2" t="s">
        <v>75</v>
      </c>
      <c r="J3154" s="2" t="s">
        <v>76</v>
      </c>
      <c r="K3154" s="2" t="s">
        <v>77</v>
      </c>
      <c r="L3154" s="2" t="s">
        <v>237</v>
      </c>
      <c r="M3154" s="2" t="s">
        <v>238</v>
      </c>
      <c r="N3154" s="2" t="s">
        <v>3167</v>
      </c>
      <c r="O3154" s="2" t="s">
        <v>100</v>
      </c>
      <c r="P3154" s="2" t="str">
        <f>"2170586935                    "</f>
        <v xml:space="preserve">2170586935                    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4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1</v>
      </c>
      <c r="BI3154" s="2">
        <v>1</v>
      </c>
      <c r="BJ3154" s="2">
        <v>0.2</v>
      </c>
      <c r="BK3154" s="2">
        <v>1</v>
      </c>
      <c r="BL3154" s="2">
        <v>41.44</v>
      </c>
      <c r="BM3154" s="2">
        <v>5.8</v>
      </c>
      <c r="BN3154" s="2">
        <v>47.24</v>
      </c>
      <c r="BO3154" s="2">
        <v>47.24</v>
      </c>
      <c r="BP3154" s="2"/>
      <c r="BQ3154" s="2" t="s">
        <v>288</v>
      </c>
      <c r="BR3154" s="2" t="s">
        <v>84</v>
      </c>
      <c r="BS3154" s="3">
        <v>42975</v>
      </c>
      <c r="BT3154" s="4">
        <v>0.3298611111111111</v>
      </c>
      <c r="BU3154" s="2" t="s">
        <v>3322</v>
      </c>
      <c r="BV3154" s="2" t="s">
        <v>95</v>
      </c>
      <c r="BW3154" s="2"/>
      <c r="BX3154" s="2"/>
      <c r="BY3154" s="2">
        <v>1200</v>
      </c>
      <c r="BZ3154" s="2"/>
      <c r="CA3154" s="2" t="s">
        <v>401</v>
      </c>
      <c r="CB3154" s="2"/>
      <c r="CC3154" s="2" t="s">
        <v>238</v>
      </c>
      <c r="CD3154" s="2">
        <v>3610</v>
      </c>
      <c r="CE3154" s="2" t="s">
        <v>104</v>
      </c>
      <c r="CF3154" s="5">
        <v>42976</v>
      </c>
      <c r="CG3154" s="2"/>
      <c r="CH3154" s="2"/>
      <c r="CI3154" s="2">
        <v>1</v>
      </c>
      <c r="CJ3154" s="2">
        <v>1</v>
      </c>
      <c r="CK3154" s="2">
        <v>21</v>
      </c>
      <c r="CL3154" s="2" t="s">
        <v>86</v>
      </c>
      <c r="CM3154" s="2"/>
    </row>
    <row r="3155" spans="1:91">
      <c r="A3155" s="2" t="s">
        <v>71</v>
      </c>
      <c r="B3155" s="2" t="s">
        <v>72</v>
      </c>
      <c r="C3155" s="2" t="s">
        <v>73</v>
      </c>
      <c r="D3155" s="2"/>
      <c r="E3155" s="2" t="str">
        <f>"FES1162571452"</f>
        <v>FES1162571452</v>
      </c>
      <c r="F3155" s="3">
        <v>42972</v>
      </c>
      <c r="G3155" s="2">
        <v>201802</v>
      </c>
      <c r="H3155" s="2" t="s">
        <v>74</v>
      </c>
      <c r="I3155" s="2" t="s">
        <v>75</v>
      </c>
      <c r="J3155" s="2" t="s">
        <v>76</v>
      </c>
      <c r="K3155" s="2" t="s">
        <v>77</v>
      </c>
      <c r="L3155" s="2" t="s">
        <v>149</v>
      </c>
      <c r="M3155" s="2" t="s">
        <v>150</v>
      </c>
      <c r="N3155" s="2" t="s">
        <v>482</v>
      </c>
      <c r="O3155" s="2" t="s">
        <v>100</v>
      </c>
      <c r="P3155" s="2" t="str">
        <f>"2170587060                    "</f>
        <v xml:space="preserve">2170587060                    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4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1</v>
      </c>
      <c r="BI3155" s="2">
        <v>1</v>
      </c>
      <c r="BJ3155" s="2">
        <v>0.2</v>
      </c>
      <c r="BK3155" s="2">
        <v>1</v>
      </c>
      <c r="BL3155" s="2">
        <v>41.44</v>
      </c>
      <c r="BM3155" s="2">
        <v>5.8</v>
      </c>
      <c r="BN3155" s="2">
        <v>47.24</v>
      </c>
      <c r="BO3155" s="2">
        <v>47.24</v>
      </c>
      <c r="BP3155" s="2"/>
      <c r="BQ3155" s="2" t="s">
        <v>83</v>
      </c>
      <c r="BR3155" s="2" t="s">
        <v>84</v>
      </c>
      <c r="BS3155" s="3">
        <v>42975</v>
      </c>
      <c r="BT3155" s="4">
        <v>0.35138888888888892</v>
      </c>
      <c r="BU3155" s="2" t="s">
        <v>483</v>
      </c>
      <c r="BV3155" s="2" t="s">
        <v>95</v>
      </c>
      <c r="BW3155" s="2"/>
      <c r="BX3155" s="2"/>
      <c r="BY3155" s="2">
        <v>1200</v>
      </c>
      <c r="BZ3155" s="2"/>
      <c r="CA3155" s="2" t="s">
        <v>484</v>
      </c>
      <c r="CB3155" s="2"/>
      <c r="CC3155" s="2" t="s">
        <v>150</v>
      </c>
      <c r="CD3155" s="2">
        <v>4001</v>
      </c>
      <c r="CE3155" s="2" t="s">
        <v>104</v>
      </c>
      <c r="CF3155" s="5">
        <v>42976</v>
      </c>
      <c r="CG3155" s="2"/>
      <c r="CH3155" s="2"/>
      <c r="CI3155" s="2">
        <v>1</v>
      </c>
      <c r="CJ3155" s="2">
        <v>1</v>
      </c>
      <c r="CK3155" s="2">
        <v>21</v>
      </c>
      <c r="CL3155" s="2" t="s">
        <v>86</v>
      </c>
      <c r="CM3155" s="2"/>
    </row>
    <row r="3156" spans="1:91">
      <c r="A3156" s="2" t="s">
        <v>71</v>
      </c>
      <c r="B3156" s="2" t="s">
        <v>72</v>
      </c>
      <c r="C3156" s="2" t="s">
        <v>73</v>
      </c>
      <c r="D3156" s="2"/>
      <c r="E3156" s="2" t="str">
        <f>"FES1162571511"</f>
        <v>FES1162571511</v>
      </c>
      <c r="F3156" s="3">
        <v>42972</v>
      </c>
      <c r="G3156" s="2">
        <v>201802</v>
      </c>
      <c r="H3156" s="2" t="s">
        <v>74</v>
      </c>
      <c r="I3156" s="2" t="s">
        <v>75</v>
      </c>
      <c r="J3156" s="2" t="s">
        <v>76</v>
      </c>
      <c r="K3156" s="2" t="s">
        <v>77</v>
      </c>
      <c r="L3156" s="2" t="s">
        <v>997</v>
      </c>
      <c r="M3156" s="2" t="s">
        <v>998</v>
      </c>
      <c r="N3156" s="2" t="s">
        <v>999</v>
      </c>
      <c r="O3156" s="2" t="s">
        <v>100</v>
      </c>
      <c r="P3156" s="2" t="str">
        <f>"2170584487                    "</f>
        <v xml:space="preserve">2170584487                    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5.63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1</v>
      </c>
      <c r="BI3156" s="2">
        <v>1</v>
      </c>
      <c r="BJ3156" s="2">
        <v>0.2</v>
      </c>
      <c r="BK3156" s="2">
        <v>1</v>
      </c>
      <c r="BL3156" s="2">
        <v>58.28</v>
      </c>
      <c r="BM3156" s="2">
        <v>8.16</v>
      </c>
      <c r="BN3156" s="2">
        <v>66.44</v>
      </c>
      <c r="BO3156" s="2">
        <v>66.44</v>
      </c>
      <c r="BP3156" s="2"/>
      <c r="BQ3156" s="2" t="s">
        <v>108</v>
      </c>
      <c r="BR3156" s="2" t="s">
        <v>84</v>
      </c>
      <c r="BS3156" s="3">
        <v>42975</v>
      </c>
      <c r="BT3156" s="4">
        <v>0.39583333333333331</v>
      </c>
      <c r="BU3156" s="2" t="s">
        <v>3323</v>
      </c>
      <c r="BV3156" s="2" t="s">
        <v>95</v>
      </c>
      <c r="BW3156" s="2"/>
      <c r="BX3156" s="2"/>
      <c r="BY3156" s="2">
        <v>1200</v>
      </c>
      <c r="BZ3156" s="2"/>
      <c r="CA3156" s="2" t="s">
        <v>3324</v>
      </c>
      <c r="CB3156" s="2"/>
      <c r="CC3156" s="2" t="s">
        <v>998</v>
      </c>
      <c r="CD3156" s="2">
        <v>324</v>
      </c>
      <c r="CE3156" s="2" t="s">
        <v>104</v>
      </c>
      <c r="CF3156" s="5">
        <v>42978</v>
      </c>
      <c r="CG3156" s="2"/>
      <c r="CH3156" s="2"/>
      <c r="CI3156" s="2">
        <v>1</v>
      </c>
      <c r="CJ3156" s="2">
        <v>1</v>
      </c>
      <c r="CK3156" s="2">
        <v>24</v>
      </c>
      <c r="CL3156" s="2" t="s">
        <v>86</v>
      </c>
      <c r="CM3156" s="2"/>
    </row>
    <row r="3157" spans="1:91">
      <c r="A3157" s="2" t="s">
        <v>71</v>
      </c>
      <c r="B3157" s="2" t="s">
        <v>72</v>
      </c>
      <c r="C3157" s="2" t="s">
        <v>73</v>
      </c>
      <c r="D3157" s="2"/>
      <c r="E3157" s="2" t="str">
        <f>"FES1162571497"</f>
        <v>FES1162571497</v>
      </c>
      <c r="F3157" s="3">
        <v>42972</v>
      </c>
      <c r="G3157" s="2">
        <v>201802</v>
      </c>
      <c r="H3157" s="2" t="s">
        <v>74</v>
      </c>
      <c r="I3157" s="2" t="s">
        <v>75</v>
      </c>
      <c r="J3157" s="2" t="s">
        <v>76</v>
      </c>
      <c r="K3157" s="2" t="s">
        <v>77</v>
      </c>
      <c r="L3157" s="2" t="s">
        <v>268</v>
      </c>
      <c r="M3157" s="2" t="s">
        <v>269</v>
      </c>
      <c r="N3157" s="2" t="s">
        <v>635</v>
      </c>
      <c r="O3157" s="2" t="s">
        <v>100</v>
      </c>
      <c r="P3157" s="2" t="str">
        <f>"2170587135                    "</f>
        <v xml:space="preserve">2170587135                    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4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1</v>
      </c>
      <c r="BI3157" s="2">
        <v>1</v>
      </c>
      <c r="BJ3157" s="2">
        <v>0.2</v>
      </c>
      <c r="BK3157" s="2">
        <v>1</v>
      </c>
      <c r="BL3157" s="2">
        <v>41.44</v>
      </c>
      <c r="BM3157" s="2">
        <v>5.8</v>
      </c>
      <c r="BN3157" s="2">
        <v>47.24</v>
      </c>
      <c r="BO3157" s="2">
        <v>47.24</v>
      </c>
      <c r="BP3157" s="2"/>
      <c r="BQ3157" s="2" t="s">
        <v>108</v>
      </c>
      <c r="BR3157" s="2" t="s">
        <v>84</v>
      </c>
      <c r="BS3157" s="3">
        <v>42975</v>
      </c>
      <c r="BT3157" s="4">
        <v>0.38194444444444442</v>
      </c>
      <c r="BU3157" s="2" t="s">
        <v>3299</v>
      </c>
      <c r="BV3157" s="2" t="s">
        <v>95</v>
      </c>
      <c r="BW3157" s="2"/>
      <c r="BX3157" s="2"/>
      <c r="BY3157" s="2">
        <v>1200</v>
      </c>
      <c r="BZ3157" s="2"/>
      <c r="CA3157" s="2" t="s">
        <v>1880</v>
      </c>
      <c r="CB3157" s="2"/>
      <c r="CC3157" s="2" t="s">
        <v>269</v>
      </c>
      <c r="CD3157" s="2">
        <v>184</v>
      </c>
      <c r="CE3157" s="2" t="s">
        <v>104</v>
      </c>
      <c r="CF3157" s="5">
        <v>42976</v>
      </c>
      <c r="CG3157" s="2"/>
      <c r="CH3157" s="2"/>
      <c r="CI3157" s="2">
        <v>1</v>
      </c>
      <c r="CJ3157" s="2">
        <v>1</v>
      </c>
      <c r="CK3157" s="2">
        <v>21</v>
      </c>
      <c r="CL3157" s="2" t="s">
        <v>86</v>
      </c>
      <c r="CM3157" s="2"/>
    </row>
    <row r="3158" spans="1:91">
      <c r="A3158" s="2" t="s">
        <v>71</v>
      </c>
      <c r="B3158" s="2" t="s">
        <v>72</v>
      </c>
      <c r="C3158" s="2" t="s">
        <v>73</v>
      </c>
      <c r="D3158" s="2"/>
      <c r="E3158" s="2" t="str">
        <f>"FES1162571423"</f>
        <v>FES1162571423</v>
      </c>
      <c r="F3158" s="3">
        <v>42972</v>
      </c>
      <c r="G3158" s="2">
        <v>201802</v>
      </c>
      <c r="H3158" s="2" t="s">
        <v>74</v>
      </c>
      <c r="I3158" s="2" t="s">
        <v>75</v>
      </c>
      <c r="J3158" s="2" t="s">
        <v>76</v>
      </c>
      <c r="K3158" s="2" t="s">
        <v>77</v>
      </c>
      <c r="L3158" s="2" t="s">
        <v>206</v>
      </c>
      <c r="M3158" s="2" t="s">
        <v>207</v>
      </c>
      <c r="N3158" s="2" t="s">
        <v>208</v>
      </c>
      <c r="O3158" s="2" t="s">
        <v>100</v>
      </c>
      <c r="P3158" s="2" t="str">
        <f>"2170584990                    "</f>
        <v xml:space="preserve">2170584990                    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5.63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1</v>
      </c>
      <c r="BI3158" s="2">
        <v>1</v>
      </c>
      <c r="BJ3158" s="2">
        <v>0.2</v>
      </c>
      <c r="BK3158" s="2">
        <v>1</v>
      </c>
      <c r="BL3158" s="2">
        <v>58.28</v>
      </c>
      <c r="BM3158" s="2">
        <v>8.16</v>
      </c>
      <c r="BN3158" s="2">
        <v>66.44</v>
      </c>
      <c r="BO3158" s="2">
        <v>66.44</v>
      </c>
      <c r="BP3158" s="2"/>
      <c r="BQ3158" s="2" t="s">
        <v>209</v>
      </c>
      <c r="BR3158" s="2" t="s">
        <v>84</v>
      </c>
      <c r="BS3158" s="3">
        <v>42975</v>
      </c>
      <c r="BT3158" s="4">
        <v>0.50416666666666665</v>
      </c>
      <c r="BU3158" s="2" t="s">
        <v>1689</v>
      </c>
      <c r="BV3158" s="2" t="s">
        <v>95</v>
      </c>
      <c r="BW3158" s="2"/>
      <c r="BX3158" s="2"/>
      <c r="BY3158" s="2">
        <v>1200</v>
      </c>
      <c r="BZ3158" s="2"/>
      <c r="CA3158" s="2" t="s">
        <v>640</v>
      </c>
      <c r="CB3158" s="2"/>
      <c r="CC3158" s="2" t="s">
        <v>207</v>
      </c>
      <c r="CD3158" s="2">
        <v>250</v>
      </c>
      <c r="CE3158" s="2" t="s">
        <v>104</v>
      </c>
      <c r="CF3158" s="5">
        <v>42978</v>
      </c>
      <c r="CG3158" s="2"/>
      <c r="CH3158" s="2"/>
      <c r="CI3158" s="2">
        <v>1</v>
      </c>
      <c r="CJ3158" s="2">
        <v>1</v>
      </c>
      <c r="CK3158" s="2">
        <v>24</v>
      </c>
      <c r="CL3158" s="2" t="s">
        <v>86</v>
      </c>
      <c r="CM3158" s="2"/>
    </row>
    <row r="3159" spans="1:91">
      <c r="A3159" s="2" t="s">
        <v>71</v>
      </c>
      <c r="B3159" s="2" t="s">
        <v>72</v>
      </c>
      <c r="C3159" s="2" t="s">
        <v>73</v>
      </c>
      <c r="D3159" s="2"/>
      <c r="E3159" s="2" t="str">
        <f>"FES1162571424"</f>
        <v>FES1162571424</v>
      </c>
      <c r="F3159" s="3">
        <v>42972</v>
      </c>
      <c r="G3159" s="2">
        <v>201802</v>
      </c>
      <c r="H3159" s="2" t="s">
        <v>74</v>
      </c>
      <c r="I3159" s="2" t="s">
        <v>75</v>
      </c>
      <c r="J3159" s="2" t="s">
        <v>76</v>
      </c>
      <c r="K3159" s="2" t="s">
        <v>77</v>
      </c>
      <c r="L3159" s="2" t="s">
        <v>137</v>
      </c>
      <c r="M3159" s="2" t="s">
        <v>138</v>
      </c>
      <c r="N3159" s="2" t="s">
        <v>544</v>
      </c>
      <c r="O3159" s="2" t="s">
        <v>100</v>
      </c>
      <c r="P3159" s="2" t="str">
        <f>"2170585032                    "</f>
        <v xml:space="preserve">2170585032                    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4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0</v>
      </c>
      <c r="BH3159" s="2">
        <v>1</v>
      </c>
      <c r="BI3159" s="2">
        <v>1</v>
      </c>
      <c r="BJ3159" s="2">
        <v>0.2</v>
      </c>
      <c r="BK3159" s="2">
        <v>1</v>
      </c>
      <c r="BL3159" s="2">
        <v>41.44</v>
      </c>
      <c r="BM3159" s="2">
        <v>5.8</v>
      </c>
      <c r="BN3159" s="2">
        <v>47.24</v>
      </c>
      <c r="BO3159" s="2">
        <v>47.24</v>
      </c>
      <c r="BP3159" s="2"/>
      <c r="BQ3159" s="2" t="s">
        <v>227</v>
      </c>
      <c r="BR3159" s="2" t="s">
        <v>84</v>
      </c>
      <c r="BS3159" s="3">
        <v>42975</v>
      </c>
      <c r="BT3159" s="4">
        <v>0.41875000000000001</v>
      </c>
      <c r="BU3159" s="2" t="s">
        <v>3325</v>
      </c>
      <c r="BV3159" s="2" t="s">
        <v>95</v>
      </c>
      <c r="BW3159" s="2"/>
      <c r="BX3159" s="2"/>
      <c r="BY3159" s="2">
        <v>1200</v>
      </c>
      <c r="BZ3159" s="2"/>
      <c r="CA3159" s="2" t="s">
        <v>970</v>
      </c>
      <c r="CB3159" s="2"/>
      <c r="CC3159" s="2" t="s">
        <v>138</v>
      </c>
      <c r="CD3159" s="2">
        <v>157</v>
      </c>
      <c r="CE3159" s="2" t="s">
        <v>104</v>
      </c>
      <c r="CF3159" s="5">
        <v>42976</v>
      </c>
      <c r="CG3159" s="2"/>
      <c r="CH3159" s="2"/>
      <c r="CI3159" s="2">
        <v>1</v>
      </c>
      <c r="CJ3159" s="2">
        <v>1</v>
      </c>
      <c r="CK3159" s="2">
        <v>21</v>
      </c>
      <c r="CL3159" s="2" t="s">
        <v>86</v>
      </c>
      <c r="CM3159" s="2"/>
    </row>
    <row r="3160" spans="1:91">
      <c r="A3160" s="2" t="s">
        <v>71</v>
      </c>
      <c r="B3160" s="2" t="s">
        <v>72</v>
      </c>
      <c r="C3160" s="2" t="s">
        <v>73</v>
      </c>
      <c r="D3160" s="2"/>
      <c r="E3160" s="2" t="str">
        <f>"FES1162571408"</f>
        <v>FES1162571408</v>
      </c>
      <c r="F3160" s="3">
        <v>42972</v>
      </c>
      <c r="G3160" s="2">
        <v>201802</v>
      </c>
      <c r="H3160" s="2" t="s">
        <v>74</v>
      </c>
      <c r="I3160" s="2" t="s">
        <v>75</v>
      </c>
      <c r="J3160" s="2" t="s">
        <v>76</v>
      </c>
      <c r="K3160" s="2" t="s">
        <v>77</v>
      </c>
      <c r="L3160" s="2" t="s">
        <v>268</v>
      </c>
      <c r="M3160" s="2" t="s">
        <v>269</v>
      </c>
      <c r="N3160" s="2" t="s">
        <v>1159</v>
      </c>
      <c r="O3160" s="2" t="s">
        <v>100</v>
      </c>
      <c r="P3160" s="2" t="str">
        <f>"2170577505                    "</f>
        <v xml:space="preserve">2170577505                    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4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1</v>
      </c>
      <c r="BI3160" s="2">
        <v>1</v>
      </c>
      <c r="BJ3160" s="2">
        <v>0.2</v>
      </c>
      <c r="BK3160" s="2">
        <v>1</v>
      </c>
      <c r="BL3160" s="2">
        <v>41.44</v>
      </c>
      <c r="BM3160" s="2">
        <v>5.8</v>
      </c>
      <c r="BN3160" s="2">
        <v>47.24</v>
      </c>
      <c r="BO3160" s="2">
        <v>47.24</v>
      </c>
      <c r="BP3160" s="2"/>
      <c r="BQ3160" s="2" t="s">
        <v>288</v>
      </c>
      <c r="BR3160" s="2" t="s">
        <v>84</v>
      </c>
      <c r="BS3160" s="3">
        <v>42975</v>
      </c>
      <c r="BT3160" s="4">
        <v>0.58333333333333337</v>
      </c>
      <c r="BU3160" s="2" t="s">
        <v>3326</v>
      </c>
      <c r="BV3160" s="2" t="s">
        <v>95</v>
      </c>
      <c r="BW3160" s="2"/>
      <c r="BX3160" s="2"/>
      <c r="BY3160" s="2">
        <v>1200</v>
      </c>
      <c r="BZ3160" s="2"/>
      <c r="CA3160" s="2" t="s">
        <v>148</v>
      </c>
      <c r="CB3160" s="2"/>
      <c r="CC3160" s="2" t="s">
        <v>269</v>
      </c>
      <c r="CD3160" s="2">
        <v>183</v>
      </c>
      <c r="CE3160" s="2" t="s">
        <v>104</v>
      </c>
      <c r="CF3160" s="5">
        <v>42976</v>
      </c>
      <c r="CG3160" s="2"/>
      <c r="CH3160" s="2"/>
      <c r="CI3160" s="2">
        <v>1</v>
      </c>
      <c r="CJ3160" s="2">
        <v>1</v>
      </c>
      <c r="CK3160" s="2">
        <v>21</v>
      </c>
      <c r="CL3160" s="2" t="s">
        <v>86</v>
      </c>
      <c r="CM3160" s="2"/>
    </row>
    <row r="3161" spans="1:91">
      <c r="A3161" s="2" t="s">
        <v>71</v>
      </c>
      <c r="B3161" s="2" t="s">
        <v>72</v>
      </c>
      <c r="C3161" s="2" t="s">
        <v>73</v>
      </c>
      <c r="D3161" s="2"/>
      <c r="E3161" s="2" t="str">
        <f>"FES1162571492"</f>
        <v>FES1162571492</v>
      </c>
      <c r="F3161" s="3">
        <v>42972</v>
      </c>
      <c r="G3161" s="2">
        <v>201802</v>
      </c>
      <c r="H3161" s="2" t="s">
        <v>74</v>
      </c>
      <c r="I3161" s="2" t="s">
        <v>75</v>
      </c>
      <c r="J3161" s="2" t="s">
        <v>76</v>
      </c>
      <c r="K3161" s="2" t="s">
        <v>77</v>
      </c>
      <c r="L3161" s="2" t="s">
        <v>268</v>
      </c>
      <c r="M3161" s="2" t="s">
        <v>269</v>
      </c>
      <c r="N3161" s="2" t="s">
        <v>635</v>
      </c>
      <c r="O3161" s="2" t="s">
        <v>100</v>
      </c>
      <c r="P3161" s="2" t="str">
        <f>"2170587127                    "</f>
        <v xml:space="preserve">2170587127                    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4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1</v>
      </c>
      <c r="BI3161" s="2">
        <v>1</v>
      </c>
      <c r="BJ3161" s="2">
        <v>0.2</v>
      </c>
      <c r="BK3161" s="2">
        <v>1</v>
      </c>
      <c r="BL3161" s="2">
        <v>41.44</v>
      </c>
      <c r="BM3161" s="2">
        <v>5.8</v>
      </c>
      <c r="BN3161" s="2">
        <v>47.24</v>
      </c>
      <c r="BO3161" s="2">
        <v>47.24</v>
      </c>
      <c r="BP3161" s="2"/>
      <c r="BQ3161" s="2" t="s">
        <v>108</v>
      </c>
      <c r="BR3161" s="2" t="s">
        <v>84</v>
      </c>
      <c r="BS3161" s="3">
        <v>42975</v>
      </c>
      <c r="BT3161" s="4">
        <v>0.38194444444444442</v>
      </c>
      <c r="BU3161" s="2" t="s">
        <v>3299</v>
      </c>
      <c r="BV3161" s="2" t="s">
        <v>95</v>
      </c>
      <c r="BW3161" s="2"/>
      <c r="BX3161" s="2"/>
      <c r="BY3161" s="2">
        <v>1200</v>
      </c>
      <c r="BZ3161" s="2"/>
      <c r="CA3161" s="2" t="s">
        <v>1880</v>
      </c>
      <c r="CB3161" s="2"/>
      <c r="CC3161" s="2" t="s">
        <v>269</v>
      </c>
      <c r="CD3161" s="2">
        <v>184</v>
      </c>
      <c r="CE3161" s="2" t="s">
        <v>104</v>
      </c>
      <c r="CF3161" s="5">
        <v>42976</v>
      </c>
      <c r="CG3161" s="2"/>
      <c r="CH3161" s="2"/>
      <c r="CI3161" s="2">
        <v>1</v>
      </c>
      <c r="CJ3161" s="2">
        <v>1</v>
      </c>
      <c r="CK3161" s="2">
        <v>21</v>
      </c>
      <c r="CL3161" s="2" t="s">
        <v>86</v>
      </c>
      <c r="CM3161" s="2"/>
    </row>
    <row r="3162" spans="1:91">
      <c r="A3162" s="2" t="s">
        <v>71</v>
      </c>
      <c r="B3162" s="2" t="s">
        <v>72</v>
      </c>
      <c r="C3162" s="2" t="s">
        <v>73</v>
      </c>
      <c r="D3162" s="2"/>
      <c r="E3162" s="2" t="str">
        <f>"FES1162571410"</f>
        <v>FES1162571410</v>
      </c>
      <c r="F3162" s="3">
        <v>42972</v>
      </c>
      <c r="G3162" s="2">
        <v>201802</v>
      </c>
      <c r="H3162" s="2" t="s">
        <v>74</v>
      </c>
      <c r="I3162" s="2" t="s">
        <v>75</v>
      </c>
      <c r="J3162" s="2" t="s">
        <v>76</v>
      </c>
      <c r="K3162" s="2" t="s">
        <v>77</v>
      </c>
      <c r="L3162" s="2" t="s">
        <v>105</v>
      </c>
      <c r="M3162" s="2" t="s">
        <v>106</v>
      </c>
      <c r="N3162" s="2" t="s">
        <v>2312</v>
      </c>
      <c r="O3162" s="2" t="s">
        <v>100</v>
      </c>
      <c r="P3162" s="2" t="str">
        <f>"2170582477                    "</f>
        <v xml:space="preserve">2170582477                    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6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1</v>
      </c>
      <c r="BI3162" s="2">
        <v>3</v>
      </c>
      <c r="BJ3162" s="2">
        <v>1.5</v>
      </c>
      <c r="BK3162" s="2">
        <v>3</v>
      </c>
      <c r="BL3162" s="2">
        <v>62.16</v>
      </c>
      <c r="BM3162" s="2">
        <v>8.6999999999999993</v>
      </c>
      <c r="BN3162" s="2">
        <v>70.86</v>
      </c>
      <c r="BO3162" s="2">
        <v>70.86</v>
      </c>
      <c r="BP3162" s="2"/>
      <c r="BQ3162" s="2" t="s">
        <v>83</v>
      </c>
      <c r="BR3162" s="2" t="s">
        <v>84</v>
      </c>
      <c r="BS3162" s="3">
        <v>42975</v>
      </c>
      <c r="BT3162" s="4">
        <v>0.34097222222222223</v>
      </c>
      <c r="BU3162" s="2" t="s">
        <v>1739</v>
      </c>
      <c r="BV3162" s="2" t="s">
        <v>95</v>
      </c>
      <c r="BW3162" s="2"/>
      <c r="BX3162" s="2"/>
      <c r="BY3162" s="2">
        <v>7680</v>
      </c>
      <c r="BZ3162" s="2"/>
      <c r="CA3162" s="2" t="s">
        <v>302</v>
      </c>
      <c r="CB3162" s="2"/>
      <c r="CC3162" s="2" t="s">
        <v>106</v>
      </c>
      <c r="CD3162" s="2">
        <v>7493</v>
      </c>
      <c r="CE3162" s="2" t="s">
        <v>89</v>
      </c>
      <c r="CF3162" s="5">
        <v>42976</v>
      </c>
      <c r="CG3162" s="2"/>
      <c r="CH3162" s="2"/>
      <c r="CI3162" s="2">
        <v>1</v>
      </c>
      <c r="CJ3162" s="2">
        <v>1</v>
      </c>
      <c r="CK3162" s="2">
        <v>21</v>
      </c>
      <c r="CL3162" s="2" t="s">
        <v>86</v>
      </c>
      <c r="CM3162" s="2"/>
    </row>
    <row r="3163" spans="1:91">
      <c r="A3163" s="2" t="s">
        <v>71</v>
      </c>
      <c r="B3163" s="2" t="s">
        <v>72</v>
      </c>
      <c r="C3163" s="2" t="s">
        <v>73</v>
      </c>
      <c r="D3163" s="2"/>
      <c r="E3163" s="2" t="str">
        <f>"FES1162571437"</f>
        <v>FES1162571437</v>
      </c>
      <c r="F3163" s="3">
        <v>42972</v>
      </c>
      <c r="G3163" s="2">
        <v>201802</v>
      </c>
      <c r="H3163" s="2" t="s">
        <v>74</v>
      </c>
      <c r="I3163" s="2" t="s">
        <v>75</v>
      </c>
      <c r="J3163" s="2" t="s">
        <v>76</v>
      </c>
      <c r="K3163" s="2" t="s">
        <v>77</v>
      </c>
      <c r="L3163" s="2" t="s">
        <v>353</v>
      </c>
      <c r="M3163" s="2" t="s">
        <v>354</v>
      </c>
      <c r="N3163" s="2" t="s">
        <v>2932</v>
      </c>
      <c r="O3163" s="2" t="s">
        <v>100</v>
      </c>
      <c r="P3163" s="2" t="str">
        <f>"2170586376                    "</f>
        <v xml:space="preserve">2170586376                    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29.02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1</v>
      </c>
      <c r="BI3163" s="2">
        <v>14.3</v>
      </c>
      <c r="BJ3163" s="2">
        <v>4</v>
      </c>
      <c r="BK3163" s="2">
        <v>14.5</v>
      </c>
      <c r="BL3163" s="2">
        <v>300.45999999999998</v>
      </c>
      <c r="BM3163" s="2">
        <v>42.06</v>
      </c>
      <c r="BN3163" s="2">
        <v>342.52</v>
      </c>
      <c r="BO3163" s="2">
        <v>342.52</v>
      </c>
      <c r="BP3163" s="2"/>
      <c r="BQ3163" s="2" t="s">
        <v>288</v>
      </c>
      <c r="BR3163" s="2" t="s">
        <v>84</v>
      </c>
      <c r="BS3163" s="3">
        <v>42975</v>
      </c>
      <c r="BT3163" s="4">
        <v>0.44166666666666665</v>
      </c>
      <c r="BU3163" s="2" t="s">
        <v>3327</v>
      </c>
      <c r="BV3163" s="2" t="s">
        <v>95</v>
      </c>
      <c r="BW3163" s="2"/>
      <c r="BX3163" s="2"/>
      <c r="BY3163" s="2">
        <v>19840.95</v>
      </c>
      <c r="BZ3163" s="2"/>
      <c r="CA3163" s="2" t="s">
        <v>668</v>
      </c>
      <c r="CB3163" s="2"/>
      <c r="CC3163" s="2" t="s">
        <v>354</v>
      </c>
      <c r="CD3163" s="2">
        <v>3699</v>
      </c>
      <c r="CE3163" s="2" t="s">
        <v>89</v>
      </c>
      <c r="CF3163" s="5">
        <v>42977</v>
      </c>
      <c r="CG3163" s="2"/>
      <c r="CH3163" s="2"/>
      <c r="CI3163" s="2">
        <v>1</v>
      </c>
      <c r="CJ3163" s="2">
        <v>1</v>
      </c>
      <c r="CK3163" s="2">
        <v>21</v>
      </c>
      <c r="CL3163" s="2" t="s">
        <v>86</v>
      </c>
      <c r="CM3163" s="2"/>
    </row>
    <row r="3164" spans="1:91">
      <c r="A3164" s="2" t="s">
        <v>71</v>
      </c>
      <c r="B3164" s="2" t="s">
        <v>72</v>
      </c>
      <c r="C3164" s="2" t="s">
        <v>73</v>
      </c>
      <c r="D3164" s="2"/>
      <c r="E3164" s="2" t="str">
        <f>"FES1162571532"</f>
        <v>FES1162571532</v>
      </c>
      <c r="F3164" s="3">
        <v>42972</v>
      </c>
      <c r="G3164" s="2">
        <v>201802</v>
      </c>
      <c r="H3164" s="2" t="s">
        <v>74</v>
      </c>
      <c r="I3164" s="2" t="s">
        <v>75</v>
      </c>
      <c r="J3164" s="2" t="s">
        <v>76</v>
      </c>
      <c r="K3164" s="2" t="s">
        <v>77</v>
      </c>
      <c r="L3164" s="2" t="s">
        <v>437</v>
      </c>
      <c r="M3164" s="2" t="s">
        <v>438</v>
      </c>
      <c r="N3164" s="2" t="s">
        <v>439</v>
      </c>
      <c r="O3164" s="2" t="s">
        <v>100</v>
      </c>
      <c r="P3164" s="2" t="str">
        <f>"2170587155                    "</f>
        <v xml:space="preserve">2170587155                    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9.01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1</v>
      </c>
      <c r="BI3164" s="2">
        <v>4.5</v>
      </c>
      <c r="BJ3164" s="2">
        <v>1.7</v>
      </c>
      <c r="BK3164" s="2">
        <v>4.5</v>
      </c>
      <c r="BL3164" s="2">
        <v>93.25</v>
      </c>
      <c r="BM3164" s="2">
        <v>13.06</v>
      </c>
      <c r="BN3164" s="2">
        <v>106.31</v>
      </c>
      <c r="BO3164" s="2">
        <v>106.31</v>
      </c>
      <c r="BP3164" s="2"/>
      <c r="BQ3164" s="2" t="s">
        <v>108</v>
      </c>
      <c r="BR3164" s="2" t="s">
        <v>84</v>
      </c>
      <c r="BS3164" s="3">
        <v>42975</v>
      </c>
      <c r="BT3164" s="4">
        <v>0.47916666666666669</v>
      </c>
      <c r="BU3164" s="2" t="s">
        <v>3328</v>
      </c>
      <c r="BV3164" s="2" t="s">
        <v>86</v>
      </c>
      <c r="BW3164" s="2" t="s">
        <v>124</v>
      </c>
      <c r="BX3164" s="2" t="s">
        <v>3148</v>
      </c>
      <c r="BY3164" s="2">
        <v>8545.85</v>
      </c>
      <c r="BZ3164" s="2"/>
      <c r="CA3164" s="2" t="s">
        <v>441</v>
      </c>
      <c r="CB3164" s="2"/>
      <c r="CC3164" s="2" t="s">
        <v>438</v>
      </c>
      <c r="CD3164" s="2">
        <v>6536</v>
      </c>
      <c r="CE3164" s="2" t="s">
        <v>89</v>
      </c>
      <c r="CF3164" s="5">
        <v>42976</v>
      </c>
      <c r="CG3164" s="2"/>
      <c r="CH3164" s="2"/>
      <c r="CI3164" s="2">
        <v>1</v>
      </c>
      <c r="CJ3164" s="2">
        <v>1</v>
      </c>
      <c r="CK3164" s="2">
        <v>21</v>
      </c>
      <c r="CL3164" s="2" t="s">
        <v>86</v>
      </c>
      <c r="CM3164" s="2"/>
    </row>
    <row r="3165" spans="1:91">
      <c r="A3165" s="2" t="s">
        <v>71</v>
      </c>
      <c r="B3165" s="2" t="s">
        <v>72</v>
      </c>
      <c r="C3165" s="2" t="s">
        <v>73</v>
      </c>
      <c r="D3165" s="2"/>
      <c r="E3165" s="2" t="str">
        <f>"FES1162571467"</f>
        <v>FES1162571467</v>
      </c>
      <c r="F3165" s="3">
        <v>42972</v>
      </c>
      <c r="G3165" s="2">
        <v>201802</v>
      </c>
      <c r="H3165" s="2" t="s">
        <v>74</v>
      </c>
      <c r="I3165" s="2" t="s">
        <v>75</v>
      </c>
      <c r="J3165" s="2" t="s">
        <v>76</v>
      </c>
      <c r="K3165" s="2" t="s">
        <v>77</v>
      </c>
      <c r="L3165" s="2" t="s">
        <v>306</v>
      </c>
      <c r="M3165" s="2" t="s">
        <v>307</v>
      </c>
      <c r="N3165" s="2" t="s">
        <v>2330</v>
      </c>
      <c r="O3165" s="2" t="s">
        <v>100</v>
      </c>
      <c r="P3165" s="2" t="str">
        <f>"2170586931                    "</f>
        <v xml:space="preserve">2170586931                    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15.01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1</v>
      </c>
      <c r="BI3165" s="2">
        <v>7.5</v>
      </c>
      <c r="BJ3165" s="2">
        <v>3.7</v>
      </c>
      <c r="BK3165" s="2">
        <v>7.5</v>
      </c>
      <c r="BL3165" s="2">
        <v>155.41</v>
      </c>
      <c r="BM3165" s="2">
        <v>21.76</v>
      </c>
      <c r="BN3165" s="2">
        <v>177.17</v>
      </c>
      <c r="BO3165" s="2">
        <v>177.17</v>
      </c>
      <c r="BP3165" s="2"/>
      <c r="BQ3165" s="2" t="s">
        <v>288</v>
      </c>
      <c r="BR3165" s="2" t="s">
        <v>84</v>
      </c>
      <c r="BS3165" s="3">
        <v>42975</v>
      </c>
      <c r="BT3165" s="4">
        <v>0.39305555555555555</v>
      </c>
      <c r="BU3165" s="2" t="s">
        <v>3055</v>
      </c>
      <c r="BV3165" s="2" t="s">
        <v>95</v>
      </c>
      <c r="BW3165" s="2"/>
      <c r="BX3165" s="2"/>
      <c r="BY3165" s="2">
        <v>18570.46</v>
      </c>
      <c r="BZ3165" s="2"/>
      <c r="CA3165" s="2" t="s">
        <v>2575</v>
      </c>
      <c r="CB3165" s="2"/>
      <c r="CC3165" s="2" t="s">
        <v>307</v>
      </c>
      <c r="CD3165" s="2">
        <v>1929</v>
      </c>
      <c r="CE3165" s="2" t="s">
        <v>89</v>
      </c>
      <c r="CF3165" s="5">
        <v>42976</v>
      </c>
      <c r="CG3165" s="2"/>
      <c r="CH3165" s="2"/>
      <c r="CI3165" s="2">
        <v>1</v>
      </c>
      <c r="CJ3165" s="2">
        <v>1</v>
      </c>
      <c r="CK3165" s="2">
        <v>21</v>
      </c>
      <c r="CL3165" s="2" t="s">
        <v>86</v>
      </c>
      <c r="CM3165" s="2"/>
    </row>
    <row r="3166" spans="1:91">
      <c r="A3166" s="2" t="s">
        <v>71</v>
      </c>
      <c r="B3166" s="2" t="s">
        <v>72</v>
      </c>
      <c r="C3166" s="2" t="s">
        <v>73</v>
      </c>
      <c r="D3166" s="2"/>
      <c r="E3166" s="2" t="str">
        <f>"FES1162571521"</f>
        <v>FES1162571521</v>
      </c>
      <c r="F3166" s="3">
        <v>42972</v>
      </c>
      <c r="G3166" s="2">
        <v>201802</v>
      </c>
      <c r="H3166" s="2" t="s">
        <v>74</v>
      </c>
      <c r="I3166" s="2" t="s">
        <v>75</v>
      </c>
      <c r="J3166" s="2" t="s">
        <v>76</v>
      </c>
      <c r="K3166" s="2" t="s">
        <v>77</v>
      </c>
      <c r="L3166" s="2" t="s">
        <v>105</v>
      </c>
      <c r="M3166" s="2" t="s">
        <v>106</v>
      </c>
      <c r="N3166" s="2" t="s">
        <v>1080</v>
      </c>
      <c r="O3166" s="2" t="s">
        <v>100</v>
      </c>
      <c r="P3166" s="2" t="str">
        <f>"2170586693                    "</f>
        <v xml:space="preserve">2170586693                    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4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1</v>
      </c>
      <c r="BI3166" s="2">
        <v>1</v>
      </c>
      <c r="BJ3166" s="2">
        <v>0.2</v>
      </c>
      <c r="BK3166" s="2">
        <v>1</v>
      </c>
      <c r="BL3166" s="2">
        <v>41.44</v>
      </c>
      <c r="BM3166" s="2">
        <v>5.8</v>
      </c>
      <c r="BN3166" s="2">
        <v>47.24</v>
      </c>
      <c r="BO3166" s="2">
        <v>47.24</v>
      </c>
      <c r="BP3166" s="2"/>
      <c r="BQ3166" s="2" t="s">
        <v>288</v>
      </c>
      <c r="BR3166" s="2" t="s">
        <v>84</v>
      </c>
      <c r="BS3166" s="3">
        <v>42975</v>
      </c>
      <c r="BT3166" s="4">
        <v>0.36805555555555558</v>
      </c>
      <c r="BU3166" s="2" t="s">
        <v>1081</v>
      </c>
      <c r="BV3166" s="2" t="s">
        <v>95</v>
      </c>
      <c r="BW3166" s="2"/>
      <c r="BX3166" s="2"/>
      <c r="BY3166" s="2">
        <v>1200</v>
      </c>
      <c r="BZ3166" s="2"/>
      <c r="CA3166" s="2" t="s">
        <v>748</v>
      </c>
      <c r="CB3166" s="2"/>
      <c r="CC3166" s="2" t="s">
        <v>106</v>
      </c>
      <c r="CD3166" s="2">
        <v>7441</v>
      </c>
      <c r="CE3166" s="2" t="s">
        <v>104</v>
      </c>
      <c r="CF3166" s="5">
        <v>42976</v>
      </c>
      <c r="CG3166" s="2"/>
      <c r="CH3166" s="2"/>
      <c r="CI3166" s="2">
        <v>1</v>
      </c>
      <c r="CJ3166" s="2">
        <v>1</v>
      </c>
      <c r="CK3166" s="2">
        <v>21</v>
      </c>
      <c r="CL3166" s="2" t="s">
        <v>86</v>
      </c>
      <c r="CM3166" s="2"/>
    </row>
    <row r="3167" spans="1:91">
      <c r="A3167" s="2" t="s">
        <v>71</v>
      </c>
      <c r="B3167" s="2" t="s">
        <v>72</v>
      </c>
      <c r="C3167" s="2" t="s">
        <v>73</v>
      </c>
      <c r="D3167" s="2"/>
      <c r="E3167" s="2" t="str">
        <f>"FES1162571485"</f>
        <v>FES1162571485</v>
      </c>
      <c r="F3167" s="3">
        <v>42972</v>
      </c>
      <c r="G3167" s="2">
        <v>201802</v>
      </c>
      <c r="H3167" s="2" t="s">
        <v>74</v>
      </c>
      <c r="I3167" s="2" t="s">
        <v>75</v>
      </c>
      <c r="J3167" s="2" t="s">
        <v>76</v>
      </c>
      <c r="K3167" s="2" t="s">
        <v>77</v>
      </c>
      <c r="L3167" s="2" t="s">
        <v>144</v>
      </c>
      <c r="M3167" s="2" t="s">
        <v>145</v>
      </c>
      <c r="N3167" s="2" t="s">
        <v>1294</v>
      </c>
      <c r="O3167" s="2" t="s">
        <v>100</v>
      </c>
      <c r="P3167" s="2" t="str">
        <f>"2170586914                    "</f>
        <v xml:space="preserve">2170586914                    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3.13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1</v>
      </c>
      <c r="BI3167" s="2">
        <v>1</v>
      </c>
      <c r="BJ3167" s="2">
        <v>0.2</v>
      </c>
      <c r="BK3167" s="2">
        <v>1</v>
      </c>
      <c r="BL3167" s="2">
        <v>32.380000000000003</v>
      </c>
      <c r="BM3167" s="2">
        <v>4.53</v>
      </c>
      <c r="BN3167" s="2">
        <v>36.909999999999997</v>
      </c>
      <c r="BO3167" s="2">
        <v>36.909999999999997</v>
      </c>
      <c r="BP3167" s="2"/>
      <c r="BQ3167" s="2" t="s">
        <v>108</v>
      </c>
      <c r="BR3167" s="2" t="s">
        <v>84</v>
      </c>
      <c r="BS3167" s="3">
        <v>42975</v>
      </c>
      <c r="BT3167" s="4">
        <v>0.41666666666666669</v>
      </c>
      <c r="BU3167" s="2" t="s">
        <v>1295</v>
      </c>
      <c r="BV3167" s="2" t="s">
        <v>95</v>
      </c>
      <c r="BW3167" s="2"/>
      <c r="BX3167" s="2"/>
      <c r="BY3167" s="2">
        <v>1200</v>
      </c>
      <c r="BZ3167" s="2"/>
      <c r="CA3167" s="2"/>
      <c r="CB3167" s="2"/>
      <c r="CC3167" s="2" t="s">
        <v>145</v>
      </c>
      <c r="CD3167" s="2">
        <v>2001</v>
      </c>
      <c r="CE3167" s="2" t="s">
        <v>104</v>
      </c>
      <c r="CF3167" s="5">
        <v>42976</v>
      </c>
      <c r="CG3167" s="2"/>
      <c r="CH3167" s="2"/>
      <c r="CI3167" s="2">
        <v>1</v>
      </c>
      <c r="CJ3167" s="2">
        <v>1</v>
      </c>
      <c r="CK3167" s="2">
        <v>22</v>
      </c>
      <c r="CL3167" s="2" t="s">
        <v>86</v>
      </c>
      <c r="CM3167" s="2"/>
    </row>
    <row r="3168" spans="1:91">
      <c r="A3168" s="2" t="s">
        <v>71</v>
      </c>
      <c r="B3168" s="2" t="s">
        <v>72</v>
      </c>
      <c r="C3168" s="2" t="s">
        <v>73</v>
      </c>
      <c r="D3168" s="2"/>
      <c r="E3168" s="2" t="str">
        <f>"FES1162571249"</f>
        <v>FES1162571249</v>
      </c>
      <c r="F3168" s="3">
        <v>42971</v>
      </c>
      <c r="G3168" s="2">
        <v>201802</v>
      </c>
      <c r="H3168" s="2" t="s">
        <v>74</v>
      </c>
      <c r="I3168" s="2" t="s">
        <v>75</v>
      </c>
      <c r="J3168" s="2" t="s">
        <v>118</v>
      </c>
      <c r="K3168" s="2" t="s">
        <v>77</v>
      </c>
      <c r="L3168" s="2" t="s">
        <v>268</v>
      </c>
      <c r="M3168" s="2" t="s">
        <v>269</v>
      </c>
      <c r="N3168" s="2" t="s">
        <v>621</v>
      </c>
      <c r="O3168" s="2" t="s">
        <v>100</v>
      </c>
      <c r="P3168" s="2" t="str">
        <f>"2170586894                    "</f>
        <v xml:space="preserve">2170586894                    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21.01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1</v>
      </c>
      <c r="BI3168" s="2">
        <v>10.3</v>
      </c>
      <c r="BJ3168" s="2">
        <v>3.3</v>
      </c>
      <c r="BK3168" s="2">
        <v>10.5</v>
      </c>
      <c r="BL3168" s="2">
        <v>217.57</v>
      </c>
      <c r="BM3168" s="2">
        <v>30.46</v>
      </c>
      <c r="BN3168" s="2">
        <v>248.03</v>
      </c>
      <c r="BO3168" s="2">
        <v>248.03</v>
      </c>
      <c r="BP3168" s="2"/>
      <c r="BQ3168" s="2" t="s">
        <v>288</v>
      </c>
      <c r="BR3168" s="2" t="s">
        <v>122</v>
      </c>
      <c r="BS3168" s="3">
        <v>42975</v>
      </c>
      <c r="BT3168" s="4">
        <v>0.59861111111111109</v>
      </c>
      <c r="BU3168" s="2" t="s">
        <v>1176</v>
      </c>
      <c r="BV3168" s="2" t="s">
        <v>86</v>
      </c>
      <c r="BW3168" s="2"/>
      <c r="BX3168" s="2"/>
      <c r="BY3168" s="2">
        <v>16364.88</v>
      </c>
      <c r="BZ3168" s="2" t="s">
        <v>27</v>
      </c>
      <c r="CA3168" s="2"/>
      <c r="CB3168" s="2"/>
      <c r="CC3168" s="2" t="s">
        <v>269</v>
      </c>
      <c r="CD3168" s="2">
        <v>186</v>
      </c>
      <c r="CE3168" s="2" t="s">
        <v>89</v>
      </c>
      <c r="CF3168" s="5">
        <v>42976</v>
      </c>
      <c r="CG3168" s="2"/>
      <c r="CH3168" s="2"/>
      <c r="CI3168" s="2">
        <v>1</v>
      </c>
      <c r="CJ3168" s="2">
        <v>2</v>
      </c>
      <c r="CK3168" s="2">
        <v>21</v>
      </c>
      <c r="CL3168" s="2" t="s">
        <v>86</v>
      </c>
      <c r="CM3168" s="2"/>
    </row>
    <row r="3169" spans="1:91">
      <c r="A3169" s="2" t="s">
        <v>71</v>
      </c>
      <c r="B3169" s="2" t="s">
        <v>72</v>
      </c>
      <c r="C3169" s="2" t="s">
        <v>73</v>
      </c>
      <c r="D3169" s="2"/>
      <c r="E3169" s="2" t="str">
        <f>"FES1162571407"</f>
        <v>FES1162571407</v>
      </c>
      <c r="F3169" s="3">
        <v>42972</v>
      </c>
      <c r="G3169" s="2">
        <v>201802</v>
      </c>
      <c r="H3169" s="2" t="s">
        <v>74</v>
      </c>
      <c r="I3169" s="2" t="s">
        <v>75</v>
      </c>
      <c r="J3169" s="2" t="s">
        <v>76</v>
      </c>
      <c r="K3169" s="2" t="s">
        <v>77</v>
      </c>
      <c r="L3169" s="2" t="s">
        <v>74</v>
      </c>
      <c r="M3169" s="2" t="s">
        <v>75</v>
      </c>
      <c r="N3169" s="2" t="s">
        <v>1370</v>
      </c>
      <c r="O3169" s="2" t="s">
        <v>81</v>
      </c>
      <c r="P3169" s="2" t="str">
        <f>"2170572633                    "</f>
        <v xml:space="preserve">2170572633                    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7.32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1</v>
      </c>
      <c r="BI3169" s="2">
        <v>24</v>
      </c>
      <c r="BJ3169" s="2">
        <v>11.6</v>
      </c>
      <c r="BK3169" s="2">
        <v>24</v>
      </c>
      <c r="BL3169" s="2">
        <v>80.81</v>
      </c>
      <c r="BM3169" s="2">
        <v>11.31</v>
      </c>
      <c r="BN3169" s="2">
        <v>92.12</v>
      </c>
      <c r="BO3169" s="2">
        <v>92.12</v>
      </c>
      <c r="BP3169" s="2"/>
      <c r="BQ3169" s="2" t="s">
        <v>108</v>
      </c>
      <c r="BR3169" s="2" t="s">
        <v>84</v>
      </c>
      <c r="BS3169" s="3">
        <v>42975</v>
      </c>
      <c r="BT3169" s="4">
        <v>0.50208333333333333</v>
      </c>
      <c r="BU3169" s="2" t="s">
        <v>3329</v>
      </c>
      <c r="BV3169" s="2" t="s">
        <v>95</v>
      </c>
      <c r="BW3169" s="2"/>
      <c r="BX3169" s="2"/>
      <c r="BY3169" s="2">
        <v>57942</v>
      </c>
      <c r="BZ3169" s="2"/>
      <c r="CA3169" s="2" t="s">
        <v>3330</v>
      </c>
      <c r="CB3169" s="2"/>
      <c r="CC3169" s="2" t="s">
        <v>75</v>
      </c>
      <c r="CD3169" s="2">
        <v>1609</v>
      </c>
      <c r="CE3169" s="2" t="s">
        <v>89</v>
      </c>
      <c r="CF3169" s="5">
        <v>42976</v>
      </c>
      <c r="CG3169" s="2"/>
      <c r="CH3169" s="2"/>
      <c r="CI3169" s="2">
        <v>1</v>
      </c>
      <c r="CJ3169" s="2">
        <v>1</v>
      </c>
      <c r="CK3169" s="2" t="s">
        <v>132</v>
      </c>
      <c r="CL3169" s="2" t="s">
        <v>86</v>
      </c>
      <c r="CM3169" s="2"/>
    </row>
    <row r="3170" spans="1:91">
      <c r="A3170" s="2" t="s">
        <v>71</v>
      </c>
      <c r="B3170" s="2" t="s">
        <v>72</v>
      </c>
      <c r="C3170" s="2" t="s">
        <v>73</v>
      </c>
      <c r="D3170" s="2"/>
      <c r="E3170" s="2" t="str">
        <f>"FES1162571456"</f>
        <v>FES1162571456</v>
      </c>
      <c r="F3170" s="3">
        <v>42972</v>
      </c>
      <c r="G3170" s="2">
        <v>201802</v>
      </c>
      <c r="H3170" s="2" t="s">
        <v>74</v>
      </c>
      <c r="I3170" s="2" t="s">
        <v>75</v>
      </c>
      <c r="J3170" s="2" t="s">
        <v>76</v>
      </c>
      <c r="K3170" s="2" t="s">
        <v>77</v>
      </c>
      <c r="L3170" s="2" t="s">
        <v>252</v>
      </c>
      <c r="M3170" s="2" t="s">
        <v>106</v>
      </c>
      <c r="N3170" s="2" t="s">
        <v>3272</v>
      </c>
      <c r="O3170" s="2" t="s">
        <v>81</v>
      </c>
      <c r="P3170" s="2" t="str">
        <f>"2170587065                    "</f>
        <v xml:space="preserve">2170587065                    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11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1</v>
      </c>
      <c r="BI3170" s="2">
        <v>22.8</v>
      </c>
      <c r="BJ3170" s="2">
        <v>17.600000000000001</v>
      </c>
      <c r="BK3170" s="2">
        <v>23</v>
      </c>
      <c r="BL3170" s="2">
        <v>118.88</v>
      </c>
      <c r="BM3170" s="2">
        <v>16.64</v>
      </c>
      <c r="BN3170" s="2">
        <v>135.52000000000001</v>
      </c>
      <c r="BO3170" s="2">
        <v>135.52000000000001</v>
      </c>
      <c r="BP3170" s="2"/>
      <c r="BQ3170" s="2" t="s">
        <v>108</v>
      </c>
      <c r="BR3170" s="2" t="s">
        <v>84</v>
      </c>
      <c r="BS3170" s="3">
        <v>42975</v>
      </c>
      <c r="BT3170" s="4">
        <v>0.47500000000000003</v>
      </c>
      <c r="BU3170" s="2" t="s">
        <v>3331</v>
      </c>
      <c r="BV3170" s="2" t="s">
        <v>95</v>
      </c>
      <c r="BW3170" s="2"/>
      <c r="BX3170" s="2"/>
      <c r="BY3170" s="2">
        <v>87937.5</v>
      </c>
      <c r="BZ3170" s="2"/>
      <c r="CA3170" s="2" t="s">
        <v>1056</v>
      </c>
      <c r="CB3170" s="2"/>
      <c r="CC3170" s="2" t="s">
        <v>106</v>
      </c>
      <c r="CD3170" s="2">
        <v>7530</v>
      </c>
      <c r="CE3170" s="2" t="s">
        <v>89</v>
      </c>
      <c r="CF3170" s="5">
        <v>42977</v>
      </c>
      <c r="CG3170" s="2"/>
      <c r="CH3170" s="2"/>
      <c r="CI3170" s="2">
        <v>2</v>
      </c>
      <c r="CJ3170" s="2">
        <v>1</v>
      </c>
      <c r="CK3170" s="2" t="s">
        <v>136</v>
      </c>
      <c r="CL3170" s="2" t="s">
        <v>86</v>
      </c>
      <c r="CM3170" s="2"/>
    </row>
    <row r="3171" spans="1:91">
      <c r="A3171" s="2" t="s">
        <v>71</v>
      </c>
      <c r="B3171" s="2" t="s">
        <v>72</v>
      </c>
      <c r="C3171" s="2" t="s">
        <v>73</v>
      </c>
      <c r="D3171" s="2"/>
      <c r="E3171" s="2" t="str">
        <f>"FES1162571436"</f>
        <v>FES1162571436</v>
      </c>
      <c r="F3171" s="3">
        <v>42972</v>
      </c>
      <c r="G3171" s="2">
        <v>201802</v>
      </c>
      <c r="H3171" s="2" t="s">
        <v>74</v>
      </c>
      <c r="I3171" s="2" t="s">
        <v>75</v>
      </c>
      <c r="J3171" s="2" t="s">
        <v>76</v>
      </c>
      <c r="K3171" s="2" t="s">
        <v>77</v>
      </c>
      <c r="L3171" s="2" t="s">
        <v>97</v>
      </c>
      <c r="M3171" s="2" t="s">
        <v>98</v>
      </c>
      <c r="N3171" s="2" t="s">
        <v>248</v>
      </c>
      <c r="O3171" s="2" t="s">
        <v>81</v>
      </c>
      <c r="P3171" s="2" t="str">
        <f>"2170586365                    "</f>
        <v xml:space="preserve">2170586365                    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14.85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2</v>
      </c>
      <c r="BI3171" s="2">
        <v>34</v>
      </c>
      <c r="BJ3171" s="2">
        <v>29.5</v>
      </c>
      <c r="BK3171" s="2">
        <v>34</v>
      </c>
      <c r="BL3171" s="2">
        <v>158.81</v>
      </c>
      <c r="BM3171" s="2">
        <v>22.23</v>
      </c>
      <c r="BN3171" s="2">
        <v>181.04</v>
      </c>
      <c r="BO3171" s="2">
        <v>181.04</v>
      </c>
      <c r="BP3171" s="2"/>
      <c r="BQ3171" s="2" t="s">
        <v>83</v>
      </c>
      <c r="BR3171" s="2" t="s">
        <v>84</v>
      </c>
      <c r="BS3171" s="3">
        <v>42977</v>
      </c>
      <c r="BT3171" s="4">
        <v>0.46319444444444446</v>
      </c>
      <c r="BU3171" s="2" t="s">
        <v>3123</v>
      </c>
      <c r="BV3171" s="2" t="s">
        <v>86</v>
      </c>
      <c r="BW3171" s="2" t="s">
        <v>115</v>
      </c>
      <c r="BX3171" s="2" t="s">
        <v>1043</v>
      </c>
      <c r="BY3171" s="2">
        <v>147600</v>
      </c>
      <c r="BZ3171" s="2"/>
      <c r="CA3171" s="2" t="s">
        <v>134</v>
      </c>
      <c r="CB3171" s="2"/>
      <c r="CC3171" s="2" t="s">
        <v>98</v>
      </c>
      <c r="CD3171" s="2">
        <v>6001</v>
      </c>
      <c r="CE3171" s="2" t="s">
        <v>89</v>
      </c>
      <c r="CF3171" s="5">
        <v>42978</v>
      </c>
      <c r="CG3171" s="2"/>
      <c r="CH3171" s="2"/>
      <c r="CI3171" s="2">
        <v>2</v>
      </c>
      <c r="CJ3171" s="2">
        <v>3</v>
      </c>
      <c r="CK3171" s="2" t="s">
        <v>136</v>
      </c>
      <c r="CL3171" s="2" t="s">
        <v>86</v>
      </c>
      <c r="CM3171" s="2"/>
    </row>
    <row r="3172" spans="1:91">
      <c r="A3172" s="2" t="s">
        <v>3332</v>
      </c>
      <c r="B3172" s="2" t="s">
        <v>72</v>
      </c>
      <c r="C3172" s="2" t="s">
        <v>73</v>
      </c>
      <c r="D3172" s="2"/>
      <c r="E3172" s="2" t="str">
        <f>"029907859240"</f>
        <v>029907859240</v>
      </c>
      <c r="F3172" s="3">
        <v>42972</v>
      </c>
      <c r="G3172" s="2">
        <v>201802</v>
      </c>
      <c r="H3172" s="2" t="s">
        <v>3333</v>
      </c>
      <c r="I3172" s="2" t="s">
        <v>3334</v>
      </c>
      <c r="J3172" s="2" t="s">
        <v>3335</v>
      </c>
      <c r="K3172" s="2" t="s">
        <v>77</v>
      </c>
      <c r="L3172" s="2" t="s">
        <v>74</v>
      </c>
      <c r="M3172" s="2" t="s">
        <v>75</v>
      </c>
      <c r="N3172" s="2" t="s">
        <v>118</v>
      </c>
      <c r="O3172" s="2" t="s">
        <v>81</v>
      </c>
      <c r="P3172" s="2" t="str">
        <f>"                              "</f>
        <v xml:space="preserve">                              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8.1300000000000008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1</v>
      </c>
      <c r="BI3172" s="2">
        <v>1</v>
      </c>
      <c r="BJ3172" s="2">
        <v>0.2</v>
      </c>
      <c r="BK3172" s="2">
        <v>1</v>
      </c>
      <c r="BL3172" s="2">
        <v>89.18</v>
      </c>
      <c r="BM3172" s="2">
        <v>12.49</v>
      </c>
      <c r="BN3172" s="2">
        <v>101.67</v>
      </c>
      <c r="BO3172" s="2">
        <v>101.67</v>
      </c>
      <c r="BP3172" s="2"/>
      <c r="BQ3172" s="2"/>
      <c r="BR3172" s="2" t="s">
        <v>3336</v>
      </c>
      <c r="BS3172" s="3">
        <v>42975</v>
      </c>
      <c r="BT3172" s="4">
        <v>0.36805555555555558</v>
      </c>
      <c r="BU3172" s="2" t="s">
        <v>241</v>
      </c>
      <c r="BV3172" s="2" t="s">
        <v>95</v>
      </c>
      <c r="BW3172" s="2"/>
      <c r="BX3172" s="2"/>
      <c r="BY3172" s="2">
        <v>1200</v>
      </c>
      <c r="BZ3172" s="2"/>
      <c r="CA3172" s="2"/>
      <c r="CB3172" s="2"/>
      <c r="CC3172" s="2" t="s">
        <v>75</v>
      </c>
      <c r="CD3172" s="2">
        <v>1600</v>
      </c>
      <c r="CE3172" s="2" t="s">
        <v>89</v>
      </c>
      <c r="CF3172" s="5">
        <v>42976</v>
      </c>
      <c r="CG3172" s="2"/>
      <c r="CH3172" s="2"/>
      <c r="CI3172" s="2">
        <v>1</v>
      </c>
      <c r="CJ3172" s="2">
        <v>1</v>
      </c>
      <c r="CK3172" s="2" t="s">
        <v>624</v>
      </c>
      <c r="CL3172" s="2" t="s">
        <v>86</v>
      </c>
      <c r="CM3172" s="2"/>
    </row>
    <row r="3173" spans="1:91">
      <c r="A3173" s="2" t="s">
        <v>71</v>
      </c>
      <c r="B3173" s="2" t="s">
        <v>72</v>
      </c>
      <c r="C3173" s="2" t="s">
        <v>73</v>
      </c>
      <c r="D3173" s="2"/>
      <c r="E3173" s="2" t="str">
        <f>"FES1162571812"</f>
        <v>FES1162571812</v>
      </c>
      <c r="F3173" s="3">
        <v>42975</v>
      </c>
      <c r="G3173" s="2">
        <v>201802</v>
      </c>
      <c r="H3173" s="2" t="s">
        <v>74</v>
      </c>
      <c r="I3173" s="2" t="s">
        <v>75</v>
      </c>
      <c r="J3173" s="2" t="s">
        <v>76</v>
      </c>
      <c r="K3173" s="2" t="s">
        <v>77</v>
      </c>
      <c r="L3173" s="2" t="s">
        <v>510</v>
      </c>
      <c r="M3173" s="2" t="s">
        <v>511</v>
      </c>
      <c r="N3173" s="2" t="s">
        <v>2342</v>
      </c>
      <c r="O3173" s="2" t="s">
        <v>100</v>
      </c>
      <c r="P3173" s="2" t="str">
        <f>"2170586880                    "</f>
        <v xml:space="preserve">2170586880                    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24.01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2</v>
      </c>
      <c r="BI3173" s="2">
        <v>11.8</v>
      </c>
      <c r="BJ3173" s="2">
        <v>3.4</v>
      </c>
      <c r="BK3173" s="2">
        <v>12</v>
      </c>
      <c r="BL3173" s="2">
        <v>248.65</v>
      </c>
      <c r="BM3173" s="2">
        <v>34.81</v>
      </c>
      <c r="BN3173" s="2">
        <v>283.45999999999998</v>
      </c>
      <c r="BO3173" s="2">
        <v>283.45999999999998</v>
      </c>
      <c r="BP3173" s="2"/>
      <c r="BQ3173" s="2" t="s">
        <v>288</v>
      </c>
      <c r="BR3173" s="2" t="s">
        <v>84</v>
      </c>
      <c r="BS3173" s="3">
        <v>42976</v>
      </c>
      <c r="BT3173" s="4">
        <v>0.39444444444444443</v>
      </c>
      <c r="BU3173" s="2" t="s">
        <v>2343</v>
      </c>
      <c r="BV3173" s="2" t="s">
        <v>95</v>
      </c>
      <c r="BW3173" s="2"/>
      <c r="BX3173" s="2"/>
      <c r="BY3173" s="2">
        <v>16994.78</v>
      </c>
      <c r="BZ3173" s="2"/>
      <c r="CA3173" s="2" t="s">
        <v>514</v>
      </c>
      <c r="CB3173" s="2"/>
      <c r="CC3173" s="2" t="s">
        <v>511</v>
      </c>
      <c r="CD3173" s="2">
        <v>6229</v>
      </c>
      <c r="CE3173" s="2" t="s">
        <v>89</v>
      </c>
      <c r="CF3173" s="5">
        <v>42977</v>
      </c>
      <c r="CG3173" s="2"/>
      <c r="CH3173" s="2"/>
      <c r="CI3173" s="2">
        <v>1</v>
      </c>
      <c r="CJ3173" s="2">
        <v>1</v>
      </c>
      <c r="CK3173" s="2">
        <v>21</v>
      </c>
      <c r="CL3173" s="2" t="s">
        <v>86</v>
      </c>
      <c r="CM3173" s="2"/>
    </row>
    <row r="3174" spans="1:91">
      <c r="A3174" s="2" t="s">
        <v>71</v>
      </c>
      <c r="B3174" s="2" t="s">
        <v>72</v>
      </c>
      <c r="C3174" s="2" t="s">
        <v>73</v>
      </c>
      <c r="D3174" s="2"/>
      <c r="E3174" s="2" t="str">
        <f>"FES1162571782"</f>
        <v>FES1162571782</v>
      </c>
      <c r="F3174" s="3">
        <v>42975</v>
      </c>
      <c r="G3174" s="2">
        <v>201802</v>
      </c>
      <c r="H3174" s="2" t="s">
        <v>74</v>
      </c>
      <c r="I3174" s="2" t="s">
        <v>75</v>
      </c>
      <c r="J3174" s="2" t="s">
        <v>76</v>
      </c>
      <c r="K3174" s="2" t="s">
        <v>77</v>
      </c>
      <c r="L3174" s="2" t="s">
        <v>221</v>
      </c>
      <c r="M3174" s="2" t="s">
        <v>222</v>
      </c>
      <c r="N3174" s="2" t="s">
        <v>675</v>
      </c>
      <c r="O3174" s="2" t="s">
        <v>100</v>
      </c>
      <c r="P3174" s="2" t="str">
        <f>"2170587417                    "</f>
        <v xml:space="preserve">2170587417                    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4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1</v>
      </c>
      <c r="BJ3174" s="2">
        <v>0.2</v>
      </c>
      <c r="BK3174" s="2">
        <v>1</v>
      </c>
      <c r="BL3174" s="2">
        <v>41.44</v>
      </c>
      <c r="BM3174" s="2">
        <v>5.8</v>
      </c>
      <c r="BN3174" s="2">
        <v>47.24</v>
      </c>
      <c r="BO3174" s="2">
        <v>47.24</v>
      </c>
      <c r="BP3174" s="2"/>
      <c r="BQ3174" s="2" t="s">
        <v>83</v>
      </c>
      <c r="BR3174" s="2" t="s">
        <v>84</v>
      </c>
      <c r="BS3174" s="3">
        <v>42977</v>
      </c>
      <c r="BT3174" s="4">
        <v>0.40833333333333338</v>
      </c>
      <c r="BU3174" s="2" t="s">
        <v>1457</v>
      </c>
      <c r="BV3174" s="2" t="s">
        <v>86</v>
      </c>
      <c r="BW3174" s="2" t="s">
        <v>124</v>
      </c>
      <c r="BX3174" s="2" t="s">
        <v>337</v>
      </c>
      <c r="BY3174" s="2">
        <v>1200</v>
      </c>
      <c r="BZ3174" s="2" t="s">
        <v>27</v>
      </c>
      <c r="CA3174" s="2" t="s">
        <v>934</v>
      </c>
      <c r="CB3174" s="2"/>
      <c r="CC3174" s="2" t="s">
        <v>222</v>
      </c>
      <c r="CD3174" s="2">
        <v>4300</v>
      </c>
      <c r="CE3174" s="2" t="s">
        <v>104</v>
      </c>
      <c r="CF3174" s="5">
        <v>42978</v>
      </c>
      <c r="CG3174" s="2"/>
      <c r="CH3174" s="2"/>
      <c r="CI3174" s="2">
        <v>1</v>
      </c>
      <c r="CJ3174" s="2">
        <v>2</v>
      </c>
      <c r="CK3174" s="2">
        <v>21</v>
      </c>
      <c r="CL3174" s="2" t="s">
        <v>86</v>
      </c>
      <c r="CM3174" s="2"/>
    </row>
    <row r="3175" spans="1:91">
      <c r="A3175" s="2" t="s">
        <v>71</v>
      </c>
      <c r="B3175" s="2" t="s">
        <v>72</v>
      </c>
      <c r="C3175" s="2" t="s">
        <v>73</v>
      </c>
      <c r="D3175" s="2"/>
      <c r="E3175" s="2" t="str">
        <f>"FES1162571869"</f>
        <v>FES1162571869</v>
      </c>
      <c r="F3175" s="3">
        <v>42975</v>
      </c>
      <c r="G3175" s="2">
        <v>201802</v>
      </c>
      <c r="H3175" s="2" t="s">
        <v>74</v>
      </c>
      <c r="I3175" s="2" t="s">
        <v>75</v>
      </c>
      <c r="J3175" s="2" t="s">
        <v>76</v>
      </c>
      <c r="K3175" s="2" t="s">
        <v>77</v>
      </c>
      <c r="L3175" s="2" t="s">
        <v>741</v>
      </c>
      <c r="M3175" s="2" t="s">
        <v>742</v>
      </c>
      <c r="N3175" s="2" t="s">
        <v>743</v>
      </c>
      <c r="O3175" s="2" t="s">
        <v>100</v>
      </c>
      <c r="P3175" s="2" t="str">
        <f>"2170587511                    "</f>
        <v xml:space="preserve">2170587511                    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7.75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1</v>
      </c>
      <c r="BI3175" s="2">
        <v>1</v>
      </c>
      <c r="BJ3175" s="2">
        <v>0.2</v>
      </c>
      <c r="BK3175" s="2">
        <v>1</v>
      </c>
      <c r="BL3175" s="2">
        <v>80.290000000000006</v>
      </c>
      <c r="BM3175" s="2">
        <v>11.24</v>
      </c>
      <c r="BN3175" s="2">
        <v>91.53</v>
      </c>
      <c r="BO3175" s="2">
        <v>91.53</v>
      </c>
      <c r="BP3175" s="2"/>
      <c r="BQ3175" s="2" t="s">
        <v>288</v>
      </c>
      <c r="BR3175" s="2" t="s">
        <v>84</v>
      </c>
      <c r="BS3175" s="3">
        <v>42976</v>
      </c>
      <c r="BT3175" s="4">
        <v>0.40277777777777773</v>
      </c>
      <c r="BU3175" s="2" t="s">
        <v>1343</v>
      </c>
      <c r="BV3175" s="2" t="s">
        <v>95</v>
      </c>
      <c r="BW3175" s="2"/>
      <c r="BX3175" s="2"/>
      <c r="BY3175" s="2">
        <v>1200</v>
      </c>
      <c r="BZ3175" s="2"/>
      <c r="CA3175" s="2" t="s">
        <v>2088</v>
      </c>
      <c r="CB3175" s="2"/>
      <c r="CC3175" s="2" t="s">
        <v>742</v>
      </c>
      <c r="CD3175" s="2">
        <v>6300</v>
      </c>
      <c r="CE3175" s="2" t="s">
        <v>104</v>
      </c>
      <c r="CF3175" s="5">
        <v>42977</v>
      </c>
      <c r="CG3175" s="2"/>
      <c r="CH3175" s="2"/>
      <c r="CI3175" s="2">
        <v>3</v>
      </c>
      <c r="CJ3175" s="2">
        <v>1</v>
      </c>
      <c r="CK3175" s="2">
        <v>23</v>
      </c>
      <c r="CL3175" s="2" t="s">
        <v>86</v>
      </c>
      <c r="CM3175" s="2"/>
    </row>
    <row r="3176" spans="1:91">
      <c r="A3176" s="2" t="s">
        <v>71</v>
      </c>
      <c r="B3176" s="2" t="s">
        <v>72</v>
      </c>
      <c r="C3176" s="2" t="s">
        <v>73</v>
      </c>
      <c r="D3176" s="2"/>
      <c r="E3176" s="2" t="str">
        <f>"FES116257190"</f>
        <v>FES116257190</v>
      </c>
      <c r="F3176" s="3">
        <v>42975</v>
      </c>
      <c r="G3176" s="2">
        <v>201802</v>
      </c>
      <c r="H3176" s="2" t="s">
        <v>74</v>
      </c>
      <c r="I3176" s="2" t="s">
        <v>75</v>
      </c>
      <c r="J3176" s="2" t="s">
        <v>76</v>
      </c>
      <c r="K3176" s="2" t="s">
        <v>77</v>
      </c>
      <c r="L3176" s="2" t="s">
        <v>362</v>
      </c>
      <c r="M3176" s="2" t="s">
        <v>363</v>
      </c>
      <c r="N3176" s="2" t="s">
        <v>546</v>
      </c>
      <c r="O3176" s="2" t="s">
        <v>100</v>
      </c>
      <c r="P3176" s="2" t="str">
        <f>"2170587424                    "</f>
        <v xml:space="preserve">2170587424                    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4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1</v>
      </c>
      <c r="BI3176" s="2">
        <v>1</v>
      </c>
      <c r="BJ3176" s="2">
        <v>0.2</v>
      </c>
      <c r="BK3176" s="2">
        <v>1</v>
      </c>
      <c r="BL3176" s="2">
        <v>41.44</v>
      </c>
      <c r="BM3176" s="2">
        <v>5.8</v>
      </c>
      <c r="BN3176" s="2">
        <v>47.24</v>
      </c>
      <c r="BO3176" s="2">
        <v>47.24</v>
      </c>
      <c r="BP3176" s="2"/>
      <c r="BQ3176" s="2" t="s">
        <v>209</v>
      </c>
      <c r="BR3176" s="2" t="s">
        <v>84</v>
      </c>
      <c r="BS3176" s="3">
        <v>42978</v>
      </c>
      <c r="BT3176" s="4">
        <v>0.41805555555555557</v>
      </c>
      <c r="BU3176" s="2" t="s">
        <v>330</v>
      </c>
      <c r="BV3176" s="2" t="s">
        <v>86</v>
      </c>
      <c r="BW3176" s="2" t="s">
        <v>124</v>
      </c>
      <c r="BX3176" s="2" t="s">
        <v>327</v>
      </c>
      <c r="BY3176" s="2">
        <v>1200</v>
      </c>
      <c r="BZ3176" s="2" t="s">
        <v>27</v>
      </c>
      <c r="CA3176" s="2" t="s">
        <v>379</v>
      </c>
      <c r="CB3176" s="2"/>
      <c r="CC3176" s="2" t="s">
        <v>363</v>
      </c>
      <c r="CD3176" s="2">
        <v>3201</v>
      </c>
      <c r="CE3176" s="2" t="s">
        <v>104</v>
      </c>
      <c r="CF3176" s="5">
        <v>42977</v>
      </c>
      <c r="CG3176" s="2"/>
      <c r="CH3176" s="2"/>
      <c r="CI3176" s="2">
        <v>1</v>
      </c>
      <c r="CJ3176" s="2">
        <v>3</v>
      </c>
      <c r="CK3176" s="2">
        <v>21</v>
      </c>
      <c r="CL3176" s="2" t="s">
        <v>86</v>
      </c>
      <c r="CM3176" s="2"/>
    </row>
    <row r="3177" spans="1:91">
      <c r="A3177" s="2" t="s">
        <v>71</v>
      </c>
      <c r="B3177" s="2" t="s">
        <v>72</v>
      </c>
      <c r="C3177" s="2" t="s">
        <v>73</v>
      </c>
      <c r="D3177" s="2"/>
      <c r="E3177" s="2" t="str">
        <f>"FES1162571828"</f>
        <v>FES1162571828</v>
      </c>
      <c r="F3177" s="3">
        <v>42975</v>
      </c>
      <c r="G3177" s="2">
        <v>201802</v>
      </c>
      <c r="H3177" s="2" t="s">
        <v>74</v>
      </c>
      <c r="I3177" s="2" t="s">
        <v>75</v>
      </c>
      <c r="J3177" s="2" t="s">
        <v>76</v>
      </c>
      <c r="K3177" s="2" t="s">
        <v>77</v>
      </c>
      <c r="L3177" s="2" t="s">
        <v>446</v>
      </c>
      <c r="M3177" s="2" t="s">
        <v>447</v>
      </c>
      <c r="N3177" s="2" t="s">
        <v>961</v>
      </c>
      <c r="O3177" s="2" t="s">
        <v>100</v>
      </c>
      <c r="P3177" s="2" t="str">
        <f>"2170581208                    "</f>
        <v xml:space="preserve">2170581208                    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5.63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1</v>
      </c>
      <c r="BI3177" s="2">
        <v>1</v>
      </c>
      <c r="BJ3177" s="2">
        <v>0.2</v>
      </c>
      <c r="BK3177" s="2">
        <v>1</v>
      </c>
      <c r="BL3177" s="2">
        <v>58.28</v>
      </c>
      <c r="BM3177" s="2">
        <v>8.16</v>
      </c>
      <c r="BN3177" s="2">
        <v>66.44</v>
      </c>
      <c r="BO3177" s="2">
        <v>66.44</v>
      </c>
      <c r="BP3177" s="2"/>
      <c r="BQ3177" s="2" t="s">
        <v>962</v>
      </c>
      <c r="BR3177" s="2" t="s">
        <v>84</v>
      </c>
      <c r="BS3177" s="3">
        <v>42976</v>
      </c>
      <c r="BT3177" s="4">
        <v>0.43541666666666662</v>
      </c>
      <c r="BU3177" s="2" t="s">
        <v>963</v>
      </c>
      <c r="BV3177" s="2" t="s">
        <v>95</v>
      </c>
      <c r="BW3177" s="2"/>
      <c r="BX3177" s="2"/>
      <c r="BY3177" s="2">
        <v>1200</v>
      </c>
      <c r="BZ3177" s="2"/>
      <c r="CA3177" s="2"/>
      <c r="CB3177" s="2"/>
      <c r="CC3177" s="2" t="s">
        <v>447</v>
      </c>
      <c r="CD3177" s="2">
        <v>1759</v>
      </c>
      <c r="CE3177" s="2" t="s">
        <v>104</v>
      </c>
      <c r="CF3177" s="5">
        <v>42977</v>
      </c>
      <c r="CG3177" s="2"/>
      <c r="CH3177" s="2"/>
      <c r="CI3177" s="2">
        <v>1</v>
      </c>
      <c r="CJ3177" s="2">
        <v>1</v>
      </c>
      <c r="CK3177" s="2">
        <v>24</v>
      </c>
      <c r="CL3177" s="2" t="s">
        <v>86</v>
      </c>
      <c r="CM3177" s="2"/>
    </row>
    <row r="3178" spans="1:91">
      <c r="A3178" s="2" t="s">
        <v>71</v>
      </c>
      <c r="B3178" s="2" t="s">
        <v>72</v>
      </c>
      <c r="C3178" s="2" t="s">
        <v>73</v>
      </c>
      <c r="D3178" s="2"/>
      <c r="E3178" s="2" t="str">
        <f>"FES1162571827"</f>
        <v>FES1162571827</v>
      </c>
      <c r="F3178" s="3">
        <v>42975</v>
      </c>
      <c r="G3178" s="2">
        <v>201802</v>
      </c>
      <c r="H3178" s="2" t="s">
        <v>74</v>
      </c>
      <c r="I3178" s="2" t="s">
        <v>75</v>
      </c>
      <c r="J3178" s="2" t="s">
        <v>76</v>
      </c>
      <c r="K3178" s="2" t="s">
        <v>77</v>
      </c>
      <c r="L3178" s="2" t="s">
        <v>149</v>
      </c>
      <c r="M3178" s="2" t="s">
        <v>150</v>
      </c>
      <c r="N3178" s="2" t="s">
        <v>1356</v>
      </c>
      <c r="O3178" s="2" t="s">
        <v>100</v>
      </c>
      <c r="P3178" s="2" t="str">
        <f>"2170587454                    "</f>
        <v xml:space="preserve">2170587454                    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4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1</v>
      </c>
      <c r="BJ3178" s="2">
        <v>0.2</v>
      </c>
      <c r="BK3178" s="2">
        <v>1</v>
      </c>
      <c r="BL3178" s="2">
        <v>41.44</v>
      </c>
      <c r="BM3178" s="2">
        <v>5.8</v>
      </c>
      <c r="BN3178" s="2">
        <v>47.24</v>
      </c>
      <c r="BO3178" s="2">
        <v>47.24</v>
      </c>
      <c r="BP3178" s="2"/>
      <c r="BQ3178" s="2" t="s">
        <v>1836</v>
      </c>
      <c r="BR3178" s="2" t="s">
        <v>84</v>
      </c>
      <c r="BS3178" s="3">
        <v>42976</v>
      </c>
      <c r="BT3178" s="4">
        <v>0.39583333333333331</v>
      </c>
      <c r="BU3178" s="2" t="s">
        <v>704</v>
      </c>
      <c r="BV3178" s="2" t="s">
        <v>95</v>
      </c>
      <c r="BW3178" s="2"/>
      <c r="BX3178" s="2"/>
      <c r="BY3178" s="2">
        <v>1200</v>
      </c>
      <c r="BZ3178" s="2" t="s">
        <v>27</v>
      </c>
      <c r="CA3178" s="2" t="s">
        <v>1536</v>
      </c>
      <c r="CB3178" s="2"/>
      <c r="CC3178" s="2" t="s">
        <v>150</v>
      </c>
      <c r="CD3178" s="2">
        <v>4051</v>
      </c>
      <c r="CE3178" s="2" t="s">
        <v>104</v>
      </c>
      <c r="CF3178" s="5">
        <v>42977</v>
      </c>
      <c r="CG3178" s="2"/>
      <c r="CH3178" s="2"/>
      <c r="CI3178" s="2">
        <v>1</v>
      </c>
      <c r="CJ3178" s="2">
        <v>1</v>
      </c>
      <c r="CK3178" s="2">
        <v>21</v>
      </c>
      <c r="CL3178" s="2" t="s">
        <v>86</v>
      </c>
      <c r="CM3178" s="2"/>
    </row>
    <row r="3179" spans="1:91">
      <c r="A3179" s="2" t="s">
        <v>71</v>
      </c>
      <c r="B3179" s="2" t="s">
        <v>72</v>
      </c>
      <c r="C3179" s="2" t="s">
        <v>73</v>
      </c>
      <c r="D3179" s="2"/>
      <c r="E3179" s="2" t="str">
        <f>"FES1162571818"</f>
        <v>FES1162571818</v>
      </c>
      <c r="F3179" s="3">
        <v>42975</v>
      </c>
      <c r="G3179" s="2">
        <v>201802</v>
      </c>
      <c r="H3179" s="2" t="s">
        <v>74</v>
      </c>
      <c r="I3179" s="2" t="s">
        <v>75</v>
      </c>
      <c r="J3179" s="2" t="s">
        <v>76</v>
      </c>
      <c r="K3179" s="2" t="s">
        <v>77</v>
      </c>
      <c r="L3179" s="2" t="s">
        <v>268</v>
      </c>
      <c r="M3179" s="2" t="s">
        <v>269</v>
      </c>
      <c r="N3179" s="2" t="s">
        <v>3337</v>
      </c>
      <c r="O3179" s="2" t="s">
        <v>100</v>
      </c>
      <c r="P3179" s="2" t="str">
        <f>"2170587264                    "</f>
        <v xml:space="preserve">2170587264                    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5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1</v>
      </c>
      <c r="BI3179" s="2">
        <v>2.2999999999999998</v>
      </c>
      <c r="BJ3179" s="2">
        <v>1</v>
      </c>
      <c r="BK3179" s="2">
        <v>2.5</v>
      </c>
      <c r="BL3179" s="2">
        <v>51.8</v>
      </c>
      <c r="BM3179" s="2">
        <v>7.25</v>
      </c>
      <c r="BN3179" s="2">
        <v>59.05</v>
      </c>
      <c r="BO3179" s="2">
        <v>59.05</v>
      </c>
      <c r="BP3179" s="2"/>
      <c r="BQ3179" s="2" t="s">
        <v>288</v>
      </c>
      <c r="BR3179" s="2" t="s">
        <v>84</v>
      </c>
      <c r="BS3179" s="3">
        <v>42976</v>
      </c>
      <c r="BT3179" s="4">
        <v>0.47222222222222227</v>
      </c>
      <c r="BU3179" s="2" t="s">
        <v>3338</v>
      </c>
      <c r="BV3179" s="2" t="s">
        <v>86</v>
      </c>
      <c r="BW3179" s="2" t="s">
        <v>110</v>
      </c>
      <c r="BX3179" s="2" t="s">
        <v>444</v>
      </c>
      <c r="BY3179" s="2">
        <v>5031.12</v>
      </c>
      <c r="BZ3179" s="2"/>
      <c r="CA3179" s="2"/>
      <c r="CB3179" s="2"/>
      <c r="CC3179" s="2" t="s">
        <v>269</v>
      </c>
      <c r="CD3179" s="2">
        <v>200</v>
      </c>
      <c r="CE3179" s="2" t="s">
        <v>89</v>
      </c>
      <c r="CF3179" s="5">
        <v>42977</v>
      </c>
      <c r="CG3179" s="2"/>
      <c r="CH3179" s="2"/>
      <c r="CI3179" s="2">
        <v>1</v>
      </c>
      <c r="CJ3179" s="2">
        <v>1</v>
      </c>
      <c r="CK3179" s="2">
        <v>21</v>
      </c>
      <c r="CL3179" s="2" t="s">
        <v>86</v>
      </c>
      <c r="CM3179" s="2"/>
    </row>
    <row r="3180" spans="1:91">
      <c r="A3180" s="2" t="s">
        <v>71</v>
      </c>
      <c r="B3180" s="2" t="s">
        <v>72</v>
      </c>
      <c r="C3180" s="2" t="s">
        <v>73</v>
      </c>
      <c r="D3180" s="2"/>
      <c r="E3180" s="2" t="str">
        <f>"FES1162571858"</f>
        <v>FES1162571858</v>
      </c>
      <c r="F3180" s="3">
        <v>42975</v>
      </c>
      <c r="G3180" s="2">
        <v>201802</v>
      </c>
      <c r="H3180" s="2" t="s">
        <v>74</v>
      </c>
      <c r="I3180" s="2" t="s">
        <v>75</v>
      </c>
      <c r="J3180" s="2" t="s">
        <v>76</v>
      </c>
      <c r="K3180" s="2" t="s">
        <v>77</v>
      </c>
      <c r="L3180" s="2" t="s">
        <v>144</v>
      </c>
      <c r="M3180" s="2" t="s">
        <v>145</v>
      </c>
      <c r="N3180" s="2" t="s">
        <v>3339</v>
      </c>
      <c r="O3180" s="2" t="s">
        <v>100</v>
      </c>
      <c r="P3180" s="2" t="str">
        <f>"2170587491                    "</f>
        <v xml:space="preserve">2170587491                    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3.13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2.4</v>
      </c>
      <c r="BJ3180" s="2">
        <v>1</v>
      </c>
      <c r="BK3180" s="2">
        <v>3</v>
      </c>
      <c r="BL3180" s="2">
        <v>32.380000000000003</v>
      </c>
      <c r="BM3180" s="2">
        <v>4.53</v>
      </c>
      <c r="BN3180" s="2">
        <v>36.909999999999997</v>
      </c>
      <c r="BO3180" s="2">
        <v>36.909999999999997</v>
      </c>
      <c r="BP3180" s="2"/>
      <c r="BQ3180" s="2"/>
      <c r="BR3180" s="2" t="s">
        <v>84</v>
      </c>
      <c r="BS3180" s="3">
        <v>42976</v>
      </c>
      <c r="BT3180" s="4">
        <v>0.41180555555555554</v>
      </c>
      <c r="BU3180" s="2" t="s">
        <v>3340</v>
      </c>
      <c r="BV3180" s="2" t="s">
        <v>95</v>
      </c>
      <c r="BW3180" s="2"/>
      <c r="BX3180" s="2"/>
      <c r="BY3180" s="2">
        <v>5152.16</v>
      </c>
      <c r="BZ3180" s="2" t="s">
        <v>27</v>
      </c>
      <c r="CA3180" s="2" t="s">
        <v>3341</v>
      </c>
      <c r="CB3180" s="2"/>
      <c r="CC3180" s="2" t="s">
        <v>145</v>
      </c>
      <c r="CD3180" s="2">
        <v>2021</v>
      </c>
      <c r="CE3180" s="2" t="s">
        <v>89</v>
      </c>
      <c r="CF3180" s="5">
        <v>42977</v>
      </c>
      <c r="CG3180" s="2"/>
      <c r="CH3180" s="2"/>
      <c r="CI3180" s="2">
        <v>1</v>
      </c>
      <c r="CJ3180" s="2">
        <v>1</v>
      </c>
      <c r="CK3180" s="2">
        <v>22</v>
      </c>
      <c r="CL3180" s="2" t="s">
        <v>86</v>
      </c>
      <c r="CM3180" s="2"/>
    </row>
    <row r="3181" spans="1:91">
      <c r="A3181" s="2" t="s">
        <v>71</v>
      </c>
      <c r="B3181" s="2" t="s">
        <v>72</v>
      </c>
      <c r="C3181" s="2" t="s">
        <v>73</v>
      </c>
      <c r="D3181" s="2"/>
      <c r="E3181" s="2" t="str">
        <f>"FES1162571778"</f>
        <v>FES1162571778</v>
      </c>
      <c r="F3181" s="3">
        <v>42975</v>
      </c>
      <c r="G3181" s="2">
        <v>201802</v>
      </c>
      <c r="H3181" s="2" t="s">
        <v>74</v>
      </c>
      <c r="I3181" s="2" t="s">
        <v>75</v>
      </c>
      <c r="J3181" s="2" t="s">
        <v>76</v>
      </c>
      <c r="K3181" s="2" t="s">
        <v>77</v>
      </c>
      <c r="L3181" s="2" t="s">
        <v>237</v>
      </c>
      <c r="M3181" s="2" t="s">
        <v>238</v>
      </c>
      <c r="N3181" s="2" t="s">
        <v>765</v>
      </c>
      <c r="O3181" s="2" t="s">
        <v>100</v>
      </c>
      <c r="P3181" s="2" t="str">
        <f>"2170587413                    "</f>
        <v xml:space="preserve">2170587413                    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22.01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1</v>
      </c>
      <c r="BI3181" s="2">
        <v>10.9</v>
      </c>
      <c r="BJ3181" s="2">
        <v>4.4000000000000004</v>
      </c>
      <c r="BK3181" s="2">
        <v>11</v>
      </c>
      <c r="BL3181" s="2">
        <v>227.93</v>
      </c>
      <c r="BM3181" s="2">
        <v>31.91</v>
      </c>
      <c r="BN3181" s="2">
        <v>259.83999999999997</v>
      </c>
      <c r="BO3181" s="2">
        <v>259.83999999999997</v>
      </c>
      <c r="BP3181" s="2"/>
      <c r="BQ3181" s="2" t="s">
        <v>108</v>
      </c>
      <c r="BR3181" s="2" t="s">
        <v>84</v>
      </c>
      <c r="BS3181" s="3">
        <v>42976</v>
      </c>
      <c r="BT3181" s="4">
        <v>0.3215277777777778</v>
      </c>
      <c r="BU3181" s="2" t="s">
        <v>766</v>
      </c>
      <c r="BV3181" s="2" t="s">
        <v>95</v>
      </c>
      <c r="BW3181" s="2"/>
      <c r="BX3181" s="2"/>
      <c r="BY3181" s="2">
        <v>22039.71</v>
      </c>
      <c r="BZ3181" s="2"/>
      <c r="CA3181" s="2" t="s">
        <v>401</v>
      </c>
      <c r="CB3181" s="2"/>
      <c r="CC3181" s="2" t="s">
        <v>238</v>
      </c>
      <c r="CD3181" s="2">
        <v>3610</v>
      </c>
      <c r="CE3181" s="2" t="s">
        <v>89</v>
      </c>
      <c r="CF3181" s="5">
        <v>42977</v>
      </c>
      <c r="CG3181" s="2"/>
      <c r="CH3181" s="2"/>
      <c r="CI3181" s="2">
        <v>1</v>
      </c>
      <c r="CJ3181" s="2">
        <v>1</v>
      </c>
      <c r="CK3181" s="2">
        <v>21</v>
      </c>
      <c r="CL3181" s="2" t="s">
        <v>86</v>
      </c>
      <c r="CM3181" s="2"/>
    </row>
    <row r="3182" spans="1:91">
      <c r="A3182" s="2" t="s">
        <v>71</v>
      </c>
      <c r="B3182" s="2" t="s">
        <v>72</v>
      </c>
      <c r="C3182" s="2" t="s">
        <v>73</v>
      </c>
      <c r="D3182" s="2"/>
      <c r="E3182" s="2" t="str">
        <f>"FES1162571844"</f>
        <v>FES1162571844</v>
      </c>
      <c r="F3182" s="3">
        <v>42975</v>
      </c>
      <c r="G3182" s="2">
        <v>201802</v>
      </c>
      <c r="H3182" s="2" t="s">
        <v>74</v>
      </c>
      <c r="I3182" s="2" t="s">
        <v>75</v>
      </c>
      <c r="J3182" s="2" t="s">
        <v>76</v>
      </c>
      <c r="K3182" s="2" t="s">
        <v>77</v>
      </c>
      <c r="L3182" s="2" t="s">
        <v>97</v>
      </c>
      <c r="M3182" s="2" t="s">
        <v>98</v>
      </c>
      <c r="N3182" s="2" t="s">
        <v>214</v>
      </c>
      <c r="O3182" s="2" t="s">
        <v>100</v>
      </c>
      <c r="P3182" s="2" t="str">
        <f>"217058630                     "</f>
        <v xml:space="preserve">217058630                     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12.01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5.9</v>
      </c>
      <c r="BJ3182" s="2">
        <v>1.6</v>
      </c>
      <c r="BK3182" s="2">
        <v>6</v>
      </c>
      <c r="BL3182" s="2">
        <v>124.33</v>
      </c>
      <c r="BM3182" s="2">
        <v>17.41</v>
      </c>
      <c r="BN3182" s="2">
        <v>141.74</v>
      </c>
      <c r="BO3182" s="2">
        <v>141.74</v>
      </c>
      <c r="BP3182" s="2"/>
      <c r="BQ3182" s="2" t="s">
        <v>108</v>
      </c>
      <c r="BR3182" s="2" t="s">
        <v>84</v>
      </c>
      <c r="BS3182" s="3">
        <v>42976</v>
      </c>
      <c r="BT3182" s="4">
        <v>0.31805555555555554</v>
      </c>
      <c r="BU3182" s="2" t="s">
        <v>215</v>
      </c>
      <c r="BV3182" s="2" t="s">
        <v>95</v>
      </c>
      <c r="BW3182" s="2"/>
      <c r="BX3182" s="2"/>
      <c r="BY3182" s="2">
        <v>8249.09</v>
      </c>
      <c r="BZ3182" s="2" t="s">
        <v>27</v>
      </c>
      <c r="CA3182" s="2" t="s">
        <v>213</v>
      </c>
      <c r="CB3182" s="2"/>
      <c r="CC3182" s="2" t="s">
        <v>98</v>
      </c>
      <c r="CD3182" s="2">
        <v>6001</v>
      </c>
      <c r="CE3182" s="2" t="s">
        <v>89</v>
      </c>
      <c r="CF3182" s="5">
        <v>42977</v>
      </c>
      <c r="CG3182" s="2"/>
      <c r="CH3182" s="2"/>
      <c r="CI3182" s="2">
        <v>1</v>
      </c>
      <c r="CJ3182" s="2">
        <v>1</v>
      </c>
      <c r="CK3182" s="2">
        <v>21</v>
      </c>
      <c r="CL3182" s="2" t="s">
        <v>86</v>
      </c>
      <c r="CM3182" s="2"/>
    </row>
    <row r="3183" spans="1:91">
      <c r="A3183" s="2" t="s">
        <v>71</v>
      </c>
      <c r="B3183" s="2" t="s">
        <v>72</v>
      </c>
      <c r="C3183" s="2" t="s">
        <v>73</v>
      </c>
      <c r="D3183" s="2"/>
      <c r="E3183" s="2" t="str">
        <f>"FES1162571814"</f>
        <v>FES1162571814</v>
      </c>
      <c r="F3183" s="3">
        <v>42975</v>
      </c>
      <c r="G3183" s="2">
        <v>201802</v>
      </c>
      <c r="H3183" s="2" t="s">
        <v>74</v>
      </c>
      <c r="I3183" s="2" t="s">
        <v>75</v>
      </c>
      <c r="J3183" s="2" t="s">
        <v>76</v>
      </c>
      <c r="K3183" s="2" t="s">
        <v>77</v>
      </c>
      <c r="L3183" s="2" t="s">
        <v>74</v>
      </c>
      <c r="M3183" s="2" t="s">
        <v>75</v>
      </c>
      <c r="N3183" s="2" t="s">
        <v>3342</v>
      </c>
      <c r="O3183" s="2" t="s">
        <v>100</v>
      </c>
      <c r="P3183" s="2" t="str">
        <f>"2170587213                    "</f>
        <v xml:space="preserve">2170587213                    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3.13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1</v>
      </c>
      <c r="BI3183" s="2">
        <v>6</v>
      </c>
      <c r="BJ3183" s="2">
        <v>4.5999999999999996</v>
      </c>
      <c r="BK3183" s="2">
        <v>6</v>
      </c>
      <c r="BL3183" s="2">
        <v>32.380000000000003</v>
      </c>
      <c r="BM3183" s="2">
        <v>4.53</v>
      </c>
      <c r="BN3183" s="2">
        <v>36.909999999999997</v>
      </c>
      <c r="BO3183" s="2">
        <v>36.909999999999997</v>
      </c>
      <c r="BP3183" s="2"/>
      <c r="BQ3183" s="2" t="s">
        <v>288</v>
      </c>
      <c r="BR3183" s="2" t="s">
        <v>84</v>
      </c>
      <c r="BS3183" s="3">
        <v>42977</v>
      </c>
      <c r="BT3183" s="4">
        <v>0.37361111111111112</v>
      </c>
      <c r="BU3183" s="2" t="s">
        <v>1049</v>
      </c>
      <c r="BV3183" s="2" t="s">
        <v>86</v>
      </c>
      <c r="BW3183" s="2" t="s">
        <v>124</v>
      </c>
      <c r="BX3183" s="2" t="s">
        <v>327</v>
      </c>
      <c r="BY3183" s="2">
        <v>23153</v>
      </c>
      <c r="BZ3183" s="2"/>
      <c r="CA3183" s="2" t="s">
        <v>328</v>
      </c>
      <c r="CB3183" s="2"/>
      <c r="CC3183" s="2" t="s">
        <v>75</v>
      </c>
      <c r="CD3183" s="2">
        <v>1600</v>
      </c>
      <c r="CE3183" s="2" t="s">
        <v>89</v>
      </c>
      <c r="CF3183" s="5">
        <v>42978</v>
      </c>
      <c r="CG3183" s="2"/>
      <c r="CH3183" s="2"/>
      <c r="CI3183" s="2">
        <v>1</v>
      </c>
      <c r="CJ3183" s="2">
        <v>2</v>
      </c>
      <c r="CK3183" s="2">
        <v>22</v>
      </c>
      <c r="CL3183" s="2" t="s">
        <v>86</v>
      </c>
      <c r="CM3183" s="2"/>
    </row>
    <row r="3184" spans="1:91">
      <c r="A3184" s="2" t="s">
        <v>71</v>
      </c>
      <c r="B3184" s="2" t="s">
        <v>72</v>
      </c>
      <c r="C3184" s="2" t="s">
        <v>73</v>
      </c>
      <c r="D3184" s="2"/>
      <c r="E3184" s="2" t="str">
        <f>"FES1162571836"</f>
        <v>FES1162571836</v>
      </c>
      <c r="F3184" s="3">
        <v>42975</v>
      </c>
      <c r="G3184" s="2">
        <v>201802</v>
      </c>
      <c r="H3184" s="2" t="s">
        <v>74</v>
      </c>
      <c r="I3184" s="2" t="s">
        <v>75</v>
      </c>
      <c r="J3184" s="2" t="s">
        <v>76</v>
      </c>
      <c r="K3184" s="2" t="s">
        <v>77</v>
      </c>
      <c r="L3184" s="2" t="s">
        <v>97</v>
      </c>
      <c r="M3184" s="2" t="s">
        <v>98</v>
      </c>
      <c r="N3184" s="2" t="s">
        <v>214</v>
      </c>
      <c r="O3184" s="2" t="s">
        <v>100</v>
      </c>
      <c r="P3184" s="2" t="str">
        <f>"2170587469                    "</f>
        <v xml:space="preserve">2170587469                    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4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1</v>
      </c>
      <c r="BI3184" s="2">
        <v>1.5</v>
      </c>
      <c r="BJ3184" s="2">
        <v>1.1000000000000001</v>
      </c>
      <c r="BK3184" s="2">
        <v>1.5</v>
      </c>
      <c r="BL3184" s="2">
        <v>41.44</v>
      </c>
      <c r="BM3184" s="2">
        <v>5.8</v>
      </c>
      <c r="BN3184" s="2">
        <v>47.24</v>
      </c>
      <c r="BO3184" s="2">
        <v>47.24</v>
      </c>
      <c r="BP3184" s="2"/>
      <c r="BQ3184" s="2" t="s">
        <v>108</v>
      </c>
      <c r="BR3184" s="2" t="s">
        <v>84</v>
      </c>
      <c r="BS3184" s="3">
        <v>42976</v>
      </c>
      <c r="BT3184" s="4">
        <v>0.31736111111111115</v>
      </c>
      <c r="BU3184" s="2" t="s">
        <v>215</v>
      </c>
      <c r="BV3184" s="2" t="s">
        <v>95</v>
      </c>
      <c r="BW3184" s="2"/>
      <c r="BX3184" s="2"/>
      <c r="BY3184" s="2">
        <v>5499.65</v>
      </c>
      <c r="BZ3184" s="2" t="s">
        <v>27</v>
      </c>
      <c r="CA3184" s="2" t="s">
        <v>213</v>
      </c>
      <c r="CB3184" s="2"/>
      <c r="CC3184" s="2" t="s">
        <v>98</v>
      </c>
      <c r="CD3184" s="2">
        <v>6001</v>
      </c>
      <c r="CE3184" s="2" t="s">
        <v>89</v>
      </c>
      <c r="CF3184" s="5">
        <v>42977</v>
      </c>
      <c r="CG3184" s="2"/>
      <c r="CH3184" s="2"/>
      <c r="CI3184" s="2">
        <v>1</v>
      </c>
      <c r="CJ3184" s="2">
        <v>1</v>
      </c>
      <c r="CK3184" s="2">
        <v>21</v>
      </c>
      <c r="CL3184" s="2" t="s">
        <v>86</v>
      </c>
      <c r="CM3184" s="2"/>
    </row>
    <row r="3185" spans="1:91">
      <c r="A3185" s="2" t="s">
        <v>71</v>
      </c>
      <c r="B3185" s="2" t="s">
        <v>72</v>
      </c>
      <c r="C3185" s="2" t="s">
        <v>73</v>
      </c>
      <c r="D3185" s="2"/>
      <c r="E3185" s="2" t="str">
        <f>"FES1162571779"</f>
        <v>FES1162571779</v>
      </c>
      <c r="F3185" s="3">
        <v>42975</v>
      </c>
      <c r="G3185" s="2">
        <v>201802</v>
      </c>
      <c r="H3185" s="2" t="s">
        <v>74</v>
      </c>
      <c r="I3185" s="2" t="s">
        <v>75</v>
      </c>
      <c r="J3185" s="2" t="s">
        <v>76</v>
      </c>
      <c r="K3185" s="2" t="s">
        <v>77</v>
      </c>
      <c r="L3185" s="2" t="s">
        <v>149</v>
      </c>
      <c r="M3185" s="2" t="s">
        <v>150</v>
      </c>
      <c r="N3185" s="2" t="s">
        <v>3343</v>
      </c>
      <c r="O3185" s="2" t="s">
        <v>100</v>
      </c>
      <c r="P3185" s="2" t="str">
        <f>"2170587415                    "</f>
        <v xml:space="preserve">2170587415                    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4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1</v>
      </c>
      <c r="BI3185" s="2">
        <v>1</v>
      </c>
      <c r="BJ3185" s="2">
        <v>0.2</v>
      </c>
      <c r="BK3185" s="2">
        <v>1</v>
      </c>
      <c r="BL3185" s="2">
        <v>41.44</v>
      </c>
      <c r="BM3185" s="2">
        <v>5.8</v>
      </c>
      <c r="BN3185" s="2">
        <v>47.24</v>
      </c>
      <c r="BO3185" s="2">
        <v>47.24</v>
      </c>
      <c r="BP3185" s="2"/>
      <c r="BQ3185" s="2" t="s">
        <v>288</v>
      </c>
      <c r="BR3185" s="2" t="s">
        <v>84</v>
      </c>
      <c r="BS3185" s="3">
        <v>42976</v>
      </c>
      <c r="BT3185" s="4">
        <v>0.3527777777777778</v>
      </c>
      <c r="BU3185" s="2" t="s">
        <v>318</v>
      </c>
      <c r="BV3185" s="2" t="s">
        <v>95</v>
      </c>
      <c r="BW3185" s="2"/>
      <c r="BX3185" s="2"/>
      <c r="BY3185" s="2">
        <v>1200</v>
      </c>
      <c r="BZ3185" s="2"/>
      <c r="CA3185" s="2" t="s">
        <v>484</v>
      </c>
      <c r="CB3185" s="2"/>
      <c r="CC3185" s="2" t="s">
        <v>150</v>
      </c>
      <c r="CD3185" s="2">
        <v>4001</v>
      </c>
      <c r="CE3185" s="2" t="s">
        <v>104</v>
      </c>
      <c r="CF3185" s="5">
        <v>42977</v>
      </c>
      <c r="CG3185" s="2"/>
      <c r="CH3185" s="2"/>
      <c r="CI3185" s="2">
        <v>1</v>
      </c>
      <c r="CJ3185" s="2">
        <v>1</v>
      </c>
      <c r="CK3185" s="2">
        <v>21</v>
      </c>
      <c r="CL3185" s="2" t="s">
        <v>86</v>
      </c>
      <c r="CM3185" s="2"/>
    </row>
    <row r="3186" spans="1:91">
      <c r="A3186" s="2" t="s">
        <v>71</v>
      </c>
      <c r="B3186" s="2" t="s">
        <v>72</v>
      </c>
      <c r="C3186" s="2" t="s">
        <v>73</v>
      </c>
      <c r="D3186" s="2"/>
      <c r="E3186" s="2" t="str">
        <f>"FES1162571842"</f>
        <v>FES1162571842</v>
      </c>
      <c r="F3186" s="3">
        <v>42975</v>
      </c>
      <c r="G3186" s="2">
        <v>201802</v>
      </c>
      <c r="H3186" s="2" t="s">
        <v>74</v>
      </c>
      <c r="I3186" s="2" t="s">
        <v>75</v>
      </c>
      <c r="J3186" s="2" t="s">
        <v>76</v>
      </c>
      <c r="K3186" s="2" t="s">
        <v>77</v>
      </c>
      <c r="L3186" s="2" t="s">
        <v>97</v>
      </c>
      <c r="M3186" s="2" t="s">
        <v>98</v>
      </c>
      <c r="N3186" s="2" t="s">
        <v>1460</v>
      </c>
      <c r="O3186" s="2" t="s">
        <v>100</v>
      </c>
      <c r="P3186" s="2" t="str">
        <f>"2170587477                    "</f>
        <v xml:space="preserve">2170587477                    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4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1</v>
      </c>
      <c r="BI3186" s="2">
        <v>1</v>
      </c>
      <c r="BJ3186" s="2">
        <v>0.2</v>
      </c>
      <c r="BK3186" s="2">
        <v>1</v>
      </c>
      <c r="BL3186" s="2">
        <v>41.44</v>
      </c>
      <c r="BM3186" s="2">
        <v>5.8</v>
      </c>
      <c r="BN3186" s="2">
        <v>47.24</v>
      </c>
      <c r="BO3186" s="2">
        <v>47.24</v>
      </c>
      <c r="BP3186" s="2"/>
      <c r="BQ3186" s="2" t="s">
        <v>108</v>
      </c>
      <c r="BR3186" s="2" t="s">
        <v>84</v>
      </c>
      <c r="BS3186" s="3">
        <v>42976</v>
      </c>
      <c r="BT3186" s="4">
        <v>0.40486111111111112</v>
      </c>
      <c r="BU3186" s="2" t="s">
        <v>2771</v>
      </c>
      <c r="BV3186" s="2" t="s">
        <v>95</v>
      </c>
      <c r="BW3186" s="2"/>
      <c r="BX3186" s="2"/>
      <c r="BY3186" s="2">
        <v>1200</v>
      </c>
      <c r="BZ3186" s="2" t="s">
        <v>27</v>
      </c>
      <c r="CA3186" s="2" t="s">
        <v>600</v>
      </c>
      <c r="CB3186" s="2"/>
      <c r="CC3186" s="2" t="s">
        <v>98</v>
      </c>
      <c r="CD3186" s="2">
        <v>6001</v>
      </c>
      <c r="CE3186" s="2" t="s">
        <v>104</v>
      </c>
      <c r="CF3186" s="5">
        <v>42977</v>
      </c>
      <c r="CG3186" s="2"/>
      <c r="CH3186" s="2"/>
      <c r="CI3186" s="2">
        <v>1</v>
      </c>
      <c r="CJ3186" s="2">
        <v>1</v>
      </c>
      <c r="CK3186" s="2">
        <v>21</v>
      </c>
      <c r="CL3186" s="2" t="s">
        <v>86</v>
      </c>
      <c r="CM3186" s="2"/>
    </row>
    <row r="3187" spans="1:91">
      <c r="A3187" s="2" t="s">
        <v>71</v>
      </c>
      <c r="B3187" s="2" t="s">
        <v>72</v>
      </c>
      <c r="C3187" s="2" t="s">
        <v>73</v>
      </c>
      <c r="D3187" s="2"/>
      <c r="E3187" s="2" t="str">
        <f>"FES1162571851"</f>
        <v>FES1162571851</v>
      </c>
      <c r="F3187" s="3">
        <v>42975</v>
      </c>
      <c r="G3187" s="2">
        <v>201802</v>
      </c>
      <c r="H3187" s="2" t="s">
        <v>74</v>
      </c>
      <c r="I3187" s="2" t="s">
        <v>75</v>
      </c>
      <c r="J3187" s="2" t="s">
        <v>76</v>
      </c>
      <c r="K3187" s="2" t="s">
        <v>77</v>
      </c>
      <c r="L3187" s="2" t="s">
        <v>231</v>
      </c>
      <c r="M3187" s="2" t="s">
        <v>232</v>
      </c>
      <c r="N3187" s="2" t="s">
        <v>233</v>
      </c>
      <c r="O3187" s="2" t="s">
        <v>100</v>
      </c>
      <c r="P3187" s="2" t="str">
        <f>"2170587481                    "</f>
        <v xml:space="preserve">2170587481                    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4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1</v>
      </c>
      <c r="BI3187" s="2">
        <v>1</v>
      </c>
      <c r="BJ3187" s="2">
        <v>0.2</v>
      </c>
      <c r="BK3187" s="2">
        <v>1</v>
      </c>
      <c r="BL3187" s="2">
        <v>41.44</v>
      </c>
      <c r="BM3187" s="2">
        <v>5.8</v>
      </c>
      <c r="BN3187" s="2">
        <v>47.24</v>
      </c>
      <c r="BO3187" s="2">
        <v>47.24</v>
      </c>
      <c r="BP3187" s="2"/>
      <c r="BQ3187" s="2" t="s">
        <v>83</v>
      </c>
      <c r="BR3187" s="2" t="s">
        <v>84</v>
      </c>
      <c r="BS3187" s="3">
        <v>42976</v>
      </c>
      <c r="BT3187" s="4">
        <v>0.32777777777777778</v>
      </c>
      <c r="BU3187" s="2" t="s">
        <v>3030</v>
      </c>
      <c r="BV3187" s="2" t="s">
        <v>95</v>
      </c>
      <c r="BW3187" s="2"/>
      <c r="BX3187" s="2"/>
      <c r="BY3187" s="2">
        <v>1200</v>
      </c>
      <c r="BZ3187" s="2"/>
      <c r="CA3187" s="2" t="s">
        <v>235</v>
      </c>
      <c r="CB3187" s="2"/>
      <c r="CC3187" s="2" t="s">
        <v>232</v>
      </c>
      <c r="CD3187" s="2">
        <v>4026</v>
      </c>
      <c r="CE3187" s="2" t="s">
        <v>104</v>
      </c>
      <c r="CF3187" s="5">
        <v>42977</v>
      </c>
      <c r="CG3187" s="2"/>
      <c r="CH3187" s="2"/>
      <c r="CI3187" s="2">
        <v>1</v>
      </c>
      <c r="CJ3187" s="2">
        <v>1</v>
      </c>
      <c r="CK3187" s="2">
        <v>21</v>
      </c>
      <c r="CL3187" s="2" t="s">
        <v>86</v>
      </c>
      <c r="CM3187" s="2"/>
    </row>
    <row r="3188" spans="1:91">
      <c r="A3188" s="2" t="s">
        <v>71</v>
      </c>
      <c r="B3188" s="2" t="s">
        <v>72</v>
      </c>
      <c r="C3188" s="2" t="s">
        <v>73</v>
      </c>
      <c r="D3188" s="2"/>
      <c r="E3188" s="2" t="str">
        <f>"FES1162571784"</f>
        <v>FES1162571784</v>
      </c>
      <c r="F3188" s="3">
        <v>42975</v>
      </c>
      <c r="G3188" s="2">
        <v>201802</v>
      </c>
      <c r="H3188" s="2" t="s">
        <v>74</v>
      </c>
      <c r="I3188" s="2" t="s">
        <v>75</v>
      </c>
      <c r="J3188" s="2" t="s">
        <v>76</v>
      </c>
      <c r="K3188" s="2" t="s">
        <v>77</v>
      </c>
      <c r="L3188" s="2" t="s">
        <v>149</v>
      </c>
      <c r="M3188" s="2" t="s">
        <v>150</v>
      </c>
      <c r="N3188" s="2" t="s">
        <v>3344</v>
      </c>
      <c r="O3188" s="2" t="s">
        <v>100</v>
      </c>
      <c r="P3188" s="2" t="str">
        <f>"2170587421                    "</f>
        <v xml:space="preserve">2170587421                    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4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1</v>
      </c>
      <c r="BI3188" s="2">
        <v>1</v>
      </c>
      <c r="BJ3188" s="2">
        <v>0.2</v>
      </c>
      <c r="BK3188" s="2">
        <v>1</v>
      </c>
      <c r="BL3188" s="2">
        <v>41.44</v>
      </c>
      <c r="BM3188" s="2">
        <v>5.8</v>
      </c>
      <c r="BN3188" s="2">
        <v>47.24</v>
      </c>
      <c r="BO3188" s="2">
        <v>47.24</v>
      </c>
      <c r="BP3188" s="2"/>
      <c r="BQ3188" s="2" t="s">
        <v>3345</v>
      </c>
      <c r="BR3188" s="2" t="s">
        <v>84</v>
      </c>
      <c r="BS3188" s="3">
        <v>42976</v>
      </c>
      <c r="BT3188" s="4">
        <v>0.3520833333333333</v>
      </c>
      <c r="BU3188" s="2" t="s">
        <v>318</v>
      </c>
      <c r="BV3188" s="2" t="s">
        <v>95</v>
      </c>
      <c r="BW3188" s="2"/>
      <c r="BX3188" s="2"/>
      <c r="BY3188" s="2">
        <v>1200</v>
      </c>
      <c r="BZ3188" s="2" t="s">
        <v>27</v>
      </c>
      <c r="CA3188" s="2" t="s">
        <v>484</v>
      </c>
      <c r="CB3188" s="2"/>
      <c r="CC3188" s="2" t="s">
        <v>150</v>
      </c>
      <c r="CD3188" s="2">
        <v>4001</v>
      </c>
      <c r="CE3188" s="2" t="s">
        <v>104</v>
      </c>
      <c r="CF3188" s="5">
        <v>42977</v>
      </c>
      <c r="CG3188" s="2"/>
      <c r="CH3188" s="2"/>
      <c r="CI3188" s="2">
        <v>1</v>
      </c>
      <c r="CJ3188" s="2">
        <v>1</v>
      </c>
      <c r="CK3188" s="2">
        <v>21</v>
      </c>
      <c r="CL3188" s="2" t="s">
        <v>86</v>
      </c>
      <c r="CM3188" s="2"/>
    </row>
    <row r="3189" spans="1:91">
      <c r="A3189" s="2" t="s">
        <v>71</v>
      </c>
      <c r="B3189" s="2" t="s">
        <v>72</v>
      </c>
      <c r="C3189" s="2" t="s">
        <v>73</v>
      </c>
      <c r="D3189" s="2"/>
      <c r="E3189" s="2" t="str">
        <f>"FES1162571817"</f>
        <v>FES1162571817</v>
      </c>
      <c r="F3189" s="3">
        <v>42975</v>
      </c>
      <c r="G3189" s="2">
        <v>201802</v>
      </c>
      <c r="H3189" s="2" t="s">
        <v>74</v>
      </c>
      <c r="I3189" s="2" t="s">
        <v>75</v>
      </c>
      <c r="J3189" s="2" t="s">
        <v>76</v>
      </c>
      <c r="K3189" s="2" t="s">
        <v>77</v>
      </c>
      <c r="L3189" s="2" t="s">
        <v>417</v>
      </c>
      <c r="M3189" s="2" t="s">
        <v>417</v>
      </c>
      <c r="N3189" s="2" t="s">
        <v>1309</v>
      </c>
      <c r="O3189" s="2" t="s">
        <v>100</v>
      </c>
      <c r="P3189" s="2" t="str">
        <f>"2170587232                    "</f>
        <v xml:space="preserve">2170587232                    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13.01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1</v>
      </c>
      <c r="BI3189" s="2">
        <v>6.2</v>
      </c>
      <c r="BJ3189" s="2">
        <v>2.4</v>
      </c>
      <c r="BK3189" s="2">
        <v>6.5</v>
      </c>
      <c r="BL3189" s="2">
        <v>134.69</v>
      </c>
      <c r="BM3189" s="2">
        <v>18.86</v>
      </c>
      <c r="BN3189" s="2">
        <v>153.55000000000001</v>
      </c>
      <c r="BO3189" s="2">
        <v>153.55000000000001</v>
      </c>
      <c r="BP3189" s="2"/>
      <c r="BQ3189" s="2" t="s">
        <v>83</v>
      </c>
      <c r="BR3189" s="2" t="s">
        <v>84</v>
      </c>
      <c r="BS3189" s="3">
        <v>42976</v>
      </c>
      <c r="BT3189" s="4">
        <v>0.50486111111111109</v>
      </c>
      <c r="BU3189" s="2" t="s">
        <v>3346</v>
      </c>
      <c r="BV3189" s="2" t="s">
        <v>95</v>
      </c>
      <c r="BW3189" s="2"/>
      <c r="BX3189" s="2"/>
      <c r="BY3189" s="2">
        <v>12006.15</v>
      </c>
      <c r="BZ3189" s="2"/>
      <c r="CA3189" s="2" t="s">
        <v>420</v>
      </c>
      <c r="CB3189" s="2"/>
      <c r="CC3189" s="2" t="s">
        <v>417</v>
      </c>
      <c r="CD3189" s="2">
        <v>7646</v>
      </c>
      <c r="CE3189" s="2" t="s">
        <v>89</v>
      </c>
      <c r="CF3189" s="5">
        <v>42977</v>
      </c>
      <c r="CG3189" s="2"/>
      <c r="CH3189" s="2"/>
      <c r="CI3189" s="2">
        <v>1</v>
      </c>
      <c r="CJ3189" s="2">
        <v>1</v>
      </c>
      <c r="CK3189" s="2">
        <v>21</v>
      </c>
      <c r="CL3189" s="2" t="s">
        <v>86</v>
      </c>
      <c r="CM3189" s="2"/>
    </row>
    <row r="3190" spans="1:91">
      <c r="A3190" s="2" t="s">
        <v>71</v>
      </c>
      <c r="B3190" s="2" t="s">
        <v>72</v>
      </c>
      <c r="C3190" s="2" t="s">
        <v>73</v>
      </c>
      <c r="D3190" s="2"/>
      <c r="E3190" s="2" t="str">
        <f>"FES1162571846"</f>
        <v>FES1162571846</v>
      </c>
      <c r="F3190" s="3">
        <v>42975</v>
      </c>
      <c r="G3190" s="2">
        <v>201802</v>
      </c>
      <c r="H3190" s="2" t="s">
        <v>74</v>
      </c>
      <c r="I3190" s="2" t="s">
        <v>75</v>
      </c>
      <c r="J3190" s="2" t="s">
        <v>76</v>
      </c>
      <c r="K3190" s="2" t="s">
        <v>77</v>
      </c>
      <c r="L3190" s="2" t="s">
        <v>97</v>
      </c>
      <c r="M3190" s="2" t="s">
        <v>98</v>
      </c>
      <c r="N3190" s="2" t="s">
        <v>119</v>
      </c>
      <c r="O3190" s="2" t="s">
        <v>100</v>
      </c>
      <c r="P3190" s="2" t="str">
        <f>"2170587482                    "</f>
        <v xml:space="preserve">2170587482                    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9.01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1</v>
      </c>
      <c r="BI3190" s="2">
        <v>4.3</v>
      </c>
      <c r="BJ3190" s="2">
        <v>1.6</v>
      </c>
      <c r="BK3190" s="2">
        <v>4.5</v>
      </c>
      <c r="BL3190" s="2">
        <v>93.25</v>
      </c>
      <c r="BM3190" s="2">
        <v>13.06</v>
      </c>
      <c r="BN3190" s="2">
        <v>106.31</v>
      </c>
      <c r="BO3190" s="2">
        <v>106.31</v>
      </c>
      <c r="BP3190" s="2"/>
      <c r="BQ3190" s="2" t="s">
        <v>108</v>
      </c>
      <c r="BR3190" s="2" t="s">
        <v>84</v>
      </c>
      <c r="BS3190" s="3">
        <v>42976</v>
      </c>
      <c r="BT3190" s="4">
        <v>0.32777777777777778</v>
      </c>
      <c r="BU3190" s="2" t="s">
        <v>212</v>
      </c>
      <c r="BV3190" s="2" t="s">
        <v>95</v>
      </c>
      <c r="BW3190" s="2"/>
      <c r="BX3190" s="2"/>
      <c r="BY3190" s="2">
        <v>8219.42</v>
      </c>
      <c r="BZ3190" s="2" t="s">
        <v>27</v>
      </c>
      <c r="CA3190" s="2" t="s">
        <v>213</v>
      </c>
      <c r="CB3190" s="2"/>
      <c r="CC3190" s="2" t="s">
        <v>98</v>
      </c>
      <c r="CD3190" s="2">
        <v>6001</v>
      </c>
      <c r="CE3190" s="2" t="s">
        <v>89</v>
      </c>
      <c r="CF3190" s="5">
        <v>42977</v>
      </c>
      <c r="CG3190" s="2"/>
      <c r="CH3190" s="2"/>
      <c r="CI3190" s="2">
        <v>1</v>
      </c>
      <c r="CJ3190" s="2">
        <v>1</v>
      </c>
      <c r="CK3190" s="2">
        <v>21</v>
      </c>
      <c r="CL3190" s="2" t="s">
        <v>86</v>
      </c>
      <c r="CM3190" s="2"/>
    </row>
    <row r="3191" spans="1:91">
      <c r="A3191" s="2" t="s">
        <v>71</v>
      </c>
      <c r="B3191" s="2" t="s">
        <v>72</v>
      </c>
      <c r="C3191" s="2" t="s">
        <v>73</v>
      </c>
      <c r="D3191" s="2"/>
      <c r="E3191" s="2" t="str">
        <f>"FES1162571806"</f>
        <v>FES1162571806</v>
      </c>
      <c r="F3191" s="3">
        <v>42975</v>
      </c>
      <c r="G3191" s="2">
        <v>201802</v>
      </c>
      <c r="H3191" s="2" t="s">
        <v>74</v>
      </c>
      <c r="I3191" s="2" t="s">
        <v>75</v>
      </c>
      <c r="J3191" s="2" t="s">
        <v>76</v>
      </c>
      <c r="K3191" s="2" t="s">
        <v>77</v>
      </c>
      <c r="L3191" s="2" t="s">
        <v>1663</v>
      </c>
      <c r="M3191" s="2" t="s">
        <v>1664</v>
      </c>
      <c r="N3191" s="2" t="s">
        <v>2504</v>
      </c>
      <c r="O3191" s="2" t="s">
        <v>100</v>
      </c>
      <c r="P3191" s="2" t="str">
        <f>"2170587441                    "</f>
        <v xml:space="preserve">2170587441                    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4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1</v>
      </c>
      <c r="BI3191" s="2">
        <v>1</v>
      </c>
      <c r="BJ3191" s="2">
        <v>0.2</v>
      </c>
      <c r="BK3191" s="2">
        <v>1</v>
      </c>
      <c r="BL3191" s="2">
        <v>41.44</v>
      </c>
      <c r="BM3191" s="2">
        <v>5.8</v>
      </c>
      <c r="BN3191" s="2">
        <v>47.24</v>
      </c>
      <c r="BO3191" s="2">
        <v>47.24</v>
      </c>
      <c r="BP3191" s="2"/>
      <c r="BQ3191" s="2" t="s">
        <v>288</v>
      </c>
      <c r="BR3191" s="2" t="s">
        <v>84</v>
      </c>
      <c r="BS3191" s="3">
        <v>42976</v>
      </c>
      <c r="BT3191" s="4">
        <v>0.45624999999999999</v>
      </c>
      <c r="BU3191" s="2" t="s">
        <v>2505</v>
      </c>
      <c r="BV3191" s="2" t="s">
        <v>95</v>
      </c>
      <c r="BW3191" s="2"/>
      <c r="BX3191" s="2"/>
      <c r="BY3191" s="2">
        <v>1200</v>
      </c>
      <c r="BZ3191" s="2"/>
      <c r="CA3191" s="2" t="s">
        <v>1668</v>
      </c>
      <c r="CB3191" s="2"/>
      <c r="CC3191" s="2" t="s">
        <v>1664</v>
      </c>
      <c r="CD3191" s="2">
        <v>3310</v>
      </c>
      <c r="CE3191" s="2" t="s">
        <v>104</v>
      </c>
      <c r="CF3191" s="5">
        <v>42978</v>
      </c>
      <c r="CG3191" s="2"/>
      <c r="CH3191" s="2"/>
      <c r="CI3191" s="2">
        <v>1</v>
      </c>
      <c r="CJ3191" s="2">
        <v>1</v>
      </c>
      <c r="CK3191" s="2">
        <v>21</v>
      </c>
      <c r="CL3191" s="2" t="s">
        <v>86</v>
      </c>
      <c r="CM3191" s="2"/>
    </row>
    <row r="3192" spans="1:91">
      <c r="A3192" s="2" t="s">
        <v>71</v>
      </c>
      <c r="B3192" s="2" t="s">
        <v>72</v>
      </c>
      <c r="C3192" s="2" t="s">
        <v>73</v>
      </c>
      <c r="D3192" s="2"/>
      <c r="E3192" s="2" t="str">
        <f>"FES1162571802"</f>
        <v>FES1162571802</v>
      </c>
      <c r="F3192" s="3">
        <v>42975</v>
      </c>
      <c r="G3192" s="2">
        <v>201802</v>
      </c>
      <c r="H3192" s="2" t="s">
        <v>74</v>
      </c>
      <c r="I3192" s="2" t="s">
        <v>75</v>
      </c>
      <c r="J3192" s="2" t="s">
        <v>76</v>
      </c>
      <c r="K3192" s="2" t="s">
        <v>77</v>
      </c>
      <c r="L3192" s="2" t="s">
        <v>221</v>
      </c>
      <c r="M3192" s="2" t="s">
        <v>222</v>
      </c>
      <c r="N3192" s="2" t="s">
        <v>415</v>
      </c>
      <c r="O3192" s="2" t="s">
        <v>100</v>
      </c>
      <c r="P3192" s="2" t="str">
        <f>"2170587435                    "</f>
        <v xml:space="preserve">2170587435                    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4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1</v>
      </c>
      <c r="BJ3192" s="2">
        <v>0.2</v>
      </c>
      <c r="BK3192" s="2">
        <v>1</v>
      </c>
      <c r="BL3192" s="2">
        <v>41.44</v>
      </c>
      <c r="BM3192" s="2">
        <v>5.8</v>
      </c>
      <c r="BN3192" s="2">
        <v>47.24</v>
      </c>
      <c r="BO3192" s="2">
        <v>47.24</v>
      </c>
      <c r="BP3192" s="2"/>
      <c r="BQ3192" s="2" t="s">
        <v>108</v>
      </c>
      <c r="BR3192" s="2" t="s">
        <v>84</v>
      </c>
      <c r="BS3192" s="3">
        <v>42976</v>
      </c>
      <c r="BT3192" s="4">
        <v>0.36527777777777781</v>
      </c>
      <c r="BU3192" s="2" t="s">
        <v>933</v>
      </c>
      <c r="BV3192" s="2" t="s">
        <v>95</v>
      </c>
      <c r="BW3192" s="2"/>
      <c r="BX3192" s="2"/>
      <c r="BY3192" s="2">
        <v>1200</v>
      </c>
      <c r="BZ3192" s="2" t="s">
        <v>27</v>
      </c>
      <c r="CA3192" s="2" t="s">
        <v>934</v>
      </c>
      <c r="CB3192" s="2"/>
      <c r="CC3192" s="2" t="s">
        <v>222</v>
      </c>
      <c r="CD3192" s="2">
        <v>4302</v>
      </c>
      <c r="CE3192" s="2" t="s">
        <v>104</v>
      </c>
      <c r="CF3192" s="5">
        <v>42977</v>
      </c>
      <c r="CG3192" s="2"/>
      <c r="CH3192" s="2"/>
      <c r="CI3192" s="2">
        <v>1</v>
      </c>
      <c r="CJ3192" s="2">
        <v>1</v>
      </c>
      <c r="CK3192" s="2">
        <v>21</v>
      </c>
      <c r="CL3192" s="2" t="s">
        <v>86</v>
      </c>
      <c r="CM3192" s="2"/>
    </row>
    <row r="3193" spans="1:91">
      <c r="A3193" s="2" t="s">
        <v>71</v>
      </c>
      <c r="B3193" s="2" t="s">
        <v>72</v>
      </c>
      <c r="C3193" s="2" t="s">
        <v>73</v>
      </c>
      <c r="D3193" s="2"/>
      <c r="E3193" s="2" t="str">
        <f>"FES1162571798"</f>
        <v>FES1162571798</v>
      </c>
      <c r="F3193" s="3">
        <v>42975</v>
      </c>
      <c r="G3193" s="2">
        <v>201802</v>
      </c>
      <c r="H3193" s="2" t="s">
        <v>74</v>
      </c>
      <c r="I3193" s="2" t="s">
        <v>75</v>
      </c>
      <c r="J3193" s="2" t="s">
        <v>76</v>
      </c>
      <c r="K3193" s="2" t="s">
        <v>77</v>
      </c>
      <c r="L3193" s="2" t="s">
        <v>237</v>
      </c>
      <c r="M3193" s="2" t="s">
        <v>238</v>
      </c>
      <c r="N3193" s="2" t="s">
        <v>765</v>
      </c>
      <c r="O3193" s="2" t="s">
        <v>100</v>
      </c>
      <c r="P3193" s="2" t="str">
        <f>"2170587335                    "</f>
        <v xml:space="preserve">2170587335                    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4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1</v>
      </c>
      <c r="BI3193" s="2">
        <v>1</v>
      </c>
      <c r="BJ3193" s="2">
        <v>0.2</v>
      </c>
      <c r="BK3193" s="2">
        <v>1</v>
      </c>
      <c r="BL3193" s="2">
        <v>41.44</v>
      </c>
      <c r="BM3193" s="2">
        <v>5.8</v>
      </c>
      <c r="BN3193" s="2">
        <v>47.24</v>
      </c>
      <c r="BO3193" s="2">
        <v>47.24</v>
      </c>
      <c r="BP3193" s="2"/>
      <c r="BQ3193" s="2" t="s">
        <v>108</v>
      </c>
      <c r="BR3193" s="2" t="s">
        <v>84</v>
      </c>
      <c r="BS3193" s="3">
        <v>42976</v>
      </c>
      <c r="BT3193" s="4">
        <v>0.3215277777777778</v>
      </c>
      <c r="BU3193" s="2" t="s">
        <v>766</v>
      </c>
      <c r="BV3193" s="2" t="s">
        <v>95</v>
      </c>
      <c r="BW3193" s="2"/>
      <c r="BX3193" s="2"/>
      <c r="BY3193" s="2">
        <v>1200</v>
      </c>
      <c r="BZ3193" s="2" t="s">
        <v>27</v>
      </c>
      <c r="CA3193" s="2" t="s">
        <v>401</v>
      </c>
      <c r="CB3193" s="2"/>
      <c r="CC3193" s="2" t="s">
        <v>238</v>
      </c>
      <c r="CD3193" s="2">
        <v>3610</v>
      </c>
      <c r="CE3193" s="2" t="s">
        <v>104</v>
      </c>
      <c r="CF3193" s="5">
        <v>42977</v>
      </c>
      <c r="CG3193" s="2"/>
      <c r="CH3193" s="2"/>
      <c r="CI3193" s="2">
        <v>1</v>
      </c>
      <c r="CJ3193" s="2">
        <v>1</v>
      </c>
      <c r="CK3193" s="2">
        <v>21</v>
      </c>
      <c r="CL3193" s="2" t="s">
        <v>86</v>
      </c>
      <c r="CM3193" s="2"/>
    </row>
    <row r="3194" spans="1:91">
      <c r="A3194" s="2" t="s">
        <v>71</v>
      </c>
      <c r="B3194" s="2" t="s">
        <v>72</v>
      </c>
      <c r="C3194" s="2" t="s">
        <v>73</v>
      </c>
      <c r="D3194" s="2"/>
      <c r="E3194" s="2" t="str">
        <f>"FES1162571781"</f>
        <v>FES1162571781</v>
      </c>
      <c r="F3194" s="3">
        <v>42975</v>
      </c>
      <c r="G3194" s="2">
        <v>201802</v>
      </c>
      <c r="H3194" s="2" t="s">
        <v>74</v>
      </c>
      <c r="I3194" s="2" t="s">
        <v>75</v>
      </c>
      <c r="J3194" s="2" t="s">
        <v>76</v>
      </c>
      <c r="K3194" s="2" t="s">
        <v>77</v>
      </c>
      <c r="L3194" s="2" t="s">
        <v>149</v>
      </c>
      <c r="M3194" s="2" t="s">
        <v>150</v>
      </c>
      <c r="N3194" s="2" t="s">
        <v>3343</v>
      </c>
      <c r="O3194" s="2" t="s">
        <v>100</v>
      </c>
      <c r="P3194" s="2" t="str">
        <f>"2170587416                    "</f>
        <v xml:space="preserve">2170587416                    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4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1</v>
      </c>
      <c r="BI3194" s="2">
        <v>1</v>
      </c>
      <c r="BJ3194" s="2">
        <v>0.2</v>
      </c>
      <c r="BK3194" s="2">
        <v>1</v>
      </c>
      <c r="BL3194" s="2">
        <v>41.44</v>
      </c>
      <c r="BM3194" s="2">
        <v>5.8</v>
      </c>
      <c r="BN3194" s="2">
        <v>47.24</v>
      </c>
      <c r="BO3194" s="2">
        <v>47.24</v>
      </c>
      <c r="BP3194" s="2"/>
      <c r="BQ3194" s="2" t="s">
        <v>3347</v>
      </c>
      <c r="BR3194" s="2" t="s">
        <v>84</v>
      </c>
      <c r="BS3194" s="3">
        <v>42976</v>
      </c>
      <c r="BT3194" s="4">
        <v>0.35347222222222219</v>
      </c>
      <c r="BU3194" s="2" t="s">
        <v>318</v>
      </c>
      <c r="BV3194" s="2" t="s">
        <v>95</v>
      </c>
      <c r="BW3194" s="2"/>
      <c r="BX3194" s="2"/>
      <c r="BY3194" s="2">
        <v>1200</v>
      </c>
      <c r="BZ3194" s="2" t="s">
        <v>27</v>
      </c>
      <c r="CA3194" s="2" t="s">
        <v>484</v>
      </c>
      <c r="CB3194" s="2"/>
      <c r="CC3194" s="2" t="s">
        <v>150</v>
      </c>
      <c r="CD3194" s="2">
        <v>4001</v>
      </c>
      <c r="CE3194" s="2" t="s">
        <v>104</v>
      </c>
      <c r="CF3194" s="5">
        <v>42977</v>
      </c>
      <c r="CG3194" s="2"/>
      <c r="CH3194" s="2"/>
      <c r="CI3194" s="2">
        <v>1</v>
      </c>
      <c r="CJ3194" s="2">
        <v>1</v>
      </c>
      <c r="CK3194" s="2">
        <v>21</v>
      </c>
      <c r="CL3194" s="2" t="s">
        <v>86</v>
      </c>
      <c r="CM3194" s="2"/>
    </row>
    <row r="3195" spans="1:91">
      <c r="A3195" s="2" t="s">
        <v>71</v>
      </c>
      <c r="B3195" s="2" t="s">
        <v>72</v>
      </c>
      <c r="C3195" s="2" t="s">
        <v>73</v>
      </c>
      <c r="D3195" s="2"/>
      <c r="E3195" s="2" t="str">
        <f>"FES1162571848"</f>
        <v>FES1162571848</v>
      </c>
      <c r="F3195" s="3">
        <v>42975</v>
      </c>
      <c r="G3195" s="2">
        <v>201802</v>
      </c>
      <c r="H3195" s="2" t="s">
        <v>74</v>
      </c>
      <c r="I3195" s="2" t="s">
        <v>75</v>
      </c>
      <c r="J3195" s="2" t="s">
        <v>76</v>
      </c>
      <c r="K3195" s="2" t="s">
        <v>77</v>
      </c>
      <c r="L3195" s="2" t="s">
        <v>216</v>
      </c>
      <c r="M3195" s="2" t="s">
        <v>217</v>
      </c>
      <c r="N3195" s="2" t="s">
        <v>351</v>
      </c>
      <c r="O3195" s="2" t="s">
        <v>100</v>
      </c>
      <c r="P3195" s="2" t="str">
        <f>"2170579310                    "</f>
        <v xml:space="preserve">2170579310                    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3.13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1</v>
      </c>
      <c r="BI3195" s="2">
        <v>4.0999999999999996</v>
      </c>
      <c r="BJ3195" s="2">
        <v>4.5</v>
      </c>
      <c r="BK3195" s="2">
        <v>5</v>
      </c>
      <c r="BL3195" s="2">
        <v>32.380000000000003</v>
      </c>
      <c r="BM3195" s="2">
        <v>4.53</v>
      </c>
      <c r="BN3195" s="2">
        <v>36.909999999999997</v>
      </c>
      <c r="BO3195" s="2">
        <v>36.909999999999997</v>
      </c>
      <c r="BP3195" s="2"/>
      <c r="BQ3195" s="2" t="s">
        <v>288</v>
      </c>
      <c r="BR3195" s="2" t="s">
        <v>84</v>
      </c>
      <c r="BS3195" s="3">
        <v>42976</v>
      </c>
      <c r="BT3195" s="4">
        <v>0.42708333333333331</v>
      </c>
      <c r="BU3195" s="2" t="s">
        <v>3348</v>
      </c>
      <c r="BV3195" s="2" t="s">
        <v>95</v>
      </c>
      <c r="BW3195" s="2"/>
      <c r="BX3195" s="2"/>
      <c r="BY3195" s="2">
        <v>22663.24</v>
      </c>
      <c r="BZ3195" s="2" t="s">
        <v>27</v>
      </c>
      <c r="CA3195" s="2" t="s">
        <v>220</v>
      </c>
      <c r="CB3195" s="2"/>
      <c r="CC3195" s="2" t="s">
        <v>217</v>
      </c>
      <c r="CD3195" s="2">
        <v>1451</v>
      </c>
      <c r="CE3195" s="2" t="s">
        <v>89</v>
      </c>
      <c r="CF3195" s="5">
        <v>42977</v>
      </c>
      <c r="CG3195" s="2"/>
      <c r="CH3195" s="2"/>
      <c r="CI3195" s="2">
        <v>1</v>
      </c>
      <c r="CJ3195" s="2">
        <v>1</v>
      </c>
      <c r="CK3195" s="2">
        <v>22</v>
      </c>
      <c r="CL3195" s="2" t="s">
        <v>86</v>
      </c>
      <c r="CM3195" s="2"/>
    </row>
    <row r="3196" spans="1:91">
      <c r="A3196" s="2" t="s">
        <v>71</v>
      </c>
      <c r="B3196" s="2" t="s">
        <v>72</v>
      </c>
      <c r="C3196" s="2" t="s">
        <v>73</v>
      </c>
      <c r="D3196" s="2"/>
      <c r="E3196" s="2" t="str">
        <f>"FES1162571804"</f>
        <v>FES1162571804</v>
      </c>
      <c r="F3196" s="3">
        <v>42975</v>
      </c>
      <c r="G3196" s="2">
        <v>201802</v>
      </c>
      <c r="H3196" s="2" t="s">
        <v>74</v>
      </c>
      <c r="I3196" s="2" t="s">
        <v>75</v>
      </c>
      <c r="J3196" s="2" t="s">
        <v>76</v>
      </c>
      <c r="K3196" s="2" t="s">
        <v>77</v>
      </c>
      <c r="L3196" s="2" t="s">
        <v>688</v>
      </c>
      <c r="M3196" s="2" t="s">
        <v>689</v>
      </c>
      <c r="N3196" s="2" t="s">
        <v>690</v>
      </c>
      <c r="O3196" s="2" t="s">
        <v>100</v>
      </c>
      <c r="P3196" s="2" t="str">
        <f>"2170587439                    "</f>
        <v xml:space="preserve">2170587439                    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7.75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1</v>
      </c>
      <c r="BI3196" s="2">
        <v>1</v>
      </c>
      <c r="BJ3196" s="2">
        <v>0.2</v>
      </c>
      <c r="BK3196" s="2">
        <v>1</v>
      </c>
      <c r="BL3196" s="2">
        <v>80.290000000000006</v>
      </c>
      <c r="BM3196" s="2">
        <v>11.24</v>
      </c>
      <c r="BN3196" s="2">
        <v>91.53</v>
      </c>
      <c r="BO3196" s="2">
        <v>91.53</v>
      </c>
      <c r="BP3196" s="2"/>
      <c r="BQ3196" s="2" t="s">
        <v>83</v>
      </c>
      <c r="BR3196" s="2" t="s">
        <v>84</v>
      </c>
      <c r="BS3196" s="3">
        <v>42976</v>
      </c>
      <c r="BT3196" s="4">
        <v>0.39583333333333331</v>
      </c>
      <c r="BU3196" s="2" t="s">
        <v>2615</v>
      </c>
      <c r="BV3196" s="2" t="s">
        <v>95</v>
      </c>
      <c r="BW3196" s="2"/>
      <c r="BX3196" s="2"/>
      <c r="BY3196" s="2">
        <v>1200</v>
      </c>
      <c r="BZ3196" s="2" t="s">
        <v>27</v>
      </c>
      <c r="CA3196" s="2" t="s">
        <v>692</v>
      </c>
      <c r="CB3196" s="2"/>
      <c r="CC3196" s="2" t="s">
        <v>689</v>
      </c>
      <c r="CD3196" s="2">
        <v>9880</v>
      </c>
      <c r="CE3196" s="2" t="s">
        <v>104</v>
      </c>
      <c r="CF3196" s="5">
        <v>42978</v>
      </c>
      <c r="CG3196" s="2"/>
      <c r="CH3196" s="2"/>
      <c r="CI3196" s="2">
        <v>1</v>
      </c>
      <c r="CJ3196" s="2">
        <v>1</v>
      </c>
      <c r="CK3196" s="2">
        <v>23</v>
      </c>
      <c r="CL3196" s="2" t="s">
        <v>86</v>
      </c>
      <c r="CM3196" s="2"/>
    </row>
    <row r="3197" spans="1:91">
      <c r="A3197" s="2" t="s">
        <v>71</v>
      </c>
      <c r="B3197" s="2" t="s">
        <v>72</v>
      </c>
      <c r="C3197" s="2" t="s">
        <v>73</v>
      </c>
      <c r="D3197" s="2"/>
      <c r="E3197" s="2" t="str">
        <f>"FES1162571834"</f>
        <v>FES1162571834</v>
      </c>
      <c r="F3197" s="3">
        <v>42975</v>
      </c>
      <c r="G3197" s="2">
        <v>201802</v>
      </c>
      <c r="H3197" s="2" t="s">
        <v>74</v>
      </c>
      <c r="I3197" s="2" t="s">
        <v>75</v>
      </c>
      <c r="J3197" s="2" t="s">
        <v>76</v>
      </c>
      <c r="K3197" s="2" t="s">
        <v>77</v>
      </c>
      <c r="L3197" s="2" t="s">
        <v>74</v>
      </c>
      <c r="M3197" s="2" t="s">
        <v>75</v>
      </c>
      <c r="N3197" s="2" t="s">
        <v>2014</v>
      </c>
      <c r="O3197" s="2" t="s">
        <v>100</v>
      </c>
      <c r="P3197" s="2" t="str">
        <f>"2170587465                    "</f>
        <v xml:space="preserve">2170587465                    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3.13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1</v>
      </c>
      <c r="BI3197" s="2">
        <v>1</v>
      </c>
      <c r="BJ3197" s="2">
        <v>0.2</v>
      </c>
      <c r="BK3197" s="2">
        <v>1</v>
      </c>
      <c r="BL3197" s="2">
        <v>32.380000000000003</v>
      </c>
      <c r="BM3197" s="2">
        <v>4.53</v>
      </c>
      <c r="BN3197" s="2">
        <v>36.909999999999997</v>
      </c>
      <c r="BO3197" s="2">
        <v>36.909999999999997</v>
      </c>
      <c r="BP3197" s="2"/>
      <c r="BQ3197" s="2" t="s">
        <v>288</v>
      </c>
      <c r="BR3197" s="2" t="s">
        <v>84</v>
      </c>
      <c r="BS3197" s="3">
        <v>42976</v>
      </c>
      <c r="BT3197" s="4">
        <v>0.36319444444444443</v>
      </c>
      <c r="BU3197" s="2" t="s">
        <v>3349</v>
      </c>
      <c r="BV3197" s="2" t="s">
        <v>95</v>
      </c>
      <c r="BW3197" s="2"/>
      <c r="BX3197" s="2"/>
      <c r="BY3197" s="2">
        <v>1200</v>
      </c>
      <c r="BZ3197" s="2" t="s">
        <v>27</v>
      </c>
      <c r="CA3197" s="2" t="s">
        <v>194</v>
      </c>
      <c r="CB3197" s="2"/>
      <c r="CC3197" s="2" t="s">
        <v>75</v>
      </c>
      <c r="CD3197" s="2">
        <v>1666</v>
      </c>
      <c r="CE3197" s="2" t="s">
        <v>104</v>
      </c>
      <c r="CF3197" s="5">
        <v>42977</v>
      </c>
      <c r="CG3197" s="2"/>
      <c r="CH3197" s="2"/>
      <c r="CI3197" s="2">
        <v>1</v>
      </c>
      <c r="CJ3197" s="2">
        <v>1</v>
      </c>
      <c r="CK3197" s="2">
        <v>22</v>
      </c>
      <c r="CL3197" s="2" t="s">
        <v>86</v>
      </c>
      <c r="CM3197" s="2"/>
    </row>
    <row r="3198" spans="1:91">
      <c r="A3198" s="2" t="s">
        <v>71</v>
      </c>
      <c r="B3198" s="2" t="s">
        <v>72</v>
      </c>
      <c r="C3198" s="2" t="s">
        <v>73</v>
      </c>
      <c r="D3198" s="2"/>
      <c r="E3198" s="2" t="str">
        <f>"FES1162571845"</f>
        <v>FES1162571845</v>
      </c>
      <c r="F3198" s="3">
        <v>42975</v>
      </c>
      <c r="G3198" s="2">
        <v>201802</v>
      </c>
      <c r="H3198" s="2" t="s">
        <v>74</v>
      </c>
      <c r="I3198" s="2" t="s">
        <v>75</v>
      </c>
      <c r="J3198" s="2" t="s">
        <v>76</v>
      </c>
      <c r="K3198" s="2" t="s">
        <v>77</v>
      </c>
      <c r="L3198" s="2" t="s">
        <v>268</v>
      </c>
      <c r="M3198" s="2" t="s">
        <v>269</v>
      </c>
      <c r="N3198" s="2" t="s">
        <v>442</v>
      </c>
      <c r="O3198" s="2" t="s">
        <v>100</v>
      </c>
      <c r="P3198" s="2" t="str">
        <f>"2170587476                    "</f>
        <v xml:space="preserve">2170587476                    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28.02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1</v>
      </c>
      <c r="BI3198" s="2">
        <v>13.9</v>
      </c>
      <c r="BJ3198" s="2">
        <v>4.3</v>
      </c>
      <c r="BK3198" s="2">
        <v>14</v>
      </c>
      <c r="BL3198" s="2">
        <v>290.10000000000002</v>
      </c>
      <c r="BM3198" s="2">
        <v>40.61</v>
      </c>
      <c r="BN3198" s="2">
        <v>330.71</v>
      </c>
      <c r="BO3198" s="2">
        <v>330.71</v>
      </c>
      <c r="BP3198" s="2"/>
      <c r="BQ3198" s="2" t="s">
        <v>83</v>
      </c>
      <c r="BR3198" s="2" t="s">
        <v>84</v>
      </c>
      <c r="BS3198" s="3">
        <v>42976</v>
      </c>
      <c r="BT3198" s="4">
        <v>0.40833333333333338</v>
      </c>
      <c r="BU3198" s="2" t="s">
        <v>443</v>
      </c>
      <c r="BV3198" s="2" t="s">
        <v>95</v>
      </c>
      <c r="BW3198" s="2"/>
      <c r="BX3198" s="2"/>
      <c r="BY3198" s="2">
        <v>21621.88</v>
      </c>
      <c r="BZ3198" s="2" t="s">
        <v>27</v>
      </c>
      <c r="CA3198" s="2" t="s">
        <v>445</v>
      </c>
      <c r="CB3198" s="2"/>
      <c r="CC3198" s="2" t="s">
        <v>269</v>
      </c>
      <c r="CD3198" s="2">
        <v>1</v>
      </c>
      <c r="CE3198" s="2" t="s">
        <v>89</v>
      </c>
      <c r="CF3198" s="5">
        <v>42977</v>
      </c>
      <c r="CG3198" s="2"/>
      <c r="CH3198" s="2"/>
      <c r="CI3198" s="2">
        <v>1</v>
      </c>
      <c r="CJ3198" s="2">
        <v>1</v>
      </c>
      <c r="CK3198" s="2">
        <v>21</v>
      </c>
      <c r="CL3198" s="2" t="s">
        <v>86</v>
      </c>
      <c r="CM3198" s="2"/>
    </row>
    <row r="3199" spans="1:91">
      <c r="A3199" s="2" t="s">
        <v>71</v>
      </c>
      <c r="B3199" s="2" t="s">
        <v>72</v>
      </c>
      <c r="C3199" s="2" t="s">
        <v>73</v>
      </c>
      <c r="D3199" s="2"/>
      <c r="E3199" s="2" t="str">
        <f>"FES1162571830"</f>
        <v>FES1162571830</v>
      </c>
      <c r="F3199" s="3">
        <v>42975</v>
      </c>
      <c r="G3199" s="2">
        <v>201802</v>
      </c>
      <c r="H3199" s="2" t="s">
        <v>74</v>
      </c>
      <c r="I3199" s="2" t="s">
        <v>75</v>
      </c>
      <c r="J3199" s="2" t="s">
        <v>76</v>
      </c>
      <c r="K3199" s="2" t="s">
        <v>77</v>
      </c>
      <c r="L3199" s="2" t="s">
        <v>170</v>
      </c>
      <c r="M3199" s="2" t="s">
        <v>171</v>
      </c>
      <c r="N3199" s="2" t="s">
        <v>3350</v>
      </c>
      <c r="O3199" s="2" t="s">
        <v>100</v>
      </c>
      <c r="P3199" s="2" t="str">
        <f>"2170587457                    "</f>
        <v xml:space="preserve">2170587457                    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3.13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1</v>
      </c>
      <c r="BI3199" s="2">
        <v>1</v>
      </c>
      <c r="BJ3199" s="2">
        <v>0.2</v>
      </c>
      <c r="BK3199" s="2">
        <v>1</v>
      </c>
      <c r="BL3199" s="2">
        <v>32.380000000000003</v>
      </c>
      <c r="BM3199" s="2">
        <v>4.53</v>
      </c>
      <c r="BN3199" s="2">
        <v>36.909999999999997</v>
      </c>
      <c r="BO3199" s="2">
        <v>36.909999999999997</v>
      </c>
      <c r="BP3199" s="2"/>
      <c r="BQ3199" s="2" t="s">
        <v>288</v>
      </c>
      <c r="BR3199" s="2" t="s">
        <v>84</v>
      </c>
      <c r="BS3199" s="3">
        <v>42976</v>
      </c>
      <c r="BT3199" s="4">
        <v>0.35555555555555557</v>
      </c>
      <c r="BU3199" s="2" t="s">
        <v>3351</v>
      </c>
      <c r="BV3199" s="2" t="s">
        <v>95</v>
      </c>
      <c r="BW3199" s="2"/>
      <c r="BX3199" s="2"/>
      <c r="BY3199" s="2">
        <v>1200</v>
      </c>
      <c r="BZ3199" s="2" t="s">
        <v>27</v>
      </c>
      <c r="CA3199" s="2" t="s">
        <v>492</v>
      </c>
      <c r="CB3199" s="2"/>
      <c r="CC3199" s="2" t="s">
        <v>171</v>
      </c>
      <c r="CD3199" s="2">
        <v>1422</v>
      </c>
      <c r="CE3199" s="2" t="s">
        <v>104</v>
      </c>
      <c r="CF3199" s="5">
        <v>42977</v>
      </c>
      <c r="CG3199" s="2"/>
      <c r="CH3199" s="2"/>
      <c r="CI3199" s="2">
        <v>1</v>
      </c>
      <c r="CJ3199" s="2">
        <v>1</v>
      </c>
      <c r="CK3199" s="2">
        <v>22</v>
      </c>
      <c r="CL3199" s="2" t="s">
        <v>86</v>
      </c>
      <c r="CM3199" s="2"/>
    </row>
    <row r="3200" spans="1:91">
      <c r="A3200" s="2" t="s">
        <v>71</v>
      </c>
      <c r="B3200" s="2" t="s">
        <v>72</v>
      </c>
      <c r="C3200" s="2" t="s">
        <v>73</v>
      </c>
      <c r="D3200" s="2"/>
      <c r="E3200" s="2" t="str">
        <f>"FES1162571832"</f>
        <v>FES1162571832</v>
      </c>
      <c r="F3200" s="3">
        <v>42975</v>
      </c>
      <c r="G3200" s="2">
        <v>201802</v>
      </c>
      <c r="H3200" s="2" t="s">
        <v>74</v>
      </c>
      <c r="I3200" s="2" t="s">
        <v>75</v>
      </c>
      <c r="J3200" s="2" t="s">
        <v>76</v>
      </c>
      <c r="K3200" s="2" t="s">
        <v>77</v>
      </c>
      <c r="L3200" s="2" t="s">
        <v>539</v>
      </c>
      <c r="M3200" s="2" t="s">
        <v>540</v>
      </c>
      <c r="N3200" s="2" t="s">
        <v>602</v>
      </c>
      <c r="O3200" s="2" t="s">
        <v>100</v>
      </c>
      <c r="P3200" s="2" t="str">
        <f>"2170587462                    "</f>
        <v xml:space="preserve">2170587462                    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3.13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1</v>
      </c>
      <c r="BI3200" s="2">
        <v>1</v>
      </c>
      <c r="BJ3200" s="2">
        <v>0.2</v>
      </c>
      <c r="BK3200" s="2">
        <v>1</v>
      </c>
      <c r="BL3200" s="2">
        <v>32.380000000000003</v>
      </c>
      <c r="BM3200" s="2">
        <v>4.53</v>
      </c>
      <c r="BN3200" s="2">
        <v>36.909999999999997</v>
      </c>
      <c r="BO3200" s="2">
        <v>36.909999999999997</v>
      </c>
      <c r="BP3200" s="2"/>
      <c r="BQ3200" s="2" t="s">
        <v>83</v>
      </c>
      <c r="BR3200" s="2" t="s">
        <v>84</v>
      </c>
      <c r="BS3200" s="3">
        <v>42976</v>
      </c>
      <c r="BT3200" s="4">
        <v>0.43472222222222223</v>
      </c>
      <c r="BU3200" s="2" t="s">
        <v>2802</v>
      </c>
      <c r="BV3200" s="2" t="s">
        <v>95</v>
      </c>
      <c r="BW3200" s="2"/>
      <c r="BX3200" s="2"/>
      <c r="BY3200" s="2">
        <v>1200</v>
      </c>
      <c r="BZ3200" s="2" t="s">
        <v>27</v>
      </c>
      <c r="CA3200" s="2" t="s">
        <v>722</v>
      </c>
      <c r="CB3200" s="2"/>
      <c r="CC3200" s="2" t="s">
        <v>540</v>
      </c>
      <c r="CD3200" s="2">
        <v>2162</v>
      </c>
      <c r="CE3200" s="2" t="s">
        <v>104</v>
      </c>
      <c r="CF3200" s="5">
        <v>42977</v>
      </c>
      <c r="CG3200" s="2"/>
      <c r="CH3200" s="2"/>
      <c r="CI3200" s="2">
        <v>1</v>
      </c>
      <c r="CJ3200" s="2">
        <v>1</v>
      </c>
      <c r="CK3200" s="2">
        <v>22</v>
      </c>
      <c r="CL3200" s="2" t="s">
        <v>86</v>
      </c>
      <c r="CM3200" s="2"/>
    </row>
    <row r="3201" spans="1:91">
      <c r="A3201" s="2" t="s">
        <v>71</v>
      </c>
      <c r="B3201" s="2" t="s">
        <v>72</v>
      </c>
      <c r="C3201" s="2" t="s">
        <v>73</v>
      </c>
      <c r="D3201" s="2"/>
      <c r="E3201" s="2" t="str">
        <f>"FES1162571823"</f>
        <v>FES1162571823</v>
      </c>
      <c r="F3201" s="3">
        <v>42975</v>
      </c>
      <c r="G3201" s="2">
        <v>201802</v>
      </c>
      <c r="H3201" s="2" t="s">
        <v>74</v>
      </c>
      <c r="I3201" s="2" t="s">
        <v>75</v>
      </c>
      <c r="J3201" s="2" t="s">
        <v>76</v>
      </c>
      <c r="K3201" s="2" t="s">
        <v>77</v>
      </c>
      <c r="L3201" s="2" t="s">
        <v>74</v>
      </c>
      <c r="M3201" s="2" t="s">
        <v>75</v>
      </c>
      <c r="N3201" s="2" t="s">
        <v>1731</v>
      </c>
      <c r="O3201" s="2" t="s">
        <v>100</v>
      </c>
      <c r="P3201" s="2" t="str">
        <f>"2170587550                    "</f>
        <v xml:space="preserve">2170587550                    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3.13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1</v>
      </c>
      <c r="BI3201" s="2">
        <v>1.9</v>
      </c>
      <c r="BJ3201" s="2">
        <v>3.5</v>
      </c>
      <c r="BK3201" s="2">
        <v>4</v>
      </c>
      <c r="BL3201" s="2">
        <v>32.380000000000003</v>
      </c>
      <c r="BM3201" s="2">
        <v>4.53</v>
      </c>
      <c r="BN3201" s="2">
        <v>36.909999999999997</v>
      </c>
      <c r="BO3201" s="2">
        <v>36.909999999999997</v>
      </c>
      <c r="BP3201" s="2"/>
      <c r="BQ3201" s="2" t="s">
        <v>288</v>
      </c>
      <c r="BR3201" s="2" t="s">
        <v>84</v>
      </c>
      <c r="BS3201" s="3">
        <v>42976</v>
      </c>
      <c r="BT3201" s="4">
        <v>0.41666666666666669</v>
      </c>
      <c r="BU3201" s="2" t="s">
        <v>3352</v>
      </c>
      <c r="BV3201" s="2" t="s">
        <v>95</v>
      </c>
      <c r="BW3201" s="2"/>
      <c r="BX3201" s="2"/>
      <c r="BY3201" s="2">
        <v>17472.400000000001</v>
      </c>
      <c r="BZ3201" s="2" t="s">
        <v>27</v>
      </c>
      <c r="CA3201" s="2" t="s">
        <v>960</v>
      </c>
      <c r="CB3201" s="2"/>
      <c r="CC3201" s="2" t="s">
        <v>75</v>
      </c>
      <c r="CD3201" s="2">
        <v>1609</v>
      </c>
      <c r="CE3201" s="2" t="s">
        <v>89</v>
      </c>
      <c r="CF3201" s="5">
        <v>42977</v>
      </c>
      <c r="CG3201" s="2"/>
      <c r="CH3201" s="2"/>
      <c r="CI3201" s="2">
        <v>1</v>
      </c>
      <c r="CJ3201" s="2">
        <v>1</v>
      </c>
      <c r="CK3201" s="2">
        <v>22</v>
      </c>
      <c r="CL3201" s="2" t="s">
        <v>86</v>
      </c>
      <c r="CM3201" s="2"/>
    </row>
    <row r="3202" spans="1:91">
      <c r="A3202" s="2" t="s">
        <v>71</v>
      </c>
      <c r="B3202" s="2" t="s">
        <v>72</v>
      </c>
      <c r="C3202" s="2" t="s">
        <v>73</v>
      </c>
      <c r="D3202" s="2"/>
      <c r="E3202" s="2" t="str">
        <f>"FES1162571777"</f>
        <v>FES1162571777</v>
      </c>
      <c r="F3202" s="3">
        <v>42975</v>
      </c>
      <c r="G3202" s="2">
        <v>201802</v>
      </c>
      <c r="H3202" s="2" t="s">
        <v>74</v>
      </c>
      <c r="I3202" s="2" t="s">
        <v>75</v>
      </c>
      <c r="J3202" s="2" t="s">
        <v>76</v>
      </c>
      <c r="K3202" s="2" t="s">
        <v>77</v>
      </c>
      <c r="L3202" s="2" t="s">
        <v>149</v>
      </c>
      <c r="M3202" s="2" t="s">
        <v>150</v>
      </c>
      <c r="N3202" s="2" t="s">
        <v>93</v>
      </c>
      <c r="O3202" s="2" t="s">
        <v>100</v>
      </c>
      <c r="P3202" s="2" t="str">
        <f>"2170587412                    "</f>
        <v xml:space="preserve">2170587412                    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4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1</v>
      </c>
      <c r="BI3202" s="2">
        <v>1</v>
      </c>
      <c r="BJ3202" s="2">
        <v>0.2</v>
      </c>
      <c r="BK3202" s="2">
        <v>1</v>
      </c>
      <c r="BL3202" s="2">
        <v>41.44</v>
      </c>
      <c r="BM3202" s="2">
        <v>5.8</v>
      </c>
      <c r="BN3202" s="2">
        <v>47.24</v>
      </c>
      <c r="BO3202" s="2">
        <v>47.24</v>
      </c>
      <c r="BP3202" s="2"/>
      <c r="BQ3202" s="2"/>
      <c r="BR3202" s="2" t="s">
        <v>84</v>
      </c>
      <c r="BS3202" s="3">
        <v>42976</v>
      </c>
      <c r="BT3202" s="4">
        <v>0.35347222222222219</v>
      </c>
      <c r="BU3202" s="2" t="s">
        <v>318</v>
      </c>
      <c r="BV3202" s="2" t="s">
        <v>95</v>
      </c>
      <c r="BW3202" s="2"/>
      <c r="BX3202" s="2"/>
      <c r="BY3202" s="2">
        <v>1200</v>
      </c>
      <c r="BZ3202" s="2" t="s">
        <v>27</v>
      </c>
      <c r="CA3202" s="2" t="s">
        <v>484</v>
      </c>
      <c r="CB3202" s="2"/>
      <c r="CC3202" s="2" t="s">
        <v>150</v>
      </c>
      <c r="CD3202" s="2">
        <v>4001</v>
      </c>
      <c r="CE3202" s="2" t="s">
        <v>104</v>
      </c>
      <c r="CF3202" s="5">
        <v>42977</v>
      </c>
      <c r="CG3202" s="2"/>
      <c r="CH3202" s="2"/>
      <c r="CI3202" s="2">
        <v>1</v>
      </c>
      <c r="CJ3202" s="2">
        <v>1</v>
      </c>
      <c r="CK3202" s="2">
        <v>21</v>
      </c>
      <c r="CL3202" s="2" t="s">
        <v>86</v>
      </c>
      <c r="CM3202" s="2"/>
    </row>
    <row r="3203" spans="1:91">
      <c r="A3203" s="2" t="s">
        <v>71</v>
      </c>
      <c r="B3203" s="2" t="s">
        <v>72</v>
      </c>
      <c r="C3203" s="2" t="s">
        <v>73</v>
      </c>
      <c r="D3203" s="2"/>
      <c r="E3203" s="2" t="str">
        <f>"FES1162571822"</f>
        <v>FES1162571822</v>
      </c>
      <c r="F3203" s="3">
        <v>42975</v>
      </c>
      <c r="G3203" s="2">
        <v>201802</v>
      </c>
      <c r="H3203" s="2" t="s">
        <v>74</v>
      </c>
      <c r="I3203" s="2" t="s">
        <v>75</v>
      </c>
      <c r="J3203" s="2" t="s">
        <v>76</v>
      </c>
      <c r="K3203" s="2" t="s">
        <v>77</v>
      </c>
      <c r="L3203" s="2" t="s">
        <v>144</v>
      </c>
      <c r="M3203" s="2" t="s">
        <v>145</v>
      </c>
      <c r="N3203" s="2" t="s">
        <v>146</v>
      </c>
      <c r="O3203" s="2" t="s">
        <v>100</v>
      </c>
      <c r="P3203" s="2" t="str">
        <f>"2170587449                    "</f>
        <v xml:space="preserve">2170587449                    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3.13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1</v>
      </c>
      <c r="BI3203" s="2">
        <v>1</v>
      </c>
      <c r="BJ3203" s="2">
        <v>0.2</v>
      </c>
      <c r="BK3203" s="2">
        <v>1</v>
      </c>
      <c r="BL3203" s="2">
        <v>32.380000000000003</v>
      </c>
      <c r="BM3203" s="2">
        <v>4.53</v>
      </c>
      <c r="BN3203" s="2">
        <v>36.909999999999997</v>
      </c>
      <c r="BO3203" s="2">
        <v>36.909999999999997</v>
      </c>
      <c r="BP3203" s="2"/>
      <c r="BQ3203" s="2" t="s">
        <v>83</v>
      </c>
      <c r="BR3203" s="2" t="s">
        <v>84</v>
      </c>
      <c r="BS3203" s="3">
        <v>42976</v>
      </c>
      <c r="BT3203" s="4">
        <v>0.40625</v>
      </c>
      <c r="BU3203" s="2" t="s">
        <v>3353</v>
      </c>
      <c r="BV3203" s="2" t="s">
        <v>95</v>
      </c>
      <c r="BW3203" s="2"/>
      <c r="BX3203" s="2"/>
      <c r="BY3203" s="2">
        <v>1200</v>
      </c>
      <c r="BZ3203" s="2" t="s">
        <v>27</v>
      </c>
      <c r="CA3203" s="2" t="s">
        <v>274</v>
      </c>
      <c r="CB3203" s="2"/>
      <c r="CC3203" s="2" t="s">
        <v>145</v>
      </c>
      <c r="CD3203" s="2">
        <v>2094</v>
      </c>
      <c r="CE3203" s="2" t="s">
        <v>104</v>
      </c>
      <c r="CF3203" s="5">
        <v>42977</v>
      </c>
      <c r="CG3203" s="2"/>
      <c r="CH3203" s="2"/>
      <c r="CI3203" s="2">
        <v>1</v>
      </c>
      <c r="CJ3203" s="2">
        <v>1</v>
      </c>
      <c r="CK3203" s="2">
        <v>22</v>
      </c>
      <c r="CL3203" s="2" t="s">
        <v>86</v>
      </c>
      <c r="CM3203" s="2"/>
    </row>
    <row r="3204" spans="1:91">
      <c r="A3204" s="2" t="s">
        <v>71</v>
      </c>
      <c r="B3204" s="2" t="s">
        <v>72</v>
      </c>
      <c r="C3204" s="2" t="s">
        <v>73</v>
      </c>
      <c r="D3204" s="2"/>
      <c r="E3204" s="2" t="str">
        <f>"FES1162521478"</f>
        <v>FES1162521478</v>
      </c>
      <c r="F3204" s="3">
        <v>42975</v>
      </c>
      <c r="G3204" s="2">
        <v>201802</v>
      </c>
      <c r="H3204" s="2" t="s">
        <v>74</v>
      </c>
      <c r="I3204" s="2" t="s">
        <v>75</v>
      </c>
      <c r="J3204" s="2" t="s">
        <v>76</v>
      </c>
      <c r="K3204" s="2" t="s">
        <v>77</v>
      </c>
      <c r="L3204" s="2" t="s">
        <v>268</v>
      </c>
      <c r="M3204" s="2" t="s">
        <v>269</v>
      </c>
      <c r="N3204" s="2" t="s">
        <v>3354</v>
      </c>
      <c r="O3204" s="2" t="s">
        <v>100</v>
      </c>
      <c r="P3204" s="2" t="str">
        <f>"2170542772                    "</f>
        <v xml:space="preserve">2170542772                    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13.01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1</v>
      </c>
      <c r="BI3204" s="2">
        <v>6.3</v>
      </c>
      <c r="BJ3204" s="2">
        <v>2</v>
      </c>
      <c r="BK3204" s="2">
        <v>6.5</v>
      </c>
      <c r="BL3204" s="2">
        <v>134.69</v>
      </c>
      <c r="BM3204" s="2">
        <v>18.86</v>
      </c>
      <c r="BN3204" s="2">
        <v>153.55000000000001</v>
      </c>
      <c r="BO3204" s="2">
        <v>153.55000000000001</v>
      </c>
      <c r="BP3204" s="2"/>
      <c r="BQ3204" s="2" t="s">
        <v>288</v>
      </c>
      <c r="BR3204" s="2" t="s">
        <v>84</v>
      </c>
      <c r="BS3204" s="3">
        <v>42976</v>
      </c>
      <c r="BT3204" s="4">
        <v>0.45833333333333331</v>
      </c>
      <c r="BU3204" s="2" t="s">
        <v>3355</v>
      </c>
      <c r="BV3204" s="2" t="s">
        <v>86</v>
      </c>
      <c r="BW3204" s="2" t="s">
        <v>110</v>
      </c>
      <c r="BX3204" s="2" t="s">
        <v>623</v>
      </c>
      <c r="BY3204" s="2">
        <v>10046.59</v>
      </c>
      <c r="BZ3204" s="2" t="s">
        <v>27</v>
      </c>
      <c r="CA3204" s="2"/>
      <c r="CB3204" s="2"/>
      <c r="CC3204" s="2" t="s">
        <v>269</v>
      </c>
      <c r="CD3204" s="2">
        <v>84</v>
      </c>
      <c r="CE3204" s="2" t="s">
        <v>89</v>
      </c>
      <c r="CF3204" s="5">
        <v>42977</v>
      </c>
      <c r="CG3204" s="2"/>
      <c r="CH3204" s="2"/>
      <c r="CI3204" s="2">
        <v>1</v>
      </c>
      <c r="CJ3204" s="2">
        <v>1</v>
      </c>
      <c r="CK3204" s="2">
        <v>21</v>
      </c>
      <c r="CL3204" s="2" t="s">
        <v>86</v>
      </c>
      <c r="CM3204" s="2"/>
    </row>
    <row r="3205" spans="1:91">
      <c r="A3205" s="2" t="s">
        <v>71</v>
      </c>
      <c r="B3205" s="2" t="s">
        <v>72</v>
      </c>
      <c r="C3205" s="2" t="s">
        <v>73</v>
      </c>
      <c r="D3205" s="2"/>
      <c r="E3205" s="2" t="str">
        <f>"FES1162571799"</f>
        <v>FES1162571799</v>
      </c>
      <c r="F3205" s="3">
        <v>42975</v>
      </c>
      <c r="G3205" s="2">
        <v>201802</v>
      </c>
      <c r="H3205" s="2" t="s">
        <v>74</v>
      </c>
      <c r="I3205" s="2" t="s">
        <v>75</v>
      </c>
      <c r="J3205" s="2" t="s">
        <v>76</v>
      </c>
      <c r="K3205" s="2" t="s">
        <v>77</v>
      </c>
      <c r="L3205" s="2" t="s">
        <v>244</v>
      </c>
      <c r="M3205" s="2" t="s">
        <v>245</v>
      </c>
      <c r="N3205" s="2" t="s">
        <v>2156</v>
      </c>
      <c r="O3205" s="2" t="s">
        <v>100</v>
      </c>
      <c r="P3205" s="2" t="str">
        <f>"2170587402                    "</f>
        <v xml:space="preserve">2170587402                    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3.13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1</v>
      </c>
      <c r="BI3205" s="2">
        <v>1.2</v>
      </c>
      <c r="BJ3205" s="2">
        <v>3.3</v>
      </c>
      <c r="BK3205" s="2">
        <v>4</v>
      </c>
      <c r="BL3205" s="2">
        <v>32.380000000000003</v>
      </c>
      <c r="BM3205" s="2">
        <v>4.53</v>
      </c>
      <c r="BN3205" s="2">
        <v>36.909999999999997</v>
      </c>
      <c r="BO3205" s="2">
        <v>36.909999999999997</v>
      </c>
      <c r="BP3205" s="2"/>
      <c r="BQ3205" s="2" t="s">
        <v>108</v>
      </c>
      <c r="BR3205" s="2" t="s">
        <v>84</v>
      </c>
      <c r="BS3205" s="3">
        <v>42976</v>
      </c>
      <c r="BT3205" s="4">
        <v>0.39027777777777778</v>
      </c>
      <c r="BU3205" s="2" t="s">
        <v>3356</v>
      </c>
      <c r="BV3205" s="2" t="s">
        <v>95</v>
      </c>
      <c r="BW3205" s="2"/>
      <c r="BX3205" s="2"/>
      <c r="BY3205" s="2">
        <v>16392.38</v>
      </c>
      <c r="BZ3205" s="2" t="s">
        <v>27</v>
      </c>
      <c r="CA3205" s="2"/>
      <c r="CB3205" s="2"/>
      <c r="CC3205" s="2" t="s">
        <v>245</v>
      </c>
      <c r="CD3205" s="2">
        <v>1459</v>
      </c>
      <c r="CE3205" s="2" t="s">
        <v>89</v>
      </c>
      <c r="CF3205" s="5">
        <v>42977</v>
      </c>
      <c r="CG3205" s="2"/>
      <c r="CH3205" s="2"/>
      <c r="CI3205" s="2">
        <v>1</v>
      </c>
      <c r="CJ3205" s="2">
        <v>1</v>
      </c>
      <c r="CK3205" s="2">
        <v>22</v>
      </c>
      <c r="CL3205" s="2" t="s">
        <v>86</v>
      </c>
      <c r="CM3205" s="2"/>
    </row>
    <row r="3206" spans="1:91">
      <c r="A3206" s="2" t="s">
        <v>71</v>
      </c>
      <c r="B3206" s="2" t="s">
        <v>72</v>
      </c>
      <c r="C3206" s="2" t="s">
        <v>73</v>
      </c>
      <c r="D3206" s="2"/>
      <c r="E3206" s="2" t="str">
        <f>"FES1162571809"</f>
        <v>FES1162571809</v>
      </c>
      <c r="F3206" s="3">
        <v>42975</v>
      </c>
      <c r="G3206" s="2">
        <v>201802</v>
      </c>
      <c r="H3206" s="2" t="s">
        <v>74</v>
      </c>
      <c r="I3206" s="2" t="s">
        <v>75</v>
      </c>
      <c r="J3206" s="2" t="s">
        <v>76</v>
      </c>
      <c r="K3206" s="2" t="s">
        <v>77</v>
      </c>
      <c r="L3206" s="2" t="s">
        <v>321</v>
      </c>
      <c r="M3206" s="2" t="s">
        <v>322</v>
      </c>
      <c r="N3206" s="2" t="s">
        <v>323</v>
      </c>
      <c r="O3206" s="2" t="s">
        <v>100</v>
      </c>
      <c r="P3206" s="2" t="str">
        <f>"2170587444                    "</f>
        <v xml:space="preserve">2170587444                    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4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1</v>
      </c>
      <c r="BI3206" s="2">
        <v>1</v>
      </c>
      <c r="BJ3206" s="2">
        <v>0.2</v>
      </c>
      <c r="BK3206" s="2">
        <v>1</v>
      </c>
      <c r="BL3206" s="2">
        <v>41.44</v>
      </c>
      <c r="BM3206" s="2">
        <v>5.8</v>
      </c>
      <c r="BN3206" s="2">
        <v>47.24</v>
      </c>
      <c r="BO3206" s="2">
        <v>47.24</v>
      </c>
      <c r="BP3206" s="2"/>
      <c r="BQ3206" s="2" t="s">
        <v>83</v>
      </c>
      <c r="BR3206" s="2" t="s">
        <v>84</v>
      </c>
      <c r="BS3206" s="3">
        <v>42976</v>
      </c>
      <c r="BT3206" s="4">
        <v>0.39513888888888887</v>
      </c>
      <c r="BU3206" s="2" t="s">
        <v>324</v>
      </c>
      <c r="BV3206" s="2" t="s">
        <v>95</v>
      </c>
      <c r="BW3206" s="2"/>
      <c r="BX3206" s="2"/>
      <c r="BY3206" s="2">
        <v>1200</v>
      </c>
      <c r="BZ3206" s="2" t="s">
        <v>27</v>
      </c>
      <c r="CA3206" s="2" t="s">
        <v>103</v>
      </c>
      <c r="CB3206" s="2"/>
      <c r="CC3206" s="2" t="s">
        <v>322</v>
      </c>
      <c r="CD3206" s="2">
        <v>6220</v>
      </c>
      <c r="CE3206" s="2" t="s">
        <v>104</v>
      </c>
      <c r="CF3206" s="5">
        <v>42977</v>
      </c>
      <c r="CG3206" s="2"/>
      <c r="CH3206" s="2"/>
      <c r="CI3206" s="2">
        <v>1</v>
      </c>
      <c r="CJ3206" s="2">
        <v>1</v>
      </c>
      <c r="CK3206" s="2">
        <v>21</v>
      </c>
      <c r="CL3206" s="2" t="s">
        <v>86</v>
      </c>
      <c r="CM3206" s="2"/>
    </row>
    <row r="3207" spans="1:91">
      <c r="A3207" s="2" t="s">
        <v>71</v>
      </c>
      <c r="B3207" s="2" t="s">
        <v>72</v>
      </c>
      <c r="C3207" s="2" t="s">
        <v>73</v>
      </c>
      <c r="D3207" s="2"/>
      <c r="E3207" s="2" t="str">
        <f>"FES1162571774"</f>
        <v>FES1162571774</v>
      </c>
      <c r="F3207" s="3">
        <v>42975</v>
      </c>
      <c r="G3207" s="2">
        <v>201802</v>
      </c>
      <c r="H3207" s="2" t="s">
        <v>74</v>
      </c>
      <c r="I3207" s="2" t="s">
        <v>75</v>
      </c>
      <c r="J3207" s="2" t="s">
        <v>76</v>
      </c>
      <c r="K3207" s="2" t="s">
        <v>77</v>
      </c>
      <c r="L3207" s="2" t="s">
        <v>97</v>
      </c>
      <c r="M3207" s="2" t="s">
        <v>98</v>
      </c>
      <c r="N3207" s="2" t="s">
        <v>1075</v>
      </c>
      <c r="O3207" s="2" t="s">
        <v>100</v>
      </c>
      <c r="P3207" s="2" t="str">
        <f>"2170587408                    "</f>
        <v xml:space="preserve">2170587408                    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27.02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  <c r="BG3207" s="2">
        <v>0</v>
      </c>
      <c r="BH3207" s="2">
        <v>2</v>
      </c>
      <c r="BI3207" s="2">
        <v>13.3</v>
      </c>
      <c r="BJ3207" s="2">
        <v>4.4000000000000004</v>
      </c>
      <c r="BK3207" s="2">
        <v>13.5</v>
      </c>
      <c r="BL3207" s="2">
        <v>279.74</v>
      </c>
      <c r="BM3207" s="2">
        <v>39.159999999999997</v>
      </c>
      <c r="BN3207" s="2">
        <v>318.89999999999998</v>
      </c>
      <c r="BO3207" s="2">
        <v>318.89999999999998</v>
      </c>
      <c r="BP3207" s="2"/>
      <c r="BQ3207" s="2" t="s">
        <v>3357</v>
      </c>
      <c r="BR3207" s="2" t="s">
        <v>84</v>
      </c>
      <c r="BS3207" s="3">
        <v>42976</v>
      </c>
      <c r="BT3207" s="4">
        <v>0.41736111111111113</v>
      </c>
      <c r="BU3207" s="2" t="s">
        <v>1077</v>
      </c>
      <c r="BV3207" s="2" t="s">
        <v>95</v>
      </c>
      <c r="BW3207" s="2"/>
      <c r="BX3207" s="2"/>
      <c r="BY3207" s="2">
        <v>21995.02</v>
      </c>
      <c r="BZ3207" s="2" t="s">
        <v>27</v>
      </c>
      <c r="CA3207" s="2" t="s">
        <v>103</v>
      </c>
      <c r="CB3207" s="2"/>
      <c r="CC3207" s="2" t="s">
        <v>98</v>
      </c>
      <c r="CD3207" s="2">
        <v>6001</v>
      </c>
      <c r="CE3207" s="2" t="s">
        <v>948</v>
      </c>
      <c r="CF3207" s="5">
        <v>42977</v>
      </c>
      <c r="CG3207" s="2"/>
      <c r="CH3207" s="2"/>
      <c r="CI3207" s="2">
        <v>1</v>
      </c>
      <c r="CJ3207" s="2">
        <v>1</v>
      </c>
      <c r="CK3207" s="2">
        <v>21</v>
      </c>
      <c r="CL3207" s="2" t="s">
        <v>86</v>
      </c>
      <c r="CM3207" s="2"/>
    </row>
    <row r="3208" spans="1:91">
      <c r="A3208" s="2" t="s">
        <v>71</v>
      </c>
      <c r="B3208" s="2" t="s">
        <v>72</v>
      </c>
      <c r="C3208" s="2" t="s">
        <v>73</v>
      </c>
      <c r="D3208" s="2"/>
      <c r="E3208" s="2" t="str">
        <f>"FES1162571636"</f>
        <v>FES1162571636</v>
      </c>
      <c r="F3208" s="3">
        <v>42975</v>
      </c>
      <c r="G3208" s="2">
        <v>201802</v>
      </c>
      <c r="H3208" s="2" t="s">
        <v>74</v>
      </c>
      <c r="I3208" s="2" t="s">
        <v>75</v>
      </c>
      <c r="J3208" s="2" t="s">
        <v>76</v>
      </c>
      <c r="K3208" s="2" t="s">
        <v>77</v>
      </c>
      <c r="L3208" s="2" t="s">
        <v>144</v>
      </c>
      <c r="M3208" s="2" t="s">
        <v>145</v>
      </c>
      <c r="N3208" s="2" t="s">
        <v>146</v>
      </c>
      <c r="O3208" s="2" t="s">
        <v>100</v>
      </c>
      <c r="P3208" s="2" t="str">
        <f>"2170584822                    "</f>
        <v xml:space="preserve">2170584822                    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3.13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1</v>
      </c>
      <c r="BI3208" s="2">
        <v>7</v>
      </c>
      <c r="BJ3208" s="2">
        <v>4.0999999999999996</v>
      </c>
      <c r="BK3208" s="2">
        <v>7</v>
      </c>
      <c r="BL3208" s="2">
        <v>32.380000000000003</v>
      </c>
      <c r="BM3208" s="2">
        <v>4.53</v>
      </c>
      <c r="BN3208" s="2">
        <v>36.909999999999997</v>
      </c>
      <c r="BO3208" s="2">
        <v>36.909999999999997</v>
      </c>
      <c r="BP3208" s="2"/>
      <c r="BQ3208" s="2" t="s">
        <v>83</v>
      </c>
      <c r="BR3208" s="2" t="s">
        <v>84</v>
      </c>
      <c r="BS3208" s="3">
        <v>42976</v>
      </c>
      <c r="BT3208" s="4">
        <v>0.40625</v>
      </c>
      <c r="BU3208" s="2" t="s">
        <v>3353</v>
      </c>
      <c r="BV3208" s="2" t="s">
        <v>95</v>
      </c>
      <c r="BW3208" s="2"/>
      <c r="BX3208" s="2"/>
      <c r="BY3208" s="2">
        <v>20480</v>
      </c>
      <c r="BZ3208" s="2" t="s">
        <v>27</v>
      </c>
      <c r="CA3208" s="2" t="s">
        <v>274</v>
      </c>
      <c r="CB3208" s="2"/>
      <c r="CC3208" s="2" t="s">
        <v>145</v>
      </c>
      <c r="CD3208" s="2">
        <v>2094</v>
      </c>
      <c r="CE3208" s="2" t="s">
        <v>948</v>
      </c>
      <c r="CF3208" s="5">
        <v>42977</v>
      </c>
      <c r="CG3208" s="2"/>
      <c r="CH3208" s="2"/>
      <c r="CI3208" s="2">
        <v>1</v>
      </c>
      <c r="CJ3208" s="2">
        <v>1</v>
      </c>
      <c r="CK3208" s="2">
        <v>22</v>
      </c>
      <c r="CL3208" s="2" t="s">
        <v>86</v>
      </c>
      <c r="CM3208" s="2"/>
    </row>
    <row r="3209" spans="1:91">
      <c r="A3209" s="2" t="s">
        <v>71</v>
      </c>
      <c r="B3209" s="2" t="s">
        <v>72</v>
      </c>
      <c r="C3209" s="2" t="s">
        <v>73</v>
      </c>
      <c r="D3209" s="2"/>
      <c r="E3209" s="2" t="str">
        <f>"FES1162571755"</f>
        <v>FES1162571755</v>
      </c>
      <c r="F3209" s="3">
        <v>42975</v>
      </c>
      <c r="G3209" s="2">
        <v>201802</v>
      </c>
      <c r="H3209" s="2" t="s">
        <v>74</v>
      </c>
      <c r="I3209" s="2" t="s">
        <v>75</v>
      </c>
      <c r="J3209" s="2" t="s">
        <v>76</v>
      </c>
      <c r="K3209" s="2" t="s">
        <v>77</v>
      </c>
      <c r="L3209" s="2" t="s">
        <v>128</v>
      </c>
      <c r="M3209" s="2" t="s">
        <v>129</v>
      </c>
      <c r="N3209" s="2" t="s">
        <v>412</v>
      </c>
      <c r="O3209" s="2" t="s">
        <v>100</v>
      </c>
      <c r="P3209" s="2" t="str">
        <f>"2170587380                    "</f>
        <v xml:space="preserve">2170587380                    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3.13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1</v>
      </c>
      <c r="BI3209" s="2">
        <v>1</v>
      </c>
      <c r="BJ3209" s="2">
        <v>0.2</v>
      </c>
      <c r="BK3209" s="2">
        <v>1</v>
      </c>
      <c r="BL3209" s="2">
        <v>32.380000000000003</v>
      </c>
      <c r="BM3209" s="2">
        <v>4.53</v>
      </c>
      <c r="BN3209" s="2">
        <v>36.909999999999997</v>
      </c>
      <c r="BO3209" s="2">
        <v>36.909999999999997</v>
      </c>
      <c r="BP3209" s="2"/>
      <c r="BQ3209" s="2" t="s">
        <v>209</v>
      </c>
      <c r="BR3209" s="2" t="s">
        <v>84</v>
      </c>
      <c r="BS3209" s="3">
        <v>42976</v>
      </c>
      <c r="BT3209" s="4">
        <v>0.33680555555555558</v>
      </c>
      <c r="BU3209" s="2" t="s">
        <v>3358</v>
      </c>
      <c r="BV3209" s="2" t="s">
        <v>95</v>
      </c>
      <c r="BW3209" s="2"/>
      <c r="BX3209" s="2"/>
      <c r="BY3209" s="2">
        <v>1200</v>
      </c>
      <c r="BZ3209" s="2" t="s">
        <v>27</v>
      </c>
      <c r="CA3209" s="2" t="s">
        <v>923</v>
      </c>
      <c r="CB3209" s="2"/>
      <c r="CC3209" s="2" t="s">
        <v>129</v>
      </c>
      <c r="CD3209" s="2">
        <v>1709</v>
      </c>
      <c r="CE3209" s="2" t="s">
        <v>104</v>
      </c>
      <c r="CF3209" s="5">
        <v>42977</v>
      </c>
      <c r="CG3209" s="2"/>
      <c r="CH3209" s="2"/>
      <c r="CI3209" s="2">
        <v>1</v>
      </c>
      <c r="CJ3209" s="2">
        <v>1</v>
      </c>
      <c r="CK3209" s="2">
        <v>22</v>
      </c>
      <c r="CL3209" s="2" t="s">
        <v>86</v>
      </c>
      <c r="CM3209" s="2"/>
    </row>
    <row r="3210" spans="1:91">
      <c r="A3210" s="2" t="s">
        <v>71</v>
      </c>
      <c r="B3210" s="2" t="s">
        <v>72</v>
      </c>
      <c r="C3210" s="2" t="s">
        <v>73</v>
      </c>
      <c r="D3210" s="2"/>
      <c r="E3210" s="2" t="str">
        <f>"FES1162571800"</f>
        <v>FES1162571800</v>
      </c>
      <c r="F3210" s="3">
        <v>42975</v>
      </c>
      <c r="G3210" s="2">
        <v>201802</v>
      </c>
      <c r="H3210" s="2" t="s">
        <v>74</v>
      </c>
      <c r="I3210" s="2" t="s">
        <v>75</v>
      </c>
      <c r="J3210" s="2" t="s">
        <v>76</v>
      </c>
      <c r="K3210" s="2" t="s">
        <v>77</v>
      </c>
      <c r="L3210" s="2" t="s">
        <v>944</v>
      </c>
      <c r="M3210" s="2" t="s">
        <v>944</v>
      </c>
      <c r="N3210" s="2" t="s">
        <v>1137</v>
      </c>
      <c r="O3210" s="2" t="s">
        <v>100</v>
      </c>
      <c r="P3210" s="2" t="str">
        <f>"2170587411                    "</f>
        <v xml:space="preserve">2170587411                    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5.63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1</v>
      </c>
      <c r="BI3210" s="2">
        <v>1</v>
      </c>
      <c r="BJ3210" s="2">
        <v>0.2</v>
      </c>
      <c r="BK3210" s="2">
        <v>1</v>
      </c>
      <c r="BL3210" s="2">
        <v>58.28</v>
      </c>
      <c r="BM3210" s="2">
        <v>8.16</v>
      </c>
      <c r="BN3210" s="2">
        <v>66.44</v>
      </c>
      <c r="BO3210" s="2">
        <v>66.44</v>
      </c>
      <c r="BP3210" s="2"/>
      <c r="BQ3210" s="2" t="s">
        <v>2824</v>
      </c>
      <c r="BR3210" s="2" t="s">
        <v>84</v>
      </c>
      <c r="BS3210" s="3">
        <v>42976</v>
      </c>
      <c r="BT3210" s="4">
        <v>0.40277777777777773</v>
      </c>
      <c r="BU3210" s="2" t="s">
        <v>2519</v>
      </c>
      <c r="BV3210" s="2" t="s">
        <v>95</v>
      </c>
      <c r="BW3210" s="2"/>
      <c r="BX3210" s="2"/>
      <c r="BY3210" s="2">
        <v>1200</v>
      </c>
      <c r="BZ3210" s="2" t="s">
        <v>27</v>
      </c>
      <c r="CA3210" s="2" t="s">
        <v>1098</v>
      </c>
      <c r="CB3210" s="2"/>
      <c r="CC3210" s="2" t="s">
        <v>944</v>
      </c>
      <c r="CD3210" s="2">
        <v>1490</v>
      </c>
      <c r="CE3210" s="2" t="s">
        <v>104</v>
      </c>
      <c r="CF3210" s="5">
        <v>42977</v>
      </c>
      <c r="CG3210" s="2"/>
      <c r="CH3210" s="2"/>
      <c r="CI3210" s="2">
        <v>1</v>
      </c>
      <c r="CJ3210" s="2">
        <v>1</v>
      </c>
      <c r="CK3210" s="2">
        <v>24</v>
      </c>
      <c r="CL3210" s="2" t="s">
        <v>86</v>
      </c>
      <c r="CM3210" s="2"/>
    </row>
    <row r="3211" spans="1:91">
      <c r="A3211" s="2" t="s">
        <v>71</v>
      </c>
      <c r="B3211" s="2" t="s">
        <v>72</v>
      </c>
      <c r="C3211" s="2" t="s">
        <v>73</v>
      </c>
      <c r="D3211" s="2"/>
      <c r="E3211" s="2" t="str">
        <f>"FES1162571791"</f>
        <v>FES1162571791</v>
      </c>
      <c r="F3211" s="3">
        <v>42975</v>
      </c>
      <c r="G3211" s="2">
        <v>201802</v>
      </c>
      <c r="H3211" s="2" t="s">
        <v>74</v>
      </c>
      <c r="I3211" s="2" t="s">
        <v>75</v>
      </c>
      <c r="J3211" s="2" t="s">
        <v>76</v>
      </c>
      <c r="K3211" s="2" t="s">
        <v>77</v>
      </c>
      <c r="L3211" s="2" t="s">
        <v>417</v>
      </c>
      <c r="M3211" s="2" t="s">
        <v>417</v>
      </c>
      <c r="N3211" s="2" t="s">
        <v>1309</v>
      </c>
      <c r="O3211" s="2" t="s">
        <v>100</v>
      </c>
      <c r="P3211" s="2" t="str">
        <f>"21705874217                   "</f>
        <v xml:space="preserve">21705874217                   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4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1</v>
      </c>
      <c r="BI3211" s="2">
        <v>1</v>
      </c>
      <c r="BJ3211" s="2">
        <v>0.2</v>
      </c>
      <c r="BK3211" s="2">
        <v>1</v>
      </c>
      <c r="BL3211" s="2">
        <v>41.44</v>
      </c>
      <c r="BM3211" s="2">
        <v>5.8</v>
      </c>
      <c r="BN3211" s="2">
        <v>47.24</v>
      </c>
      <c r="BO3211" s="2">
        <v>47.24</v>
      </c>
      <c r="BP3211" s="2"/>
      <c r="BQ3211" s="2" t="s">
        <v>83</v>
      </c>
      <c r="BR3211" s="2" t="s">
        <v>84</v>
      </c>
      <c r="BS3211" s="3">
        <v>42976</v>
      </c>
      <c r="BT3211" s="4">
        <v>0.50486111111111109</v>
      </c>
      <c r="BU3211" s="2" t="s">
        <v>3346</v>
      </c>
      <c r="BV3211" s="2" t="s">
        <v>95</v>
      </c>
      <c r="BW3211" s="2"/>
      <c r="BX3211" s="2"/>
      <c r="BY3211" s="2">
        <v>1200</v>
      </c>
      <c r="BZ3211" s="2" t="s">
        <v>27</v>
      </c>
      <c r="CA3211" s="2" t="s">
        <v>420</v>
      </c>
      <c r="CB3211" s="2"/>
      <c r="CC3211" s="2" t="s">
        <v>417</v>
      </c>
      <c r="CD3211" s="2">
        <v>7646</v>
      </c>
      <c r="CE3211" s="2" t="s">
        <v>104</v>
      </c>
      <c r="CF3211" s="5">
        <v>42976</v>
      </c>
      <c r="CG3211" s="2"/>
      <c r="CH3211" s="2"/>
      <c r="CI3211" s="2">
        <v>1</v>
      </c>
      <c r="CJ3211" s="2">
        <v>1</v>
      </c>
      <c r="CK3211" s="2">
        <v>21</v>
      </c>
      <c r="CL3211" s="2" t="s">
        <v>86</v>
      </c>
      <c r="CM3211" s="2"/>
    </row>
    <row r="3212" spans="1:91">
      <c r="A3212" s="2" t="s">
        <v>71</v>
      </c>
      <c r="B3212" s="2" t="s">
        <v>72</v>
      </c>
      <c r="C3212" s="2" t="s">
        <v>73</v>
      </c>
      <c r="D3212" s="2"/>
      <c r="E3212" s="2" t="str">
        <f>"FES1162571773"</f>
        <v>FES1162571773</v>
      </c>
      <c r="F3212" s="3">
        <v>42975</v>
      </c>
      <c r="G3212" s="2">
        <v>201802</v>
      </c>
      <c r="H3212" s="2" t="s">
        <v>74</v>
      </c>
      <c r="I3212" s="2" t="s">
        <v>75</v>
      </c>
      <c r="J3212" s="2" t="s">
        <v>76</v>
      </c>
      <c r="K3212" s="2" t="s">
        <v>77</v>
      </c>
      <c r="L3212" s="2" t="s">
        <v>170</v>
      </c>
      <c r="M3212" s="2" t="s">
        <v>171</v>
      </c>
      <c r="N3212" s="2" t="s">
        <v>1846</v>
      </c>
      <c r="O3212" s="2" t="s">
        <v>100</v>
      </c>
      <c r="P3212" s="2" t="str">
        <f>"2170587407                    "</f>
        <v xml:space="preserve">2170587407                    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3.13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1</v>
      </c>
      <c r="BI3212" s="2">
        <v>1</v>
      </c>
      <c r="BJ3212" s="2">
        <v>0.2</v>
      </c>
      <c r="BK3212" s="2">
        <v>1</v>
      </c>
      <c r="BL3212" s="2">
        <v>32.380000000000003</v>
      </c>
      <c r="BM3212" s="2">
        <v>4.53</v>
      </c>
      <c r="BN3212" s="2">
        <v>36.909999999999997</v>
      </c>
      <c r="BO3212" s="2">
        <v>36.909999999999997</v>
      </c>
      <c r="BP3212" s="2"/>
      <c r="BQ3212" s="2" t="s">
        <v>108</v>
      </c>
      <c r="BR3212" s="2" t="s">
        <v>84</v>
      </c>
      <c r="BS3212" s="3">
        <v>42976</v>
      </c>
      <c r="BT3212" s="4">
        <v>0.32222222222222224</v>
      </c>
      <c r="BU3212" s="2" t="s">
        <v>2024</v>
      </c>
      <c r="BV3212" s="2" t="s">
        <v>95</v>
      </c>
      <c r="BW3212" s="2"/>
      <c r="BX3212" s="2"/>
      <c r="BY3212" s="2">
        <v>1200</v>
      </c>
      <c r="BZ3212" s="2" t="s">
        <v>27</v>
      </c>
      <c r="CA3212" s="2" t="s">
        <v>1617</v>
      </c>
      <c r="CB3212" s="2"/>
      <c r="CC3212" s="2" t="s">
        <v>171</v>
      </c>
      <c r="CD3212" s="2">
        <v>1401</v>
      </c>
      <c r="CE3212" s="2" t="s">
        <v>104</v>
      </c>
      <c r="CF3212" s="5">
        <v>42977</v>
      </c>
      <c r="CG3212" s="2"/>
      <c r="CH3212" s="2"/>
      <c r="CI3212" s="2">
        <v>1</v>
      </c>
      <c r="CJ3212" s="2">
        <v>1</v>
      </c>
      <c r="CK3212" s="2">
        <v>22</v>
      </c>
      <c r="CL3212" s="2" t="s">
        <v>86</v>
      </c>
      <c r="CM3212" s="2"/>
    </row>
    <row r="3213" spans="1:91">
      <c r="A3213" s="2" t="s">
        <v>71</v>
      </c>
      <c r="B3213" s="2" t="s">
        <v>72</v>
      </c>
      <c r="C3213" s="2" t="s">
        <v>73</v>
      </c>
      <c r="D3213" s="2"/>
      <c r="E3213" s="2" t="str">
        <f>"FES1162571801"</f>
        <v>FES1162571801</v>
      </c>
      <c r="F3213" s="3">
        <v>42975</v>
      </c>
      <c r="G3213" s="2">
        <v>201802</v>
      </c>
      <c r="H3213" s="2" t="s">
        <v>74</v>
      </c>
      <c r="I3213" s="2" t="s">
        <v>75</v>
      </c>
      <c r="J3213" s="2" t="s">
        <v>76</v>
      </c>
      <c r="K3213" s="2" t="s">
        <v>77</v>
      </c>
      <c r="L3213" s="2" t="s">
        <v>244</v>
      </c>
      <c r="M3213" s="2" t="s">
        <v>245</v>
      </c>
      <c r="N3213" s="2" t="s">
        <v>882</v>
      </c>
      <c r="O3213" s="2" t="s">
        <v>100</v>
      </c>
      <c r="P3213" s="2" t="str">
        <f>"2170587434                    "</f>
        <v xml:space="preserve">2170587434                    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3.13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1</v>
      </c>
      <c r="BI3213" s="2">
        <v>1</v>
      </c>
      <c r="BJ3213" s="2">
        <v>0.2</v>
      </c>
      <c r="BK3213" s="2">
        <v>1</v>
      </c>
      <c r="BL3213" s="2">
        <v>32.380000000000003</v>
      </c>
      <c r="BM3213" s="2">
        <v>4.53</v>
      </c>
      <c r="BN3213" s="2">
        <v>36.909999999999997</v>
      </c>
      <c r="BO3213" s="2">
        <v>36.909999999999997</v>
      </c>
      <c r="BP3213" s="2"/>
      <c r="BQ3213" s="2" t="s">
        <v>108</v>
      </c>
      <c r="BR3213" s="2" t="s">
        <v>84</v>
      </c>
      <c r="BS3213" s="3">
        <v>42976</v>
      </c>
      <c r="BT3213" s="4">
        <v>0.32569444444444445</v>
      </c>
      <c r="BU3213" s="2" t="s">
        <v>883</v>
      </c>
      <c r="BV3213" s="2" t="s">
        <v>95</v>
      </c>
      <c r="BW3213" s="2"/>
      <c r="BX3213" s="2"/>
      <c r="BY3213" s="2">
        <v>1200</v>
      </c>
      <c r="BZ3213" s="2" t="s">
        <v>27</v>
      </c>
      <c r="CA3213" s="2" t="s">
        <v>733</v>
      </c>
      <c r="CB3213" s="2"/>
      <c r="CC3213" s="2" t="s">
        <v>245</v>
      </c>
      <c r="CD3213" s="2">
        <v>1459</v>
      </c>
      <c r="CE3213" s="2" t="s">
        <v>104</v>
      </c>
      <c r="CF3213" s="5">
        <v>42977</v>
      </c>
      <c r="CG3213" s="2"/>
      <c r="CH3213" s="2"/>
      <c r="CI3213" s="2">
        <v>1</v>
      </c>
      <c r="CJ3213" s="2">
        <v>1</v>
      </c>
      <c r="CK3213" s="2">
        <v>22</v>
      </c>
      <c r="CL3213" s="2" t="s">
        <v>86</v>
      </c>
      <c r="CM3213" s="2"/>
    </row>
    <row r="3214" spans="1:91">
      <c r="A3214" s="2" t="s">
        <v>71</v>
      </c>
      <c r="B3214" s="2" t="s">
        <v>72</v>
      </c>
      <c r="C3214" s="2" t="s">
        <v>73</v>
      </c>
      <c r="D3214" s="2"/>
      <c r="E3214" s="2" t="str">
        <f>"FES1162571770"</f>
        <v>FES1162571770</v>
      </c>
      <c r="F3214" s="3">
        <v>42975</v>
      </c>
      <c r="G3214" s="2">
        <v>201802</v>
      </c>
      <c r="H3214" s="2" t="s">
        <v>74</v>
      </c>
      <c r="I3214" s="2" t="s">
        <v>75</v>
      </c>
      <c r="J3214" s="2" t="s">
        <v>76</v>
      </c>
      <c r="K3214" s="2" t="s">
        <v>77</v>
      </c>
      <c r="L3214" s="2" t="s">
        <v>221</v>
      </c>
      <c r="M3214" s="2" t="s">
        <v>222</v>
      </c>
      <c r="N3214" s="2" t="s">
        <v>1275</v>
      </c>
      <c r="O3214" s="2" t="s">
        <v>100</v>
      </c>
      <c r="P3214" s="2" t="str">
        <f>"2170587404                    "</f>
        <v xml:space="preserve">2170587404                    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5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  <c r="BG3214" s="2">
        <v>0</v>
      </c>
      <c r="BH3214" s="2">
        <v>1</v>
      </c>
      <c r="BI3214" s="2">
        <v>2.2999999999999998</v>
      </c>
      <c r="BJ3214" s="2">
        <v>1.3</v>
      </c>
      <c r="BK3214" s="2">
        <v>2.5</v>
      </c>
      <c r="BL3214" s="2">
        <v>51.8</v>
      </c>
      <c r="BM3214" s="2">
        <v>7.25</v>
      </c>
      <c r="BN3214" s="2">
        <v>59.05</v>
      </c>
      <c r="BO3214" s="2">
        <v>59.05</v>
      </c>
      <c r="BP3214" s="2"/>
      <c r="BQ3214" s="2" t="s">
        <v>227</v>
      </c>
      <c r="BR3214" s="2" t="s">
        <v>84</v>
      </c>
      <c r="BS3214" s="3">
        <v>42976</v>
      </c>
      <c r="BT3214" s="4">
        <v>0.38819444444444445</v>
      </c>
      <c r="BU3214" s="2" t="s">
        <v>1767</v>
      </c>
      <c r="BV3214" s="2" t="s">
        <v>95</v>
      </c>
      <c r="BW3214" s="2"/>
      <c r="BX3214" s="2"/>
      <c r="BY3214" s="2">
        <v>6513</v>
      </c>
      <c r="BZ3214" s="2" t="s">
        <v>27</v>
      </c>
      <c r="CA3214" s="2" t="s">
        <v>1536</v>
      </c>
      <c r="CB3214" s="2"/>
      <c r="CC3214" s="2" t="s">
        <v>222</v>
      </c>
      <c r="CD3214" s="2">
        <v>4300</v>
      </c>
      <c r="CE3214" s="2" t="s">
        <v>948</v>
      </c>
      <c r="CF3214" s="5">
        <v>42977</v>
      </c>
      <c r="CG3214" s="2"/>
      <c r="CH3214" s="2"/>
      <c r="CI3214" s="2">
        <v>1</v>
      </c>
      <c r="CJ3214" s="2">
        <v>1</v>
      </c>
      <c r="CK3214" s="2">
        <v>21</v>
      </c>
      <c r="CL3214" s="2" t="s">
        <v>86</v>
      </c>
      <c r="CM3214" s="2"/>
    </row>
    <row r="3215" spans="1:91">
      <c r="A3215" s="2" t="s">
        <v>71</v>
      </c>
      <c r="B3215" s="2" t="s">
        <v>72</v>
      </c>
      <c r="C3215" s="2" t="s">
        <v>73</v>
      </c>
      <c r="D3215" s="2"/>
      <c r="E3215" s="2" t="str">
        <f>"FES1126571772"</f>
        <v>FES1126571772</v>
      </c>
      <c r="F3215" s="3">
        <v>42975</v>
      </c>
      <c r="G3215" s="2">
        <v>201802</v>
      </c>
      <c r="H3215" s="2" t="s">
        <v>74</v>
      </c>
      <c r="I3215" s="2" t="s">
        <v>75</v>
      </c>
      <c r="J3215" s="2" t="s">
        <v>76</v>
      </c>
      <c r="K3215" s="2" t="s">
        <v>77</v>
      </c>
      <c r="L3215" s="2" t="s">
        <v>221</v>
      </c>
      <c r="M3215" s="2" t="s">
        <v>222</v>
      </c>
      <c r="N3215" s="2" t="s">
        <v>1275</v>
      </c>
      <c r="O3215" s="2" t="s">
        <v>100</v>
      </c>
      <c r="P3215" s="2" t="str">
        <f>"2170587406                    "</f>
        <v xml:space="preserve">2170587406                    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8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1</v>
      </c>
      <c r="BI3215" s="2">
        <v>2.8</v>
      </c>
      <c r="BJ3215" s="2">
        <v>4</v>
      </c>
      <c r="BK3215" s="2">
        <v>4</v>
      </c>
      <c r="BL3215" s="2">
        <v>82.88</v>
      </c>
      <c r="BM3215" s="2">
        <v>11.6</v>
      </c>
      <c r="BN3215" s="2">
        <v>94.48</v>
      </c>
      <c r="BO3215" s="2">
        <v>94.48</v>
      </c>
      <c r="BP3215" s="2"/>
      <c r="BQ3215" s="2" t="s">
        <v>227</v>
      </c>
      <c r="BR3215" s="2" t="s">
        <v>84</v>
      </c>
      <c r="BS3215" s="3">
        <v>42976</v>
      </c>
      <c r="BT3215" s="4">
        <v>0.38819444444444445</v>
      </c>
      <c r="BU3215" s="2" t="s">
        <v>1767</v>
      </c>
      <c r="BV3215" s="2" t="s">
        <v>95</v>
      </c>
      <c r="BW3215" s="2"/>
      <c r="BX3215" s="2"/>
      <c r="BY3215" s="2">
        <v>19757.2</v>
      </c>
      <c r="BZ3215" s="2" t="s">
        <v>27</v>
      </c>
      <c r="CA3215" s="2" t="s">
        <v>1536</v>
      </c>
      <c r="CB3215" s="2"/>
      <c r="CC3215" s="2" t="s">
        <v>222</v>
      </c>
      <c r="CD3215" s="2">
        <v>4300</v>
      </c>
      <c r="CE3215" s="2" t="s">
        <v>948</v>
      </c>
      <c r="CF3215" s="5">
        <v>42976</v>
      </c>
      <c r="CG3215" s="2"/>
      <c r="CH3215" s="2"/>
      <c r="CI3215" s="2">
        <v>1</v>
      </c>
      <c r="CJ3215" s="2">
        <v>1</v>
      </c>
      <c r="CK3215" s="2">
        <v>21</v>
      </c>
      <c r="CL3215" s="2" t="s">
        <v>86</v>
      </c>
      <c r="CM3215" s="2"/>
    </row>
    <row r="3216" spans="1:91">
      <c r="A3216" s="2" t="s">
        <v>71</v>
      </c>
      <c r="B3216" s="2" t="s">
        <v>72</v>
      </c>
      <c r="C3216" s="2" t="s">
        <v>73</v>
      </c>
      <c r="D3216" s="2"/>
      <c r="E3216" s="2" t="str">
        <f>"FES1162571783"</f>
        <v>FES1162571783</v>
      </c>
      <c r="F3216" s="3">
        <v>42975</v>
      </c>
      <c r="G3216" s="2">
        <v>201802</v>
      </c>
      <c r="H3216" s="2" t="s">
        <v>74</v>
      </c>
      <c r="I3216" s="2" t="s">
        <v>75</v>
      </c>
      <c r="J3216" s="2" t="s">
        <v>76</v>
      </c>
      <c r="K3216" s="2" t="s">
        <v>77</v>
      </c>
      <c r="L3216" s="2" t="s">
        <v>74</v>
      </c>
      <c r="M3216" s="2" t="s">
        <v>75</v>
      </c>
      <c r="N3216" s="2" t="s">
        <v>407</v>
      </c>
      <c r="O3216" s="2" t="s">
        <v>100</v>
      </c>
      <c r="P3216" s="2" t="str">
        <f>"2170587418                    "</f>
        <v xml:space="preserve">2170587418                    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3.13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1</v>
      </c>
      <c r="BI3216" s="2">
        <v>1.9</v>
      </c>
      <c r="BJ3216" s="2">
        <v>1.5</v>
      </c>
      <c r="BK3216" s="2">
        <v>2</v>
      </c>
      <c r="BL3216" s="2">
        <v>32.380000000000003</v>
      </c>
      <c r="BM3216" s="2">
        <v>4.53</v>
      </c>
      <c r="BN3216" s="2">
        <v>36.909999999999997</v>
      </c>
      <c r="BO3216" s="2">
        <v>36.909999999999997</v>
      </c>
      <c r="BP3216" s="2"/>
      <c r="BQ3216" s="2"/>
      <c r="BR3216" s="2" t="s">
        <v>84</v>
      </c>
      <c r="BS3216" s="3">
        <v>42976</v>
      </c>
      <c r="BT3216" s="4">
        <v>0.33333333333333331</v>
      </c>
      <c r="BU3216" s="2" t="s">
        <v>1872</v>
      </c>
      <c r="BV3216" s="2" t="s">
        <v>95</v>
      </c>
      <c r="BW3216" s="2"/>
      <c r="BX3216" s="2"/>
      <c r="BY3216" s="2">
        <v>7740.91</v>
      </c>
      <c r="BZ3216" s="2" t="s">
        <v>27</v>
      </c>
      <c r="CA3216" s="2" t="s">
        <v>267</v>
      </c>
      <c r="CB3216" s="2"/>
      <c r="CC3216" s="2" t="s">
        <v>75</v>
      </c>
      <c r="CD3216" s="2">
        <v>1645</v>
      </c>
      <c r="CE3216" s="2" t="s">
        <v>89</v>
      </c>
      <c r="CF3216" s="5">
        <v>42977</v>
      </c>
      <c r="CG3216" s="2"/>
      <c r="CH3216" s="2"/>
      <c r="CI3216" s="2">
        <v>1</v>
      </c>
      <c r="CJ3216" s="2">
        <v>1</v>
      </c>
      <c r="CK3216" s="2">
        <v>22</v>
      </c>
      <c r="CL3216" s="2" t="s">
        <v>86</v>
      </c>
      <c r="CM3216" s="2"/>
    </row>
    <row r="3217" spans="1:91">
      <c r="A3217" s="2" t="s">
        <v>71</v>
      </c>
      <c r="B3217" s="2" t="s">
        <v>72</v>
      </c>
      <c r="C3217" s="2" t="s">
        <v>73</v>
      </c>
      <c r="D3217" s="2"/>
      <c r="E3217" s="2" t="str">
        <f>"FES1162571764"</f>
        <v>FES1162571764</v>
      </c>
      <c r="F3217" s="3">
        <v>42975</v>
      </c>
      <c r="G3217" s="2">
        <v>201802</v>
      </c>
      <c r="H3217" s="2" t="s">
        <v>74</v>
      </c>
      <c r="I3217" s="2" t="s">
        <v>75</v>
      </c>
      <c r="J3217" s="2" t="s">
        <v>76</v>
      </c>
      <c r="K3217" s="2" t="s">
        <v>77</v>
      </c>
      <c r="L3217" s="2" t="s">
        <v>128</v>
      </c>
      <c r="M3217" s="2" t="s">
        <v>129</v>
      </c>
      <c r="N3217" s="2" t="s">
        <v>2298</v>
      </c>
      <c r="O3217" s="2" t="s">
        <v>100</v>
      </c>
      <c r="P3217" s="2" t="str">
        <f>"2170587396                    "</f>
        <v xml:space="preserve">2170587396                    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3.13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1</v>
      </c>
      <c r="BI3217" s="2">
        <v>1.2</v>
      </c>
      <c r="BJ3217" s="2">
        <v>3.4</v>
      </c>
      <c r="BK3217" s="2">
        <v>4</v>
      </c>
      <c r="BL3217" s="2">
        <v>32.380000000000003</v>
      </c>
      <c r="BM3217" s="2">
        <v>4.53</v>
      </c>
      <c r="BN3217" s="2">
        <v>36.909999999999997</v>
      </c>
      <c r="BO3217" s="2">
        <v>36.909999999999997</v>
      </c>
      <c r="BP3217" s="2"/>
      <c r="BQ3217" s="2" t="s">
        <v>2299</v>
      </c>
      <c r="BR3217" s="2" t="s">
        <v>84</v>
      </c>
      <c r="BS3217" s="3">
        <v>42976</v>
      </c>
      <c r="BT3217" s="4">
        <v>0.34097222222222223</v>
      </c>
      <c r="BU3217" s="2" t="s">
        <v>2300</v>
      </c>
      <c r="BV3217" s="2" t="s">
        <v>95</v>
      </c>
      <c r="BW3217" s="2"/>
      <c r="BX3217" s="2"/>
      <c r="BY3217" s="2">
        <v>16771.57</v>
      </c>
      <c r="BZ3217" s="2" t="s">
        <v>27</v>
      </c>
      <c r="CA3217" s="2" t="s">
        <v>923</v>
      </c>
      <c r="CB3217" s="2"/>
      <c r="CC3217" s="2" t="s">
        <v>129</v>
      </c>
      <c r="CD3217" s="2">
        <v>1709</v>
      </c>
      <c r="CE3217" s="2" t="s">
        <v>89</v>
      </c>
      <c r="CF3217" s="5">
        <v>42977</v>
      </c>
      <c r="CG3217" s="2"/>
      <c r="CH3217" s="2"/>
      <c r="CI3217" s="2">
        <v>1</v>
      </c>
      <c r="CJ3217" s="2">
        <v>1</v>
      </c>
      <c r="CK3217" s="2">
        <v>22</v>
      </c>
      <c r="CL3217" s="2" t="s">
        <v>86</v>
      </c>
      <c r="CM3217" s="2"/>
    </row>
    <row r="3218" spans="1:91">
      <c r="A3218" s="2" t="s">
        <v>71</v>
      </c>
      <c r="B3218" s="2" t="s">
        <v>72</v>
      </c>
      <c r="C3218" s="2" t="s">
        <v>73</v>
      </c>
      <c r="D3218" s="2"/>
      <c r="E3218" s="2" t="str">
        <f>"FES1162571785"</f>
        <v>FES1162571785</v>
      </c>
      <c r="F3218" s="3">
        <v>42975</v>
      </c>
      <c r="G3218" s="2">
        <v>201802</v>
      </c>
      <c r="H3218" s="2" t="s">
        <v>74</v>
      </c>
      <c r="I3218" s="2" t="s">
        <v>75</v>
      </c>
      <c r="J3218" s="2" t="s">
        <v>76</v>
      </c>
      <c r="K3218" s="2" t="s">
        <v>77</v>
      </c>
      <c r="L3218" s="2" t="s">
        <v>417</v>
      </c>
      <c r="M3218" s="2" t="s">
        <v>417</v>
      </c>
      <c r="N3218" s="2" t="s">
        <v>1309</v>
      </c>
      <c r="O3218" s="2" t="s">
        <v>100</v>
      </c>
      <c r="P3218" s="2" t="str">
        <f>"2170587422                    "</f>
        <v xml:space="preserve">2170587422                    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4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1</v>
      </c>
      <c r="BI3218" s="2">
        <v>2</v>
      </c>
      <c r="BJ3218" s="2">
        <v>1</v>
      </c>
      <c r="BK3218" s="2">
        <v>2</v>
      </c>
      <c r="BL3218" s="2">
        <v>41.44</v>
      </c>
      <c r="BM3218" s="2">
        <v>5.8</v>
      </c>
      <c r="BN3218" s="2">
        <v>47.24</v>
      </c>
      <c r="BO3218" s="2">
        <v>47.24</v>
      </c>
      <c r="BP3218" s="2"/>
      <c r="BQ3218" s="2" t="s">
        <v>83</v>
      </c>
      <c r="BR3218" s="2" t="s">
        <v>84</v>
      </c>
      <c r="BS3218" s="3">
        <v>42976</v>
      </c>
      <c r="BT3218" s="4">
        <v>0.50486111111111109</v>
      </c>
      <c r="BU3218" s="2" t="s">
        <v>3346</v>
      </c>
      <c r="BV3218" s="2"/>
      <c r="BW3218" s="2"/>
      <c r="BX3218" s="2"/>
      <c r="BY3218" s="2">
        <v>5231.66</v>
      </c>
      <c r="BZ3218" s="2" t="s">
        <v>27</v>
      </c>
      <c r="CA3218" s="2" t="s">
        <v>420</v>
      </c>
      <c r="CB3218" s="2"/>
      <c r="CC3218" s="2" t="s">
        <v>417</v>
      </c>
      <c r="CD3218" s="2">
        <v>7646</v>
      </c>
      <c r="CE3218" s="2" t="s">
        <v>89</v>
      </c>
      <c r="CF3218" s="5">
        <v>42977</v>
      </c>
      <c r="CG3218" s="2"/>
      <c r="CH3218" s="2"/>
      <c r="CI3218" s="2">
        <v>0</v>
      </c>
      <c r="CJ3218" s="2">
        <v>0</v>
      </c>
      <c r="CK3218" s="2">
        <v>21</v>
      </c>
      <c r="CL3218" s="2" t="s">
        <v>86</v>
      </c>
      <c r="CM3218" s="2"/>
    </row>
    <row r="3219" spans="1:91">
      <c r="A3219" s="2" t="s">
        <v>71</v>
      </c>
      <c r="B3219" s="2" t="s">
        <v>72</v>
      </c>
      <c r="C3219" s="2" t="s">
        <v>73</v>
      </c>
      <c r="D3219" s="2"/>
      <c r="E3219" s="2" t="str">
        <f>"FES1162571792"</f>
        <v>FES1162571792</v>
      </c>
      <c r="F3219" s="3">
        <v>42975</v>
      </c>
      <c r="G3219" s="2">
        <v>201802</v>
      </c>
      <c r="H3219" s="2" t="s">
        <v>74</v>
      </c>
      <c r="I3219" s="2" t="s">
        <v>75</v>
      </c>
      <c r="J3219" s="2" t="s">
        <v>76</v>
      </c>
      <c r="K3219" s="2" t="s">
        <v>77</v>
      </c>
      <c r="L3219" s="2" t="s">
        <v>268</v>
      </c>
      <c r="M3219" s="2" t="s">
        <v>269</v>
      </c>
      <c r="N3219" s="2" t="s">
        <v>982</v>
      </c>
      <c r="O3219" s="2" t="s">
        <v>100</v>
      </c>
      <c r="P3219" s="2" t="str">
        <f>"2170587428                    "</f>
        <v xml:space="preserve">2170587428                    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4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1</v>
      </c>
      <c r="BI3219" s="2">
        <v>1</v>
      </c>
      <c r="BJ3219" s="2">
        <v>0.2</v>
      </c>
      <c r="BK3219" s="2">
        <v>1</v>
      </c>
      <c r="BL3219" s="2">
        <v>41.44</v>
      </c>
      <c r="BM3219" s="2">
        <v>5.8</v>
      </c>
      <c r="BN3219" s="2">
        <v>47.24</v>
      </c>
      <c r="BO3219" s="2">
        <v>47.24</v>
      </c>
      <c r="BP3219" s="2"/>
      <c r="BQ3219" s="2" t="s">
        <v>108</v>
      </c>
      <c r="BR3219" s="2" t="s">
        <v>84</v>
      </c>
      <c r="BS3219" s="3">
        <v>42976</v>
      </c>
      <c r="BT3219" s="4">
        <v>0.4236111111111111</v>
      </c>
      <c r="BU3219" s="2" t="s">
        <v>392</v>
      </c>
      <c r="BV3219" s="2" t="s">
        <v>95</v>
      </c>
      <c r="BW3219" s="2"/>
      <c r="BX3219" s="2"/>
      <c r="BY3219" s="2">
        <v>1200</v>
      </c>
      <c r="BZ3219" s="2" t="s">
        <v>27</v>
      </c>
      <c r="CA3219" s="2"/>
      <c r="CB3219" s="2"/>
      <c r="CC3219" s="2" t="s">
        <v>269</v>
      </c>
      <c r="CD3219" s="2">
        <v>200</v>
      </c>
      <c r="CE3219" s="2" t="s">
        <v>104</v>
      </c>
      <c r="CF3219" s="5">
        <v>42977</v>
      </c>
      <c r="CG3219" s="2"/>
      <c r="CH3219" s="2"/>
      <c r="CI3219" s="2">
        <v>1</v>
      </c>
      <c r="CJ3219" s="2">
        <v>1</v>
      </c>
      <c r="CK3219" s="2">
        <v>21</v>
      </c>
      <c r="CL3219" s="2" t="s">
        <v>86</v>
      </c>
      <c r="CM3219" s="2"/>
    </row>
    <row r="3220" spans="1:91">
      <c r="A3220" s="2" t="s">
        <v>71</v>
      </c>
      <c r="B3220" s="2" t="s">
        <v>72</v>
      </c>
      <c r="C3220" s="2" t="s">
        <v>73</v>
      </c>
      <c r="D3220" s="2"/>
      <c r="E3220" s="2" t="str">
        <f>"FES1162571768"</f>
        <v>FES1162571768</v>
      </c>
      <c r="F3220" s="3">
        <v>42975</v>
      </c>
      <c r="G3220" s="2">
        <v>201802</v>
      </c>
      <c r="H3220" s="2" t="s">
        <v>74</v>
      </c>
      <c r="I3220" s="2" t="s">
        <v>75</v>
      </c>
      <c r="J3220" s="2" t="s">
        <v>76</v>
      </c>
      <c r="K3220" s="2" t="s">
        <v>77</v>
      </c>
      <c r="L3220" s="2" t="s">
        <v>446</v>
      </c>
      <c r="M3220" s="2" t="s">
        <v>447</v>
      </c>
      <c r="N3220" s="2" t="s">
        <v>961</v>
      </c>
      <c r="O3220" s="2" t="s">
        <v>100</v>
      </c>
      <c r="P3220" s="2" t="str">
        <f>"2170587400                    "</f>
        <v xml:space="preserve">2170587400                    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5.63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  <c r="BG3220" s="2">
        <v>0</v>
      </c>
      <c r="BH3220" s="2">
        <v>1</v>
      </c>
      <c r="BI3220" s="2">
        <v>1</v>
      </c>
      <c r="BJ3220" s="2">
        <v>0.2</v>
      </c>
      <c r="BK3220" s="2">
        <v>1</v>
      </c>
      <c r="BL3220" s="2">
        <v>58.28</v>
      </c>
      <c r="BM3220" s="2">
        <v>8.16</v>
      </c>
      <c r="BN3220" s="2">
        <v>66.44</v>
      </c>
      <c r="BO3220" s="2">
        <v>66.44</v>
      </c>
      <c r="BP3220" s="2"/>
      <c r="BQ3220" s="2" t="s">
        <v>962</v>
      </c>
      <c r="BR3220" s="2" t="s">
        <v>84</v>
      </c>
      <c r="BS3220" s="3">
        <v>42976</v>
      </c>
      <c r="BT3220" s="4">
        <v>0.43333333333333335</v>
      </c>
      <c r="BU3220" s="2" t="s">
        <v>963</v>
      </c>
      <c r="BV3220" s="2" t="s">
        <v>95</v>
      </c>
      <c r="BW3220" s="2"/>
      <c r="BX3220" s="2"/>
      <c r="BY3220" s="2">
        <v>1200</v>
      </c>
      <c r="BZ3220" s="2" t="s">
        <v>27</v>
      </c>
      <c r="CA3220" s="2"/>
      <c r="CB3220" s="2"/>
      <c r="CC3220" s="2" t="s">
        <v>447</v>
      </c>
      <c r="CD3220" s="2">
        <v>1759</v>
      </c>
      <c r="CE3220" s="2" t="s">
        <v>104</v>
      </c>
      <c r="CF3220" s="5">
        <v>42977</v>
      </c>
      <c r="CG3220" s="2"/>
      <c r="CH3220" s="2"/>
      <c r="CI3220" s="2">
        <v>1</v>
      </c>
      <c r="CJ3220" s="2">
        <v>1</v>
      </c>
      <c r="CK3220" s="2">
        <v>24</v>
      </c>
      <c r="CL3220" s="2" t="s">
        <v>86</v>
      </c>
      <c r="CM3220" s="2"/>
    </row>
    <row r="3221" spans="1:91">
      <c r="A3221" s="2" t="s">
        <v>71</v>
      </c>
      <c r="B3221" s="2" t="s">
        <v>72</v>
      </c>
      <c r="C3221" s="2" t="s">
        <v>73</v>
      </c>
      <c r="D3221" s="2"/>
      <c r="E3221" s="2" t="str">
        <f>"FES1162571775"</f>
        <v>FES1162571775</v>
      </c>
      <c r="F3221" s="3">
        <v>42975</v>
      </c>
      <c r="G3221" s="2">
        <v>201802</v>
      </c>
      <c r="H3221" s="2" t="s">
        <v>74</v>
      </c>
      <c r="I3221" s="2" t="s">
        <v>75</v>
      </c>
      <c r="J3221" s="2" t="s">
        <v>76</v>
      </c>
      <c r="K3221" s="2" t="s">
        <v>77</v>
      </c>
      <c r="L3221" s="2" t="s">
        <v>149</v>
      </c>
      <c r="M3221" s="2" t="s">
        <v>150</v>
      </c>
      <c r="N3221" s="2" t="s">
        <v>482</v>
      </c>
      <c r="O3221" s="2" t="s">
        <v>100</v>
      </c>
      <c r="P3221" s="2" t="str">
        <f>"2170587410                    "</f>
        <v xml:space="preserve">2170587410                    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4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1</v>
      </c>
      <c r="BI3221" s="2">
        <v>1</v>
      </c>
      <c r="BJ3221" s="2">
        <v>0.2</v>
      </c>
      <c r="BK3221" s="2">
        <v>1</v>
      </c>
      <c r="BL3221" s="2">
        <v>41.44</v>
      </c>
      <c r="BM3221" s="2">
        <v>5.8</v>
      </c>
      <c r="BN3221" s="2">
        <v>47.24</v>
      </c>
      <c r="BO3221" s="2">
        <v>47.24</v>
      </c>
      <c r="BP3221" s="2"/>
      <c r="BQ3221" s="2" t="s">
        <v>83</v>
      </c>
      <c r="BR3221" s="2" t="s">
        <v>84</v>
      </c>
      <c r="BS3221" s="3">
        <v>42976</v>
      </c>
      <c r="BT3221" s="4">
        <v>0.375</v>
      </c>
      <c r="BU3221" s="2" t="s">
        <v>3359</v>
      </c>
      <c r="BV3221" s="2" t="s">
        <v>95</v>
      </c>
      <c r="BW3221" s="2"/>
      <c r="BX3221" s="2"/>
      <c r="BY3221" s="2">
        <v>1200</v>
      </c>
      <c r="BZ3221" s="2" t="s">
        <v>27</v>
      </c>
      <c r="CA3221" s="2" t="s">
        <v>484</v>
      </c>
      <c r="CB3221" s="2"/>
      <c r="CC3221" s="2" t="s">
        <v>150</v>
      </c>
      <c r="CD3221" s="2">
        <v>4001</v>
      </c>
      <c r="CE3221" s="2" t="s">
        <v>104</v>
      </c>
      <c r="CF3221" s="5">
        <v>42977</v>
      </c>
      <c r="CG3221" s="2"/>
      <c r="CH3221" s="2"/>
      <c r="CI3221" s="2">
        <v>1</v>
      </c>
      <c r="CJ3221" s="2">
        <v>1</v>
      </c>
      <c r="CK3221" s="2">
        <v>21</v>
      </c>
      <c r="CL3221" s="2" t="s">
        <v>86</v>
      </c>
      <c r="CM3221" s="2"/>
    </row>
    <row r="3222" spans="1:91">
      <c r="A3222" s="2" t="s">
        <v>71</v>
      </c>
      <c r="B3222" s="2" t="s">
        <v>72</v>
      </c>
      <c r="C3222" s="2" t="s">
        <v>73</v>
      </c>
      <c r="D3222" s="2"/>
      <c r="E3222" s="2" t="str">
        <f>"FES1162571748"</f>
        <v>FES1162571748</v>
      </c>
      <c r="F3222" s="3">
        <v>42975</v>
      </c>
      <c r="G3222" s="2">
        <v>201802</v>
      </c>
      <c r="H3222" s="2" t="s">
        <v>74</v>
      </c>
      <c r="I3222" s="2" t="s">
        <v>75</v>
      </c>
      <c r="J3222" s="2" t="s">
        <v>76</v>
      </c>
      <c r="K3222" s="2" t="s">
        <v>77</v>
      </c>
      <c r="L3222" s="2" t="s">
        <v>237</v>
      </c>
      <c r="M3222" s="2" t="s">
        <v>238</v>
      </c>
      <c r="N3222" s="2" t="s">
        <v>2040</v>
      </c>
      <c r="O3222" s="2" t="s">
        <v>100</v>
      </c>
      <c r="P3222" s="2" t="str">
        <f>"2170587372                    "</f>
        <v xml:space="preserve">2170587372                    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4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1</v>
      </c>
      <c r="BI3222" s="2">
        <v>1</v>
      </c>
      <c r="BJ3222" s="2">
        <v>0.2</v>
      </c>
      <c r="BK3222" s="2">
        <v>1</v>
      </c>
      <c r="BL3222" s="2">
        <v>41.44</v>
      </c>
      <c r="BM3222" s="2">
        <v>5.8</v>
      </c>
      <c r="BN3222" s="2">
        <v>47.24</v>
      </c>
      <c r="BO3222" s="2">
        <v>47.24</v>
      </c>
      <c r="BP3222" s="2"/>
      <c r="BQ3222" s="2" t="s">
        <v>83</v>
      </c>
      <c r="BR3222" s="2" t="s">
        <v>84</v>
      </c>
      <c r="BS3222" s="3">
        <v>42976</v>
      </c>
      <c r="BT3222" s="4">
        <v>0.39166666666666666</v>
      </c>
      <c r="BU3222" s="2" t="s">
        <v>3360</v>
      </c>
      <c r="BV3222" s="2" t="s">
        <v>95</v>
      </c>
      <c r="BW3222" s="2"/>
      <c r="BX3222" s="2"/>
      <c r="BY3222" s="2">
        <v>1200</v>
      </c>
      <c r="BZ3222" s="2" t="s">
        <v>27</v>
      </c>
      <c r="CA3222" s="2" t="s">
        <v>2641</v>
      </c>
      <c r="CB3222" s="2"/>
      <c r="CC3222" s="2" t="s">
        <v>238</v>
      </c>
      <c r="CD3222" s="2">
        <v>3610</v>
      </c>
      <c r="CE3222" s="2" t="s">
        <v>104</v>
      </c>
      <c r="CF3222" s="5">
        <v>42977</v>
      </c>
      <c r="CG3222" s="2"/>
      <c r="CH3222" s="2"/>
      <c r="CI3222" s="2">
        <v>1</v>
      </c>
      <c r="CJ3222" s="2">
        <v>1</v>
      </c>
      <c r="CK3222" s="2">
        <v>21</v>
      </c>
      <c r="CL3222" s="2" t="s">
        <v>86</v>
      </c>
      <c r="CM3222" s="2"/>
    </row>
    <row r="3223" spans="1:91">
      <c r="A3223" s="2" t="s">
        <v>71</v>
      </c>
      <c r="B3223" s="2" t="s">
        <v>72</v>
      </c>
      <c r="C3223" s="2" t="s">
        <v>73</v>
      </c>
      <c r="D3223" s="2"/>
      <c r="E3223" s="2" t="str">
        <f>"FES1162571736"</f>
        <v>FES1162571736</v>
      </c>
      <c r="F3223" s="3">
        <v>42975</v>
      </c>
      <c r="G3223" s="2">
        <v>201802</v>
      </c>
      <c r="H3223" s="2" t="s">
        <v>74</v>
      </c>
      <c r="I3223" s="2" t="s">
        <v>75</v>
      </c>
      <c r="J3223" s="2" t="s">
        <v>76</v>
      </c>
      <c r="K3223" s="2" t="s">
        <v>77</v>
      </c>
      <c r="L3223" s="2" t="s">
        <v>2054</v>
      </c>
      <c r="M3223" s="2" t="s">
        <v>2055</v>
      </c>
      <c r="N3223" s="2" t="s">
        <v>3361</v>
      </c>
      <c r="O3223" s="2" t="s">
        <v>100</v>
      </c>
      <c r="P3223" s="2" t="str">
        <f>"2170587360                    "</f>
        <v xml:space="preserve">2170587360                    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4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1</v>
      </c>
      <c r="BI3223" s="2">
        <v>1</v>
      </c>
      <c r="BJ3223" s="2">
        <v>0.2</v>
      </c>
      <c r="BK3223" s="2">
        <v>1</v>
      </c>
      <c r="BL3223" s="2">
        <v>41.44</v>
      </c>
      <c r="BM3223" s="2">
        <v>5.8</v>
      </c>
      <c r="BN3223" s="2">
        <v>47.24</v>
      </c>
      <c r="BO3223" s="2">
        <v>47.24</v>
      </c>
      <c r="BP3223" s="2"/>
      <c r="BQ3223" s="2" t="s">
        <v>3362</v>
      </c>
      <c r="BR3223" s="2" t="s">
        <v>84</v>
      </c>
      <c r="BS3223" s="3">
        <v>42976</v>
      </c>
      <c r="BT3223" s="4">
        <v>0.44027777777777777</v>
      </c>
      <c r="BU3223" s="2" t="s">
        <v>3363</v>
      </c>
      <c r="BV3223" s="2" t="s">
        <v>95</v>
      </c>
      <c r="BW3223" s="2"/>
      <c r="BX3223" s="2"/>
      <c r="BY3223" s="2">
        <v>1200</v>
      </c>
      <c r="BZ3223" s="2" t="s">
        <v>27</v>
      </c>
      <c r="CA3223" s="2" t="s">
        <v>566</v>
      </c>
      <c r="CB3223" s="2"/>
      <c r="CC3223" s="2" t="s">
        <v>2055</v>
      </c>
      <c r="CD3223" s="2">
        <v>3265</v>
      </c>
      <c r="CE3223" s="2" t="s">
        <v>104</v>
      </c>
      <c r="CF3223" s="5">
        <v>42977</v>
      </c>
      <c r="CG3223" s="2"/>
      <c r="CH3223" s="2"/>
      <c r="CI3223" s="2">
        <v>1</v>
      </c>
      <c r="CJ3223" s="2">
        <v>1</v>
      </c>
      <c r="CK3223" s="2">
        <v>21</v>
      </c>
      <c r="CL3223" s="2" t="s">
        <v>86</v>
      </c>
      <c r="CM3223" s="2"/>
    </row>
    <row r="3224" spans="1:91">
      <c r="A3224" s="2" t="s">
        <v>71</v>
      </c>
      <c r="B3224" s="2" t="s">
        <v>72</v>
      </c>
      <c r="C3224" s="2" t="s">
        <v>73</v>
      </c>
      <c r="D3224" s="2"/>
      <c r="E3224" s="2" t="str">
        <f>"FES1162571831"</f>
        <v>FES1162571831</v>
      </c>
      <c r="F3224" s="3">
        <v>42975</v>
      </c>
      <c r="G3224" s="2">
        <v>201802</v>
      </c>
      <c r="H3224" s="2" t="s">
        <v>74</v>
      </c>
      <c r="I3224" s="2" t="s">
        <v>75</v>
      </c>
      <c r="J3224" s="2" t="s">
        <v>76</v>
      </c>
      <c r="K3224" s="2" t="s">
        <v>77</v>
      </c>
      <c r="L3224" s="2" t="s">
        <v>437</v>
      </c>
      <c r="M3224" s="2" t="s">
        <v>438</v>
      </c>
      <c r="N3224" s="2" t="s">
        <v>749</v>
      </c>
      <c r="O3224" s="2" t="s">
        <v>100</v>
      </c>
      <c r="P3224" s="2" t="str">
        <f>"2170587461                    "</f>
        <v xml:space="preserve">2170587461                    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4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  <c r="BG3224" s="2">
        <v>0</v>
      </c>
      <c r="BH3224" s="2">
        <v>1</v>
      </c>
      <c r="BI3224" s="2">
        <v>1</v>
      </c>
      <c r="BJ3224" s="2">
        <v>0.2</v>
      </c>
      <c r="BK3224" s="2">
        <v>1</v>
      </c>
      <c r="BL3224" s="2">
        <v>41.44</v>
      </c>
      <c r="BM3224" s="2">
        <v>5.8</v>
      </c>
      <c r="BN3224" s="2">
        <v>47.24</v>
      </c>
      <c r="BO3224" s="2">
        <v>47.24</v>
      </c>
      <c r="BP3224" s="2"/>
      <c r="BQ3224" s="2" t="s">
        <v>108</v>
      </c>
      <c r="BR3224" s="2" t="s">
        <v>84</v>
      </c>
      <c r="BS3224" s="3">
        <v>42976</v>
      </c>
      <c r="BT3224" s="4">
        <v>0.3666666666666667</v>
      </c>
      <c r="BU3224" s="2" t="s">
        <v>1553</v>
      </c>
      <c r="BV3224" s="2" t="s">
        <v>95</v>
      </c>
      <c r="BW3224" s="2"/>
      <c r="BX3224" s="2"/>
      <c r="BY3224" s="2">
        <v>1200</v>
      </c>
      <c r="BZ3224" s="2" t="s">
        <v>27</v>
      </c>
      <c r="CA3224" s="2" t="s">
        <v>441</v>
      </c>
      <c r="CB3224" s="2"/>
      <c r="CC3224" s="2" t="s">
        <v>438</v>
      </c>
      <c r="CD3224" s="2">
        <v>6536</v>
      </c>
      <c r="CE3224" s="2" t="s">
        <v>104</v>
      </c>
      <c r="CF3224" s="5">
        <v>42977</v>
      </c>
      <c r="CG3224" s="2"/>
      <c r="CH3224" s="2"/>
      <c r="CI3224" s="2">
        <v>1</v>
      </c>
      <c r="CJ3224" s="2">
        <v>1</v>
      </c>
      <c r="CK3224" s="2">
        <v>21</v>
      </c>
      <c r="CL3224" s="2" t="s">
        <v>86</v>
      </c>
      <c r="CM3224" s="2"/>
    </row>
    <row r="3225" spans="1:91">
      <c r="A3225" s="2" t="s">
        <v>71</v>
      </c>
      <c r="B3225" s="2" t="s">
        <v>72</v>
      </c>
      <c r="C3225" s="2" t="s">
        <v>73</v>
      </c>
      <c r="D3225" s="2"/>
      <c r="E3225" s="2" t="str">
        <f>"FES1162571762"</f>
        <v>FES1162571762</v>
      </c>
      <c r="F3225" s="3">
        <v>42975</v>
      </c>
      <c r="G3225" s="2">
        <v>201802</v>
      </c>
      <c r="H3225" s="2" t="s">
        <v>74</v>
      </c>
      <c r="I3225" s="2" t="s">
        <v>75</v>
      </c>
      <c r="J3225" s="2" t="s">
        <v>76</v>
      </c>
      <c r="K3225" s="2" t="s">
        <v>77</v>
      </c>
      <c r="L3225" s="2" t="s">
        <v>237</v>
      </c>
      <c r="M3225" s="2" t="s">
        <v>238</v>
      </c>
      <c r="N3225" s="2" t="s">
        <v>669</v>
      </c>
      <c r="O3225" s="2" t="s">
        <v>100</v>
      </c>
      <c r="P3225" s="2" t="str">
        <f>"21705873921                   "</f>
        <v xml:space="preserve">21705873921                   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4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  <c r="BG3225" s="2">
        <v>0</v>
      </c>
      <c r="BH3225" s="2">
        <v>1</v>
      </c>
      <c r="BI3225" s="2">
        <v>1</v>
      </c>
      <c r="BJ3225" s="2">
        <v>0.2</v>
      </c>
      <c r="BK3225" s="2">
        <v>1</v>
      </c>
      <c r="BL3225" s="2">
        <v>41.44</v>
      </c>
      <c r="BM3225" s="2">
        <v>5.8</v>
      </c>
      <c r="BN3225" s="2">
        <v>47.24</v>
      </c>
      <c r="BO3225" s="2">
        <v>47.24</v>
      </c>
      <c r="BP3225" s="2"/>
      <c r="BQ3225" s="2" t="s">
        <v>288</v>
      </c>
      <c r="BR3225" s="2" t="s">
        <v>84</v>
      </c>
      <c r="BS3225" s="3">
        <v>42976</v>
      </c>
      <c r="BT3225" s="4">
        <v>0.39027777777777778</v>
      </c>
      <c r="BU3225" s="2" t="s">
        <v>3364</v>
      </c>
      <c r="BV3225" s="2" t="s">
        <v>95</v>
      </c>
      <c r="BW3225" s="2"/>
      <c r="BX3225" s="2"/>
      <c r="BY3225" s="2">
        <v>1200</v>
      </c>
      <c r="BZ3225" s="2" t="s">
        <v>27</v>
      </c>
      <c r="CA3225" s="2" t="s">
        <v>2155</v>
      </c>
      <c r="CB3225" s="2"/>
      <c r="CC3225" s="2" t="s">
        <v>238</v>
      </c>
      <c r="CD3225" s="2">
        <v>3610</v>
      </c>
      <c r="CE3225" s="2" t="s">
        <v>104</v>
      </c>
      <c r="CF3225" s="5">
        <v>42977</v>
      </c>
      <c r="CG3225" s="2"/>
      <c r="CH3225" s="2"/>
      <c r="CI3225" s="2">
        <v>1</v>
      </c>
      <c r="CJ3225" s="2">
        <v>1</v>
      </c>
      <c r="CK3225" s="2">
        <v>21</v>
      </c>
      <c r="CL3225" s="2" t="s">
        <v>86</v>
      </c>
      <c r="CM3225" s="2"/>
    </row>
    <row r="3226" spans="1:91">
      <c r="A3226" s="2" t="s">
        <v>71</v>
      </c>
      <c r="B3226" s="2" t="s">
        <v>72</v>
      </c>
      <c r="C3226" s="2" t="s">
        <v>73</v>
      </c>
      <c r="D3226" s="2"/>
      <c r="E3226" s="2" t="str">
        <f>"FES1162571771"</f>
        <v>FES1162571771</v>
      </c>
      <c r="F3226" s="3">
        <v>42975</v>
      </c>
      <c r="G3226" s="2">
        <v>201802</v>
      </c>
      <c r="H3226" s="2" t="s">
        <v>74</v>
      </c>
      <c r="I3226" s="2" t="s">
        <v>75</v>
      </c>
      <c r="J3226" s="2" t="s">
        <v>76</v>
      </c>
      <c r="K3226" s="2" t="s">
        <v>77</v>
      </c>
      <c r="L3226" s="2" t="s">
        <v>97</v>
      </c>
      <c r="M3226" s="2" t="s">
        <v>98</v>
      </c>
      <c r="N3226" s="2" t="s">
        <v>1075</v>
      </c>
      <c r="O3226" s="2" t="s">
        <v>100</v>
      </c>
      <c r="P3226" s="2" t="str">
        <f>"2170587405                    "</f>
        <v xml:space="preserve">2170587405                    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4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1</v>
      </c>
      <c r="BI3226" s="2">
        <v>1</v>
      </c>
      <c r="BJ3226" s="2">
        <v>0.2</v>
      </c>
      <c r="BK3226" s="2">
        <v>1</v>
      </c>
      <c r="BL3226" s="2">
        <v>41.44</v>
      </c>
      <c r="BM3226" s="2">
        <v>5.8</v>
      </c>
      <c r="BN3226" s="2">
        <v>47.24</v>
      </c>
      <c r="BO3226" s="2">
        <v>47.24</v>
      </c>
      <c r="BP3226" s="2"/>
      <c r="BQ3226" s="2" t="s">
        <v>3357</v>
      </c>
      <c r="BR3226" s="2" t="s">
        <v>84</v>
      </c>
      <c r="BS3226" s="3">
        <v>42977</v>
      </c>
      <c r="BT3226" s="4">
        <v>0.42638888888888887</v>
      </c>
      <c r="BU3226" s="2" t="s">
        <v>3365</v>
      </c>
      <c r="BV3226" s="2" t="s">
        <v>86</v>
      </c>
      <c r="BW3226" s="2" t="s">
        <v>1007</v>
      </c>
      <c r="BX3226" s="2" t="s">
        <v>1627</v>
      </c>
      <c r="BY3226" s="2">
        <v>1200</v>
      </c>
      <c r="BZ3226" s="2" t="s">
        <v>27</v>
      </c>
      <c r="CA3226" s="2" t="s">
        <v>103</v>
      </c>
      <c r="CB3226" s="2"/>
      <c r="CC3226" s="2" t="s">
        <v>98</v>
      </c>
      <c r="CD3226" s="2">
        <v>6001</v>
      </c>
      <c r="CE3226" s="2" t="s">
        <v>104</v>
      </c>
      <c r="CF3226" s="5">
        <v>42978</v>
      </c>
      <c r="CG3226" s="2"/>
      <c r="CH3226" s="2"/>
      <c r="CI3226" s="2">
        <v>1</v>
      </c>
      <c r="CJ3226" s="2">
        <v>2</v>
      </c>
      <c r="CK3226" s="2">
        <v>21</v>
      </c>
      <c r="CL3226" s="2" t="s">
        <v>86</v>
      </c>
      <c r="CM3226" s="2"/>
    </row>
    <row r="3227" spans="1:91">
      <c r="A3227" s="2" t="s">
        <v>71</v>
      </c>
      <c r="B3227" s="2" t="s">
        <v>72</v>
      </c>
      <c r="C3227" s="2" t="s">
        <v>73</v>
      </c>
      <c r="D3227" s="2"/>
      <c r="E3227" s="2" t="str">
        <f>"FES1162571740"</f>
        <v>FES1162571740</v>
      </c>
      <c r="F3227" s="3">
        <v>42975</v>
      </c>
      <c r="G3227" s="2">
        <v>201802</v>
      </c>
      <c r="H3227" s="2" t="s">
        <v>74</v>
      </c>
      <c r="I3227" s="2" t="s">
        <v>75</v>
      </c>
      <c r="J3227" s="2" t="s">
        <v>76</v>
      </c>
      <c r="K3227" s="2" t="s">
        <v>77</v>
      </c>
      <c r="L3227" s="2" t="s">
        <v>149</v>
      </c>
      <c r="M3227" s="2" t="s">
        <v>150</v>
      </c>
      <c r="N3227" s="2" t="s">
        <v>3366</v>
      </c>
      <c r="O3227" s="2" t="s">
        <v>100</v>
      </c>
      <c r="P3227" s="2" t="str">
        <f>"2170587365                    "</f>
        <v xml:space="preserve">2170587365                    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4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1</v>
      </c>
      <c r="BI3227" s="2">
        <v>1</v>
      </c>
      <c r="BJ3227" s="2">
        <v>0.2</v>
      </c>
      <c r="BK3227" s="2">
        <v>1</v>
      </c>
      <c r="BL3227" s="2">
        <v>41.44</v>
      </c>
      <c r="BM3227" s="2">
        <v>5.8</v>
      </c>
      <c r="BN3227" s="2">
        <v>47.24</v>
      </c>
      <c r="BO3227" s="2">
        <v>47.24</v>
      </c>
      <c r="BP3227" s="2"/>
      <c r="BQ3227" s="2" t="s">
        <v>83</v>
      </c>
      <c r="BR3227" s="2" t="s">
        <v>84</v>
      </c>
      <c r="BS3227" s="3">
        <v>42976</v>
      </c>
      <c r="BT3227" s="4">
        <v>0.43333333333333335</v>
      </c>
      <c r="BU3227" s="2" t="s">
        <v>3291</v>
      </c>
      <c r="BV3227" s="2" t="s">
        <v>95</v>
      </c>
      <c r="BW3227" s="2"/>
      <c r="BX3227" s="2"/>
      <c r="BY3227" s="2">
        <v>1200</v>
      </c>
      <c r="BZ3227" s="2" t="s">
        <v>27</v>
      </c>
      <c r="CA3227" s="2" t="s">
        <v>2558</v>
      </c>
      <c r="CB3227" s="2"/>
      <c r="CC3227" s="2" t="s">
        <v>150</v>
      </c>
      <c r="CD3227" s="2">
        <v>4051</v>
      </c>
      <c r="CE3227" s="2" t="s">
        <v>104</v>
      </c>
      <c r="CF3227" s="5">
        <v>42977</v>
      </c>
      <c r="CG3227" s="2"/>
      <c r="CH3227" s="2"/>
      <c r="CI3227" s="2">
        <v>1</v>
      </c>
      <c r="CJ3227" s="2">
        <v>1</v>
      </c>
      <c r="CK3227" s="2">
        <v>21</v>
      </c>
      <c r="CL3227" s="2" t="s">
        <v>86</v>
      </c>
      <c r="CM3227" s="2"/>
    </row>
    <row r="3228" spans="1:91">
      <c r="A3228" s="2" t="s">
        <v>71</v>
      </c>
      <c r="B3228" s="2" t="s">
        <v>72</v>
      </c>
      <c r="C3228" s="2" t="s">
        <v>73</v>
      </c>
      <c r="D3228" s="2"/>
      <c r="E3228" s="2" t="str">
        <f>"FES1162571761"</f>
        <v>FES1162571761</v>
      </c>
      <c r="F3228" s="3">
        <v>42975</v>
      </c>
      <c r="G3228" s="2">
        <v>201802</v>
      </c>
      <c r="H3228" s="2" t="s">
        <v>74</v>
      </c>
      <c r="I3228" s="2" t="s">
        <v>75</v>
      </c>
      <c r="J3228" s="2" t="s">
        <v>76</v>
      </c>
      <c r="K3228" s="2" t="s">
        <v>77</v>
      </c>
      <c r="L3228" s="2" t="s">
        <v>268</v>
      </c>
      <c r="M3228" s="2" t="s">
        <v>269</v>
      </c>
      <c r="N3228" s="2" t="s">
        <v>402</v>
      </c>
      <c r="O3228" s="2" t="s">
        <v>100</v>
      </c>
      <c r="P3228" s="2" t="str">
        <f>"2170587391                    "</f>
        <v xml:space="preserve">2170587391                    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8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1</v>
      </c>
      <c r="BI3228" s="2">
        <v>3.8</v>
      </c>
      <c r="BJ3228" s="2">
        <v>1.5</v>
      </c>
      <c r="BK3228" s="2">
        <v>4</v>
      </c>
      <c r="BL3228" s="2">
        <v>82.88</v>
      </c>
      <c r="BM3228" s="2">
        <v>11.6</v>
      </c>
      <c r="BN3228" s="2">
        <v>94.48</v>
      </c>
      <c r="BO3228" s="2">
        <v>94.48</v>
      </c>
      <c r="BP3228" s="2"/>
      <c r="BQ3228" s="2" t="s">
        <v>1812</v>
      </c>
      <c r="BR3228" s="2" t="s">
        <v>84</v>
      </c>
      <c r="BS3228" s="3">
        <v>42976</v>
      </c>
      <c r="BT3228" s="4">
        <v>0.46180555555555558</v>
      </c>
      <c r="BU3228" s="2" t="s">
        <v>3367</v>
      </c>
      <c r="BV3228" s="2" t="s">
        <v>95</v>
      </c>
      <c r="BW3228" s="2"/>
      <c r="BX3228" s="2"/>
      <c r="BY3228" s="2">
        <v>7686.76</v>
      </c>
      <c r="BZ3228" s="2" t="s">
        <v>27</v>
      </c>
      <c r="CA3228" s="2"/>
      <c r="CB3228" s="2"/>
      <c r="CC3228" s="2" t="s">
        <v>269</v>
      </c>
      <c r="CD3228" s="2">
        <v>82</v>
      </c>
      <c r="CE3228" s="2" t="s">
        <v>89</v>
      </c>
      <c r="CF3228" s="5">
        <v>42977</v>
      </c>
      <c r="CG3228" s="2"/>
      <c r="CH3228" s="2"/>
      <c r="CI3228" s="2">
        <v>1</v>
      </c>
      <c r="CJ3228" s="2">
        <v>1</v>
      </c>
      <c r="CK3228" s="2">
        <v>21</v>
      </c>
      <c r="CL3228" s="2" t="s">
        <v>86</v>
      </c>
      <c r="CM3228" s="2"/>
    </row>
    <row r="3229" spans="1:91">
      <c r="A3229" s="2" t="s">
        <v>71</v>
      </c>
      <c r="B3229" s="2" t="s">
        <v>72</v>
      </c>
      <c r="C3229" s="2" t="s">
        <v>73</v>
      </c>
      <c r="D3229" s="2"/>
      <c r="E3229" s="2" t="str">
        <f>"FES1162571763"</f>
        <v>FES1162571763</v>
      </c>
      <c r="F3229" s="3">
        <v>42975</v>
      </c>
      <c r="G3229" s="2">
        <v>201802</v>
      </c>
      <c r="H3229" s="2" t="s">
        <v>74</v>
      </c>
      <c r="I3229" s="2" t="s">
        <v>75</v>
      </c>
      <c r="J3229" s="2" t="s">
        <v>76</v>
      </c>
      <c r="K3229" s="2" t="s">
        <v>77</v>
      </c>
      <c r="L3229" s="2" t="s">
        <v>97</v>
      </c>
      <c r="M3229" s="2" t="s">
        <v>98</v>
      </c>
      <c r="N3229" s="2" t="s">
        <v>214</v>
      </c>
      <c r="O3229" s="2" t="s">
        <v>100</v>
      </c>
      <c r="P3229" s="2" t="str">
        <f>"2170587393                    "</f>
        <v xml:space="preserve">2170587393                    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5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1</v>
      </c>
      <c r="BI3229" s="2">
        <v>2.1</v>
      </c>
      <c r="BJ3229" s="2">
        <v>1.1000000000000001</v>
      </c>
      <c r="BK3229" s="2">
        <v>2.5</v>
      </c>
      <c r="BL3229" s="2">
        <v>51.8</v>
      </c>
      <c r="BM3229" s="2">
        <v>7.25</v>
      </c>
      <c r="BN3229" s="2">
        <v>59.05</v>
      </c>
      <c r="BO3229" s="2">
        <v>59.05</v>
      </c>
      <c r="BP3229" s="2"/>
      <c r="BQ3229" s="2" t="s">
        <v>108</v>
      </c>
      <c r="BR3229" s="2" t="s">
        <v>84</v>
      </c>
      <c r="BS3229" s="3">
        <v>42976</v>
      </c>
      <c r="BT3229" s="4">
        <v>0.31666666666666665</v>
      </c>
      <c r="BU3229" s="2" t="s">
        <v>215</v>
      </c>
      <c r="BV3229" s="2" t="s">
        <v>95</v>
      </c>
      <c r="BW3229" s="2"/>
      <c r="BX3229" s="2"/>
      <c r="BY3229" s="2">
        <v>5731.91</v>
      </c>
      <c r="BZ3229" s="2" t="s">
        <v>27</v>
      </c>
      <c r="CA3229" s="2" t="s">
        <v>213</v>
      </c>
      <c r="CB3229" s="2"/>
      <c r="CC3229" s="2" t="s">
        <v>98</v>
      </c>
      <c r="CD3229" s="2">
        <v>6001</v>
      </c>
      <c r="CE3229" s="2" t="s">
        <v>89</v>
      </c>
      <c r="CF3229" s="5">
        <v>42977</v>
      </c>
      <c r="CG3229" s="2"/>
      <c r="CH3229" s="2"/>
      <c r="CI3229" s="2">
        <v>1</v>
      </c>
      <c r="CJ3229" s="2">
        <v>1</v>
      </c>
      <c r="CK3229" s="2">
        <v>21</v>
      </c>
      <c r="CL3229" s="2" t="s">
        <v>86</v>
      </c>
      <c r="CM3229" s="2"/>
    </row>
    <row r="3230" spans="1:91">
      <c r="A3230" s="2" t="s">
        <v>71</v>
      </c>
      <c r="B3230" s="2" t="s">
        <v>72</v>
      </c>
      <c r="C3230" s="2" t="s">
        <v>73</v>
      </c>
      <c r="D3230" s="2"/>
      <c r="E3230" s="2" t="str">
        <f>"FES1162571728"</f>
        <v>FES1162571728</v>
      </c>
      <c r="F3230" s="3">
        <v>42975</v>
      </c>
      <c r="G3230" s="2">
        <v>201802</v>
      </c>
      <c r="H3230" s="2" t="s">
        <v>74</v>
      </c>
      <c r="I3230" s="2" t="s">
        <v>75</v>
      </c>
      <c r="J3230" s="2" t="s">
        <v>76</v>
      </c>
      <c r="K3230" s="2" t="s">
        <v>77</v>
      </c>
      <c r="L3230" s="2" t="s">
        <v>170</v>
      </c>
      <c r="M3230" s="2" t="s">
        <v>171</v>
      </c>
      <c r="N3230" s="2" t="s">
        <v>3217</v>
      </c>
      <c r="O3230" s="2" t="s">
        <v>100</v>
      </c>
      <c r="P3230" s="2" t="str">
        <f>"2170587350                    "</f>
        <v xml:space="preserve">2170587350                    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5.75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1</v>
      </c>
      <c r="BI3230" s="2">
        <v>8.3000000000000007</v>
      </c>
      <c r="BJ3230" s="2">
        <v>14.7</v>
      </c>
      <c r="BK3230" s="2">
        <v>15</v>
      </c>
      <c r="BL3230" s="2">
        <v>59.57</v>
      </c>
      <c r="BM3230" s="2">
        <v>8.34</v>
      </c>
      <c r="BN3230" s="2">
        <v>67.91</v>
      </c>
      <c r="BO3230" s="2">
        <v>67.91</v>
      </c>
      <c r="BP3230" s="2"/>
      <c r="BQ3230" s="2" t="s">
        <v>288</v>
      </c>
      <c r="BR3230" s="2" t="s">
        <v>84</v>
      </c>
      <c r="BS3230" s="3">
        <v>42976</v>
      </c>
      <c r="BT3230" s="4">
        <v>0.35416666666666669</v>
      </c>
      <c r="BU3230" s="2" t="s">
        <v>330</v>
      </c>
      <c r="BV3230" s="2" t="s">
        <v>95</v>
      </c>
      <c r="BW3230" s="2"/>
      <c r="BX3230" s="2"/>
      <c r="BY3230" s="2">
        <v>73690.78</v>
      </c>
      <c r="BZ3230" s="2" t="s">
        <v>27</v>
      </c>
      <c r="CA3230" s="2" t="s">
        <v>1441</v>
      </c>
      <c r="CB3230" s="2"/>
      <c r="CC3230" s="2" t="s">
        <v>171</v>
      </c>
      <c r="CD3230" s="2">
        <v>1401</v>
      </c>
      <c r="CE3230" s="2" t="s">
        <v>89</v>
      </c>
      <c r="CF3230" s="5">
        <v>42977</v>
      </c>
      <c r="CG3230" s="2"/>
      <c r="CH3230" s="2"/>
      <c r="CI3230" s="2">
        <v>1</v>
      </c>
      <c r="CJ3230" s="2">
        <v>1</v>
      </c>
      <c r="CK3230" s="2">
        <v>22</v>
      </c>
      <c r="CL3230" s="2" t="s">
        <v>86</v>
      </c>
      <c r="CM3230" s="2"/>
    </row>
    <row r="3231" spans="1:91">
      <c r="A3231" s="2" t="s">
        <v>71</v>
      </c>
      <c r="B3231" s="2" t="s">
        <v>72</v>
      </c>
      <c r="C3231" s="2" t="s">
        <v>73</v>
      </c>
      <c r="D3231" s="2"/>
      <c r="E3231" s="2" t="str">
        <f>"FES1162571655"</f>
        <v>FES1162571655</v>
      </c>
      <c r="F3231" s="3">
        <v>42975</v>
      </c>
      <c r="G3231" s="2">
        <v>201802</v>
      </c>
      <c r="H3231" s="2" t="s">
        <v>74</v>
      </c>
      <c r="I3231" s="2" t="s">
        <v>75</v>
      </c>
      <c r="J3231" s="2" t="s">
        <v>76</v>
      </c>
      <c r="K3231" s="2" t="s">
        <v>77</v>
      </c>
      <c r="L3231" s="2" t="s">
        <v>268</v>
      </c>
      <c r="M3231" s="2" t="s">
        <v>269</v>
      </c>
      <c r="N3231" s="2" t="s">
        <v>402</v>
      </c>
      <c r="O3231" s="2" t="s">
        <v>100</v>
      </c>
      <c r="P3231" s="2" t="str">
        <f>"2170584385                    "</f>
        <v xml:space="preserve">2170584385                    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13.01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2</v>
      </c>
      <c r="BI3231" s="2">
        <v>6.1</v>
      </c>
      <c r="BJ3231" s="2">
        <v>5.4</v>
      </c>
      <c r="BK3231" s="2">
        <v>6.5</v>
      </c>
      <c r="BL3231" s="2">
        <v>134.69</v>
      </c>
      <c r="BM3231" s="2">
        <v>18.86</v>
      </c>
      <c r="BN3231" s="2">
        <v>153.55000000000001</v>
      </c>
      <c r="BO3231" s="2">
        <v>153.55000000000001</v>
      </c>
      <c r="BP3231" s="2"/>
      <c r="BQ3231" s="2" t="s">
        <v>288</v>
      </c>
      <c r="BR3231" s="2" t="s">
        <v>84</v>
      </c>
      <c r="BS3231" s="3">
        <v>42976</v>
      </c>
      <c r="BT3231" s="4">
        <v>0.46180555555555558</v>
      </c>
      <c r="BU3231" s="2" t="s">
        <v>369</v>
      </c>
      <c r="BV3231" s="2" t="s">
        <v>95</v>
      </c>
      <c r="BW3231" s="2"/>
      <c r="BX3231" s="2"/>
      <c r="BY3231" s="2">
        <v>27112.97</v>
      </c>
      <c r="BZ3231" s="2" t="s">
        <v>27</v>
      </c>
      <c r="CA3231" s="2"/>
      <c r="CB3231" s="2"/>
      <c r="CC3231" s="2" t="s">
        <v>269</v>
      </c>
      <c r="CD3231" s="2">
        <v>82</v>
      </c>
      <c r="CE3231" s="2" t="s">
        <v>89</v>
      </c>
      <c r="CF3231" s="5">
        <v>42977</v>
      </c>
      <c r="CG3231" s="2"/>
      <c r="CH3231" s="2"/>
      <c r="CI3231" s="2">
        <v>1</v>
      </c>
      <c r="CJ3231" s="2">
        <v>1</v>
      </c>
      <c r="CK3231" s="2">
        <v>21</v>
      </c>
      <c r="CL3231" s="2" t="s">
        <v>86</v>
      </c>
      <c r="CM3231" s="2"/>
    </row>
    <row r="3232" spans="1:91">
      <c r="A3232" s="2" t="s">
        <v>71</v>
      </c>
      <c r="B3232" s="2" t="s">
        <v>72</v>
      </c>
      <c r="C3232" s="2" t="s">
        <v>73</v>
      </c>
      <c r="D3232" s="2"/>
      <c r="E3232" s="2" t="str">
        <f>"FES1162571662"</f>
        <v>FES1162571662</v>
      </c>
      <c r="F3232" s="3">
        <v>42975</v>
      </c>
      <c r="G3232" s="2">
        <v>201802</v>
      </c>
      <c r="H3232" s="2" t="s">
        <v>74</v>
      </c>
      <c r="I3232" s="2" t="s">
        <v>75</v>
      </c>
      <c r="J3232" s="2" t="s">
        <v>76</v>
      </c>
      <c r="K3232" s="2" t="s">
        <v>77</v>
      </c>
      <c r="L3232" s="2" t="s">
        <v>105</v>
      </c>
      <c r="M3232" s="2" t="s">
        <v>106</v>
      </c>
      <c r="N3232" s="2" t="s">
        <v>893</v>
      </c>
      <c r="O3232" s="2" t="s">
        <v>100</v>
      </c>
      <c r="P3232" s="2" t="str">
        <f>"2170584920                    "</f>
        <v xml:space="preserve">2170584920                    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4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1</v>
      </c>
      <c r="BI3232" s="2">
        <v>0.9</v>
      </c>
      <c r="BJ3232" s="2">
        <v>1</v>
      </c>
      <c r="BK3232" s="2">
        <v>1</v>
      </c>
      <c r="BL3232" s="2">
        <v>41.44</v>
      </c>
      <c r="BM3232" s="2">
        <v>5.8</v>
      </c>
      <c r="BN3232" s="2">
        <v>47.24</v>
      </c>
      <c r="BO3232" s="2">
        <v>47.24</v>
      </c>
      <c r="BP3232" s="2"/>
      <c r="BQ3232" s="2" t="s">
        <v>227</v>
      </c>
      <c r="BR3232" s="2" t="s">
        <v>84</v>
      </c>
      <c r="BS3232" s="3">
        <v>42976</v>
      </c>
      <c r="BT3232" s="4">
        <v>0.32708333333333334</v>
      </c>
      <c r="BU3232" s="2" t="s">
        <v>2444</v>
      </c>
      <c r="BV3232" s="2" t="s">
        <v>95</v>
      </c>
      <c r="BW3232" s="2"/>
      <c r="BX3232" s="2"/>
      <c r="BY3232" s="2">
        <v>4878.05</v>
      </c>
      <c r="BZ3232" s="2" t="s">
        <v>27</v>
      </c>
      <c r="CA3232" s="2" t="s">
        <v>869</v>
      </c>
      <c r="CB3232" s="2"/>
      <c r="CC3232" s="2" t="s">
        <v>106</v>
      </c>
      <c r="CD3232" s="2">
        <v>7460</v>
      </c>
      <c r="CE3232" s="2" t="s">
        <v>89</v>
      </c>
      <c r="CF3232" s="5">
        <v>42977</v>
      </c>
      <c r="CG3232" s="2"/>
      <c r="CH3232" s="2"/>
      <c r="CI3232" s="2">
        <v>1</v>
      </c>
      <c r="CJ3232" s="2">
        <v>1</v>
      </c>
      <c r="CK3232" s="2">
        <v>21</v>
      </c>
      <c r="CL3232" s="2" t="s">
        <v>86</v>
      </c>
      <c r="CM3232" s="2"/>
    </row>
    <row r="3233" spans="1:91">
      <c r="A3233" s="2" t="s">
        <v>71</v>
      </c>
      <c r="B3233" s="2" t="s">
        <v>72</v>
      </c>
      <c r="C3233" s="2" t="s">
        <v>73</v>
      </c>
      <c r="D3233" s="2"/>
      <c r="E3233" s="2" t="str">
        <f>"FES1162571745"</f>
        <v>FES1162571745</v>
      </c>
      <c r="F3233" s="3">
        <v>42975</v>
      </c>
      <c r="G3233" s="2">
        <v>201802</v>
      </c>
      <c r="H3233" s="2" t="s">
        <v>74</v>
      </c>
      <c r="I3233" s="2" t="s">
        <v>75</v>
      </c>
      <c r="J3233" s="2" t="s">
        <v>76</v>
      </c>
      <c r="K3233" s="2" t="s">
        <v>77</v>
      </c>
      <c r="L3233" s="2" t="s">
        <v>417</v>
      </c>
      <c r="M3233" s="2" t="s">
        <v>417</v>
      </c>
      <c r="N3233" s="2" t="s">
        <v>1414</v>
      </c>
      <c r="O3233" s="2" t="s">
        <v>100</v>
      </c>
      <c r="P3233" s="2" t="str">
        <f>"2170587369                    "</f>
        <v xml:space="preserve">2170587369                    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20.010000000000002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1</v>
      </c>
      <c r="BI3233" s="2">
        <v>10</v>
      </c>
      <c r="BJ3233" s="2">
        <v>1.6</v>
      </c>
      <c r="BK3233" s="2">
        <v>10</v>
      </c>
      <c r="BL3233" s="2">
        <v>207.21</v>
      </c>
      <c r="BM3233" s="2">
        <v>29.01</v>
      </c>
      <c r="BN3233" s="2">
        <v>236.22</v>
      </c>
      <c r="BO3233" s="2">
        <v>236.22</v>
      </c>
      <c r="BP3233" s="2"/>
      <c r="BQ3233" s="2" t="s">
        <v>108</v>
      </c>
      <c r="BR3233" s="2" t="s">
        <v>84</v>
      </c>
      <c r="BS3233" s="3">
        <v>42976</v>
      </c>
      <c r="BT3233" s="4">
        <v>0.52083333333333337</v>
      </c>
      <c r="BU3233" s="2" t="s">
        <v>3368</v>
      </c>
      <c r="BV3233" s="2" t="s">
        <v>95</v>
      </c>
      <c r="BW3233" s="2"/>
      <c r="BX3233" s="2"/>
      <c r="BY3233" s="2">
        <v>8099.68</v>
      </c>
      <c r="BZ3233" s="2" t="s">
        <v>27</v>
      </c>
      <c r="CA3233" s="2" t="s">
        <v>420</v>
      </c>
      <c r="CB3233" s="2"/>
      <c r="CC3233" s="2" t="s">
        <v>417</v>
      </c>
      <c r="CD3233" s="2">
        <v>7646</v>
      </c>
      <c r="CE3233" s="2" t="s">
        <v>89</v>
      </c>
      <c r="CF3233" s="5">
        <v>42977</v>
      </c>
      <c r="CG3233" s="2"/>
      <c r="CH3233" s="2"/>
      <c r="CI3233" s="2">
        <v>1</v>
      </c>
      <c r="CJ3233" s="2">
        <v>1</v>
      </c>
      <c r="CK3233" s="2">
        <v>21</v>
      </c>
      <c r="CL3233" s="2" t="s">
        <v>86</v>
      </c>
      <c r="CM3233" s="2"/>
    </row>
    <row r="3234" spans="1:91">
      <c r="A3234" s="2" t="s">
        <v>71</v>
      </c>
      <c r="B3234" s="2" t="s">
        <v>72</v>
      </c>
      <c r="C3234" s="2" t="s">
        <v>73</v>
      </c>
      <c r="D3234" s="2"/>
      <c r="E3234" s="2" t="str">
        <f>"FES1162571853"</f>
        <v>FES1162571853</v>
      </c>
      <c r="F3234" s="3">
        <v>42975</v>
      </c>
      <c r="G3234" s="2">
        <v>201802</v>
      </c>
      <c r="H3234" s="2" t="s">
        <v>74</v>
      </c>
      <c r="I3234" s="2" t="s">
        <v>75</v>
      </c>
      <c r="J3234" s="2" t="s">
        <v>76</v>
      </c>
      <c r="K3234" s="2" t="s">
        <v>77</v>
      </c>
      <c r="L3234" s="2" t="s">
        <v>417</v>
      </c>
      <c r="M3234" s="2" t="s">
        <v>417</v>
      </c>
      <c r="N3234" s="2" t="s">
        <v>458</v>
      </c>
      <c r="O3234" s="2" t="s">
        <v>100</v>
      </c>
      <c r="P3234" s="2" t="str">
        <f>"2170587485                    "</f>
        <v xml:space="preserve">2170587485                    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4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1</v>
      </c>
      <c r="BI3234" s="2">
        <v>1</v>
      </c>
      <c r="BJ3234" s="2">
        <v>0.2</v>
      </c>
      <c r="BK3234" s="2">
        <v>1</v>
      </c>
      <c r="BL3234" s="2">
        <v>41.44</v>
      </c>
      <c r="BM3234" s="2">
        <v>5.8</v>
      </c>
      <c r="BN3234" s="2">
        <v>47.24</v>
      </c>
      <c r="BO3234" s="2">
        <v>47.24</v>
      </c>
      <c r="BP3234" s="2"/>
      <c r="BQ3234" s="2" t="s">
        <v>83</v>
      </c>
      <c r="BR3234" s="2" t="s">
        <v>84</v>
      </c>
      <c r="BS3234" s="3">
        <v>42976</v>
      </c>
      <c r="BT3234" s="4">
        <v>0.51250000000000007</v>
      </c>
      <c r="BU3234" s="2" t="s">
        <v>1082</v>
      </c>
      <c r="BV3234" s="2" t="s">
        <v>95</v>
      </c>
      <c r="BW3234" s="2"/>
      <c r="BX3234" s="2"/>
      <c r="BY3234" s="2">
        <v>1200</v>
      </c>
      <c r="BZ3234" s="2" t="s">
        <v>27</v>
      </c>
      <c r="CA3234" s="2" t="s">
        <v>420</v>
      </c>
      <c r="CB3234" s="2"/>
      <c r="CC3234" s="2" t="s">
        <v>417</v>
      </c>
      <c r="CD3234" s="2">
        <v>7646</v>
      </c>
      <c r="CE3234" s="2" t="s">
        <v>104</v>
      </c>
      <c r="CF3234" s="5">
        <v>42977</v>
      </c>
      <c r="CG3234" s="2"/>
      <c r="CH3234" s="2"/>
      <c r="CI3234" s="2">
        <v>1</v>
      </c>
      <c r="CJ3234" s="2">
        <v>1</v>
      </c>
      <c r="CK3234" s="2">
        <v>21</v>
      </c>
      <c r="CL3234" s="2" t="s">
        <v>86</v>
      </c>
      <c r="CM3234" s="2"/>
    </row>
    <row r="3235" spans="1:91">
      <c r="A3235" s="2" t="s">
        <v>71</v>
      </c>
      <c r="B3235" s="2" t="s">
        <v>72</v>
      </c>
      <c r="C3235" s="2" t="s">
        <v>73</v>
      </c>
      <c r="D3235" s="2"/>
      <c r="E3235" s="2" t="str">
        <f>"FES1162571679"</f>
        <v>FES1162571679</v>
      </c>
      <c r="F3235" s="3">
        <v>42975</v>
      </c>
      <c r="G3235" s="2">
        <v>201802</v>
      </c>
      <c r="H3235" s="2" t="s">
        <v>74</v>
      </c>
      <c r="I3235" s="2" t="s">
        <v>75</v>
      </c>
      <c r="J3235" s="2" t="s">
        <v>76</v>
      </c>
      <c r="K3235" s="2" t="s">
        <v>77</v>
      </c>
      <c r="L3235" s="2" t="s">
        <v>268</v>
      </c>
      <c r="M3235" s="2" t="s">
        <v>269</v>
      </c>
      <c r="N3235" s="2" t="s">
        <v>351</v>
      </c>
      <c r="O3235" s="2" t="s">
        <v>100</v>
      </c>
      <c r="P3235" s="2" t="str">
        <f>"2170586519                    "</f>
        <v xml:space="preserve">2170586519                    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6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1</v>
      </c>
      <c r="BI3235" s="2">
        <v>3</v>
      </c>
      <c r="BJ3235" s="2">
        <v>0.2</v>
      </c>
      <c r="BK3235" s="2">
        <v>3</v>
      </c>
      <c r="BL3235" s="2">
        <v>62.16</v>
      </c>
      <c r="BM3235" s="2">
        <v>8.6999999999999993</v>
      </c>
      <c r="BN3235" s="2">
        <v>70.86</v>
      </c>
      <c r="BO3235" s="2">
        <v>70.86</v>
      </c>
      <c r="BP3235" s="2"/>
      <c r="BQ3235" s="2" t="s">
        <v>108</v>
      </c>
      <c r="BR3235" s="2" t="s">
        <v>84</v>
      </c>
      <c r="BS3235" s="3">
        <v>42976</v>
      </c>
      <c r="BT3235" s="4">
        <v>0.45208333333333334</v>
      </c>
      <c r="BU3235" s="2" t="s">
        <v>392</v>
      </c>
      <c r="BV3235" s="2" t="s">
        <v>95</v>
      </c>
      <c r="BW3235" s="2"/>
      <c r="BX3235" s="2"/>
      <c r="BY3235" s="2">
        <v>1200</v>
      </c>
      <c r="BZ3235" s="2" t="s">
        <v>27</v>
      </c>
      <c r="CA3235" s="2"/>
      <c r="CB3235" s="2"/>
      <c r="CC3235" s="2" t="s">
        <v>269</v>
      </c>
      <c r="CD3235" s="2">
        <v>200</v>
      </c>
      <c r="CE3235" s="2" t="s">
        <v>104</v>
      </c>
      <c r="CF3235" s="5">
        <v>42977</v>
      </c>
      <c r="CG3235" s="2"/>
      <c r="CH3235" s="2"/>
      <c r="CI3235" s="2">
        <v>1</v>
      </c>
      <c r="CJ3235" s="2">
        <v>1</v>
      </c>
      <c r="CK3235" s="2">
        <v>21</v>
      </c>
      <c r="CL3235" s="2" t="s">
        <v>86</v>
      </c>
      <c r="CM3235" s="2"/>
    </row>
    <row r="3236" spans="1:91">
      <c r="A3236" s="2" t="s">
        <v>71</v>
      </c>
      <c r="B3236" s="2" t="s">
        <v>72</v>
      </c>
      <c r="C3236" s="2" t="s">
        <v>73</v>
      </c>
      <c r="D3236" s="2"/>
      <c r="E3236" s="2" t="str">
        <f>"FES1162571769"</f>
        <v>FES1162571769</v>
      </c>
      <c r="F3236" s="3">
        <v>42975</v>
      </c>
      <c r="G3236" s="2">
        <v>201802</v>
      </c>
      <c r="H3236" s="2" t="s">
        <v>74</v>
      </c>
      <c r="I3236" s="2" t="s">
        <v>75</v>
      </c>
      <c r="J3236" s="2" t="s">
        <v>76</v>
      </c>
      <c r="K3236" s="2" t="s">
        <v>77</v>
      </c>
      <c r="L3236" s="2" t="s">
        <v>105</v>
      </c>
      <c r="M3236" s="2" t="s">
        <v>106</v>
      </c>
      <c r="N3236" s="2" t="s">
        <v>253</v>
      </c>
      <c r="O3236" s="2" t="s">
        <v>100</v>
      </c>
      <c r="P3236" s="2" t="str">
        <f>"2170587403                    "</f>
        <v xml:space="preserve">2170587403                    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4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1</v>
      </c>
      <c r="BI3236" s="2">
        <v>1</v>
      </c>
      <c r="BJ3236" s="2">
        <v>0.2</v>
      </c>
      <c r="BK3236" s="2">
        <v>1</v>
      </c>
      <c r="BL3236" s="2">
        <v>41.44</v>
      </c>
      <c r="BM3236" s="2">
        <v>5.8</v>
      </c>
      <c r="BN3236" s="2">
        <v>47.24</v>
      </c>
      <c r="BO3236" s="2">
        <v>47.24</v>
      </c>
      <c r="BP3236" s="2"/>
      <c r="BQ3236" s="2" t="s">
        <v>108</v>
      </c>
      <c r="BR3236" s="2" t="s">
        <v>84</v>
      </c>
      <c r="BS3236" s="3">
        <v>42976</v>
      </c>
      <c r="BT3236" s="4">
        <v>0.42499999999999999</v>
      </c>
      <c r="BU3236" s="2" t="s">
        <v>1074</v>
      </c>
      <c r="BV3236" s="2" t="s">
        <v>95</v>
      </c>
      <c r="BW3236" s="2"/>
      <c r="BX3236" s="2"/>
      <c r="BY3236" s="2">
        <v>1200</v>
      </c>
      <c r="BZ3236" s="2" t="s">
        <v>27</v>
      </c>
      <c r="CA3236" s="2" t="s">
        <v>654</v>
      </c>
      <c r="CB3236" s="2"/>
      <c r="CC3236" s="2" t="s">
        <v>106</v>
      </c>
      <c r="CD3236" s="2">
        <v>7490</v>
      </c>
      <c r="CE3236" s="2" t="s">
        <v>104</v>
      </c>
      <c r="CF3236" s="5">
        <v>42977</v>
      </c>
      <c r="CG3236" s="2"/>
      <c r="CH3236" s="2"/>
      <c r="CI3236" s="2">
        <v>1</v>
      </c>
      <c r="CJ3236" s="2">
        <v>1</v>
      </c>
      <c r="CK3236" s="2">
        <v>21</v>
      </c>
      <c r="CL3236" s="2" t="s">
        <v>86</v>
      </c>
      <c r="CM3236" s="2"/>
    </row>
    <row r="3237" spans="1:91">
      <c r="A3237" s="2" t="s">
        <v>71</v>
      </c>
      <c r="B3237" s="2" t="s">
        <v>72</v>
      </c>
      <c r="C3237" s="2" t="s">
        <v>73</v>
      </c>
      <c r="D3237" s="2"/>
      <c r="E3237" s="2" t="str">
        <f>"FES1162571726"</f>
        <v>FES1162571726</v>
      </c>
      <c r="F3237" s="3">
        <v>42975</v>
      </c>
      <c r="G3237" s="2">
        <v>201802</v>
      </c>
      <c r="H3237" s="2" t="s">
        <v>74</v>
      </c>
      <c r="I3237" s="2" t="s">
        <v>75</v>
      </c>
      <c r="J3237" s="2" t="s">
        <v>76</v>
      </c>
      <c r="K3237" s="2" t="s">
        <v>77</v>
      </c>
      <c r="L3237" s="2" t="s">
        <v>74</v>
      </c>
      <c r="M3237" s="2" t="s">
        <v>75</v>
      </c>
      <c r="N3237" s="2" t="s">
        <v>407</v>
      </c>
      <c r="O3237" s="2" t="s">
        <v>100</v>
      </c>
      <c r="P3237" s="2" t="str">
        <f>"2170584649                    "</f>
        <v xml:space="preserve">2170584649                    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3.13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1</v>
      </c>
      <c r="BI3237" s="2">
        <v>1</v>
      </c>
      <c r="BJ3237" s="2">
        <v>0.2</v>
      </c>
      <c r="BK3237" s="2">
        <v>1</v>
      </c>
      <c r="BL3237" s="2">
        <v>32.380000000000003</v>
      </c>
      <c r="BM3237" s="2">
        <v>4.53</v>
      </c>
      <c r="BN3237" s="2">
        <v>36.909999999999997</v>
      </c>
      <c r="BO3237" s="2">
        <v>36.909999999999997</v>
      </c>
      <c r="BP3237" s="2"/>
      <c r="BQ3237" s="2" t="s">
        <v>108</v>
      </c>
      <c r="BR3237" s="2" t="s">
        <v>84</v>
      </c>
      <c r="BS3237" s="3">
        <v>42976</v>
      </c>
      <c r="BT3237" s="4">
        <v>0.33333333333333331</v>
      </c>
      <c r="BU3237" s="2" t="s">
        <v>1872</v>
      </c>
      <c r="BV3237" s="2" t="s">
        <v>95</v>
      </c>
      <c r="BW3237" s="2"/>
      <c r="BX3237" s="2"/>
      <c r="BY3237" s="2">
        <v>1200</v>
      </c>
      <c r="BZ3237" s="2" t="s">
        <v>27</v>
      </c>
      <c r="CA3237" s="2" t="s">
        <v>267</v>
      </c>
      <c r="CB3237" s="2"/>
      <c r="CC3237" s="2" t="s">
        <v>75</v>
      </c>
      <c r="CD3237" s="2">
        <v>1645</v>
      </c>
      <c r="CE3237" s="2" t="s">
        <v>104</v>
      </c>
      <c r="CF3237" s="5">
        <v>42977</v>
      </c>
      <c r="CG3237" s="2"/>
      <c r="CH3237" s="2"/>
      <c r="CI3237" s="2">
        <v>1</v>
      </c>
      <c r="CJ3237" s="2">
        <v>1</v>
      </c>
      <c r="CK3237" s="2">
        <v>22</v>
      </c>
      <c r="CL3237" s="2" t="s">
        <v>86</v>
      </c>
      <c r="CM3237" s="2"/>
    </row>
    <row r="3238" spans="1:91">
      <c r="A3238" s="2" t="s">
        <v>71</v>
      </c>
      <c r="B3238" s="2" t="s">
        <v>72</v>
      </c>
      <c r="C3238" s="2" t="s">
        <v>73</v>
      </c>
      <c r="D3238" s="2"/>
      <c r="E3238" s="2" t="str">
        <f>"009935791609"</f>
        <v>009935791609</v>
      </c>
      <c r="F3238" s="3">
        <v>42975</v>
      </c>
      <c r="G3238" s="2">
        <v>201802</v>
      </c>
      <c r="H3238" s="2" t="s">
        <v>74</v>
      </c>
      <c r="I3238" s="2" t="s">
        <v>75</v>
      </c>
      <c r="J3238" s="2" t="s">
        <v>76</v>
      </c>
      <c r="K3238" s="2" t="s">
        <v>77</v>
      </c>
      <c r="L3238" s="2" t="s">
        <v>149</v>
      </c>
      <c r="M3238" s="2" t="s">
        <v>150</v>
      </c>
      <c r="N3238" s="2" t="s">
        <v>472</v>
      </c>
      <c r="O3238" s="2" t="s">
        <v>120</v>
      </c>
      <c r="P3238" s="2" t="str">
        <f>"1162567595                    "</f>
        <v xml:space="preserve">1162567595                    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351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41.52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1</v>
      </c>
      <c r="BI3238" s="2">
        <v>2</v>
      </c>
      <c r="BJ3238" s="2">
        <v>0.2</v>
      </c>
      <c r="BK3238" s="2">
        <v>2</v>
      </c>
      <c r="BL3238" s="2">
        <v>429.96</v>
      </c>
      <c r="BM3238" s="2">
        <v>60.19</v>
      </c>
      <c r="BN3238" s="2">
        <v>490.15</v>
      </c>
      <c r="BO3238" s="2">
        <v>490.15</v>
      </c>
      <c r="BP3238" s="2" t="s">
        <v>3369</v>
      </c>
      <c r="BQ3238" s="2" t="s">
        <v>3370</v>
      </c>
      <c r="BR3238" s="2" t="s">
        <v>84</v>
      </c>
      <c r="BS3238" s="3">
        <v>42976</v>
      </c>
      <c r="BT3238" s="4">
        <v>0.4375</v>
      </c>
      <c r="BU3238" s="2" t="s">
        <v>85</v>
      </c>
      <c r="BV3238" s="2" t="s">
        <v>86</v>
      </c>
      <c r="BW3238" s="2"/>
      <c r="BX3238" s="2"/>
      <c r="BY3238" s="2">
        <v>1200</v>
      </c>
      <c r="BZ3238" s="2" t="s">
        <v>1405</v>
      </c>
      <c r="CA3238" s="2"/>
      <c r="CB3238" s="2"/>
      <c r="CC3238" s="2" t="s">
        <v>150</v>
      </c>
      <c r="CD3238" s="2">
        <v>4052</v>
      </c>
      <c r="CE3238" s="2" t="s">
        <v>104</v>
      </c>
      <c r="CF3238" s="5">
        <v>42977</v>
      </c>
      <c r="CG3238" s="2"/>
      <c r="CH3238" s="2"/>
      <c r="CI3238" s="2">
        <v>0</v>
      </c>
      <c r="CJ3238" s="2">
        <v>1</v>
      </c>
      <c r="CK3238" s="2">
        <v>21</v>
      </c>
      <c r="CL3238" s="2" t="s">
        <v>86</v>
      </c>
      <c r="CM3238" s="2"/>
    </row>
    <row r="3239" spans="1:91">
      <c r="A3239" s="2" t="s">
        <v>71</v>
      </c>
      <c r="B3239" s="2" t="s">
        <v>72</v>
      </c>
      <c r="C3239" s="2" t="s">
        <v>73</v>
      </c>
      <c r="D3239" s="2"/>
      <c r="E3239" s="2" t="str">
        <f>"FES1162571715"</f>
        <v>FES1162571715</v>
      </c>
      <c r="F3239" s="3">
        <v>42975</v>
      </c>
      <c r="G3239" s="2">
        <v>201802</v>
      </c>
      <c r="H3239" s="2" t="s">
        <v>74</v>
      </c>
      <c r="I3239" s="2" t="s">
        <v>75</v>
      </c>
      <c r="J3239" s="2" t="s">
        <v>76</v>
      </c>
      <c r="K3239" s="2" t="s">
        <v>77</v>
      </c>
      <c r="L3239" s="2" t="s">
        <v>216</v>
      </c>
      <c r="M3239" s="2" t="s">
        <v>217</v>
      </c>
      <c r="N3239" s="2" t="s">
        <v>351</v>
      </c>
      <c r="O3239" s="2" t="s">
        <v>100</v>
      </c>
      <c r="P3239" s="2" t="str">
        <f>"2170587328                    "</f>
        <v xml:space="preserve">2170587328                    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3.13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1</v>
      </c>
      <c r="BI3239" s="2">
        <v>1</v>
      </c>
      <c r="BJ3239" s="2">
        <v>0.2</v>
      </c>
      <c r="BK3239" s="2">
        <v>1</v>
      </c>
      <c r="BL3239" s="2">
        <v>32.380000000000003</v>
      </c>
      <c r="BM3239" s="2">
        <v>4.53</v>
      </c>
      <c r="BN3239" s="2">
        <v>36.909999999999997</v>
      </c>
      <c r="BO3239" s="2">
        <v>36.909999999999997</v>
      </c>
      <c r="BP3239" s="2"/>
      <c r="BQ3239" s="2"/>
      <c r="BR3239" s="2" t="s">
        <v>84</v>
      </c>
      <c r="BS3239" s="3">
        <v>42976</v>
      </c>
      <c r="BT3239" s="4">
        <v>0.40972222222222227</v>
      </c>
      <c r="BU3239" s="2" t="s">
        <v>3371</v>
      </c>
      <c r="BV3239" s="2" t="s">
        <v>95</v>
      </c>
      <c r="BW3239" s="2"/>
      <c r="BX3239" s="2"/>
      <c r="BY3239" s="2">
        <v>1200</v>
      </c>
      <c r="BZ3239" s="2" t="s">
        <v>27</v>
      </c>
      <c r="CA3239" s="2" t="s">
        <v>220</v>
      </c>
      <c r="CB3239" s="2"/>
      <c r="CC3239" s="2" t="s">
        <v>217</v>
      </c>
      <c r="CD3239" s="2">
        <v>1451</v>
      </c>
      <c r="CE3239" s="2" t="s">
        <v>104</v>
      </c>
      <c r="CF3239" s="5">
        <v>42977</v>
      </c>
      <c r="CG3239" s="2"/>
      <c r="CH3239" s="2"/>
      <c r="CI3239" s="2">
        <v>1</v>
      </c>
      <c r="CJ3239" s="2">
        <v>1</v>
      </c>
      <c r="CK3239" s="2">
        <v>22</v>
      </c>
      <c r="CL3239" s="2" t="s">
        <v>86</v>
      </c>
      <c r="CM3239" s="2"/>
    </row>
    <row r="3240" spans="1:91">
      <c r="A3240" s="2" t="s">
        <v>71</v>
      </c>
      <c r="B3240" s="2" t="s">
        <v>72</v>
      </c>
      <c r="C3240" s="2" t="s">
        <v>73</v>
      </c>
      <c r="D3240" s="2"/>
      <c r="E3240" s="2" t="str">
        <f>"FES1162571721"</f>
        <v>FES1162571721</v>
      </c>
      <c r="F3240" s="3">
        <v>42975</v>
      </c>
      <c r="G3240" s="2">
        <v>201802</v>
      </c>
      <c r="H3240" s="2" t="s">
        <v>74</v>
      </c>
      <c r="I3240" s="2" t="s">
        <v>75</v>
      </c>
      <c r="J3240" s="2" t="s">
        <v>76</v>
      </c>
      <c r="K3240" s="2" t="s">
        <v>77</v>
      </c>
      <c r="L3240" s="2" t="s">
        <v>311</v>
      </c>
      <c r="M3240" s="2" t="s">
        <v>312</v>
      </c>
      <c r="N3240" s="2" t="s">
        <v>313</v>
      </c>
      <c r="O3240" s="2" t="s">
        <v>100</v>
      </c>
      <c r="P3240" s="2" t="str">
        <f>"2170587342                    "</f>
        <v xml:space="preserve">2170587342                    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3.13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1</v>
      </c>
      <c r="BJ3240" s="2">
        <v>0.2</v>
      </c>
      <c r="BK3240" s="2">
        <v>1</v>
      </c>
      <c r="BL3240" s="2">
        <v>32.380000000000003</v>
      </c>
      <c r="BM3240" s="2">
        <v>4.53</v>
      </c>
      <c r="BN3240" s="2">
        <v>36.909999999999997</v>
      </c>
      <c r="BO3240" s="2">
        <v>36.909999999999997</v>
      </c>
      <c r="BP3240" s="2"/>
      <c r="BQ3240" s="2" t="s">
        <v>314</v>
      </c>
      <c r="BR3240" s="2" t="s">
        <v>84</v>
      </c>
      <c r="BS3240" s="3">
        <v>42976</v>
      </c>
      <c r="BT3240" s="4">
        <v>0.36805555555555558</v>
      </c>
      <c r="BU3240" s="2" t="s">
        <v>1360</v>
      </c>
      <c r="BV3240" s="2" t="s">
        <v>95</v>
      </c>
      <c r="BW3240" s="2"/>
      <c r="BX3240" s="2"/>
      <c r="BY3240" s="2">
        <v>1200</v>
      </c>
      <c r="BZ3240" s="2" t="s">
        <v>27</v>
      </c>
      <c r="CA3240" s="2" t="s">
        <v>889</v>
      </c>
      <c r="CB3240" s="2"/>
      <c r="CC3240" s="2" t="s">
        <v>312</v>
      </c>
      <c r="CD3240" s="2">
        <v>1559</v>
      </c>
      <c r="CE3240" s="2" t="s">
        <v>104</v>
      </c>
      <c r="CF3240" s="5">
        <v>42977</v>
      </c>
      <c r="CG3240" s="2"/>
      <c r="CH3240" s="2"/>
      <c r="CI3240" s="2">
        <v>1</v>
      </c>
      <c r="CJ3240" s="2">
        <v>1</v>
      </c>
      <c r="CK3240" s="2">
        <v>22</v>
      </c>
      <c r="CL3240" s="2" t="s">
        <v>86</v>
      </c>
      <c r="CM3240" s="2"/>
    </row>
    <row r="3241" spans="1:91">
      <c r="A3241" s="2" t="s">
        <v>71</v>
      </c>
      <c r="B3241" s="2" t="s">
        <v>72</v>
      </c>
      <c r="C3241" s="2" t="s">
        <v>73</v>
      </c>
      <c r="D3241" s="2"/>
      <c r="E3241" s="2" t="str">
        <f>"FES1162571717"</f>
        <v>FES1162571717</v>
      </c>
      <c r="F3241" s="3">
        <v>42975</v>
      </c>
      <c r="G3241" s="2">
        <v>201802</v>
      </c>
      <c r="H3241" s="2" t="s">
        <v>74</v>
      </c>
      <c r="I3241" s="2" t="s">
        <v>75</v>
      </c>
      <c r="J3241" s="2" t="s">
        <v>76</v>
      </c>
      <c r="K3241" s="2" t="s">
        <v>77</v>
      </c>
      <c r="L3241" s="2" t="s">
        <v>216</v>
      </c>
      <c r="M3241" s="2" t="s">
        <v>217</v>
      </c>
      <c r="N3241" s="2" t="s">
        <v>351</v>
      </c>
      <c r="O3241" s="2" t="s">
        <v>100</v>
      </c>
      <c r="P3241" s="2" t="str">
        <f>"2170587329                    "</f>
        <v xml:space="preserve">2170587329                    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3.13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1</v>
      </c>
      <c r="BI3241" s="2">
        <v>1</v>
      </c>
      <c r="BJ3241" s="2">
        <v>0.2</v>
      </c>
      <c r="BK3241" s="2">
        <v>1</v>
      </c>
      <c r="BL3241" s="2">
        <v>32.380000000000003</v>
      </c>
      <c r="BM3241" s="2">
        <v>4.53</v>
      </c>
      <c r="BN3241" s="2">
        <v>36.909999999999997</v>
      </c>
      <c r="BO3241" s="2">
        <v>36.909999999999997</v>
      </c>
      <c r="BP3241" s="2"/>
      <c r="BQ3241" s="2"/>
      <c r="BR3241" s="2" t="s">
        <v>84</v>
      </c>
      <c r="BS3241" s="3">
        <v>42976</v>
      </c>
      <c r="BT3241" s="4">
        <v>0.40972222222222227</v>
      </c>
      <c r="BU3241" s="2" t="s">
        <v>3371</v>
      </c>
      <c r="BV3241" s="2" t="s">
        <v>95</v>
      </c>
      <c r="BW3241" s="2"/>
      <c r="BX3241" s="2"/>
      <c r="BY3241" s="2">
        <v>1200</v>
      </c>
      <c r="BZ3241" s="2" t="s">
        <v>27</v>
      </c>
      <c r="CA3241" s="2" t="s">
        <v>220</v>
      </c>
      <c r="CB3241" s="2"/>
      <c r="CC3241" s="2" t="s">
        <v>217</v>
      </c>
      <c r="CD3241" s="2">
        <v>1451</v>
      </c>
      <c r="CE3241" s="2" t="s">
        <v>104</v>
      </c>
      <c r="CF3241" s="5">
        <v>42977</v>
      </c>
      <c r="CG3241" s="2"/>
      <c r="CH3241" s="2"/>
      <c r="CI3241" s="2">
        <v>1</v>
      </c>
      <c r="CJ3241" s="2">
        <v>1</v>
      </c>
      <c r="CK3241" s="2">
        <v>22</v>
      </c>
      <c r="CL3241" s="2" t="s">
        <v>86</v>
      </c>
      <c r="CM3241" s="2"/>
    </row>
    <row r="3242" spans="1:91">
      <c r="A3242" s="2" t="s">
        <v>71</v>
      </c>
      <c r="B3242" s="2" t="s">
        <v>72</v>
      </c>
      <c r="C3242" s="2" t="s">
        <v>73</v>
      </c>
      <c r="D3242" s="2"/>
      <c r="E3242" s="2" t="str">
        <f>"FES1162571738"</f>
        <v>FES1162571738</v>
      </c>
      <c r="F3242" s="3">
        <v>42975</v>
      </c>
      <c r="G3242" s="2">
        <v>201802</v>
      </c>
      <c r="H3242" s="2" t="s">
        <v>74</v>
      </c>
      <c r="I3242" s="2" t="s">
        <v>75</v>
      </c>
      <c r="J3242" s="2" t="s">
        <v>76</v>
      </c>
      <c r="K3242" s="2" t="s">
        <v>77</v>
      </c>
      <c r="L3242" s="2" t="s">
        <v>144</v>
      </c>
      <c r="M3242" s="2" t="s">
        <v>145</v>
      </c>
      <c r="N3242" s="2" t="s">
        <v>3372</v>
      </c>
      <c r="O3242" s="2" t="s">
        <v>100</v>
      </c>
      <c r="P3242" s="2" t="str">
        <f>"2170587363                    "</f>
        <v xml:space="preserve">2170587363                    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3.13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1</v>
      </c>
      <c r="BI3242" s="2">
        <v>1</v>
      </c>
      <c r="BJ3242" s="2">
        <v>0.2</v>
      </c>
      <c r="BK3242" s="2">
        <v>1</v>
      </c>
      <c r="BL3242" s="2">
        <v>32.380000000000003</v>
      </c>
      <c r="BM3242" s="2">
        <v>4.53</v>
      </c>
      <c r="BN3242" s="2">
        <v>36.909999999999997</v>
      </c>
      <c r="BO3242" s="2">
        <v>36.909999999999997</v>
      </c>
      <c r="BP3242" s="2"/>
      <c r="BQ3242" s="2" t="s">
        <v>3373</v>
      </c>
      <c r="BR3242" s="2" t="s">
        <v>84</v>
      </c>
      <c r="BS3242" s="3">
        <v>42976</v>
      </c>
      <c r="BT3242" s="4">
        <v>0.4069444444444445</v>
      </c>
      <c r="BU3242" s="2" t="s">
        <v>1896</v>
      </c>
      <c r="BV3242" s="2" t="s">
        <v>95</v>
      </c>
      <c r="BW3242" s="2"/>
      <c r="BX3242" s="2"/>
      <c r="BY3242" s="2">
        <v>1200</v>
      </c>
      <c r="BZ3242" s="2" t="s">
        <v>27</v>
      </c>
      <c r="CA3242" s="2" t="s">
        <v>3374</v>
      </c>
      <c r="CB3242" s="2"/>
      <c r="CC3242" s="2" t="s">
        <v>145</v>
      </c>
      <c r="CD3242" s="2">
        <v>2091</v>
      </c>
      <c r="CE3242" s="2" t="s">
        <v>104</v>
      </c>
      <c r="CF3242" s="5">
        <v>42977</v>
      </c>
      <c r="CG3242" s="2"/>
      <c r="CH3242" s="2"/>
      <c r="CI3242" s="2">
        <v>1</v>
      </c>
      <c r="CJ3242" s="2">
        <v>1</v>
      </c>
      <c r="CK3242" s="2">
        <v>22</v>
      </c>
      <c r="CL3242" s="2" t="s">
        <v>86</v>
      </c>
      <c r="CM3242" s="2"/>
    </row>
    <row r="3243" spans="1:91">
      <c r="A3243" s="2" t="s">
        <v>71</v>
      </c>
      <c r="B3243" s="2" t="s">
        <v>72</v>
      </c>
      <c r="C3243" s="2" t="s">
        <v>73</v>
      </c>
      <c r="D3243" s="2"/>
      <c r="E3243" s="2" t="str">
        <f>"FES1162571742"</f>
        <v>FES1162571742</v>
      </c>
      <c r="F3243" s="3">
        <v>42975</v>
      </c>
      <c r="G3243" s="2">
        <v>201802</v>
      </c>
      <c r="H3243" s="2" t="s">
        <v>74</v>
      </c>
      <c r="I3243" s="2" t="s">
        <v>75</v>
      </c>
      <c r="J3243" s="2" t="s">
        <v>76</v>
      </c>
      <c r="K3243" s="2" t="s">
        <v>77</v>
      </c>
      <c r="L3243" s="2" t="s">
        <v>74</v>
      </c>
      <c r="M3243" s="2" t="s">
        <v>75</v>
      </c>
      <c r="N3243" s="2" t="s">
        <v>407</v>
      </c>
      <c r="O3243" s="2" t="s">
        <v>100</v>
      </c>
      <c r="P3243" s="2" t="str">
        <f>"2170587368                    "</f>
        <v xml:space="preserve">2170587368                    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3.13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1</v>
      </c>
      <c r="BI3243" s="2">
        <v>1</v>
      </c>
      <c r="BJ3243" s="2">
        <v>0.2</v>
      </c>
      <c r="BK3243" s="2">
        <v>1</v>
      </c>
      <c r="BL3243" s="2">
        <v>32.380000000000003</v>
      </c>
      <c r="BM3243" s="2">
        <v>4.53</v>
      </c>
      <c r="BN3243" s="2">
        <v>36.909999999999997</v>
      </c>
      <c r="BO3243" s="2">
        <v>36.909999999999997</v>
      </c>
      <c r="BP3243" s="2"/>
      <c r="BQ3243" s="2" t="s">
        <v>108</v>
      </c>
      <c r="BR3243" s="2" t="s">
        <v>84</v>
      </c>
      <c r="BS3243" s="3">
        <v>42976</v>
      </c>
      <c r="BT3243" s="4">
        <v>0.33333333333333331</v>
      </c>
      <c r="BU3243" s="2" t="s">
        <v>1872</v>
      </c>
      <c r="BV3243" s="2" t="s">
        <v>95</v>
      </c>
      <c r="BW3243" s="2"/>
      <c r="BX3243" s="2"/>
      <c r="BY3243" s="2">
        <v>1200</v>
      </c>
      <c r="BZ3243" s="2" t="s">
        <v>27</v>
      </c>
      <c r="CA3243" s="2" t="s">
        <v>267</v>
      </c>
      <c r="CB3243" s="2"/>
      <c r="CC3243" s="2" t="s">
        <v>75</v>
      </c>
      <c r="CD3243" s="2">
        <v>1645</v>
      </c>
      <c r="CE3243" s="2" t="s">
        <v>104</v>
      </c>
      <c r="CF3243" s="5">
        <v>42977</v>
      </c>
      <c r="CG3243" s="2"/>
      <c r="CH3243" s="2"/>
      <c r="CI3243" s="2">
        <v>1</v>
      </c>
      <c r="CJ3243" s="2">
        <v>1</v>
      </c>
      <c r="CK3243" s="2">
        <v>22</v>
      </c>
      <c r="CL3243" s="2" t="s">
        <v>86</v>
      </c>
      <c r="CM3243" s="2"/>
    </row>
    <row r="3244" spans="1:91">
      <c r="A3244" s="2" t="s">
        <v>71</v>
      </c>
      <c r="B3244" s="2" t="s">
        <v>72</v>
      </c>
      <c r="C3244" s="2" t="s">
        <v>73</v>
      </c>
      <c r="D3244" s="2"/>
      <c r="E3244" s="2" t="str">
        <f>"FES1162571657"</f>
        <v>FES1162571657</v>
      </c>
      <c r="F3244" s="3">
        <v>42975</v>
      </c>
      <c r="G3244" s="2">
        <v>201802</v>
      </c>
      <c r="H3244" s="2" t="s">
        <v>74</v>
      </c>
      <c r="I3244" s="2" t="s">
        <v>75</v>
      </c>
      <c r="J3244" s="2" t="s">
        <v>76</v>
      </c>
      <c r="K3244" s="2" t="s">
        <v>77</v>
      </c>
      <c r="L3244" s="2" t="s">
        <v>1663</v>
      </c>
      <c r="M3244" s="2" t="s">
        <v>1664</v>
      </c>
      <c r="N3244" s="2" t="s">
        <v>1996</v>
      </c>
      <c r="O3244" s="2" t="s">
        <v>100</v>
      </c>
      <c r="P3244" s="2" t="str">
        <f>"2170584512                    "</f>
        <v xml:space="preserve">2170584512                    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5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1</v>
      </c>
      <c r="BI3244" s="2">
        <v>2.2000000000000002</v>
      </c>
      <c r="BJ3244" s="2">
        <v>1.8</v>
      </c>
      <c r="BK3244" s="2">
        <v>2.5</v>
      </c>
      <c r="BL3244" s="2">
        <v>51.8</v>
      </c>
      <c r="BM3244" s="2">
        <v>7.25</v>
      </c>
      <c r="BN3244" s="2">
        <v>59.05</v>
      </c>
      <c r="BO3244" s="2">
        <v>59.05</v>
      </c>
      <c r="BP3244" s="2"/>
      <c r="BQ3244" s="2" t="s">
        <v>288</v>
      </c>
      <c r="BR3244" s="2" t="s">
        <v>84</v>
      </c>
      <c r="BS3244" s="3">
        <v>42976</v>
      </c>
      <c r="BT3244" s="4">
        <v>0.41944444444444445</v>
      </c>
      <c r="BU3244" s="2" t="s">
        <v>2936</v>
      </c>
      <c r="BV3244" s="2" t="s">
        <v>95</v>
      </c>
      <c r="BW3244" s="2"/>
      <c r="BX3244" s="2"/>
      <c r="BY3244" s="2">
        <v>8883.0300000000007</v>
      </c>
      <c r="BZ3244" s="2" t="s">
        <v>27</v>
      </c>
      <c r="CA3244" s="2" t="s">
        <v>1668</v>
      </c>
      <c r="CB3244" s="2"/>
      <c r="CC3244" s="2" t="s">
        <v>1664</v>
      </c>
      <c r="CD3244" s="2">
        <v>3310</v>
      </c>
      <c r="CE3244" s="2" t="s">
        <v>89</v>
      </c>
      <c r="CF3244" s="5">
        <v>42978</v>
      </c>
      <c r="CG3244" s="2"/>
      <c r="CH3244" s="2"/>
      <c r="CI3244" s="2">
        <v>1</v>
      </c>
      <c r="CJ3244" s="2">
        <v>1</v>
      </c>
      <c r="CK3244" s="2">
        <v>21</v>
      </c>
      <c r="CL3244" s="2" t="s">
        <v>86</v>
      </c>
      <c r="CM3244" s="2"/>
    </row>
    <row r="3245" spans="1:91">
      <c r="A3245" s="2" t="s">
        <v>71</v>
      </c>
      <c r="B3245" s="2" t="s">
        <v>72</v>
      </c>
      <c r="C3245" s="2" t="s">
        <v>73</v>
      </c>
      <c r="D3245" s="2"/>
      <c r="E3245" s="2" t="str">
        <f>"FES1162571658"</f>
        <v>FES1162571658</v>
      </c>
      <c r="F3245" s="3">
        <v>42975</v>
      </c>
      <c r="G3245" s="2">
        <v>201802</v>
      </c>
      <c r="H3245" s="2" t="s">
        <v>74</v>
      </c>
      <c r="I3245" s="2" t="s">
        <v>75</v>
      </c>
      <c r="J3245" s="2" t="s">
        <v>76</v>
      </c>
      <c r="K3245" s="2" t="s">
        <v>77</v>
      </c>
      <c r="L3245" s="2" t="s">
        <v>362</v>
      </c>
      <c r="M3245" s="2" t="s">
        <v>363</v>
      </c>
      <c r="N3245" s="2" t="s">
        <v>683</v>
      </c>
      <c r="O3245" s="2" t="s">
        <v>100</v>
      </c>
      <c r="P3245" s="2" t="str">
        <f>"2170584664                    "</f>
        <v xml:space="preserve">2170584664                    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4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  <c r="BG3245" s="2">
        <v>0</v>
      </c>
      <c r="BH3245" s="2">
        <v>1</v>
      </c>
      <c r="BI3245" s="2">
        <v>1</v>
      </c>
      <c r="BJ3245" s="2">
        <v>0.2</v>
      </c>
      <c r="BK3245" s="2">
        <v>1</v>
      </c>
      <c r="BL3245" s="2">
        <v>41.44</v>
      </c>
      <c r="BM3245" s="2">
        <v>5.8</v>
      </c>
      <c r="BN3245" s="2">
        <v>47.24</v>
      </c>
      <c r="BO3245" s="2">
        <v>47.24</v>
      </c>
      <c r="BP3245" s="2"/>
      <c r="BQ3245" s="2" t="s">
        <v>108</v>
      </c>
      <c r="BR3245" s="2" t="s">
        <v>84</v>
      </c>
      <c r="BS3245" s="3">
        <v>42976</v>
      </c>
      <c r="BT3245" s="4">
        <v>0.41180555555555554</v>
      </c>
      <c r="BU3245" s="2" t="s">
        <v>684</v>
      </c>
      <c r="BV3245" s="2" t="s">
        <v>95</v>
      </c>
      <c r="BW3245" s="2"/>
      <c r="BX3245" s="2"/>
      <c r="BY3245" s="2">
        <v>1200</v>
      </c>
      <c r="BZ3245" s="2" t="s">
        <v>27</v>
      </c>
      <c r="CA3245" s="2" t="s">
        <v>685</v>
      </c>
      <c r="CB3245" s="2"/>
      <c r="CC3245" s="2" t="s">
        <v>363</v>
      </c>
      <c r="CD3245" s="2">
        <v>3201</v>
      </c>
      <c r="CE3245" s="2" t="s">
        <v>104</v>
      </c>
      <c r="CF3245" s="5">
        <v>42977</v>
      </c>
      <c r="CG3245" s="2"/>
      <c r="CH3245" s="2"/>
      <c r="CI3245" s="2">
        <v>1</v>
      </c>
      <c r="CJ3245" s="2">
        <v>1</v>
      </c>
      <c r="CK3245" s="2">
        <v>21</v>
      </c>
      <c r="CL3245" s="2" t="s">
        <v>86</v>
      </c>
      <c r="CM3245" s="2"/>
    </row>
    <row r="3246" spans="1:91">
      <c r="A3246" s="2" t="s">
        <v>71</v>
      </c>
      <c r="B3246" s="2" t="s">
        <v>72</v>
      </c>
      <c r="C3246" s="2" t="s">
        <v>73</v>
      </c>
      <c r="D3246" s="2"/>
      <c r="E3246" s="2" t="str">
        <f>"FES1162571718"</f>
        <v>FES1162571718</v>
      </c>
      <c r="F3246" s="3">
        <v>42975</v>
      </c>
      <c r="G3246" s="2">
        <v>201802</v>
      </c>
      <c r="H3246" s="2" t="s">
        <v>74</v>
      </c>
      <c r="I3246" s="2" t="s">
        <v>75</v>
      </c>
      <c r="J3246" s="2" t="s">
        <v>76</v>
      </c>
      <c r="K3246" s="2" t="s">
        <v>77</v>
      </c>
      <c r="L3246" s="2" t="s">
        <v>237</v>
      </c>
      <c r="M3246" s="2" t="s">
        <v>238</v>
      </c>
      <c r="N3246" s="2" t="s">
        <v>571</v>
      </c>
      <c r="O3246" s="2" t="s">
        <v>100</v>
      </c>
      <c r="P3246" s="2" t="str">
        <f>"2170587330                    "</f>
        <v xml:space="preserve">2170587330                    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4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1</v>
      </c>
      <c r="BI3246" s="2">
        <v>1</v>
      </c>
      <c r="BJ3246" s="2">
        <v>0.2</v>
      </c>
      <c r="BK3246" s="2">
        <v>1</v>
      </c>
      <c r="BL3246" s="2">
        <v>41.44</v>
      </c>
      <c r="BM3246" s="2">
        <v>5.8</v>
      </c>
      <c r="BN3246" s="2">
        <v>47.24</v>
      </c>
      <c r="BO3246" s="2">
        <v>47.24</v>
      </c>
      <c r="BP3246" s="2"/>
      <c r="BQ3246" s="2" t="s">
        <v>572</v>
      </c>
      <c r="BR3246" s="2" t="s">
        <v>84</v>
      </c>
      <c r="BS3246" s="3">
        <v>42976</v>
      </c>
      <c r="BT3246" s="4">
        <v>0.32708333333333334</v>
      </c>
      <c r="BU3246" s="2" t="s">
        <v>573</v>
      </c>
      <c r="BV3246" s="2" t="s">
        <v>95</v>
      </c>
      <c r="BW3246" s="2"/>
      <c r="BX3246" s="2"/>
      <c r="BY3246" s="2">
        <v>1200</v>
      </c>
      <c r="BZ3246" s="2" t="s">
        <v>27</v>
      </c>
      <c r="CA3246" s="2" t="s">
        <v>401</v>
      </c>
      <c r="CB3246" s="2"/>
      <c r="CC3246" s="2" t="s">
        <v>238</v>
      </c>
      <c r="CD3246" s="2">
        <v>3610</v>
      </c>
      <c r="CE3246" s="2" t="s">
        <v>104</v>
      </c>
      <c r="CF3246" s="5">
        <v>42977</v>
      </c>
      <c r="CG3246" s="2"/>
      <c r="CH3246" s="2"/>
      <c r="CI3246" s="2">
        <v>1</v>
      </c>
      <c r="CJ3246" s="2">
        <v>1</v>
      </c>
      <c r="CK3246" s="2">
        <v>21</v>
      </c>
      <c r="CL3246" s="2" t="s">
        <v>86</v>
      </c>
      <c r="CM3246" s="2"/>
    </row>
    <row r="3247" spans="1:91">
      <c r="A3247" s="2" t="s">
        <v>71</v>
      </c>
      <c r="B3247" s="2" t="s">
        <v>72</v>
      </c>
      <c r="C3247" s="2" t="s">
        <v>73</v>
      </c>
      <c r="D3247" s="2"/>
      <c r="E3247" s="2" t="str">
        <f>"FES1162571688"</f>
        <v>FES1162571688</v>
      </c>
      <c r="F3247" s="3">
        <v>42975</v>
      </c>
      <c r="G3247" s="2">
        <v>201802</v>
      </c>
      <c r="H3247" s="2" t="s">
        <v>74</v>
      </c>
      <c r="I3247" s="2" t="s">
        <v>75</v>
      </c>
      <c r="J3247" s="2" t="s">
        <v>76</v>
      </c>
      <c r="K3247" s="2" t="s">
        <v>77</v>
      </c>
      <c r="L3247" s="2" t="s">
        <v>149</v>
      </c>
      <c r="M3247" s="2" t="s">
        <v>150</v>
      </c>
      <c r="N3247" s="2" t="s">
        <v>1592</v>
      </c>
      <c r="O3247" s="2" t="s">
        <v>100</v>
      </c>
      <c r="P3247" s="2" t="str">
        <f>"2170587281                    "</f>
        <v xml:space="preserve">2170587281                    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4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1</v>
      </c>
      <c r="BI3247" s="2">
        <v>1</v>
      </c>
      <c r="BJ3247" s="2">
        <v>0.2</v>
      </c>
      <c r="BK3247" s="2">
        <v>1</v>
      </c>
      <c r="BL3247" s="2">
        <v>41.44</v>
      </c>
      <c r="BM3247" s="2">
        <v>5.8</v>
      </c>
      <c r="BN3247" s="2">
        <v>47.24</v>
      </c>
      <c r="BO3247" s="2">
        <v>47.24</v>
      </c>
      <c r="BP3247" s="2"/>
      <c r="BQ3247" s="2" t="s">
        <v>83</v>
      </c>
      <c r="BR3247" s="2" t="s">
        <v>84</v>
      </c>
      <c r="BS3247" s="3">
        <v>42976</v>
      </c>
      <c r="BT3247" s="4">
        <v>0.35972222222222222</v>
      </c>
      <c r="BU3247" s="2" t="s">
        <v>1593</v>
      </c>
      <c r="BV3247" s="2" t="s">
        <v>95</v>
      </c>
      <c r="BW3247" s="2"/>
      <c r="BX3247" s="2"/>
      <c r="BY3247" s="2">
        <v>1200</v>
      </c>
      <c r="BZ3247" s="2" t="s">
        <v>27</v>
      </c>
      <c r="CA3247" s="2" t="s">
        <v>1163</v>
      </c>
      <c r="CB3247" s="2"/>
      <c r="CC3247" s="2" t="s">
        <v>150</v>
      </c>
      <c r="CD3247" s="2">
        <v>4094</v>
      </c>
      <c r="CE3247" s="2" t="s">
        <v>104</v>
      </c>
      <c r="CF3247" s="5">
        <v>42977</v>
      </c>
      <c r="CG3247" s="2"/>
      <c r="CH3247" s="2"/>
      <c r="CI3247" s="2">
        <v>1</v>
      </c>
      <c r="CJ3247" s="2">
        <v>1</v>
      </c>
      <c r="CK3247" s="2">
        <v>21</v>
      </c>
      <c r="CL3247" s="2" t="s">
        <v>86</v>
      </c>
      <c r="CM3247" s="2"/>
    </row>
    <row r="3248" spans="1:91">
      <c r="A3248" s="2" t="s">
        <v>71</v>
      </c>
      <c r="B3248" s="2" t="s">
        <v>72</v>
      </c>
      <c r="C3248" s="2" t="s">
        <v>73</v>
      </c>
      <c r="D3248" s="2"/>
      <c r="E3248" s="2" t="str">
        <f>"FES1162571684"</f>
        <v>FES1162571684</v>
      </c>
      <c r="F3248" s="3">
        <v>42975</v>
      </c>
      <c r="G3248" s="2">
        <v>201802</v>
      </c>
      <c r="H3248" s="2" t="s">
        <v>74</v>
      </c>
      <c r="I3248" s="2" t="s">
        <v>75</v>
      </c>
      <c r="J3248" s="2" t="s">
        <v>76</v>
      </c>
      <c r="K3248" s="2" t="s">
        <v>77</v>
      </c>
      <c r="L3248" s="2" t="s">
        <v>343</v>
      </c>
      <c r="M3248" s="2" t="s">
        <v>344</v>
      </c>
      <c r="N3248" s="2" t="s">
        <v>351</v>
      </c>
      <c r="O3248" s="2" t="s">
        <v>100</v>
      </c>
      <c r="P3248" s="2" t="str">
        <f>"2170587106                    "</f>
        <v xml:space="preserve">2170587106                    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4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  <c r="BG3248" s="2">
        <v>0</v>
      </c>
      <c r="BH3248" s="2">
        <v>1</v>
      </c>
      <c r="BI3248" s="2">
        <v>1</v>
      </c>
      <c r="BJ3248" s="2">
        <v>0.2</v>
      </c>
      <c r="BK3248" s="2">
        <v>1</v>
      </c>
      <c r="BL3248" s="2">
        <v>41.44</v>
      </c>
      <c r="BM3248" s="2">
        <v>5.8</v>
      </c>
      <c r="BN3248" s="2">
        <v>47.24</v>
      </c>
      <c r="BO3248" s="2">
        <v>47.24</v>
      </c>
      <c r="BP3248" s="2"/>
      <c r="BQ3248" s="2" t="s">
        <v>108</v>
      </c>
      <c r="BR3248" s="2" t="s">
        <v>84</v>
      </c>
      <c r="BS3248" s="3">
        <v>42976</v>
      </c>
      <c r="BT3248" s="4">
        <v>0.4375</v>
      </c>
      <c r="BU3248" s="2" t="s">
        <v>352</v>
      </c>
      <c r="BV3248" s="2" t="s">
        <v>95</v>
      </c>
      <c r="BW3248" s="2"/>
      <c r="BX3248" s="2"/>
      <c r="BY3248" s="2">
        <v>1200</v>
      </c>
      <c r="BZ3248" s="2" t="s">
        <v>27</v>
      </c>
      <c r="CA3248" s="2" t="s">
        <v>347</v>
      </c>
      <c r="CB3248" s="2"/>
      <c r="CC3248" s="2" t="s">
        <v>344</v>
      </c>
      <c r="CD3248" s="2">
        <v>4133</v>
      </c>
      <c r="CE3248" s="2" t="s">
        <v>104</v>
      </c>
      <c r="CF3248" s="5">
        <v>42977</v>
      </c>
      <c r="CG3248" s="2"/>
      <c r="CH3248" s="2"/>
      <c r="CI3248" s="2">
        <v>1</v>
      </c>
      <c r="CJ3248" s="2">
        <v>1</v>
      </c>
      <c r="CK3248" s="2">
        <v>21</v>
      </c>
      <c r="CL3248" s="2" t="s">
        <v>86</v>
      </c>
      <c r="CM3248" s="2"/>
    </row>
    <row r="3249" spans="1:91">
      <c r="A3249" s="2" t="s">
        <v>71</v>
      </c>
      <c r="B3249" s="2" t="s">
        <v>72</v>
      </c>
      <c r="C3249" s="2" t="s">
        <v>73</v>
      </c>
      <c r="D3249" s="2"/>
      <c r="E3249" s="2" t="str">
        <f>"FES1162571712"</f>
        <v>FES1162571712</v>
      </c>
      <c r="F3249" s="3">
        <v>42975</v>
      </c>
      <c r="G3249" s="2">
        <v>201802</v>
      </c>
      <c r="H3249" s="2" t="s">
        <v>74</v>
      </c>
      <c r="I3249" s="2" t="s">
        <v>75</v>
      </c>
      <c r="J3249" s="2" t="s">
        <v>76</v>
      </c>
      <c r="K3249" s="2" t="s">
        <v>77</v>
      </c>
      <c r="L3249" s="2" t="s">
        <v>3149</v>
      </c>
      <c r="M3249" s="2" t="s">
        <v>3150</v>
      </c>
      <c r="N3249" s="2" t="s">
        <v>3151</v>
      </c>
      <c r="O3249" s="2" t="s">
        <v>100</v>
      </c>
      <c r="P3249" s="2" t="str">
        <f>"2170587326                    "</f>
        <v xml:space="preserve">2170587326                    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7.75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1</v>
      </c>
      <c r="BI3249" s="2">
        <v>1</v>
      </c>
      <c r="BJ3249" s="2">
        <v>0.2</v>
      </c>
      <c r="BK3249" s="2">
        <v>1</v>
      </c>
      <c r="BL3249" s="2">
        <v>80.290000000000006</v>
      </c>
      <c r="BM3249" s="2">
        <v>11.24</v>
      </c>
      <c r="BN3249" s="2">
        <v>91.53</v>
      </c>
      <c r="BO3249" s="2">
        <v>91.53</v>
      </c>
      <c r="BP3249" s="2"/>
      <c r="BQ3249" s="2" t="s">
        <v>3375</v>
      </c>
      <c r="BR3249" s="2" t="s">
        <v>84</v>
      </c>
      <c r="BS3249" s="3">
        <v>42976</v>
      </c>
      <c r="BT3249" s="4">
        <v>0.67152777777777783</v>
      </c>
      <c r="BU3249" s="2" t="s">
        <v>3376</v>
      </c>
      <c r="BV3249" s="2" t="s">
        <v>95</v>
      </c>
      <c r="BW3249" s="2"/>
      <c r="BX3249" s="2"/>
      <c r="BY3249" s="2">
        <v>1200</v>
      </c>
      <c r="BZ3249" s="2" t="s">
        <v>27</v>
      </c>
      <c r="CA3249" s="2" t="s">
        <v>1885</v>
      </c>
      <c r="CB3249" s="2"/>
      <c r="CC3249" s="2" t="s">
        <v>3150</v>
      </c>
      <c r="CD3249" s="2">
        <v>4252</v>
      </c>
      <c r="CE3249" s="2" t="s">
        <v>104</v>
      </c>
      <c r="CF3249" s="5">
        <v>42977</v>
      </c>
      <c r="CG3249" s="2"/>
      <c r="CH3249" s="2"/>
      <c r="CI3249" s="2">
        <v>1</v>
      </c>
      <c r="CJ3249" s="2">
        <v>1</v>
      </c>
      <c r="CK3249" s="2">
        <v>23</v>
      </c>
      <c r="CL3249" s="2" t="s">
        <v>86</v>
      </c>
      <c r="CM3249" s="2"/>
    </row>
    <row r="3250" spans="1:91">
      <c r="A3250" s="2" t="s">
        <v>71</v>
      </c>
      <c r="B3250" s="2" t="s">
        <v>72</v>
      </c>
      <c r="C3250" s="2" t="s">
        <v>73</v>
      </c>
      <c r="D3250" s="2"/>
      <c r="E3250" s="2" t="str">
        <f>"FES1162571676"</f>
        <v>FES1162571676</v>
      </c>
      <c r="F3250" s="3">
        <v>42975</v>
      </c>
      <c r="G3250" s="2">
        <v>201802</v>
      </c>
      <c r="H3250" s="2" t="s">
        <v>74</v>
      </c>
      <c r="I3250" s="2" t="s">
        <v>75</v>
      </c>
      <c r="J3250" s="2" t="s">
        <v>76</v>
      </c>
      <c r="K3250" s="2" t="s">
        <v>77</v>
      </c>
      <c r="L3250" s="2" t="s">
        <v>619</v>
      </c>
      <c r="M3250" s="2" t="s">
        <v>620</v>
      </c>
      <c r="N3250" s="2" t="s">
        <v>3377</v>
      </c>
      <c r="O3250" s="2" t="s">
        <v>100</v>
      </c>
      <c r="P3250" s="2" t="str">
        <f>"2170586297                    "</f>
        <v xml:space="preserve">2170586297                    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9.74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1</v>
      </c>
      <c r="BI3250" s="2">
        <v>2.1</v>
      </c>
      <c r="BJ3250" s="2">
        <v>3.3</v>
      </c>
      <c r="BK3250" s="2">
        <v>3.5</v>
      </c>
      <c r="BL3250" s="2">
        <v>100.85</v>
      </c>
      <c r="BM3250" s="2">
        <v>14.12</v>
      </c>
      <c r="BN3250" s="2">
        <v>114.97</v>
      </c>
      <c r="BO3250" s="2">
        <v>114.97</v>
      </c>
      <c r="BP3250" s="2"/>
      <c r="BQ3250" s="2" t="s">
        <v>288</v>
      </c>
      <c r="BR3250" s="2" t="s">
        <v>84</v>
      </c>
      <c r="BS3250" s="3">
        <v>42976</v>
      </c>
      <c r="BT3250" s="4">
        <v>0.59375</v>
      </c>
      <c r="BU3250" s="2" t="s">
        <v>3378</v>
      </c>
      <c r="BV3250" s="2" t="s">
        <v>95</v>
      </c>
      <c r="BW3250" s="2"/>
      <c r="BX3250" s="2"/>
      <c r="BY3250" s="2">
        <v>16367.49</v>
      </c>
      <c r="BZ3250" s="2" t="s">
        <v>27</v>
      </c>
      <c r="CA3250" s="2" t="s">
        <v>943</v>
      </c>
      <c r="CB3250" s="2"/>
      <c r="CC3250" s="2" t="s">
        <v>620</v>
      </c>
      <c r="CD3250" s="2">
        <v>1001</v>
      </c>
      <c r="CE3250" s="2" t="s">
        <v>89</v>
      </c>
      <c r="CF3250" s="5">
        <v>42977</v>
      </c>
      <c r="CG3250" s="2"/>
      <c r="CH3250" s="2"/>
      <c r="CI3250" s="2">
        <v>1</v>
      </c>
      <c r="CJ3250" s="2">
        <v>1</v>
      </c>
      <c r="CK3250" s="2">
        <v>24</v>
      </c>
      <c r="CL3250" s="2" t="s">
        <v>86</v>
      </c>
      <c r="CM3250" s="2"/>
    </row>
    <row r="3251" spans="1:91">
      <c r="A3251" s="2" t="s">
        <v>71</v>
      </c>
      <c r="B3251" s="2" t="s">
        <v>72</v>
      </c>
      <c r="C3251" s="2" t="s">
        <v>73</v>
      </c>
      <c r="D3251" s="2"/>
      <c r="E3251" s="2" t="str">
        <f>"FES1162571687"</f>
        <v>FES1162571687</v>
      </c>
      <c r="F3251" s="3">
        <v>42975</v>
      </c>
      <c r="G3251" s="2">
        <v>201802</v>
      </c>
      <c r="H3251" s="2" t="s">
        <v>74</v>
      </c>
      <c r="I3251" s="2" t="s">
        <v>75</v>
      </c>
      <c r="J3251" s="2" t="s">
        <v>76</v>
      </c>
      <c r="K3251" s="2" t="s">
        <v>77</v>
      </c>
      <c r="L3251" s="2" t="s">
        <v>231</v>
      </c>
      <c r="M3251" s="2" t="s">
        <v>232</v>
      </c>
      <c r="N3251" s="2" t="s">
        <v>233</v>
      </c>
      <c r="O3251" s="2" t="s">
        <v>100</v>
      </c>
      <c r="P3251" s="2" t="str">
        <f>"2170587278                    "</f>
        <v xml:space="preserve">2170587278                    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4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1</v>
      </c>
      <c r="BI3251" s="2">
        <v>1</v>
      </c>
      <c r="BJ3251" s="2">
        <v>0.2</v>
      </c>
      <c r="BK3251" s="2">
        <v>1</v>
      </c>
      <c r="BL3251" s="2">
        <v>41.44</v>
      </c>
      <c r="BM3251" s="2">
        <v>5.8</v>
      </c>
      <c r="BN3251" s="2">
        <v>47.24</v>
      </c>
      <c r="BO3251" s="2">
        <v>47.24</v>
      </c>
      <c r="BP3251" s="2"/>
      <c r="BQ3251" s="2" t="s">
        <v>83</v>
      </c>
      <c r="BR3251" s="2" t="s">
        <v>84</v>
      </c>
      <c r="BS3251" s="3">
        <v>42976</v>
      </c>
      <c r="BT3251" s="4">
        <v>0.32777777777777778</v>
      </c>
      <c r="BU3251" s="2" t="s">
        <v>3030</v>
      </c>
      <c r="BV3251" s="2" t="s">
        <v>95</v>
      </c>
      <c r="BW3251" s="2"/>
      <c r="BX3251" s="2"/>
      <c r="BY3251" s="2">
        <v>1200</v>
      </c>
      <c r="BZ3251" s="2" t="s">
        <v>27</v>
      </c>
      <c r="CA3251" s="2" t="s">
        <v>235</v>
      </c>
      <c r="CB3251" s="2"/>
      <c r="CC3251" s="2" t="s">
        <v>232</v>
      </c>
      <c r="CD3251" s="2">
        <v>4026</v>
      </c>
      <c r="CE3251" s="2" t="s">
        <v>104</v>
      </c>
      <c r="CF3251" s="5">
        <v>42977</v>
      </c>
      <c r="CG3251" s="2"/>
      <c r="CH3251" s="2"/>
      <c r="CI3251" s="2">
        <v>1</v>
      </c>
      <c r="CJ3251" s="2">
        <v>1</v>
      </c>
      <c r="CK3251" s="2">
        <v>21</v>
      </c>
      <c r="CL3251" s="2" t="s">
        <v>86</v>
      </c>
      <c r="CM3251" s="2"/>
    </row>
    <row r="3252" spans="1:91">
      <c r="A3252" s="2" t="s">
        <v>71</v>
      </c>
      <c r="B3252" s="2" t="s">
        <v>72</v>
      </c>
      <c r="C3252" s="2" t="s">
        <v>73</v>
      </c>
      <c r="D3252" s="2"/>
      <c r="E3252" s="2" t="str">
        <f>"FES1162571665"</f>
        <v>FES1162571665</v>
      </c>
      <c r="F3252" s="3">
        <v>42975</v>
      </c>
      <c r="G3252" s="2">
        <v>201802</v>
      </c>
      <c r="H3252" s="2" t="s">
        <v>74</v>
      </c>
      <c r="I3252" s="2" t="s">
        <v>75</v>
      </c>
      <c r="J3252" s="2" t="s">
        <v>76</v>
      </c>
      <c r="K3252" s="2" t="s">
        <v>77</v>
      </c>
      <c r="L3252" s="2" t="s">
        <v>97</v>
      </c>
      <c r="M3252" s="2" t="s">
        <v>98</v>
      </c>
      <c r="N3252" s="2" t="s">
        <v>1210</v>
      </c>
      <c r="O3252" s="2" t="s">
        <v>100</v>
      </c>
      <c r="P3252" s="2" t="str">
        <f>"2170585232                    "</f>
        <v xml:space="preserve">2170585232                    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5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1</v>
      </c>
      <c r="BI3252" s="2">
        <v>1.1000000000000001</v>
      </c>
      <c r="BJ3252" s="2">
        <v>2.2999999999999998</v>
      </c>
      <c r="BK3252" s="2">
        <v>2.5</v>
      </c>
      <c r="BL3252" s="2">
        <v>51.8</v>
      </c>
      <c r="BM3252" s="2">
        <v>7.25</v>
      </c>
      <c r="BN3252" s="2">
        <v>59.05</v>
      </c>
      <c r="BO3252" s="2">
        <v>59.05</v>
      </c>
      <c r="BP3252" s="2"/>
      <c r="BQ3252" s="2" t="s">
        <v>108</v>
      </c>
      <c r="BR3252" s="2" t="s">
        <v>84</v>
      </c>
      <c r="BS3252" s="3">
        <v>42976</v>
      </c>
      <c r="BT3252" s="4">
        <v>0.4236111111111111</v>
      </c>
      <c r="BU3252" s="2" t="s">
        <v>3379</v>
      </c>
      <c r="BV3252" s="2" t="s">
        <v>95</v>
      </c>
      <c r="BW3252" s="2"/>
      <c r="BX3252" s="2"/>
      <c r="BY3252" s="2">
        <v>11668.8</v>
      </c>
      <c r="BZ3252" s="2" t="s">
        <v>27</v>
      </c>
      <c r="CA3252" s="2"/>
      <c r="CB3252" s="2"/>
      <c r="CC3252" s="2" t="s">
        <v>98</v>
      </c>
      <c r="CD3252" s="2">
        <v>6012</v>
      </c>
      <c r="CE3252" s="2" t="s">
        <v>89</v>
      </c>
      <c r="CF3252" s="5">
        <v>42976</v>
      </c>
      <c r="CG3252" s="2"/>
      <c r="CH3252" s="2"/>
      <c r="CI3252" s="2">
        <v>1</v>
      </c>
      <c r="CJ3252" s="2">
        <v>1</v>
      </c>
      <c r="CK3252" s="2">
        <v>21</v>
      </c>
      <c r="CL3252" s="2" t="s">
        <v>86</v>
      </c>
      <c r="CM3252" s="2"/>
    </row>
    <row r="3253" spans="1:91">
      <c r="A3253" s="2" t="s">
        <v>71</v>
      </c>
      <c r="B3253" s="2" t="s">
        <v>72</v>
      </c>
      <c r="C3253" s="2" t="s">
        <v>73</v>
      </c>
      <c r="D3253" s="2"/>
      <c r="E3253" s="2" t="str">
        <f>"FES1162571696"</f>
        <v>FES1162571696</v>
      </c>
      <c r="F3253" s="3">
        <v>42975</v>
      </c>
      <c r="G3253" s="2">
        <v>201802</v>
      </c>
      <c r="H3253" s="2" t="s">
        <v>74</v>
      </c>
      <c r="I3253" s="2" t="s">
        <v>75</v>
      </c>
      <c r="J3253" s="2" t="s">
        <v>76</v>
      </c>
      <c r="K3253" s="2" t="s">
        <v>77</v>
      </c>
      <c r="L3253" s="2" t="s">
        <v>149</v>
      </c>
      <c r="M3253" s="2" t="s">
        <v>150</v>
      </c>
      <c r="N3253" s="2" t="s">
        <v>456</v>
      </c>
      <c r="O3253" s="2" t="s">
        <v>100</v>
      </c>
      <c r="P3253" s="2" t="str">
        <f>"2170587296                    "</f>
        <v xml:space="preserve">2170587296                    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4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1</v>
      </c>
      <c r="BI3253" s="2">
        <v>1.7</v>
      </c>
      <c r="BJ3253" s="2">
        <v>0.2</v>
      </c>
      <c r="BK3253" s="2">
        <v>2</v>
      </c>
      <c r="BL3253" s="2">
        <v>41.44</v>
      </c>
      <c r="BM3253" s="2">
        <v>5.8</v>
      </c>
      <c r="BN3253" s="2">
        <v>47.24</v>
      </c>
      <c r="BO3253" s="2">
        <v>47.24</v>
      </c>
      <c r="BP3253" s="2"/>
      <c r="BQ3253" s="2" t="s">
        <v>83</v>
      </c>
      <c r="BR3253" s="2" t="s">
        <v>84</v>
      </c>
      <c r="BS3253" s="3">
        <v>42976</v>
      </c>
      <c r="BT3253" s="4">
        <v>0.32569444444444445</v>
      </c>
      <c r="BU3253" s="2" t="s">
        <v>1721</v>
      </c>
      <c r="BV3253" s="2" t="s">
        <v>95</v>
      </c>
      <c r="BW3253" s="2"/>
      <c r="BX3253" s="2"/>
      <c r="BY3253" s="2">
        <v>1200</v>
      </c>
      <c r="BZ3253" s="2" t="s">
        <v>27</v>
      </c>
      <c r="CA3253" s="2" t="s">
        <v>934</v>
      </c>
      <c r="CB3253" s="2"/>
      <c r="CC3253" s="2" t="s">
        <v>150</v>
      </c>
      <c r="CD3253" s="2">
        <v>4068</v>
      </c>
      <c r="CE3253" s="2" t="s">
        <v>104</v>
      </c>
      <c r="CF3253" s="5">
        <v>42977</v>
      </c>
      <c r="CG3253" s="2"/>
      <c r="CH3253" s="2"/>
      <c r="CI3253" s="2">
        <v>1</v>
      </c>
      <c r="CJ3253" s="2">
        <v>1</v>
      </c>
      <c r="CK3253" s="2">
        <v>21</v>
      </c>
      <c r="CL3253" s="2" t="s">
        <v>86</v>
      </c>
      <c r="CM3253" s="2"/>
    </row>
    <row r="3254" spans="1:91">
      <c r="A3254" s="2" t="s">
        <v>71</v>
      </c>
      <c r="B3254" s="2" t="s">
        <v>72</v>
      </c>
      <c r="C3254" s="2" t="s">
        <v>73</v>
      </c>
      <c r="D3254" s="2"/>
      <c r="E3254" s="2" t="str">
        <f>"FES1162571724"</f>
        <v>FES1162571724</v>
      </c>
      <c r="F3254" s="3">
        <v>42975</v>
      </c>
      <c r="G3254" s="2">
        <v>201802</v>
      </c>
      <c r="H3254" s="2" t="s">
        <v>74</v>
      </c>
      <c r="I3254" s="2" t="s">
        <v>75</v>
      </c>
      <c r="J3254" s="2" t="s">
        <v>76</v>
      </c>
      <c r="K3254" s="2" t="s">
        <v>77</v>
      </c>
      <c r="L3254" s="2" t="s">
        <v>149</v>
      </c>
      <c r="M3254" s="2" t="s">
        <v>150</v>
      </c>
      <c r="N3254" s="2" t="s">
        <v>1947</v>
      </c>
      <c r="O3254" s="2" t="s">
        <v>100</v>
      </c>
      <c r="P3254" s="2" t="str">
        <f>"2170587345                    "</f>
        <v xml:space="preserve">2170587345                    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4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1</v>
      </c>
      <c r="BI3254" s="2">
        <v>1</v>
      </c>
      <c r="BJ3254" s="2">
        <v>0.2</v>
      </c>
      <c r="BK3254" s="2">
        <v>1</v>
      </c>
      <c r="BL3254" s="2">
        <v>41.44</v>
      </c>
      <c r="BM3254" s="2">
        <v>5.8</v>
      </c>
      <c r="BN3254" s="2">
        <v>47.24</v>
      </c>
      <c r="BO3254" s="2">
        <v>47.24</v>
      </c>
      <c r="BP3254" s="2"/>
      <c r="BQ3254" s="2" t="s">
        <v>288</v>
      </c>
      <c r="BR3254" s="2" t="s">
        <v>84</v>
      </c>
      <c r="BS3254" s="3">
        <v>42976</v>
      </c>
      <c r="BT3254" s="4">
        <v>0.2951388888888889</v>
      </c>
      <c r="BU3254" s="2" t="s">
        <v>3380</v>
      </c>
      <c r="BV3254" s="2" t="s">
        <v>95</v>
      </c>
      <c r="BW3254" s="2"/>
      <c r="BX3254" s="2"/>
      <c r="BY3254" s="2">
        <v>1200</v>
      </c>
      <c r="BZ3254" s="2" t="s">
        <v>27</v>
      </c>
      <c r="CA3254" s="2" t="s">
        <v>1949</v>
      </c>
      <c r="CB3254" s="2"/>
      <c r="CC3254" s="2" t="s">
        <v>150</v>
      </c>
      <c r="CD3254" s="2">
        <v>4064</v>
      </c>
      <c r="CE3254" s="2" t="s">
        <v>104</v>
      </c>
      <c r="CF3254" s="5">
        <v>42977</v>
      </c>
      <c r="CG3254" s="2"/>
      <c r="CH3254" s="2"/>
      <c r="CI3254" s="2">
        <v>1</v>
      </c>
      <c r="CJ3254" s="2">
        <v>1</v>
      </c>
      <c r="CK3254" s="2">
        <v>21</v>
      </c>
      <c r="CL3254" s="2" t="s">
        <v>86</v>
      </c>
      <c r="CM3254" s="2"/>
    </row>
    <row r="3255" spans="1:91">
      <c r="A3255" s="2" t="s">
        <v>71</v>
      </c>
      <c r="B3255" s="2" t="s">
        <v>72</v>
      </c>
      <c r="C3255" s="2" t="s">
        <v>73</v>
      </c>
      <c r="D3255" s="2"/>
      <c r="E3255" s="2" t="str">
        <f>"FES1162571694"</f>
        <v>FES1162571694</v>
      </c>
      <c r="F3255" s="3">
        <v>42975</v>
      </c>
      <c r="G3255" s="2">
        <v>201802</v>
      </c>
      <c r="H3255" s="2" t="s">
        <v>74</v>
      </c>
      <c r="I3255" s="2" t="s">
        <v>75</v>
      </c>
      <c r="J3255" s="2" t="s">
        <v>76</v>
      </c>
      <c r="K3255" s="2" t="s">
        <v>77</v>
      </c>
      <c r="L3255" s="2" t="s">
        <v>74</v>
      </c>
      <c r="M3255" s="2" t="s">
        <v>75</v>
      </c>
      <c r="N3255" s="2" t="s">
        <v>1370</v>
      </c>
      <c r="O3255" s="2" t="s">
        <v>100</v>
      </c>
      <c r="P3255" s="2" t="str">
        <f>"2170587294                    "</f>
        <v xml:space="preserve">2170587294                    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3.13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1</v>
      </c>
      <c r="BI3255" s="2">
        <v>7.1</v>
      </c>
      <c r="BJ3255" s="2">
        <v>1.7</v>
      </c>
      <c r="BK3255" s="2">
        <v>8</v>
      </c>
      <c r="BL3255" s="2">
        <v>32.380000000000003</v>
      </c>
      <c r="BM3255" s="2">
        <v>4.53</v>
      </c>
      <c r="BN3255" s="2">
        <v>36.909999999999997</v>
      </c>
      <c r="BO3255" s="2">
        <v>36.909999999999997</v>
      </c>
      <c r="BP3255" s="2"/>
      <c r="BQ3255" s="2" t="s">
        <v>108</v>
      </c>
      <c r="BR3255" s="2" t="s">
        <v>84</v>
      </c>
      <c r="BS3255" s="3">
        <v>42976</v>
      </c>
      <c r="BT3255" s="4">
        <v>0.33611111111111108</v>
      </c>
      <c r="BU3255" s="2" t="s">
        <v>2522</v>
      </c>
      <c r="BV3255" s="2" t="s">
        <v>95</v>
      </c>
      <c r="BW3255" s="2"/>
      <c r="BX3255" s="2"/>
      <c r="BY3255" s="2">
        <v>8456.33</v>
      </c>
      <c r="BZ3255" s="2" t="s">
        <v>27</v>
      </c>
      <c r="CA3255" s="2" t="s">
        <v>1441</v>
      </c>
      <c r="CB3255" s="2"/>
      <c r="CC3255" s="2" t="s">
        <v>75</v>
      </c>
      <c r="CD3255" s="2">
        <v>1609</v>
      </c>
      <c r="CE3255" s="2" t="s">
        <v>89</v>
      </c>
      <c r="CF3255" s="5">
        <v>42977</v>
      </c>
      <c r="CG3255" s="2"/>
      <c r="CH3255" s="2"/>
      <c r="CI3255" s="2">
        <v>1</v>
      </c>
      <c r="CJ3255" s="2">
        <v>1</v>
      </c>
      <c r="CK3255" s="2">
        <v>22</v>
      </c>
      <c r="CL3255" s="2" t="s">
        <v>86</v>
      </c>
      <c r="CM3255" s="2"/>
    </row>
    <row r="3256" spans="1:91">
      <c r="A3256" s="2" t="s">
        <v>71</v>
      </c>
      <c r="B3256" s="2" t="s">
        <v>72</v>
      </c>
      <c r="C3256" s="2" t="s">
        <v>73</v>
      </c>
      <c r="D3256" s="2"/>
      <c r="E3256" s="2" t="str">
        <f>"FES1162571681"</f>
        <v>FES1162571681</v>
      </c>
      <c r="F3256" s="3">
        <v>42975</v>
      </c>
      <c r="G3256" s="2">
        <v>201802</v>
      </c>
      <c r="H3256" s="2" t="s">
        <v>74</v>
      </c>
      <c r="I3256" s="2" t="s">
        <v>75</v>
      </c>
      <c r="J3256" s="2" t="s">
        <v>76</v>
      </c>
      <c r="K3256" s="2" t="s">
        <v>77</v>
      </c>
      <c r="L3256" s="2" t="s">
        <v>174</v>
      </c>
      <c r="M3256" s="2" t="s">
        <v>175</v>
      </c>
      <c r="N3256" s="2" t="s">
        <v>1418</v>
      </c>
      <c r="O3256" s="2" t="s">
        <v>100</v>
      </c>
      <c r="P3256" s="2" t="str">
        <f>"2170586738                    "</f>
        <v xml:space="preserve">2170586738                    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4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1</v>
      </c>
      <c r="BI3256" s="2">
        <v>1</v>
      </c>
      <c r="BJ3256" s="2">
        <v>0.2</v>
      </c>
      <c r="BK3256" s="2">
        <v>1</v>
      </c>
      <c r="BL3256" s="2">
        <v>41.44</v>
      </c>
      <c r="BM3256" s="2">
        <v>5.8</v>
      </c>
      <c r="BN3256" s="2">
        <v>47.24</v>
      </c>
      <c r="BO3256" s="2">
        <v>47.24</v>
      </c>
      <c r="BP3256" s="2"/>
      <c r="BQ3256" s="2" t="s">
        <v>108</v>
      </c>
      <c r="BR3256" s="2" t="s">
        <v>84</v>
      </c>
      <c r="BS3256" s="3">
        <v>42976</v>
      </c>
      <c r="BT3256" s="4">
        <v>0.40902777777777777</v>
      </c>
      <c r="BU3256" s="2" t="s">
        <v>3059</v>
      </c>
      <c r="BV3256" s="2" t="s">
        <v>95</v>
      </c>
      <c r="BW3256" s="2"/>
      <c r="BX3256" s="2"/>
      <c r="BY3256" s="2">
        <v>1200</v>
      </c>
      <c r="BZ3256" s="2" t="s">
        <v>27</v>
      </c>
      <c r="CA3256" s="2" t="s">
        <v>1420</v>
      </c>
      <c r="CB3256" s="2"/>
      <c r="CC3256" s="2" t="s">
        <v>175</v>
      </c>
      <c r="CD3256" s="2">
        <v>5201</v>
      </c>
      <c r="CE3256" s="2" t="s">
        <v>104</v>
      </c>
      <c r="CF3256" s="5">
        <v>42976</v>
      </c>
      <c r="CG3256" s="2"/>
      <c r="CH3256" s="2"/>
      <c r="CI3256" s="2">
        <v>1</v>
      </c>
      <c r="CJ3256" s="2">
        <v>1</v>
      </c>
      <c r="CK3256" s="2">
        <v>21</v>
      </c>
      <c r="CL3256" s="2" t="s">
        <v>86</v>
      </c>
      <c r="CM3256" s="2"/>
    </row>
    <row r="3257" spans="1:91">
      <c r="A3257" s="2" t="s">
        <v>71</v>
      </c>
      <c r="B3257" s="2" t="s">
        <v>72</v>
      </c>
      <c r="C3257" s="2" t="s">
        <v>73</v>
      </c>
      <c r="D3257" s="2"/>
      <c r="E3257" s="2" t="str">
        <f>"FES1162571653"</f>
        <v>FES1162571653</v>
      </c>
      <c r="F3257" s="3">
        <v>42975</v>
      </c>
      <c r="G3257" s="2">
        <v>201802</v>
      </c>
      <c r="H3257" s="2" t="s">
        <v>74</v>
      </c>
      <c r="I3257" s="2" t="s">
        <v>75</v>
      </c>
      <c r="J3257" s="2" t="s">
        <v>76</v>
      </c>
      <c r="K3257" s="2" t="s">
        <v>77</v>
      </c>
      <c r="L3257" s="2" t="s">
        <v>97</v>
      </c>
      <c r="M3257" s="2" t="s">
        <v>98</v>
      </c>
      <c r="N3257" s="2" t="s">
        <v>625</v>
      </c>
      <c r="O3257" s="2" t="s">
        <v>100</v>
      </c>
      <c r="P3257" s="2" t="str">
        <f>"2170584162                    "</f>
        <v xml:space="preserve">2170584162                    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4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1</v>
      </c>
      <c r="BI3257" s="2">
        <v>1</v>
      </c>
      <c r="BJ3257" s="2">
        <v>0.2</v>
      </c>
      <c r="BK3257" s="2">
        <v>1</v>
      </c>
      <c r="BL3257" s="2">
        <v>41.44</v>
      </c>
      <c r="BM3257" s="2">
        <v>5.8</v>
      </c>
      <c r="BN3257" s="2">
        <v>47.24</v>
      </c>
      <c r="BO3257" s="2">
        <v>47.24</v>
      </c>
      <c r="BP3257" s="2"/>
      <c r="BQ3257" s="2" t="s">
        <v>108</v>
      </c>
      <c r="BR3257" s="2" t="s">
        <v>84</v>
      </c>
      <c r="BS3257" s="3">
        <v>42976</v>
      </c>
      <c r="BT3257" s="4">
        <v>0.43124999999999997</v>
      </c>
      <c r="BU3257" s="2" t="s">
        <v>1299</v>
      </c>
      <c r="BV3257" s="2" t="s">
        <v>95</v>
      </c>
      <c r="BW3257" s="2"/>
      <c r="BX3257" s="2"/>
      <c r="BY3257" s="2">
        <v>1200</v>
      </c>
      <c r="BZ3257" s="2" t="s">
        <v>27</v>
      </c>
      <c r="CA3257" s="2" t="s">
        <v>103</v>
      </c>
      <c r="CB3257" s="2"/>
      <c r="CC3257" s="2" t="s">
        <v>98</v>
      </c>
      <c r="CD3257" s="2">
        <v>6001</v>
      </c>
      <c r="CE3257" s="2" t="s">
        <v>104</v>
      </c>
      <c r="CF3257" s="5">
        <v>42977</v>
      </c>
      <c r="CG3257" s="2"/>
      <c r="CH3257" s="2"/>
      <c r="CI3257" s="2">
        <v>1</v>
      </c>
      <c r="CJ3257" s="2">
        <v>1</v>
      </c>
      <c r="CK3257" s="2">
        <v>21</v>
      </c>
      <c r="CL3257" s="2" t="s">
        <v>86</v>
      </c>
      <c r="CM3257" s="2"/>
    </row>
    <row r="3258" spans="1:91">
      <c r="A3258" s="2" t="s">
        <v>71</v>
      </c>
      <c r="B3258" s="2" t="s">
        <v>72</v>
      </c>
      <c r="C3258" s="2" t="s">
        <v>73</v>
      </c>
      <c r="D3258" s="2"/>
      <c r="E3258" s="2" t="str">
        <f>"FES1162571709"</f>
        <v>FES1162571709</v>
      </c>
      <c r="F3258" s="3">
        <v>42975</v>
      </c>
      <c r="G3258" s="2">
        <v>201802</v>
      </c>
      <c r="H3258" s="2" t="s">
        <v>74</v>
      </c>
      <c r="I3258" s="2" t="s">
        <v>75</v>
      </c>
      <c r="J3258" s="2" t="s">
        <v>76</v>
      </c>
      <c r="K3258" s="2" t="s">
        <v>77</v>
      </c>
      <c r="L3258" s="2" t="s">
        <v>1202</v>
      </c>
      <c r="M3258" s="2" t="s">
        <v>1203</v>
      </c>
      <c r="N3258" s="2" t="s">
        <v>2296</v>
      </c>
      <c r="O3258" s="2" t="s">
        <v>100</v>
      </c>
      <c r="P3258" s="2" t="str">
        <f>"2170587317                    "</f>
        <v xml:space="preserve">2170587317                    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3.13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1</v>
      </c>
      <c r="BI3258" s="2">
        <v>1</v>
      </c>
      <c r="BJ3258" s="2">
        <v>0.2</v>
      </c>
      <c r="BK3258" s="2">
        <v>1</v>
      </c>
      <c r="BL3258" s="2">
        <v>32.380000000000003</v>
      </c>
      <c r="BM3258" s="2">
        <v>4.53</v>
      </c>
      <c r="BN3258" s="2">
        <v>36.909999999999997</v>
      </c>
      <c r="BO3258" s="2">
        <v>36.909999999999997</v>
      </c>
      <c r="BP3258" s="2"/>
      <c r="BQ3258" s="2" t="s">
        <v>108</v>
      </c>
      <c r="BR3258" s="2" t="s">
        <v>84</v>
      </c>
      <c r="BS3258" s="3">
        <v>42976</v>
      </c>
      <c r="BT3258" s="4">
        <v>0.37291666666666662</v>
      </c>
      <c r="BU3258" s="2" t="s">
        <v>1360</v>
      </c>
      <c r="BV3258" s="2" t="s">
        <v>95</v>
      </c>
      <c r="BW3258" s="2"/>
      <c r="BX3258" s="2"/>
      <c r="BY3258" s="2">
        <v>1200</v>
      </c>
      <c r="BZ3258" s="2" t="s">
        <v>27</v>
      </c>
      <c r="CA3258" s="2" t="s">
        <v>499</v>
      </c>
      <c r="CB3258" s="2"/>
      <c r="CC3258" s="2" t="s">
        <v>1203</v>
      </c>
      <c r="CD3258" s="2">
        <v>1501</v>
      </c>
      <c r="CE3258" s="2" t="s">
        <v>104</v>
      </c>
      <c r="CF3258" s="5">
        <v>42977</v>
      </c>
      <c r="CG3258" s="2"/>
      <c r="CH3258" s="2"/>
      <c r="CI3258" s="2">
        <v>1</v>
      </c>
      <c r="CJ3258" s="2">
        <v>1</v>
      </c>
      <c r="CK3258" s="2">
        <v>22</v>
      </c>
      <c r="CL3258" s="2" t="s">
        <v>86</v>
      </c>
      <c r="CM3258" s="2"/>
    </row>
    <row r="3259" spans="1:91">
      <c r="A3259" s="2" t="s">
        <v>71</v>
      </c>
      <c r="B3259" s="2" t="s">
        <v>72</v>
      </c>
      <c r="C3259" s="2" t="s">
        <v>73</v>
      </c>
      <c r="D3259" s="2"/>
      <c r="E3259" s="2" t="str">
        <f>"FES1162571706"</f>
        <v>FES1162571706</v>
      </c>
      <c r="F3259" s="3">
        <v>42975</v>
      </c>
      <c r="G3259" s="2">
        <v>201802</v>
      </c>
      <c r="H3259" s="2" t="s">
        <v>74</v>
      </c>
      <c r="I3259" s="2" t="s">
        <v>75</v>
      </c>
      <c r="J3259" s="2" t="s">
        <v>76</v>
      </c>
      <c r="K3259" s="2" t="s">
        <v>77</v>
      </c>
      <c r="L3259" s="2" t="s">
        <v>144</v>
      </c>
      <c r="M3259" s="2" t="s">
        <v>145</v>
      </c>
      <c r="N3259" s="2" t="s">
        <v>146</v>
      </c>
      <c r="O3259" s="2" t="s">
        <v>100</v>
      </c>
      <c r="P3259" s="2" t="str">
        <f>"2170587311                    "</f>
        <v xml:space="preserve">2170587311                    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3.13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1</v>
      </c>
      <c r="BI3259" s="2">
        <v>1</v>
      </c>
      <c r="BJ3259" s="2">
        <v>0.2</v>
      </c>
      <c r="BK3259" s="2">
        <v>1</v>
      </c>
      <c r="BL3259" s="2">
        <v>32.380000000000003</v>
      </c>
      <c r="BM3259" s="2">
        <v>4.53</v>
      </c>
      <c r="BN3259" s="2">
        <v>36.909999999999997</v>
      </c>
      <c r="BO3259" s="2">
        <v>36.909999999999997</v>
      </c>
      <c r="BP3259" s="2"/>
      <c r="BQ3259" s="2" t="s">
        <v>83</v>
      </c>
      <c r="BR3259" s="2" t="s">
        <v>84</v>
      </c>
      <c r="BS3259" s="3">
        <v>42976</v>
      </c>
      <c r="BT3259" s="4">
        <v>0.40625</v>
      </c>
      <c r="BU3259" s="2" t="s">
        <v>3353</v>
      </c>
      <c r="BV3259" s="2" t="s">
        <v>95</v>
      </c>
      <c r="BW3259" s="2"/>
      <c r="BX3259" s="2"/>
      <c r="BY3259" s="2">
        <v>1200</v>
      </c>
      <c r="BZ3259" s="2" t="s">
        <v>27</v>
      </c>
      <c r="CA3259" s="2" t="s">
        <v>274</v>
      </c>
      <c r="CB3259" s="2"/>
      <c r="CC3259" s="2" t="s">
        <v>145</v>
      </c>
      <c r="CD3259" s="2">
        <v>2094</v>
      </c>
      <c r="CE3259" s="2" t="s">
        <v>104</v>
      </c>
      <c r="CF3259" s="5">
        <v>42977</v>
      </c>
      <c r="CG3259" s="2"/>
      <c r="CH3259" s="2"/>
      <c r="CI3259" s="2">
        <v>1</v>
      </c>
      <c r="CJ3259" s="2">
        <v>1</v>
      </c>
      <c r="CK3259" s="2">
        <v>22</v>
      </c>
      <c r="CL3259" s="2" t="s">
        <v>86</v>
      </c>
      <c r="CM3259" s="2"/>
    </row>
    <row r="3260" spans="1:91">
      <c r="A3260" s="2" t="s">
        <v>71</v>
      </c>
      <c r="B3260" s="2" t="s">
        <v>72</v>
      </c>
      <c r="C3260" s="2" t="s">
        <v>73</v>
      </c>
      <c r="D3260" s="2"/>
      <c r="E3260" s="2" t="str">
        <f>"FES1162571675"</f>
        <v>FES1162571675</v>
      </c>
      <c r="F3260" s="3">
        <v>42975</v>
      </c>
      <c r="G3260" s="2">
        <v>201802</v>
      </c>
      <c r="H3260" s="2" t="s">
        <v>74</v>
      </c>
      <c r="I3260" s="2" t="s">
        <v>75</v>
      </c>
      <c r="J3260" s="2" t="s">
        <v>76</v>
      </c>
      <c r="K3260" s="2" t="s">
        <v>77</v>
      </c>
      <c r="L3260" s="2" t="s">
        <v>74</v>
      </c>
      <c r="M3260" s="2" t="s">
        <v>75</v>
      </c>
      <c r="N3260" s="2" t="s">
        <v>3381</v>
      </c>
      <c r="O3260" s="2" t="s">
        <v>100</v>
      </c>
      <c r="P3260" s="2" t="str">
        <f>"2170586157                    "</f>
        <v xml:space="preserve">2170586157                    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3.13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1</v>
      </c>
      <c r="BI3260" s="2">
        <v>3</v>
      </c>
      <c r="BJ3260" s="2">
        <v>0.2</v>
      </c>
      <c r="BK3260" s="2">
        <v>3</v>
      </c>
      <c r="BL3260" s="2">
        <v>32.380000000000003</v>
      </c>
      <c r="BM3260" s="2">
        <v>4.53</v>
      </c>
      <c r="BN3260" s="2">
        <v>36.909999999999997</v>
      </c>
      <c r="BO3260" s="2">
        <v>36.909999999999997</v>
      </c>
      <c r="BP3260" s="2"/>
      <c r="BQ3260" s="2" t="s">
        <v>288</v>
      </c>
      <c r="BR3260" s="2" t="s">
        <v>84</v>
      </c>
      <c r="BS3260" s="3">
        <v>42976</v>
      </c>
      <c r="BT3260" s="4">
        <v>0.32708333333333334</v>
      </c>
      <c r="BU3260" s="2" t="s">
        <v>3382</v>
      </c>
      <c r="BV3260" s="2" t="s">
        <v>95</v>
      </c>
      <c r="BW3260" s="2"/>
      <c r="BX3260" s="2"/>
      <c r="BY3260" s="2">
        <v>1200</v>
      </c>
      <c r="BZ3260" s="2" t="s">
        <v>27</v>
      </c>
      <c r="CA3260" s="2" t="s">
        <v>331</v>
      </c>
      <c r="CB3260" s="2"/>
      <c r="CC3260" s="2" t="s">
        <v>75</v>
      </c>
      <c r="CD3260" s="2">
        <v>1600</v>
      </c>
      <c r="CE3260" s="2" t="s">
        <v>104</v>
      </c>
      <c r="CF3260" s="5">
        <v>42977</v>
      </c>
      <c r="CG3260" s="2"/>
      <c r="CH3260" s="2"/>
      <c r="CI3260" s="2">
        <v>1</v>
      </c>
      <c r="CJ3260" s="2">
        <v>1</v>
      </c>
      <c r="CK3260" s="2">
        <v>22</v>
      </c>
      <c r="CL3260" s="2" t="s">
        <v>86</v>
      </c>
      <c r="CM3260" s="2"/>
    </row>
    <row r="3261" spans="1:91">
      <c r="A3261" s="2" t="s">
        <v>71</v>
      </c>
      <c r="B3261" s="2" t="s">
        <v>72</v>
      </c>
      <c r="C3261" s="2" t="s">
        <v>73</v>
      </c>
      <c r="D3261" s="2"/>
      <c r="E3261" s="2" t="str">
        <f>"FES1162571645"</f>
        <v>FES1162571645</v>
      </c>
      <c r="F3261" s="3">
        <v>42975</v>
      </c>
      <c r="G3261" s="2">
        <v>201802</v>
      </c>
      <c r="H3261" s="2" t="s">
        <v>74</v>
      </c>
      <c r="I3261" s="2" t="s">
        <v>75</v>
      </c>
      <c r="J3261" s="2" t="s">
        <v>76</v>
      </c>
      <c r="K3261" s="2" t="s">
        <v>77</v>
      </c>
      <c r="L3261" s="2" t="s">
        <v>159</v>
      </c>
      <c r="M3261" s="2" t="s">
        <v>160</v>
      </c>
      <c r="N3261" s="2" t="s">
        <v>1465</v>
      </c>
      <c r="O3261" s="2" t="s">
        <v>100</v>
      </c>
      <c r="P3261" s="2" t="str">
        <f>"2170579777                    "</f>
        <v xml:space="preserve">2170579777                    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5.63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1</v>
      </c>
      <c r="BI3261" s="2">
        <v>1</v>
      </c>
      <c r="BJ3261" s="2">
        <v>0.2</v>
      </c>
      <c r="BK3261" s="2">
        <v>1</v>
      </c>
      <c r="BL3261" s="2">
        <v>58.28</v>
      </c>
      <c r="BM3261" s="2">
        <v>8.16</v>
      </c>
      <c r="BN3261" s="2">
        <v>66.44</v>
      </c>
      <c r="BO3261" s="2">
        <v>66.44</v>
      </c>
      <c r="BP3261" s="2"/>
      <c r="BQ3261" s="2" t="s">
        <v>209</v>
      </c>
      <c r="BR3261" s="2" t="s">
        <v>84</v>
      </c>
      <c r="BS3261" s="3">
        <v>42976</v>
      </c>
      <c r="BT3261" s="4">
        <v>0.48402777777777778</v>
      </c>
      <c r="BU3261" s="2" t="s">
        <v>3383</v>
      </c>
      <c r="BV3261" s="2" t="s">
        <v>95</v>
      </c>
      <c r="BW3261" s="2"/>
      <c r="BX3261" s="2"/>
      <c r="BY3261" s="2">
        <v>1200</v>
      </c>
      <c r="BZ3261" s="2" t="s">
        <v>27</v>
      </c>
      <c r="CA3261" s="2"/>
      <c r="CB3261" s="2"/>
      <c r="CC3261" s="2" t="s">
        <v>160</v>
      </c>
      <c r="CD3261" s="2">
        <v>407</v>
      </c>
      <c r="CE3261" s="2" t="s">
        <v>104</v>
      </c>
      <c r="CF3261" s="5">
        <v>42977</v>
      </c>
      <c r="CG3261" s="2"/>
      <c r="CH3261" s="2"/>
      <c r="CI3261" s="2">
        <v>1</v>
      </c>
      <c r="CJ3261" s="2">
        <v>1</v>
      </c>
      <c r="CK3261" s="2">
        <v>24</v>
      </c>
      <c r="CL3261" s="2" t="s">
        <v>86</v>
      </c>
      <c r="CM3261" s="2"/>
    </row>
    <row r="3262" spans="1:91">
      <c r="A3262" s="2" t="s">
        <v>71</v>
      </c>
      <c r="B3262" s="2" t="s">
        <v>72</v>
      </c>
      <c r="C3262" s="2" t="s">
        <v>73</v>
      </c>
      <c r="D3262" s="2"/>
      <c r="E3262" s="2" t="str">
        <f>"FES1162571652"</f>
        <v>FES1162571652</v>
      </c>
      <c r="F3262" s="3">
        <v>42975</v>
      </c>
      <c r="G3262" s="2">
        <v>201802</v>
      </c>
      <c r="H3262" s="2" t="s">
        <v>74</v>
      </c>
      <c r="I3262" s="2" t="s">
        <v>75</v>
      </c>
      <c r="J3262" s="2" t="s">
        <v>76</v>
      </c>
      <c r="K3262" s="2" t="s">
        <v>77</v>
      </c>
      <c r="L3262" s="2" t="s">
        <v>206</v>
      </c>
      <c r="M3262" s="2" t="s">
        <v>207</v>
      </c>
      <c r="N3262" s="2" t="s">
        <v>650</v>
      </c>
      <c r="O3262" s="2" t="s">
        <v>100</v>
      </c>
      <c r="P3262" s="2" t="str">
        <f>"2170583713                    "</f>
        <v xml:space="preserve">2170583713                    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5.63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1</v>
      </c>
      <c r="BI3262" s="2">
        <v>1</v>
      </c>
      <c r="BJ3262" s="2">
        <v>0.2</v>
      </c>
      <c r="BK3262" s="2">
        <v>1</v>
      </c>
      <c r="BL3262" s="2">
        <v>58.28</v>
      </c>
      <c r="BM3262" s="2">
        <v>8.16</v>
      </c>
      <c r="BN3262" s="2">
        <v>66.44</v>
      </c>
      <c r="BO3262" s="2">
        <v>66.44</v>
      </c>
      <c r="BP3262" s="2"/>
      <c r="BQ3262" s="2" t="s">
        <v>108</v>
      </c>
      <c r="BR3262" s="2" t="s">
        <v>84</v>
      </c>
      <c r="BS3262" s="3">
        <v>42976</v>
      </c>
      <c r="BT3262" s="4">
        <v>0.46875</v>
      </c>
      <c r="BU3262" s="2" t="s">
        <v>3384</v>
      </c>
      <c r="BV3262" s="2" t="s">
        <v>95</v>
      </c>
      <c r="BW3262" s="2"/>
      <c r="BX3262" s="2"/>
      <c r="BY3262" s="2">
        <v>1200</v>
      </c>
      <c r="BZ3262" s="2" t="s">
        <v>27</v>
      </c>
      <c r="CA3262" s="2" t="s">
        <v>640</v>
      </c>
      <c r="CB3262" s="2"/>
      <c r="CC3262" s="2" t="s">
        <v>207</v>
      </c>
      <c r="CD3262" s="2">
        <v>250</v>
      </c>
      <c r="CE3262" s="2" t="s">
        <v>104</v>
      </c>
      <c r="CF3262" s="5">
        <v>42978</v>
      </c>
      <c r="CG3262" s="2"/>
      <c r="CH3262" s="2"/>
      <c r="CI3262" s="2">
        <v>1</v>
      </c>
      <c r="CJ3262" s="2">
        <v>1</v>
      </c>
      <c r="CK3262" s="2">
        <v>24</v>
      </c>
      <c r="CL3262" s="2" t="s">
        <v>86</v>
      </c>
      <c r="CM3262" s="2"/>
    </row>
    <row r="3263" spans="1:91">
      <c r="A3263" s="2" t="s">
        <v>71</v>
      </c>
      <c r="B3263" s="2" t="s">
        <v>72</v>
      </c>
      <c r="C3263" s="2" t="s">
        <v>73</v>
      </c>
      <c r="D3263" s="2"/>
      <c r="E3263" s="2" t="str">
        <f>"FES1162571697"</f>
        <v>FES1162571697</v>
      </c>
      <c r="F3263" s="3">
        <v>42975</v>
      </c>
      <c r="G3263" s="2">
        <v>201802</v>
      </c>
      <c r="H3263" s="2" t="s">
        <v>74</v>
      </c>
      <c r="I3263" s="2" t="s">
        <v>75</v>
      </c>
      <c r="J3263" s="2" t="s">
        <v>76</v>
      </c>
      <c r="K3263" s="2" t="s">
        <v>77</v>
      </c>
      <c r="L3263" s="2" t="s">
        <v>741</v>
      </c>
      <c r="M3263" s="2" t="s">
        <v>742</v>
      </c>
      <c r="N3263" s="2" t="s">
        <v>743</v>
      </c>
      <c r="O3263" s="2" t="s">
        <v>100</v>
      </c>
      <c r="P3263" s="2" t="str">
        <f>"2170587299                    "</f>
        <v xml:space="preserve">2170587299                    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7.75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  <c r="BG3263" s="2">
        <v>0</v>
      </c>
      <c r="BH3263" s="2">
        <v>1</v>
      </c>
      <c r="BI3263" s="2">
        <v>1</v>
      </c>
      <c r="BJ3263" s="2">
        <v>0.2</v>
      </c>
      <c r="BK3263" s="2">
        <v>1</v>
      </c>
      <c r="BL3263" s="2">
        <v>80.290000000000006</v>
      </c>
      <c r="BM3263" s="2">
        <v>11.24</v>
      </c>
      <c r="BN3263" s="2">
        <v>91.53</v>
      </c>
      <c r="BO3263" s="2">
        <v>91.53</v>
      </c>
      <c r="BP3263" s="2"/>
      <c r="BQ3263" s="2" t="s">
        <v>288</v>
      </c>
      <c r="BR3263" s="2" t="s">
        <v>84</v>
      </c>
      <c r="BS3263" s="3">
        <v>42976</v>
      </c>
      <c r="BT3263" s="4">
        <v>0.4069444444444445</v>
      </c>
      <c r="BU3263" s="2" t="s">
        <v>1343</v>
      </c>
      <c r="BV3263" s="2" t="s">
        <v>95</v>
      </c>
      <c r="BW3263" s="2"/>
      <c r="BX3263" s="2"/>
      <c r="BY3263" s="2">
        <v>1200</v>
      </c>
      <c r="BZ3263" s="2" t="s">
        <v>27</v>
      </c>
      <c r="CA3263" s="2" t="s">
        <v>2088</v>
      </c>
      <c r="CB3263" s="2"/>
      <c r="CC3263" s="2" t="s">
        <v>742</v>
      </c>
      <c r="CD3263" s="2">
        <v>6300</v>
      </c>
      <c r="CE3263" s="2" t="s">
        <v>104</v>
      </c>
      <c r="CF3263" s="5">
        <v>42976</v>
      </c>
      <c r="CG3263" s="2"/>
      <c r="CH3263" s="2"/>
      <c r="CI3263" s="2">
        <v>3</v>
      </c>
      <c r="CJ3263" s="2">
        <v>1</v>
      </c>
      <c r="CK3263" s="2">
        <v>23</v>
      </c>
      <c r="CL3263" s="2" t="s">
        <v>86</v>
      </c>
      <c r="CM3263" s="2"/>
    </row>
    <row r="3264" spans="1:91">
      <c r="A3264" s="2" t="s">
        <v>71</v>
      </c>
      <c r="B3264" s="2" t="s">
        <v>72</v>
      </c>
      <c r="C3264" s="2" t="s">
        <v>73</v>
      </c>
      <c r="D3264" s="2"/>
      <c r="E3264" s="2" t="str">
        <f>"FES1162571664"</f>
        <v>FES1162571664</v>
      </c>
      <c r="F3264" s="3">
        <v>42975</v>
      </c>
      <c r="G3264" s="2">
        <v>201802</v>
      </c>
      <c r="H3264" s="2" t="s">
        <v>74</v>
      </c>
      <c r="I3264" s="2" t="s">
        <v>75</v>
      </c>
      <c r="J3264" s="2" t="s">
        <v>76</v>
      </c>
      <c r="K3264" s="2" t="s">
        <v>77</v>
      </c>
      <c r="L3264" s="2" t="s">
        <v>97</v>
      </c>
      <c r="M3264" s="2" t="s">
        <v>98</v>
      </c>
      <c r="N3264" s="2" t="s">
        <v>1210</v>
      </c>
      <c r="O3264" s="2" t="s">
        <v>100</v>
      </c>
      <c r="P3264" s="2" t="str">
        <f>"2170585226                    "</f>
        <v xml:space="preserve">2170585226                    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4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0</v>
      </c>
      <c r="BH3264" s="2">
        <v>1</v>
      </c>
      <c r="BI3264" s="2">
        <v>1</v>
      </c>
      <c r="BJ3264" s="2">
        <v>0.2</v>
      </c>
      <c r="BK3264" s="2">
        <v>1</v>
      </c>
      <c r="BL3264" s="2">
        <v>41.44</v>
      </c>
      <c r="BM3264" s="2">
        <v>5.8</v>
      </c>
      <c r="BN3264" s="2">
        <v>47.24</v>
      </c>
      <c r="BO3264" s="2">
        <v>47.24</v>
      </c>
      <c r="BP3264" s="2"/>
      <c r="BQ3264" s="2" t="s">
        <v>108</v>
      </c>
      <c r="BR3264" s="2" t="s">
        <v>84</v>
      </c>
      <c r="BS3264" s="3">
        <v>42976</v>
      </c>
      <c r="BT3264" s="4">
        <v>0.29791666666666666</v>
      </c>
      <c r="BU3264" s="2" t="s">
        <v>3385</v>
      </c>
      <c r="BV3264" s="2" t="s">
        <v>95</v>
      </c>
      <c r="BW3264" s="2"/>
      <c r="BX3264" s="2"/>
      <c r="BY3264" s="2">
        <v>1200</v>
      </c>
      <c r="BZ3264" s="2" t="s">
        <v>27</v>
      </c>
      <c r="CA3264" s="2" t="s">
        <v>294</v>
      </c>
      <c r="CB3264" s="2"/>
      <c r="CC3264" s="2" t="s">
        <v>98</v>
      </c>
      <c r="CD3264" s="2">
        <v>6012</v>
      </c>
      <c r="CE3264" s="2" t="s">
        <v>104</v>
      </c>
      <c r="CF3264" s="5">
        <v>42977</v>
      </c>
      <c r="CG3264" s="2"/>
      <c r="CH3264" s="2"/>
      <c r="CI3264" s="2">
        <v>1</v>
      </c>
      <c r="CJ3264" s="2">
        <v>1</v>
      </c>
      <c r="CK3264" s="2">
        <v>21</v>
      </c>
      <c r="CL3264" s="2" t="s">
        <v>86</v>
      </c>
      <c r="CM3264" s="2"/>
    </row>
    <row r="3265" spans="1:91">
      <c r="A3265" s="2" t="s">
        <v>71</v>
      </c>
      <c r="B3265" s="2" t="s">
        <v>72</v>
      </c>
      <c r="C3265" s="2" t="s">
        <v>73</v>
      </c>
      <c r="D3265" s="2"/>
      <c r="E3265" s="2" t="str">
        <f>"FES1162571816"</f>
        <v>FES1162571816</v>
      </c>
      <c r="F3265" s="3">
        <v>42975</v>
      </c>
      <c r="G3265" s="2">
        <v>201802</v>
      </c>
      <c r="H3265" s="2" t="s">
        <v>74</v>
      </c>
      <c r="I3265" s="2" t="s">
        <v>75</v>
      </c>
      <c r="J3265" s="2" t="s">
        <v>76</v>
      </c>
      <c r="K3265" s="2" t="s">
        <v>77</v>
      </c>
      <c r="L3265" s="2" t="s">
        <v>97</v>
      </c>
      <c r="M3265" s="2" t="s">
        <v>98</v>
      </c>
      <c r="N3265" s="2" t="s">
        <v>2762</v>
      </c>
      <c r="O3265" s="2" t="s">
        <v>100</v>
      </c>
      <c r="P3265" s="2" t="str">
        <f>"2170587224                    "</f>
        <v xml:space="preserve">2170587224                    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4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1</v>
      </c>
      <c r="BI3265" s="2">
        <v>1</v>
      </c>
      <c r="BJ3265" s="2">
        <v>0.2</v>
      </c>
      <c r="BK3265" s="2">
        <v>1</v>
      </c>
      <c r="BL3265" s="2">
        <v>41.44</v>
      </c>
      <c r="BM3265" s="2">
        <v>5.8</v>
      </c>
      <c r="BN3265" s="2">
        <v>47.24</v>
      </c>
      <c r="BO3265" s="2">
        <v>47.24</v>
      </c>
      <c r="BP3265" s="2"/>
      <c r="BQ3265" s="2" t="s">
        <v>365</v>
      </c>
      <c r="BR3265" s="2" t="s">
        <v>84</v>
      </c>
      <c r="BS3265" s="3">
        <v>42976</v>
      </c>
      <c r="BT3265" s="4">
        <v>0.36388888888888887</v>
      </c>
      <c r="BU3265" s="2" t="s">
        <v>3386</v>
      </c>
      <c r="BV3265" s="2" t="s">
        <v>95</v>
      </c>
      <c r="BW3265" s="2"/>
      <c r="BX3265" s="2"/>
      <c r="BY3265" s="2">
        <v>1200</v>
      </c>
      <c r="BZ3265" s="2" t="s">
        <v>27</v>
      </c>
      <c r="CA3265" s="2" t="s">
        <v>213</v>
      </c>
      <c r="CB3265" s="2"/>
      <c r="CC3265" s="2" t="s">
        <v>98</v>
      </c>
      <c r="CD3265" s="2">
        <v>6014</v>
      </c>
      <c r="CE3265" s="2" t="s">
        <v>104</v>
      </c>
      <c r="CF3265" s="5">
        <v>42977</v>
      </c>
      <c r="CG3265" s="2"/>
      <c r="CH3265" s="2"/>
      <c r="CI3265" s="2">
        <v>1</v>
      </c>
      <c r="CJ3265" s="2">
        <v>1</v>
      </c>
      <c r="CK3265" s="2">
        <v>21</v>
      </c>
      <c r="CL3265" s="2" t="s">
        <v>86</v>
      </c>
      <c r="CM3265" s="2"/>
    </row>
    <row r="3266" spans="1:91">
      <c r="A3266" s="2" t="s">
        <v>71</v>
      </c>
      <c r="B3266" s="2" t="s">
        <v>72</v>
      </c>
      <c r="C3266" s="2" t="s">
        <v>73</v>
      </c>
      <c r="D3266" s="2"/>
      <c r="E3266" s="2" t="str">
        <f>"FES1162571667"</f>
        <v>FES1162571667</v>
      </c>
      <c r="F3266" s="3">
        <v>42975</v>
      </c>
      <c r="G3266" s="2">
        <v>201802</v>
      </c>
      <c r="H3266" s="2" t="s">
        <v>74</v>
      </c>
      <c r="I3266" s="2" t="s">
        <v>75</v>
      </c>
      <c r="J3266" s="2" t="s">
        <v>76</v>
      </c>
      <c r="K3266" s="2" t="s">
        <v>77</v>
      </c>
      <c r="L3266" s="2" t="s">
        <v>306</v>
      </c>
      <c r="M3266" s="2" t="s">
        <v>307</v>
      </c>
      <c r="N3266" s="2" t="s">
        <v>3387</v>
      </c>
      <c r="O3266" s="2" t="s">
        <v>100</v>
      </c>
      <c r="P3266" s="2" t="str">
        <f>"2170585305                    "</f>
        <v xml:space="preserve">2170585305                    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4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1</v>
      </c>
      <c r="BI3266" s="2">
        <v>1</v>
      </c>
      <c r="BJ3266" s="2">
        <v>0.2</v>
      </c>
      <c r="BK3266" s="2">
        <v>1</v>
      </c>
      <c r="BL3266" s="2">
        <v>41.44</v>
      </c>
      <c r="BM3266" s="2">
        <v>5.8</v>
      </c>
      <c r="BN3266" s="2">
        <v>47.24</v>
      </c>
      <c r="BO3266" s="2">
        <v>47.24</v>
      </c>
      <c r="BP3266" s="2"/>
      <c r="BQ3266" s="2" t="s">
        <v>209</v>
      </c>
      <c r="BR3266" s="2" t="s">
        <v>84</v>
      </c>
      <c r="BS3266" s="3">
        <v>42976</v>
      </c>
      <c r="BT3266" s="4">
        <v>0.33333333333333331</v>
      </c>
      <c r="BU3266" s="2" t="s">
        <v>2663</v>
      </c>
      <c r="BV3266" s="2" t="s">
        <v>95</v>
      </c>
      <c r="BW3266" s="2"/>
      <c r="BX3266" s="2"/>
      <c r="BY3266" s="2">
        <v>1200</v>
      </c>
      <c r="BZ3266" s="2" t="s">
        <v>27</v>
      </c>
      <c r="CA3266" s="2" t="s">
        <v>3388</v>
      </c>
      <c r="CB3266" s="2"/>
      <c r="CC3266" s="2" t="s">
        <v>307</v>
      </c>
      <c r="CD3266" s="2">
        <v>1939</v>
      </c>
      <c r="CE3266" s="2" t="s">
        <v>104</v>
      </c>
      <c r="CF3266" s="5">
        <v>42977</v>
      </c>
      <c r="CG3266" s="2"/>
      <c r="CH3266" s="2"/>
      <c r="CI3266" s="2">
        <v>1</v>
      </c>
      <c r="CJ3266" s="2">
        <v>1</v>
      </c>
      <c r="CK3266" s="2">
        <v>21</v>
      </c>
      <c r="CL3266" s="2" t="s">
        <v>86</v>
      </c>
      <c r="CM3266" s="2"/>
    </row>
    <row r="3267" spans="1:91">
      <c r="A3267" s="2" t="s">
        <v>71</v>
      </c>
      <c r="B3267" s="2" t="s">
        <v>72</v>
      </c>
      <c r="C3267" s="2" t="s">
        <v>73</v>
      </c>
      <c r="D3267" s="2"/>
      <c r="E3267" s="2" t="str">
        <f>"FES1162571633"</f>
        <v>FES1162571633</v>
      </c>
      <c r="F3267" s="3">
        <v>42975</v>
      </c>
      <c r="G3267" s="2">
        <v>201802</v>
      </c>
      <c r="H3267" s="2" t="s">
        <v>74</v>
      </c>
      <c r="I3267" s="2" t="s">
        <v>75</v>
      </c>
      <c r="J3267" s="2" t="s">
        <v>76</v>
      </c>
      <c r="K3267" s="2" t="s">
        <v>77</v>
      </c>
      <c r="L3267" s="2" t="s">
        <v>268</v>
      </c>
      <c r="M3267" s="2" t="s">
        <v>269</v>
      </c>
      <c r="N3267" s="2" t="s">
        <v>1002</v>
      </c>
      <c r="O3267" s="2" t="s">
        <v>100</v>
      </c>
      <c r="P3267" s="2" t="str">
        <f>"2170584611                    "</f>
        <v xml:space="preserve">2170584611                    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4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1</v>
      </c>
      <c r="BI3267" s="2">
        <v>1</v>
      </c>
      <c r="BJ3267" s="2">
        <v>0.2</v>
      </c>
      <c r="BK3267" s="2">
        <v>1</v>
      </c>
      <c r="BL3267" s="2">
        <v>41.44</v>
      </c>
      <c r="BM3267" s="2">
        <v>5.8</v>
      </c>
      <c r="BN3267" s="2">
        <v>47.24</v>
      </c>
      <c r="BO3267" s="2">
        <v>47.24</v>
      </c>
      <c r="BP3267" s="2"/>
      <c r="BQ3267" s="2" t="s">
        <v>288</v>
      </c>
      <c r="BR3267" s="2" t="s">
        <v>84</v>
      </c>
      <c r="BS3267" s="3">
        <v>42976</v>
      </c>
      <c r="BT3267" s="4">
        <v>0.52430555555555558</v>
      </c>
      <c r="BU3267" s="2" t="s">
        <v>3389</v>
      </c>
      <c r="BV3267" s="2" t="s">
        <v>86</v>
      </c>
      <c r="BW3267" s="2" t="s">
        <v>110</v>
      </c>
      <c r="BX3267" s="2" t="s">
        <v>444</v>
      </c>
      <c r="BY3267" s="2">
        <v>1200</v>
      </c>
      <c r="BZ3267" s="2" t="s">
        <v>27</v>
      </c>
      <c r="CA3267" s="2"/>
      <c r="CB3267" s="2"/>
      <c r="CC3267" s="2" t="s">
        <v>269</v>
      </c>
      <c r="CD3267" s="2">
        <v>200</v>
      </c>
      <c r="CE3267" s="2" t="s">
        <v>104</v>
      </c>
      <c r="CF3267" s="5">
        <v>42977</v>
      </c>
      <c r="CG3267" s="2"/>
      <c r="CH3267" s="2"/>
      <c r="CI3267" s="2">
        <v>1</v>
      </c>
      <c r="CJ3267" s="2">
        <v>1</v>
      </c>
      <c r="CK3267" s="2">
        <v>21</v>
      </c>
      <c r="CL3267" s="2" t="s">
        <v>86</v>
      </c>
      <c r="CM3267" s="2"/>
    </row>
    <row r="3268" spans="1:91">
      <c r="A3268" s="2" t="s">
        <v>71</v>
      </c>
      <c r="B3268" s="2" t="s">
        <v>72</v>
      </c>
      <c r="C3268" s="2" t="s">
        <v>73</v>
      </c>
      <c r="D3268" s="2"/>
      <c r="E3268" s="2" t="str">
        <f>"FES1162571692"</f>
        <v>FES1162571692</v>
      </c>
      <c r="F3268" s="3">
        <v>42975</v>
      </c>
      <c r="G3268" s="2">
        <v>201802</v>
      </c>
      <c r="H3268" s="2" t="s">
        <v>74</v>
      </c>
      <c r="I3268" s="2" t="s">
        <v>75</v>
      </c>
      <c r="J3268" s="2" t="s">
        <v>76</v>
      </c>
      <c r="K3268" s="2" t="s">
        <v>77</v>
      </c>
      <c r="L3268" s="2" t="s">
        <v>470</v>
      </c>
      <c r="M3268" s="2" t="s">
        <v>471</v>
      </c>
      <c r="N3268" s="2" t="s">
        <v>2209</v>
      </c>
      <c r="O3268" s="2" t="s">
        <v>100</v>
      </c>
      <c r="P3268" s="2" t="str">
        <f>"2170587290                    "</f>
        <v xml:space="preserve">2170587290                    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4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1</v>
      </c>
      <c r="BI3268" s="2">
        <v>1</v>
      </c>
      <c r="BJ3268" s="2">
        <v>0.2</v>
      </c>
      <c r="BK3268" s="2">
        <v>1</v>
      </c>
      <c r="BL3268" s="2">
        <v>41.44</v>
      </c>
      <c r="BM3268" s="2">
        <v>5.8</v>
      </c>
      <c r="BN3268" s="2">
        <v>47.24</v>
      </c>
      <c r="BO3268" s="2">
        <v>47.24</v>
      </c>
      <c r="BP3268" s="2"/>
      <c r="BQ3268" s="2" t="s">
        <v>288</v>
      </c>
      <c r="BR3268" s="2" t="s">
        <v>84</v>
      </c>
      <c r="BS3268" s="3">
        <v>42976</v>
      </c>
      <c r="BT3268" s="4">
        <v>0.35138888888888892</v>
      </c>
      <c r="BU3268" s="2" t="s">
        <v>3390</v>
      </c>
      <c r="BV3268" s="2" t="s">
        <v>95</v>
      </c>
      <c r="BW3268" s="2"/>
      <c r="BX3268" s="2"/>
      <c r="BY3268" s="2">
        <v>1200</v>
      </c>
      <c r="BZ3268" s="2" t="s">
        <v>27</v>
      </c>
      <c r="CA3268" s="2" t="s">
        <v>474</v>
      </c>
      <c r="CB3268" s="2"/>
      <c r="CC3268" s="2" t="s">
        <v>471</v>
      </c>
      <c r="CD3268" s="2">
        <v>1900</v>
      </c>
      <c r="CE3268" s="2" t="s">
        <v>104</v>
      </c>
      <c r="CF3268" s="5">
        <v>42977</v>
      </c>
      <c r="CG3268" s="2"/>
      <c r="CH3268" s="2"/>
      <c r="CI3268" s="2">
        <v>1</v>
      </c>
      <c r="CJ3268" s="2">
        <v>1</v>
      </c>
      <c r="CK3268" s="2">
        <v>21</v>
      </c>
      <c r="CL3268" s="2" t="s">
        <v>86</v>
      </c>
      <c r="CM3268" s="2"/>
    </row>
    <row r="3269" spans="1:91">
      <c r="A3269" s="2" t="s">
        <v>71</v>
      </c>
      <c r="B3269" s="2" t="s">
        <v>72</v>
      </c>
      <c r="C3269" s="2" t="s">
        <v>73</v>
      </c>
      <c r="D3269" s="2"/>
      <c r="E3269" s="2" t="str">
        <f>"FES1162571672"</f>
        <v>FES1162571672</v>
      </c>
      <c r="F3269" s="3">
        <v>42975</v>
      </c>
      <c r="G3269" s="2">
        <v>201802</v>
      </c>
      <c r="H3269" s="2" t="s">
        <v>74</v>
      </c>
      <c r="I3269" s="2" t="s">
        <v>75</v>
      </c>
      <c r="J3269" s="2" t="s">
        <v>76</v>
      </c>
      <c r="K3269" s="2" t="s">
        <v>77</v>
      </c>
      <c r="L3269" s="2" t="s">
        <v>206</v>
      </c>
      <c r="M3269" s="2" t="s">
        <v>207</v>
      </c>
      <c r="N3269" s="2" t="s">
        <v>650</v>
      </c>
      <c r="O3269" s="2" t="s">
        <v>100</v>
      </c>
      <c r="P3269" s="2" t="str">
        <f>"2170585478                    "</f>
        <v xml:space="preserve">2170585478                    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5.63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1</v>
      </c>
      <c r="BI3269" s="2">
        <v>1</v>
      </c>
      <c r="BJ3269" s="2">
        <v>0.2</v>
      </c>
      <c r="BK3269" s="2">
        <v>1</v>
      </c>
      <c r="BL3269" s="2">
        <v>58.28</v>
      </c>
      <c r="BM3269" s="2">
        <v>8.16</v>
      </c>
      <c r="BN3269" s="2">
        <v>66.44</v>
      </c>
      <c r="BO3269" s="2">
        <v>66.44</v>
      </c>
      <c r="BP3269" s="2"/>
      <c r="BQ3269" s="2" t="s">
        <v>108</v>
      </c>
      <c r="BR3269" s="2" t="s">
        <v>84</v>
      </c>
      <c r="BS3269" s="3">
        <v>42976</v>
      </c>
      <c r="BT3269" s="4">
        <v>0.47013888888888888</v>
      </c>
      <c r="BU3269" s="2" t="s">
        <v>3391</v>
      </c>
      <c r="BV3269" s="2" t="s">
        <v>95</v>
      </c>
      <c r="BW3269" s="2"/>
      <c r="BX3269" s="2"/>
      <c r="BY3269" s="2">
        <v>1200</v>
      </c>
      <c r="BZ3269" s="2" t="s">
        <v>27</v>
      </c>
      <c r="CA3269" s="2" t="s">
        <v>640</v>
      </c>
      <c r="CB3269" s="2"/>
      <c r="CC3269" s="2" t="s">
        <v>207</v>
      </c>
      <c r="CD3269" s="2">
        <v>250</v>
      </c>
      <c r="CE3269" s="2" t="s">
        <v>104</v>
      </c>
      <c r="CF3269" s="5">
        <v>42978</v>
      </c>
      <c r="CG3269" s="2"/>
      <c r="CH3269" s="2"/>
      <c r="CI3269" s="2">
        <v>1</v>
      </c>
      <c r="CJ3269" s="2">
        <v>1</v>
      </c>
      <c r="CK3269" s="2">
        <v>24</v>
      </c>
      <c r="CL3269" s="2" t="s">
        <v>86</v>
      </c>
      <c r="CM3269" s="2"/>
    </row>
    <row r="3270" spans="1:91">
      <c r="A3270" s="2" t="s">
        <v>71</v>
      </c>
      <c r="B3270" s="2" t="s">
        <v>72</v>
      </c>
      <c r="C3270" s="2" t="s">
        <v>73</v>
      </c>
      <c r="D3270" s="2"/>
      <c r="E3270" s="2" t="str">
        <f>"FES1162571674"</f>
        <v>FES1162571674</v>
      </c>
      <c r="F3270" s="3">
        <v>42975</v>
      </c>
      <c r="G3270" s="2">
        <v>201802</v>
      </c>
      <c r="H3270" s="2" t="s">
        <v>74</v>
      </c>
      <c r="I3270" s="2" t="s">
        <v>75</v>
      </c>
      <c r="J3270" s="2" t="s">
        <v>76</v>
      </c>
      <c r="K3270" s="2" t="s">
        <v>77</v>
      </c>
      <c r="L3270" s="2" t="s">
        <v>306</v>
      </c>
      <c r="M3270" s="2" t="s">
        <v>307</v>
      </c>
      <c r="N3270" s="2" t="s">
        <v>3392</v>
      </c>
      <c r="O3270" s="2" t="s">
        <v>100</v>
      </c>
      <c r="P3270" s="2" t="str">
        <f>"2170585762                    "</f>
        <v xml:space="preserve">2170585762                    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4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1</v>
      </c>
      <c r="BI3270" s="2">
        <v>1</v>
      </c>
      <c r="BJ3270" s="2">
        <v>0.2</v>
      </c>
      <c r="BK3270" s="2">
        <v>1</v>
      </c>
      <c r="BL3270" s="2">
        <v>41.44</v>
      </c>
      <c r="BM3270" s="2">
        <v>5.8</v>
      </c>
      <c r="BN3270" s="2">
        <v>47.24</v>
      </c>
      <c r="BO3270" s="2">
        <v>47.24</v>
      </c>
      <c r="BP3270" s="2"/>
      <c r="BQ3270" s="2" t="s">
        <v>209</v>
      </c>
      <c r="BR3270" s="2" t="s">
        <v>84</v>
      </c>
      <c r="BS3270" s="3">
        <v>42976</v>
      </c>
      <c r="BT3270" s="4">
        <v>0.52222222222222225</v>
      </c>
      <c r="BU3270" s="2" t="s">
        <v>3393</v>
      </c>
      <c r="BV3270" s="2" t="s">
        <v>95</v>
      </c>
      <c r="BW3270" s="2"/>
      <c r="BX3270" s="2"/>
      <c r="BY3270" s="2">
        <v>1200</v>
      </c>
      <c r="BZ3270" s="2" t="s">
        <v>27</v>
      </c>
      <c r="CA3270" s="2" t="s">
        <v>148</v>
      </c>
      <c r="CB3270" s="2"/>
      <c r="CC3270" s="2" t="s">
        <v>307</v>
      </c>
      <c r="CD3270" s="2">
        <v>1876</v>
      </c>
      <c r="CE3270" s="2" t="s">
        <v>104</v>
      </c>
      <c r="CF3270" s="5">
        <v>42977</v>
      </c>
      <c r="CG3270" s="2"/>
      <c r="CH3270" s="2"/>
      <c r="CI3270" s="2">
        <v>1</v>
      </c>
      <c r="CJ3270" s="2">
        <v>1</v>
      </c>
      <c r="CK3270" s="2">
        <v>21</v>
      </c>
      <c r="CL3270" s="2" t="s">
        <v>86</v>
      </c>
      <c r="CM3270" s="2"/>
    </row>
    <row r="3271" spans="1:91">
      <c r="A3271" s="2" t="s">
        <v>71</v>
      </c>
      <c r="B3271" s="2" t="s">
        <v>72</v>
      </c>
      <c r="C3271" s="2" t="s">
        <v>73</v>
      </c>
      <c r="D3271" s="2"/>
      <c r="E3271" s="2" t="str">
        <f>"FES1162571671"</f>
        <v>FES1162571671</v>
      </c>
      <c r="F3271" s="3">
        <v>42975</v>
      </c>
      <c r="G3271" s="2">
        <v>201802</v>
      </c>
      <c r="H3271" s="2" t="s">
        <v>74</v>
      </c>
      <c r="I3271" s="2" t="s">
        <v>75</v>
      </c>
      <c r="J3271" s="2" t="s">
        <v>76</v>
      </c>
      <c r="K3271" s="2" t="s">
        <v>77</v>
      </c>
      <c r="L3271" s="2" t="s">
        <v>206</v>
      </c>
      <c r="M3271" s="2" t="s">
        <v>207</v>
      </c>
      <c r="N3271" s="2" t="s">
        <v>650</v>
      </c>
      <c r="O3271" s="2" t="s">
        <v>100</v>
      </c>
      <c r="P3271" s="2" t="str">
        <f>"2170585465                    "</f>
        <v xml:space="preserve">2170585465                    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5.63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1</v>
      </c>
      <c r="BI3271" s="2">
        <v>1</v>
      </c>
      <c r="BJ3271" s="2">
        <v>0.2</v>
      </c>
      <c r="BK3271" s="2">
        <v>1</v>
      </c>
      <c r="BL3271" s="2">
        <v>58.28</v>
      </c>
      <c r="BM3271" s="2">
        <v>8.16</v>
      </c>
      <c r="BN3271" s="2">
        <v>66.44</v>
      </c>
      <c r="BO3271" s="2">
        <v>66.44</v>
      </c>
      <c r="BP3271" s="2"/>
      <c r="BQ3271" s="2" t="s">
        <v>108</v>
      </c>
      <c r="BR3271" s="2" t="s">
        <v>84</v>
      </c>
      <c r="BS3271" s="3">
        <v>42976</v>
      </c>
      <c r="BT3271" s="4">
        <v>0.47083333333333338</v>
      </c>
      <c r="BU3271" s="2" t="s">
        <v>3384</v>
      </c>
      <c r="BV3271" s="2" t="s">
        <v>95</v>
      </c>
      <c r="BW3271" s="2"/>
      <c r="BX3271" s="2"/>
      <c r="BY3271" s="2">
        <v>1200</v>
      </c>
      <c r="BZ3271" s="2" t="s">
        <v>27</v>
      </c>
      <c r="CA3271" s="2" t="s">
        <v>640</v>
      </c>
      <c r="CB3271" s="2"/>
      <c r="CC3271" s="2" t="s">
        <v>207</v>
      </c>
      <c r="CD3271" s="2">
        <v>250</v>
      </c>
      <c r="CE3271" s="2" t="s">
        <v>104</v>
      </c>
      <c r="CF3271" s="5">
        <v>42978</v>
      </c>
      <c r="CG3271" s="2"/>
      <c r="CH3271" s="2"/>
      <c r="CI3271" s="2">
        <v>1</v>
      </c>
      <c r="CJ3271" s="2">
        <v>1</v>
      </c>
      <c r="CK3271" s="2">
        <v>24</v>
      </c>
      <c r="CL3271" s="2" t="s">
        <v>86</v>
      </c>
      <c r="CM3271" s="2"/>
    </row>
    <row r="3272" spans="1:91">
      <c r="A3272" s="2" t="s">
        <v>71</v>
      </c>
      <c r="B3272" s="2" t="s">
        <v>72</v>
      </c>
      <c r="C3272" s="2" t="s">
        <v>73</v>
      </c>
      <c r="D3272" s="2"/>
      <c r="E3272" s="2" t="str">
        <f>"FES1162571731"</f>
        <v>FES1162571731</v>
      </c>
      <c r="F3272" s="3">
        <v>42975</v>
      </c>
      <c r="G3272" s="2">
        <v>201802</v>
      </c>
      <c r="H3272" s="2" t="s">
        <v>74</v>
      </c>
      <c r="I3272" s="2" t="s">
        <v>75</v>
      </c>
      <c r="J3272" s="2" t="s">
        <v>76</v>
      </c>
      <c r="K3272" s="2" t="s">
        <v>77</v>
      </c>
      <c r="L3272" s="2" t="s">
        <v>105</v>
      </c>
      <c r="M3272" s="2" t="s">
        <v>106</v>
      </c>
      <c r="N3272" s="2" t="s">
        <v>253</v>
      </c>
      <c r="O3272" s="2" t="s">
        <v>100</v>
      </c>
      <c r="P3272" s="2" t="str">
        <f>"2170587354                    "</f>
        <v xml:space="preserve">2170587354                    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4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1</v>
      </c>
      <c r="BI3272" s="2">
        <v>1</v>
      </c>
      <c r="BJ3272" s="2">
        <v>0.2</v>
      </c>
      <c r="BK3272" s="2">
        <v>1</v>
      </c>
      <c r="BL3272" s="2">
        <v>41.44</v>
      </c>
      <c r="BM3272" s="2">
        <v>5.8</v>
      </c>
      <c r="BN3272" s="2">
        <v>47.24</v>
      </c>
      <c r="BO3272" s="2">
        <v>47.24</v>
      </c>
      <c r="BP3272" s="2"/>
      <c r="BQ3272" s="2" t="s">
        <v>108</v>
      </c>
      <c r="BR3272" s="2" t="s">
        <v>84</v>
      </c>
      <c r="BS3272" s="3">
        <v>42976</v>
      </c>
      <c r="BT3272" s="4">
        <v>0.42499999999999999</v>
      </c>
      <c r="BU3272" s="2" t="s">
        <v>1074</v>
      </c>
      <c r="BV3272" s="2" t="s">
        <v>95</v>
      </c>
      <c r="BW3272" s="2"/>
      <c r="BX3272" s="2"/>
      <c r="BY3272" s="2">
        <v>1200</v>
      </c>
      <c r="BZ3272" s="2" t="s">
        <v>27</v>
      </c>
      <c r="CA3272" s="2" t="s">
        <v>654</v>
      </c>
      <c r="CB3272" s="2"/>
      <c r="CC3272" s="2" t="s">
        <v>106</v>
      </c>
      <c r="CD3272" s="2">
        <v>7490</v>
      </c>
      <c r="CE3272" s="2" t="s">
        <v>104</v>
      </c>
      <c r="CF3272" s="5">
        <v>42977</v>
      </c>
      <c r="CG3272" s="2"/>
      <c r="CH3272" s="2"/>
      <c r="CI3272" s="2">
        <v>1</v>
      </c>
      <c r="CJ3272" s="2">
        <v>1</v>
      </c>
      <c r="CK3272" s="2">
        <v>21</v>
      </c>
      <c r="CL3272" s="2" t="s">
        <v>86</v>
      </c>
      <c r="CM3272" s="2"/>
    </row>
    <row r="3273" spans="1:91">
      <c r="A3273" s="2" t="s">
        <v>71</v>
      </c>
      <c r="B3273" s="2" t="s">
        <v>72</v>
      </c>
      <c r="C3273" s="2" t="s">
        <v>73</v>
      </c>
      <c r="D3273" s="2"/>
      <c r="E3273" s="2" t="str">
        <f>"FES1162571689"</f>
        <v>FES1162571689</v>
      </c>
      <c r="F3273" s="3">
        <v>42975</v>
      </c>
      <c r="G3273" s="2">
        <v>201802</v>
      </c>
      <c r="H3273" s="2" t="s">
        <v>74</v>
      </c>
      <c r="I3273" s="2" t="s">
        <v>75</v>
      </c>
      <c r="J3273" s="2" t="s">
        <v>76</v>
      </c>
      <c r="K3273" s="2" t="s">
        <v>77</v>
      </c>
      <c r="L3273" s="2" t="s">
        <v>97</v>
      </c>
      <c r="M3273" s="2" t="s">
        <v>98</v>
      </c>
      <c r="N3273" s="2" t="s">
        <v>214</v>
      </c>
      <c r="O3273" s="2" t="s">
        <v>100</v>
      </c>
      <c r="P3273" s="2" t="str">
        <f>"2170587283                    "</f>
        <v xml:space="preserve">2170587283                    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4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  <c r="BG3273" s="2">
        <v>0</v>
      </c>
      <c r="BH3273" s="2">
        <v>1</v>
      </c>
      <c r="BI3273" s="2">
        <v>1</v>
      </c>
      <c r="BJ3273" s="2">
        <v>0.2</v>
      </c>
      <c r="BK3273" s="2">
        <v>1</v>
      </c>
      <c r="BL3273" s="2">
        <v>41.44</v>
      </c>
      <c r="BM3273" s="2">
        <v>5.8</v>
      </c>
      <c r="BN3273" s="2">
        <v>47.24</v>
      </c>
      <c r="BO3273" s="2">
        <v>47.24</v>
      </c>
      <c r="BP3273" s="2"/>
      <c r="BQ3273" s="2" t="s">
        <v>108</v>
      </c>
      <c r="BR3273" s="2" t="s">
        <v>84</v>
      </c>
      <c r="BS3273" s="3">
        <v>42976</v>
      </c>
      <c r="BT3273" s="4">
        <v>0.32291666666666669</v>
      </c>
      <c r="BU3273" s="2" t="s">
        <v>215</v>
      </c>
      <c r="BV3273" s="2" t="s">
        <v>95</v>
      </c>
      <c r="BW3273" s="2"/>
      <c r="BX3273" s="2"/>
      <c r="BY3273" s="2">
        <v>1200</v>
      </c>
      <c r="BZ3273" s="2" t="s">
        <v>27</v>
      </c>
      <c r="CA3273" s="2" t="s">
        <v>213</v>
      </c>
      <c r="CB3273" s="2"/>
      <c r="CC3273" s="2" t="s">
        <v>98</v>
      </c>
      <c r="CD3273" s="2">
        <v>6001</v>
      </c>
      <c r="CE3273" s="2" t="s">
        <v>104</v>
      </c>
      <c r="CF3273" s="5">
        <v>42977</v>
      </c>
      <c r="CG3273" s="2"/>
      <c r="CH3273" s="2"/>
      <c r="CI3273" s="2">
        <v>1</v>
      </c>
      <c r="CJ3273" s="2">
        <v>1</v>
      </c>
      <c r="CK3273" s="2">
        <v>21</v>
      </c>
      <c r="CL3273" s="2" t="s">
        <v>86</v>
      </c>
      <c r="CM3273" s="2"/>
    </row>
    <row r="3274" spans="1:91">
      <c r="A3274" s="2" t="s">
        <v>71</v>
      </c>
      <c r="B3274" s="2" t="s">
        <v>72</v>
      </c>
      <c r="C3274" s="2" t="s">
        <v>73</v>
      </c>
      <c r="D3274" s="2"/>
      <c r="E3274" s="2" t="str">
        <f>"FES1162571635"</f>
        <v>FES1162571635</v>
      </c>
      <c r="F3274" s="3">
        <v>42975</v>
      </c>
      <c r="G3274" s="2">
        <v>201802</v>
      </c>
      <c r="H3274" s="2" t="s">
        <v>74</v>
      </c>
      <c r="I3274" s="2" t="s">
        <v>75</v>
      </c>
      <c r="J3274" s="2" t="s">
        <v>76</v>
      </c>
      <c r="K3274" s="2" t="s">
        <v>77</v>
      </c>
      <c r="L3274" s="2" t="s">
        <v>144</v>
      </c>
      <c r="M3274" s="2" t="s">
        <v>145</v>
      </c>
      <c r="N3274" s="2" t="s">
        <v>146</v>
      </c>
      <c r="O3274" s="2" t="s">
        <v>100</v>
      </c>
      <c r="P3274" s="2" t="str">
        <f>"2170584822                    "</f>
        <v xml:space="preserve">2170584822                    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3.13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1</v>
      </c>
      <c r="BI3274" s="2">
        <v>1</v>
      </c>
      <c r="BJ3274" s="2">
        <v>0.2</v>
      </c>
      <c r="BK3274" s="2">
        <v>1</v>
      </c>
      <c r="BL3274" s="2">
        <v>32.380000000000003</v>
      </c>
      <c r="BM3274" s="2">
        <v>4.53</v>
      </c>
      <c r="BN3274" s="2">
        <v>36.909999999999997</v>
      </c>
      <c r="BO3274" s="2">
        <v>36.909999999999997</v>
      </c>
      <c r="BP3274" s="2"/>
      <c r="BQ3274" s="2" t="s">
        <v>83</v>
      </c>
      <c r="BR3274" s="2" t="s">
        <v>84</v>
      </c>
      <c r="BS3274" s="3">
        <v>42976</v>
      </c>
      <c r="BT3274" s="4">
        <v>0.40625</v>
      </c>
      <c r="BU3274" s="2" t="s">
        <v>3353</v>
      </c>
      <c r="BV3274" s="2" t="s">
        <v>95</v>
      </c>
      <c r="BW3274" s="2"/>
      <c r="BX3274" s="2"/>
      <c r="BY3274" s="2">
        <v>1200</v>
      </c>
      <c r="BZ3274" s="2" t="s">
        <v>27</v>
      </c>
      <c r="CA3274" s="2" t="s">
        <v>274</v>
      </c>
      <c r="CB3274" s="2"/>
      <c r="CC3274" s="2" t="s">
        <v>145</v>
      </c>
      <c r="CD3274" s="2">
        <v>2094</v>
      </c>
      <c r="CE3274" s="2" t="s">
        <v>104</v>
      </c>
      <c r="CF3274" s="5">
        <v>42977</v>
      </c>
      <c r="CG3274" s="2"/>
      <c r="CH3274" s="2"/>
      <c r="CI3274" s="2">
        <v>1</v>
      </c>
      <c r="CJ3274" s="2">
        <v>1</v>
      </c>
      <c r="CK3274" s="2">
        <v>22</v>
      </c>
      <c r="CL3274" s="2" t="s">
        <v>86</v>
      </c>
      <c r="CM3274" s="2"/>
    </row>
    <row r="3275" spans="1:91">
      <c r="A3275" s="2" t="s">
        <v>71</v>
      </c>
      <c r="B3275" s="2" t="s">
        <v>72</v>
      </c>
      <c r="C3275" s="2" t="s">
        <v>73</v>
      </c>
      <c r="D3275" s="2"/>
      <c r="E3275" s="2" t="str">
        <f>"FES1162571695"</f>
        <v>FES1162571695</v>
      </c>
      <c r="F3275" s="3">
        <v>42975</v>
      </c>
      <c r="G3275" s="2">
        <v>201802</v>
      </c>
      <c r="H3275" s="2" t="s">
        <v>74</v>
      </c>
      <c r="I3275" s="2" t="s">
        <v>75</v>
      </c>
      <c r="J3275" s="2" t="s">
        <v>76</v>
      </c>
      <c r="K3275" s="2" t="s">
        <v>77</v>
      </c>
      <c r="L3275" s="2" t="s">
        <v>128</v>
      </c>
      <c r="M3275" s="2" t="s">
        <v>129</v>
      </c>
      <c r="N3275" s="2" t="s">
        <v>1152</v>
      </c>
      <c r="O3275" s="2" t="s">
        <v>100</v>
      </c>
      <c r="P3275" s="2" t="str">
        <f>"2170587295                    "</f>
        <v xml:space="preserve">2170587295                    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3.13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1</v>
      </c>
      <c r="BI3275" s="2">
        <v>1</v>
      </c>
      <c r="BJ3275" s="2">
        <v>0.2</v>
      </c>
      <c r="BK3275" s="2">
        <v>1</v>
      </c>
      <c r="BL3275" s="2">
        <v>32.380000000000003</v>
      </c>
      <c r="BM3275" s="2">
        <v>4.53</v>
      </c>
      <c r="BN3275" s="2">
        <v>36.909999999999997</v>
      </c>
      <c r="BO3275" s="2">
        <v>36.909999999999997</v>
      </c>
      <c r="BP3275" s="2"/>
      <c r="BQ3275" s="2" t="s">
        <v>288</v>
      </c>
      <c r="BR3275" s="2" t="s">
        <v>84</v>
      </c>
      <c r="BS3275" s="3">
        <v>42976</v>
      </c>
      <c r="BT3275" s="4">
        <v>0.34375</v>
      </c>
      <c r="BU3275" s="2" t="s">
        <v>3394</v>
      </c>
      <c r="BV3275" s="2" t="s">
        <v>95</v>
      </c>
      <c r="BW3275" s="2"/>
      <c r="BX3275" s="2"/>
      <c r="BY3275" s="2">
        <v>1200</v>
      </c>
      <c r="BZ3275" s="2" t="s">
        <v>27</v>
      </c>
      <c r="CA3275" s="2" t="s">
        <v>923</v>
      </c>
      <c r="CB3275" s="2"/>
      <c r="CC3275" s="2" t="s">
        <v>129</v>
      </c>
      <c r="CD3275" s="2">
        <v>1700</v>
      </c>
      <c r="CE3275" s="2" t="s">
        <v>104</v>
      </c>
      <c r="CF3275" s="5">
        <v>42977</v>
      </c>
      <c r="CG3275" s="2"/>
      <c r="CH3275" s="2"/>
      <c r="CI3275" s="2">
        <v>1</v>
      </c>
      <c r="CJ3275" s="2">
        <v>1</v>
      </c>
      <c r="CK3275" s="2">
        <v>22</v>
      </c>
      <c r="CL3275" s="2" t="s">
        <v>86</v>
      </c>
      <c r="CM3275" s="2"/>
    </row>
    <row r="3276" spans="1:91">
      <c r="A3276" s="2" t="s">
        <v>71</v>
      </c>
      <c r="B3276" s="2" t="s">
        <v>72</v>
      </c>
      <c r="C3276" s="2" t="s">
        <v>73</v>
      </c>
      <c r="D3276" s="2"/>
      <c r="E3276" s="2" t="str">
        <f>"FES1162571661"</f>
        <v>FES1162571661</v>
      </c>
      <c r="F3276" s="3">
        <v>42975</v>
      </c>
      <c r="G3276" s="2">
        <v>201802</v>
      </c>
      <c r="H3276" s="2" t="s">
        <v>74</v>
      </c>
      <c r="I3276" s="2" t="s">
        <v>75</v>
      </c>
      <c r="J3276" s="2" t="s">
        <v>76</v>
      </c>
      <c r="K3276" s="2" t="s">
        <v>77</v>
      </c>
      <c r="L3276" s="2" t="s">
        <v>74</v>
      </c>
      <c r="M3276" s="2" t="s">
        <v>75</v>
      </c>
      <c r="N3276" s="2" t="s">
        <v>467</v>
      </c>
      <c r="O3276" s="2" t="s">
        <v>100</v>
      </c>
      <c r="P3276" s="2" t="str">
        <f>"2170584897                    "</f>
        <v xml:space="preserve">2170584897                    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3.13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1</v>
      </c>
      <c r="BI3276" s="2">
        <v>1</v>
      </c>
      <c r="BJ3276" s="2">
        <v>0.2</v>
      </c>
      <c r="BK3276" s="2">
        <v>1</v>
      </c>
      <c r="BL3276" s="2">
        <v>32.380000000000003</v>
      </c>
      <c r="BM3276" s="2">
        <v>4.53</v>
      </c>
      <c r="BN3276" s="2">
        <v>36.909999999999997</v>
      </c>
      <c r="BO3276" s="2">
        <v>36.909999999999997</v>
      </c>
      <c r="BP3276" s="2"/>
      <c r="BQ3276" s="2" t="s">
        <v>288</v>
      </c>
      <c r="BR3276" s="2" t="s">
        <v>84</v>
      </c>
      <c r="BS3276" s="3">
        <v>42976</v>
      </c>
      <c r="BT3276" s="4">
        <v>0.43611111111111112</v>
      </c>
      <c r="BU3276" s="2" t="s">
        <v>3395</v>
      </c>
      <c r="BV3276" s="2" t="s">
        <v>95</v>
      </c>
      <c r="BW3276" s="2"/>
      <c r="BX3276" s="2"/>
      <c r="BY3276" s="2">
        <v>1200</v>
      </c>
      <c r="BZ3276" s="2" t="s">
        <v>27</v>
      </c>
      <c r="CA3276" s="2" t="s">
        <v>328</v>
      </c>
      <c r="CB3276" s="2"/>
      <c r="CC3276" s="2" t="s">
        <v>75</v>
      </c>
      <c r="CD3276" s="2">
        <v>1601</v>
      </c>
      <c r="CE3276" s="2" t="s">
        <v>104</v>
      </c>
      <c r="CF3276" s="5">
        <v>42977</v>
      </c>
      <c r="CG3276" s="2"/>
      <c r="CH3276" s="2"/>
      <c r="CI3276" s="2">
        <v>1</v>
      </c>
      <c r="CJ3276" s="2">
        <v>1</v>
      </c>
      <c r="CK3276" s="2">
        <v>22</v>
      </c>
      <c r="CL3276" s="2" t="s">
        <v>86</v>
      </c>
      <c r="CM3276" s="2"/>
    </row>
    <row r="3277" spans="1:91">
      <c r="A3277" s="2" t="s">
        <v>71</v>
      </c>
      <c r="B3277" s="2" t="s">
        <v>72</v>
      </c>
      <c r="C3277" s="2" t="s">
        <v>73</v>
      </c>
      <c r="D3277" s="2"/>
      <c r="E3277" s="2" t="str">
        <f>"FES1162571685"</f>
        <v>FES1162571685</v>
      </c>
      <c r="F3277" s="3">
        <v>42975</v>
      </c>
      <c r="G3277" s="2">
        <v>201802</v>
      </c>
      <c r="H3277" s="2" t="s">
        <v>74</v>
      </c>
      <c r="I3277" s="2" t="s">
        <v>75</v>
      </c>
      <c r="J3277" s="2" t="s">
        <v>76</v>
      </c>
      <c r="K3277" s="2" t="s">
        <v>77</v>
      </c>
      <c r="L3277" s="2" t="s">
        <v>170</v>
      </c>
      <c r="M3277" s="2" t="s">
        <v>171</v>
      </c>
      <c r="N3277" s="2" t="s">
        <v>1439</v>
      </c>
      <c r="O3277" s="2" t="s">
        <v>100</v>
      </c>
      <c r="P3277" s="2" t="str">
        <f>"2170587138                    "</f>
        <v xml:space="preserve">2170587138                    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3.13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1</v>
      </c>
      <c r="BI3277" s="2">
        <v>1</v>
      </c>
      <c r="BJ3277" s="2">
        <v>0.2</v>
      </c>
      <c r="BK3277" s="2">
        <v>1</v>
      </c>
      <c r="BL3277" s="2">
        <v>32.380000000000003</v>
      </c>
      <c r="BM3277" s="2">
        <v>4.53</v>
      </c>
      <c r="BN3277" s="2">
        <v>36.909999999999997</v>
      </c>
      <c r="BO3277" s="2">
        <v>36.909999999999997</v>
      </c>
      <c r="BP3277" s="2"/>
      <c r="BQ3277" s="2" t="s">
        <v>83</v>
      </c>
      <c r="BR3277" s="2" t="s">
        <v>84</v>
      </c>
      <c r="BS3277" s="3">
        <v>42976</v>
      </c>
      <c r="BT3277" s="4">
        <v>0.38125000000000003</v>
      </c>
      <c r="BU3277" s="2" t="s">
        <v>3396</v>
      </c>
      <c r="BV3277" s="2" t="s">
        <v>95</v>
      </c>
      <c r="BW3277" s="2"/>
      <c r="BX3277" s="2"/>
      <c r="BY3277" s="2">
        <v>1200</v>
      </c>
      <c r="BZ3277" s="2" t="s">
        <v>27</v>
      </c>
      <c r="CA3277" s="2" t="s">
        <v>1441</v>
      </c>
      <c r="CB3277" s="2"/>
      <c r="CC3277" s="2" t="s">
        <v>171</v>
      </c>
      <c r="CD3277" s="2">
        <v>1406</v>
      </c>
      <c r="CE3277" s="2" t="s">
        <v>104</v>
      </c>
      <c r="CF3277" s="5">
        <v>42977</v>
      </c>
      <c r="CG3277" s="2"/>
      <c r="CH3277" s="2"/>
      <c r="CI3277" s="2">
        <v>1</v>
      </c>
      <c r="CJ3277" s="2">
        <v>1</v>
      </c>
      <c r="CK3277" s="2">
        <v>22</v>
      </c>
      <c r="CL3277" s="2" t="s">
        <v>86</v>
      </c>
      <c r="CM3277" s="2"/>
    </row>
    <row r="3278" spans="1:91">
      <c r="A3278" s="2" t="s">
        <v>71</v>
      </c>
      <c r="B3278" s="2" t="s">
        <v>72</v>
      </c>
      <c r="C3278" s="2" t="s">
        <v>73</v>
      </c>
      <c r="D3278" s="2"/>
      <c r="E3278" s="2" t="str">
        <f>"FES1162571649"</f>
        <v>FES1162571649</v>
      </c>
      <c r="F3278" s="3">
        <v>42975</v>
      </c>
      <c r="G3278" s="2">
        <v>201802</v>
      </c>
      <c r="H3278" s="2" t="s">
        <v>74</v>
      </c>
      <c r="I3278" s="2" t="s">
        <v>75</v>
      </c>
      <c r="J3278" s="2" t="s">
        <v>76</v>
      </c>
      <c r="K3278" s="2" t="s">
        <v>77</v>
      </c>
      <c r="L3278" s="2" t="s">
        <v>244</v>
      </c>
      <c r="M3278" s="2" t="s">
        <v>245</v>
      </c>
      <c r="N3278" s="2" t="s">
        <v>918</v>
      </c>
      <c r="O3278" s="2" t="s">
        <v>100</v>
      </c>
      <c r="P3278" s="2" t="str">
        <f>"2170583520                    "</f>
        <v xml:space="preserve">2170583520                    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3.13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1</v>
      </c>
      <c r="BI3278" s="2">
        <v>1</v>
      </c>
      <c r="BJ3278" s="2">
        <v>0.2</v>
      </c>
      <c r="BK3278" s="2">
        <v>1</v>
      </c>
      <c r="BL3278" s="2">
        <v>32.380000000000003</v>
      </c>
      <c r="BM3278" s="2">
        <v>4.53</v>
      </c>
      <c r="BN3278" s="2">
        <v>36.909999999999997</v>
      </c>
      <c r="BO3278" s="2">
        <v>36.909999999999997</v>
      </c>
      <c r="BP3278" s="2"/>
      <c r="BQ3278" s="2" t="s">
        <v>288</v>
      </c>
      <c r="BR3278" s="2" t="s">
        <v>84</v>
      </c>
      <c r="BS3278" s="3">
        <v>42976</v>
      </c>
      <c r="BT3278" s="4">
        <v>0.36736111111111108</v>
      </c>
      <c r="BU3278" s="2" t="s">
        <v>1360</v>
      </c>
      <c r="BV3278" s="2" t="s">
        <v>95</v>
      </c>
      <c r="BW3278" s="2"/>
      <c r="BX3278" s="2"/>
      <c r="BY3278" s="2">
        <v>1200</v>
      </c>
      <c r="BZ3278" s="2" t="s">
        <v>27</v>
      </c>
      <c r="CA3278" s="2" t="s">
        <v>499</v>
      </c>
      <c r="CB3278" s="2"/>
      <c r="CC3278" s="2" t="s">
        <v>245</v>
      </c>
      <c r="CD3278" s="2">
        <v>1459</v>
      </c>
      <c r="CE3278" s="2" t="s">
        <v>104</v>
      </c>
      <c r="CF3278" s="5">
        <v>42977</v>
      </c>
      <c r="CG3278" s="2"/>
      <c r="CH3278" s="2"/>
      <c r="CI3278" s="2">
        <v>1</v>
      </c>
      <c r="CJ3278" s="2">
        <v>1</v>
      </c>
      <c r="CK3278" s="2">
        <v>22</v>
      </c>
      <c r="CL3278" s="2" t="s">
        <v>86</v>
      </c>
      <c r="CM3278" s="2"/>
    </row>
    <row r="3279" spans="1:91">
      <c r="A3279" s="2" t="s">
        <v>71</v>
      </c>
      <c r="B3279" s="2" t="s">
        <v>72</v>
      </c>
      <c r="C3279" s="2" t="s">
        <v>73</v>
      </c>
      <c r="D3279" s="2"/>
      <c r="E3279" s="2" t="str">
        <f>"FES1162571659"</f>
        <v>FES1162571659</v>
      </c>
      <c r="F3279" s="3">
        <v>42975</v>
      </c>
      <c r="G3279" s="2">
        <v>201802</v>
      </c>
      <c r="H3279" s="2" t="s">
        <v>74</v>
      </c>
      <c r="I3279" s="2" t="s">
        <v>75</v>
      </c>
      <c r="J3279" s="2" t="s">
        <v>76</v>
      </c>
      <c r="K3279" s="2" t="s">
        <v>77</v>
      </c>
      <c r="L3279" s="2" t="s">
        <v>311</v>
      </c>
      <c r="M3279" s="2" t="s">
        <v>312</v>
      </c>
      <c r="N3279" s="2" t="s">
        <v>2450</v>
      </c>
      <c r="O3279" s="2" t="s">
        <v>100</v>
      </c>
      <c r="P3279" s="2" t="str">
        <f>"2170584788                    "</f>
        <v xml:space="preserve">2170584788                    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3.13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1</v>
      </c>
      <c r="BI3279" s="2">
        <v>1</v>
      </c>
      <c r="BJ3279" s="2">
        <v>0.2</v>
      </c>
      <c r="BK3279" s="2">
        <v>1</v>
      </c>
      <c r="BL3279" s="2">
        <v>32.380000000000003</v>
      </c>
      <c r="BM3279" s="2">
        <v>4.53</v>
      </c>
      <c r="BN3279" s="2">
        <v>36.909999999999997</v>
      </c>
      <c r="BO3279" s="2">
        <v>36.909999999999997</v>
      </c>
      <c r="BP3279" s="2"/>
      <c r="BQ3279" s="2" t="s">
        <v>108</v>
      </c>
      <c r="BR3279" s="2" t="s">
        <v>84</v>
      </c>
      <c r="BS3279" s="3">
        <v>42976</v>
      </c>
      <c r="BT3279" s="4">
        <v>0.47083333333333338</v>
      </c>
      <c r="BU3279" s="2" t="s">
        <v>1360</v>
      </c>
      <c r="BV3279" s="2" t="s">
        <v>86</v>
      </c>
      <c r="BW3279" s="2" t="s">
        <v>124</v>
      </c>
      <c r="BX3279" s="2" t="s">
        <v>1024</v>
      </c>
      <c r="BY3279" s="2">
        <v>1200</v>
      </c>
      <c r="BZ3279" s="2" t="s">
        <v>27</v>
      </c>
      <c r="CA3279" s="2" t="s">
        <v>889</v>
      </c>
      <c r="CB3279" s="2"/>
      <c r="CC3279" s="2" t="s">
        <v>312</v>
      </c>
      <c r="CD3279" s="2">
        <v>1559</v>
      </c>
      <c r="CE3279" s="2" t="s">
        <v>104</v>
      </c>
      <c r="CF3279" s="5">
        <v>42977</v>
      </c>
      <c r="CG3279" s="2"/>
      <c r="CH3279" s="2"/>
      <c r="CI3279" s="2">
        <v>1</v>
      </c>
      <c r="CJ3279" s="2">
        <v>1</v>
      </c>
      <c r="CK3279" s="2">
        <v>22</v>
      </c>
      <c r="CL3279" s="2" t="s">
        <v>86</v>
      </c>
      <c r="CM3279" s="2"/>
    </row>
    <row r="3280" spans="1:91">
      <c r="A3280" s="2" t="s">
        <v>71</v>
      </c>
      <c r="B3280" s="2" t="s">
        <v>72</v>
      </c>
      <c r="C3280" s="2" t="s">
        <v>73</v>
      </c>
      <c r="D3280" s="2"/>
      <c r="E3280" s="2" t="str">
        <f>"FES1162571644"</f>
        <v>FES1162571644</v>
      </c>
      <c r="F3280" s="3">
        <v>42975</v>
      </c>
      <c r="G3280" s="2">
        <v>201802</v>
      </c>
      <c r="H3280" s="2" t="s">
        <v>74</v>
      </c>
      <c r="I3280" s="2" t="s">
        <v>75</v>
      </c>
      <c r="J3280" s="2" t="s">
        <v>76</v>
      </c>
      <c r="K3280" s="2" t="s">
        <v>77</v>
      </c>
      <c r="L3280" s="2" t="s">
        <v>144</v>
      </c>
      <c r="M3280" s="2" t="s">
        <v>145</v>
      </c>
      <c r="N3280" s="2" t="s">
        <v>3397</v>
      </c>
      <c r="O3280" s="2" t="s">
        <v>100</v>
      </c>
      <c r="P3280" s="2" t="str">
        <f>"2170579025                    "</f>
        <v xml:space="preserve">2170579025                    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3.13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1</v>
      </c>
      <c r="BI3280" s="2">
        <v>1</v>
      </c>
      <c r="BJ3280" s="2">
        <v>0.2</v>
      </c>
      <c r="BK3280" s="2">
        <v>1</v>
      </c>
      <c r="BL3280" s="2">
        <v>32.380000000000003</v>
      </c>
      <c r="BM3280" s="2">
        <v>4.53</v>
      </c>
      <c r="BN3280" s="2">
        <v>36.909999999999997</v>
      </c>
      <c r="BO3280" s="2">
        <v>36.909999999999997</v>
      </c>
      <c r="BP3280" s="2"/>
      <c r="BQ3280" s="2" t="s">
        <v>288</v>
      </c>
      <c r="BR3280" s="2" t="s">
        <v>84</v>
      </c>
      <c r="BS3280" s="3">
        <v>42976</v>
      </c>
      <c r="BT3280" s="4">
        <v>0.41319444444444442</v>
      </c>
      <c r="BU3280" s="2" t="s">
        <v>3398</v>
      </c>
      <c r="BV3280" s="2" t="s">
        <v>95</v>
      </c>
      <c r="BW3280" s="2"/>
      <c r="BX3280" s="2"/>
      <c r="BY3280" s="2">
        <v>1200</v>
      </c>
      <c r="BZ3280" s="2" t="s">
        <v>27</v>
      </c>
      <c r="CA3280" s="2" t="s">
        <v>1355</v>
      </c>
      <c r="CB3280" s="2"/>
      <c r="CC3280" s="2" t="s">
        <v>145</v>
      </c>
      <c r="CD3280" s="2">
        <v>2001</v>
      </c>
      <c r="CE3280" s="2" t="s">
        <v>104</v>
      </c>
      <c r="CF3280" s="5">
        <v>42977</v>
      </c>
      <c r="CG3280" s="2"/>
      <c r="CH3280" s="2"/>
      <c r="CI3280" s="2">
        <v>1</v>
      </c>
      <c r="CJ3280" s="2">
        <v>1</v>
      </c>
      <c r="CK3280" s="2">
        <v>22</v>
      </c>
      <c r="CL3280" s="2" t="s">
        <v>86</v>
      </c>
      <c r="CM3280" s="2"/>
    </row>
    <row r="3281" spans="1:91">
      <c r="A3281" s="2" t="s">
        <v>71</v>
      </c>
      <c r="B3281" s="2" t="s">
        <v>72</v>
      </c>
      <c r="C3281" s="2" t="s">
        <v>73</v>
      </c>
      <c r="D3281" s="2"/>
      <c r="E3281" s="2" t="str">
        <f>"FES1162571647"</f>
        <v>FES1162571647</v>
      </c>
      <c r="F3281" s="3">
        <v>42975</v>
      </c>
      <c r="G3281" s="2">
        <v>201802</v>
      </c>
      <c r="H3281" s="2" t="s">
        <v>74</v>
      </c>
      <c r="I3281" s="2" t="s">
        <v>75</v>
      </c>
      <c r="J3281" s="2" t="s">
        <v>76</v>
      </c>
      <c r="K3281" s="2" t="s">
        <v>77</v>
      </c>
      <c r="L3281" s="2" t="s">
        <v>244</v>
      </c>
      <c r="M3281" s="2" t="s">
        <v>245</v>
      </c>
      <c r="N3281" s="2" t="s">
        <v>918</v>
      </c>
      <c r="O3281" s="2" t="s">
        <v>100</v>
      </c>
      <c r="P3281" s="2" t="str">
        <f>"2170580893                    "</f>
        <v xml:space="preserve">2170580893                    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3.13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1</v>
      </c>
      <c r="BI3281" s="2">
        <v>1</v>
      </c>
      <c r="BJ3281" s="2">
        <v>0.2</v>
      </c>
      <c r="BK3281" s="2">
        <v>1</v>
      </c>
      <c r="BL3281" s="2">
        <v>32.380000000000003</v>
      </c>
      <c r="BM3281" s="2">
        <v>4.53</v>
      </c>
      <c r="BN3281" s="2">
        <v>36.909999999999997</v>
      </c>
      <c r="BO3281" s="2">
        <v>36.909999999999997</v>
      </c>
      <c r="BP3281" s="2"/>
      <c r="BQ3281" s="2" t="s">
        <v>288</v>
      </c>
      <c r="BR3281" s="2" t="s">
        <v>84</v>
      </c>
      <c r="BS3281" s="3">
        <v>42976</v>
      </c>
      <c r="BT3281" s="4">
        <v>0.36736111111111108</v>
      </c>
      <c r="BU3281" s="2" t="s">
        <v>1360</v>
      </c>
      <c r="BV3281" s="2" t="s">
        <v>95</v>
      </c>
      <c r="BW3281" s="2"/>
      <c r="BX3281" s="2"/>
      <c r="BY3281" s="2">
        <v>1200</v>
      </c>
      <c r="BZ3281" s="2" t="s">
        <v>27</v>
      </c>
      <c r="CA3281" s="2" t="s">
        <v>499</v>
      </c>
      <c r="CB3281" s="2"/>
      <c r="CC3281" s="2" t="s">
        <v>245</v>
      </c>
      <c r="CD3281" s="2">
        <v>1459</v>
      </c>
      <c r="CE3281" s="2" t="s">
        <v>104</v>
      </c>
      <c r="CF3281" s="5">
        <v>42977</v>
      </c>
      <c r="CG3281" s="2"/>
      <c r="CH3281" s="2"/>
      <c r="CI3281" s="2">
        <v>1</v>
      </c>
      <c r="CJ3281" s="2">
        <v>1</v>
      </c>
      <c r="CK3281" s="2">
        <v>22</v>
      </c>
      <c r="CL3281" s="2" t="s">
        <v>86</v>
      </c>
      <c r="CM3281" s="2"/>
    </row>
    <row r="3282" spans="1:91">
      <c r="A3282" s="2" t="s">
        <v>71</v>
      </c>
      <c r="B3282" s="2" t="s">
        <v>72</v>
      </c>
      <c r="C3282" s="2" t="s">
        <v>73</v>
      </c>
      <c r="D3282" s="2"/>
      <c r="E3282" s="2" t="str">
        <f>"FES1162571646"</f>
        <v>FES1162571646</v>
      </c>
      <c r="F3282" s="3">
        <v>42975</v>
      </c>
      <c r="G3282" s="2">
        <v>201802</v>
      </c>
      <c r="H3282" s="2" t="s">
        <v>74</v>
      </c>
      <c r="I3282" s="2" t="s">
        <v>75</v>
      </c>
      <c r="J3282" s="2" t="s">
        <v>76</v>
      </c>
      <c r="K3282" s="2" t="s">
        <v>77</v>
      </c>
      <c r="L3282" s="2" t="s">
        <v>244</v>
      </c>
      <c r="M3282" s="2" t="s">
        <v>245</v>
      </c>
      <c r="N3282" s="2" t="s">
        <v>918</v>
      </c>
      <c r="O3282" s="2" t="s">
        <v>100</v>
      </c>
      <c r="P3282" s="2" t="str">
        <f>"2170580892                    "</f>
        <v xml:space="preserve">2170580892                    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3.13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1</v>
      </c>
      <c r="BI3282" s="2">
        <v>3.5</v>
      </c>
      <c r="BJ3282" s="2">
        <v>1.5</v>
      </c>
      <c r="BK3282" s="2">
        <v>4</v>
      </c>
      <c r="BL3282" s="2">
        <v>32.380000000000003</v>
      </c>
      <c r="BM3282" s="2">
        <v>4.53</v>
      </c>
      <c r="BN3282" s="2">
        <v>36.909999999999997</v>
      </c>
      <c r="BO3282" s="2">
        <v>36.909999999999997</v>
      </c>
      <c r="BP3282" s="2"/>
      <c r="BQ3282" s="2" t="s">
        <v>288</v>
      </c>
      <c r="BR3282" s="2" t="s">
        <v>84</v>
      </c>
      <c r="BS3282" s="3">
        <v>42976</v>
      </c>
      <c r="BT3282" s="4">
        <v>0.36736111111111108</v>
      </c>
      <c r="BU3282" s="2" t="s">
        <v>919</v>
      </c>
      <c r="BV3282" s="2" t="s">
        <v>95</v>
      </c>
      <c r="BW3282" s="2"/>
      <c r="BX3282" s="2"/>
      <c r="BY3282" s="2">
        <v>7731.86</v>
      </c>
      <c r="BZ3282" s="2" t="s">
        <v>27</v>
      </c>
      <c r="CA3282" s="2" t="s">
        <v>499</v>
      </c>
      <c r="CB3282" s="2"/>
      <c r="CC3282" s="2" t="s">
        <v>245</v>
      </c>
      <c r="CD3282" s="2">
        <v>1459</v>
      </c>
      <c r="CE3282" s="2" t="s">
        <v>89</v>
      </c>
      <c r="CF3282" s="5">
        <v>42977</v>
      </c>
      <c r="CG3282" s="2"/>
      <c r="CH3282" s="2"/>
      <c r="CI3282" s="2">
        <v>1</v>
      </c>
      <c r="CJ3282" s="2">
        <v>1</v>
      </c>
      <c r="CK3282" s="2">
        <v>22</v>
      </c>
      <c r="CL3282" s="2" t="s">
        <v>86</v>
      </c>
      <c r="CM3282" s="2"/>
    </row>
    <row r="3283" spans="1:91">
      <c r="A3283" s="2" t="s">
        <v>71</v>
      </c>
      <c r="B3283" s="2" t="s">
        <v>72</v>
      </c>
      <c r="C3283" s="2" t="s">
        <v>73</v>
      </c>
      <c r="D3283" s="2"/>
      <c r="E3283" s="2" t="str">
        <f>"FES1162571673"</f>
        <v>FES1162571673</v>
      </c>
      <c r="F3283" s="3">
        <v>42975</v>
      </c>
      <c r="G3283" s="2">
        <v>201802</v>
      </c>
      <c r="H3283" s="2" t="s">
        <v>74</v>
      </c>
      <c r="I3283" s="2" t="s">
        <v>75</v>
      </c>
      <c r="J3283" s="2" t="s">
        <v>76</v>
      </c>
      <c r="K3283" s="2" t="s">
        <v>77</v>
      </c>
      <c r="L3283" s="2" t="s">
        <v>97</v>
      </c>
      <c r="M3283" s="2" t="s">
        <v>98</v>
      </c>
      <c r="N3283" s="2" t="s">
        <v>608</v>
      </c>
      <c r="O3283" s="2" t="s">
        <v>100</v>
      </c>
      <c r="P3283" s="2" t="str">
        <f>"2170585551                    "</f>
        <v xml:space="preserve">2170585551                    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9.01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1</v>
      </c>
      <c r="BI3283" s="2">
        <v>2.9</v>
      </c>
      <c r="BJ3283" s="2">
        <v>4.3</v>
      </c>
      <c r="BK3283" s="2">
        <v>4.5</v>
      </c>
      <c r="BL3283" s="2">
        <v>93.25</v>
      </c>
      <c r="BM3283" s="2">
        <v>13.06</v>
      </c>
      <c r="BN3283" s="2">
        <v>106.31</v>
      </c>
      <c r="BO3283" s="2">
        <v>106.31</v>
      </c>
      <c r="BP3283" s="2"/>
      <c r="BQ3283" s="2" t="s">
        <v>288</v>
      </c>
      <c r="BR3283" s="2" t="s">
        <v>84</v>
      </c>
      <c r="BS3283" s="3">
        <v>42976</v>
      </c>
      <c r="BT3283" s="4">
        <v>0.33333333333333331</v>
      </c>
      <c r="BU3283" s="2" t="s">
        <v>3399</v>
      </c>
      <c r="BV3283" s="2" t="s">
        <v>95</v>
      </c>
      <c r="BW3283" s="2"/>
      <c r="BX3283" s="2"/>
      <c r="BY3283" s="2">
        <v>21743.57</v>
      </c>
      <c r="BZ3283" s="2" t="s">
        <v>27</v>
      </c>
      <c r="CA3283" s="2" t="s">
        <v>294</v>
      </c>
      <c r="CB3283" s="2"/>
      <c r="CC3283" s="2" t="s">
        <v>98</v>
      </c>
      <c r="CD3283" s="2">
        <v>6001</v>
      </c>
      <c r="CE3283" s="2" t="s">
        <v>89</v>
      </c>
      <c r="CF3283" s="5">
        <v>42976</v>
      </c>
      <c r="CG3283" s="2"/>
      <c r="CH3283" s="2"/>
      <c r="CI3283" s="2">
        <v>1</v>
      </c>
      <c r="CJ3283" s="2">
        <v>1</v>
      </c>
      <c r="CK3283" s="2">
        <v>21</v>
      </c>
      <c r="CL3283" s="2" t="s">
        <v>86</v>
      </c>
      <c r="CM3283" s="2"/>
    </row>
    <row r="3284" spans="1:91">
      <c r="A3284" s="2" t="s">
        <v>71</v>
      </c>
      <c r="B3284" s="2" t="s">
        <v>72</v>
      </c>
      <c r="C3284" s="2" t="s">
        <v>73</v>
      </c>
      <c r="D3284" s="2"/>
      <c r="E3284" s="2" t="str">
        <f>"FES1162571702"</f>
        <v>FES1162571702</v>
      </c>
      <c r="F3284" s="3">
        <v>42975</v>
      </c>
      <c r="G3284" s="2">
        <v>201802</v>
      </c>
      <c r="H3284" s="2" t="s">
        <v>74</v>
      </c>
      <c r="I3284" s="2" t="s">
        <v>75</v>
      </c>
      <c r="J3284" s="2" t="s">
        <v>76</v>
      </c>
      <c r="K3284" s="2" t="s">
        <v>77</v>
      </c>
      <c r="L3284" s="2" t="s">
        <v>174</v>
      </c>
      <c r="M3284" s="2" t="s">
        <v>175</v>
      </c>
      <c r="N3284" s="2" t="s">
        <v>2492</v>
      </c>
      <c r="O3284" s="2" t="s">
        <v>100</v>
      </c>
      <c r="P3284" s="2" t="str">
        <f>"2170587305                    "</f>
        <v xml:space="preserve">2170587305                    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20.010000000000002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1</v>
      </c>
      <c r="BI3284" s="2">
        <v>6.9</v>
      </c>
      <c r="BJ3284" s="2">
        <v>9.9</v>
      </c>
      <c r="BK3284" s="2">
        <v>10</v>
      </c>
      <c r="BL3284" s="2">
        <v>207.21</v>
      </c>
      <c r="BM3284" s="2">
        <v>29.01</v>
      </c>
      <c r="BN3284" s="2">
        <v>236.22</v>
      </c>
      <c r="BO3284" s="2">
        <v>236.22</v>
      </c>
      <c r="BP3284" s="2"/>
      <c r="BQ3284" s="2" t="s">
        <v>209</v>
      </c>
      <c r="BR3284" s="2" t="s">
        <v>84</v>
      </c>
      <c r="BS3284" s="3">
        <v>42976</v>
      </c>
      <c r="BT3284" s="4">
        <v>0.42777777777777781</v>
      </c>
      <c r="BU3284" s="2" t="s">
        <v>2493</v>
      </c>
      <c r="BV3284" s="2" t="s">
        <v>95</v>
      </c>
      <c r="BW3284" s="2"/>
      <c r="BX3284" s="2"/>
      <c r="BY3284" s="2">
        <v>49742</v>
      </c>
      <c r="BZ3284" s="2" t="s">
        <v>27</v>
      </c>
      <c r="CA3284" s="2" t="s">
        <v>1420</v>
      </c>
      <c r="CB3284" s="2"/>
      <c r="CC3284" s="2" t="s">
        <v>175</v>
      </c>
      <c r="CD3284" s="2">
        <v>5201</v>
      </c>
      <c r="CE3284" s="2" t="s">
        <v>89</v>
      </c>
      <c r="CF3284" s="5">
        <v>42976</v>
      </c>
      <c r="CG3284" s="2"/>
      <c r="CH3284" s="2"/>
      <c r="CI3284" s="2">
        <v>1</v>
      </c>
      <c r="CJ3284" s="2">
        <v>1</v>
      </c>
      <c r="CK3284" s="2">
        <v>21</v>
      </c>
      <c r="CL3284" s="2" t="s">
        <v>86</v>
      </c>
      <c r="CM3284" s="2"/>
    </row>
    <row r="3285" spans="1:91">
      <c r="A3285" s="2" t="s">
        <v>71</v>
      </c>
      <c r="B3285" s="2" t="s">
        <v>72</v>
      </c>
      <c r="C3285" s="2" t="s">
        <v>73</v>
      </c>
      <c r="D3285" s="2"/>
      <c r="E3285" s="2" t="str">
        <f>"FES1162571821"</f>
        <v>FES1162571821</v>
      </c>
      <c r="F3285" s="3">
        <v>42975</v>
      </c>
      <c r="G3285" s="2">
        <v>201802</v>
      </c>
      <c r="H3285" s="2" t="s">
        <v>74</v>
      </c>
      <c r="I3285" s="2" t="s">
        <v>75</v>
      </c>
      <c r="J3285" s="2" t="s">
        <v>76</v>
      </c>
      <c r="K3285" s="2" t="s">
        <v>77</v>
      </c>
      <c r="L3285" s="2" t="s">
        <v>170</v>
      </c>
      <c r="M3285" s="2" t="s">
        <v>171</v>
      </c>
      <c r="N3285" s="2" t="s">
        <v>1580</v>
      </c>
      <c r="O3285" s="2" t="s">
        <v>100</v>
      </c>
      <c r="P3285" s="2" t="str">
        <f>"2170587448                    "</f>
        <v xml:space="preserve">2170587448                    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3.13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1</v>
      </c>
      <c r="BI3285" s="2">
        <v>1</v>
      </c>
      <c r="BJ3285" s="2">
        <v>0.2</v>
      </c>
      <c r="BK3285" s="2">
        <v>1</v>
      </c>
      <c r="BL3285" s="2">
        <v>32.380000000000003</v>
      </c>
      <c r="BM3285" s="2">
        <v>4.53</v>
      </c>
      <c r="BN3285" s="2">
        <v>36.909999999999997</v>
      </c>
      <c r="BO3285" s="2">
        <v>36.909999999999997</v>
      </c>
      <c r="BP3285" s="2"/>
      <c r="BQ3285" s="2" t="s">
        <v>288</v>
      </c>
      <c r="BR3285" s="2" t="s">
        <v>84</v>
      </c>
      <c r="BS3285" s="3">
        <v>42976</v>
      </c>
      <c r="BT3285" s="4">
        <v>0.4375</v>
      </c>
      <c r="BU3285" s="2" t="s">
        <v>3400</v>
      </c>
      <c r="BV3285" s="2" t="s">
        <v>95</v>
      </c>
      <c r="BW3285" s="2"/>
      <c r="BX3285" s="2"/>
      <c r="BY3285" s="2">
        <v>1200</v>
      </c>
      <c r="BZ3285" s="2" t="s">
        <v>27</v>
      </c>
      <c r="CA3285" s="2" t="s">
        <v>492</v>
      </c>
      <c r="CB3285" s="2"/>
      <c r="CC3285" s="2" t="s">
        <v>171</v>
      </c>
      <c r="CD3285" s="2">
        <v>1428</v>
      </c>
      <c r="CE3285" s="2" t="s">
        <v>104</v>
      </c>
      <c r="CF3285" s="5">
        <v>42977</v>
      </c>
      <c r="CG3285" s="2"/>
      <c r="CH3285" s="2"/>
      <c r="CI3285" s="2">
        <v>1</v>
      </c>
      <c r="CJ3285" s="2">
        <v>1</v>
      </c>
      <c r="CK3285" s="2">
        <v>22</v>
      </c>
      <c r="CL3285" s="2" t="s">
        <v>86</v>
      </c>
      <c r="CM3285" s="2"/>
    </row>
    <row r="3286" spans="1:91">
      <c r="A3286" s="2" t="s">
        <v>71</v>
      </c>
      <c r="B3286" s="2" t="s">
        <v>72</v>
      </c>
      <c r="C3286" s="2" t="s">
        <v>73</v>
      </c>
      <c r="D3286" s="2"/>
      <c r="E3286" s="2" t="str">
        <f>"FES1162571677"</f>
        <v>FES1162571677</v>
      </c>
      <c r="F3286" s="3">
        <v>42975</v>
      </c>
      <c r="G3286" s="2">
        <v>201802</v>
      </c>
      <c r="H3286" s="2" t="s">
        <v>74</v>
      </c>
      <c r="I3286" s="2" t="s">
        <v>75</v>
      </c>
      <c r="J3286" s="2" t="s">
        <v>76</v>
      </c>
      <c r="K3286" s="2" t="s">
        <v>77</v>
      </c>
      <c r="L3286" s="2" t="s">
        <v>128</v>
      </c>
      <c r="M3286" s="2" t="s">
        <v>129</v>
      </c>
      <c r="N3286" s="2" t="s">
        <v>3401</v>
      </c>
      <c r="O3286" s="2" t="s">
        <v>100</v>
      </c>
      <c r="P3286" s="2" t="str">
        <f>"2170586383                    "</f>
        <v xml:space="preserve">2170586383                    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3.13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1</v>
      </c>
      <c r="BI3286" s="2">
        <v>4.5999999999999996</v>
      </c>
      <c r="BJ3286" s="2">
        <v>1.6</v>
      </c>
      <c r="BK3286" s="2">
        <v>5</v>
      </c>
      <c r="BL3286" s="2">
        <v>32.380000000000003</v>
      </c>
      <c r="BM3286" s="2">
        <v>4.53</v>
      </c>
      <c r="BN3286" s="2">
        <v>36.909999999999997</v>
      </c>
      <c r="BO3286" s="2">
        <v>36.909999999999997</v>
      </c>
      <c r="BP3286" s="2"/>
      <c r="BQ3286" s="2" t="s">
        <v>288</v>
      </c>
      <c r="BR3286" s="2" t="s">
        <v>84</v>
      </c>
      <c r="BS3286" s="3">
        <v>42976</v>
      </c>
      <c r="BT3286" s="4">
        <v>0.38263888888888892</v>
      </c>
      <c r="BU3286" s="2" t="s">
        <v>3402</v>
      </c>
      <c r="BV3286" s="2" t="s">
        <v>95</v>
      </c>
      <c r="BW3286" s="2"/>
      <c r="BX3286" s="2"/>
      <c r="BY3286" s="2">
        <v>8020.19</v>
      </c>
      <c r="BZ3286" s="2" t="s">
        <v>27</v>
      </c>
      <c r="CA3286" s="2" t="s">
        <v>923</v>
      </c>
      <c r="CB3286" s="2"/>
      <c r="CC3286" s="2" t="s">
        <v>129</v>
      </c>
      <c r="CD3286" s="2">
        <v>1709</v>
      </c>
      <c r="CE3286" s="2" t="s">
        <v>89</v>
      </c>
      <c r="CF3286" s="5">
        <v>42977</v>
      </c>
      <c r="CG3286" s="2"/>
      <c r="CH3286" s="2"/>
      <c r="CI3286" s="2">
        <v>1</v>
      </c>
      <c r="CJ3286" s="2">
        <v>1</v>
      </c>
      <c r="CK3286" s="2">
        <v>22</v>
      </c>
      <c r="CL3286" s="2" t="s">
        <v>86</v>
      </c>
      <c r="CM3286" s="2"/>
    </row>
    <row r="3287" spans="1:91">
      <c r="A3287" s="2" t="s">
        <v>71</v>
      </c>
      <c r="B3287" s="2" t="s">
        <v>72</v>
      </c>
      <c r="C3287" s="2" t="s">
        <v>73</v>
      </c>
      <c r="D3287" s="2"/>
      <c r="E3287" s="2" t="str">
        <f>"FES1162571704"</f>
        <v>FES1162571704</v>
      </c>
      <c r="F3287" s="3">
        <v>42975</v>
      </c>
      <c r="G3287" s="2">
        <v>201802</v>
      </c>
      <c r="H3287" s="2" t="s">
        <v>74</v>
      </c>
      <c r="I3287" s="2" t="s">
        <v>75</v>
      </c>
      <c r="J3287" s="2" t="s">
        <v>76</v>
      </c>
      <c r="K3287" s="2" t="s">
        <v>77</v>
      </c>
      <c r="L3287" s="2" t="s">
        <v>741</v>
      </c>
      <c r="M3287" s="2" t="s">
        <v>742</v>
      </c>
      <c r="N3287" s="2" t="s">
        <v>743</v>
      </c>
      <c r="O3287" s="2" t="s">
        <v>100</v>
      </c>
      <c r="P3287" s="2" t="str">
        <f>"2170587308                    "</f>
        <v xml:space="preserve">2170587308                    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109.31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1</v>
      </c>
      <c r="BI3287" s="2">
        <v>15.6</v>
      </c>
      <c r="BJ3287" s="2">
        <v>30.8</v>
      </c>
      <c r="BK3287" s="2">
        <v>31</v>
      </c>
      <c r="BL3287" s="2">
        <v>1131.8900000000001</v>
      </c>
      <c r="BM3287" s="2">
        <v>158.46</v>
      </c>
      <c r="BN3287" s="2">
        <v>1290.3499999999999</v>
      </c>
      <c r="BO3287" s="2">
        <v>1290.3499999999999</v>
      </c>
      <c r="BP3287" s="2"/>
      <c r="BQ3287" s="2" t="s">
        <v>288</v>
      </c>
      <c r="BR3287" s="2" t="s">
        <v>84</v>
      </c>
      <c r="BS3287" s="3">
        <v>42976</v>
      </c>
      <c r="BT3287" s="4">
        <v>0.40277777777777773</v>
      </c>
      <c r="BU3287" s="2" t="s">
        <v>1343</v>
      </c>
      <c r="BV3287" s="2" t="s">
        <v>95</v>
      </c>
      <c r="BW3287" s="2"/>
      <c r="BX3287" s="2"/>
      <c r="BY3287" s="2">
        <v>153926.20000000001</v>
      </c>
      <c r="BZ3287" s="2" t="s">
        <v>27</v>
      </c>
      <c r="CA3287" s="2" t="s">
        <v>2088</v>
      </c>
      <c r="CB3287" s="2"/>
      <c r="CC3287" s="2" t="s">
        <v>742</v>
      </c>
      <c r="CD3287" s="2">
        <v>6300</v>
      </c>
      <c r="CE3287" s="2" t="s">
        <v>89</v>
      </c>
      <c r="CF3287" s="5">
        <v>42977</v>
      </c>
      <c r="CG3287" s="2"/>
      <c r="CH3287" s="2"/>
      <c r="CI3287" s="2">
        <v>3</v>
      </c>
      <c r="CJ3287" s="2">
        <v>1</v>
      </c>
      <c r="CK3287" s="2">
        <v>23</v>
      </c>
      <c r="CL3287" s="2" t="s">
        <v>86</v>
      </c>
      <c r="CM3287" s="2"/>
    </row>
    <row r="3288" spans="1:91">
      <c r="A3288" s="2" t="s">
        <v>71</v>
      </c>
      <c r="B3288" s="2" t="s">
        <v>72</v>
      </c>
      <c r="C3288" s="2" t="s">
        <v>73</v>
      </c>
      <c r="D3288" s="2"/>
      <c r="E3288" s="2" t="str">
        <f>"FES1162571708"</f>
        <v>FES1162571708</v>
      </c>
      <c r="F3288" s="3">
        <v>42975</v>
      </c>
      <c r="G3288" s="2">
        <v>201802</v>
      </c>
      <c r="H3288" s="2" t="s">
        <v>74</v>
      </c>
      <c r="I3288" s="2" t="s">
        <v>75</v>
      </c>
      <c r="J3288" s="2" t="s">
        <v>76</v>
      </c>
      <c r="K3288" s="2" t="s">
        <v>77</v>
      </c>
      <c r="L3288" s="2" t="s">
        <v>144</v>
      </c>
      <c r="M3288" s="2" t="s">
        <v>145</v>
      </c>
      <c r="N3288" s="2" t="s">
        <v>146</v>
      </c>
      <c r="O3288" s="2" t="s">
        <v>100</v>
      </c>
      <c r="P3288" s="2" t="str">
        <f>"2170587313                    "</f>
        <v xml:space="preserve">2170587313                    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3.5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1</v>
      </c>
      <c r="BI3288" s="2">
        <v>7.1</v>
      </c>
      <c r="BJ3288" s="2">
        <v>8.6</v>
      </c>
      <c r="BK3288" s="2">
        <v>9</v>
      </c>
      <c r="BL3288" s="2">
        <v>36.26</v>
      </c>
      <c r="BM3288" s="2">
        <v>5.08</v>
      </c>
      <c r="BN3288" s="2">
        <v>41.34</v>
      </c>
      <c r="BO3288" s="2">
        <v>41.34</v>
      </c>
      <c r="BP3288" s="2"/>
      <c r="BQ3288" s="2" t="s">
        <v>83</v>
      </c>
      <c r="BR3288" s="2" t="s">
        <v>84</v>
      </c>
      <c r="BS3288" s="3">
        <v>42976</v>
      </c>
      <c r="BT3288" s="4">
        <v>0.40625</v>
      </c>
      <c r="BU3288" s="2" t="s">
        <v>3353</v>
      </c>
      <c r="BV3288" s="2" t="s">
        <v>95</v>
      </c>
      <c r="BW3288" s="2"/>
      <c r="BX3288" s="2"/>
      <c r="BY3288" s="2">
        <v>42822.68</v>
      </c>
      <c r="BZ3288" s="2" t="s">
        <v>27</v>
      </c>
      <c r="CA3288" s="2" t="s">
        <v>274</v>
      </c>
      <c r="CB3288" s="2"/>
      <c r="CC3288" s="2" t="s">
        <v>145</v>
      </c>
      <c r="CD3288" s="2">
        <v>2094</v>
      </c>
      <c r="CE3288" s="2" t="s">
        <v>89</v>
      </c>
      <c r="CF3288" s="5">
        <v>42977</v>
      </c>
      <c r="CG3288" s="2"/>
      <c r="CH3288" s="2"/>
      <c r="CI3288" s="2">
        <v>1</v>
      </c>
      <c r="CJ3288" s="2">
        <v>1</v>
      </c>
      <c r="CK3288" s="2">
        <v>22</v>
      </c>
      <c r="CL3288" s="2" t="s">
        <v>86</v>
      </c>
      <c r="CM3288" s="2"/>
    </row>
    <row r="3289" spans="1:91">
      <c r="A3289" s="2" t="s">
        <v>71</v>
      </c>
      <c r="B3289" s="2" t="s">
        <v>72</v>
      </c>
      <c r="C3289" s="2" t="s">
        <v>73</v>
      </c>
      <c r="D3289" s="2"/>
      <c r="E3289" s="2" t="str">
        <f>"FES1162571690"</f>
        <v>FES1162571690</v>
      </c>
      <c r="F3289" s="3">
        <v>42975</v>
      </c>
      <c r="G3289" s="2">
        <v>201802</v>
      </c>
      <c r="H3289" s="2" t="s">
        <v>74</v>
      </c>
      <c r="I3289" s="2" t="s">
        <v>75</v>
      </c>
      <c r="J3289" s="2" t="s">
        <v>76</v>
      </c>
      <c r="K3289" s="2" t="s">
        <v>77</v>
      </c>
      <c r="L3289" s="2" t="s">
        <v>216</v>
      </c>
      <c r="M3289" s="2" t="s">
        <v>217</v>
      </c>
      <c r="N3289" s="2" t="s">
        <v>351</v>
      </c>
      <c r="O3289" s="2" t="s">
        <v>100</v>
      </c>
      <c r="P3289" s="2" t="str">
        <f>"2170587284                    "</f>
        <v xml:space="preserve">2170587284                    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3.13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1</v>
      </c>
      <c r="BJ3289" s="2">
        <v>0.2</v>
      </c>
      <c r="BK3289" s="2">
        <v>1</v>
      </c>
      <c r="BL3289" s="2">
        <v>32.380000000000003</v>
      </c>
      <c r="BM3289" s="2">
        <v>4.53</v>
      </c>
      <c r="BN3289" s="2">
        <v>36.909999999999997</v>
      </c>
      <c r="BO3289" s="2">
        <v>36.909999999999997</v>
      </c>
      <c r="BP3289" s="2"/>
      <c r="BQ3289" s="2" t="s">
        <v>288</v>
      </c>
      <c r="BR3289" s="2" t="s">
        <v>84</v>
      </c>
      <c r="BS3289" s="3">
        <v>42976</v>
      </c>
      <c r="BT3289" s="4">
        <v>0.40972222222222227</v>
      </c>
      <c r="BU3289" s="2" t="s">
        <v>3371</v>
      </c>
      <c r="BV3289" s="2" t="s">
        <v>95</v>
      </c>
      <c r="BW3289" s="2"/>
      <c r="BX3289" s="2"/>
      <c r="BY3289" s="2">
        <v>1200</v>
      </c>
      <c r="BZ3289" s="2" t="s">
        <v>27</v>
      </c>
      <c r="CA3289" s="2" t="s">
        <v>220</v>
      </c>
      <c r="CB3289" s="2"/>
      <c r="CC3289" s="2" t="s">
        <v>217</v>
      </c>
      <c r="CD3289" s="2">
        <v>1451</v>
      </c>
      <c r="CE3289" s="2" t="s">
        <v>104</v>
      </c>
      <c r="CF3289" s="5">
        <v>42977</v>
      </c>
      <c r="CG3289" s="2"/>
      <c r="CH3289" s="2"/>
      <c r="CI3289" s="2">
        <v>1</v>
      </c>
      <c r="CJ3289" s="2">
        <v>1</v>
      </c>
      <c r="CK3289" s="2">
        <v>22</v>
      </c>
      <c r="CL3289" s="2" t="s">
        <v>86</v>
      </c>
      <c r="CM3289" s="2"/>
    </row>
    <row r="3290" spans="1:91">
      <c r="A3290" s="2" t="s">
        <v>71</v>
      </c>
      <c r="B3290" s="2" t="s">
        <v>72</v>
      </c>
      <c r="C3290" s="2" t="s">
        <v>73</v>
      </c>
      <c r="D3290" s="2"/>
      <c r="E3290" s="2" t="str">
        <f>"FES1162571682"</f>
        <v>FES1162571682</v>
      </c>
      <c r="F3290" s="3">
        <v>42975</v>
      </c>
      <c r="G3290" s="2">
        <v>201802</v>
      </c>
      <c r="H3290" s="2" t="s">
        <v>74</v>
      </c>
      <c r="I3290" s="2" t="s">
        <v>75</v>
      </c>
      <c r="J3290" s="2" t="s">
        <v>76</v>
      </c>
      <c r="K3290" s="2" t="s">
        <v>77</v>
      </c>
      <c r="L3290" s="2" t="s">
        <v>216</v>
      </c>
      <c r="M3290" s="2" t="s">
        <v>217</v>
      </c>
      <c r="N3290" s="2" t="s">
        <v>1111</v>
      </c>
      <c r="O3290" s="2" t="s">
        <v>100</v>
      </c>
      <c r="P3290" s="2" t="str">
        <f>"2170586810                    "</f>
        <v xml:space="preserve">2170586810                    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3.13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1</v>
      </c>
      <c r="BI3290" s="2">
        <v>1</v>
      </c>
      <c r="BJ3290" s="2">
        <v>0.2</v>
      </c>
      <c r="BK3290" s="2">
        <v>1</v>
      </c>
      <c r="BL3290" s="2">
        <v>32.380000000000003</v>
      </c>
      <c r="BM3290" s="2">
        <v>4.53</v>
      </c>
      <c r="BN3290" s="2">
        <v>36.909999999999997</v>
      </c>
      <c r="BO3290" s="2">
        <v>36.909999999999997</v>
      </c>
      <c r="BP3290" s="2"/>
      <c r="BQ3290" s="2" t="s">
        <v>288</v>
      </c>
      <c r="BR3290" s="2" t="s">
        <v>84</v>
      </c>
      <c r="BS3290" s="3">
        <v>42978</v>
      </c>
      <c r="BT3290" s="4">
        <v>0.41666666666666669</v>
      </c>
      <c r="BU3290" s="2" t="s">
        <v>3403</v>
      </c>
      <c r="BV3290" s="2" t="s">
        <v>86</v>
      </c>
      <c r="BW3290" s="2" t="s">
        <v>124</v>
      </c>
      <c r="BX3290" s="2" t="s">
        <v>1008</v>
      </c>
      <c r="BY3290" s="2">
        <v>1200</v>
      </c>
      <c r="BZ3290" s="2" t="s">
        <v>27</v>
      </c>
      <c r="CA3290" s="2"/>
      <c r="CB3290" s="2"/>
      <c r="CC3290" s="2" t="s">
        <v>217</v>
      </c>
      <c r="CD3290" s="2">
        <v>1541</v>
      </c>
      <c r="CE3290" s="2" t="s">
        <v>104</v>
      </c>
      <c r="CF3290" s="5">
        <v>42978</v>
      </c>
      <c r="CG3290" s="2"/>
      <c r="CH3290" s="2"/>
      <c r="CI3290" s="2">
        <v>1</v>
      </c>
      <c r="CJ3290" s="2">
        <v>3</v>
      </c>
      <c r="CK3290" s="2">
        <v>22</v>
      </c>
      <c r="CL3290" s="2" t="s">
        <v>86</v>
      </c>
      <c r="CM3290" s="2"/>
    </row>
    <row r="3291" spans="1:91">
      <c r="A3291" s="2" t="s">
        <v>71</v>
      </c>
      <c r="B3291" s="2" t="s">
        <v>72</v>
      </c>
      <c r="C3291" s="2" t="s">
        <v>73</v>
      </c>
      <c r="D3291" s="2"/>
      <c r="E3291" s="2" t="str">
        <f>"FES1162571698"</f>
        <v>FES1162571698</v>
      </c>
      <c r="F3291" s="3">
        <v>42975</v>
      </c>
      <c r="G3291" s="2">
        <v>201802</v>
      </c>
      <c r="H3291" s="2" t="s">
        <v>74</v>
      </c>
      <c r="I3291" s="2" t="s">
        <v>75</v>
      </c>
      <c r="J3291" s="2" t="s">
        <v>76</v>
      </c>
      <c r="K3291" s="2" t="s">
        <v>77</v>
      </c>
      <c r="L3291" s="2" t="s">
        <v>216</v>
      </c>
      <c r="M3291" s="2" t="s">
        <v>217</v>
      </c>
      <c r="N3291" s="2" t="s">
        <v>351</v>
      </c>
      <c r="O3291" s="2" t="s">
        <v>100</v>
      </c>
      <c r="P3291" s="2" t="str">
        <f>"2170587300                    "</f>
        <v xml:space="preserve">2170587300                    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3.13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1</v>
      </c>
      <c r="BI3291" s="2">
        <v>1</v>
      </c>
      <c r="BJ3291" s="2">
        <v>0.2</v>
      </c>
      <c r="BK3291" s="2">
        <v>1</v>
      </c>
      <c r="BL3291" s="2">
        <v>32.380000000000003</v>
      </c>
      <c r="BM3291" s="2">
        <v>4.53</v>
      </c>
      <c r="BN3291" s="2">
        <v>36.909999999999997</v>
      </c>
      <c r="BO3291" s="2">
        <v>36.909999999999997</v>
      </c>
      <c r="BP3291" s="2"/>
      <c r="BQ3291" s="2" t="s">
        <v>288</v>
      </c>
      <c r="BR3291" s="2" t="s">
        <v>84</v>
      </c>
      <c r="BS3291" s="3">
        <v>42976</v>
      </c>
      <c r="BT3291" s="4">
        <v>0.40972222222222227</v>
      </c>
      <c r="BU3291" s="2" t="s">
        <v>3371</v>
      </c>
      <c r="BV3291" s="2" t="s">
        <v>95</v>
      </c>
      <c r="BW3291" s="2"/>
      <c r="BX3291" s="2"/>
      <c r="BY3291" s="2">
        <v>1200</v>
      </c>
      <c r="BZ3291" s="2" t="s">
        <v>27</v>
      </c>
      <c r="CA3291" s="2" t="s">
        <v>220</v>
      </c>
      <c r="CB3291" s="2"/>
      <c r="CC3291" s="2" t="s">
        <v>217</v>
      </c>
      <c r="CD3291" s="2">
        <v>1451</v>
      </c>
      <c r="CE3291" s="2" t="s">
        <v>104</v>
      </c>
      <c r="CF3291" s="5">
        <v>42977</v>
      </c>
      <c r="CG3291" s="2"/>
      <c r="CH3291" s="2"/>
      <c r="CI3291" s="2">
        <v>1</v>
      </c>
      <c r="CJ3291" s="2">
        <v>1</v>
      </c>
      <c r="CK3291" s="2">
        <v>22</v>
      </c>
      <c r="CL3291" s="2" t="s">
        <v>86</v>
      </c>
      <c r="CM3291" s="2"/>
    </row>
    <row r="3292" spans="1:91">
      <c r="A3292" s="2" t="s">
        <v>71</v>
      </c>
      <c r="B3292" s="2" t="s">
        <v>72</v>
      </c>
      <c r="C3292" s="2" t="s">
        <v>73</v>
      </c>
      <c r="D3292" s="2"/>
      <c r="E3292" s="2" t="str">
        <f>"FES1162571811"</f>
        <v>FES1162571811</v>
      </c>
      <c r="F3292" s="3">
        <v>42975</v>
      </c>
      <c r="G3292" s="2">
        <v>201802</v>
      </c>
      <c r="H3292" s="2" t="s">
        <v>74</v>
      </c>
      <c r="I3292" s="2" t="s">
        <v>75</v>
      </c>
      <c r="J3292" s="2" t="s">
        <v>76</v>
      </c>
      <c r="K3292" s="2" t="s">
        <v>77</v>
      </c>
      <c r="L3292" s="2" t="s">
        <v>321</v>
      </c>
      <c r="M3292" s="2" t="s">
        <v>322</v>
      </c>
      <c r="N3292" s="2" t="s">
        <v>323</v>
      </c>
      <c r="O3292" s="2" t="s">
        <v>100</v>
      </c>
      <c r="P3292" s="2" t="str">
        <f>"2170586647                    "</f>
        <v xml:space="preserve">2170586647                    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4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1</v>
      </c>
      <c r="BI3292" s="2">
        <v>2</v>
      </c>
      <c r="BJ3292" s="2">
        <v>0.2</v>
      </c>
      <c r="BK3292" s="2">
        <v>2</v>
      </c>
      <c r="BL3292" s="2">
        <v>41.44</v>
      </c>
      <c r="BM3292" s="2">
        <v>5.8</v>
      </c>
      <c r="BN3292" s="2">
        <v>47.24</v>
      </c>
      <c r="BO3292" s="2">
        <v>47.24</v>
      </c>
      <c r="BP3292" s="2"/>
      <c r="BQ3292" s="2" t="s">
        <v>83</v>
      </c>
      <c r="BR3292" s="2" t="s">
        <v>84</v>
      </c>
      <c r="BS3292" s="3">
        <v>42976</v>
      </c>
      <c r="BT3292" s="4">
        <v>0.39444444444444443</v>
      </c>
      <c r="BU3292" s="2" t="s">
        <v>324</v>
      </c>
      <c r="BV3292" s="2" t="s">
        <v>95</v>
      </c>
      <c r="BW3292" s="2"/>
      <c r="BX3292" s="2"/>
      <c r="BY3292" s="2">
        <v>1200</v>
      </c>
      <c r="BZ3292" s="2" t="s">
        <v>27</v>
      </c>
      <c r="CA3292" s="2" t="s">
        <v>103</v>
      </c>
      <c r="CB3292" s="2"/>
      <c r="CC3292" s="2" t="s">
        <v>322</v>
      </c>
      <c r="CD3292" s="2">
        <v>6220</v>
      </c>
      <c r="CE3292" s="2" t="s">
        <v>104</v>
      </c>
      <c r="CF3292" s="5">
        <v>42977</v>
      </c>
      <c r="CG3292" s="2"/>
      <c r="CH3292" s="2"/>
      <c r="CI3292" s="2">
        <v>1</v>
      </c>
      <c r="CJ3292" s="2">
        <v>1</v>
      </c>
      <c r="CK3292" s="2">
        <v>21</v>
      </c>
      <c r="CL3292" s="2" t="s">
        <v>86</v>
      </c>
      <c r="CM3292" s="2"/>
    </row>
    <row r="3293" spans="1:91">
      <c r="A3293" s="2" t="s">
        <v>71</v>
      </c>
      <c r="B3293" s="2" t="s">
        <v>72</v>
      </c>
      <c r="C3293" s="2" t="s">
        <v>73</v>
      </c>
      <c r="D3293" s="2"/>
      <c r="E3293" s="2" t="str">
        <f>"FES1162571707"</f>
        <v>FES1162571707</v>
      </c>
      <c r="F3293" s="3">
        <v>42975</v>
      </c>
      <c r="G3293" s="2">
        <v>201802</v>
      </c>
      <c r="H3293" s="2" t="s">
        <v>74</v>
      </c>
      <c r="I3293" s="2" t="s">
        <v>75</v>
      </c>
      <c r="J3293" s="2" t="s">
        <v>76</v>
      </c>
      <c r="K3293" s="2" t="s">
        <v>77</v>
      </c>
      <c r="L3293" s="2" t="s">
        <v>144</v>
      </c>
      <c r="M3293" s="2" t="s">
        <v>145</v>
      </c>
      <c r="N3293" s="2" t="s">
        <v>146</v>
      </c>
      <c r="O3293" s="2" t="s">
        <v>100</v>
      </c>
      <c r="P3293" s="2" t="str">
        <f>"2170587312                    "</f>
        <v xml:space="preserve">2170587312                    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3.13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  <c r="BG3293" s="2">
        <v>0</v>
      </c>
      <c r="BH3293" s="2">
        <v>1</v>
      </c>
      <c r="BI3293" s="2">
        <v>1</v>
      </c>
      <c r="BJ3293" s="2">
        <v>0.2</v>
      </c>
      <c r="BK3293" s="2">
        <v>1</v>
      </c>
      <c r="BL3293" s="2">
        <v>32.380000000000003</v>
      </c>
      <c r="BM3293" s="2">
        <v>4.53</v>
      </c>
      <c r="BN3293" s="2">
        <v>36.909999999999997</v>
      </c>
      <c r="BO3293" s="2">
        <v>36.909999999999997</v>
      </c>
      <c r="BP3293" s="2"/>
      <c r="BQ3293" s="2" t="s">
        <v>83</v>
      </c>
      <c r="BR3293" s="2" t="s">
        <v>84</v>
      </c>
      <c r="BS3293" s="3">
        <v>42976</v>
      </c>
      <c r="BT3293" s="4">
        <v>0.40625</v>
      </c>
      <c r="BU3293" s="2" t="s">
        <v>3353</v>
      </c>
      <c r="BV3293" s="2" t="s">
        <v>95</v>
      </c>
      <c r="BW3293" s="2"/>
      <c r="BX3293" s="2"/>
      <c r="BY3293" s="2">
        <v>1200</v>
      </c>
      <c r="BZ3293" s="2" t="s">
        <v>27</v>
      </c>
      <c r="CA3293" s="2" t="s">
        <v>274</v>
      </c>
      <c r="CB3293" s="2"/>
      <c r="CC3293" s="2" t="s">
        <v>145</v>
      </c>
      <c r="CD3293" s="2">
        <v>2094</v>
      </c>
      <c r="CE3293" s="2" t="s">
        <v>104</v>
      </c>
      <c r="CF3293" s="5">
        <v>42977</v>
      </c>
      <c r="CG3293" s="2"/>
      <c r="CH3293" s="2"/>
      <c r="CI3293" s="2">
        <v>1</v>
      </c>
      <c r="CJ3293" s="2">
        <v>1</v>
      </c>
      <c r="CK3293" s="2">
        <v>22</v>
      </c>
      <c r="CL3293" s="2" t="s">
        <v>86</v>
      </c>
      <c r="CM3293" s="2"/>
    </row>
    <row r="3294" spans="1:91">
      <c r="A3294" s="2" t="s">
        <v>71</v>
      </c>
      <c r="B3294" s="2" t="s">
        <v>72</v>
      </c>
      <c r="C3294" s="2" t="s">
        <v>73</v>
      </c>
      <c r="D3294" s="2"/>
      <c r="E3294" s="2" t="str">
        <f>"FES1162571663"</f>
        <v>FES1162571663</v>
      </c>
      <c r="F3294" s="3">
        <v>42975</v>
      </c>
      <c r="G3294" s="2">
        <v>201802</v>
      </c>
      <c r="H3294" s="2" t="s">
        <v>74</v>
      </c>
      <c r="I3294" s="2" t="s">
        <v>75</v>
      </c>
      <c r="J3294" s="2" t="s">
        <v>76</v>
      </c>
      <c r="K3294" s="2" t="s">
        <v>77</v>
      </c>
      <c r="L3294" s="2" t="s">
        <v>528</v>
      </c>
      <c r="M3294" s="2" t="s">
        <v>529</v>
      </c>
      <c r="N3294" s="2" t="s">
        <v>530</v>
      </c>
      <c r="O3294" s="2" t="s">
        <v>100</v>
      </c>
      <c r="P3294" s="2" t="str">
        <f>"2170585196                    "</f>
        <v xml:space="preserve">2170585196                    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7.75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1</v>
      </c>
      <c r="BI3294" s="2">
        <v>1</v>
      </c>
      <c r="BJ3294" s="2">
        <v>0.2</v>
      </c>
      <c r="BK3294" s="2">
        <v>1</v>
      </c>
      <c r="BL3294" s="2">
        <v>80.290000000000006</v>
      </c>
      <c r="BM3294" s="2">
        <v>11.24</v>
      </c>
      <c r="BN3294" s="2">
        <v>91.53</v>
      </c>
      <c r="BO3294" s="2">
        <v>91.53</v>
      </c>
      <c r="BP3294" s="2"/>
      <c r="BQ3294" s="2" t="s">
        <v>288</v>
      </c>
      <c r="BR3294" s="2" t="s">
        <v>84</v>
      </c>
      <c r="BS3294" s="3">
        <v>42976</v>
      </c>
      <c r="BT3294" s="4">
        <v>0.88958333333333339</v>
      </c>
      <c r="BU3294" s="2" t="s">
        <v>3404</v>
      </c>
      <c r="BV3294" s="2" t="s">
        <v>95</v>
      </c>
      <c r="BW3294" s="2"/>
      <c r="BX3294" s="2"/>
      <c r="BY3294" s="2">
        <v>1200</v>
      </c>
      <c r="BZ3294" s="2" t="s">
        <v>27</v>
      </c>
      <c r="CA3294" s="2" t="s">
        <v>3405</v>
      </c>
      <c r="CB3294" s="2"/>
      <c r="CC3294" s="2" t="s">
        <v>529</v>
      </c>
      <c r="CD3294" s="2">
        <v>5099</v>
      </c>
      <c r="CE3294" s="2" t="s">
        <v>104</v>
      </c>
      <c r="CF3294" s="5">
        <v>42978</v>
      </c>
      <c r="CG3294" s="2"/>
      <c r="CH3294" s="2"/>
      <c r="CI3294" s="2">
        <v>3</v>
      </c>
      <c r="CJ3294" s="2">
        <v>1</v>
      </c>
      <c r="CK3294" s="2">
        <v>23</v>
      </c>
      <c r="CL3294" s="2" t="s">
        <v>86</v>
      </c>
      <c r="CM3294" s="2"/>
    </row>
    <row r="3295" spans="1:91">
      <c r="A3295" s="2" t="s">
        <v>71</v>
      </c>
      <c r="B3295" s="2" t="s">
        <v>72</v>
      </c>
      <c r="C3295" s="2" t="s">
        <v>73</v>
      </c>
      <c r="D3295" s="2"/>
      <c r="E3295" s="2" t="str">
        <f>"FES1162571723"</f>
        <v>FES1162571723</v>
      </c>
      <c r="F3295" s="3">
        <v>42975</v>
      </c>
      <c r="G3295" s="2">
        <v>201802</v>
      </c>
      <c r="H3295" s="2" t="s">
        <v>74</v>
      </c>
      <c r="I3295" s="2" t="s">
        <v>75</v>
      </c>
      <c r="J3295" s="2" t="s">
        <v>76</v>
      </c>
      <c r="K3295" s="2" t="s">
        <v>77</v>
      </c>
      <c r="L3295" s="2" t="s">
        <v>97</v>
      </c>
      <c r="M3295" s="2" t="s">
        <v>98</v>
      </c>
      <c r="N3295" s="2" t="s">
        <v>2597</v>
      </c>
      <c r="O3295" s="2" t="s">
        <v>100</v>
      </c>
      <c r="P3295" s="2" t="str">
        <f>"2170587344                    "</f>
        <v xml:space="preserve">2170587344                    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4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1</v>
      </c>
      <c r="BI3295" s="2">
        <v>1</v>
      </c>
      <c r="BJ3295" s="2">
        <v>0.2</v>
      </c>
      <c r="BK3295" s="2">
        <v>1</v>
      </c>
      <c r="BL3295" s="2">
        <v>41.44</v>
      </c>
      <c r="BM3295" s="2">
        <v>5.8</v>
      </c>
      <c r="BN3295" s="2">
        <v>47.24</v>
      </c>
      <c r="BO3295" s="2">
        <v>47.24</v>
      </c>
      <c r="BP3295" s="2"/>
      <c r="BQ3295" s="2" t="s">
        <v>288</v>
      </c>
      <c r="BR3295" s="2" t="s">
        <v>84</v>
      </c>
      <c r="BS3295" s="3">
        <v>42976</v>
      </c>
      <c r="BT3295" s="4">
        <v>0.30138888888888887</v>
      </c>
      <c r="BU3295" s="2" t="s">
        <v>2598</v>
      </c>
      <c r="BV3295" s="2" t="s">
        <v>95</v>
      </c>
      <c r="BW3295" s="2"/>
      <c r="BX3295" s="2"/>
      <c r="BY3295" s="2">
        <v>1200</v>
      </c>
      <c r="BZ3295" s="2" t="s">
        <v>27</v>
      </c>
      <c r="CA3295" s="2" t="s">
        <v>294</v>
      </c>
      <c r="CB3295" s="2"/>
      <c r="CC3295" s="2" t="s">
        <v>98</v>
      </c>
      <c r="CD3295" s="2">
        <v>6012</v>
      </c>
      <c r="CE3295" s="2" t="s">
        <v>104</v>
      </c>
      <c r="CF3295" s="5">
        <v>42977</v>
      </c>
      <c r="CG3295" s="2"/>
      <c r="CH3295" s="2"/>
      <c r="CI3295" s="2">
        <v>1</v>
      </c>
      <c r="CJ3295" s="2">
        <v>1</v>
      </c>
      <c r="CK3295" s="2">
        <v>21</v>
      </c>
      <c r="CL3295" s="2" t="s">
        <v>86</v>
      </c>
      <c r="CM3295" s="2"/>
    </row>
    <row r="3296" spans="1:91">
      <c r="A3296" s="2" t="s">
        <v>71</v>
      </c>
      <c r="B3296" s="2" t="s">
        <v>72</v>
      </c>
      <c r="C3296" s="2" t="s">
        <v>73</v>
      </c>
      <c r="D3296" s="2"/>
      <c r="E3296" s="2" t="str">
        <f>"FES1162571701"</f>
        <v>FES1162571701</v>
      </c>
      <c r="F3296" s="3">
        <v>42975</v>
      </c>
      <c r="G3296" s="2">
        <v>201802</v>
      </c>
      <c r="H3296" s="2" t="s">
        <v>74</v>
      </c>
      <c r="I3296" s="2" t="s">
        <v>75</v>
      </c>
      <c r="J3296" s="2" t="s">
        <v>76</v>
      </c>
      <c r="K3296" s="2" t="s">
        <v>77</v>
      </c>
      <c r="L3296" s="2" t="s">
        <v>97</v>
      </c>
      <c r="M3296" s="2" t="s">
        <v>98</v>
      </c>
      <c r="N3296" s="2" t="s">
        <v>99</v>
      </c>
      <c r="O3296" s="2" t="s">
        <v>100</v>
      </c>
      <c r="P3296" s="2" t="str">
        <f>"2170587304                    "</f>
        <v xml:space="preserve">2170587304                    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4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1</v>
      </c>
      <c r="BI3296" s="2">
        <v>1</v>
      </c>
      <c r="BJ3296" s="2">
        <v>0.2</v>
      </c>
      <c r="BK3296" s="2">
        <v>1</v>
      </c>
      <c r="BL3296" s="2">
        <v>41.44</v>
      </c>
      <c r="BM3296" s="2">
        <v>5.8</v>
      </c>
      <c r="BN3296" s="2">
        <v>47.24</v>
      </c>
      <c r="BO3296" s="2">
        <v>47.24</v>
      </c>
      <c r="BP3296" s="2"/>
      <c r="BQ3296" s="2" t="s">
        <v>83</v>
      </c>
      <c r="BR3296" s="2" t="s">
        <v>84</v>
      </c>
      <c r="BS3296" s="3">
        <v>42976</v>
      </c>
      <c r="BT3296" s="4">
        <v>0.3611111111111111</v>
      </c>
      <c r="BU3296" s="2" t="s">
        <v>102</v>
      </c>
      <c r="BV3296" s="2" t="s">
        <v>95</v>
      </c>
      <c r="BW3296" s="2"/>
      <c r="BX3296" s="2"/>
      <c r="BY3296" s="2">
        <v>1200</v>
      </c>
      <c r="BZ3296" s="2" t="s">
        <v>27</v>
      </c>
      <c r="CA3296" s="2" t="s">
        <v>103</v>
      </c>
      <c r="CB3296" s="2"/>
      <c r="CC3296" s="2" t="s">
        <v>98</v>
      </c>
      <c r="CD3296" s="2">
        <v>6210</v>
      </c>
      <c r="CE3296" s="2" t="s">
        <v>104</v>
      </c>
      <c r="CF3296" s="5">
        <v>42977</v>
      </c>
      <c r="CG3296" s="2"/>
      <c r="CH3296" s="2"/>
      <c r="CI3296" s="2">
        <v>1</v>
      </c>
      <c r="CJ3296" s="2">
        <v>1</v>
      </c>
      <c r="CK3296" s="2">
        <v>21</v>
      </c>
      <c r="CL3296" s="2" t="s">
        <v>86</v>
      </c>
      <c r="CM3296" s="2"/>
    </row>
    <row r="3297" spans="1:91">
      <c r="A3297" s="2" t="s">
        <v>71</v>
      </c>
      <c r="B3297" s="2" t="s">
        <v>72</v>
      </c>
      <c r="C3297" s="2" t="s">
        <v>73</v>
      </c>
      <c r="D3297" s="2"/>
      <c r="E3297" s="2" t="str">
        <f>"FES1162571637"</f>
        <v>FES1162571637</v>
      </c>
      <c r="F3297" s="3">
        <v>42975</v>
      </c>
      <c r="G3297" s="2">
        <v>201802</v>
      </c>
      <c r="H3297" s="2" t="s">
        <v>74</v>
      </c>
      <c r="I3297" s="2" t="s">
        <v>75</v>
      </c>
      <c r="J3297" s="2" t="s">
        <v>76</v>
      </c>
      <c r="K3297" s="2" t="s">
        <v>77</v>
      </c>
      <c r="L3297" s="2" t="s">
        <v>97</v>
      </c>
      <c r="M3297" s="2" t="s">
        <v>98</v>
      </c>
      <c r="N3297" s="2" t="s">
        <v>214</v>
      </c>
      <c r="O3297" s="2" t="s">
        <v>100</v>
      </c>
      <c r="P3297" s="2" t="str">
        <f>"2170572959                    "</f>
        <v xml:space="preserve">2170572959                    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4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1</v>
      </c>
      <c r="BI3297" s="2">
        <v>1</v>
      </c>
      <c r="BJ3297" s="2">
        <v>0.2</v>
      </c>
      <c r="BK3297" s="2">
        <v>1</v>
      </c>
      <c r="BL3297" s="2">
        <v>41.44</v>
      </c>
      <c r="BM3297" s="2">
        <v>5.8</v>
      </c>
      <c r="BN3297" s="2">
        <v>47.24</v>
      </c>
      <c r="BO3297" s="2">
        <v>47.24</v>
      </c>
      <c r="BP3297" s="2"/>
      <c r="BQ3297" s="2" t="s">
        <v>108</v>
      </c>
      <c r="BR3297" s="2" t="s">
        <v>84</v>
      </c>
      <c r="BS3297" s="3">
        <v>42976</v>
      </c>
      <c r="BT3297" s="4">
        <v>0.32361111111111113</v>
      </c>
      <c r="BU3297" s="2" t="s">
        <v>215</v>
      </c>
      <c r="BV3297" s="2" t="s">
        <v>95</v>
      </c>
      <c r="BW3297" s="2"/>
      <c r="BX3297" s="2"/>
      <c r="BY3297" s="2">
        <v>1200</v>
      </c>
      <c r="BZ3297" s="2" t="s">
        <v>27</v>
      </c>
      <c r="CA3297" s="2" t="s">
        <v>213</v>
      </c>
      <c r="CB3297" s="2"/>
      <c r="CC3297" s="2" t="s">
        <v>98</v>
      </c>
      <c r="CD3297" s="2">
        <v>6001</v>
      </c>
      <c r="CE3297" s="2" t="s">
        <v>104</v>
      </c>
      <c r="CF3297" s="5">
        <v>42977</v>
      </c>
      <c r="CG3297" s="2"/>
      <c r="CH3297" s="2"/>
      <c r="CI3297" s="2">
        <v>1</v>
      </c>
      <c r="CJ3297" s="2">
        <v>1</v>
      </c>
      <c r="CK3297" s="2">
        <v>21</v>
      </c>
      <c r="CL3297" s="2" t="s">
        <v>86</v>
      </c>
      <c r="CM3297" s="2"/>
    </row>
    <row r="3298" spans="1:91">
      <c r="A3298" s="2" t="s">
        <v>71</v>
      </c>
      <c r="B3298" s="2" t="s">
        <v>72</v>
      </c>
      <c r="C3298" s="2" t="s">
        <v>73</v>
      </c>
      <c r="D3298" s="2"/>
      <c r="E3298" s="2" t="str">
        <f>"FES1162571703"</f>
        <v>FES1162571703</v>
      </c>
      <c r="F3298" s="3">
        <v>42975</v>
      </c>
      <c r="G3298" s="2">
        <v>201802</v>
      </c>
      <c r="H3298" s="2" t="s">
        <v>74</v>
      </c>
      <c r="I3298" s="2" t="s">
        <v>75</v>
      </c>
      <c r="J3298" s="2" t="s">
        <v>76</v>
      </c>
      <c r="K3298" s="2" t="s">
        <v>77</v>
      </c>
      <c r="L3298" s="2" t="s">
        <v>105</v>
      </c>
      <c r="M3298" s="2" t="s">
        <v>106</v>
      </c>
      <c r="N3298" s="2" t="s">
        <v>3406</v>
      </c>
      <c r="O3298" s="2" t="s">
        <v>100</v>
      </c>
      <c r="P3298" s="2" t="str">
        <f>"2170587306                    "</f>
        <v xml:space="preserve">2170587306                    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4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1</v>
      </c>
      <c r="BI3298" s="2">
        <v>0.9</v>
      </c>
      <c r="BJ3298" s="2">
        <v>1.6</v>
      </c>
      <c r="BK3298" s="2">
        <v>2</v>
      </c>
      <c r="BL3298" s="2">
        <v>41.44</v>
      </c>
      <c r="BM3298" s="2">
        <v>5.8</v>
      </c>
      <c r="BN3298" s="2">
        <v>47.24</v>
      </c>
      <c r="BO3298" s="2">
        <v>47.24</v>
      </c>
      <c r="BP3298" s="2"/>
      <c r="BQ3298" s="2" t="s">
        <v>288</v>
      </c>
      <c r="BR3298" s="2" t="s">
        <v>84</v>
      </c>
      <c r="BS3298" s="3">
        <v>42976</v>
      </c>
      <c r="BT3298" s="4">
        <v>0.33402777777777781</v>
      </c>
      <c r="BU3298" s="2" t="s">
        <v>3407</v>
      </c>
      <c r="BV3298" s="2" t="s">
        <v>95</v>
      </c>
      <c r="BW3298" s="2"/>
      <c r="BX3298" s="2"/>
      <c r="BY3298" s="2">
        <v>8132.8</v>
      </c>
      <c r="BZ3298" s="2" t="s">
        <v>27</v>
      </c>
      <c r="CA3298" s="2" t="s">
        <v>654</v>
      </c>
      <c r="CB3298" s="2"/>
      <c r="CC3298" s="2" t="s">
        <v>106</v>
      </c>
      <c r="CD3298" s="2">
        <v>7493</v>
      </c>
      <c r="CE3298" s="2" t="s">
        <v>89</v>
      </c>
      <c r="CF3298" s="5">
        <v>42977</v>
      </c>
      <c r="CG3298" s="2"/>
      <c r="CH3298" s="2"/>
      <c r="CI3298" s="2">
        <v>1</v>
      </c>
      <c r="CJ3298" s="2">
        <v>1</v>
      </c>
      <c r="CK3298" s="2">
        <v>21</v>
      </c>
      <c r="CL3298" s="2" t="s">
        <v>86</v>
      </c>
      <c r="CM3298" s="2"/>
    </row>
    <row r="3299" spans="1:91">
      <c r="A3299" s="2" t="s">
        <v>71</v>
      </c>
      <c r="B3299" s="2" t="s">
        <v>72</v>
      </c>
      <c r="C3299" s="2" t="s">
        <v>73</v>
      </c>
      <c r="D3299" s="2"/>
      <c r="E3299" s="2" t="str">
        <f>"FES1162571711"</f>
        <v>FES1162571711</v>
      </c>
      <c r="F3299" s="3">
        <v>42975</v>
      </c>
      <c r="G3299" s="2">
        <v>201802</v>
      </c>
      <c r="H3299" s="2" t="s">
        <v>74</v>
      </c>
      <c r="I3299" s="2" t="s">
        <v>75</v>
      </c>
      <c r="J3299" s="2" t="s">
        <v>76</v>
      </c>
      <c r="K3299" s="2" t="s">
        <v>77</v>
      </c>
      <c r="L3299" s="2" t="s">
        <v>105</v>
      </c>
      <c r="M3299" s="2" t="s">
        <v>106</v>
      </c>
      <c r="N3299" s="2" t="s">
        <v>2286</v>
      </c>
      <c r="O3299" s="2" t="s">
        <v>100</v>
      </c>
      <c r="P3299" s="2" t="str">
        <f>"2170587324                    "</f>
        <v xml:space="preserve">2170587324                    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4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1</v>
      </c>
      <c r="BI3299" s="2">
        <v>1</v>
      </c>
      <c r="BJ3299" s="2">
        <v>0.2</v>
      </c>
      <c r="BK3299" s="2">
        <v>1</v>
      </c>
      <c r="BL3299" s="2">
        <v>41.44</v>
      </c>
      <c r="BM3299" s="2">
        <v>5.8</v>
      </c>
      <c r="BN3299" s="2">
        <v>47.24</v>
      </c>
      <c r="BO3299" s="2">
        <v>47.24</v>
      </c>
      <c r="BP3299" s="2"/>
      <c r="BQ3299" s="2" t="s">
        <v>288</v>
      </c>
      <c r="BR3299" s="2" t="s">
        <v>84</v>
      </c>
      <c r="BS3299" s="3">
        <v>42977</v>
      </c>
      <c r="BT3299" s="4">
        <v>0.45833333333333331</v>
      </c>
      <c r="BU3299" s="2" t="s">
        <v>3408</v>
      </c>
      <c r="BV3299" s="2" t="s">
        <v>95</v>
      </c>
      <c r="BW3299" s="2"/>
      <c r="BX3299" s="2"/>
      <c r="BY3299" s="2">
        <v>1200</v>
      </c>
      <c r="BZ3299" s="2" t="s">
        <v>27</v>
      </c>
      <c r="CA3299" s="2" t="s">
        <v>3409</v>
      </c>
      <c r="CB3299" s="2"/>
      <c r="CC3299" s="2" t="s">
        <v>106</v>
      </c>
      <c r="CD3299" s="2">
        <v>7380</v>
      </c>
      <c r="CE3299" s="2" t="s">
        <v>104</v>
      </c>
      <c r="CF3299" s="5">
        <v>42977</v>
      </c>
      <c r="CG3299" s="2"/>
      <c r="CH3299" s="2"/>
      <c r="CI3299" s="2">
        <v>3</v>
      </c>
      <c r="CJ3299" s="2">
        <v>2</v>
      </c>
      <c r="CK3299" s="2">
        <v>21</v>
      </c>
      <c r="CL3299" s="2" t="s">
        <v>86</v>
      </c>
      <c r="CM3299" s="2"/>
    </row>
    <row r="3300" spans="1:91">
      <c r="A3300" s="2" t="s">
        <v>71</v>
      </c>
      <c r="B3300" s="2" t="s">
        <v>72</v>
      </c>
      <c r="C3300" s="2" t="s">
        <v>73</v>
      </c>
      <c r="D3300" s="2"/>
      <c r="E3300" s="2" t="str">
        <f>"FES1162571650"</f>
        <v>FES1162571650</v>
      </c>
      <c r="F3300" s="3">
        <v>42975</v>
      </c>
      <c r="G3300" s="2">
        <v>201802</v>
      </c>
      <c r="H3300" s="2" t="s">
        <v>74</v>
      </c>
      <c r="I3300" s="2" t="s">
        <v>75</v>
      </c>
      <c r="J3300" s="2" t="s">
        <v>76</v>
      </c>
      <c r="K3300" s="2" t="s">
        <v>77</v>
      </c>
      <c r="L3300" s="2" t="s">
        <v>105</v>
      </c>
      <c r="M3300" s="2" t="s">
        <v>106</v>
      </c>
      <c r="N3300" s="2" t="s">
        <v>3410</v>
      </c>
      <c r="O3300" s="2" t="s">
        <v>100</v>
      </c>
      <c r="P3300" s="2" t="str">
        <f>"2170583680                    "</f>
        <v xml:space="preserve">2170583680                    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4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1</v>
      </c>
      <c r="BI3300" s="2">
        <v>1</v>
      </c>
      <c r="BJ3300" s="2">
        <v>0.2</v>
      </c>
      <c r="BK3300" s="2">
        <v>1</v>
      </c>
      <c r="BL3300" s="2">
        <v>41.44</v>
      </c>
      <c r="BM3300" s="2">
        <v>5.8</v>
      </c>
      <c r="BN3300" s="2">
        <v>47.24</v>
      </c>
      <c r="BO3300" s="2">
        <v>47.24</v>
      </c>
      <c r="BP3300" s="2"/>
      <c r="BQ3300" s="2" t="s">
        <v>288</v>
      </c>
      <c r="BR3300" s="2" t="s">
        <v>84</v>
      </c>
      <c r="BS3300" s="1" t="s">
        <v>1200</v>
      </c>
      <c r="BT3300" s="2"/>
      <c r="BU3300" s="2"/>
      <c r="BV3300" s="2"/>
      <c r="BW3300" s="2"/>
      <c r="BX3300" s="2"/>
      <c r="BY3300" s="2">
        <v>1200</v>
      </c>
      <c r="BZ3300" s="2" t="s">
        <v>27</v>
      </c>
      <c r="CA3300" s="2"/>
      <c r="CB3300" s="2"/>
      <c r="CC3300" s="2" t="s">
        <v>106</v>
      </c>
      <c r="CD3300" s="2">
        <v>7380</v>
      </c>
      <c r="CE3300" s="2" t="s">
        <v>104</v>
      </c>
      <c r="CF3300" s="2"/>
      <c r="CG3300" s="2"/>
      <c r="CH3300" s="2"/>
      <c r="CI3300" s="2">
        <v>3</v>
      </c>
      <c r="CJ3300" s="2" t="s">
        <v>1200</v>
      </c>
      <c r="CK3300" s="2">
        <v>21</v>
      </c>
      <c r="CL3300" s="2" t="s">
        <v>86</v>
      </c>
      <c r="CM3300" s="2"/>
    </row>
    <row r="3301" spans="1:91">
      <c r="A3301" s="2" t="s">
        <v>71</v>
      </c>
      <c r="B3301" s="2" t="s">
        <v>72</v>
      </c>
      <c r="C3301" s="2" t="s">
        <v>73</v>
      </c>
      <c r="D3301" s="2"/>
      <c r="E3301" s="2" t="str">
        <f>"FES1162571678"</f>
        <v>FES1162571678</v>
      </c>
      <c r="F3301" s="3">
        <v>42975</v>
      </c>
      <c r="G3301" s="2">
        <v>201802</v>
      </c>
      <c r="H3301" s="2" t="s">
        <v>74</v>
      </c>
      <c r="I3301" s="2" t="s">
        <v>75</v>
      </c>
      <c r="J3301" s="2" t="s">
        <v>76</v>
      </c>
      <c r="K3301" s="2" t="s">
        <v>77</v>
      </c>
      <c r="L3301" s="2" t="s">
        <v>105</v>
      </c>
      <c r="M3301" s="2" t="s">
        <v>106</v>
      </c>
      <c r="N3301" s="2" t="s">
        <v>3411</v>
      </c>
      <c r="O3301" s="2" t="s">
        <v>100</v>
      </c>
      <c r="P3301" s="2" t="str">
        <f>"2170586464                    "</f>
        <v xml:space="preserve">2170586464                    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4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1</v>
      </c>
      <c r="BI3301" s="2">
        <v>1</v>
      </c>
      <c r="BJ3301" s="2">
        <v>0.2</v>
      </c>
      <c r="BK3301" s="2">
        <v>1</v>
      </c>
      <c r="BL3301" s="2">
        <v>41.44</v>
      </c>
      <c r="BM3301" s="2">
        <v>5.8</v>
      </c>
      <c r="BN3301" s="2">
        <v>47.24</v>
      </c>
      <c r="BO3301" s="2">
        <v>47.24</v>
      </c>
      <c r="BP3301" s="2"/>
      <c r="BQ3301" s="2" t="s">
        <v>288</v>
      </c>
      <c r="BR3301" s="2" t="s">
        <v>84</v>
      </c>
      <c r="BS3301" s="3">
        <v>42976</v>
      </c>
      <c r="BT3301" s="4">
        <v>0.34652777777777777</v>
      </c>
      <c r="BU3301" s="2" t="s">
        <v>3412</v>
      </c>
      <c r="BV3301" s="2" t="s">
        <v>95</v>
      </c>
      <c r="BW3301" s="2"/>
      <c r="BX3301" s="2"/>
      <c r="BY3301" s="2">
        <v>1200</v>
      </c>
      <c r="BZ3301" s="2" t="s">
        <v>27</v>
      </c>
      <c r="CA3301" s="2" t="s">
        <v>869</v>
      </c>
      <c r="CB3301" s="2"/>
      <c r="CC3301" s="2" t="s">
        <v>106</v>
      </c>
      <c r="CD3301" s="2">
        <v>7460</v>
      </c>
      <c r="CE3301" s="2" t="s">
        <v>104</v>
      </c>
      <c r="CF3301" s="5">
        <v>42977</v>
      </c>
      <c r="CG3301" s="2"/>
      <c r="CH3301" s="2"/>
      <c r="CI3301" s="2">
        <v>1</v>
      </c>
      <c r="CJ3301" s="2">
        <v>1</v>
      </c>
      <c r="CK3301" s="2">
        <v>21</v>
      </c>
      <c r="CL3301" s="2" t="s">
        <v>86</v>
      </c>
      <c r="CM3301" s="2"/>
    </row>
    <row r="3302" spans="1:91">
      <c r="A3302" s="2" t="s">
        <v>71</v>
      </c>
      <c r="B3302" s="2" t="s">
        <v>72</v>
      </c>
      <c r="C3302" s="2" t="s">
        <v>73</v>
      </c>
      <c r="D3302" s="2"/>
      <c r="E3302" s="2" t="str">
        <f>"FES1162571668"</f>
        <v>FES1162571668</v>
      </c>
      <c r="F3302" s="3">
        <v>42975</v>
      </c>
      <c r="G3302" s="2">
        <v>201802</v>
      </c>
      <c r="H3302" s="2" t="s">
        <v>74</v>
      </c>
      <c r="I3302" s="2" t="s">
        <v>75</v>
      </c>
      <c r="J3302" s="2" t="s">
        <v>76</v>
      </c>
      <c r="K3302" s="2" t="s">
        <v>77</v>
      </c>
      <c r="L3302" s="2" t="s">
        <v>105</v>
      </c>
      <c r="M3302" s="2" t="s">
        <v>106</v>
      </c>
      <c r="N3302" s="2" t="s">
        <v>746</v>
      </c>
      <c r="O3302" s="2" t="s">
        <v>100</v>
      </c>
      <c r="P3302" s="2" t="str">
        <f>"2170585352                    "</f>
        <v xml:space="preserve">2170585352                    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4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1</v>
      </c>
      <c r="BI3302" s="2">
        <v>1</v>
      </c>
      <c r="BJ3302" s="2">
        <v>0.2</v>
      </c>
      <c r="BK3302" s="2">
        <v>1</v>
      </c>
      <c r="BL3302" s="2">
        <v>41.44</v>
      </c>
      <c r="BM3302" s="2">
        <v>5.8</v>
      </c>
      <c r="BN3302" s="2">
        <v>47.24</v>
      </c>
      <c r="BO3302" s="2">
        <v>47.24</v>
      </c>
      <c r="BP3302" s="2"/>
      <c r="BQ3302" s="2" t="s">
        <v>108</v>
      </c>
      <c r="BR3302" s="2" t="s">
        <v>84</v>
      </c>
      <c r="BS3302" s="3">
        <v>42976</v>
      </c>
      <c r="BT3302" s="4">
        <v>0.39652777777777781</v>
      </c>
      <c r="BU3302" s="2" t="s">
        <v>747</v>
      </c>
      <c r="BV3302" s="2" t="s">
        <v>95</v>
      </c>
      <c r="BW3302" s="2"/>
      <c r="BX3302" s="2"/>
      <c r="BY3302" s="2">
        <v>1200</v>
      </c>
      <c r="BZ3302" s="2" t="s">
        <v>27</v>
      </c>
      <c r="CA3302" s="2" t="s">
        <v>748</v>
      </c>
      <c r="CB3302" s="2"/>
      <c r="CC3302" s="2" t="s">
        <v>106</v>
      </c>
      <c r="CD3302" s="2">
        <v>7441</v>
      </c>
      <c r="CE3302" s="2" t="s">
        <v>104</v>
      </c>
      <c r="CF3302" s="5">
        <v>42977</v>
      </c>
      <c r="CG3302" s="2"/>
      <c r="CH3302" s="2"/>
      <c r="CI3302" s="2">
        <v>1</v>
      </c>
      <c r="CJ3302" s="2">
        <v>1</v>
      </c>
      <c r="CK3302" s="2">
        <v>21</v>
      </c>
      <c r="CL3302" s="2" t="s">
        <v>86</v>
      </c>
      <c r="CM3302" s="2"/>
    </row>
    <row r="3303" spans="1:91">
      <c r="A3303" s="2" t="s">
        <v>71</v>
      </c>
      <c r="B3303" s="2" t="s">
        <v>72</v>
      </c>
      <c r="C3303" s="2" t="s">
        <v>73</v>
      </c>
      <c r="D3303" s="2"/>
      <c r="E3303" s="2" t="str">
        <f>"FES1162571713"</f>
        <v>FES1162571713</v>
      </c>
      <c r="F3303" s="3">
        <v>42975</v>
      </c>
      <c r="G3303" s="2">
        <v>201802</v>
      </c>
      <c r="H3303" s="2" t="s">
        <v>74</v>
      </c>
      <c r="I3303" s="2" t="s">
        <v>75</v>
      </c>
      <c r="J3303" s="2" t="s">
        <v>76</v>
      </c>
      <c r="K3303" s="2" t="s">
        <v>77</v>
      </c>
      <c r="L3303" s="2" t="s">
        <v>105</v>
      </c>
      <c r="M3303" s="2" t="s">
        <v>106</v>
      </c>
      <c r="N3303" s="2" t="s">
        <v>260</v>
      </c>
      <c r="O3303" s="2" t="s">
        <v>100</v>
      </c>
      <c r="P3303" s="2" t="str">
        <f>"2170587327                    "</f>
        <v xml:space="preserve">2170587327                    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4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1</v>
      </c>
      <c r="BI3303" s="2">
        <v>1</v>
      </c>
      <c r="BJ3303" s="2">
        <v>0.2</v>
      </c>
      <c r="BK3303" s="2">
        <v>1</v>
      </c>
      <c r="BL3303" s="2">
        <v>41.44</v>
      </c>
      <c r="BM3303" s="2">
        <v>5.8</v>
      </c>
      <c r="BN3303" s="2">
        <v>47.24</v>
      </c>
      <c r="BO3303" s="2">
        <v>47.24</v>
      </c>
      <c r="BP3303" s="2"/>
      <c r="BQ3303" s="2" t="s">
        <v>365</v>
      </c>
      <c r="BR3303" s="2" t="s">
        <v>84</v>
      </c>
      <c r="BS3303" s="3">
        <v>42976</v>
      </c>
      <c r="BT3303" s="4">
        <v>0.42777777777777781</v>
      </c>
      <c r="BU3303" s="2" t="s">
        <v>3413</v>
      </c>
      <c r="BV3303" s="2" t="s">
        <v>95</v>
      </c>
      <c r="BW3303" s="2"/>
      <c r="BX3303" s="2"/>
      <c r="BY3303" s="2">
        <v>1200</v>
      </c>
      <c r="BZ3303" s="2" t="s">
        <v>27</v>
      </c>
      <c r="CA3303" s="2" t="s">
        <v>654</v>
      </c>
      <c r="CB3303" s="2"/>
      <c r="CC3303" s="2" t="s">
        <v>106</v>
      </c>
      <c r="CD3303" s="2">
        <v>7490</v>
      </c>
      <c r="CE3303" s="2" t="s">
        <v>104</v>
      </c>
      <c r="CF3303" s="5">
        <v>42977</v>
      </c>
      <c r="CG3303" s="2"/>
      <c r="CH3303" s="2"/>
      <c r="CI3303" s="2">
        <v>1</v>
      </c>
      <c r="CJ3303" s="2">
        <v>1</v>
      </c>
      <c r="CK3303" s="2">
        <v>21</v>
      </c>
      <c r="CL3303" s="2" t="s">
        <v>86</v>
      </c>
      <c r="CM3303" s="2"/>
    </row>
    <row r="3304" spans="1:91">
      <c r="A3304" s="2" t="s">
        <v>71</v>
      </c>
      <c r="B3304" s="2" t="s">
        <v>72</v>
      </c>
      <c r="C3304" s="2" t="s">
        <v>73</v>
      </c>
      <c r="D3304" s="2"/>
      <c r="E3304" s="2" t="str">
        <f>"FES1162571700"</f>
        <v>FES1162571700</v>
      </c>
      <c r="F3304" s="3">
        <v>42975</v>
      </c>
      <c r="G3304" s="2">
        <v>201802</v>
      </c>
      <c r="H3304" s="2" t="s">
        <v>74</v>
      </c>
      <c r="I3304" s="2" t="s">
        <v>75</v>
      </c>
      <c r="J3304" s="2" t="s">
        <v>76</v>
      </c>
      <c r="K3304" s="2" t="s">
        <v>77</v>
      </c>
      <c r="L3304" s="2" t="s">
        <v>105</v>
      </c>
      <c r="M3304" s="2" t="s">
        <v>106</v>
      </c>
      <c r="N3304" s="2" t="s">
        <v>827</v>
      </c>
      <c r="O3304" s="2" t="s">
        <v>100</v>
      </c>
      <c r="P3304" s="2" t="str">
        <f>"2170587303                    "</f>
        <v xml:space="preserve">2170587303                    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4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1</v>
      </c>
      <c r="BI3304" s="2">
        <v>1</v>
      </c>
      <c r="BJ3304" s="2">
        <v>0.2</v>
      </c>
      <c r="BK3304" s="2">
        <v>1</v>
      </c>
      <c r="BL3304" s="2">
        <v>41.44</v>
      </c>
      <c r="BM3304" s="2">
        <v>5.8</v>
      </c>
      <c r="BN3304" s="2">
        <v>47.24</v>
      </c>
      <c r="BO3304" s="2">
        <v>47.24</v>
      </c>
      <c r="BP3304" s="2"/>
      <c r="BQ3304" s="2" t="s">
        <v>288</v>
      </c>
      <c r="BR3304" s="2" t="s">
        <v>84</v>
      </c>
      <c r="BS3304" s="3">
        <v>42976</v>
      </c>
      <c r="BT3304" s="4">
        <v>0.42638888888888887</v>
      </c>
      <c r="BU3304" s="2" t="s">
        <v>85</v>
      </c>
      <c r="BV3304" s="2" t="s">
        <v>95</v>
      </c>
      <c r="BW3304" s="2"/>
      <c r="BX3304" s="2"/>
      <c r="BY3304" s="2">
        <v>1200</v>
      </c>
      <c r="BZ3304" s="2" t="s">
        <v>27</v>
      </c>
      <c r="CA3304" s="2"/>
      <c r="CB3304" s="2"/>
      <c r="CC3304" s="2" t="s">
        <v>106</v>
      </c>
      <c r="CD3304" s="2">
        <v>7560</v>
      </c>
      <c r="CE3304" s="2" t="s">
        <v>104</v>
      </c>
      <c r="CF3304" s="5">
        <v>42977</v>
      </c>
      <c r="CG3304" s="2"/>
      <c r="CH3304" s="2"/>
      <c r="CI3304" s="2">
        <v>1</v>
      </c>
      <c r="CJ3304" s="2">
        <v>1</v>
      </c>
      <c r="CK3304" s="2">
        <v>21</v>
      </c>
      <c r="CL3304" s="2" t="s">
        <v>86</v>
      </c>
      <c r="CM3304" s="2"/>
    </row>
    <row r="3305" spans="1:91">
      <c r="A3305" s="2" t="s">
        <v>71</v>
      </c>
      <c r="B3305" s="2" t="s">
        <v>72</v>
      </c>
      <c r="C3305" s="2" t="s">
        <v>73</v>
      </c>
      <c r="D3305" s="2"/>
      <c r="E3305" s="2" t="str">
        <f>"FES1162571854"</f>
        <v>FES1162571854</v>
      </c>
      <c r="F3305" s="3">
        <v>42975</v>
      </c>
      <c r="G3305" s="2">
        <v>201802</v>
      </c>
      <c r="H3305" s="2" t="s">
        <v>74</v>
      </c>
      <c r="I3305" s="2" t="s">
        <v>75</v>
      </c>
      <c r="J3305" s="2" t="s">
        <v>76</v>
      </c>
      <c r="K3305" s="2" t="s">
        <v>77</v>
      </c>
      <c r="L3305" s="2" t="s">
        <v>1202</v>
      </c>
      <c r="M3305" s="2" t="s">
        <v>1203</v>
      </c>
      <c r="N3305" s="2" t="s">
        <v>3414</v>
      </c>
      <c r="O3305" s="2" t="s">
        <v>100</v>
      </c>
      <c r="P3305" s="2" t="str">
        <f>"2170587487                    "</f>
        <v xml:space="preserve">2170587487                    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3.13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  <c r="BG3305" s="2">
        <v>0</v>
      </c>
      <c r="BH3305" s="2">
        <v>1</v>
      </c>
      <c r="BI3305" s="2">
        <v>1</v>
      </c>
      <c r="BJ3305" s="2">
        <v>0.2</v>
      </c>
      <c r="BK3305" s="2">
        <v>1</v>
      </c>
      <c r="BL3305" s="2">
        <v>32.380000000000003</v>
      </c>
      <c r="BM3305" s="2">
        <v>4.53</v>
      </c>
      <c r="BN3305" s="2">
        <v>36.909999999999997</v>
      </c>
      <c r="BO3305" s="2">
        <v>36.909999999999997</v>
      </c>
      <c r="BP3305" s="2"/>
      <c r="BQ3305" s="2" t="s">
        <v>209</v>
      </c>
      <c r="BR3305" s="2" t="s">
        <v>84</v>
      </c>
      <c r="BS3305" s="3">
        <v>42976</v>
      </c>
      <c r="BT3305" s="4">
        <v>0.39444444444444443</v>
      </c>
      <c r="BU3305" s="2" t="s">
        <v>1288</v>
      </c>
      <c r="BV3305" s="2" t="s">
        <v>95</v>
      </c>
      <c r="BW3305" s="2"/>
      <c r="BX3305" s="2"/>
      <c r="BY3305" s="2">
        <v>1200</v>
      </c>
      <c r="BZ3305" s="2" t="s">
        <v>27</v>
      </c>
      <c r="CA3305" s="2" t="s">
        <v>1305</v>
      </c>
      <c r="CB3305" s="2"/>
      <c r="CC3305" s="2" t="s">
        <v>1203</v>
      </c>
      <c r="CD3305" s="2">
        <v>1501</v>
      </c>
      <c r="CE3305" s="2" t="s">
        <v>104</v>
      </c>
      <c r="CF3305" s="5">
        <v>42977</v>
      </c>
      <c r="CG3305" s="2"/>
      <c r="CH3305" s="2"/>
      <c r="CI3305" s="2">
        <v>1</v>
      </c>
      <c r="CJ3305" s="2">
        <v>1</v>
      </c>
      <c r="CK3305" s="2">
        <v>22</v>
      </c>
      <c r="CL3305" s="2" t="s">
        <v>86</v>
      </c>
      <c r="CM3305" s="2"/>
    </row>
    <row r="3306" spans="1:91">
      <c r="A3306" s="2" t="s">
        <v>71</v>
      </c>
      <c r="B3306" s="2" t="s">
        <v>72</v>
      </c>
      <c r="C3306" s="2" t="s">
        <v>73</v>
      </c>
      <c r="D3306" s="2"/>
      <c r="E3306" s="2" t="str">
        <f>"FES1162571850"</f>
        <v>FES1162571850</v>
      </c>
      <c r="F3306" s="3">
        <v>42975</v>
      </c>
      <c r="G3306" s="2">
        <v>201802</v>
      </c>
      <c r="H3306" s="2" t="s">
        <v>74</v>
      </c>
      <c r="I3306" s="2" t="s">
        <v>75</v>
      </c>
      <c r="J3306" s="2" t="s">
        <v>76</v>
      </c>
      <c r="K3306" s="2" t="s">
        <v>77</v>
      </c>
      <c r="L3306" s="2" t="s">
        <v>311</v>
      </c>
      <c r="M3306" s="2" t="s">
        <v>312</v>
      </c>
      <c r="N3306" s="2" t="s">
        <v>3415</v>
      </c>
      <c r="O3306" s="2" t="s">
        <v>100</v>
      </c>
      <c r="P3306" s="2" t="str">
        <f>"2170587475                    "</f>
        <v xml:space="preserve">2170587475                    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3.13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1</v>
      </c>
      <c r="BI3306" s="2">
        <v>1</v>
      </c>
      <c r="BJ3306" s="2">
        <v>0.2</v>
      </c>
      <c r="BK3306" s="2">
        <v>1</v>
      </c>
      <c r="BL3306" s="2">
        <v>32.380000000000003</v>
      </c>
      <c r="BM3306" s="2">
        <v>4.53</v>
      </c>
      <c r="BN3306" s="2">
        <v>36.909999999999997</v>
      </c>
      <c r="BO3306" s="2">
        <v>36.909999999999997</v>
      </c>
      <c r="BP3306" s="2"/>
      <c r="BQ3306" s="2" t="s">
        <v>209</v>
      </c>
      <c r="BR3306" s="2" t="s">
        <v>84</v>
      </c>
      <c r="BS3306" s="3">
        <v>42976</v>
      </c>
      <c r="BT3306" s="4">
        <v>0.375</v>
      </c>
      <c r="BU3306" s="2" t="s">
        <v>2067</v>
      </c>
      <c r="BV3306" s="2" t="s">
        <v>95</v>
      </c>
      <c r="BW3306" s="2"/>
      <c r="BX3306" s="2"/>
      <c r="BY3306" s="2">
        <v>1200</v>
      </c>
      <c r="BZ3306" s="2" t="s">
        <v>27</v>
      </c>
      <c r="CA3306" s="2" t="s">
        <v>889</v>
      </c>
      <c r="CB3306" s="2"/>
      <c r="CC3306" s="2" t="s">
        <v>312</v>
      </c>
      <c r="CD3306" s="2">
        <v>1559</v>
      </c>
      <c r="CE3306" s="2" t="s">
        <v>104</v>
      </c>
      <c r="CF3306" s="5">
        <v>42977</v>
      </c>
      <c r="CG3306" s="2"/>
      <c r="CH3306" s="2"/>
      <c r="CI3306" s="2">
        <v>1</v>
      </c>
      <c r="CJ3306" s="2">
        <v>1</v>
      </c>
      <c r="CK3306" s="2">
        <v>22</v>
      </c>
      <c r="CL3306" s="2" t="s">
        <v>86</v>
      </c>
      <c r="CM3306" s="2"/>
    </row>
    <row r="3307" spans="1:91">
      <c r="A3307" s="2" t="s">
        <v>71</v>
      </c>
      <c r="B3307" s="2" t="s">
        <v>72</v>
      </c>
      <c r="C3307" s="2" t="s">
        <v>73</v>
      </c>
      <c r="D3307" s="2"/>
      <c r="E3307" s="2" t="str">
        <f>"FES1162571719"</f>
        <v>FES1162571719</v>
      </c>
      <c r="F3307" s="3">
        <v>42975</v>
      </c>
      <c r="G3307" s="2">
        <v>201802</v>
      </c>
      <c r="H3307" s="2" t="s">
        <v>74</v>
      </c>
      <c r="I3307" s="2" t="s">
        <v>75</v>
      </c>
      <c r="J3307" s="2" t="s">
        <v>76</v>
      </c>
      <c r="K3307" s="2" t="s">
        <v>77</v>
      </c>
      <c r="L3307" s="2" t="s">
        <v>174</v>
      </c>
      <c r="M3307" s="2" t="s">
        <v>175</v>
      </c>
      <c r="N3307" s="2" t="s">
        <v>930</v>
      </c>
      <c r="O3307" s="2" t="s">
        <v>100</v>
      </c>
      <c r="P3307" s="2" t="str">
        <f>"2170587331                    "</f>
        <v xml:space="preserve">2170587331                    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4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1</v>
      </c>
      <c r="BI3307" s="2">
        <v>1</v>
      </c>
      <c r="BJ3307" s="2">
        <v>0.2</v>
      </c>
      <c r="BK3307" s="2">
        <v>1</v>
      </c>
      <c r="BL3307" s="2">
        <v>41.44</v>
      </c>
      <c r="BM3307" s="2">
        <v>5.8</v>
      </c>
      <c r="BN3307" s="2">
        <v>47.24</v>
      </c>
      <c r="BO3307" s="2">
        <v>47.24</v>
      </c>
      <c r="BP3307" s="2"/>
      <c r="BQ3307" s="2" t="s">
        <v>83</v>
      </c>
      <c r="BR3307" s="2" t="s">
        <v>84</v>
      </c>
      <c r="BS3307" s="3">
        <v>42976</v>
      </c>
      <c r="BT3307" s="4">
        <v>0.40833333333333338</v>
      </c>
      <c r="BU3307" s="2" t="s">
        <v>1372</v>
      </c>
      <c r="BV3307" s="2" t="s">
        <v>95</v>
      </c>
      <c r="BW3307" s="2"/>
      <c r="BX3307" s="2"/>
      <c r="BY3307" s="2">
        <v>1200</v>
      </c>
      <c r="BZ3307" s="2" t="s">
        <v>27</v>
      </c>
      <c r="CA3307" s="2" t="s">
        <v>1373</v>
      </c>
      <c r="CB3307" s="2"/>
      <c r="CC3307" s="2" t="s">
        <v>175</v>
      </c>
      <c r="CD3307" s="2">
        <v>5201</v>
      </c>
      <c r="CE3307" s="2" t="s">
        <v>104</v>
      </c>
      <c r="CF3307" s="5">
        <v>42977</v>
      </c>
      <c r="CG3307" s="2"/>
      <c r="CH3307" s="2"/>
      <c r="CI3307" s="2">
        <v>1</v>
      </c>
      <c r="CJ3307" s="2">
        <v>1</v>
      </c>
      <c r="CK3307" s="2">
        <v>21</v>
      </c>
      <c r="CL3307" s="2" t="s">
        <v>86</v>
      </c>
      <c r="CM3307" s="2"/>
    </row>
    <row r="3308" spans="1:91">
      <c r="A3308" s="2" t="s">
        <v>71</v>
      </c>
      <c r="B3308" s="2" t="s">
        <v>72</v>
      </c>
      <c r="C3308" s="2" t="s">
        <v>73</v>
      </c>
      <c r="D3308" s="2"/>
      <c r="E3308" s="2" t="str">
        <f>"FES1162571648"</f>
        <v>FES1162571648</v>
      </c>
      <c r="F3308" s="3">
        <v>42975</v>
      </c>
      <c r="G3308" s="2">
        <v>201802</v>
      </c>
      <c r="H3308" s="2" t="s">
        <v>74</v>
      </c>
      <c r="I3308" s="2" t="s">
        <v>75</v>
      </c>
      <c r="J3308" s="2" t="s">
        <v>76</v>
      </c>
      <c r="K3308" s="2" t="s">
        <v>77</v>
      </c>
      <c r="L3308" s="2" t="s">
        <v>97</v>
      </c>
      <c r="M3308" s="2" t="s">
        <v>98</v>
      </c>
      <c r="N3308" s="2" t="s">
        <v>625</v>
      </c>
      <c r="O3308" s="2" t="s">
        <v>100</v>
      </c>
      <c r="P3308" s="2" t="str">
        <f>"2170581630                    "</f>
        <v xml:space="preserve">2170581630                    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4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1</v>
      </c>
      <c r="BI3308" s="2">
        <v>2</v>
      </c>
      <c r="BJ3308" s="2">
        <v>0.2</v>
      </c>
      <c r="BK3308" s="2">
        <v>2</v>
      </c>
      <c r="BL3308" s="2">
        <v>41.44</v>
      </c>
      <c r="BM3308" s="2">
        <v>5.8</v>
      </c>
      <c r="BN3308" s="2">
        <v>47.24</v>
      </c>
      <c r="BO3308" s="2">
        <v>47.24</v>
      </c>
      <c r="BP3308" s="2"/>
      <c r="BQ3308" s="2" t="s">
        <v>108</v>
      </c>
      <c r="BR3308" s="2" t="s">
        <v>84</v>
      </c>
      <c r="BS3308" s="3">
        <v>42976</v>
      </c>
      <c r="BT3308" s="4">
        <v>0.43124999999999997</v>
      </c>
      <c r="BU3308" s="2" t="s">
        <v>1299</v>
      </c>
      <c r="BV3308" s="2" t="s">
        <v>95</v>
      </c>
      <c r="BW3308" s="2"/>
      <c r="BX3308" s="2"/>
      <c r="BY3308" s="2">
        <v>1200</v>
      </c>
      <c r="BZ3308" s="2" t="s">
        <v>27</v>
      </c>
      <c r="CA3308" s="2" t="s">
        <v>103</v>
      </c>
      <c r="CB3308" s="2"/>
      <c r="CC3308" s="2" t="s">
        <v>98</v>
      </c>
      <c r="CD3308" s="2">
        <v>6001</v>
      </c>
      <c r="CE3308" s="2" t="s">
        <v>104</v>
      </c>
      <c r="CF3308" s="5">
        <v>42977</v>
      </c>
      <c r="CG3308" s="2"/>
      <c r="CH3308" s="2"/>
      <c r="CI3308" s="2">
        <v>1</v>
      </c>
      <c r="CJ3308" s="2">
        <v>1</v>
      </c>
      <c r="CK3308" s="2">
        <v>21</v>
      </c>
      <c r="CL3308" s="2" t="s">
        <v>86</v>
      </c>
      <c r="CM3308" s="2"/>
    </row>
    <row r="3309" spans="1:91">
      <c r="A3309" s="2" t="s">
        <v>71</v>
      </c>
      <c r="B3309" s="2" t="s">
        <v>72</v>
      </c>
      <c r="C3309" s="2" t="s">
        <v>73</v>
      </c>
      <c r="D3309" s="2"/>
      <c r="E3309" s="2" t="str">
        <f>"FES1162571651"</f>
        <v>FES1162571651</v>
      </c>
      <c r="F3309" s="3">
        <v>42975</v>
      </c>
      <c r="G3309" s="2">
        <v>201802</v>
      </c>
      <c r="H3309" s="2" t="s">
        <v>74</v>
      </c>
      <c r="I3309" s="2" t="s">
        <v>75</v>
      </c>
      <c r="J3309" s="2" t="s">
        <v>76</v>
      </c>
      <c r="K3309" s="2" t="s">
        <v>77</v>
      </c>
      <c r="L3309" s="2" t="s">
        <v>206</v>
      </c>
      <c r="M3309" s="2" t="s">
        <v>207</v>
      </c>
      <c r="N3309" s="2" t="s">
        <v>650</v>
      </c>
      <c r="O3309" s="2" t="s">
        <v>100</v>
      </c>
      <c r="P3309" s="2" t="str">
        <f>"2170583710                    "</f>
        <v xml:space="preserve">2170583710                    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5.63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1</v>
      </c>
      <c r="BI3309" s="2">
        <v>2</v>
      </c>
      <c r="BJ3309" s="2">
        <v>0.2</v>
      </c>
      <c r="BK3309" s="2">
        <v>2</v>
      </c>
      <c r="BL3309" s="2">
        <v>58.28</v>
      </c>
      <c r="BM3309" s="2">
        <v>8.16</v>
      </c>
      <c r="BN3309" s="2">
        <v>66.44</v>
      </c>
      <c r="BO3309" s="2">
        <v>66.44</v>
      </c>
      <c r="BP3309" s="2"/>
      <c r="BQ3309" s="2" t="s">
        <v>108</v>
      </c>
      <c r="BR3309" s="2" t="s">
        <v>84</v>
      </c>
      <c r="BS3309" s="3">
        <v>42976</v>
      </c>
      <c r="BT3309" s="4">
        <v>0.4694444444444445</v>
      </c>
      <c r="BU3309" s="2" t="s">
        <v>3391</v>
      </c>
      <c r="BV3309" s="2" t="s">
        <v>95</v>
      </c>
      <c r="BW3309" s="2"/>
      <c r="BX3309" s="2"/>
      <c r="BY3309" s="2">
        <v>1200</v>
      </c>
      <c r="BZ3309" s="2" t="s">
        <v>27</v>
      </c>
      <c r="CA3309" s="2" t="s">
        <v>640</v>
      </c>
      <c r="CB3309" s="2"/>
      <c r="CC3309" s="2" t="s">
        <v>207</v>
      </c>
      <c r="CD3309" s="2">
        <v>250</v>
      </c>
      <c r="CE3309" s="2" t="s">
        <v>104</v>
      </c>
      <c r="CF3309" s="5">
        <v>42978</v>
      </c>
      <c r="CG3309" s="2"/>
      <c r="CH3309" s="2"/>
      <c r="CI3309" s="2">
        <v>1</v>
      </c>
      <c r="CJ3309" s="2">
        <v>1</v>
      </c>
      <c r="CK3309" s="2">
        <v>24</v>
      </c>
      <c r="CL3309" s="2" t="s">
        <v>86</v>
      </c>
      <c r="CM3309" s="2"/>
    </row>
    <row r="3310" spans="1:91">
      <c r="A3310" s="2" t="s">
        <v>71</v>
      </c>
      <c r="B3310" s="2" t="s">
        <v>72</v>
      </c>
      <c r="C3310" s="2" t="s">
        <v>73</v>
      </c>
      <c r="D3310" s="2"/>
      <c r="E3310" s="2" t="str">
        <f>"FES1162571826"</f>
        <v>FES1162571826</v>
      </c>
      <c r="F3310" s="3">
        <v>42975</v>
      </c>
      <c r="G3310" s="2">
        <v>201802</v>
      </c>
      <c r="H3310" s="2" t="s">
        <v>74</v>
      </c>
      <c r="I3310" s="2" t="s">
        <v>75</v>
      </c>
      <c r="J3310" s="2" t="s">
        <v>76</v>
      </c>
      <c r="K3310" s="2" t="s">
        <v>77</v>
      </c>
      <c r="L3310" s="2" t="s">
        <v>417</v>
      </c>
      <c r="M3310" s="2" t="s">
        <v>417</v>
      </c>
      <c r="N3310" s="2" t="s">
        <v>475</v>
      </c>
      <c r="O3310" s="2" t="s">
        <v>100</v>
      </c>
      <c r="P3310" s="2" t="str">
        <f>"2170584283                    "</f>
        <v xml:space="preserve">2170584283                    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4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1</v>
      </c>
      <c r="BI3310" s="2">
        <v>1</v>
      </c>
      <c r="BJ3310" s="2">
        <v>0.2</v>
      </c>
      <c r="BK3310" s="2">
        <v>1</v>
      </c>
      <c r="BL3310" s="2">
        <v>41.44</v>
      </c>
      <c r="BM3310" s="2">
        <v>5.8</v>
      </c>
      <c r="BN3310" s="2">
        <v>47.24</v>
      </c>
      <c r="BO3310" s="2">
        <v>47.24</v>
      </c>
      <c r="BP3310" s="2"/>
      <c r="BQ3310" s="2" t="s">
        <v>108</v>
      </c>
      <c r="BR3310" s="2" t="s">
        <v>84</v>
      </c>
      <c r="BS3310" s="3">
        <v>42976</v>
      </c>
      <c r="BT3310" s="4">
        <v>0.5083333333333333</v>
      </c>
      <c r="BU3310" s="2" t="s">
        <v>1078</v>
      </c>
      <c r="BV3310" s="2" t="s">
        <v>95</v>
      </c>
      <c r="BW3310" s="2"/>
      <c r="BX3310" s="2"/>
      <c r="BY3310" s="2">
        <v>1200</v>
      </c>
      <c r="BZ3310" s="2" t="s">
        <v>27</v>
      </c>
      <c r="CA3310" s="2" t="s">
        <v>420</v>
      </c>
      <c r="CB3310" s="2"/>
      <c r="CC3310" s="2" t="s">
        <v>417</v>
      </c>
      <c r="CD3310" s="2">
        <v>7646</v>
      </c>
      <c r="CE3310" s="2" t="s">
        <v>104</v>
      </c>
      <c r="CF3310" s="5">
        <v>42976</v>
      </c>
      <c r="CG3310" s="2"/>
      <c r="CH3310" s="2"/>
      <c r="CI3310" s="2">
        <v>1</v>
      </c>
      <c r="CJ3310" s="2">
        <v>1</v>
      </c>
      <c r="CK3310" s="2">
        <v>21</v>
      </c>
      <c r="CL3310" s="2" t="s">
        <v>86</v>
      </c>
      <c r="CM3310" s="2"/>
    </row>
    <row r="3311" spans="1:91">
      <c r="A3311" s="2" t="s">
        <v>71</v>
      </c>
      <c r="B3311" s="2" t="s">
        <v>72</v>
      </c>
      <c r="C3311" s="2" t="s">
        <v>73</v>
      </c>
      <c r="D3311" s="2"/>
      <c r="E3311" s="2" t="str">
        <f>"FES1162571888"</f>
        <v>FES1162571888</v>
      </c>
      <c r="F3311" s="3">
        <v>42975</v>
      </c>
      <c r="G3311" s="2">
        <v>201802</v>
      </c>
      <c r="H3311" s="2" t="s">
        <v>74</v>
      </c>
      <c r="I3311" s="2" t="s">
        <v>75</v>
      </c>
      <c r="J3311" s="2" t="s">
        <v>76</v>
      </c>
      <c r="K3311" s="2" t="s">
        <v>77</v>
      </c>
      <c r="L3311" s="2" t="s">
        <v>144</v>
      </c>
      <c r="M3311" s="2" t="s">
        <v>145</v>
      </c>
      <c r="N3311" s="2" t="s">
        <v>3416</v>
      </c>
      <c r="O3311" s="2" t="s">
        <v>100</v>
      </c>
      <c r="P3311" s="2" t="str">
        <f>"2170586407                    "</f>
        <v xml:space="preserve">2170586407                    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3.13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  <c r="BG3311" s="2">
        <v>0</v>
      </c>
      <c r="BH3311" s="2">
        <v>1</v>
      </c>
      <c r="BI3311" s="2">
        <v>3.6</v>
      </c>
      <c r="BJ3311" s="2">
        <v>2.2000000000000002</v>
      </c>
      <c r="BK3311" s="2">
        <v>4</v>
      </c>
      <c r="BL3311" s="2">
        <v>32.380000000000003</v>
      </c>
      <c r="BM3311" s="2">
        <v>4.53</v>
      </c>
      <c r="BN3311" s="2">
        <v>36.909999999999997</v>
      </c>
      <c r="BO3311" s="2">
        <v>36.909999999999997</v>
      </c>
      <c r="BP3311" s="2"/>
      <c r="BQ3311" s="2" t="s">
        <v>288</v>
      </c>
      <c r="BR3311" s="2" t="s">
        <v>84</v>
      </c>
      <c r="BS3311" s="3">
        <v>42976</v>
      </c>
      <c r="BT3311" s="4">
        <v>0.34097222222222223</v>
      </c>
      <c r="BU3311" s="2" t="s">
        <v>3417</v>
      </c>
      <c r="BV3311" s="2" t="s">
        <v>95</v>
      </c>
      <c r="BW3311" s="2"/>
      <c r="BX3311" s="2"/>
      <c r="BY3311" s="2">
        <v>11225.63</v>
      </c>
      <c r="BZ3311" s="2"/>
      <c r="CA3311" s="2" t="s">
        <v>274</v>
      </c>
      <c r="CB3311" s="2"/>
      <c r="CC3311" s="2" t="s">
        <v>145</v>
      </c>
      <c r="CD3311" s="2">
        <v>2094</v>
      </c>
      <c r="CE3311" s="2" t="s">
        <v>89</v>
      </c>
      <c r="CF3311" s="5">
        <v>42977</v>
      </c>
      <c r="CG3311" s="2"/>
      <c r="CH3311" s="2"/>
      <c r="CI3311" s="2">
        <v>1</v>
      </c>
      <c r="CJ3311" s="2">
        <v>1</v>
      </c>
      <c r="CK3311" s="2">
        <v>22</v>
      </c>
      <c r="CL3311" s="2" t="s">
        <v>86</v>
      </c>
      <c r="CM3311" s="2"/>
    </row>
    <row r="3312" spans="1:91">
      <c r="A3312" s="2" t="s">
        <v>71</v>
      </c>
      <c r="B3312" s="2" t="s">
        <v>72</v>
      </c>
      <c r="C3312" s="2" t="s">
        <v>73</v>
      </c>
      <c r="D3312" s="2"/>
      <c r="E3312" s="2" t="str">
        <f>"FES1162571891"</f>
        <v>FES1162571891</v>
      </c>
      <c r="F3312" s="3">
        <v>42975</v>
      </c>
      <c r="G3312" s="2">
        <v>201802</v>
      </c>
      <c r="H3312" s="2" t="s">
        <v>74</v>
      </c>
      <c r="I3312" s="2" t="s">
        <v>75</v>
      </c>
      <c r="J3312" s="2" t="s">
        <v>76</v>
      </c>
      <c r="K3312" s="2" t="s">
        <v>77</v>
      </c>
      <c r="L3312" s="2" t="s">
        <v>268</v>
      </c>
      <c r="M3312" s="2" t="s">
        <v>269</v>
      </c>
      <c r="N3312" s="2" t="s">
        <v>493</v>
      </c>
      <c r="O3312" s="2" t="s">
        <v>100</v>
      </c>
      <c r="P3312" s="2" t="str">
        <f>"2170587545                    "</f>
        <v xml:space="preserve">2170587545                    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4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1</v>
      </c>
      <c r="BI3312" s="2">
        <v>1</v>
      </c>
      <c r="BJ3312" s="2">
        <v>0.2</v>
      </c>
      <c r="BK3312" s="2">
        <v>1</v>
      </c>
      <c r="BL3312" s="2">
        <v>41.44</v>
      </c>
      <c r="BM3312" s="2">
        <v>5.8</v>
      </c>
      <c r="BN3312" s="2">
        <v>47.24</v>
      </c>
      <c r="BO3312" s="2">
        <v>47.24</v>
      </c>
      <c r="BP3312" s="2"/>
      <c r="BQ3312" s="2" t="s">
        <v>288</v>
      </c>
      <c r="BR3312" s="2" t="s">
        <v>84</v>
      </c>
      <c r="BS3312" s="3">
        <v>42976</v>
      </c>
      <c r="BT3312" s="4">
        <v>0.40902777777777777</v>
      </c>
      <c r="BU3312" s="2" t="s">
        <v>2398</v>
      </c>
      <c r="BV3312" s="2" t="s">
        <v>95</v>
      </c>
      <c r="BW3312" s="2"/>
      <c r="BX3312" s="2"/>
      <c r="BY3312" s="2">
        <v>1200</v>
      </c>
      <c r="BZ3312" s="2"/>
      <c r="CA3312" s="2"/>
      <c r="CB3312" s="2"/>
      <c r="CC3312" s="2" t="s">
        <v>269</v>
      </c>
      <c r="CD3312" s="2">
        <v>200</v>
      </c>
      <c r="CE3312" s="2" t="s">
        <v>104</v>
      </c>
      <c r="CF3312" s="5">
        <v>42977</v>
      </c>
      <c r="CG3312" s="2"/>
      <c r="CH3312" s="2"/>
      <c r="CI3312" s="2">
        <v>1</v>
      </c>
      <c r="CJ3312" s="2">
        <v>1</v>
      </c>
      <c r="CK3312" s="2">
        <v>21</v>
      </c>
      <c r="CL3312" s="2" t="s">
        <v>86</v>
      </c>
      <c r="CM3312" s="2"/>
    </row>
    <row r="3313" spans="1:91">
      <c r="A3313" s="2" t="s">
        <v>71</v>
      </c>
      <c r="B3313" s="2" t="s">
        <v>72</v>
      </c>
      <c r="C3313" s="2" t="s">
        <v>73</v>
      </c>
      <c r="D3313" s="2"/>
      <c r="E3313" s="2" t="str">
        <f>"FES1162571734"</f>
        <v>FES1162571734</v>
      </c>
      <c r="F3313" s="3">
        <v>42975</v>
      </c>
      <c r="G3313" s="2">
        <v>201802</v>
      </c>
      <c r="H3313" s="2" t="s">
        <v>74</v>
      </c>
      <c r="I3313" s="2" t="s">
        <v>75</v>
      </c>
      <c r="J3313" s="2" t="s">
        <v>76</v>
      </c>
      <c r="K3313" s="2" t="s">
        <v>77</v>
      </c>
      <c r="L3313" s="2" t="s">
        <v>206</v>
      </c>
      <c r="M3313" s="2" t="s">
        <v>207</v>
      </c>
      <c r="N3313" s="2" t="s">
        <v>650</v>
      </c>
      <c r="O3313" s="2" t="s">
        <v>100</v>
      </c>
      <c r="P3313" s="2" t="str">
        <f>"217058465                     "</f>
        <v xml:space="preserve">217058465                     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5.63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  <c r="BG3313" s="2">
        <v>0</v>
      </c>
      <c r="BH3313" s="2">
        <v>1</v>
      </c>
      <c r="BI3313" s="2">
        <v>1</v>
      </c>
      <c r="BJ3313" s="2">
        <v>0.2</v>
      </c>
      <c r="BK3313" s="2">
        <v>1</v>
      </c>
      <c r="BL3313" s="2">
        <v>58.28</v>
      </c>
      <c r="BM3313" s="2">
        <v>8.16</v>
      </c>
      <c r="BN3313" s="2">
        <v>66.44</v>
      </c>
      <c r="BO3313" s="2">
        <v>66.44</v>
      </c>
      <c r="BP3313" s="2"/>
      <c r="BQ3313" s="2" t="s">
        <v>108</v>
      </c>
      <c r="BR3313" s="2" t="s">
        <v>84</v>
      </c>
      <c r="BS3313" s="3">
        <v>42976</v>
      </c>
      <c r="BT3313" s="4">
        <v>0.47152777777777777</v>
      </c>
      <c r="BU3313" s="2" t="s">
        <v>3418</v>
      </c>
      <c r="BV3313" s="2" t="s">
        <v>95</v>
      </c>
      <c r="BW3313" s="2"/>
      <c r="BX3313" s="2"/>
      <c r="BY3313" s="2">
        <v>1200</v>
      </c>
      <c r="BZ3313" s="2"/>
      <c r="CA3313" s="2" t="s">
        <v>640</v>
      </c>
      <c r="CB3313" s="2"/>
      <c r="CC3313" s="2" t="s">
        <v>207</v>
      </c>
      <c r="CD3313" s="2">
        <v>250</v>
      </c>
      <c r="CE3313" s="2" t="s">
        <v>104</v>
      </c>
      <c r="CF3313" s="5">
        <v>42978</v>
      </c>
      <c r="CG3313" s="2"/>
      <c r="CH3313" s="2"/>
      <c r="CI3313" s="2">
        <v>1</v>
      </c>
      <c r="CJ3313" s="2">
        <v>1</v>
      </c>
      <c r="CK3313" s="2">
        <v>24</v>
      </c>
      <c r="CL3313" s="2" t="s">
        <v>86</v>
      </c>
      <c r="CM3313" s="2"/>
    </row>
    <row r="3314" spans="1:91">
      <c r="A3314" s="2" t="s">
        <v>71</v>
      </c>
      <c r="B3314" s="2" t="s">
        <v>72</v>
      </c>
      <c r="C3314" s="2" t="s">
        <v>73</v>
      </c>
      <c r="D3314" s="2"/>
      <c r="E3314" s="2" t="str">
        <f>"FES1162571877"</f>
        <v>FES1162571877</v>
      </c>
      <c r="F3314" s="3">
        <v>42975</v>
      </c>
      <c r="G3314" s="2">
        <v>201802</v>
      </c>
      <c r="H3314" s="2" t="s">
        <v>74</v>
      </c>
      <c r="I3314" s="2" t="s">
        <v>75</v>
      </c>
      <c r="J3314" s="2" t="s">
        <v>76</v>
      </c>
      <c r="K3314" s="2" t="s">
        <v>77</v>
      </c>
      <c r="L3314" s="2" t="s">
        <v>97</v>
      </c>
      <c r="M3314" s="2" t="s">
        <v>98</v>
      </c>
      <c r="N3314" s="2" t="s">
        <v>214</v>
      </c>
      <c r="O3314" s="2" t="s">
        <v>100</v>
      </c>
      <c r="P3314" s="2" t="str">
        <f>"2170587515                    "</f>
        <v xml:space="preserve">2170587515                    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7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1</v>
      </c>
      <c r="BI3314" s="2">
        <v>3.2</v>
      </c>
      <c r="BJ3314" s="2">
        <v>3.3</v>
      </c>
      <c r="BK3314" s="2">
        <v>3.5</v>
      </c>
      <c r="BL3314" s="2">
        <v>72.52</v>
      </c>
      <c r="BM3314" s="2">
        <v>10.15</v>
      </c>
      <c r="BN3314" s="2">
        <v>82.67</v>
      </c>
      <c r="BO3314" s="2">
        <v>82.67</v>
      </c>
      <c r="BP3314" s="2"/>
      <c r="BQ3314" s="2" t="s">
        <v>108</v>
      </c>
      <c r="BR3314" s="2" t="s">
        <v>84</v>
      </c>
      <c r="BS3314" s="3">
        <v>42976</v>
      </c>
      <c r="BT3314" s="4">
        <v>0.31944444444444448</v>
      </c>
      <c r="BU3314" s="2" t="s">
        <v>215</v>
      </c>
      <c r="BV3314" s="2" t="s">
        <v>95</v>
      </c>
      <c r="BW3314" s="2"/>
      <c r="BX3314" s="2"/>
      <c r="BY3314" s="2">
        <v>16458.75</v>
      </c>
      <c r="BZ3314" s="2"/>
      <c r="CA3314" s="2" t="s">
        <v>213</v>
      </c>
      <c r="CB3314" s="2"/>
      <c r="CC3314" s="2" t="s">
        <v>98</v>
      </c>
      <c r="CD3314" s="2">
        <v>6001</v>
      </c>
      <c r="CE3314" s="2" t="s">
        <v>89</v>
      </c>
      <c r="CF3314" s="5">
        <v>42977</v>
      </c>
      <c r="CG3314" s="2"/>
      <c r="CH3314" s="2"/>
      <c r="CI3314" s="2">
        <v>1</v>
      </c>
      <c r="CJ3314" s="2">
        <v>1</v>
      </c>
      <c r="CK3314" s="2">
        <v>21</v>
      </c>
      <c r="CL3314" s="2" t="s">
        <v>86</v>
      </c>
      <c r="CM3314" s="2"/>
    </row>
    <row r="3315" spans="1:91">
      <c r="A3315" s="2" t="s">
        <v>71</v>
      </c>
      <c r="B3315" s="2" t="s">
        <v>72</v>
      </c>
      <c r="C3315" s="2" t="s">
        <v>73</v>
      </c>
      <c r="D3315" s="2"/>
      <c r="E3315" s="2" t="str">
        <f>"FES1162571905"</f>
        <v>FES1162571905</v>
      </c>
      <c r="F3315" s="3">
        <v>42975</v>
      </c>
      <c r="G3315" s="2">
        <v>201802</v>
      </c>
      <c r="H3315" s="2" t="s">
        <v>74</v>
      </c>
      <c r="I3315" s="2" t="s">
        <v>75</v>
      </c>
      <c r="J3315" s="2" t="s">
        <v>76</v>
      </c>
      <c r="K3315" s="2" t="s">
        <v>77</v>
      </c>
      <c r="L3315" s="2" t="s">
        <v>306</v>
      </c>
      <c r="M3315" s="2" t="s">
        <v>307</v>
      </c>
      <c r="N3315" s="2" t="s">
        <v>1805</v>
      </c>
      <c r="O3315" s="2" t="s">
        <v>100</v>
      </c>
      <c r="P3315" s="2" t="str">
        <f>"2170586501                    "</f>
        <v xml:space="preserve">2170586501                    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4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  <c r="BG3315" s="2">
        <v>0</v>
      </c>
      <c r="BH3315" s="2">
        <v>1</v>
      </c>
      <c r="BI3315" s="2">
        <v>1</v>
      </c>
      <c r="BJ3315" s="2">
        <v>0.2</v>
      </c>
      <c r="BK3315" s="2">
        <v>1</v>
      </c>
      <c r="BL3315" s="2">
        <v>41.44</v>
      </c>
      <c r="BM3315" s="2">
        <v>5.8</v>
      </c>
      <c r="BN3315" s="2">
        <v>47.24</v>
      </c>
      <c r="BO3315" s="2">
        <v>47.24</v>
      </c>
      <c r="BP3315" s="2"/>
      <c r="BQ3315" s="2" t="s">
        <v>288</v>
      </c>
      <c r="BR3315" s="2" t="s">
        <v>84</v>
      </c>
      <c r="BS3315" s="3">
        <v>42976</v>
      </c>
      <c r="BT3315" s="4">
        <v>0.42083333333333334</v>
      </c>
      <c r="BU3315" s="2" t="s">
        <v>3419</v>
      </c>
      <c r="BV3315" s="2" t="s">
        <v>95</v>
      </c>
      <c r="BW3315" s="2"/>
      <c r="BX3315" s="2"/>
      <c r="BY3315" s="2">
        <v>1200</v>
      </c>
      <c r="BZ3315" s="2"/>
      <c r="CA3315" s="2" t="s">
        <v>3420</v>
      </c>
      <c r="CB3315" s="2"/>
      <c r="CC3315" s="2" t="s">
        <v>307</v>
      </c>
      <c r="CD3315" s="2">
        <v>1934</v>
      </c>
      <c r="CE3315" s="2" t="s">
        <v>104</v>
      </c>
      <c r="CF3315" s="5">
        <v>42977</v>
      </c>
      <c r="CG3315" s="2"/>
      <c r="CH3315" s="2"/>
      <c r="CI3315" s="2">
        <v>1</v>
      </c>
      <c r="CJ3315" s="2">
        <v>1</v>
      </c>
      <c r="CK3315" s="2">
        <v>21</v>
      </c>
      <c r="CL3315" s="2" t="s">
        <v>86</v>
      </c>
      <c r="CM3315" s="2"/>
    </row>
    <row r="3316" spans="1:91">
      <c r="A3316" s="2" t="s">
        <v>71</v>
      </c>
      <c r="B3316" s="2" t="s">
        <v>72</v>
      </c>
      <c r="C3316" s="2" t="s">
        <v>73</v>
      </c>
      <c r="D3316" s="2"/>
      <c r="E3316" s="2" t="str">
        <f>"FES1162571895"</f>
        <v>FES1162571895</v>
      </c>
      <c r="F3316" s="3">
        <v>42975</v>
      </c>
      <c r="G3316" s="2">
        <v>201802</v>
      </c>
      <c r="H3316" s="2" t="s">
        <v>74</v>
      </c>
      <c r="I3316" s="2" t="s">
        <v>75</v>
      </c>
      <c r="J3316" s="2" t="s">
        <v>76</v>
      </c>
      <c r="K3316" s="2" t="s">
        <v>77</v>
      </c>
      <c r="L3316" s="2" t="s">
        <v>144</v>
      </c>
      <c r="M3316" s="2" t="s">
        <v>145</v>
      </c>
      <c r="N3316" s="2" t="s">
        <v>282</v>
      </c>
      <c r="O3316" s="2" t="s">
        <v>100</v>
      </c>
      <c r="P3316" s="2" t="str">
        <f>"2170587543                    "</f>
        <v xml:space="preserve">2170587543                    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5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1</v>
      </c>
      <c r="BI3316" s="2">
        <v>12.5</v>
      </c>
      <c r="BJ3316" s="2">
        <v>4.0999999999999996</v>
      </c>
      <c r="BK3316" s="2">
        <v>13</v>
      </c>
      <c r="BL3316" s="2">
        <v>51.8</v>
      </c>
      <c r="BM3316" s="2">
        <v>7.25</v>
      </c>
      <c r="BN3316" s="2">
        <v>59.05</v>
      </c>
      <c r="BO3316" s="2">
        <v>59.05</v>
      </c>
      <c r="BP3316" s="2"/>
      <c r="BQ3316" s="2" t="s">
        <v>288</v>
      </c>
      <c r="BR3316" s="2" t="s">
        <v>84</v>
      </c>
      <c r="BS3316" s="3">
        <v>42976</v>
      </c>
      <c r="BT3316" s="4">
        <v>0.3298611111111111</v>
      </c>
      <c r="BU3316" s="2" t="s">
        <v>3421</v>
      </c>
      <c r="BV3316" s="2" t="s">
        <v>95</v>
      </c>
      <c r="BW3316" s="2"/>
      <c r="BX3316" s="2"/>
      <c r="BY3316" s="2">
        <v>20559</v>
      </c>
      <c r="BZ3316" s="2"/>
      <c r="CA3316" s="2" t="s">
        <v>1238</v>
      </c>
      <c r="CB3316" s="2"/>
      <c r="CC3316" s="2" t="s">
        <v>145</v>
      </c>
      <c r="CD3316" s="2">
        <v>2094</v>
      </c>
      <c r="CE3316" s="2" t="s">
        <v>89</v>
      </c>
      <c r="CF3316" s="5">
        <v>42977</v>
      </c>
      <c r="CG3316" s="2"/>
      <c r="CH3316" s="2"/>
      <c r="CI3316" s="2">
        <v>1</v>
      </c>
      <c r="CJ3316" s="2">
        <v>1</v>
      </c>
      <c r="CK3316" s="2">
        <v>22</v>
      </c>
      <c r="CL3316" s="2" t="s">
        <v>86</v>
      </c>
      <c r="CM3316" s="2"/>
    </row>
    <row r="3317" spans="1:91">
      <c r="A3317" s="2" t="s">
        <v>71</v>
      </c>
      <c r="B3317" s="2" t="s">
        <v>72</v>
      </c>
      <c r="C3317" s="2" t="s">
        <v>73</v>
      </c>
      <c r="D3317" s="2"/>
      <c r="E3317" s="2" t="str">
        <f>"FES1162571890"</f>
        <v>FES1162571890</v>
      </c>
      <c r="F3317" s="3">
        <v>42975</v>
      </c>
      <c r="G3317" s="2">
        <v>201802</v>
      </c>
      <c r="H3317" s="2" t="s">
        <v>74</v>
      </c>
      <c r="I3317" s="2" t="s">
        <v>75</v>
      </c>
      <c r="J3317" s="2" t="s">
        <v>76</v>
      </c>
      <c r="K3317" s="2" t="s">
        <v>77</v>
      </c>
      <c r="L3317" s="2" t="s">
        <v>268</v>
      </c>
      <c r="M3317" s="2" t="s">
        <v>269</v>
      </c>
      <c r="N3317" s="2" t="s">
        <v>493</v>
      </c>
      <c r="O3317" s="2" t="s">
        <v>100</v>
      </c>
      <c r="P3317" s="2" t="str">
        <f>"2170587541                    "</f>
        <v xml:space="preserve">2170587541                    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4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1</v>
      </c>
      <c r="BI3317" s="2">
        <v>1</v>
      </c>
      <c r="BJ3317" s="2">
        <v>0.2</v>
      </c>
      <c r="BK3317" s="2">
        <v>1</v>
      </c>
      <c r="BL3317" s="2">
        <v>41.44</v>
      </c>
      <c r="BM3317" s="2">
        <v>5.8</v>
      </c>
      <c r="BN3317" s="2">
        <v>47.24</v>
      </c>
      <c r="BO3317" s="2">
        <v>47.24</v>
      </c>
      <c r="BP3317" s="2"/>
      <c r="BQ3317" s="2" t="s">
        <v>288</v>
      </c>
      <c r="BR3317" s="2" t="s">
        <v>84</v>
      </c>
      <c r="BS3317" s="3">
        <v>42976</v>
      </c>
      <c r="BT3317" s="4">
        <v>0.40902777777777777</v>
      </c>
      <c r="BU3317" s="2" t="s">
        <v>2398</v>
      </c>
      <c r="BV3317" s="2" t="s">
        <v>95</v>
      </c>
      <c r="BW3317" s="2"/>
      <c r="BX3317" s="2"/>
      <c r="BY3317" s="2">
        <v>1200</v>
      </c>
      <c r="BZ3317" s="2"/>
      <c r="CA3317" s="2"/>
      <c r="CB3317" s="2"/>
      <c r="CC3317" s="2" t="s">
        <v>269</v>
      </c>
      <c r="CD3317" s="2">
        <v>200</v>
      </c>
      <c r="CE3317" s="2" t="s">
        <v>104</v>
      </c>
      <c r="CF3317" s="5">
        <v>42977</v>
      </c>
      <c r="CG3317" s="2"/>
      <c r="CH3317" s="2"/>
      <c r="CI3317" s="2">
        <v>1</v>
      </c>
      <c r="CJ3317" s="2">
        <v>1</v>
      </c>
      <c r="CK3317" s="2">
        <v>21</v>
      </c>
      <c r="CL3317" s="2" t="s">
        <v>86</v>
      </c>
      <c r="CM3317" s="2"/>
    </row>
    <row r="3318" spans="1:91">
      <c r="A3318" s="2" t="s">
        <v>71</v>
      </c>
      <c r="B3318" s="2" t="s">
        <v>72</v>
      </c>
      <c r="C3318" s="2" t="s">
        <v>73</v>
      </c>
      <c r="D3318" s="2"/>
      <c r="E3318" s="2" t="str">
        <f>"FES1162571893"</f>
        <v>FES1162571893</v>
      </c>
      <c r="F3318" s="3">
        <v>42975</v>
      </c>
      <c r="G3318" s="2">
        <v>201802</v>
      </c>
      <c r="H3318" s="2" t="s">
        <v>74</v>
      </c>
      <c r="I3318" s="2" t="s">
        <v>75</v>
      </c>
      <c r="J3318" s="2" t="s">
        <v>76</v>
      </c>
      <c r="K3318" s="2" t="s">
        <v>77</v>
      </c>
      <c r="L3318" s="2" t="s">
        <v>619</v>
      </c>
      <c r="M3318" s="2" t="s">
        <v>620</v>
      </c>
      <c r="N3318" s="2" t="s">
        <v>3377</v>
      </c>
      <c r="O3318" s="2" t="s">
        <v>100</v>
      </c>
      <c r="P3318" s="2" t="str">
        <f>"2170587540                    "</f>
        <v xml:space="preserve">2170587540                    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5.63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1</v>
      </c>
      <c r="BI3318" s="2">
        <v>1</v>
      </c>
      <c r="BJ3318" s="2">
        <v>0.2</v>
      </c>
      <c r="BK3318" s="2">
        <v>1</v>
      </c>
      <c r="BL3318" s="2">
        <v>58.28</v>
      </c>
      <c r="BM3318" s="2">
        <v>8.16</v>
      </c>
      <c r="BN3318" s="2">
        <v>66.44</v>
      </c>
      <c r="BO3318" s="2">
        <v>66.44</v>
      </c>
      <c r="BP3318" s="2"/>
      <c r="BQ3318" s="2" t="s">
        <v>288</v>
      </c>
      <c r="BR3318" s="2" t="s">
        <v>84</v>
      </c>
      <c r="BS3318" s="3">
        <v>42976</v>
      </c>
      <c r="BT3318" s="4">
        <v>0.59375</v>
      </c>
      <c r="BU3318" s="2" t="s">
        <v>3378</v>
      </c>
      <c r="BV3318" s="2" t="s">
        <v>95</v>
      </c>
      <c r="BW3318" s="2"/>
      <c r="BX3318" s="2"/>
      <c r="BY3318" s="2">
        <v>1200</v>
      </c>
      <c r="BZ3318" s="2"/>
      <c r="CA3318" s="2" t="s">
        <v>943</v>
      </c>
      <c r="CB3318" s="2"/>
      <c r="CC3318" s="2" t="s">
        <v>620</v>
      </c>
      <c r="CD3318" s="2">
        <v>1001</v>
      </c>
      <c r="CE3318" s="2" t="s">
        <v>104</v>
      </c>
      <c r="CF3318" s="5">
        <v>42977</v>
      </c>
      <c r="CG3318" s="2"/>
      <c r="CH3318" s="2"/>
      <c r="CI3318" s="2">
        <v>1</v>
      </c>
      <c r="CJ3318" s="2">
        <v>1</v>
      </c>
      <c r="CK3318" s="2">
        <v>24</v>
      </c>
      <c r="CL3318" s="2" t="s">
        <v>86</v>
      </c>
      <c r="CM3318" s="2"/>
    </row>
    <row r="3319" spans="1:91">
      <c r="A3319" s="2" t="s">
        <v>71</v>
      </c>
      <c r="B3319" s="2" t="s">
        <v>72</v>
      </c>
      <c r="C3319" s="2" t="s">
        <v>73</v>
      </c>
      <c r="D3319" s="2"/>
      <c r="E3319" s="2" t="str">
        <f>"FES1162571868"</f>
        <v>FES1162571868</v>
      </c>
      <c r="F3319" s="3">
        <v>42975</v>
      </c>
      <c r="G3319" s="2">
        <v>201802</v>
      </c>
      <c r="H3319" s="2" t="s">
        <v>74</v>
      </c>
      <c r="I3319" s="2" t="s">
        <v>75</v>
      </c>
      <c r="J3319" s="2" t="s">
        <v>76</v>
      </c>
      <c r="K3319" s="2" t="s">
        <v>77</v>
      </c>
      <c r="L3319" s="2" t="s">
        <v>806</v>
      </c>
      <c r="M3319" s="2" t="s">
        <v>807</v>
      </c>
      <c r="N3319" s="2" t="s">
        <v>808</v>
      </c>
      <c r="O3319" s="2" t="s">
        <v>100</v>
      </c>
      <c r="P3319" s="2" t="str">
        <f>"2170587507                    "</f>
        <v xml:space="preserve">2170587507                    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16.59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1</v>
      </c>
      <c r="BI3319" s="2">
        <v>5.9</v>
      </c>
      <c r="BJ3319" s="2">
        <v>2.2999999999999998</v>
      </c>
      <c r="BK3319" s="2">
        <v>6</v>
      </c>
      <c r="BL3319" s="2">
        <v>171.8</v>
      </c>
      <c r="BM3319" s="2">
        <v>24.05</v>
      </c>
      <c r="BN3319" s="2">
        <v>195.85</v>
      </c>
      <c r="BO3319" s="2">
        <v>195.85</v>
      </c>
      <c r="BP3319" s="2"/>
      <c r="BQ3319" s="2" t="s">
        <v>83</v>
      </c>
      <c r="BR3319" s="2" t="s">
        <v>84</v>
      </c>
      <c r="BS3319" s="3">
        <v>42976</v>
      </c>
      <c r="BT3319" s="4">
        <v>0.41666666666666669</v>
      </c>
      <c r="BU3319" s="2" t="s">
        <v>809</v>
      </c>
      <c r="BV3319" s="2" t="s">
        <v>95</v>
      </c>
      <c r="BW3319" s="2"/>
      <c r="BX3319" s="2"/>
      <c r="BY3319" s="2">
        <v>11668.52</v>
      </c>
      <c r="BZ3319" s="2"/>
      <c r="CA3319" s="2"/>
      <c r="CB3319" s="2"/>
      <c r="CC3319" s="2" t="s">
        <v>807</v>
      </c>
      <c r="CD3319" s="2">
        <v>2410</v>
      </c>
      <c r="CE3319" s="2" t="s">
        <v>89</v>
      </c>
      <c r="CF3319" s="5">
        <v>42977</v>
      </c>
      <c r="CG3319" s="2"/>
      <c r="CH3319" s="2"/>
      <c r="CI3319" s="2">
        <v>1</v>
      </c>
      <c r="CJ3319" s="2">
        <v>1</v>
      </c>
      <c r="CK3319" s="2">
        <v>24</v>
      </c>
      <c r="CL3319" s="2" t="s">
        <v>86</v>
      </c>
      <c r="CM3319" s="2"/>
    </row>
    <row r="3320" spans="1:91">
      <c r="A3320" s="2" t="s">
        <v>71</v>
      </c>
      <c r="B3320" s="2" t="s">
        <v>72</v>
      </c>
      <c r="C3320" s="2" t="s">
        <v>73</v>
      </c>
      <c r="D3320" s="2"/>
      <c r="E3320" s="2" t="str">
        <f>"FES1162571852"</f>
        <v>FES1162571852</v>
      </c>
      <c r="F3320" s="3">
        <v>42975</v>
      </c>
      <c r="G3320" s="2">
        <v>201802</v>
      </c>
      <c r="H3320" s="2" t="s">
        <v>74</v>
      </c>
      <c r="I3320" s="2" t="s">
        <v>75</v>
      </c>
      <c r="J3320" s="2" t="s">
        <v>76</v>
      </c>
      <c r="K3320" s="2" t="s">
        <v>77</v>
      </c>
      <c r="L3320" s="2" t="s">
        <v>237</v>
      </c>
      <c r="M3320" s="2" t="s">
        <v>238</v>
      </c>
      <c r="N3320" s="2" t="s">
        <v>669</v>
      </c>
      <c r="O3320" s="2" t="s">
        <v>100</v>
      </c>
      <c r="P3320" s="2" t="str">
        <f>"2170587484                    "</f>
        <v xml:space="preserve">2170587484                    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4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1</v>
      </c>
      <c r="BI3320" s="2">
        <v>2</v>
      </c>
      <c r="BJ3320" s="2">
        <v>0.2</v>
      </c>
      <c r="BK3320" s="2">
        <v>2</v>
      </c>
      <c r="BL3320" s="2">
        <v>41.44</v>
      </c>
      <c r="BM3320" s="2">
        <v>5.8</v>
      </c>
      <c r="BN3320" s="2">
        <v>47.24</v>
      </c>
      <c r="BO3320" s="2">
        <v>47.24</v>
      </c>
      <c r="BP3320" s="2"/>
      <c r="BQ3320" s="2" t="s">
        <v>288</v>
      </c>
      <c r="BR3320" s="2" t="s">
        <v>84</v>
      </c>
      <c r="BS3320" s="3">
        <v>42976</v>
      </c>
      <c r="BT3320" s="4">
        <v>0.38958333333333334</v>
      </c>
      <c r="BU3320" s="2" t="s">
        <v>3364</v>
      </c>
      <c r="BV3320" s="2" t="s">
        <v>95</v>
      </c>
      <c r="BW3320" s="2"/>
      <c r="BX3320" s="2"/>
      <c r="BY3320" s="2">
        <v>1200</v>
      </c>
      <c r="BZ3320" s="2"/>
      <c r="CA3320" s="2" t="s">
        <v>2155</v>
      </c>
      <c r="CB3320" s="2"/>
      <c r="CC3320" s="2" t="s">
        <v>238</v>
      </c>
      <c r="CD3320" s="2">
        <v>3610</v>
      </c>
      <c r="CE3320" s="2" t="s">
        <v>104</v>
      </c>
      <c r="CF3320" s="5">
        <v>42977</v>
      </c>
      <c r="CG3320" s="2"/>
      <c r="CH3320" s="2"/>
      <c r="CI3320" s="2">
        <v>1</v>
      </c>
      <c r="CJ3320" s="2">
        <v>1</v>
      </c>
      <c r="CK3320" s="2">
        <v>21</v>
      </c>
      <c r="CL3320" s="2" t="s">
        <v>86</v>
      </c>
      <c r="CM3320" s="2"/>
    </row>
    <row r="3321" spans="1:91">
      <c r="A3321" s="2" t="s">
        <v>71</v>
      </c>
      <c r="B3321" s="2" t="s">
        <v>72</v>
      </c>
      <c r="C3321" s="2" t="s">
        <v>73</v>
      </c>
      <c r="D3321" s="2"/>
      <c r="E3321" s="2" t="str">
        <f>"FES1162571898"</f>
        <v>FES1162571898</v>
      </c>
      <c r="F3321" s="3">
        <v>42975</v>
      </c>
      <c r="G3321" s="2">
        <v>201802</v>
      </c>
      <c r="H3321" s="2" t="s">
        <v>74</v>
      </c>
      <c r="I3321" s="2" t="s">
        <v>75</v>
      </c>
      <c r="J3321" s="2" t="s">
        <v>76</v>
      </c>
      <c r="K3321" s="2" t="s">
        <v>77</v>
      </c>
      <c r="L3321" s="2" t="s">
        <v>343</v>
      </c>
      <c r="M3321" s="2" t="s">
        <v>344</v>
      </c>
      <c r="N3321" s="2" t="s">
        <v>351</v>
      </c>
      <c r="O3321" s="2" t="s">
        <v>100</v>
      </c>
      <c r="P3321" s="2" t="str">
        <f>"2170587547                    "</f>
        <v xml:space="preserve">2170587547                    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22.01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1</v>
      </c>
      <c r="BI3321" s="2">
        <v>4.0999999999999996</v>
      </c>
      <c r="BJ3321" s="2">
        <v>10.7</v>
      </c>
      <c r="BK3321" s="2">
        <v>11</v>
      </c>
      <c r="BL3321" s="2">
        <v>227.93</v>
      </c>
      <c r="BM3321" s="2">
        <v>31.91</v>
      </c>
      <c r="BN3321" s="2">
        <v>259.83999999999997</v>
      </c>
      <c r="BO3321" s="2">
        <v>259.83999999999997</v>
      </c>
      <c r="BP3321" s="2"/>
      <c r="BQ3321" s="2" t="s">
        <v>108</v>
      </c>
      <c r="BR3321" s="2" t="s">
        <v>84</v>
      </c>
      <c r="BS3321" s="3">
        <v>42976</v>
      </c>
      <c r="BT3321" s="4">
        <v>0.4375</v>
      </c>
      <c r="BU3321" s="2" t="s">
        <v>352</v>
      </c>
      <c r="BV3321" s="2" t="s">
        <v>95</v>
      </c>
      <c r="BW3321" s="2"/>
      <c r="BX3321" s="2"/>
      <c r="BY3321" s="2">
        <v>53693.51</v>
      </c>
      <c r="BZ3321" s="2"/>
      <c r="CA3321" s="2" t="s">
        <v>347</v>
      </c>
      <c r="CB3321" s="2"/>
      <c r="CC3321" s="2" t="s">
        <v>344</v>
      </c>
      <c r="CD3321" s="2">
        <v>4133</v>
      </c>
      <c r="CE3321" s="2" t="s">
        <v>89</v>
      </c>
      <c r="CF3321" s="5">
        <v>42977</v>
      </c>
      <c r="CG3321" s="2"/>
      <c r="CH3321" s="2"/>
      <c r="CI3321" s="2">
        <v>1</v>
      </c>
      <c r="CJ3321" s="2">
        <v>1</v>
      </c>
      <c r="CK3321" s="2">
        <v>21</v>
      </c>
      <c r="CL3321" s="2" t="s">
        <v>86</v>
      </c>
      <c r="CM3321" s="2"/>
    </row>
    <row r="3322" spans="1:91">
      <c r="A3322" s="2" t="s">
        <v>71</v>
      </c>
      <c r="B3322" s="2" t="s">
        <v>72</v>
      </c>
      <c r="C3322" s="2" t="s">
        <v>73</v>
      </c>
      <c r="D3322" s="2"/>
      <c r="E3322" s="2" t="str">
        <f>"FES1162571884"</f>
        <v>FES1162571884</v>
      </c>
      <c r="F3322" s="3">
        <v>42975</v>
      </c>
      <c r="G3322" s="2">
        <v>201802</v>
      </c>
      <c r="H3322" s="2" t="s">
        <v>74</v>
      </c>
      <c r="I3322" s="2" t="s">
        <v>75</v>
      </c>
      <c r="J3322" s="2" t="s">
        <v>76</v>
      </c>
      <c r="K3322" s="2" t="s">
        <v>77</v>
      </c>
      <c r="L3322" s="2" t="s">
        <v>216</v>
      </c>
      <c r="M3322" s="2" t="s">
        <v>217</v>
      </c>
      <c r="N3322" s="2" t="s">
        <v>3091</v>
      </c>
      <c r="O3322" s="2" t="s">
        <v>100</v>
      </c>
      <c r="P3322" s="2" t="str">
        <f>"2170587526                    "</f>
        <v xml:space="preserve">2170587526                    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3.13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1</v>
      </c>
      <c r="BI3322" s="2">
        <v>1</v>
      </c>
      <c r="BJ3322" s="2">
        <v>0.2</v>
      </c>
      <c r="BK3322" s="2">
        <v>1</v>
      </c>
      <c r="BL3322" s="2">
        <v>32.380000000000003</v>
      </c>
      <c r="BM3322" s="2">
        <v>4.53</v>
      </c>
      <c r="BN3322" s="2">
        <v>36.909999999999997</v>
      </c>
      <c r="BO3322" s="2">
        <v>36.909999999999997</v>
      </c>
      <c r="BP3322" s="2"/>
      <c r="BQ3322" s="2" t="s">
        <v>288</v>
      </c>
      <c r="BR3322" s="2" t="s">
        <v>84</v>
      </c>
      <c r="BS3322" s="3">
        <v>42976</v>
      </c>
      <c r="BT3322" s="4">
        <v>0.3840277777777778</v>
      </c>
      <c r="BU3322" s="2" t="s">
        <v>888</v>
      </c>
      <c r="BV3322" s="2" t="s">
        <v>95</v>
      </c>
      <c r="BW3322" s="2"/>
      <c r="BX3322" s="2"/>
      <c r="BY3322" s="2">
        <v>1200</v>
      </c>
      <c r="BZ3322" s="2"/>
      <c r="CA3322" s="2" t="s">
        <v>220</v>
      </c>
      <c r="CB3322" s="2"/>
      <c r="CC3322" s="2" t="s">
        <v>217</v>
      </c>
      <c r="CD3322" s="2">
        <v>1451</v>
      </c>
      <c r="CE3322" s="2" t="s">
        <v>104</v>
      </c>
      <c r="CF3322" s="5">
        <v>42977</v>
      </c>
      <c r="CG3322" s="2"/>
      <c r="CH3322" s="2"/>
      <c r="CI3322" s="2">
        <v>1</v>
      </c>
      <c r="CJ3322" s="2">
        <v>1</v>
      </c>
      <c r="CK3322" s="2">
        <v>22</v>
      </c>
      <c r="CL3322" s="2" t="s">
        <v>86</v>
      </c>
      <c r="CM3322" s="2"/>
    </row>
    <row r="3323" spans="1:91">
      <c r="A3323" s="2" t="s">
        <v>71</v>
      </c>
      <c r="B3323" s="2" t="s">
        <v>72</v>
      </c>
      <c r="C3323" s="2" t="s">
        <v>73</v>
      </c>
      <c r="D3323" s="2"/>
      <c r="E3323" s="2" t="str">
        <f>"FES1162571889"</f>
        <v>FES1162571889</v>
      </c>
      <c r="F3323" s="3">
        <v>42975</v>
      </c>
      <c r="G3323" s="2">
        <v>201802</v>
      </c>
      <c r="H3323" s="2" t="s">
        <v>74</v>
      </c>
      <c r="I3323" s="2" t="s">
        <v>75</v>
      </c>
      <c r="J3323" s="2" t="s">
        <v>76</v>
      </c>
      <c r="K3323" s="2" t="s">
        <v>77</v>
      </c>
      <c r="L3323" s="2" t="s">
        <v>74</v>
      </c>
      <c r="M3323" s="2" t="s">
        <v>75</v>
      </c>
      <c r="N3323" s="2" t="s">
        <v>3422</v>
      </c>
      <c r="O3323" s="2" t="s">
        <v>100</v>
      </c>
      <c r="P3323" s="2" t="str">
        <f>"2170587535                    "</f>
        <v xml:space="preserve">2170587535                    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3.13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1</v>
      </c>
      <c r="BI3323" s="2">
        <v>2</v>
      </c>
      <c r="BJ3323" s="2">
        <v>0.2</v>
      </c>
      <c r="BK3323" s="2">
        <v>2</v>
      </c>
      <c r="BL3323" s="2">
        <v>32.380000000000003</v>
      </c>
      <c r="BM3323" s="2">
        <v>4.53</v>
      </c>
      <c r="BN3323" s="2">
        <v>36.909999999999997</v>
      </c>
      <c r="BO3323" s="2">
        <v>36.909999999999997</v>
      </c>
      <c r="BP3323" s="2"/>
      <c r="BQ3323" s="2" t="s">
        <v>108</v>
      </c>
      <c r="BR3323" s="2" t="s">
        <v>84</v>
      </c>
      <c r="BS3323" s="3">
        <v>42976</v>
      </c>
      <c r="BT3323" s="4">
        <v>0.3659722222222222</v>
      </c>
      <c r="BU3323" s="2" t="s">
        <v>3423</v>
      </c>
      <c r="BV3323" s="2" t="s">
        <v>95</v>
      </c>
      <c r="BW3323" s="2"/>
      <c r="BX3323" s="2"/>
      <c r="BY3323" s="2">
        <v>1200</v>
      </c>
      <c r="BZ3323" s="2"/>
      <c r="CA3323" s="2" t="s">
        <v>194</v>
      </c>
      <c r="CB3323" s="2"/>
      <c r="CC3323" s="2" t="s">
        <v>75</v>
      </c>
      <c r="CD3323" s="2">
        <v>1665</v>
      </c>
      <c r="CE3323" s="2" t="s">
        <v>104</v>
      </c>
      <c r="CF3323" s="5">
        <v>42977</v>
      </c>
      <c r="CG3323" s="2"/>
      <c r="CH3323" s="2"/>
      <c r="CI3323" s="2">
        <v>1</v>
      </c>
      <c r="CJ3323" s="2">
        <v>1</v>
      </c>
      <c r="CK3323" s="2">
        <v>22</v>
      </c>
      <c r="CL3323" s="2" t="s">
        <v>86</v>
      </c>
      <c r="CM3323" s="2"/>
    </row>
    <row r="3324" spans="1:91">
      <c r="A3324" s="2" t="s">
        <v>71</v>
      </c>
      <c r="B3324" s="2" t="s">
        <v>72</v>
      </c>
      <c r="C3324" s="2" t="s">
        <v>73</v>
      </c>
      <c r="D3324" s="2"/>
      <c r="E3324" s="2" t="str">
        <f>"FES1162571859"</f>
        <v>FES1162571859</v>
      </c>
      <c r="F3324" s="3">
        <v>42975</v>
      </c>
      <c r="G3324" s="2">
        <v>201802</v>
      </c>
      <c r="H3324" s="2" t="s">
        <v>74</v>
      </c>
      <c r="I3324" s="2" t="s">
        <v>75</v>
      </c>
      <c r="J3324" s="2" t="s">
        <v>76</v>
      </c>
      <c r="K3324" s="2" t="s">
        <v>77</v>
      </c>
      <c r="L3324" s="2" t="s">
        <v>105</v>
      </c>
      <c r="M3324" s="2" t="s">
        <v>106</v>
      </c>
      <c r="N3324" s="2" t="s">
        <v>253</v>
      </c>
      <c r="O3324" s="2" t="s">
        <v>100</v>
      </c>
      <c r="P3324" s="2" t="str">
        <f>"2170587493                    "</f>
        <v xml:space="preserve">2170587493                    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4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1</v>
      </c>
      <c r="BI3324" s="2">
        <v>1</v>
      </c>
      <c r="BJ3324" s="2">
        <v>0.2</v>
      </c>
      <c r="BK3324" s="2">
        <v>1</v>
      </c>
      <c r="BL3324" s="2">
        <v>41.44</v>
      </c>
      <c r="BM3324" s="2">
        <v>5.8</v>
      </c>
      <c r="BN3324" s="2">
        <v>47.24</v>
      </c>
      <c r="BO3324" s="2">
        <v>47.24</v>
      </c>
      <c r="BP3324" s="2"/>
      <c r="BQ3324" s="2" t="s">
        <v>108</v>
      </c>
      <c r="BR3324" s="2" t="s">
        <v>84</v>
      </c>
      <c r="BS3324" s="3">
        <v>42976</v>
      </c>
      <c r="BT3324" s="4">
        <v>0.42499999999999999</v>
      </c>
      <c r="BU3324" s="2" t="s">
        <v>1074</v>
      </c>
      <c r="BV3324" s="2" t="s">
        <v>95</v>
      </c>
      <c r="BW3324" s="2"/>
      <c r="BX3324" s="2"/>
      <c r="BY3324" s="2">
        <v>1200</v>
      </c>
      <c r="BZ3324" s="2"/>
      <c r="CA3324" s="2" t="s">
        <v>654</v>
      </c>
      <c r="CB3324" s="2"/>
      <c r="CC3324" s="2" t="s">
        <v>106</v>
      </c>
      <c r="CD3324" s="2">
        <v>7490</v>
      </c>
      <c r="CE3324" s="2" t="s">
        <v>104</v>
      </c>
      <c r="CF3324" s="5">
        <v>42977</v>
      </c>
      <c r="CG3324" s="2"/>
      <c r="CH3324" s="2"/>
      <c r="CI3324" s="2">
        <v>1</v>
      </c>
      <c r="CJ3324" s="2">
        <v>1</v>
      </c>
      <c r="CK3324" s="2">
        <v>21</v>
      </c>
      <c r="CL3324" s="2" t="s">
        <v>86</v>
      </c>
      <c r="CM3324" s="2"/>
    </row>
    <row r="3325" spans="1:91">
      <c r="A3325" s="2" t="s">
        <v>71</v>
      </c>
      <c r="B3325" s="2" t="s">
        <v>72</v>
      </c>
      <c r="C3325" s="2" t="s">
        <v>73</v>
      </c>
      <c r="D3325" s="2"/>
      <c r="E3325" s="2" t="str">
        <f>"FES1162571903"</f>
        <v>FES1162571903</v>
      </c>
      <c r="F3325" s="3">
        <v>42975</v>
      </c>
      <c r="G3325" s="2">
        <v>201802</v>
      </c>
      <c r="H3325" s="2" t="s">
        <v>74</v>
      </c>
      <c r="I3325" s="2" t="s">
        <v>75</v>
      </c>
      <c r="J3325" s="2" t="s">
        <v>76</v>
      </c>
      <c r="K3325" s="2" t="s">
        <v>77</v>
      </c>
      <c r="L3325" s="2" t="s">
        <v>231</v>
      </c>
      <c r="M3325" s="2" t="s">
        <v>232</v>
      </c>
      <c r="N3325" s="2" t="s">
        <v>233</v>
      </c>
      <c r="O3325" s="2" t="s">
        <v>100</v>
      </c>
      <c r="P3325" s="2" t="str">
        <f>"2170587557                    "</f>
        <v xml:space="preserve">2170587557                    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4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1</v>
      </c>
      <c r="BI3325" s="2">
        <v>1</v>
      </c>
      <c r="BJ3325" s="2">
        <v>0.2</v>
      </c>
      <c r="BK3325" s="2">
        <v>1</v>
      </c>
      <c r="BL3325" s="2">
        <v>41.44</v>
      </c>
      <c r="BM3325" s="2">
        <v>5.8</v>
      </c>
      <c r="BN3325" s="2">
        <v>47.24</v>
      </c>
      <c r="BO3325" s="2">
        <v>47.24</v>
      </c>
      <c r="BP3325" s="2"/>
      <c r="BQ3325" s="2" t="s">
        <v>83</v>
      </c>
      <c r="BR3325" s="2" t="s">
        <v>84</v>
      </c>
      <c r="BS3325" s="3">
        <v>42976</v>
      </c>
      <c r="BT3325" s="4">
        <v>0.32847222222222222</v>
      </c>
      <c r="BU3325" s="2" t="s">
        <v>3030</v>
      </c>
      <c r="BV3325" s="2" t="s">
        <v>95</v>
      </c>
      <c r="BW3325" s="2"/>
      <c r="BX3325" s="2"/>
      <c r="BY3325" s="2">
        <v>1200</v>
      </c>
      <c r="BZ3325" s="2"/>
      <c r="CA3325" s="2" t="s">
        <v>235</v>
      </c>
      <c r="CB3325" s="2"/>
      <c r="CC3325" s="2" t="s">
        <v>232</v>
      </c>
      <c r="CD3325" s="2">
        <v>4026</v>
      </c>
      <c r="CE3325" s="2" t="s">
        <v>104</v>
      </c>
      <c r="CF3325" s="5">
        <v>42977</v>
      </c>
      <c r="CG3325" s="2"/>
      <c r="CH3325" s="2"/>
      <c r="CI3325" s="2">
        <v>1</v>
      </c>
      <c r="CJ3325" s="2">
        <v>1</v>
      </c>
      <c r="CK3325" s="2">
        <v>21</v>
      </c>
      <c r="CL3325" s="2" t="s">
        <v>86</v>
      </c>
      <c r="CM3325" s="2"/>
    </row>
    <row r="3326" spans="1:91">
      <c r="A3326" s="2" t="s">
        <v>71</v>
      </c>
      <c r="B3326" s="2" t="s">
        <v>72</v>
      </c>
      <c r="C3326" s="2" t="s">
        <v>73</v>
      </c>
      <c r="D3326" s="2"/>
      <c r="E3326" s="2" t="str">
        <f>"FES1162571876"</f>
        <v>FES1162571876</v>
      </c>
      <c r="F3326" s="3">
        <v>42975</v>
      </c>
      <c r="G3326" s="2">
        <v>201802</v>
      </c>
      <c r="H3326" s="2" t="s">
        <v>74</v>
      </c>
      <c r="I3326" s="2" t="s">
        <v>75</v>
      </c>
      <c r="J3326" s="2" t="s">
        <v>76</v>
      </c>
      <c r="K3326" s="2" t="s">
        <v>77</v>
      </c>
      <c r="L3326" s="2" t="s">
        <v>105</v>
      </c>
      <c r="M3326" s="2" t="s">
        <v>106</v>
      </c>
      <c r="N3326" s="2" t="s">
        <v>397</v>
      </c>
      <c r="O3326" s="2" t="s">
        <v>100</v>
      </c>
      <c r="P3326" s="2" t="str">
        <f>"2170587514                    "</f>
        <v xml:space="preserve">2170587514                    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4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1</v>
      </c>
      <c r="BI3326" s="2">
        <v>1</v>
      </c>
      <c r="BJ3326" s="2">
        <v>0.2</v>
      </c>
      <c r="BK3326" s="2">
        <v>1</v>
      </c>
      <c r="BL3326" s="2">
        <v>41.44</v>
      </c>
      <c r="BM3326" s="2">
        <v>5.8</v>
      </c>
      <c r="BN3326" s="2">
        <v>47.24</v>
      </c>
      <c r="BO3326" s="2">
        <v>47.24</v>
      </c>
      <c r="BP3326" s="2"/>
      <c r="BQ3326" s="2" t="s">
        <v>83</v>
      </c>
      <c r="BR3326" s="2" t="s">
        <v>84</v>
      </c>
      <c r="BS3326" s="3">
        <v>42976</v>
      </c>
      <c r="BT3326" s="4">
        <v>0.37638888888888888</v>
      </c>
      <c r="BU3326" s="2" t="s">
        <v>1942</v>
      </c>
      <c r="BV3326" s="2" t="s">
        <v>95</v>
      </c>
      <c r="BW3326" s="2"/>
      <c r="BX3326" s="2"/>
      <c r="BY3326" s="2">
        <v>1200</v>
      </c>
      <c r="BZ3326" s="2"/>
      <c r="CA3326" s="2" t="s">
        <v>856</v>
      </c>
      <c r="CB3326" s="2"/>
      <c r="CC3326" s="2" t="s">
        <v>106</v>
      </c>
      <c r="CD3326" s="2">
        <v>7405</v>
      </c>
      <c r="CE3326" s="2" t="s">
        <v>104</v>
      </c>
      <c r="CF3326" s="5">
        <v>42977</v>
      </c>
      <c r="CG3326" s="2"/>
      <c r="CH3326" s="2"/>
      <c r="CI3326" s="2">
        <v>1</v>
      </c>
      <c r="CJ3326" s="2">
        <v>1</v>
      </c>
      <c r="CK3326" s="2">
        <v>21</v>
      </c>
      <c r="CL3326" s="2" t="s">
        <v>86</v>
      </c>
      <c r="CM3326" s="2"/>
    </row>
    <row r="3327" spans="1:91">
      <c r="A3327" s="2" t="s">
        <v>71</v>
      </c>
      <c r="B3327" s="2" t="s">
        <v>72</v>
      </c>
      <c r="C3327" s="2" t="s">
        <v>73</v>
      </c>
      <c r="D3327" s="2"/>
      <c r="E3327" s="2" t="str">
        <f>"FES1162571862"</f>
        <v>FES1162571862</v>
      </c>
      <c r="F3327" s="3">
        <v>42975</v>
      </c>
      <c r="G3327" s="2">
        <v>201802</v>
      </c>
      <c r="H3327" s="2" t="s">
        <v>74</v>
      </c>
      <c r="I3327" s="2" t="s">
        <v>75</v>
      </c>
      <c r="J3327" s="2" t="s">
        <v>76</v>
      </c>
      <c r="K3327" s="2" t="s">
        <v>77</v>
      </c>
      <c r="L3327" s="2" t="s">
        <v>604</v>
      </c>
      <c r="M3327" s="2" t="s">
        <v>605</v>
      </c>
      <c r="N3327" s="2" t="s">
        <v>391</v>
      </c>
      <c r="O3327" s="2" t="s">
        <v>100</v>
      </c>
      <c r="P3327" s="2" t="str">
        <f>"2170587497                    "</f>
        <v xml:space="preserve">2170587497                    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17.010000000000002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2</v>
      </c>
      <c r="BI3327" s="2">
        <v>8.1</v>
      </c>
      <c r="BJ3327" s="2">
        <v>3.1</v>
      </c>
      <c r="BK3327" s="2">
        <v>8.5</v>
      </c>
      <c r="BL3327" s="2">
        <v>176.13</v>
      </c>
      <c r="BM3327" s="2">
        <v>24.66</v>
      </c>
      <c r="BN3327" s="2">
        <v>200.79</v>
      </c>
      <c r="BO3327" s="2">
        <v>200.79</v>
      </c>
      <c r="BP3327" s="2"/>
      <c r="BQ3327" s="2" t="s">
        <v>288</v>
      </c>
      <c r="BR3327" s="2" t="s">
        <v>84</v>
      </c>
      <c r="BS3327" s="3">
        <v>42976</v>
      </c>
      <c r="BT3327" s="4">
        <v>0.35416666666666669</v>
      </c>
      <c r="BU3327" s="2" t="s">
        <v>3424</v>
      </c>
      <c r="BV3327" s="2" t="s">
        <v>95</v>
      </c>
      <c r="BW3327" s="2"/>
      <c r="BX3327" s="2"/>
      <c r="BY3327" s="2">
        <v>15445.88</v>
      </c>
      <c r="BZ3327" s="2"/>
      <c r="CA3327" s="2" t="s">
        <v>607</v>
      </c>
      <c r="CB3327" s="2"/>
      <c r="CC3327" s="2" t="s">
        <v>605</v>
      </c>
      <c r="CD3327" s="2">
        <v>4126</v>
      </c>
      <c r="CE3327" s="2" t="s">
        <v>104</v>
      </c>
      <c r="CF3327" s="5">
        <v>42977</v>
      </c>
      <c r="CG3327" s="2"/>
      <c r="CH3327" s="2"/>
      <c r="CI3327" s="2">
        <v>1</v>
      </c>
      <c r="CJ3327" s="2">
        <v>1</v>
      </c>
      <c r="CK3327" s="2">
        <v>21</v>
      </c>
      <c r="CL3327" s="2" t="s">
        <v>86</v>
      </c>
      <c r="CM3327" s="2"/>
    </row>
    <row r="3328" spans="1:91">
      <c r="A3328" s="2" t="s">
        <v>71</v>
      </c>
      <c r="B3328" s="2" t="s">
        <v>72</v>
      </c>
      <c r="C3328" s="2" t="s">
        <v>73</v>
      </c>
      <c r="D3328" s="2"/>
      <c r="E3328" s="2" t="str">
        <f>"FES1162571870"</f>
        <v>FES1162571870</v>
      </c>
      <c r="F3328" s="3">
        <v>42975</v>
      </c>
      <c r="G3328" s="2">
        <v>201802</v>
      </c>
      <c r="H3328" s="2" t="s">
        <v>74</v>
      </c>
      <c r="I3328" s="2" t="s">
        <v>75</v>
      </c>
      <c r="J3328" s="2" t="s">
        <v>76</v>
      </c>
      <c r="K3328" s="2" t="s">
        <v>77</v>
      </c>
      <c r="L3328" s="2" t="s">
        <v>944</v>
      </c>
      <c r="M3328" s="2" t="s">
        <v>944</v>
      </c>
      <c r="N3328" s="2" t="s">
        <v>1096</v>
      </c>
      <c r="O3328" s="2" t="s">
        <v>100</v>
      </c>
      <c r="P3328" s="2" t="str">
        <f>"2170586937                    "</f>
        <v xml:space="preserve">2170586937                    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19.329999999999998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1</v>
      </c>
      <c r="BI3328" s="2">
        <v>7</v>
      </c>
      <c r="BJ3328" s="2">
        <v>4.3</v>
      </c>
      <c r="BK3328" s="2">
        <v>7</v>
      </c>
      <c r="BL3328" s="2">
        <v>200.18</v>
      </c>
      <c r="BM3328" s="2">
        <v>28.03</v>
      </c>
      <c r="BN3328" s="2">
        <v>228.21</v>
      </c>
      <c r="BO3328" s="2">
        <v>228.21</v>
      </c>
      <c r="BP3328" s="2"/>
      <c r="BQ3328" s="2" t="s">
        <v>227</v>
      </c>
      <c r="BR3328" s="2" t="s">
        <v>84</v>
      </c>
      <c r="BS3328" s="3">
        <v>42976</v>
      </c>
      <c r="BT3328" s="4">
        <v>0.3888888888888889</v>
      </c>
      <c r="BU3328" s="2" t="s">
        <v>3425</v>
      </c>
      <c r="BV3328" s="2" t="s">
        <v>95</v>
      </c>
      <c r="BW3328" s="2"/>
      <c r="BX3328" s="2"/>
      <c r="BY3328" s="2">
        <v>21400</v>
      </c>
      <c r="BZ3328" s="2"/>
      <c r="CA3328" s="2" t="s">
        <v>1098</v>
      </c>
      <c r="CB3328" s="2"/>
      <c r="CC3328" s="2" t="s">
        <v>944</v>
      </c>
      <c r="CD3328" s="2">
        <v>1490</v>
      </c>
      <c r="CE3328" s="2" t="s">
        <v>89</v>
      </c>
      <c r="CF3328" s="5">
        <v>42977</v>
      </c>
      <c r="CG3328" s="2"/>
      <c r="CH3328" s="2"/>
      <c r="CI3328" s="2">
        <v>1</v>
      </c>
      <c r="CJ3328" s="2">
        <v>1</v>
      </c>
      <c r="CK3328" s="2">
        <v>24</v>
      </c>
      <c r="CL3328" s="2" t="s">
        <v>86</v>
      </c>
      <c r="CM3328" s="2"/>
    </row>
    <row r="3329" spans="1:91">
      <c r="A3329" s="2" t="s">
        <v>71</v>
      </c>
      <c r="B3329" s="2" t="s">
        <v>72</v>
      </c>
      <c r="C3329" s="2" t="s">
        <v>73</v>
      </c>
      <c r="D3329" s="2"/>
      <c r="E3329" s="2" t="str">
        <f>"FES1162571741"</f>
        <v>FES1162571741</v>
      </c>
      <c r="F3329" s="3">
        <v>42975</v>
      </c>
      <c r="G3329" s="2">
        <v>201802</v>
      </c>
      <c r="H3329" s="2" t="s">
        <v>74</v>
      </c>
      <c r="I3329" s="2" t="s">
        <v>75</v>
      </c>
      <c r="J3329" s="2" t="s">
        <v>76</v>
      </c>
      <c r="K3329" s="2" t="s">
        <v>77</v>
      </c>
      <c r="L3329" s="2" t="s">
        <v>343</v>
      </c>
      <c r="M3329" s="2" t="s">
        <v>344</v>
      </c>
      <c r="N3329" s="2" t="s">
        <v>2794</v>
      </c>
      <c r="O3329" s="2" t="s">
        <v>100</v>
      </c>
      <c r="P3329" s="2" t="str">
        <f>"2170587366                    "</f>
        <v xml:space="preserve">2170587366                    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4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1</v>
      </c>
      <c r="BI3329" s="2">
        <v>1.7</v>
      </c>
      <c r="BJ3329" s="2">
        <v>1</v>
      </c>
      <c r="BK3329" s="2">
        <v>2</v>
      </c>
      <c r="BL3329" s="2">
        <v>41.44</v>
      </c>
      <c r="BM3329" s="2">
        <v>5.8</v>
      </c>
      <c r="BN3329" s="2">
        <v>47.24</v>
      </c>
      <c r="BO3329" s="2">
        <v>47.24</v>
      </c>
      <c r="BP3329" s="2"/>
      <c r="BQ3329" s="2" t="s">
        <v>365</v>
      </c>
      <c r="BR3329" s="2" t="s">
        <v>84</v>
      </c>
      <c r="BS3329" s="3">
        <v>42976</v>
      </c>
      <c r="BT3329" s="4">
        <v>0.4291666666666667</v>
      </c>
      <c r="BU3329" s="2" t="s">
        <v>3426</v>
      </c>
      <c r="BV3329" s="2" t="s">
        <v>95</v>
      </c>
      <c r="BW3329" s="2"/>
      <c r="BX3329" s="2"/>
      <c r="BY3329" s="2">
        <v>4943.04</v>
      </c>
      <c r="BZ3329" s="2"/>
      <c r="CA3329" s="2" t="s">
        <v>347</v>
      </c>
      <c r="CB3329" s="2"/>
      <c r="CC3329" s="2" t="s">
        <v>344</v>
      </c>
      <c r="CD3329" s="2">
        <v>4110</v>
      </c>
      <c r="CE3329" s="2" t="s">
        <v>89</v>
      </c>
      <c r="CF3329" s="5">
        <v>42977</v>
      </c>
      <c r="CG3329" s="2"/>
      <c r="CH3329" s="2"/>
      <c r="CI3329" s="2">
        <v>1</v>
      </c>
      <c r="CJ3329" s="2">
        <v>1</v>
      </c>
      <c r="CK3329" s="2">
        <v>21</v>
      </c>
      <c r="CL3329" s="2" t="s">
        <v>86</v>
      </c>
      <c r="CM3329" s="2"/>
    </row>
    <row r="3330" spans="1:91">
      <c r="A3330" s="2" t="s">
        <v>71</v>
      </c>
      <c r="B3330" s="2" t="s">
        <v>72</v>
      </c>
      <c r="C3330" s="2" t="s">
        <v>73</v>
      </c>
      <c r="D3330" s="2"/>
      <c r="E3330" s="2" t="str">
        <f>"FES1162571819"</f>
        <v>FES1162571819</v>
      </c>
      <c r="F3330" s="3">
        <v>42975</v>
      </c>
      <c r="G3330" s="2">
        <v>201802</v>
      </c>
      <c r="H3330" s="2" t="s">
        <v>74</v>
      </c>
      <c r="I3330" s="2" t="s">
        <v>75</v>
      </c>
      <c r="J3330" s="2" t="s">
        <v>76</v>
      </c>
      <c r="K3330" s="2" t="s">
        <v>77</v>
      </c>
      <c r="L3330" s="2" t="s">
        <v>105</v>
      </c>
      <c r="M3330" s="2" t="s">
        <v>106</v>
      </c>
      <c r="N3330" s="2" t="s">
        <v>2719</v>
      </c>
      <c r="O3330" s="2" t="s">
        <v>100</v>
      </c>
      <c r="P3330" s="2" t="str">
        <f>"2170587282                    "</f>
        <v xml:space="preserve">2170587282                    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18.010000000000002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2</v>
      </c>
      <c r="BI3330" s="2">
        <v>8.5</v>
      </c>
      <c r="BJ3330" s="2">
        <v>3.3</v>
      </c>
      <c r="BK3330" s="2">
        <v>9</v>
      </c>
      <c r="BL3330" s="2">
        <v>186.49</v>
      </c>
      <c r="BM3330" s="2">
        <v>26.11</v>
      </c>
      <c r="BN3330" s="2">
        <v>212.6</v>
      </c>
      <c r="BO3330" s="2">
        <v>212.6</v>
      </c>
      <c r="BP3330" s="2"/>
      <c r="BQ3330" s="2" t="s">
        <v>288</v>
      </c>
      <c r="BR3330" s="2" t="s">
        <v>84</v>
      </c>
      <c r="BS3330" s="3">
        <v>42976</v>
      </c>
      <c r="BT3330" s="4">
        <v>0.33402777777777781</v>
      </c>
      <c r="BU3330" s="2" t="s">
        <v>3427</v>
      </c>
      <c r="BV3330" s="2" t="s">
        <v>95</v>
      </c>
      <c r="BW3330" s="2"/>
      <c r="BX3330" s="2"/>
      <c r="BY3330" s="2">
        <v>16352.7</v>
      </c>
      <c r="BZ3330" s="2"/>
      <c r="CA3330" s="2" t="s">
        <v>869</v>
      </c>
      <c r="CB3330" s="2"/>
      <c r="CC3330" s="2" t="s">
        <v>106</v>
      </c>
      <c r="CD3330" s="2">
        <v>7460</v>
      </c>
      <c r="CE3330" s="2" t="s">
        <v>89</v>
      </c>
      <c r="CF3330" s="5">
        <v>42977</v>
      </c>
      <c r="CG3330" s="2"/>
      <c r="CH3330" s="2"/>
      <c r="CI3330" s="2">
        <v>1</v>
      </c>
      <c r="CJ3330" s="2">
        <v>1</v>
      </c>
      <c r="CK3330" s="2">
        <v>21</v>
      </c>
      <c r="CL3330" s="2" t="s">
        <v>86</v>
      </c>
      <c r="CM3330" s="2"/>
    </row>
    <row r="3331" spans="1:91">
      <c r="A3331" s="2" t="s">
        <v>71</v>
      </c>
      <c r="B3331" s="2" t="s">
        <v>72</v>
      </c>
      <c r="C3331" s="2" t="s">
        <v>73</v>
      </c>
      <c r="D3331" s="2"/>
      <c r="E3331" s="2" t="str">
        <f>"FES1162571829"</f>
        <v>FES1162571829</v>
      </c>
      <c r="F3331" s="3">
        <v>42975</v>
      </c>
      <c r="G3331" s="2">
        <v>201802</v>
      </c>
      <c r="H3331" s="2" t="s">
        <v>74</v>
      </c>
      <c r="I3331" s="2" t="s">
        <v>75</v>
      </c>
      <c r="J3331" s="2" t="s">
        <v>76</v>
      </c>
      <c r="K3331" s="2" t="s">
        <v>77</v>
      </c>
      <c r="L3331" s="2" t="s">
        <v>362</v>
      </c>
      <c r="M3331" s="2" t="s">
        <v>363</v>
      </c>
      <c r="N3331" s="2" t="s">
        <v>1344</v>
      </c>
      <c r="O3331" s="2" t="s">
        <v>100</v>
      </c>
      <c r="P3331" s="2" t="str">
        <f>"2170587455                    "</f>
        <v xml:space="preserve">2170587455                    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4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1</v>
      </c>
      <c r="BI3331" s="2">
        <v>1</v>
      </c>
      <c r="BJ3331" s="2">
        <v>0.2</v>
      </c>
      <c r="BK3331" s="2">
        <v>1</v>
      </c>
      <c r="BL3331" s="2">
        <v>41.44</v>
      </c>
      <c r="BM3331" s="2">
        <v>5.8</v>
      </c>
      <c r="BN3331" s="2">
        <v>47.24</v>
      </c>
      <c r="BO3331" s="2">
        <v>47.24</v>
      </c>
      <c r="BP3331" s="2"/>
      <c r="BQ3331" s="2" t="s">
        <v>288</v>
      </c>
      <c r="BR3331" s="2" t="s">
        <v>84</v>
      </c>
      <c r="BS3331" s="3">
        <v>42976</v>
      </c>
      <c r="BT3331" s="4">
        <v>0.35416666666666669</v>
      </c>
      <c r="BU3331" s="2" t="s">
        <v>1346</v>
      </c>
      <c r="BV3331" s="2" t="s">
        <v>95</v>
      </c>
      <c r="BW3331" s="2"/>
      <c r="BX3331" s="2"/>
      <c r="BY3331" s="2">
        <v>1200</v>
      </c>
      <c r="BZ3331" s="2"/>
      <c r="CA3331" s="2" t="s">
        <v>379</v>
      </c>
      <c r="CB3331" s="2"/>
      <c r="CC3331" s="2" t="s">
        <v>363</v>
      </c>
      <c r="CD3331" s="2">
        <v>3201</v>
      </c>
      <c r="CE3331" s="2" t="s">
        <v>104</v>
      </c>
      <c r="CF3331" s="5">
        <v>42977</v>
      </c>
      <c r="CG3331" s="2"/>
      <c r="CH3331" s="2"/>
      <c r="CI3331" s="2">
        <v>1</v>
      </c>
      <c r="CJ3331" s="2">
        <v>1</v>
      </c>
      <c r="CK3331" s="2">
        <v>21</v>
      </c>
      <c r="CL3331" s="2" t="s">
        <v>86</v>
      </c>
      <c r="CM3331" s="2"/>
    </row>
    <row r="3332" spans="1:91">
      <c r="A3332" s="2" t="s">
        <v>71</v>
      </c>
      <c r="B3332" s="2" t="s">
        <v>72</v>
      </c>
      <c r="C3332" s="2" t="s">
        <v>73</v>
      </c>
      <c r="D3332" s="2"/>
      <c r="E3332" s="2" t="str">
        <f>"FES1162571835"</f>
        <v>FES1162571835</v>
      </c>
      <c r="F3332" s="3">
        <v>42975</v>
      </c>
      <c r="G3332" s="2">
        <v>201802</v>
      </c>
      <c r="H3332" s="2" t="s">
        <v>74</v>
      </c>
      <c r="I3332" s="2" t="s">
        <v>75</v>
      </c>
      <c r="J3332" s="2" t="s">
        <v>76</v>
      </c>
      <c r="K3332" s="2" t="s">
        <v>77</v>
      </c>
      <c r="L3332" s="2" t="s">
        <v>105</v>
      </c>
      <c r="M3332" s="2" t="s">
        <v>106</v>
      </c>
      <c r="N3332" s="2" t="s">
        <v>652</v>
      </c>
      <c r="O3332" s="2" t="s">
        <v>100</v>
      </c>
      <c r="P3332" s="2" t="str">
        <f>"2170587466                    "</f>
        <v xml:space="preserve">2170587466                    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5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1</v>
      </c>
      <c r="BI3332" s="2">
        <v>0.6</v>
      </c>
      <c r="BJ3332" s="2">
        <v>2.1</v>
      </c>
      <c r="BK3332" s="2">
        <v>2.5</v>
      </c>
      <c r="BL3332" s="2">
        <v>51.8</v>
      </c>
      <c r="BM3332" s="2">
        <v>7.25</v>
      </c>
      <c r="BN3332" s="2">
        <v>59.05</v>
      </c>
      <c r="BO3332" s="2">
        <v>59.05</v>
      </c>
      <c r="BP3332" s="2"/>
      <c r="BQ3332" s="2" t="s">
        <v>83</v>
      </c>
      <c r="BR3332" s="2" t="s">
        <v>84</v>
      </c>
      <c r="BS3332" s="3">
        <v>42976</v>
      </c>
      <c r="BT3332" s="4">
        <v>0.33402777777777781</v>
      </c>
      <c r="BU3332" s="2" t="s">
        <v>3407</v>
      </c>
      <c r="BV3332" s="2" t="s">
        <v>95</v>
      </c>
      <c r="BW3332" s="2"/>
      <c r="BX3332" s="2"/>
      <c r="BY3332" s="2">
        <v>10535.5</v>
      </c>
      <c r="BZ3332" s="2"/>
      <c r="CA3332" s="2" t="s">
        <v>654</v>
      </c>
      <c r="CB3332" s="2"/>
      <c r="CC3332" s="2" t="s">
        <v>106</v>
      </c>
      <c r="CD3332" s="2">
        <v>7493</v>
      </c>
      <c r="CE3332" s="2" t="s">
        <v>104</v>
      </c>
      <c r="CF3332" s="5">
        <v>42977</v>
      </c>
      <c r="CG3332" s="2"/>
      <c r="CH3332" s="2"/>
      <c r="CI3332" s="2">
        <v>1</v>
      </c>
      <c r="CJ3332" s="2">
        <v>1</v>
      </c>
      <c r="CK3332" s="2">
        <v>21</v>
      </c>
      <c r="CL3332" s="2" t="s">
        <v>86</v>
      </c>
      <c r="CM3332" s="2"/>
    </row>
    <row r="3333" spans="1:91">
      <c r="A3333" s="2" t="s">
        <v>71</v>
      </c>
      <c r="B3333" s="2" t="s">
        <v>72</v>
      </c>
      <c r="C3333" s="2" t="s">
        <v>73</v>
      </c>
      <c r="D3333" s="2"/>
      <c r="E3333" s="2" t="str">
        <f>"FES1162571680"</f>
        <v>FES1162571680</v>
      </c>
      <c r="F3333" s="3">
        <v>42975</v>
      </c>
      <c r="G3333" s="2">
        <v>201802</v>
      </c>
      <c r="H3333" s="2" t="s">
        <v>74</v>
      </c>
      <c r="I3333" s="2" t="s">
        <v>75</v>
      </c>
      <c r="J3333" s="2" t="s">
        <v>76</v>
      </c>
      <c r="K3333" s="2" t="s">
        <v>77</v>
      </c>
      <c r="L3333" s="2" t="s">
        <v>74</v>
      </c>
      <c r="M3333" s="2" t="s">
        <v>75</v>
      </c>
      <c r="N3333" s="2" t="s">
        <v>3381</v>
      </c>
      <c r="O3333" s="2" t="s">
        <v>100</v>
      </c>
      <c r="P3333" s="2" t="str">
        <f>"2170586670                    "</f>
        <v xml:space="preserve">2170586670                    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7.25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1</v>
      </c>
      <c r="BI3333" s="2">
        <v>11</v>
      </c>
      <c r="BJ3333" s="2">
        <v>19</v>
      </c>
      <c r="BK3333" s="2">
        <v>19</v>
      </c>
      <c r="BL3333" s="2">
        <v>75.11</v>
      </c>
      <c r="BM3333" s="2">
        <v>10.52</v>
      </c>
      <c r="BN3333" s="2">
        <v>85.63</v>
      </c>
      <c r="BO3333" s="2">
        <v>85.63</v>
      </c>
      <c r="BP3333" s="2"/>
      <c r="BQ3333" s="2" t="s">
        <v>288</v>
      </c>
      <c r="BR3333" s="2" t="s">
        <v>84</v>
      </c>
      <c r="BS3333" s="1" t="s">
        <v>1200</v>
      </c>
      <c r="BT3333" s="2"/>
      <c r="BU3333" s="2"/>
      <c r="BV3333" s="2"/>
      <c r="BW3333" s="2"/>
      <c r="BX3333" s="2"/>
      <c r="BY3333" s="2">
        <v>95000</v>
      </c>
      <c r="BZ3333" s="2"/>
      <c r="CA3333" s="2"/>
      <c r="CB3333" s="2"/>
      <c r="CC3333" s="2" t="s">
        <v>75</v>
      </c>
      <c r="CD3333" s="2">
        <v>1600</v>
      </c>
      <c r="CE3333" s="2" t="s">
        <v>89</v>
      </c>
      <c r="CF3333" s="2"/>
      <c r="CG3333" s="2"/>
      <c r="CH3333" s="2"/>
      <c r="CI3333" s="2">
        <v>1</v>
      </c>
      <c r="CJ3333" s="2" t="s">
        <v>1200</v>
      </c>
      <c r="CK3333" s="2">
        <v>22</v>
      </c>
      <c r="CL3333" s="2" t="s">
        <v>86</v>
      </c>
      <c r="CM3333" s="2"/>
    </row>
    <row r="3334" spans="1:91">
      <c r="A3334" s="2" t="s">
        <v>71</v>
      </c>
      <c r="B3334" s="2" t="s">
        <v>72</v>
      </c>
      <c r="C3334" s="2" t="s">
        <v>73</v>
      </c>
      <c r="D3334" s="2"/>
      <c r="E3334" s="2" t="str">
        <f>"FES1162571654"</f>
        <v>FES1162571654</v>
      </c>
      <c r="F3334" s="3">
        <v>42975</v>
      </c>
      <c r="G3334" s="2">
        <v>201802</v>
      </c>
      <c r="H3334" s="2" t="s">
        <v>74</v>
      </c>
      <c r="I3334" s="2" t="s">
        <v>75</v>
      </c>
      <c r="J3334" s="2" t="s">
        <v>76</v>
      </c>
      <c r="K3334" s="2" t="s">
        <v>77</v>
      </c>
      <c r="L3334" s="2" t="s">
        <v>362</v>
      </c>
      <c r="M3334" s="2" t="s">
        <v>363</v>
      </c>
      <c r="N3334" s="2" t="s">
        <v>683</v>
      </c>
      <c r="O3334" s="2" t="s">
        <v>100</v>
      </c>
      <c r="P3334" s="2" t="str">
        <f>"2170584196                    "</f>
        <v xml:space="preserve">2170584196                    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4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1</v>
      </c>
      <c r="BI3334" s="2">
        <v>1</v>
      </c>
      <c r="BJ3334" s="2">
        <v>1.5</v>
      </c>
      <c r="BK3334" s="2">
        <v>1.5</v>
      </c>
      <c r="BL3334" s="2">
        <v>41.44</v>
      </c>
      <c r="BM3334" s="2">
        <v>5.8</v>
      </c>
      <c r="BN3334" s="2">
        <v>47.24</v>
      </c>
      <c r="BO3334" s="2">
        <v>47.24</v>
      </c>
      <c r="BP3334" s="2"/>
      <c r="BQ3334" s="2" t="s">
        <v>108</v>
      </c>
      <c r="BR3334" s="2" t="s">
        <v>84</v>
      </c>
      <c r="BS3334" s="3">
        <v>42976</v>
      </c>
      <c r="BT3334" s="4">
        <v>0.41180555555555554</v>
      </c>
      <c r="BU3334" s="2" t="s">
        <v>684</v>
      </c>
      <c r="BV3334" s="2" t="s">
        <v>95</v>
      </c>
      <c r="BW3334" s="2"/>
      <c r="BX3334" s="2"/>
      <c r="BY3334" s="2">
        <v>7573.3</v>
      </c>
      <c r="BZ3334" s="2"/>
      <c r="CA3334" s="2" t="s">
        <v>685</v>
      </c>
      <c r="CB3334" s="2"/>
      <c r="CC3334" s="2" t="s">
        <v>363</v>
      </c>
      <c r="CD3334" s="2">
        <v>3201</v>
      </c>
      <c r="CE3334" s="2" t="s">
        <v>104</v>
      </c>
      <c r="CF3334" s="5">
        <v>42977</v>
      </c>
      <c r="CG3334" s="2"/>
      <c r="CH3334" s="2"/>
      <c r="CI3334" s="2">
        <v>1</v>
      </c>
      <c r="CJ3334" s="2">
        <v>1</v>
      </c>
      <c r="CK3334" s="2">
        <v>21</v>
      </c>
      <c r="CL3334" s="2" t="s">
        <v>86</v>
      </c>
      <c r="CM3334" s="2"/>
    </row>
    <row r="3335" spans="1:91">
      <c r="A3335" s="2" t="s">
        <v>71</v>
      </c>
      <c r="B3335" s="2" t="s">
        <v>72</v>
      </c>
      <c r="C3335" s="2" t="s">
        <v>73</v>
      </c>
      <c r="D3335" s="2"/>
      <c r="E3335" s="2" t="str">
        <f>"FES1162571886"</f>
        <v>FES1162571886</v>
      </c>
      <c r="F3335" s="3">
        <v>42975</v>
      </c>
      <c r="G3335" s="2">
        <v>201802</v>
      </c>
      <c r="H3335" s="2" t="s">
        <v>74</v>
      </c>
      <c r="I3335" s="2" t="s">
        <v>75</v>
      </c>
      <c r="J3335" s="2" t="s">
        <v>76</v>
      </c>
      <c r="K3335" s="2" t="s">
        <v>77</v>
      </c>
      <c r="L3335" s="2" t="s">
        <v>3428</v>
      </c>
      <c r="M3335" s="2" t="s">
        <v>3429</v>
      </c>
      <c r="N3335" s="2" t="s">
        <v>3430</v>
      </c>
      <c r="O3335" s="2" t="s">
        <v>100</v>
      </c>
      <c r="P3335" s="2" t="str">
        <f>"                              "</f>
        <v xml:space="preserve">                              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11.26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1</v>
      </c>
      <c r="BI3335" s="2">
        <v>0.4</v>
      </c>
      <c r="BJ3335" s="2">
        <v>3</v>
      </c>
      <c r="BK3335" s="2">
        <v>3</v>
      </c>
      <c r="BL3335" s="2">
        <v>116.56</v>
      </c>
      <c r="BM3335" s="2">
        <v>16.32</v>
      </c>
      <c r="BN3335" s="2">
        <v>132.88</v>
      </c>
      <c r="BO3335" s="2">
        <v>132.88</v>
      </c>
      <c r="BP3335" s="2">
        <v>2170587532</v>
      </c>
      <c r="BQ3335" s="2" t="s">
        <v>288</v>
      </c>
      <c r="BR3335" s="2" t="s">
        <v>84</v>
      </c>
      <c r="BS3335" s="3">
        <v>42977</v>
      </c>
      <c r="BT3335" s="4">
        <v>0.33333333333333331</v>
      </c>
      <c r="BU3335" s="2" t="s">
        <v>3431</v>
      </c>
      <c r="BV3335" s="2" t="s">
        <v>95</v>
      </c>
      <c r="BW3335" s="2"/>
      <c r="BX3335" s="2"/>
      <c r="BY3335" s="2">
        <v>14801.79</v>
      </c>
      <c r="BZ3335" s="2"/>
      <c r="CA3335" s="2"/>
      <c r="CB3335" s="2"/>
      <c r="CC3335" s="2" t="s">
        <v>3429</v>
      </c>
      <c r="CD3335" s="2">
        <v>8801</v>
      </c>
      <c r="CE3335" s="2" t="s">
        <v>104</v>
      </c>
      <c r="CF3335" s="5">
        <v>42977</v>
      </c>
      <c r="CG3335" s="2"/>
      <c r="CH3335" s="2"/>
      <c r="CI3335" s="2">
        <v>3</v>
      </c>
      <c r="CJ3335" s="2">
        <v>2</v>
      </c>
      <c r="CK3335" s="2">
        <v>23</v>
      </c>
      <c r="CL3335" s="2" t="s">
        <v>86</v>
      </c>
      <c r="CM3335" s="2"/>
    </row>
    <row r="3336" spans="1:91">
      <c r="A3336" s="2" t="s">
        <v>71</v>
      </c>
      <c r="B3336" s="2" t="s">
        <v>72</v>
      </c>
      <c r="C3336" s="2" t="s">
        <v>73</v>
      </c>
      <c r="D3336" s="2"/>
      <c r="E3336" s="2" t="str">
        <f>"FES1162569635"</f>
        <v>FES1162569635</v>
      </c>
      <c r="F3336" s="3">
        <v>42964</v>
      </c>
      <c r="G3336" s="2">
        <v>201802</v>
      </c>
      <c r="H3336" s="2" t="s">
        <v>74</v>
      </c>
      <c r="I3336" s="2" t="s">
        <v>75</v>
      </c>
      <c r="J3336" s="2" t="s">
        <v>118</v>
      </c>
      <c r="K3336" s="2" t="s">
        <v>77</v>
      </c>
      <c r="L3336" s="2" t="s">
        <v>383</v>
      </c>
      <c r="M3336" s="2" t="s">
        <v>384</v>
      </c>
      <c r="N3336" s="2" t="s">
        <v>385</v>
      </c>
      <c r="O3336" s="2" t="s">
        <v>358</v>
      </c>
      <c r="P3336" s="2" t="str">
        <f>"2170583402                    "</f>
        <v xml:space="preserve">2170583402                    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5.63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1</v>
      </c>
      <c r="BI3336" s="2">
        <v>2.9</v>
      </c>
      <c r="BJ3336" s="2">
        <v>4</v>
      </c>
      <c r="BK3336" s="2">
        <v>4</v>
      </c>
      <c r="BL3336" s="2">
        <v>58.28</v>
      </c>
      <c r="BM3336" s="2">
        <v>8.16</v>
      </c>
      <c r="BN3336" s="2">
        <v>66.44</v>
      </c>
      <c r="BO3336" s="2">
        <v>66.44</v>
      </c>
      <c r="BP3336" s="2"/>
      <c r="BQ3336" s="2" t="s">
        <v>83</v>
      </c>
      <c r="BR3336" s="2" t="s">
        <v>122</v>
      </c>
      <c r="BS3336" s="3">
        <v>42965</v>
      </c>
      <c r="BT3336" s="4">
        <v>0.67361111111111116</v>
      </c>
      <c r="BU3336" s="2" t="s">
        <v>386</v>
      </c>
      <c r="BV3336" s="2" t="s">
        <v>95</v>
      </c>
      <c r="BW3336" s="2"/>
      <c r="BX3336" s="2"/>
      <c r="BY3336" s="2">
        <v>20166.12</v>
      </c>
      <c r="BZ3336" s="2" t="s">
        <v>27</v>
      </c>
      <c r="CA3336" s="2" t="s">
        <v>387</v>
      </c>
      <c r="CB3336" s="2"/>
      <c r="CC3336" s="2" t="s">
        <v>384</v>
      </c>
      <c r="CD3336" s="2">
        <v>2210</v>
      </c>
      <c r="CE3336" s="2" t="s">
        <v>135</v>
      </c>
      <c r="CF3336" s="5">
        <v>42968</v>
      </c>
      <c r="CG3336" s="2"/>
      <c r="CH3336" s="2"/>
      <c r="CI3336" s="2">
        <v>1</v>
      </c>
      <c r="CJ3336" s="2">
        <v>1</v>
      </c>
      <c r="CK3336" s="2">
        <v>34</v>
      </c>
      <c r="CL3336" s="2" t="s">
        <v>86</v>
      </c>
      <c r="CM3336" s="2"/>
    </row>
    <row r="3337" spans="1:91">
      <c r="A3337" s="2" t="s">
        <v>71</v>
      </c>
      <c r="B3337" s="2" t="s">
        <v>72</v>
      </c>
      <c r="C3337" s="2" t="s">
        <v>73</v>
      </c>
      <c r="D3337" s="2"/>
      <c r="E3337" s="2" t="str">
        <f>"FES11625685434"</f>
        <v>FES11625685434</v>
      </c>
      <c r="F3337" s="3">
        <v>42964</v>
      </c>
      <c r="G3337" s="2">
        <v>201802</v>
      </c>
      <c r="H3337" s="2" t="s">
        <v>74</v>
      </c>
      <c r="I3337" s="2" t="s">
        <v>75</v>
      </c>
      <c r="J3337" s="2" t="s">
        <v>118</v>
      </c>
      <c r="K3337" s="2" t="s">
        <v>77</v>
      </c>
      <c r="L3337" s="2" t="s">
        <v>723</v>
      </c>
      <c r="M3337" s="2" t="s">
        <v>724</v>
      </c>
      <c r="N3337" s="2" t="s">
        <v>351</v>
      </c>
      <c r="O3337" s="2" t="s">
        <v>358</v>
      </c>
      <c r="P3337" s="2" t="str">
        <f>"2170585434                    "</f>
        <v xml:space="preserve">2170585434                    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5.63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1</v>
      </c>
      <c r="BI3337" s="2">
        <v>1.9</v>
      </c>
      <c r="BJ3337" s="2">
        <v>4.5999999999999996</v>
      </c>
      <c r="BK3337" s="2">
        <v>5</v>
      </c>
      <c r="BL3337" s="2">
        <v>58.28</v>
      </c>
      <c r="BM3337" s="2">
        <v>8.16</v>
      </c>
      <c r="BN3337" s="2">
        <v>66.44</v>
      </c>
      <c r="BO3337" s="2">
        <v>66.44</v>
      </c>
      <c r="BP3337" s="2"/>
      <c r="BQ3337" s="2" t="s">
        <v>83</v>
      </c>
      <c r="BR3337" s="2" t="s">
        <v>122</v>
      </c>
      <c r="BS3337" s="3">
        <v>42965</v>
      </c>
      <c r="BT3337" s="4">
        <v>0.2986111111111111</v>
      </c>
      <c r="BU3337" s="2" t="s">
        <v>2545</v>
      </c>
      <c r="BV3337" s="2" t="s">
        <v>95</v>
      </c>
      <c r="BW3337" s="2"/>
      <c r="BX3337" s="2"/>
      <c r="BY3337" s="2">
        <v>23094.720000000001</v>
      </c>
      <c r="BZ3337" s="2" t="s">
        <v>27</v>
      </c>
      <c r="CA3337" s="2"/>
      <c r="CB3337" s="2"/>
      <c r="CC3337" s="2" t="s">
        <v>724</v>
      </c>
      <c r="CD3337" s="2">
        <v>1754</v>
      </c>
      <c r="CE3337" s="2" t="s">
        <v>104</v>
      </c>
      <c r="CF3337" s="2"/>
      <c r="CG3337" s="2"/>
      <c r="CH3337" s="2"/>
      <c r="CI3337" s="2">
        <v>1</v>
      </c>
      <c r="CJ3337" s="2">
        <v>1</v>
      </c>
      <c r="CK3337" s="2">
        <v>34</v>
      </c>
      <c r="CL3337" s="2" t="s">
        <v>86</v>
      </c>
      <c r="CM3337" s="2"/>
    </row>
    <row r="3338" spans="1:91">
      <c r="A3338" s="2" t="s">
        <v>71</v>
      </c>
      <c r="B3338" s="2" t="s">
        <v>72</v>
      </c>
      <c r="C3338" s="2" t="s">
        <v>73</v>
      </c>
      <c r="D3338" s="2"/>
      <c r="E3338" s="2" t="str">
        <f>"FES1162570173"</f>
        <v>FES1162570173</v>
      </c>
      <c r="F3338" s="3">
        <v>42968</v>
      </c>
      <c r="G3338" s="2">
        <v>201802</v>
      </c>
      <c r="H3338" s="2" t="s">
        <v>74</v>
      </c>
      <c r="I3338" s="2" t="s">
        <v>75</v>
      </c>
      <c r="J3338" s="2" t="s">
        <v>118</v>
      </c>
      <c r="K3338" s="2" t="s">
        <v>77</v>
      </c>
      <c r="L3338" s="2" t="s">
        <v>446</v>
      </c>
      <c r="M3338" s="2" t="s">
        <v>447</v>
      </c>
      <c r="N3338" s="2" t="s">
        <v>961</v>
      </c>
      <c r="O3338" s="2" t="s">
        <v>358</v>
      </c>
      <c r="P3338" s="2" t="str">
        <f>"2170585135                    "</f>
        <v xml:space="preserve">2170585135                    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5.63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1</v>
      </c>
      <c r="BI3338" s="2">
        <v>4.4000000000000004</v>
      </c>
      <c r="BJ3338" s="2">
        <v>3.3</v>
      </c>
      <c r="BK3338" s="2">
        <v>5</v>
      </c>
      <c r="BL3338" s="2">
        <v>58.28</v>
      </c>
      <c r="BM3338" s="2">
        <v>8.16</v>
      </c>
      <c r="BN3338" s="2">
        <v>66.44</v>
      </c>
      <c r="BO3338" s="2">
        <v>66.44</v>
      </c>
      <c r="BP3338" s="2"/>
      <c r="BQ3338" s="2" t="s">
        <v>83</v>
      </c>
      <c r="BR3338" s="2" t="s">
        <v>122</v>
      </c>
      <c r="BS3338" s="3">
        <v>42969</v>
      </c>
      <c r="BT3338" s="4">
        <v>0.52430555555555558</v>
      </c>
      <c r="BU3338" s="2" t="s">
        <v>1674</v>
      </c>
      <c r="BV3338" s="2" t="s">
        <v>95</v>
      </c>
      <c r="BW3338" s="2"/>
      <c r="BX3338" s="2"/>
      <c r="BY3338" s="2">
        <v>16591.560000000001</v>
      </c>
      <c r="BZ3338" s="2" t="s">
        <v>27</v>
      </c>
      <c r="CA3338" s="2"/>
      <c r="CB3338" s="2"/>
      <c r="CC3338" s="2" t="s">
        <v>447</v>
      </c>
      <c r="CD3338" s="2">
        <v>1759</v>
      </c>
      <c r="CE3338" s="2" t="s">
        <v>89</v>
      </c>
      <c r="CF3338" s="5">
        <v>42970</v>
      </c>
      <c r="CG3338" s="2"/>
      <c r="CH3338" s="2"/>
      <c r="CI3338" s="2">
        <v>1</v>
      </c>
      <c r="CJ3338" s="2">
        <v>1</v>
      </c>
      <c r="CK3338" s="2">
        <v>34</v>
      </c>
      <c r="CL3338" s="2" t="s">
        <v>86</v>
      </c>
      <c r="CM3338" s="2"/>
    </row>
    <row r="3339" spans="1:91">
      <c r="A3339" s="2" t="s">
        <v>71</v>
      </c>
      <c r="B3339" s="2" t="s">
        <v>72</v>
      </c>
      <c r="C3339" s="2" t="s">
        <v>73</v>
      </c>
      <c r="D3339" s="2"/>
      <c r="E3339" s="2" t="str">
        <f>"FES1162570276"</f>
        <v>FES1162570276</v>
      </c>
      <c r="F3339" s="3">
        <v>42968</v>
      </c>
      <c r="G3339" s="2">
        <v>201802</v>
      </c>
      <c r="H3339" s="2" t="s">
        <v>74</v>
      </c>
      <c r="I3339" s="2" t="s">
        <v>75</v>
      </c>
      <c r="J3339" s="2" t="s">
        <v>118</v>
      </c>
      <c r="K3339" s="2" t="s">
        <v>77</v>
      </c>
      <c r="L3339" s="2" t="s">
        <v>619</v>
      </c>
      <c r="M3339" s="2" t="s">
        <v>620</v>
      </c>
      <c r="N3339" s="2" t="s">
        <v>3377</v>
      </c>
      <c r="O3339" s="2" t="s">
        <v>358</v>
      </c>
      <c r="P3339" s="2" t="str">
        <f>"2170581891                    "</f>
        <v xml:space="preserve">2170581891                    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5.63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1</v>
      </c>
      <c r="BI3339" s="2">
        <v>5.5</v>
      </c>
      <c r="BJ3339" s="2">
        <v>7.5</v>
      </c>
      <c r="BK3339" s="2">
        <v>8</v>
      </c>
      <c r="BL3339" s="2">
        <v>58.28</v>
      </c>
      <c r="BM3339" s="2">
        <v>8.16</v>
      </c>
      <c r="BN3339" s="2">
        <v>66.44</v>
      </c>
      <c r="BO3339" s="2">
        <v>66.44</v>
      </c>
      <c r="BP3339" s="2"/>
      <c r="BQ3339" s="2" t="s">
        <v>288</v>
      </c>
      <c r="BR3339" s="2" t="s">
        <v>122</v>
      </c>
      <c r="BS3339" s="3">
        <v>42969</v>
      </c>
      <c r="BT3339" s="4">
        <v>0.53402777777777777</v>
      </c>
      <c r="BU3339" s="2" t="s">
        <v>3432</v>
      </c>
      <c r="BV3339" s="2" t="s">
        <v>95</v>
      </c>
      <c r="BW3339" s="2"/>
      <c r="BX3339" s="2"/>
      <c r="BY3339" s="2">
        <v>37460.22</v>
      </c>
      <c r="BZ3339" s="2" t="s">
        <v>27</v>
      </c>
      <c r="CA3339" s="2" t="s">
        <v>943</v>
      </c>
      <c r="CB3339" s="2"/>
      <c r="CC3339" s="2" t="s">
        <v>620</v>
      </c>
      <c r="CD3339" s="2">
        <v>1001</v>
      </c>
      <c r="CE3339" s="2" t="s">
        <v>89</v>
      </c>
      <c r="CF3339" s="5">
        <v>42970</v>
      </c>
      <c r="CG3339" s="2"/>
      <c r="CH3339" s="2"/>
      <c r="CI3339" s="2">
        <v>1</v>
      </c>
      <c r="CJ3339" s="2">
        <v>1</v>
      </c>
      <c r="CK3339" s="2">
        <v>34</v>
      </c>
      <c r="CL3339" s="2" t="s">
        <v>86</v>
      </c>
      <c r="CM3339" s="2"/>
    </row>
    <row r="3340" spans="1:91">
      <c r="A3340" s="2" t="s">
        <v>71</v>
      </c>
      <c r="B3340" s="2" t="s">
        <v>72</v>
      </c>
      <c r="C3340" s="2" t="s">
        <v>73</v>
      </c>
      <c r="D3340" s="2"/>
      <c r="E3340" s="2" t="str">
        <f>"FES1162570802"</f>
        <v>FES1162570802</v>
      </c>
      <c r="F3340" s="3">
        <v>42970</v>
      </c>
      <c r="G3340" s="2">
        <v>201802</v>
      </c>
      <c r="H3340" s="2" t="s">
        <v>74</v>
      </c>
      <c r="I3340" s="2" t="s">
        <v>75</v>
      </c>
      <c r="J3340" s="2" t="s">
        <v>118</v>
      </c>
      <c r="K3340" s="2" t="s">
        <v>77</v>
      </c>
      <c r="L3340" s="2" t="s">
        <v>1121</v>
      </c>
      <c r="M3340" s="2" t="s">
        <v>1122</v>
      </c>
      <c r="N3340" s="2" t="s">
        <v>1123</v>
      </c>
      <c r="O3340" s="2" t="s">
        <v>358</v>
      </c>
      <c r="P3340" s="2" t="str">
        <f>"2170581515                    "</f>
        <v xml:space="preserve">2170581515                    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13.85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2</v>
      </c>
      <c r="BI3340" s="2">
        <v>5.9</v>
      </c>
      <c r="BJ3340" s="2">
        <v>7</v>
      </c>
      <c r="BK3340" s="2">
        <v>7</v>
      </c>
      <c r="BL3340" s="2">
        <v>143.41999999999999</v>
      </c>
      <c r="BM3340" s="2">
        <v>20.079999999999998</v>
      </c>
      <c r="BN3340" s="2">
        <v>163.5</v>
      </c>
      <c r="BO3340" s="2">
        <v>163.5</v>
      </c>
      <c r="BP3340" s="2"/>
      <c r="BQ3340" s="2" t="s">
        <v>83</v>
      </c>
      <c r="BR3340" s="2" t="s">
        <v>122</v>
      </c>
      <c r="BS3340" s="3">
        <v>42971</v>
      </c>
      <c r="BT3340" s="4">
        <v>0.54166666666666663</v>
      </c>
      <c r="BU3340" s="2" t="s">
        <v>785</v>
      </c>
      <c r="BV3340" s="2" t="s">
        <v>95</v>
      </c>
      <c r="BW3340" s="2"/>
      <c r="BX3340" s="2"/>
      <c r="BY3340" s="2">
        <v>34834.129999999997</v>
      </c>
      <c r="BZ3340" s="2" t="s">
        <v>27</v>
      </c>
      <c r="CA3340" s="2"/>
      <c r="CB3340" s="2"/>
      <c r="CC3340" s="2" t="s">
        <v>1122</v>
      </c>
      <c r="CD3340" s="2">
        <v>2499</v>
      </c>
      <c r="CE3340" s="2" t="s">
        <v>89</v>
      </c>
      <c r="CF3340" s="5">
        <v>42972</v>
      </c>
      <c r="CG3340" s="2"/>
      <c r="CH3340" s="2"/>
      <c r="CI3340" s="2">
        <v>1</v>
      </c>
      <c r="CJ3340" s="2">
        <v>1</v>
      </c>
      <c r="CK3340" s="2">
        <v>33</v>
      </c>
      <c r="CL3340" s="2" t="s">
        <v>86</v>
      </c>
      <c r="CM3340" s="2"/>
    </row>
    <row r="3341" spans="1:91">
      <c r="A3341" s="2" t="s">
        <v>71</v>
      </c>
      <c r="B3341" s="2" t="s">
        <v>72</v>
      </c>
      <c r="C3341" s="2" t="s">
        <v>73</v>
      </c>
      <c r="D3341" s="2"/>
      <c r="E3341" s="2" t="str">
        <f>"FES1162570275"</f>
        <v>FES1162570275</v>
      </c>
      <c r="F3341" s="3">
        <v>42968</v>
      </c>
      <c r="G3341" s="2">
        <v>201802</v>
      </c>
      <c r="H3341" s="2" t="s">
        <v>74</v>
      </c>
      <c r="I3341" s="2" t="s">
        <v>75</v>
      </c>
      <c r="J3341" s="2" t="s">
        <v>118</v>
      </c>
      <c r="K3341" s="2" t="s">
        <v>77</v>
      </c>
      <c r="L3341" s="2" t="s">
        <v>619</v>
      </c>
      <c r="M3341" s="2" t="s">
        <v>620</v>
      </c>
      <c r="N3341" s="2" t="s">
        <v>3377</v>
      </c>
      <c r="O3341" s="2" t="s">
        <v>358</v>
      </c>
      <c r="P3341" s="2" t="str">
        <f>"2170581540                    "</f>
        <v xml:space="preserve">2170581540                    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5.63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1</v>
      </c>
      <c r="BI3341" s="2">
        <v>1.3</v>
      </c>
      <c r="BJ3341" s="2">
        <v>2.7</v>
      </c>
      <c r="BK3341" s="2">
        <v>3</v>
      </c>
      <c r="BL3341" s="2">
        <v>58.28</v>
      </c>
      <c r="BM3341" s="2">
        <v>8.16</v>
      </c>
      <c r="BN3341" s="2">
        <v>66.44</v>
      </c>
      <c r="BO3341" s="2">
        <v>66.44</v>
      </c>
      <c r="BP3341" s="2"/>
      <c r="BQ3341" s="2" t="s">
        <v>288</v>
      </c>
      <c r="BR3341" s="2" t="s">
        <v>122</v>
      </c>
      <c r="BS3341" s="3">
        <v>42969</v>
      </c>
      <c r="BT3341" s="4">
        <v>0.53402777777777777</v>
      </c>
      <c r="BU3341" s="2" t="s">
        <v>3433</v>
      </c>
      <c r="BV3341" s="2" t="s">
        <v>95</v>
      </c>
      <c r="BW3341" s="2"/>
      <c r="BX3341" s="2"/>
      <c r="BY3341" s="2">
        <v>13464</v>
      </c>
      <c r="BZ3341" s="2" t="s">
        <v>27</v>
      </c>
      <c r="CA3341" s="2" t="s">
        <v>943</v>
      </c>
      <c r="CB3341" s="2"/>
      <c r="CC3341" s="2" t="s">
        <v>620</v>
      </c>
      <c r="CD3341" s="2">
        <v>1001</v>
      </c>
      <c r="CE3341" s="2" t="s">
        <v>89</v>
      </c>
      <c r="CF3341" s="5">
        <v>42970</v>
      </c>
      <c r="CG3341" s="2"/>
      <c r="CH3341" s="2"/>
      <c r="CI3341" s="2">
        <v>1</v>
      </c>
      <c r="CJ3341" s="2">
        <v>1</v>
      </c>
      <c r="CK3341" s="2">
        <v>34</v>
      </c>
      <c r="CL3341" s="2" t="s">
        <v>86</v>
      </c>
      <c r="CM3341" s="2"/>
    </row>
    <row r="3342" spans="1:91">
      <c r="A3342" s="2" t="s">
        <v>71</v>
      </c>
      <c r="B3342" s="2" t="s">
        <v>72</v>
      </c>
      <c r="C3342" s="2" t="s">
        <v>73</v>
      </c>
      <c r="D3342" s="2"/>
      <c r="E3342" s="2" t="str">
        <f>"FES1162571296"</f>
        <v>FES1162571296</v>
      </c>
      <c r="F3342" s="3">
        <v>42971</v>
      </c>
      <c r="G3342" s="2">
        <v>201802</v>
      </c>
      <c r="H3342" s="2" t="s">
        <v>74</v>
      </c>
      <c r="I3342" s="2" t="s">
        <v>75</v>
      </c>
      <c r="J3342" s="2" t="s">
        <v>118</v>
      </c>
      <c r="K3342" s="2" t="s">
        <v>77</v>
      </c>
      <c r="L3342" s="2" t="s">
        <v>723</v>
      </c>
      <c r="M3342" s="2" t="s">
        <v>724</v>
      </c>
      <c r="N3342" s="2" t="s">
        <v>351</v>
      </c>
      <c r="O3342" s="2" t="s">
        <v>358</v>
      </c>
      <c r="P3342" s="2" t="str">
        <f>"2170586784                    "</f>
        <v xml:space="preserve">2170586784                    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5.63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1</v>
      </c>
      <c r="BI3342" s="2">
        <v>5.0999999999999996</v>
      </c>
      <c r="BJ3342" s="2">
        <v>1.6</v>
      </c>
      <c r="BK3342" s="2">
        <v>6</v>
      </c>
      <c r="BL3342" s="2">
        <v>58.28</v>
      </c>
      <c r="BM3342" s="2">
        <v>8.16</v>
      </c>
      <c r="BN3342" s="2">
        <v>66.44</v>
      </c>
      <c r="BO3342" s="2">
        <v>66.44</v>
      </c>
      <c r="BP3342" s="2"/>
      <c r="BQ3342" s="2" t="s">
        <v>288</v>
      </c>
      <c r="BR3342" s="2" t="s">
        <v>122</v>
      </c>
      <c r="BS3342" s="3">
        <v>42972</v>
      </c>
      <c r="BT3342" s="4">
        <v>0.31319444444444444</v>
      </c>
      <c r="BU3342" s="2" t="s">
        <v>1105</v>
      </c>
      <c r="BV3342" s="2" t="s">
        <v>95</v>
      </c>
      <c r="BW3342" s="2"/>
      <c r="BX3342" s="2"/>
      <c r="BY3342" s="2">
        <v>7998.48</v>
      </c>
      <c r="BZ3342" s="2" t="s">
        <v>27</v>
      </c>
      <c r="CA3342" s="2" t="s">
        <v>727</v>
      </c>
      <c r="CB3342" s="2"/>
      <c r="CC3342" s="2" t="s">
        <v>724</v>
      </c>
      <c r="CD3342" s="2">
        <v>1754</v>
      </c>
      <c r="CE3342" s="2" t="s">
        <v>89</v>
      </c>
      <c r="CF3342" s="5">
        <v>42975</v>
      </c>
      <c r="CG3342" s="2"/>
      <c r="CH3342" s="2"/>
      <c r="CI3342" s="2">
        <v>1</v>
      </c>
      <c r="CJ3342" s="2">
        <v>1</v>
      </c>
      <c r="CK3342" s="2">
        <v>34</v>
      </c>
      <c r="CL3342" s="2" t="s">
        <v>86</v>
      </c>
      <c r="CM3342" s="2"/>
    </row>
    <row r="3343" spans="1:91">
      <c r="A3343" s="2" t="s">
        <v>71</v>
      </c>
      <c r="B3343" s="2" t="s">
        <v>72</v>
      </c>
      <c r="C3343" s="2" t="s">
        <v>73</v>
      </c>
      <c r="D3343" s="2"/>
      <c r="E3343" s="2" t="str">
        <f>"FES1162571069"</f>
        <v>FES1162571069</v>
      </c>
      <c r="F3343" s="3">
        <v>42970</v>
      </c>
      <c r="G3343" s="2">
        <v>201802</v>
      </c>
      <c r="H3343" s="2" t="s">
        <v>74</v>
      </c>
      <c r="I3343" s="2" t="s">
        <v>75</v>
      </c>
      <c r="J3343" s="2" t="s">
        <v>118</v>
      </c>
      <c r="K3343" s="2" t="s">
        <v>77</v>
      </c>
      <c r="L3343" s="2" t="s">
        <v>446</v>
      </c>
      <c r="M3343" s="2" t="s">
        <v>447</v>
      </c>
      <c r="N3343" s="2" t="s">
        <v>961</v>
      </c>
      <c r="O3343" s="2" t="s">
        <v>358</v>
      </c>
      <c r="P3343" s="2" t="str">
        <f>"2170586744                    "</f>
        <v xml:space="preserve">2170586744                    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5.63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1</v>
      </c>
      <c r="BI3343" s="2">
        <v>1.8</v>
      </c>
      <c r="BJ3343" s="2">
        <v>2.2999999999999998</v>
      </c>
      <c r="BK3343" s="2">
        <v>3</v>
      </c>
      <c r="BL3343" s="2">
        <v>58.28</v>
      </c>
      <c r="BM3343" s="2">
        <v>8.16</v>
      </c>
      <c r="BN3343" s="2">
        <v>66.44</v>
      </c>
      <c r="BO3343" s="2">
        <v>66.44</v>
      </c>
      <c r="BP3343" s="2"/>
      <c r="BQ3343" s="2" t="s">
        <v>962</v>
      </c>
      <c r="BR3343" s="2" t="s">
        <v>122</v>
      </c>
      <c r="BS3343" s="3">
        <v>42971</v>
      </c>
      <c r="BT3343" s="4">
        <v>0.43055555555555558</v>
      </c>
      <c r="BU3343" s="2" t="s">
        <v>1674</v>
      </c>
      <c r="BV3343" s="2" t="s">
        <v>95</v>
      </c>
      <c r="BW3343" s="2"/>
      <c r="BX3343" s="2"/>
      <c r="BY3343" s="2">
        <v>11254.46</v>
      </c>
      <c r="BZ3343" s="2" t="s">
        <v>27</v>
      </c>
      <c r="CA3343" s="2"/>
      <c r="CB3343" s="2"/>
      <c r="CC3343" s="2" t="s">
        <v>447</v>
      </c>
      <c r="CD3343" s="2">
        <v>1759</v>
      </c>
      <c r="CE3343" s="2" t="s">
        <v>104</v>
      </c>
      <c r="CF3343" s="5">
        <v>42972</v>
      </c>
      <c r="CG3343" s="2"/>
      <c r="CH3343" s="2"/>
      <c r="CI3343" s="2">
        <v>1</v>
      </c>
      <c r="CJ3343" s="2">
        <v>1</v>
      </c>
      <c r="CK3343" s="2">
        <v>34</v>
      </c>
      <c r="CL3343" s="2" t="s">
        <v>86</v>
      </c>
      <c r="CM3343" s="2"/>
    </row>
    <row r="3344" spans="1:91">
      <c r="A3344" s="2" t="s">
        <v>71</v>
      </c>
      <c r="B3344" s="2" t="s">
        <v>72</v>
      </c>
      <c r="C3344" s="2" t="s">
        <v>73</v>
      </c>
      <c r="D3344" s="2"/>
      <c r="E3344" s="2" t="str">
        <f>"Rfes1162566164"</f>
        <v>Rfes1162566164</v>
      </c>
      <c r="F3344" s="3">
        <v>42970</v>
      </c>
      <c r="G3344" s="2">
        <v>201802</v>
      </c>
      <c r="H3344" s="2" t="s">
        <v>97</v>
      </c>
      <c r="I3344" s="2" t="s">
        <v>98</v>
      </c>
      <c r="J3344" s="2" t="s">
        <v>214</v>
      </c>
      <c r="K3344" s="2" t="s">
        <v>77</v>
      </c>
      <c r="L3344" s="2" t="s">
        <v>74</v>
      </c>
      <c r="M3344" s="2" t="s">
        <v>75</v>
      </c>
      <c r="N3344" s="2" t="s">
        <v>118</v>
      </c>
      <c r="O3344" s="2" t="s">
        <v>100</v>
      </c>
      <c r="P3344" s="2" t="str">
        <f>"2170580656                    "</f>
        <v xml:space="preserve">2170580656                    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4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1</v>
      </c>
      <c r="BI3344" s="2">
        <v>1</v>
      </c>
      <c r="BJ3344" s="2">
        <v>0.2</v>
      </c>
      <c r="BK3344" s="2">
        <v>1</v>
      </c>
      <c r="BL3344" s="2">
        <v>41.44</v>
      </c>
      <c r="BM3344" s="2">
        <v>5.8</v>
      </c>
      <c r="BN3344" s="2">
        <v>47.24</v>
      </c>
      <c r="BO3344" s="2">
        <v>47.24</v>
      </c>
      <c r="BP3344" s="2"/>
      <c r="BQ3344" s="2" t="s">
        <v>122</v>
      </c>
      <c r="BR3344" s="2" t="s">
        <v>83</v>
      </c>
      <c r="BS3344" s="3">
        <v>42975</v>
      </c>
      <c r="BT3344" s="4">
        <v>0.4861111111111111</v>
      </c>
      <c r="BU3344" s="2" t="s">
        <v>85</v>
      </c>
      <c r="BV3344" s="2" t="s">
        <v>86</v>
      </c>
      <c r="BW3344" s="2" t="s">
        <v>124</v>
      </c>
      <c r="BX3344" s="2" t="s">
        <v>1008</v>
      </c>
      <c r="BY3344" s="2">
        <v>1200</v>
      </c>
      <c r="BZ3344" s="2" t="s">
        <v>27</v>
      </c>
      <c r="CA3344" s="2"/>
      <c r="CB3344" s="2"/>
      <c r="CC3344" s="2" t="s">
        <v>75</v>
      </c>
      <c r="CD3344" s="2">
        <v>1600</v>
      </c>
      <c r="CE3344" s="2" t="s">
        <v>104</v>
      </c>
      <c r="CF3344" s="5">
        <v>42976</v>
      </c>
      <c r="CG3344" s="2"/>
      <c r="CH3344" s="2"/>
      <c r="CI3344" s="2">
        <v>1</v>
      </c>
      <c r="CJ3344" s="2">
        <v>3</v>
      </c>
      <c r="CK3344" s="2">
        <v>21</v>
      </c>
      <c r="CL3344" s="2" t="s">
        <v>86</v>
      </c>
      <c r="CM3344" s="2"/>
    </row>
    <row r="3345" spans="1:91">
      <c r="A3345" s="2" t="s">
        <v>71</v>
      </c>
      <c r="B3345" s="2" t="s">
        <v>72</v>
      </c>
      <c r="C3345" s="2" t="s">
        <v>73</v>
      </c>
      <c r="D3345" s="2"/>
      <c r="E3345" s="2" t="str">
        <f>"FES1162567520"</f>
        <v>FES1162567520</v>
      </c>
      <c r="F3345" s="3">
        <v>42954</v>
      </c>
      <c r="G3345" s="2">
        <v>201802</v>
      </c>
      <c r="H3345" s="2" t="s">
        <v>74</v>
      </c>
      <c r="I3345" s="2" t="s">
        <v>75</v>
      </c>
      <c r="J3345" s="2" t="s">
        <v>118</v>
      </c>
      <c r="K3345" s="2" t="s">
        <v>77</v>
      </c>
      <c r="L3345" s="2" t="s">
        <v>806</v>
      </c>
      <c r="M3345" s="2" t="s">
        <v>807</v>
      </c>
      <c r="N3345" s="2" t="s">
        <v>808</v>
      </c>
      <c r="O3345" s="2" t="s">
        <v>358</v>
      </c>
      <c r="P3345" s="2" t="str">
        <f>"2170583675                    "</f>
        <v xml:space="preserve">2170583675                    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5.63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1</v>
      </c>
      <c r="BI3345" s="2">
        <v>1.8</v>
      </c>
      <c r="BJ3345" s="2">
        <v>3.1</v>
      </c>
      <c r="BK3345" s="2">
        <v>4</v>
      </c>
      <c r="BL3345" s="2">
        <v>58.28</v>
      </c>
      <c r="BM3345" s="2">
        <v>8.16</v>
      </c>
      <c r="BN3345" s="2">
        <v>66.44</v>
      </c>
      <c r="BO3345" s="2">
        <v>66.44</v>
      </c>
      <c r="BP3345" s="2"/>
      <c r="BQ3345" s="2" t="s">
        <v>83</v>
      </c>
      <c r="BR3345" s="2" t="s">
        <v>122</v>
      </c>
      <c r="BS3345" s="3">
        <v>42955</v>
      </c>
      <c r="BT3345" s="4">
        <v>0.36874999999999997</v>
      </c>
      <c r="BU3345" s="2" t="s">
        <v>3390</v>
      </c>
      <c r="BV3345" s="2" t="s">
        <v>95</v>
      </c>
      <c r="BW3345" s="2"/>
      <c r="BX3345" s="2"/>
      <c r="BY3345" s="2">
        <v>15429.4</v>
      </c>
      <c r="BZ3345" s="2" t="s">
        <v>27</v>
      </c>
      <c r="CA3345" s="2" t="s">
        <v>3434</v>
      </c>
      <c r="CB3345" s="2"/>
      <c r="CC3345" s="2" t="s">
        <v>807</v>
      </c>
      <c r="CD3345" s="2">
        <v>2410</v>
      </c>
      <c r="CE3345" s="2" t="s">
        <v>104</v>
      </c>
      <c r="CF3345" s="5">
        <v>42957</v>
      </c>
      <c r="CG3345" s="2"/>
      <c r="CH3345" s="2"/>
      <c r="CI3345" s="2">
        <v>1</v>
      </c>
      <c r="CJ3345" s="2">
        <v>1</v>
      </c>
      <c r="CK3345" s="2">
        <v>34</v>
      </c>
      <c r="CL3345" s="2" t="s">
        <v>86</v>
      </c>
      <c r="CM3345" s="2"/>
    </row>
    <row r="3346" spans="1:91">
      <c r="A3346" s="2" t="s">
        <v>71</v>
      </c>
      <c r="B3346" s="2" t="s">
        <v>72</v>
      </c>
      <c r="C3346" s="2" t="s">
        <v>73</v>
      </c>
      <c r="D3346" s="2"/>
      <c r="E3346" s="2" t="str">
        <f>"FES1162569329"</f>
        <v>FES1162569329</v>
      </c>
      <c r="F3346" s="3">
        <v>42963</v>
      </c>
      <c r="G3346" s="2">
        <v>201802</v>
      </c>
      <c r="H3346" s="2" t="s">
        <v>74</v>
      </c>
      <c r="I3346" s="2" t="s">
        <v>75</v>
      </c>
      <c r="J3346" s="2" t="s">
        <v>118</v>
      </c>
      <c r="K3346" s="2" t="s">
        <v>77</v>
      </c>
      <c r="L3346" s="2" t="s">
        <v>74</v>
      </c>
      <c r="M3346" s="2" t="s">
        <v>75</v>
      </c>
      <c r="N3346" s="2" t="s">
        <v>192</v>
      </c>
      <c r="O3346" s="2" t="s">
        <v>358</v>
      </c>
      <c r="P3346" s="2" t="str">
        <f>"2170585197                    "</f>
        <v xml:space="preserve">2170585197                    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5.58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1</v>
      </c>
      <c r="BI3346" s="2">
        <v>14.2</v>
      </c>
      <c r="BJ3346" s="2">
        <v>3.5</v>
      </c>
      <c r="BK3346" s="2">
        <v>15</v>
      </c>
      <c r="BL3346" s="2">
        <v>57.79</v>
      </c>
      <c r="BM3346" s="2">
        <v>8.09</v>
      </c>
      <c r="BN3346" s="2">
        <v>65.88</v>
      </c>
      <c r="BO3346" s="2">
        <v>65.88</v>
      </c>
      <c r="BP3346" s="2"/>
      <c r="BQ3346" s="2" t="s">
        <v>288</v>
      </c>
      <c r="BR3346" s="2" t="s">
        <v>122</v>
      </c>
      <c r="BS3346" s="3">
        <v>42964</v>
      </c>
      <c r="BT3346" s="4">
        <v>0.34930555555555554</v>
      </c>
      <c r="BU3346" s="2" t="s">
        <v>193</v>
      </c>
      <c r="BV3346" s="2" t="s">
        <v>95</v>
      </c>
      <c r="BW3346" s="2"/>
      <c r="BX3346" s="2"/>
      <c r="BY3346" s="2">
        <v>17712</v>
      </c>
      <c r="BZ3346" s="2" t="s">
        <v>27</v>
      </c>
      <c r="CA3346" s="2" t="s">
        <v>194</v>
      </c>
      <c r="CB3346" s="2"/>
      <c r="CC3346" s="2" t="s">
        <v>75</v>
      </c>
      <c r="CD3346" s="2">
        <v>1665</v>
      </c>
      <c r="CE3346" s="2" t="s">
        <v>89</v>
      </c>
      <c r="CF3346" s="5">
        <v>42965</v>
      </c>
      <c r="CG3346" s="2"/>
      <c r="CH3346" s="2"/>
      <c r="CI3346" s="2">
        <v>1</v>
      </c>
      <c r="CJ3346" s="2">
        <v>1</v>
      </c>
      <c r="CK3346" s="2">
        <v>32</v>
      </c>
      <c r="CL3346" s="2" t="s">
        <v>86</v>
      </c>
      <c r="CM3346" s="2"/>
    </row>
    <row r="3347" spans="1:91">
      <c r="A3347" s="2" t="s">
        <v>71</v>
      </c>
      <c r="B3347" s="2" t="s">
        <v>72</v>
      </c>
      <c r="C3347" s="2" t="s">
        <v>73</v>
      </c>
      <c r="D3347" s="2"/>
      <c r="E3347" s="2" t="str">
        <f>"FES1162569102"</f>
        <v>FES1162569102</v>
      </c>
      <c r="F3347" s="3">
        <v>42962</v>
      </c>
      <c r="G3347" s="2">
        <v>201802</v>
      </c>
      <c r="H3347" s="2" t="s">
        <v>74</v>
      </c>
      <c r="I3347" s="2" t="s">
        <v>75</v>
      </c>
      <c r="J3347" s="2" t="s">
        <v>118</v>
      </c>
      <c r="K3347" s="2" t="s">
        <v>77</v>
      </c>
      <c r="L3347" s="2" t="s">
        <v>306</v>
      </c>
      <c r="M3347" s="2" t="s">
        <v>307</v>
      </c>
      <c r="N3347" s="2" t="s">
        <v>2650</v>
      </c>
      <c r="O3347" s="2" t="s">
        <v>358</v>
      </c>
      <c r="P3347" s="2" t="str">
        <f>"2170584925                    "</f>
        <v xml:space="preserve">2170584925                    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5.63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1</v>
      </c>
      <c r="BI3347" s="2">
        <v>4.3</v>
      </c>
      <c r="BJ3347" s="2">
        <v>1.9</v>
      </c>
      <c r="BK3347" s="2">
        <v>5</v>
      </c>
      <c r="BL3347" s="2">
        <v>58.28</v>
      </c>
      <c r="BM3347" s="2">
        <v>8.16</v>
      </c>
      <c r="BN3347" s="2">
        <v>66.44</v>
      </c>
      <c r="BO3347" s="2">
        <v>66.44</v>
      </c>
      <c r="BP3347" s="2"/>
      <c r="BQ3347" s="2" t="s">
        <v>83</v>
      </c>
      <c r="BR3347" s="2" t="s">
        <v>122</v>
      </c>
      <c r="BS3347" s="3">
        <v>42963</v>
      </c>
      <c r="BT3347" s="4">
        <v>0.41944444444444445</v>
      </c>
      <c r="BU3347" s="2" t="s">
        <v>3435</v>
      </c>
      <c r="BV3347" s="2" t="s">
        <v>95</v>
      </c>
      <c r="BW3347" s="2"/>
      <c r="BX3347" s="2"/>
      <c r="BY3347" s="2">
        <v>9410.26</v>
      </c>
      <c r="BZ3347" s="2" t="s">
        <v>27</v>
      </c>
      <c r="CA3347" s="2" t="s">
        <v>310</v>
      </c>
      <c r="CB3347" s="2"/>
      <c r="CC3347" s="2" t="s">
        <v>307</v>
      </c>
      <c r="CD3347" s="2">
        <v>1939</v>
      </c>
      <c r="CE3347" s="2" t="s">
        <v>89</v>
      </c>
      <c r="CF3347" s="5">
        <v>42964</v>
      </c>
      <c r="CG3347" s="2"/>
      <c r="CH3347" s="2"/>
      <c r="CI3347" s="2">
        <v>1</v>
      </c>
      <c r="CJ3347" s="2">
        <v>1</v>
      </c>
      <c r="CK3347" s="2">
        <v>34</v>
      </c>
      <c r="CL3347" s="2" t="s">
        <v>86</v>
      </c>
      <c r="CM3347" s="2"/>
    </row>
    <row r="3348" spans="1:91">
      <c r="A3348" s="2" t="s">
        <v>71</v>
      </c>
      <c r="B3348" s="2" t="s">
        <v>72</v>
      </c>
      <c r="C3348" s="2" t="s">
        <v>73</v>
      </c>
      <c r="D3348" s="2"/>
      <c r="E3348" s="2" t="str">
        <f>"FES1162570410"</f>
        <v>FES1162570410</v>
      </c>
      <c r="F3348" s="3">
        <v>42969</v>
      </c>
      <c r="G3348" s="2">
        <v>201802</v>
      </c>
      <c r="H3348" s="2" t="s">
        <v>74</v>
      </c>
      <c r="I3348" s="2" t="s">
        <v>75</v>
      </c>
      <c r="J3348" s="2" t="s">
        <v>118</v>
      </c>
      <c r="K3348" s="2" t="s">
        <v>77</v>
      </c>
      <c r="L3348" s="2" t="s">
        <v>144</v>
      </c>
      <c r="M3348" s="2" t="s">
        <v>145</v>
      </c>
      <c r="N3348" s="2" t="s">
        <v>2214</v>
      </c>
      <c r="O3348" s="2" t="s">
        <v>358</v>
      </c>
      <c r="P3348" s="2" t="str">
        <f>"2170585566                    "</f>
        <v xml:space="preserve">2170585566                    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6.28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1</v>
      </c>
      <c r="BI3348" s="2">
        <v>7.7</v>
      </c>
      <c r="BJ3348" s="2">
        <v>16.399999999999999</v>
      </c>
      <c r="BK3348" s="2">
        <v>17</v>
      </c>
      <c r="BL3348" s="2">
        <v>65.05</v>
      </c>
      <c r="BM3348" s="2">
        <v>9.11</v>
      </c>
      <c r="BN3348" s="2">
        <v>74.16</v>
      </c>
      <c r="BO3348" s="2">
        <v>74.16</v>
      </c>
      <c r="BP3348" s="2"/>
      <c r="BQ3348" s="2" t="s">
        <v>209</v>
      </c>
      <c r="BR3348" s="2" t="s">
        <v>122</v>
      </c>
      <c r="BS3348" s="3">
        <v>42970</v>
      </c>
      <c r="BT3348" s="4">
        <v>0.39166666666666666</v>
      </c>
      <c r="BU3348" s="2" t="s">
        <v>1360</v>
      </c>
      <c r="BV3348" s="2" t="s">
        <v>95</v>
      </c>
      <c r="BW3348" s="2"/>
      <c r="BX3348" s="2"/>
      <c r="BY3348" s="2">
        <v>81895.23</v>
      </c>
      <c r="BZ3348" s="2" t="s">
        <v>27</v>
      </c>
      <c r="CA3348" s="2" t="s">
        <v>923</v>
      </c>
      <c r="CB3348" s="2"/>
      <c r="CC3348" s="2" t="s">
        <v>145</v>
      </c>
      <c r="CD3348" s="2">
        <v>1725</v>
      </c>
      <c r="CE3348" s="2" t="s">
        <v>135</v>
      </c>
      <c r="CF3348" s="5">
        <v>42971</v>
      </c>
      <c r="CG3348" s="2"/>
      <c r="CH3348" s="2"/>
      <c r="CI3348" s="2">
        <v>1</v>
      </c>
      <c r="CJ3348" s="2">
        <v>1</v>
      </c>
      <c r="CK3348" s="2">
        <v>32</v>
      </c>
      <c r="CL3348" s="2" t="s">
        <v>86</v>
      </c>
      <c r="CM3348" s="2"/>
    </row>
    <row r="3349" spans="1:91">
      <c r="A3349" s="2" t="s">
        <v>71</v>
      </c>
      <c r="B3349" s="2" t="s">
        <v>72</v>
      </c>
      <c r="C3349" s="2" t="s">
        <v>73</v>
      </c>
      <c r="D3349" s="2"/>
      <c r="E3349" s="2" t="str">
        <f>"FES1162568858"</f>
        <v>FES1162568858</v>
      </c>
      <c r="F3349" s="3">
        <v>42962</v>
      </c>
      <c r="G3349" s="2">
        <v>201802</v>
      </c>
      <c r="H3349" s="2" t="s">
        <v>74</v>
      </c>
      <c r="I3349" s="2" t="s">
        <v>75</v>
      </c>
      <c r="J3349" s="2" t="s">
        <v>118</v>
      </c>
      <c r="K3349" s="2" t="s">
        <v>77</v>
      </c>
      <c r="L3349" s="2" t="s">
        <v>339</v>
      </c>
      <c r="M3349" s="2" t="s">
        <v>340</v>
      </c>
      <c r="N3349" s="2" t="s">
        <v>341</v>
      </c>
      <c r="O3349" s="2" t="s">
        <v>358</v>
      </c>
      <c r="P3349" s="2" t="str">
        <f>"2170583485                    "</f>
        <v xml:space="preserve">2170583485                    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7.75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3.6</v>
      </c>
      <c r="BJ3349" s="2">
        <v>1.7</v>
      </c>
      <c r="BK3349" s="2">
        <v>4</v>
      </c>
      <c r="BL3349" s="2">
        <v>80.290000000000006</v>
      </c>
      <c r="BM3349" s="2">
        <v>11.24</v>
      </c>
      <c r="BN3349" s="2">
        <v>91.53</v>
      </c>
      <c r="BO3349" s="2">
        <v>91.53</v>
      </c>
      <c r="BP3349" s="2"/>
      <c r="BQ3349" s="2" t="s">
        <v>83</v>
      </c>
      <c r="BR3349" s="2" t="s">
        <v>122</v>
      </c>
      <c r="BS3349" s="3">
        <v>42963</v>
      </c>
      <c r="BT3349" s="4">
        <v>0.5</v>
      </c>
      <c r="BU3349" s="2" t="s">
        <v>342</v>
      </c>
      <c r="BV3349" s="2" t="s">
        <v>86</v>
      </c>
      <c r="BW3349" s="2"/>
      <c r="BX3349" s="2"/>
      <c r="BY3349" s="2">
        <v>8322.57</v>
      </c>
      <c r="BZ3349" s="2" t="s">
        <v>27</v>
      </c>
      <c r="CA3349" s="2" t="s">
        <v>148</v>
      </c>
      <c r="CB3349" s="2"/>
      <c r="CC3349" s="2" t="s">
        <v>340</v>
      </c>
      <c r="CD3349" s="2">
        <v>1949</v>
      </c>
      <c r="CE3349" s="2" t="s">
        <v>89</v>
      </c>
      <c r="CF3349" s="5">
        <v>42964</v>
      </c>
      <c r="CG3349" s="2"/>
      <c r="CH3349" s="2"/>
      <c r="CI3349" s="2">
        <v>1</v>
      </c>
      <c r="CJ3349" s="2">
        <v>1</v>
      </c>
      <c r="CK3349" s="2">
        <v>33</v>
      </c>
      <c r="CL3349" s="2" t="s">
        <v>86</v>
      </c>
      <c r="CM3349" s="2"/>
    </row>
    <row r="3350" spans="1:91">
      <c r="A3350" s="2" t="s">
        <v>71</v>
      </c>
      <c r="B3350" s="2" t="s">
        <v>72</v>
      </c>
      <c r="C3350" s="2" t="s">
        <v>73</v>
      </c>
      <c r="D3350" s="2"/>
      <c r="E3350" s="2" t="str">
        <f>"FES1162568869"</f>
        <v>FES1162568869</v>
      </c>
      <c r="F3350" s="3">
        <v>42962</v>
      </c>
      <c r="G3350" s="2">
        <v>201802</v>
      </c>
      <c r="H3350" s="2" t="s">
        <v>74</v>
      </c>
      <c r="I3350" s="2" t="s">
        <v>75</v>
      </c>
      <c r="J3350" s="2" t="s">
        <v>118</v>
      </c>
      <c r="K3350" s="2" t="s">
        <v>77</v>
      </c>
      <c r="L3350" s="2" t="s">
        <v>306</v>
      </c>
      <c r="M3350" s="2" t="s">
        <v>307</v>
      </c>
      <c r="N3350" s="2" t="s">
        <v>2650</v>
      </c>
      <c r="O3350" s="2" t="s">
        <v>358</v>
      </c>
      <c r="P3350" s="2" t="str">
        <f>"2170584925                    "</f>
        <v xml:space="preserve">2170584925                    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5.63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1</v>
      </c>
      <c r="BI3350" s="2">
        <v>6</v>
      </c>
      <c r="BJ3350" s="2">
        <v>3.3</v>
      </c>
      <c r="BK3350" s="2">
        <v>6</v>
      </c>
      <c r="BL3350" s="2">
        <v>58.28</v>
      </c>
      <c r="BM3350" s="2">
        <v>8.16</v>
      </c>
      <c r="BN3350" s="2">
        <v>66.44</v>
      </c>
      <c r="BO3350" s="2">
        <v>66.44</v>
      </c>
      <c r="BP3350" s="2"/>
      <c r="BQ3350" s="2" t="s">
        <v>83</v>
      </c>
      <c r="BR3350" s="2" t="s">
        <v>122</v>
      </c>
      <c r="BS3350" s="3">
        <v>42963</v>
      </c>
      <c r="BT3350" s="4">
        <v>0.41944444444444445</v>
      </c>
      <c r="BU3350" s="2" t="s">
        <v>3435</v>
      </c>
      <c r="BV3350" s="2" t="s">
        <v>95</v>
      </c>
      <c r="BW3350" s="2"/>
      <c r="BX3350" s="2"/>
      <c r="BY3350" s="2">
        <v>16564.03</v>
      </c>
      <c r="BZ3350" s="2" t="s">
        <v>27</v>
      </c>
      <c r="CA3350" s="2" t="s">
        <v>310</v>
      </c>
      <c r="CB3350" s="2"/>
      <c r="CC3350" s="2" t="s">
        <v>307</v>
      </c>
      <c r="CD3350" s="2">
        <v>1939</v>
      </c>
      <c r="CE3350" s="2" t="s">
        <v>89</v>
      </c>
      <c r="CF3350" s="5">
        <v>42964</v>
      </c>
      <c r="CG3350" s="2"/>
      <c r="CH3350" s="2"/>
      <c r="CI3350" s="2">
        <v>1</v>
      </c>
      <c r="CJ3350" s="2">
        <v>1</v>
      </c>
      <c r="CK3350" s="2">
        <v>34</v>
      </c>
      <c r="CL3350" s="2" t="s">
        <v>86</v>
      </c>
      <c r="CM3350" s="2"/>
    </row>
    <row r="3351" spans="1:91">
      <c r="A3351" s="2" t="s">
        <v>71</v>
      </c>
      <c r="B3351" s="2" t="s">
        <v>72</v>
      </c>
      <c r="C3351" s="2" t="s">
        <v>73</v>
      </c>
      <c r="D3351" s="2"/>
      <c r="E3351" s="2" t="str">
        <f>"FES1162568979"</f>
        <v>FES1162568979</v>
      </c>
      <c r="F3351" s="3">
        <v>42962</v>
      </c>
      <c r="G3351" s="2">
        <v>201802</v>
      </c>
      <c r="H3351" s="2" t="s">
        <v>74</v>
      </c>
      <c r="I3351" s="2" t="s">
        <v>75</v>
      </c>
      <c r="J3351" s="2" t="s">
        <v>118</v>
      </c>
      <c r="K3351" s="2" t="s">
        <v>77</v>
      </c>
      <c r="L3351" s="2" t="s">
        <v>206</v>
      </c>
      <c r="M3351" s="2" t="s">
        <v>207</v>
      </c>
      <c r="N3351" s="2" t="s">
        <v>208</v>
      </c>
      <c r="O3351" s="2" t="s">
        <v>358</v>
      </c>
      <c r="P3351" s="2" t="str">
        <f>"2170584990                    "</f>
        <v xml:space="preserve">2170584990                    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5.63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1</v>
      </c>
      <c r="BI3351" s="2">
        <v>6.3</v>
      </c>
      <c r="BJ3351" s="2">
        <v>3.2</v>
      </c>
      <c r="BK3351" s="2">
        <v>7</v>
      </c>
      <c r="BL3351" s="2">
        <v>58.28</v>
      </c>
      <c r="BM3351" s="2">
        <v>8.16</v>
      </c>
      <c r="BN3351" s="2">
        <v>66.44</v>
      </c>
      <c r="BO3351" s="2">
        <v>66.44</v>
      </c>
      <c r="BP3351" s="2"/>
      <c r="BQ3351" s="2" t="s">
        <v>209</v>
      </c>
      <c r="BR3351" s="2" t="s">
        <v>122</v>
      </c>
      <c r="BS3351" s="3">
        <v>42963</v>
      </c>
      <c r="BT3351" s="4">
        <v>0.57361111111111118</v>
      </c>
      <c r="BU3351" s="2" t="s">
        <v>3436</v>
      </c>
      <c r="BV3351" s="2" t="s">
        <v>95</v>
      </c>
      <c r="BW3351" s="2"/>
      <c r="BX3351" s="2"/>
      <c r="BY3351" s="2">
        <v>15963.64</v>
      </c>
      <c r="BZ3351" s="2" t="s">
        <v>27</v>
      </c>
      <c r="CA3351" s="2" t="s">
        <v>211</v>
      </c>
      <c r="CB3351" s="2"/>
      <c r="CC3351" s="2" t="s">
        <v>207</v>
      </c>
      <c r="CD3351" s="2">
        <v>250</v>
      </c>
      <c r="CE3351" s="2" t="s">
        <v>89</v>
      </c>
      <c r="CF3351" s="5">
        <v>42965</v>
      </c>
      <c r="CG3351" s="2"/>
      <c r="CH3351" s="2"/>
      <c r="CI3351" s="2">
        <v>1</v>
      </c>
      <c r="CJ3351" s="2">
        <v>1</v>
      </c>
      <c r="CK3351" s="2">
        <v>34</v>
      </c>
      <c r="CL3351" s="2" t="s">
        <v>86</v>
      </c>
      <c r="CM3351" s="2"/>
    </row>
    <row r="3352" spans="1:91">
      <c r="A3352" s="2" t="s">
        <v>71</v>
      </c>
      <c r="B3352" s="2" t="s">
        <v>72</v>
      </c>
      <c r="C3352" s="2" t="s">
        <v>73</v>
      </c>
      <c r="D3352" s="2"/>
      <c r="E3352" s="2" t="str">
        <f>"FES1162570920"</f>
        <v>FES1162570920</v>
      </c>
      <c r="F3352" s="3">
        <v>42970</v>
      </c>
      <c r="G3352" s="2">
        <v>201802</v>
      </c>
      <c r="H3352" s="2" t="s">
        <v>74</v>
      </c>
      <c r="I3352" s="2" t="s">
        <v>75</v>
      </c>
      <c r="J3352" s="2" t="s">
        <v>118</v>
      </c>
      <c r="K3352" s="2" t="s">
        <v>77</v>
      </c>
      <c r="L3352" s="2" t="s">
        <v>939</v>
      </c>
      <c r="M3352" s="2" t="s">
        <v>940</v>
      </c>
      <c r="N3352" s="2" t="s">
        <v>941</v>
      </c>
      <c r="O3352" s="2" t="s">
        <v>358</v>
      </c>
      <c r="P3352" s="2" t="str">
        <f>"2170586594                    "</f>
        <v xml:space="preserve">2170586594                    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5.63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1</v>
      </c>
      <c r="BI3352" s="2">
        <v>4.3</v>
      </c>
      <c r="BJ3352" s="2">
        <v>3.2</v>
      </c>
      <c r="BK3352" s="2">
        <v>5</v>
      </c>
      <c r="BL3352" s="2">
        <v>58.28</v>
      </c>
      <c r="BM3352" s="2">
        <v>8.16</v>
      </c>
      <c r="BN3352" s="2">
        <v>66.44</v>
      </c>
      <c r="BO3352" s="2">
        <v>66.44</v>
      </c>
      <c r="BP3352" s="2"/>
      <c r="BQ3352" s="2" t="s">
        <v>83</v>
      </c>
      <c r="BR3352" s="2" t="s">
        <v>122</v>
      </c>
      <c r="BS3352" s="3">
        <v>42971</v>
      </c>
      <c r="BT3352" s="4">
        <v>0.64236111111111105</v>
      </c>
      <c r="BU3352" s="2" t="s">
        <v>942</v>
      </c>
      <c r="BV3352" s="2" t="s">
        <v>95</v>
      </c>
      <c r="BW3352" s="2"/>
      <c r="BX3352" s="2"/>
      <c r="BY3352" s="2">
        <v>15895.32</v>
      </c>
      <c r="BZ3352" s="2" t="s">
        <v>27</v>
      </c>
      <c r="CA3352" s="2" t="s">
        <v>943</v>
      </c>
      <c r="CB3352" s="2"/>
      <c r="CC3352" s="2" t="s">
        <v>940</v>
      </c>
      <c r="CD3352" s="2">
        <v>1028</v>
      </c>
      <c r="CE3352" s="2" t="s">
        <v>89</v>
      </c>
      <c r="CF3352" s="5">
        <v>42972</v>
      </c>
      <c r="CG3352" s="2"/>
      <c r="CH3352" s="2"/>
      <c r="CI3352" s="2">
        <v>2</v>
      </c>
      <c r="CJ3352" s="2">
        <v>1</v>
      </c>
      <c r="CK3352" s="2">
        <v>34</v>
      </c>
      <c r="CL3352" s="2" t="s">
        <v>86</v>
      </c>
      <c r="CM3352" s="2"/>
    </row>
    <row r="3353" spans="1:91">
      <c r="A3353" s="2" t="s">
        <v>71</v>
      </c>
      <c r="B3353" s="2" t="s">
        <v>72</v>
      </c>
      <c r="C3353" s="2" t="s">
        <v>73</v>
      </c>
      <c r="D3353" s="2"/>
      <c r="E3353" s="2" t="str">
        <f>"FES1162570923"</f>
        <v>FES1162570923</v>
      </c>
      <c r="F3353" s="3">
        <v>42970</v>
      </c>
      <c r="G3353" s="2">
        <v>201802</v>
      </c>
      <c r="H3353" s="2" t="s">
        <v>74</v>
      </c>
      <c r="I3353" s="2" t="s">
        <v>75</v>
      </c>
      <c r="J3353" s="2" t="s">
        <v>118</v>
      </c>
      <c r="K3353" s="2" t="s">
        <v>77</v>
      </c>
      <c r="L3353" s="2" t="s">
        <v>939</v>
      </c>
      <c r="M3353" s="2" t="s">
        <v>940</v>
      </c>
      <c r="N3353" s="2" t="s">
        <v>941</v>
      </c>
      <c r="O3353" s="2" t="s">
        <v>358</v>
      </c>
      <c r="P3353" s="2" t="str">
        <f>"2170586597                    "</f>
        <v xml:space="preserve">2170586597                    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5.63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1</v>
      </c>
      <c r="BI3353" s="2">
        <v>5.8</v>
      </c>
      <c r="BJ3353" s="2">
        <v>3.3</v>
      </c>
      <c r="BK3353" s="2">
        <v>6</v>
      </c>
      <c r="BL3353" s="2">
        <v>58.28</v>
      </c>
      <c r="BM3353" s="2">
        <v>8.16</v>
      </c>
      <c r="BN3353" s="2">
        <v>66.44</v>
      </c>
      <c r="BO3353" s="2">
        <v>66.44</v>
      </c>
      <c r="BP3353" s="2"/>
      <c r="BQ3353" s="2" t="s">
        <v>83</v>
      </c>
      <c r="BR3353" s="2" t="s">
        <v>122</v>
      </c>
      <c r="BS3353" s="3">
        <v>42971</v>
      </c>
      <c r="BT3353" s="4">
        <v>0.64236111111111105</v>
      </c>
      <c r="BU3353" s="2" t="s">
        <v>942</v>
      </c>
      <c r="BV3353" s="2" t="s">
        <v>95</v>
      </c>
      <c r="BW3353" s="2"/>
      <c r="BX3353" s="2"/>
      <c r="BY3353" s="2">
        <v>16699.39</v>
      </c>
      <c r="BZ3353" s="2" t="s">
        <v>27</v>
      </c>
      <c r="CA3353" s="2" t="s">
        <v>943</v>
      </c>
      <c r="CB3353" s="2"/>
      <c r="CC3353" s="2" t="s">
        <v>940</v>
      </c>
      <c r="CD3353" s="2">
        <v>1028</v>
      </c>
      <c r="CE3353" s="2" t="s">
        <v>89</v>
      </c>
      <c r="CF3353" s="5">
        <v>42972</v>
      </c>
      <c r="CG3353" s="2"/>
      <c r="CH3353" s="2"/>
      <c r="CI3353" s="2">
        <v>2</v>
      </c>
      <c r="CJ3353" s="2">
        <v>1</v>
      </c>
      <c r="CK3353" s="2">
        <v>34</v>
      </c>
      <c r="CL3353" s="2" t="s">
        <v>86</v>
      </c>
      <c r="CM3353" s="2"/>
    </row>
    <row r="3354" spans="1:91">
      <c r="A3354" s="2" t="s">
        <v>71</v>
      </c>
      <c r="B3354" s="2" t="s">
        <v>72</v>
      </c>
      <c r="C3354" s="2" t="s">
        <v>73</v>
      </c>
      <c r="D3354" s="2"/>
      <c r="E3354" s="2" t="str">
        <f>"FES1162571006"</f>
        <v>FES1162571006</v>
      </c>
      <c r="F3354" s="3">
        <v>42970</v>
      </c>
      <c r="G3354" s="2">
        <v>201802</v>
      </c>
      <c r="H3354" s="2" t="s">
        <v>74</v>
      </c>
      <c r="I3354" s="2" t="s">
        <v>75</v>
      </c>
      <c r="J3354" s="2" t="s">
        <v>118</v>
      </c>
      <c r="K3354" s="2" t="s">
        <v>77</v>
      </c>
      <c r="L3354" s="2" t="s">
        <v>244</v>
      </c>
      <c r="M3354" s="2" t="s">
        <v>245</v>
      </c>
      <c r="N3354" s="2" t="s">
        <v>424</v>
      </c>
      <c r="O3354" s="2" t="s">
        <v>358</v>
      </c>
      <c r="P3354" s="2" t="str">
        <f>"2170586676                    "</f>
        <v xml:space="preserve">2170586676                    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4.88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2</v>
      </c>
      <c r="BI3354" s="2">
        <v>6.5</v>
      </c>
      <c r="BJ3354" s="2">
        <v>12.4</v>
      </c>
      <c r="BK3354" s="2">
        <v>13</v>
      </c>
      <c r="BL3354" s="2">
        <v>50.53</v>
      </c>
      <c r="BM3354" s="2">
        <v>7.07</v>
      </c>
      <c r="BN3354" s="2">
        <v>57.6</v>
      </c>
      <c r="BO3354" s="2">
        <v>57.6</v>
      </c>
      <c r="BP3354" s="2"/>
      <c r="BQ3354" s="2" t="s">
        <v>83</v>
      </c>
      <c r="BR3354" s="2" t="s">
        <v>122</v>
      </c>
      <c r="BS3354" s="3">
        <v>42971</v>
      </c>
      <c r="BT3354" s="4">
        <v>0.38958333333333334</v>
      </c>
      <c r="BU3354" s="2" t="s">
        <v>3437</v>
      </c>
      <c r="BV3354" s="2" t="s">
        <v>95</v>
      </c>
      <c r="BW3354" s="2"/>
      <c r="BX3354" s="2"/>
      <c r="BY3354" s="2">
        <v>61827.63</v>
      </c>
      <c r="BZ3354" s="2" t="s">
        <v>27</v>
      </c>
      <c r="CA3354" s="2" t="s">
        <v>733</v>
      </c>
      <c r="CB3354" s="2"/>
      <c r="CC3354" s="2" t="s">
        <v>245</v>
      </c>
      <c r="CD3354" s="2">
        <v>1459</v>
      </c>
      <c r="CE3354" s="2" t="s">
        <v>104</v>
      </c>
      <c r="CF3354" s="5">
        <v>42972</v>
      </c>
      <c r="CG3354" s="2"/>
      <c r="CH3354" s="2"/>
      <c r="CI3354" s="2">
        <v>1</v>
      </c>
      <c r="CJ3354" s="2">
        <v>1</v>
      </c>
      <c r="CK3354" s="2">
        <v>32</v>
      </c>
      <c r="CL3354" s="2" t="s">
        <v>86</v>
      </c>
      <c r="CM3354" s="2"/>
    </row>
    <row r="3355" spans="1:91">
      <c r="A3355" s="2" t="s">
        <v>71</v>
      </c>
      <c r="B3355" s="2" t="s">
        <v>72</v>
      </c>
      <c r="C3355" s="2" t="s">
        <v>73</v>
      </c>
      <c r="D3355" s="2"/>
      <c r="E3355" s="2" t="str">
        <f>"FES1162571032"</f>
        <v>FES1162571032</v>
      </c>
      <c r="F3355" s="3">
        <v>42970</v>
      </c>
      <c r="G3355" s="2">
        <v>201802</v>
      </c>
      <c r="H3355" s="2" t="s">
        <v>74</v>
      </c>
      <c r="I3355" s="2" t="s">
        <v>75</v>
      </c>
      <c r="J3355" s="2" t="s">
        <v>118</v>
      </c>
      <c r="K3355" s="2" t="s">
        <v>77</v>
      </c>
      <c r="L3355" s="2" t="s">
        <v>206</v>
      </c>
      <c r="M3355" s="2" t="s">
        <v>207</v>
      </c>
      <c r="N3355" s="2" t="s">
        <v>262</v>
      </c>
      <c r="O3355" s="2" t="s">
        <v>358</v>
      </c>
      <c r="P3355" s="2" t="str">
        <f>"2170586711                    "</f>
        <v xml:space="preserve">2170586711                    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5.63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1</v>
      </c>
      <c r="BI3355" s="2">
        <v>1.6</v>
      </c>
      <c r="BJ3355" s="2">
        <v>3.9</v>
      </c>
      <c r="BK3355" s="2">
        <v>4</v>
      </c>
      <c r="BL3355" s="2">
        <v>58.28</v>
      </c>
      <c r="BM3355" s="2">
        <v>8.16</v>
      </c>
      <c r="BN3355" s="2">
        <v>66.44</v>
      </c>
      <c r="BO3355" s="2">
        <v>66.44</v>
      </c>
      <c r="BP3355" s="2"/>
      <c r="BQ3355" s="2" t="s">
        <v>83</v>
      </c>
      <c r="BR3355" s="2" t="s">
        <v>122</v>
      </c>
      <c r="BS3355" s="3">
        <v>42971</v>
      </c>
      <c r="BT3355" s="4">
        <v>0.52083333333333337</v>
      </c>
      <c r="BU3355" s="2" t="s">
        <v>1421</v>
      </c>
      <c r="BV3355" s="2" t="s">
        <v>95</v>
      </c>
      <c r="BW3355" s="2"/>
      <c r="BX3355" s="2"/>
      <c r="BY3355" s="2">
        <v>19422.38</v>
      </c>
      <c r="BZ3355" s="2" t="s">
        <v>27</v>
      </c>
      <c r="CA3355" s="2" t="s">
        <v>211</v>
      </c>
      <c r="CB3355" s="2"/>
      <c r="CC3355" s="2" t="s">
        <v>207</v>
      </c>
      <c r="CD3355" s="2">
        <v>250</v>
      </c>
      <c r="CE3355" s="2" t="s">
        <v>104</v>
      </c>
      <c r="CF3355" s="5">
        <v>42975</v>
      </c>
      <c r="CG3355" s="2"/>
      <c r="CH3355" s="2"/>
      <c r="CI3355" s="2">
        <v>1</v>
      </c>
      <c r="CJ3355" s="2">
        <v>1</v>
      </c>
      <c r="CK3355" s="2">
        <v>34</v>
      </c>
      <c r="CL3355" s="2" t="s">
        <v>86</v>
      </c>
      <c r="CM3355" s="2"/>
    </row>
    <row r="3356" spans="1:91">
      <c r="A3356" s="2" t="s">
        <v>71</v>
      </c>
      <c r="B3356" s="2" t="s">
        <v>72</v>
      </c>
      <c r="C3356" s="2" t="s">
        <v>73</v>
      </c>
      <c r="D3356" s="2"/>
      <c r="E3356" s="2" t="str">
        <f>"FES1162568647"</f>
        <v>FES1162568647</v>
      </c>
      <c r="F3356" s="3">
        <v>42961</v>
      </c>
      <c r="G3356" s="2">
        <v>201802</v>
      </c>
      <c r="H3356" s="2" t="s">
        <v>74</v>
      </c>
      <c r="I3356" s="2" t="s">
        <v>75</v>
      </c>
      <c r="J3356" s="2" t="s">
        <v>118</v>
      </c>
      <c r="K3356" s="2" t="s">
        <v>77</v>
      </c>
      <c r="L3356" s="2" t="s">
        <v>159</v>
      </c>
      <c r="M3356" s="2" t="s">
        <v>160</v>
      </c>
      <c r="N3356" s="2" t="s">
        <v>1465</v>
      </c>
      <c r="O3356" s="2" t="s">
        <v>358</v>
      </c>
      <c r="P3356" s="2" t="str">
        <f>"2170579759                    "</f>
        <v xml:space="preserve">2170579759                    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5.63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2</v>
      </c>
      <c r="BI3356" s="2">
        <v>2</v>
      </c>
      <c r="BJ3356" s="2">
        <v>3.3</v>
      </c>
      <c r="BK3356" s="2">
        <v>4</v>
      </c>
      <c r="BL3356" s="2">
        <v>58.28</v>
      </c>
      <c r="BM3356" s="2">
        <v>8.16</v>
      </c>
      <c r="BN3356" s="2">
        <v>66.44</v>
      </c>
      <c r="BO3356" s="2">
        <v>66.44</v>
      </c>
      <c r="BP3356" s="2"/>
      <c r="BQ3356" s="2" t="s">
        <v>209</v>
      </c>
      <c r="BR3356" s="2" t="s">
        <v>122</v>
      </c>
      <c r="BS3356" s="3">
        <v>42962</v>
      </c>
      <c r="BT3356" s="4">
        <v>0.5</v>
      </c>
      <c r="BU3356" s="2" t="s">
        <v>3383</v>
      </c>
      <c r="BV3356" s="2" t="s">
        <v>95</v>
      </c>
      <c r="BW3356" s="2"/>
      <c r="BX3356" s="2"/>
      <c r="BY3356" s="2">
        <v>16603.07</v>
      </c>
      <c r="BZ3356" s="2" t="s">
        <v>27</v>
      </c>
      <c r="CA3356" s="2"/>
      <c r="CB3356" s="2"/>
      <c r="CC3356" s="2" t="s">
        <v>160</v>
      </c>
      <c r="CD3356" s="2">
        <v>407</v>
      </c>
      <c r="CE3356" s="2" t="s">
        <v>89</v>
      </c>
      <c r="CF3356" s="5">
        <v>42963</v>
      </c>
      <c r="CG3356" s="2"/>
      <c r="CH3356" s="2"/>
      <c r="CI3356" s="2">
        <v>1</v>
      </c>
      <c r="CJ3356" s="2">
        <v>1</v>
      </c>
      <c r="CK3356" s="2">
        <v>34</v>
      </c>
      <c r="CL3356" s="2" t="s">
        <v>86</v>
      </c>
      <c r="CM3356" s="2"/>
    </row>
    <row r="3357" spans="1:91">
      <c r="A3357" s="2" t="s">
        <v>71</v>
      </c>
      <c r="B3357" s="2" t="s">
        <v>72</v>
      </c>
      <c r="C3357" s="2" t="s">
        <v>73</v>
      </c>
      <c r="D3357" s="2"/>
      <c r="E3357" s="2" t="str">
        <f>"FES1162568534"</f>
        <v>FES1162568534</v>
      </c>
      <c r="F3357" s="3">
        <v>42961</v>
      </c>
      <c r="G3357" s="2">
        <v>201802</v>
      </c>
      <c r="H3357" s="2" t="s">
        <v>74</v>
      </c>
      <c r="I3357" s="2" t="s">
        <v>75</v>
      </c>
      <c r="J3357" s="2" t="s">
        <v>118</v>
      </c>
      <c r="K3357" s="2" t="s">
        <v>77</v>
      </c>
      <c r="L3357" s="2" t="s">
        <v>144</v>
      </c>
      <c r="M3357" s="2" t="s">
        <v>145</v>
      </c>
      <c r="N3357" s="2" t="s">
        <v>190</v>
      </c>
      <c r="O3357" s="2" t="s">
        <v>358</v>
      </c>
      <c r="P3357" s="2" t="str">
        <f>"2170581489                    "</f>
        <v xml:space="preserve">2170581489                    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5.58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2</v>
      </c>
      <c r="BI3357" s="2">
        <v>10.1</v>
      </c>
      <c r="BJ3357" s="2">
        <v>14.1</v>
      </c>
      <c r="BK3357" s="2">
        <v>15</v>
      </c>
      <c r="BL3357" s="2">
        <v>57.79</v>
      </c>
      <c r="BM3357" s="2">
        <v>8.09</v>
      </c>
      <c r="BN3357" s="2">
        <v>65.88</v>
      </c>
      <c r="BO3357" s="2">
        <v>65.88</v>
      </c>
      <c r="BP3357" s="2"/>
      <c r="BQ3357" s="2" t="s">
        <v>3438</v>
      </c>
      <c r="BR3357" s="2" t="s">
        <v>122</v>
      </c>
      <c r="BS3357" s="3">
        <v>42962</v>
      </c>
      <c r="BT3357" s="4">
        <v>0.34027777777777773</v>
      </c>
      <c r="BU3357" s="2" t="s">
        <v>3439</v>
      </c>
      <c r="BV3357" s="2" t="s">
        <v>95</v>
      </c>
      <c r="BW3357" s="2"/>
      <c r="BX3357" s="2"/>
      <c r="BY3357" s="2">
        <v>70432.320000000007</v>
      </c>
      <c r="BZ3357" s="2" t="s">
        <v>27</v>
      </c>
      <c r="CA3357" s="2" t="s">
        <v>274</v>
      </c>
      <c r="CB3357" s="2"/>
      <c r="CC3357" s="2" t="s">
        <v>145</v>
      </c>
      <c r="CD3357" s="2">
        <v>2094</v>
      </c>
      <c r="CE3357" s="2" t="s">
        <v>89</v>
      </c>
      <c r="CF3357" s="5">
        <v>42963</v>
      </c>
      <c r="CG3357" s="2"/>
      <c r="CH3357" s="2"/>
      <c r="CI3357" s="2">
        <v>1</v>
      </c>
      <c r="CJ3357" s="2">
        <v>1</v>
      </c>
      <c r="CK3357" s="2">
        <v>32</v>
      </c>
      <c r="CL3357" s="2" t="s">
        <v>86</v>
      </c>
      <c r="CM3357" s="2"/>
    </row>
    <row r="3358" spans="1:91">
      <c r="A3358" s="2" t="s">
        <v>71</v>
      </c>
      <c r="B3358" s="2" t="s">
        <v>72</v>
      </c>
      <c r="C3358" s="2" t="s">
        <v>73</v>
      </c>
      <c r="D3358" s="2"/>
      <c r="E3358" s="2" t="str">
        <f>"FES1162564775D"</f>
        <v>FES1162564775D</v>
      </c>
      <c r="F3358" s="3">
        <v>42942</v>
      </c>
      <c r="G3358" s="2">
        <v>201802</v>
      </c>
      <c r="H3358" s="2" t="s">
        <v>74</v>
      </c>
      <c r="I3358" s="2" t="s">
        <v>75</v>
      </c>
      <c r="J3358" s="2" t="s">
        <v>118</v>
      </c>
      <c r="K3358" s="2" t="s">
        <v>77</v>
      </c>
      <c r="L3358" s="2" t="s">
        <v>944</v>
      </c>
      <c r="M3358" s="2" t="s">
        <v>944</v>
      </c>
      <c r="N3358" s="2" t="s">
        <v>1840</v>
      </c>
      <c r="O3358" s="2" t="s">
        <v>358</v>
      </c>
      <c r="P3358" s="2" t="str">
        <f>"                              "</f>
        <v xml:space="preserve">                              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5.0999999999999996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1</v>
      </c>
      <c r="BI3358" s="2">
        <v>2.2000000000000002</v>
      </c>
      <c r="BJ3358" s="2">
        <v>1.7</v>
      </c>
      <c r="BK3358" s="2">
        <v>3</v>
      </c>
      <c r="BL3358" s="2">
        <v>57.75</v>
      </c>
      <c r="BM3358" s="2">
        <v>8.09</v>
      </c>
      <c r="BN3358" s="2">
        <v>65.84</v>
      </c>
      <c r="BO3358" s="2">
        <v>65.84</v>
      </c>
      <c r="BP3358" s="2"/>
      <c r="BQ3358" s="2" t="s">
        <v>83</v>
      </c>
      <c r="BR3358" s="2" t="s">
        <v>1399</v>
      </c>
      <c r="BS3358" s="3">
        <v>42943</v>
      </c>
      <c r="BT3358" s="4">
        <v>0.4375</v>
      </c>
      <c r="BU3358" s="2" t="s">
        <v>1842</v>
      </c>
      <c r="BV3358" s="2" t="s">
        <v>95</v>
      </c>
      <c r="BW3358" s="2"/>
      <c r="BX3358" s="2"/>
      <c r="BY3358" s="2">
        <v>8741.75</v>
      </c>
      <c r="BZ3358" s="2" t="s">
        <v>27</v>
      </c>
      <c r="CA3358" s="2" t="s">
        <v>960</v>
      </c>
      <c r="CB3358" s="2"/>
      <c r="CC3358" s="2" t="s">
        <v>944</v>
      </c>
      <c r="CD3358" s="2">
        <v>1491</v>
      </c>
      <c r="CE3358" s="2" t="s">
        <v>104</v>
      </c>
      <c r="CF3358" s="5">
        <v>42944</v>
      </c>
      <c r="CG3358" s="2"/>
      <c r="CH3358" s="2"/>
      <c r="CI3358" s="2">
        <v>1</v>
      </c>
      <c r="CJ3358" s="2">
        <v>1</v>
      </c>
      <c r="CK3358" s="2">
        <v>34</v>
      </c>
      <c r="CL3358" s="2" t="s">
        <v>86</v>
      </c>
      <c r="CM3358" s="2"/>
    </row>
    <row r="3359" spans="1:91">
      <c r="A3359" s="2" t="s">
        <v>71</v>
      </c>
      <c r="B3359" s="2" t="s">
        <v>72</v>
      </c>
      <c r="C3359" s="2" t="s">
        <v>73</v>
      </c>
      <c r="D3359" s="2"/>
      <c r="E3359" s="2" t="str">
        <f>"FES1162563629D"</f>
        <v>FES1162563629D</v>
      </c>
      <c r="F3359" s="3">
        <v>42935</v>
      </c>
      <c r="G3359" s="2">
        <v>201802</v>
      </c>
      <c r="H3359" s="2" t="s">
        <v>74</v>
      </c>
      <c r="I3359" s="2" t="s">
        <v>75</v>
      </c>
      <c r="J3359" s="2" t="s">
        <v>118</v>
      </c>
      <c r="K3359" s="2" t="s">
        <v>77</v>
      </c>
      <c r="L3359" s="2" t="s">
        <v>206</v>
      </c>
      <c r="M3359" s="2" t="s">
        <v>207</v>
      </c>
      <c r="N3359" s="2" t="s">
        <v>1672</v>
      </c>
      <c r="O3359" s="2" t="s">
        <v>358</v>
      </c>
      <c r="P3359" s="2" t="str">
        <f>"                              "</f>
        <v xml:space="preserve">                              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5.0999999999999996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1</v>
      </c>
      <c r="BI3359" s="2">
        <v>3.7</v>
      </c>
      <c r="BJ3359" s="2">
        <v>3</v>
      </c>
      <c r="BK3359" s="2">
        <v>4</v>
      </c>
      <c r="BL3359" s="2">
        <v>57.75</v>
      </c>
      <c r="BM3359" s="2">
        <v>8.09</v>
      </c>
      <c r="BN3359" s="2">
        <v>65.84</v>
      </c>
      <c r="BO3359" s="2">
        <v>65.84</v>
      </c>
      <c r="BP3359" s="2"/>
      <c r="BQ3359" s="2" t="s">
        <v>2847</v>
      </c>
      <c r="BR3359" s="2" t="s">
        <v>1399</v>
      </c>
      <c r="BS3359" s="3">
        <v>42936</v>
      </c>
      <c r="BT3359" s="4">
        <v>0.44930555555555557</v>
      </c>
      <c r="BU3359" s="2" t="s">
        <v>3440</v>
      </c>
      <c r="BV3359" s="2" t="s">
        <v>95</v>
      </c>
      <c r="BW3359" s="2"/>
      <c r="BX3359" s="2"/>
      <c r="BY3359" s="2">
        <v>15208.38</v>
      </c>
      <c r="BZ3359" s="2" t="s">
        <v>27</v>
      </c>
      <c r="CA3359" s="2"/>
      <c r="CB3359" s="2"/>
      <c r="CC3359" s="2" t="s">
        <v>207</v>
      </c>
      <c r="CD3359" s="2">
        <v>250</v>
      </c>
      <c r="CE3359" s="2" t="s">
        <v>948</v>
      </c>
      <c r="CF3359" s="5">
        <v>42940</v>
      </c>
      <c r="CG3359" s="2"/>
      <c r="CH3359" s="2"/>
      <c r="CI3359" s="2">
        <v>1</v>
      </c>
      <c r="CJ3359" s="2">
        <v>1</v>
      </c>
      <c r="CK3359" s="2">
        <v>34</v>
      </c>
      <c r="CL3359" s="2" t="s">
        <v>86</v>
      </c>
      <c r="CM3359" s="2"/>
    </row>
    <row r="3360" spans="1:91">
      <c r="A3360" s="2" t="s">
        <v>71</v>
      </c>
      <c r="B3360" s="2" t="s">
        <v>72</v>
      </c>
      <c r="C3360" s="2" t="s">
        <v>73</v>
      </c>
      <c r="D3360" s="2"/>
      <c r="E3360" s="2" t="str">
        <f>"FES1162563563D"</f>
        <v>FES1162563563D</v>
      </c>
      <c r="F3360" s="3">
        <v>42935</v>
      </c>
      <c r="G3360" s="2">
        <v>201802</v>
      </c>
      <c r="H3360" s="2" t="s">
        <v>74</v>
      </c>
      <c r="I3360" s="2" t="s">
        <v>75</v>
      </c>
      <c r="J3360" s="2" t="s">
        <v>118</v>
      </c>
      <c r="K3360" s="2" t="s">
        <v>77</v>
      </c>
      <c r="L3360" s="2" t="s">
        <v>159</v>
      </c>
      <c r="M3360" s="2" t="s">
        <v>160</v>
      </c>
      <c r="N3360" s="2" t="s">
        <v>3441</v>
      </c>
      <c r="O3360" s="2" t="s">
        <v>358</v>
      </c>
      <c r="P3360" s="2" t="str">
        <f>"                              "</f>
        <v xml:space="preserve">                              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6.63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1</v>
      </c>
      <c r="BI3360" s="2">
        <v>4</v>
      </c>
      <c r="BJ3360" s="2">
        <v>8.1999999999999993</v>
      </c>
      <c r="BK3360" s="2">
        <v>9</v>
      </c>
      <c r="BL3360" s="2">
        <v>75.08</v>
      </c>
      <c r="BM3360" s="2">
        <v>10.51</v>
      </c>
      <c r="BN3360" s="2">
        <v>85.59</v>
      </c>
      <c r="BO3360" s="2">
        <v>85.59</v>
      </c>
      <c r="BP3360" s="2"/>
      <c r="BQ3360" s="2" t="s">
        <v>3442</v>
      </c>
      <c r="BR3360" s="2" t="s">
        <v>1399</v>
      </c>
      <c r="BS3360" s="3">
        <v>42936</v>
      </c>
      <c r="BT3360" s="4">
        <v>0.74513888888888891</v>
      </c>
      <c r="BU3360" s="2" t="s">
        <v>3443</v>
      </c>
      <c r="BV3360" s="2" t="s">
        <v>95</v>
      </c>
      <c r="BW3360" s="2"/>
      <c r="BX3360" s="2"/>
      <c r="BY3360" s="2">
        <v>41067</v>
      </c>
      <c r="BZ3360" s="2" t="s">
        <v>27</v>
      </c>
      <c r="CA3360" s="2" t="s">
        <v>3444</v>
      </c>
      <c r="CB3360" s="2"/>
      <c r="CC3360" s="2" t="s">
        <v>160</v>
      </c>
      <c r="CD3360" s="2">
        <v>208</v>
      </c>
      <c r="CE3360" s="2" t="s">
        <v>948</v>
      </c>
      <c r="CF3360" s="5">
        <v>42945</v>
      </c>
      <c r="CG3360" s="2"/>
      <c r="CH3360" s="2"/>
      <c r="CI3360" s="2">
        <v>1</v>
      </c>
      <c r="CJ3360" s="2">
        <v>1</v>
      </c>
      <c r="CK3360" s="2">
        <v>34</v>
      </c>
      <c r="CL3360" s="2" t="s">
        <v>86</v>
      </c>
      <c r="CM3360" s="2"/>
    </row>
    <row r="3361" spans="1:91">
      <c r="A3361" s="2" t="s">
        <v>71</v>
      </c>
      <c r="B3361" s="2" t="s">
        <v>72</v>
      </c>
      <c r="C3361" s="2" t="s">
        <v>73</v>
      </c>
      <c r="D3361" s="2"/>
      <c r="E3361" s="2" t="str">
        <f>"FES1162571097"</f>
        <v>FES1162571097</v>
      </c>
      <c r="F3361" s="3">
        <v>42971</v>
      </c>
      <c r="G3361" s="2">
        <v>201802</v>
      </c>
      <c r="H3361" s="2" t="s">
        <v>74</v>
      </c>
      <c r="I3361" s="2" t="s">
        <v>75</v>
      </c>
      <c r="J3361" s="2" t="s">
        <v>118</v>
      </c>
      <c r="K3361" s="2" t="s">
        <v>77</v>
      </c>
      <c r="L3361" s="2" t="s">
        <v>339</v>
      </c>
      <c r="M3361" s="2" t="s">
        <v>340</v>
      </c>
      <c r="N3361" s="2" t="s">
        <v>613</v>
      </c>
      <c r="O3361" s="2" t="s">
        <v>358</v>
      </c>
      <c r="P3361" s="2" t="str">
        <f>"2170584647                    "</f>
        <v xml:space="preserve">2170584647                    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7.75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1</v>
      </c>
      <c r="BI3361" s="2">
        <v>3.8</v>
      </c>
      <c r="BJ3361" s="2">
        <v>1.9</v>
      </c>
      <c r="BK3361" s="2">
        <v>4</v>
      </c>
      <c r="BL3361" s="2">
        <v>80.290000000000006</v>
      </c>
      <c r="BM3361" s="2">
        <v>11.24</v>
      </c>
      <c r="BN3361" s="2">
        <v>91.53</v>
      </c>
      <c r="BO3361" s="2">
        <v>91.53</v>
      </c>
      <c r="BP3361" s="2"/>
      <c r="BQ3361" s="2" t="s">
        <v>83</v>
      </c>
      <c r="BR3361" s="2" t="s">
        <v>122</v>
      </c>
      <c r="BS3361" s="3">
        <v>42972</v>
      </c>
      <c r="BT3361" s="4">
        <v>0.4284722222222222</v>
      </c>
      <c r="BU3361" s="2" t="s">
        <v>3206</v>
      </c>
      <c r="BV3361" s="2" t="s">
        <v>95</v>
      </c>
      <c r="BW3361" s="2"/>
      <c r="BX3361" s="2"/>
      <c r="BY3361" s="2">
        <v>9263.23</v>
      </c>
      <c r="BZ3361" s="2" t="s">
        <v>27</v>
      </c>
      <c r="CA3361" s="2" t="s">
        <v>2236</v>
      </c>
      <c r="CB3361" s="2"/>
      <c r="CC3361" s="2" t="s">
        <v>340</v>
      </c>
      <c r="CD3361" s="2">
        <v>1947</v>
      </c>
      <c r="CE3361" s="2" t="s">
        <v>89</v>
      </c>
      <c r="CF3361" s="5">
        <v>42975</v>
      </c>
      <c r="CG3361" s="2"/>
      <c r="CH3361" s="2"/>
      <c r="CI3361" s="2">
        <v>1</v>
      </c>
      <c r="CJ3361" s="2">
        <v>1</v>
      </c>
      <c r="CK3361" s="2">
        <v>33</v>
      </c>
      <c r="CL3361" s="2" t="s">
        <v>86</v>
      </c>
      <c r="CM3361" s="2"/>
    </row>
    <row r="3362" spans="1:91">
      <c r="A3362" s="2" t="s">
        <v>71</v>
      </c>
      <c r="B3362" s="2" t="s">
        <v>72</v>
      </c>
      <c r="C3362" s="2" t="s">
        <v>73</v>
      </c>
      <c r="D3362" s="2"/>
      <c r="E3362" s="2" t="str">
        <f>"FES1162568265"</f>
        <v>FES1162568265</v>
      </c>
      <c r="F3362" s="3">
        <v>42958</v>
      </c>
      <c r="G3362" s="2">
        <v>201802</v>
      </c>
      <c r="H3362" s="2" t="s">
        <v>74</v>
      </c>
      <c r="I3362" s="2" t="s">
        <v>75</v>
      </c>
      <c r="J3362" s="2" t="s">
        <v>118</v>
      </c>
      <c r="K3362" s="2" t="s">
        <v>77</v>
      </c>
      <c r="L3362" s="2" t="s">
        <v>306</v>
      </c>
      <c r="M3362" s="2" t="s">
        <v>307</v>
      </c>
      <c r="N3362" s="2" t="s">
        <v>2697</v>
      </c>
      <c r="O3362" s="2" t="s">
        <v>358</v>
      </c>
      <c r="P3362" s="2" t="str">
        <f>"2170582358                    "</f>
        <v xml:space="preserve">2170582358                    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5.63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1</v>
      </c>
      <c r="BI3362" s="2">
        <v>2.8</v>
      </c>
      <c r="BJ3362" s="2">
        <v>4.0999999999999996</v>
      </c>
      <c r="BK3362" s="2">
        <v>5</v>
      </c>
      <c r="BL3362" s="2">
        <v>58.28</v>
      </c>
      <c r="BM3362" s="2">
        <v>8.16</v>
      </c>
      <c r="BN3362" s="2">
        <v>66.44</v>
      </c>
      <c r="BO3362" s="2">
        <v>66.44</v>
      </c>
      <c r="BP3362" s="2"/>
      <c r="BQ3362" s="2" t="s">
        <v>83</v>
      </c>
      <c r="BR3362" s="2" t="s">
        <v>122</v>
      </c>
      <c r="BS3362" s="3">
        <v>42961</v>
      </c>
      <c r="BT3362" s="4">
        <v>0.4291666666666667</v>
      </c>
      <c r="BU3362" s="2" t="s">
        <v>3445</v>
      </c>
      <c r="BV3362" s="2" t="s">
        <v>95</v>
      </c>
      <c r="BW3362" s="2"/>
      <c r="BX3362" s="2"/>
      <c r="BY3362" s="2">
        <v>20410.009999999998</v>
      </c>
      <c r="BZ3362" s="2" t="s">
        <v>27</v>
      </c>
      <c r="CA3362" s="2" t="s">
        <v>951</v>
      </c>
      <c r="CB3362" s="2"/>
      <c r="CC3362" s="2" t="s">
        <v>307</v>
      </c>
      <c r="CD3362" s="2">
        <v>1876</v>
      </c>
      <c r="CE3362" s="2" t="s">
        <v>89</v>
      </c>
      <c r="CF3362" s="5">
        <v>42962</v>
      </c>
      <c r="CG3362" s="2"/>
      <c r="CH3362" s="2"/>
      <c r="CI3362" s="2">
        <v>1</v>
      </c>
      <c r="CJ3362" s="2">
        <v>1</v>
      </c>
      <c r="CK3362" s="2">
        <v>34</v>
      </c>
      <c r="CL3362" s="2" t="s">
        <v>86</v>
      </c>
      <c r="CM3362" s="2"/>
    </row>
    <row r="3363" spans="1:91">
      <c r="A3363" s="2" t="s">
        <v>71</v>
      </c>
      <c r="B3363" s="2" t="s">
        <v>72</v>
      </c>
      <c r="C3363" s="2" t="s">
        <v>73</v>
      </c>
      <c r="D3363" s="2"/>
      <c r="E3363" s="2" t="str">
        <f>"FES1162568292"</f>
        <v>FES1162568292</v>
      </c>
      <c r="F3363" s="3">
        <v>42958</v>
      </c>
      <c r="G3363" s="2">
        <v>201802</v>
      </c>
      <c r="H3363" s="2" t="s">
        <v>74</v>
      </c>
      <c r="I3363" s="2" t="s">
        <v>75</v>
      </c>
      <c r="J3363" s="2" t="s">
        <v>118</v>
      </c>
      <c r="K3363" s="2" t="s">
        <v>77</v>
      </c>
      <c r="L3363" s="2" t="s">
        <v>383</v>
      </c>
      <c r="M3363" s="2" t="s">
        <v>384</v>
      </c>
      <c r="N3363" s="2" t="s">
        <v>385</v>
      </c>
      <c r="O3363" s="2" t="s">
        <v>358</v>
      </c>
      <c r="P3363" s="2" t="str">
        <f>"2170584402                    "</f>
        <v xml:space="preserve">2170584402                    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5.63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1</v>
      </c>
      <c r="BI3363" s="2">
        <v>3</v>
      </c>
      <c r="BJ3363" s="2">
        <v>5.9</v>
      </c>
      <c r="BK3363" s="2">
        <v>6</v>
      </c>
      <c r="BL3363" s="2">
        <v>58.28</v>
      </c>
      <c r="BM3363" s="2">
        <v>8.16</v>
      </c>
      <c r="BN3363" s="2">
        <v>66.44</v>
      </c>
      <c r="BO3363" s="2">
        <v>66.44</v>
      </c>
      <c r="BP3363" s="2"/>
      <c r="BQ3363" s="2" t="s">
        <v>83</v>
      </c>
      <c r="BR3363" s="2" t="s">
        <v>122</v>
      </c>
      <c r="BS3363" s="3">
        <v>42961</v>
      </c>
      <c r="BT3363" s="4">
        <v>0.41666666666666669</v>
      </c>
      <c r="BU3363" s="2" t="s">
        <v>1886</v>
      </c>
      <c r="BV3363" s="2" t="s">
        <v>95</v>
      </c>
      <c r="BW3363" s="2"/>
      <c r="BX3363" s="2"/>
      <c r="BY3363" s="2">
        <v>29700</v>
      </c>
      <c r="BZ3363" s="2" t="s">
        <v>27</v>
      </c>
      <c r="CA3363" s="2"/>
      <c r="CB3363" s="2"/>
      <c r="CC3363" s="2" t="s">
        <v>384</v>
      </c>
      <c r="CD3363" s="2">
        <v>2210</v>
      </c>
      <c r="CE3363" s="2" t="s">
        <v>135</v>
      </c>
      <c r="CF3363" s="5">
        <v>42962</v>
      </c>
      <c r="CG3363" s="2"/>
      <c r="CH3363" s="2"/>
      <c r="CI3363" s="2">
        <v>1</v>
      </c>
      <c r="CJ3363" s="2">
        <v>1</v>
      </c>
      <c r="CK3363" s="2">
        <v>34</v>
      </c>
      <c r="CL3363" s="2" t="s">
        <v>86</v>
      </c>
      <c r="CM3363" s="2"/>
    </row>
    <row r="3364" spans="1:91">
      <c r="A3364" s="2" t="s">
        <v>71</v>
      </c>
      <c r="B3364" s="2" t="s">
        <v>72</v>
      </c>
      <c r="C3364" s="2" t="s">
        <v>73</v>
      </c>
      <c r="D3364" s="2"/>
      <c r="E3364" s="2" t="str">
        <f>"FES1162568261"</f>
        <v>FES1162568261</v>
      </c>
      <c r="F3364" s="3">
        <v>42958</v>
      </c>
      <c r="G3364" s="2">
        <v>201802</v>
      </c>
      <c r="H3364" s="2" t="s">
        <v>74</v>
      </c>
      <c r="I3364" s="2" t="s">
        <v>75</v>
      </c>
      <c r="J3364" s="2" t="s">
        <v>118</v>
      </c>
      <c r="K3364" s="2" t="s">
        <v>77</v>
      </c>
      <c r="L3364" s="2" t="s">
        <v>806</v>
      </c>
      <c r="M3364" s="2" t="s">
        <v>807</v>
      </c>
      <c r="N3364" s="2" t="s">
        <v>808</v>
      </c>
      <c r="O3364" s="2" t="s">
        <v>358</v>
      </c>
      <c r="P3364" s="2" t="str">
        <f>"2170581479                    "</f>
        <v xml:space="preserve">2170581479                    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5.63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  <c r="BG3364" s="2">
        <v>0</v>
      </c>
      <c r="BH3364" s="2">
        <v>1</v>
      </c>
      <c r="BI3364" s="2">
        <v>6.1</v>
      </c>
      <c r="BJ3364" s="2">
        <v>3.4</v>
      </c>
      <c r="BK3364" s="2">
        <v>7</v>
      </c>
      <c r="BL3364" s="2">
        <v>58.28</v>
      </c>
      <c r="BM3364" s="2">
        <v>8.16</v>
      </c>
      <c r="BN3364" s="2">
        <v>66.44</v>
      </c>
      <c r="BO3364" s="2">
        <v>66.44</v>
      </c>
      <c r="BP3364" s="2">
        <v>1</v>
      </c>
      <c r="BQ3364" s="2" t="s">
        <v>83</v>
      </c>
      <c r="BR3364" s="2" t="s">
        <v>122</v>
      </c>
      <c r="BS3364" s="3">
        <v>42961</v>
      </c>
      <c r="BT3364" s="4">
        <v>0.3659722222222222</v>
      </c>
      <c r="BU3364" s="2" t="s">
        <v>3446</v>
      </c>
      <c r="BV3364" s="2" t="s">
        <v>95</v>
      </c>
      <c r="BW3364" s="2"/>
      <c r="BX3364" s="2"/>
      <c r="BY3364" s="2">
        <v>17192.45</v>
      </c>
      <c r="BZ3364" s="2" t="s">
        <v>27</v>
      </c>
      <c r="CA3364" s="2" t="s">
        <v>810</v>
      </c>
      <c r="CB3364" s="2"/>
      <c r="CC3364" s="2" t="s">
        <v>807</v>
      </c>
      <c r="CD3364" s="2">
        <v>2410</v>
      </c>
      <c r="CE3364" s="2" t="s">
        <v>89</v>
      </c>
      <c r="CF3364" s="5">
        <v>42962</v>
      </c>
      <c r="CG3364" s="2"/>
      <c r="CH3364" s="2"/>
      <c r="CI3364" s="2">
        <v>1</v>
      </c>
      <c r="CJ3364" s="2">
        <v>1</v>
      </c>
      <c r="CK3364" s="2">
        <v>34</v>
      </c>
      <c r="CL3364" s="2" t="s">
        <v>86</v>
      </c>
      <c r="CM3364" s="2"/>
    </row>
    <row r="3365" spans="1:91">
      <c r="A3365" s="2" t="s">
        <v>71</v>
      </c>
      <c r="B3365" s="2" t="s">
        <v>72</v>
      </c>
      <c r="C3365" s="2" t="s">
        <v>73</v>
      </c>
      <c r="D3365" s="2"/>
      <c r="E3365" s="2" t="str">
        <f>"FES1162568249"</f>
        <v>FES1162568249</v>
      </c>
      <c r="F3365" s="3">
        <v>42958</v>
      </c>
      <c r="G3365" s="2">
        <v>201802</v>
      </c>
      <c r="H3365" s="2" t="s">
        <v>74</v>
      </c>
      <c r="I3365" s="2" t="s">
        <v>75</v>
      </c>
      <c r="J3365" s="2" t="s">
        <v>118</v>
      </c>
      <c r="K3365" s="2" t="s">
        <v>77</v>
      </c>
      <c r="L3365" s="2" t="s">
        <v>144</v>
      </c>
      <c r="M3365" s="2" t="s">
        <v>145</v>
      </c>
      <c r="N3365" s="2" t="s">
        <v>146</v>
      </c>
      <c r="O3365" s="2" t="s">
        <v>100</v>
      </c>
      <c r="P3365" s="2" t="str">
        <f>"2170584393                    "</f>
        <v xml:space="preserve">2170584393                    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3.13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1</v>
      </c>
      <c r="BI3365" s="2">
        <v>6.9</v>
      </c>
      <c r="BJ3365" s="2">
        <v>1.6</v>
      </c>
      <c r="BK3365" s="2">
        <v>7</v>
      </c>
      <c r="BL3365" s="2">
        <v>32.380000000000003</v>
      </c>
      <c r="BM3365" s="2">
        <v>4.53</v>
      </c>
      <c r="BN3365" s="2">
        <v>36.909999999999997</v>
      </c>
      <c r="BO3365" s="2">
        <v>36.909999999999997</v>
      </c>
      <c r="BP3365" s="2"/>
      <c r="BQ3365" s="2" t="s">
        <v>83</v>
      </c>
      <c r="BR3365" s="2" t="s">
        <v>122</v>
      </c>
      <c r="BS3365" s="3">
        <v>42961</v>
      </c>
      <c r="BT3365" s="4">
        <v>0.38541666666666669</v>
      </c>
      <c r="BU3365" s="2" t="s">
        <v>1893</v>
      </c>
      <c r="BV3365" s="2" t="s">
        <v>95</v>
      </c>
      <c r="BW3365" s="2"/>
      <c r="BX3365" s="2"/>
      <c r="BY3365" s="2">
        <v>8048.96</v>
      </c>
      <c r="BZ3365" s="2" t="s">
        <v>27</v>
      </c>
      <c r="CA3365" s="2" t="s">
        <v>274</v>
      </c>
      <c r="CB3365" s="2"/>
      <c r="CC3365" s="2" t="s">
        <v>145</v>
      </c>
      <c r="CD3365" s="2">
        <v>2094</v>
      </c>
      <c r="CE3365" s="2" t="s">
        <v>89</v>
      </c>
      <c r="CF3365" s="5">
        <v>42962</v>
      </c>
      <c r="CG3365" s="2"/>
      <c r="CH3365" s="2"/>
      <c r="CI3365" s="2">
        <v>1</v>
      </c>
      <c r="CJ3365" s="2">
        <v>1</v>
      </c>
      <c r="CK3365" s="2">
        <v>22</v>
      </c>
      <c r="CL3365" s="2" t="s">
        <v>86</v>
      </c>
      <c r="CM3365" s="2"/>
    </row>
    <row r="3366" spans="1:91">
      <c r="A3366" s="2" t="s">
        <v>71</v>
      </c>
      <c r="B3366" s="2" t="s">
        <v>72</v>
      </c>
      <c r="C3366" s="2" t="s">
        <v>73</v>
      </c>
      <c r="D3366" s="2"/>
      <c r="E3366" s="2" t="str">
        <f>"FES1162569656"</f>
        <v>FES1162569656</v>
      </c>
      <c r="F3366" s="3">
        <v>42964</v>
      </c>
      <c r="G3366" s="2">
        <v>201802</v>
      </c>
      <c r="H3366" s="2" t="s">
        <v>74</v>
      </c>
      <c r="I3366" s="2" t="s">
        <v>75</v>
      </c>
      <c r="J3366" s="2" t="s">
        <v>118</v>
      </c>
      <c r="K3366" s="2" t="s">
        <v>77</v>
      </c>
      <c r="L3366" s="2" t="s">
        <v>939</v>
      </c>
      <c r="M3366" s="2" t="s">
        <v>940</v>
      </c>
      <c r="N3366" s="2" t="s">
        <v>941</v>
      </c>
      <c r="O3366" s="2" t="s">
        <v>358</v>
      </c>
      <c r="P3366" s="2" t="str">
        <f>"2170583267                    "</f>
        <v xml:space="preserve">2170583267                    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5.63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1</v>
      </c>
      <c r="BI3366" s="2">
        <v>4.2</v>
      </c>
      <c r="BJ3366" s="2">
        <v>2.1</v>
      </c>
      <c r="BK3366" s="2">
        <v>5</v>
      </c>
      <c r="BL3366" s="2">
        <v>58.28</v>
      </c>
      <c r="BM3366" s="2">
        <v>8.16</v>
      </c>
      <c r="BN3366" s="2">
        <v>66.44</v>
      </c>
      <c r="BO3366" s="2">
        <v>66.44</v>
      </c>
      <c r="BP3366" s="2"/>
      <c r="BQ3366" s="2" t="s">
        <v>83</v>
      </c>
      <c r="BR3366" s="2" t="s">
        <v>122</v>
      </c>
      <c r="BS3366" s="3">
        <v>42968</v>
      </c>
      <c r="BT3366" s="4">
        <v>0.61111111111111105</v>
      </c>
      <c r="BU3366" s="2" t="s">
        <v>1677</v>
      </c>
      <c r="BV3366" s="2" t="s">
        <v>95</v>
      </c>
      <c r="BW3366" s="2"/>
      <c r="BX3366" s="2"/>
      <c r="BY3366" s="2">
        <v>10695.93</v>
      </c>
      <c r="BZ3366" s="2" t="s">
        <v>27</v>
      </c>
      <c r="CA3366" s="2" t="s">
        <v>943</v>
      </c>
      <c r="CB3366" s="2"/>
      <c r="CC3366" s="2" t="s">
        <v>940</v>
      </c>
      <c r="CD3366" s="2">
        <v>1028</v>
      </c>
      <c r="CE3366" s="2" t="s">
        <v>89</v>
      </c>
      <c r="CF3366" s="5">
        <v>42969</v>
      </c>
      <c r="CG3366" s="2"/>
      <c r="CH3366" s="2"/>
      <c r="CI3366" s="2">
        <v>2</v>
      </c>
      <c r="CJ3366" s="2">
        <v>2</v>
      </c>
      <c r="CK3366" s="2">
        <v>34</v>
      </c>
      <c r="CL3366" s="2" t="s">
        <v>86</v>
      </c>
      <c r="CM3366" s="2"/>
    </row>
    <row r="3367" spans="1:91">
      <c r="A3367" s="2" t="s">
        <v>71</v>
      </c>
      <c r="B3367" s="2" t="s">
        <v>72</v>
      </c>
      <c r="C3367" s="2" t="s">
        <v>73</v>
      </c>
      <c r="D3367" s="2"/>
      <c r="E3367" s="2" t="str">
        <f>"FES1162569776"</f>
        <v>FES1162569776</v>
      </c>
      <c r="F3367" s="3">
        <v>42964</v>
      </c>
      <c r="G3367" s="2">
        <v>201802</v>
      </c>
      <c r="H3367" s="2" t="s">
        <v>74</v>
      </c>
      <c r="I3367" s="2" t="s">
        <v>75</v>
      </c>
      <c r="J3367" s="2" t="s">
        <v>118</v>
      </c>
      <c r="K3367" s="2" t="s">
        <v>77</v>
      </c>
      <c r="L3367" s="2" t="s">
        <v>2834</v>
      </c>
      <c r="M3367" s="2" t="s">
        <v>2835</v>
      </c>
      <c r="N3367" s="2" t="s">
        <v>2842</v>
      </c>
      <c r="O3367" s="2" t="s">
        <v>358</v>
      </c>
      <c r="P3367" s="2" t="str">
        <f>"2170585550                    "</f>
        <v xml:space="preserve">2170585550                    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5.63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1</v>
      </c>
      <c r="BI3367" s="2">
        <v>2</v>
      </c>
      <c r="BJ3367" s="2">
        <v>3.1</v>
      </c>
      <c r="BK3367" s="2">
        <v>4</v>
      </c>
      <c r="BL3367" s="2">
        <v>58.28</v>
      </c>
      <c r="BM3367" s="2">
        <v>8.16</v>
      </c>
      <c r="BN3367" s="2">
        <v>66.44</v>
      </c>
      <c r="BO3367" s="2">
        <v>66.44</v>
      </c>
      <c r="BP3367" s="2"/>
      <c r="BQ3367" s="2" t="s">
        <v>83</v>
      </c>
      <c r="BR3367" s="2" t="s">
        <v>122</v>
      </c>
      <c r="BS3367" s="3">
        <v>42965</v>
      </c>
      <c r="BT3367" s="4">
        <v>0.52430555555555558</v>
      </c>
      <c r="BU3367" s="2" t="s">
        <v>3447</v>
      </c>
      <c r="BV3367" s="2" t="s">
        <v>95</v>
      </c>
      <c r="BW3367" s="2"/>
      <c r="BX3367" s="2"/>
      <c r="BY3367" s="2">
        <v>15444</v>
      </c>
      <c r="BZ3367" s="2" t="s">
        <v>27</v>
      </c>
      <c r="CA3367" s="2"/>
      <c r="CB3367" s="2"/>
      <c r="CC3367" s="2" t="s">
        <v>2835</v>
      </c>
      <c r="CD3367" s="2">
        <v>1779</v>
      </c>
      <c r="CE3367" s="2" t="s">
        <v>135</v>
      </c>
      <c r="CF3367" s="5">
        <v>42968</v>
      </c>
      <c r="CG3367" s="2"/>
      <c r="CH3367" s="2"/>
      <c r="CI3367" s="2">
        <v>1</v>
      </c>
      <c r="CJ3367" s="2">
        <v>1</v>
      </c>
      <c r="CK3367" s="2">
        <v>34</v>
      </c>
      <c r="CL3367" s="2" t="s">
        <v>86</v>
      </c>
      <c r="CM3367" s="2"/>
    </row>
    <row r="3368" spans="1:91">
      <c r="A3368" s="2" t="s">
        <v>71</v>
      </c>
      <c r="B3368" s="2" t="s">
        <v>72</v>
      </c>
      <c r="C3368" s="2" t="s">
        <v>73</v>
      </c>
      <c r="D3368" s="2"/>
      <c r="E3368" s="2" t="str">
        <f>"FES1162569778"</f>
        <v>FES1162569778</v>
      </c>
      <c r="F3368" s="3">
        <v>42964</v>
      </c>
      <c r="G3368" s="2">
        <v>201802</v>
      </c>
      <c r="H3368" s="2" t="s">
        <v>74</v>
      </c>
      <c r="I3368" s="2" t="s">
        <v>75</v>
      </c>
      <c r="J3368" s="2" t="s">
        <v>118</v>
      </c>
      <c r="K3368" s="2" t="s">
        <v>77</v>
      </c>
      <c r="L3368" s="2" t="s">
        <v>306</v>
      </c>
      <c r="M3368" s="2" t="s">
        <v>307</v>
      </c>
      <c r="N3368" s="2" t="s">
        <v>585</v>
      </c>
      <c r="O3368" s="2" t="s">
        <v>358</v>
      </c>
      <c r="P3368" s="2" t="str">
        <f>"2170585553                    "</f>
        <v xml:space="preserve">2170585553                    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5.63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1</v>
      </c>
      <c r="BI3368" s="2">
        <v>7</v>
      </c>
      <c r="BJ3368" s="2">
        <v>7.3</v>
      </c>
      <c r="BK3368" s="2">
        <v>8</v>
      </c>
      <c r="BL3368" s="2">
        <v>58.28</v>
      </c>
      <c r="BM3368" s="2">
        <v>8.16</v>
      </c>
      <c r="BN3368" s="2">
        <v>66.44</v>
      </c>
      <c r="BO3368" s="2">
        <v>66.44</v>
      </c>
      <c r="BP3368" s="2"/>
      <c r="BQ3368" s="2" t="s">
        <v>288</v>
      </c>
      <c r="BR3368" s="2" t="s">
        <v>122</v>
      </c>
      <c r="BS3368" s="3">
        <v>42965</v>
      </c>
      <c r="BT3368" s="4">
        <v>0.42708333333333331</v>
      </c>
      <c r="BU3368" s="2" t="s">
        <v>3448</v>
      </c>
      <c r="BV3368" s="2" t="s">
        <v>95</v>
      </c>
      <c r="BW3368" s="2"/>
      <c r="BX3368" s="2"/>
      <c r="BY3368" s="2">
        <v>36504</v>
      </c>
      <c r="BZ3368" s="2" t="s">
        <v>27</v>
      </c>
      <c r="CA3368" s="2" t="s">
        <v>2575</v>
      </c>
      <c r="CB3368" s="2"/>
      <c r="CC3368" s="2" t="s">
        <v>307</v>
      </c>
      <c r="CD3368" s="2">
        <v>1930</v>
      </c>
      <c r="CE3368" s="2" t="s">
        <v>135</v>
      </c>
      <c r="CF3368" s="5">
        <v>42968</v>
      </c>
      <c r="CG3368" s="2"/>
      <c r="CH3368" s="2"/>
      <c r="CI3368" s="2">
        <v>1</v>
      </c>
      <c r="CJ3368" s="2">
        <v>1</v>
      </c>
      <c r="CK3368" s="2">
        <v>34</v>
      </c>
      <c r="CL3368" s="2" t="s">
        <v>86</v>
      </c>
      <c r="CM3368" s="2"/>
    </row>
    <row r="3369" spans="1:91">
      <c r="A3369" s="2" t="s">
        <v>71</v>
      </c>
      <c r="B3369" s="2" t="s">
        <v>72</v>
      </c>
      <c r="C3369" s="2" t="s">
        <v>73</v>
      </c>
      <c r="D3369" s="2"/>
      <c r="E3369" s="2" t="str">
        <f>"FES1162569744"</f>
        <v>FES1162569744</v>
      </c>
      <c r="F3369" s="3">
        <v>42964</v>
      </c>
      <c r="G3369" s="2">
        <v>201802</v>
      </c>
      <c r="H3369" s="2" t="s">
        <v>74</v>
      </c>
      <c r="I3369" s="2" t="s">
        <v>75</v>
      </c>
      <c r="J3369" s="2" t="s">
        <v>118</v>
      </c>
      <c r="K3369" s="2" t="s">
        <v>77</v>
      </c>
      <c r="L3369" s="2" t="s">
        <v>939</v>
      </c>
      <c r="M3369" s="2" t="s">
        <v>940</v>
      </c>
      <c r="N3369" s="2" t="s">
        <v>2567</v>
      </c>
      <c r="O3369" s="2" t="s">
        <v>358</v>
      </c>
      <c r="P3369" s="2" t="str">
        <f>"2170583505                    "</f>
        <v xml:space="preserve">2170583505                    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5.63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1</v>
      </c>
      <c r="BI3369" s="2">
        <v>4</v>
      </c>
      <c r="BJ3369" s="2">
        <v>0.2</v>
      </c>
      <c r="BK3369" s="2">
        <v>4</v>
      </c>
      <c r="BL3369" s="2">
        <v>58.28</v>
      </c>
      <c r="BM3369" s="2">
        <v>8.16</v>
      </c>
      <c r="BN3369" s="2">
        <v>66.44</v>
      </c>
      <c r="BO3369" s="2">
        <v>66.44</v>
      </c>
      <c r="BP3369" s="2"/>
      <c r="BQ3369" s="2" t="s">
        <v>288</v>
      </c>
      <c r="BR3369" s="2" t="s">
        <v>122</v>
      </c>
      <c r="BS3369" s="3">
        <v>42965</v>
      </c>
      <c r="BT3369" s="4">
        <v>0.625</v>
      </c>
      <c r="BU3369" s="2" t="s">
        <v>2110</v>
      </c>
      <c r="BV3369" s="2" t="s">
        <v>95</v>
      </c>
      <c r="BW3369" s="2"/>
      <c r="BX3369" s="2"/>
      <c r="BY3369" s="2">
        <v>1200</v>
      </c>
      <c r="BZ3369" s="2" t="s">
        <v>27</v>
      </c>
      <c r="CA3369" s="2" t="s">
        <v>943</v>
      </c>
      <c r="CB3369" s="2"/>
      <c r="CC3369" s="2" t="s">
        <v>940</v>
      </c>
      <c r="CD3369" s="2">
        <v>1020</v>
      </c>
      <c r="CE3369" s="2" t="s">
        <v>104</v>
      </c>
      <c r="CF3369" s="5">
        <v>42968</v>
      </c>
      <c r="CG3369" s="2"/>
      <c r="CH3369" s="2"/>
      <c r="CI3369" s="2">
        <v>2</v>
      </c>
      <c r="CJ3369" s="2">
        <v>1</v>
      </c>
      <c r="CK3369" s="2">
        <v>34</v>
      </c>
      <c r="CL3369" s="2" t="s">
        <v>86</v>
      </c>
      <c r="CM3369" s="2"/>
    </row>
    <row r="3370" spans="1:91">
      <c r="A3370" s="2" t="s">
        <v>71</v>
      </c>
      <c r="B3370" s="2" t="s">
        <v>72</v>
      </c>
      <c r="C3370" s="2" t="s">
        <v>73</v>
      </c>
      <c r="D3370" s="2"/>
      <c r="E3370" s="2" t="str">
        <f>"FES1162570102"</f>
        <v>FES1162570102</v>
      </c>
      <c r="F3370" s="3">
        <v>42965</v>
      </c>
      <c r="G3370" s="2">
        <v>201802</v>
      </c>
      <c r="H3370" s="2" t="s">
        <v>74</v>
      </c>
      <c r="I3370" s="2" t="s">
        <v>75</v>
      </c>
      <c r="J3370" s="2" t="s">
        <v>118</v>
      </c>
      <c r="K3370" s="2" t="s">
        <v>77</v>
      </c>
      <c r="L3370" s="2" t="s">
        <v>244</v>
      </c>
      <c r="M3370" s="2" t="s">
        <v>245</v>
      </c>
      <c r="N3370" s="2" t="s">
        <v>3449</v>
      </c>
      <c r="O3370" s="2" t="s">
        <v>358</v>
      </c>
      <c r="P3370" s="2" t="str">
        <f>"2170574179                    "</f>
        <v xml:space="preserve">2170574179                    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5.23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1</v>
      </c>
      <c r="BI3370" s="2">
        <v>13.5</v>
      </c>
      <c r="BJ3370" s="2">
        <v>6.8</v>
      </c>
      <c r="BK3370" s="2">
        <v>14</v>
      </c>
      <c r="BL3370" s="2">
        <v>54.16</v>
      </c>
      <c r="BM3370" s="2">
        <v>7.58</v>
      </c>
      <c r="BN3370" s="2">
        <v>61.74</v>
      </c>
      <c r="BO3370" s="2">
        <v>61.74</v>
      </c>
      <c r="BP3370" s="2"/>
      <c r="BQ3370" s="2" t="s">
        <v>288</v>
      </c>
      <c r="BR3370" s="2" t="s">
        <v>122</v>
      </c>
      <c r="BS3370" s="3">
        <v>42968</v>
      </c>
      <c r="BT3370" s="4">
        <v>0.3527777777777778</v>
      </c>
      <c r="BU3370" s="2" t="s">
        <v>3450</v>
      </c>
      <c r="BV3370" s="2" t="s">
        <v>95</v>
      </c>
      <c r="BW3370" s="2"/>
      <c r="BX3370" s="2"/>
      <c r="BY3370" s="2">
        <v>34070.54</v>
      </c>
      <c r="BZ3370" s="2" t="s">
        <v>27</v>
      </c>
      <c r="CA3370" s="2" t="s">
        <v>733</v>
      </c>
      <c r="CB3370" s="2"/>
      <c r="CC3370" s="2" t="s">
        <v>245</v>
      </c>
      <c r="CD3370" s="2">
        <v>1459</v>
      </c>
      <c r="CE3370" s="2" t="s">
        <v>135</v>
      </c>
      <c r="CF3370" s="5">
        <v>42969</v>
      </c>
      <c r="CG3370" s="2"/>
      <c r="CH3370" s="2"/>
      <c r="CI3370" s="2">
        <v>1</v>
      </c>
      <c r="CJ3370" s="2">
        <v>1</v>
      </c>
      <c r="CK3370" s="2">
        <v>32</v>
      </c>
      <c r="CL3370" s="2" t="s">
        <v>86</v>
      </c>
      <c r="CM3370" s="2"/>
    </row>
    <row r="3371" spans="1:91">
      <c r="A3371" s="2" t="s">
        <v>71</v>
      </c>
      <c r="B3371" s="2" t="s">
        <v>72</v>
      </c>
      <c r="C3371" s="2" t="s">
        <v>73</v>
      </c>
      <c r="D3371" s="2"/>
      <c r="E3371" s="2" t="str">
        <f>"FES1162570123"</f>
        <v>FES1162570123</v>
      </c>
      <c r="F3371" s="3">
        <v>42965</v>
      </c>
      <c r="G3371" s="2">
        <v>201802</v>
      </c>
      <c r="H3371" s="2" t="s">
        <v>74</v>
      </c>
      <c r="I3371" s="2" t="s">
        <v>75</v>
      </c>
      <c r="J3371" s="2" t="s">
        <v>118</v>
      </c>
      <c r="K3371" s="2" t="s">
        <v>77</v>
      </c>
      <c r="L3371" s="2" t="s">
        <v>944</v>
      </c>
      <c r="M3371" s="2" t="s">
        <v>944</v>
      </c>
      <c r="N3371" s="2" t="s">
        <v>1096</v>
      </c>
      <c r="O3371" s="2" t="s">
        <v>358</v>
      </c>
      <c r="P3371" s="2" t="str">
        <f>"2170585761                    "</f>
        <v xml:space="preserve">2170585761                    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5.63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1</v>
      </c>
      <c r="BI3371" s="2">
        <v>5.8</v>
      </c>
      <c r="BJ3371" s="2">
        <v>3.4</v>
      </c>
      <c r="BK3371" s="2">
        <v>6</v>
      </c>
      <c r="BL3371" s="2">
        <v>58.28</v>
      </c>
      <c r="BM3371" s="2">
        <v>8.16</v>
      </c>
      <c r="BN3371" s="2">
        <v>66.44</v>
      </c>
      <c r="BO3371" s="2">
        <v>66.44</v>
      </c>
      <c r="BP3371" s="2"/>
      <c r="BQ3371" s="2" t="s">
        <v>288</v>
      </c>
      <c r="BR3371" s="2" t="s">
        <v>122</v>
      </c>
      <c r="BS3371" s="3">
        <v>42968</v>
      </c>
      <c r="BT3371" s="4">
        <v>0.39652777777777781</v>
      </c>
      <c r="BU3371" s="2" t="s">
        <v>2668</v>
      </c>
      <c r="BV3371" s="2" t="s">
        <v>95</v>
      </c>
      <c r="BW3371" s="2"/>
      <c r="BX3371" s="2"/>
      <c r="BY3371" s="2">
        <v>16771.419999999998</v>
      </c>
      <c r="BZ3371" s="2" t="s">
        <v>27</v>
      </c>
      <c r="CA3371" s="2" t="s">
        <v>1098</v>
      </c>
      <c r="CB3371" s="2"/>
      <c r="CC3371" s="2" t="s">
        <v>944</v>
      </c>
      <c r="CD3371" s="2">
        <v>1490</v>
      </c>
      <c r="CE3371" s="2" t="s">
        <v>89</v>
      </c>
      <c r="CF3371" s="5">
        <v>42969</v>
      </c>
      <c r="CG3371" s="2"/>
      <c r="CH3371" s="2"/>
      <c r="CI3371" s="2">
        <v>1</v>
      </c>
      <c r="CJ3371" s="2">
        <v>1</v>
      </c>
      <c r="CK3371" s="2">
        <v>34</v>
      </c>
      <c r="CL3371" s="2" t="s">
        <v>86</v>
      </c>
      <c r="CM3371" s="2"/>
    </row>
    <row r="3372" spans="1:91">
      <c r="A3372" s="2" t="s">
        <v>71</v>
      </c>
      <c r="B3372" s="2" t="s">
        <v>72</v>
      </c>
      <c r="C3372" s="2" t="s">
        <v>73</v>
      </c>
      <c r="D3372" s="2"/>
      <c r="E3372" s="2" t="str">
        <f>"FES1162570392"</f>
        <v>FES1162570392</v>
      </c>
      <c r="F3372" s="3">
        <v>42968</v>
      </c>
      <c r="G3372" s="2">
        <v>201802</v>
      </c>
      <c r="H3372" s="2" t="s">
        <v>74</v>
      </c>
      <c r="I3372" s="2" t="s">
        <v>75</v>
      </c>
      <c r="J3372" s="2" t="s">
        <v>118</v>
      </c>
      <c r="K3372" s="2" t="s">
        <v>77</v>
      </c>
      <c r="L3372" s="2" t="s">
        <v>446</v>
      </c>
      <c r="M3372" s="2" t="s">
        <v>447</v>
      </c>
      <c r="N3372" s="2" t="s">
        <v>861</v>
      </c>
      <c r="O3372" s="2" t="s">
        <v>358</v>
      </c>
      <c r="P3372" s="2" t="str">
        <f>"2170576887                    "</f>
        <v xml:space="preserve">2170576887                    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5.63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3.8</v>
      </c>
      <c r="BJ3372" s="2">
        <v>2.7</v>
      </c>
      <c r="BK3372" s="2">
        <v>4</v>
      </c>
      <c r="BL3372" s="2">
        <v>58.28</v>
      </c>
      <c r="BM3372" s="2">
        <v>8.16</v>
      </c>
      <c r="BN3372" s="2">
        <v>66.44</v>
      </c>
      <c r="BO3372" s="2">
        <v>66.44</v>
      </c>
      <c r="BP3372" s="2"/>
      <c r="BQ3372" s="2" t="s">
        <v>83</v>
      </c>
      <c r="BR3372" s="2" t="s">
        <v>122</v>
      </c>
      <c r="BS3372" s="3">
        <v>42969</v>
      </c>
      <c r="BT3372" s="4">
        <v>0.41666666666666669</v>
      </c>
      <c r="BU3372" s="2" t="s">
        <v>85</v>
      </c>
      <c r="BV3372" s="2" t="s">
        <v>95</v>
      </c>
      <c r="BW3372" s="2"/>
      <c r="BX3372" s="2"/>
      <c r="BY3372" s="2">
        <v>13674.53</v>
      </c>
      <c r="BZ3372" s="2" t="s">
        <v>27</v>
      </c>
      <c r="CA3372" s="2"/>
      <c r="CB3372" s="2"/>
      <c r="CC3372" s="2" t="s">
        <v>447</v>
      </c>
      <c r="CD3372" s="2">
        <v>1759</v>
      </c>
      <c r="CE3372" s="2" t="s">
        <v>89</v>
      </c>
      <c r="CF3372" s="5">
        <v>42970</v>
      </c>
      <c r="CG3372" s="2"/>
      <c r="CH3372" s="2"/>
      <c r="CI3372" s="2">
        <v>1</v>
      </c>
      <c r="CJ3372" s="2">
        <v>1</v>
      </c>
      <c r="CK3372" s="2">
        <v>34</v>
      </c>
      <c r="CL3372" s="2" t="s">
        <v>86</v>
      </c>
      <c r="CM3372" s="2"/>
    </row>
    <row r="3373" spans="1:91">
      <c r="A3373" s="2" t="s">
        <v>71</v>
      </c>
      <c r="B3373" s="2" t="s">
        <v>72</v>
      </c>
      <c r="C3373" s="2" t="s">
        <v>73</v>
      </c>
      <c r="D3373" s="2"/>
      <c r="E3373" s="2" t="str">
        <f>"009936491025"</f>
        <v>009936491025</v>
      </c>
      <c r="F3373" s="3">
        <v>42969</v>
      </c>
      <c r="G3373" s="2">
        <v>201802</v>
      </c>
      <c r="H3373" s="2" t="s">
        <v>170</v>
      </c>
      <c r="I3373" s="2" t="s">
        <v>171</v>
      </c>
      <c r="J3373" s="2" t="s">
        <v>3451</v>
      </c>
      <c r="K3373" s="2" t="s">
        <v>77</v>
      </c>
      <c r="L3373" s="2" t="s">
        <v>74</v>
      </c>
      <c r="M3373" s="2" t="s">
        <v>75</v>
      </c>
      <c r="N3373" s="2" t="s">
        <v>118</v>
      </c>
      <c r="O3373" s="2" t="s">
        <v>100</v>
      </c>
      <c r="P3373" s="2" t="str">
        <f>"..                            "</f>
        <v xml:space="preserve">..                            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3.13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1</v>
      </c>
      <c r="BI3373" s="2">
        <v>0.2</v>
      </c>
      <c r="BJ3373" s="2">
        <v>1.9</v>
      </c>
      <c r="BK3373" s="2">
        <v>2</v>
      </c>
      <c r="BL3373" s="2">
        <v>32.380000000000003</v>
      </c>
      <c r="BM3373" s="2">
        <v>4.53</v>
      </c>
      <c r="BN3373" s="2">
        <v>36.909999999999997</v>
      </c>
      <c r="BO3373" s="2">
        <v>36.909999999999997</v>
      </c>
      <c r="BP3373" s="2"/>
      <c r="BQ3373" s="2" t="s">
        <v>3452</v>
      </c>
      <c r="BR3373" s="2" t="s">
        <v>3453</v>
      </c>
      <c r="BS3373" s="3">
        <v>42970</v>
      </c>
      <c r="BT3373" s="4">
        <v>0.35972222222222222</v>
      </c>
      <c r="BU3373" s="2" t="s">
        <v>814</v>
      </c>
      <c r="BV3373" s="2" t="s">
        <v>95</v>
      </c>
      <c r="BW3373" s="2"/>
      <c r="BX3373" s="2"/>
      <c r="BY3373" s="2">
        <v>9714.69</v>
      </c>
      <c r="BZ3373" s="2" t="s">
        <v>27</v>
      </c>
      <c r="CA3373" s="2"/>
      <c r="CB3373" s="2"/>
      <c r="CC3373" s="2" t="s">
        <v>75</v>
      </c>
      <c r="CD3373" s="2">
        <v>1600</v>
      </c>
      <c r="CE3373" s="2" t="s">
        <v>89</v>
      </c>
      <c r="CF3373" s="5">
        <v>42971</v>
      </c>
      <c r="CG3373" s="2"/>
      <c r="CH3373" s="2"/>
      <c r="CI3373" s="2">
        <v>1</v>
      </c>
      <c r="CJ3373" s="2">
        <v>1</v>
      </c>
      <c r="CK3373" s="2">
        <v>22</v>
      </c>
      <c r="CL3373" s="2" t="s">
        <v>86</v>
      </c>
      <c r="CM3373" s="2"/>
    </row>
    <row r="3374" spans="1:91">
      <c r="A3374" s="2" t="s">
        <v>71</v>
      </c>
      <c r="B3374" s="2" t="s">
        <v>72</v>
      </c>
      <c r="C3374" s="2" t="s">
        <v>73</v>
      </c>
      <c r="D3374" s="2"/>
      <c r="E3374" s="2" t="str">
        <f>"FES1162568713"</f>
        <v>FES1162568713</v>
      </c>
      <c r="F3374" s="3">
        <v>42961</v>
      </c>
      <c r="G3374" s="2">
        <v>201802</v>
      </c>
      <c r="H3374" s="2" t="s">
        <v>74</v>
      </c>
      <c r="I3374" s="2" t="s">
        <v>75</v>
      </c>
      <c r="J3374" s="2" t="s">
        <v>118</v>
      </c>
      <c r="K3374" s="2" t="s">
        <v>77</v>
      </c>
      <c r="L3374" s="2" t="s">
        <v>170</v>
      </c>
      <c r="M3374" s="2" t="s">
        <v>171</v>
      </c>
      <c r="N3374" s="2" t="s">
        <v>821</v>
      </c>
      <c r="O3374" s="2" t="s">
        <v>358</v>
      </c>
      <c r="P3374" s="2" t="str">
        <f>"2170580853                    "</f>
        <v xml:space="preserve">2170580853                    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5.58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1</v>
      </c>
      <c r="BI3374" s="2">
        <v>15</v>
      </c>
      <c r="BJ3374" s="2">
        <v>12.3</v>
      </c>
      <c r="BK3374" s="2">
        <v>15</v>
      </c>
      <c r="BL3374" s="2">
        <v>57.79</v>
      </c>
      <c r="BM3374" s="2">
        <v>8.09</v>
      </c>
      <c r="BN3374" s="2">
        <v>65.88</v>
      </c>
      <c r="BO3374" s="2">
        <v>65.88</v>
      </c>
      <c r="BP3374" s="2"/>
      <c r="BQ3374" s="2" t="s">
        <v>288</v>
      </c>
      <c r="BR3374" s="2" t="s">
        <v>122</v>
      </c>
      <c r="BS3374" s="3">
        <v>42962</v>
      </c>
      <c r="BT3374" s="4">
        <v>0.39930555555555558</v>
      </c>
      <c r="BU3374" s="2" t="s">
        <v>3454</v>
      </c>
      <c r="BV3374" s="2" t="s">
        <v>95</v>
      </c>
      <c r="BW3374" s="2"/>
      <c r="BX3374" s="2"/>
      <c r="BY3374" s="2">
        <v>61408</v>
      </c>
      <c r="BZ3374" s="2" t="s">
        <v>27</v>
      </c>
      <c r="CA3374" s="2" t="s">
        <v>3455</v>
      </c>
      <c r="CB3374" s="2"/>
      <c r="CC3374" s="2" t="s">
        <v>171</v>
      </c>
      <c r="CD3374" s="2">
        <v>1422</v>
      </c>
      <c r="CE3374" s="2" t="s">
        <v>89</v>
      </c>
      <c r="CF3374" s="5">
        <v>42963</v>
      </c>
      <c r="CG3374" s="2"/>
      <c r="CH3374" s="2"/>
      <c r="CI3374" s="2">
        <v>1</v>
      </c>
      <c r="CJ3374" s="2">
        <v>1</v>
      </c>
      <c r="CK3374" s="2">
        <v>32</v>
      </c>
      <c r="CL3374" s="2" t="s">
        <v>86</v>
      </c>
      <c r="CM3374" s="2"/>
    </row>
    <row r="3375" spans="1:91">
      <c r="A3375" s="2" t="s">
        <v>71</v>
      </c>
      <c r="B3375" s="2" t="s">
        <v>72</v>
      </c>
      <c r="C3375" s="2" t="s">
        <v>73</v>
      </c>
      <c r="D3375" s="2"/>
      <c r="E3375" s="2" t="str">
        <f>"FES1162568704"</f>
        <v>FES1162568704</v>
      </c>
      <c r="F3375" s="3">
        <v>42961</v>
      </c>
      <c r="G3375" s="2">
        <v>201802</v>
      </c>
      <c r="H3375" s="2" t="s">
        <v>74</v>
      </c>
      <c r="I3375" s="2" t="s">
        <v>75</v>
      </c>
      <c r="J3375" s="2" t="s">
        <v>118</v>
      </c>
      <c r="K3375" s="2" t="s">
        <v>77</v>
      </c>
      <c r="L3375" s="2" t="s">
        <v>170</v>
      </c>
      <c r="M3375" s="2" t="s">
        <v>171</v>
      </c>
      <c r="N3375" s="2" t="s">
        <v>3217</v>
      </c>
      <c r="O3375" s="2" t="s">
        <v>358</v>
      </c>
      <c r="P3375" s="2" t="str">
        <f>"2170584732                    "</f>
        <v xml:space="preserve">2170584732                    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6.63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1</v>
      </c>
      <c r="BI3375" s="2">
        <v>9.1999999999999993</v>
      </c>
      <c r="BJ3375" s="2">
        <v>18</v>
      </c>
      <c r="BK3375" s="2">
        <v>18</v>
      </c>
      <c r="BL3375" s="2">
        <v>68.680000000000007</v>
      </c>
      <c r="BM3375" s="2">
        <v>9.6199999999999992</v>
      </c>
      <c r="BN3375" s="2">
        <v>78.3</v>
      </c>
      <c r="BO3375" s="2">
        <v>78.3</v>
      </c>
      <c r="BP3375" s="2"/>
      <c r="BQ3375" s="2" t="s">
        <v>288</v>
      </c>
      <c r="BR3375" s="2" t="s">
        <v>122</v>
      </c>
      <c r="BS3375" s="3">
        <v>42962</v>
      </c>
      <c r="BT3375" s="4">
        <v>0.3888888888888889</v>
      </c>
      <c r="BU3375" s="2" t="s">
        <v>3456</v>
      </c>
      <c r="BV3375" s="2" t="s">
        <v>95</v>
      </c>
      <c r="BW3375" s="2"/>
      <c r="BX3375" s="2"/>
      <c r="BY3375" s="2">
        <v>89845.21</v>
      </c>
      <c r="BZ3375" s="2" t="s">
        <v>27</v>
      </c>
      <c r="CA3375" s="2" t="s">
        <v>1441</v>
      </c>
      <c r="CB3375" s="2"/>
      <c r="CC3375" s="2" t="s">
        <v>171</v>
      </c>
      <c r="CD3375" s="2">
        <v>1401</v>
      </c>
      <c r="CE3375" s="2" t="s">
        <v>89</v>
      </c>
      <c r="CF3375" s="5">
        <v>42963</v>
      </c>
      <c r="CG3375" s="2"/>
      <c r="CH3375" s="2"/>
      <c r="CI3375" s="2">
        <v>1</v>
      </c>
      <c r="CJ3375" s="2">
        <v>1</v>
      </c>
      <c r="CK3375" s="2">
        <v>32</v>
      </c>
      <c r="CL3375" s="2" t="s">
        <v>86</v>
      </c>
      <c r="CM3375" s="2"/>
    </row>
    <row r="3376" spans="1:91">
      <c r="A3376" s="2" t="s">
        <v>71</v>
      </c>
      <c r="B3376" s="2" t="s">
        <v>72</v>
      </c>
      <c r="C3376" s="2" t="s">
        <v>73</v>
      </c>
      <c r="D3376" s="2"/>
      <c r="E3376" s="2" t="str">
        <f>"FES1162570656"</f>
        <v>FES1162570656</v>
      </c>
      <c r="F3376" s="3">
        <v>42969</v>
      </c>
      <c r="G3376" s="2">
        <v>201802</v>
      </c>
      <c r="H3376" s="2" t="s">
        <v>74</v>
      </c>
      <c r="I3376" s="2" t="s">
        <v>75</v>
      </c>
      <c r="J3376" s="2" t="s">
        <v>118</v>
      </c>
      <c r="K3376" s="2" t="s">
        <v>77</v>
      </c>
      <c r="L3376" s="2" t="s">
        <v>723</v>
      </c>
      <c r="M3376" s="2" t="s">
        <v>724</v>
      </c>
      <c r="N3376" s="2" t="s">
        <v>351</v>
      </c>
      <c r="O3376" s="2" t="s">
        <v>358</v>
      </c>
      <c r="P3376" s="2" t="str">
        <f>"2170586235                    "</f>
        <v xml:space="preserve">2170586235                    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5.63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2</v>
      </c>
      <c r="BI3376" s="2">
        <v>6.7</v>
      </c>
      <c r="BJ3376" s="2">
        <v>2</v>
      </c>
      <c r="BK3376" s="2">
        <v>7</v>
      </c>
      <c r="BL3376" s="2">
        <v>58.28</v>
      </c>
      <c r="BM3376" s="2">
        <v>8.16</v>
      </c>
      <c r="BN3376" s="2">
        <v>66.44</v>
      </c>
      <c r="BO3376" s="2">
        <v>66.44</v>
      </c>
      <c r="BP3376" s="2"/>
      <c r="BQ3376" s="2" t="s">
        <v>288</v>
      </c>
      <c r="BR3376" s="2" t="s">
        <v>122</v>
      </c>
      <c r="BS3376" s="3">
        <v>42970</v>
      </c>
      <c r="BT3376" s="4">
        <v>0.41666666666666669</v>
      </c>
      <c r="BU3376" s="2" t="s">
        <v>2545</v>
      </c>
      <c r="BV3376" s="2" t="s">
        <v>95</v>
      </c>
      <c r="BW3376" s="2"/>
      <c r="BX3376" s="2"/>
      <c r="BY3376" s="2">
        <v>10098.870000000001</v>
      </c>
      <c r="BZ3376" s="2" t="s">
        <v>27</v>
      </c>
      <c r="CA3376" s="2"/>
      <c r="CB3376" s="2"/>
      <c r="CC3376" s="2" t="s">
        <v>724</v>
      </c>
      <c r="CD3376" s="2">
        <v>1754</v>
      </c>
      <c r="CE3376" s="2" t="s">
        <v>104</v>
      </c>
      <c r="CF3376" s="5">
        <v>42971</v>
      </c>
      <c r="CG3376" s="2"/>
      <c r="CH3376" s="2"/>
      <c r="CI3376" s="2">
        <v>1</v>
      </c>
      <c r="CJ3376" s="2">
        <v>1</v>
      </c>
      <c r="CK3376" s="2">
        <v>34</v>
      </c>
      <c r="CL3376" s="2" t="s">
        <v>86</v>
      </c>
      <c r="CM3376" s="2"/>
    </row>
    <row r="3377" spans="1:91">
      <c r="A3377" s="2" t="s">
        <v>71</v>
      </c>
      <c r="B3377" s="2" t="s">
        <v>72</v>
      </c>
      <c r="C3377" s="2" t="s">
        <v>73</v>
      </c>
      <c r="D3377" s="2"/>
      <c r="E3377" s="2" t="str">
        <f>"019911005030"</f>
        <v>019911005030</v>
      </c>
      <c r="F3377" s="3">
        <v>42961</v>
      </c>
      <c r="G3377" s="2">
        <v>201802</v>
      </c>
      <c r="H3377" s="2" t="s">
        <v>417</v>
      </c>
      <c r="I3377" s="2" t="s">
        <v>417</v>
      </c>
      <c r="J3377" s="2" t="s">
        <v>3457</v>
      </c>
      <c r="K3377" s="2" t="s">
        <v>77</v>
      </c>
      <c r="L3377" s="2" t="s">
        <v>74</v>
      </c>
      <c r="M3377" s="2" t="s">
        <v>75</v>
      </c>
      <c r="N3377" s="2" t="s">
        <v>118</v>
      </c>
      <c r="O3377" s="2" t="s">
        <v>100</v>
      </c>
      <c r="P3377" s="2" t="str">
        <f>"                              "</f>
        <v xml:space="preserve">                              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4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1</v>
      </c>
      <c r="BI3377" s="2">
        <v>0.3</v>
      </c>
      <c r="BJ3377" s="2">
        <v>1</v>
      </c>
      <c r="BK3377" s="2">
        <v>1</v>
      </c>
      <c r="BL3377" s="2">
        <v>41.44</v>
      </c>
      <c r="BM3377" s="2">
        <v>5.8</v>
      </c>
      <c r="BN3377" s="2">
        <v>47.24</v>
      </c>
      <c r="BO3377" s="2">
        <v>47.24</v>
      </c>
      <c r="BP3377" s="2"/>
      <c r="BQ3377" s="2" t="s">
        <v>3452</v>
      </c>
      <c r="BR3377" s="2" t="s">
        <v>3458</v>
      </c>
      <c r="BS3377" s="3">
        <v>42963</v>
      </c>
      <c r="BT3377" s="4">
        <v>0.40972222222222227</v>
      </c>
      <c r="BU3377" s="2" t="s">
        <v>3459</v>
      </c>
      <c r="BV3377" s="2"/>
      <c r="BW3377" s="2"/>
      <c r="BX3377" s="2"/>
      <c r="BY3377" s="2">
        <v>4888.24</v>
      </c>
      <c r="BZ3377" s="2" t="s">
        <v>27</v>
      </c>
      <c r="CA3377" s="2" t="s">
        <v>148</v>
      </c>
      <c r="CB3377" s="2"/>
      <c r="CC3377" s="2" t="s">
        <v>75</v>
      </c>
      <c r="CD3377" s="2">
        <v>1600</v>
      </c>
      <c r="CE3377" s="2" t="s">
        <v>89</v>
      </c>
      <c r="CF3377" s="5">
        <v>42964</v>
      </c>
      <c r="CG3377" s="2"/>
      <c r="CH3377" s="2"/>
      <c r="CI3377" s="2">
        <v>0</v>
      </c>
      <c r="CJ3377" s="2">
        <v>0</v>
      </c>
      <c r="CK3377" s="2">
        <v>21</v>
      </c>
      <c r="CL3377" s="2" t="s">
        <v>86</v>
      </c>
      <c r="CM3377" s="2"/>
    </row>
    <row r="3378" spans="1:91">
      <c r="A3378" s="2" t="s">
        <v>71</v>
      </c>
      <c r="B3378" s="2" t="s">
        <v>72</v>
      </c>
      <c r="C3378" s="2" t="s">
        <v>73</v>
      </c>
      <c r="D3378" s="2"/>
      <c r="E3378" s="2" t="str">
        <f>"FES1162569379"</f>
        <v>FES1162569379</v>
      </c>
      <c r="F3378" s="3">
        <v>42963</v>
      </c>
      <c r="G3378" s="2">
        <v>201802</v>
      </c>
      <c r="H3378" s="2" t="s">
        <v>74</v>
      </c>
      <c r="I3378" s="2" t="s">
        <v>75</v>
      </c>
      <c r="J3378" s="2" t="s">
        <v>118</v>
      </c>
      <c r="K3378" s="2" t="s">
        <v>77</v>
      </c>
      <c r="L3378" s="2" t="s">
        <v>446</v>
      </c>
      <c r="M3378" s="2" t="s">
        <v>447</v>
      </c>
      <c r="N3378" s="2" t="s">
        <v>1118</v>
      </c>
      <c r="O3378" s="2" t="s">
        <v>358</v>
      </c>
      <c r="P3378" s="2" t="str">
        <f>"2170585222                    "</f>
        <v xml:space="preserve">2170585222                    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5.63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1</v>
      </c>
      <c r="BI3378" s="2">
        <v>4</v>
      </c>
      <c r="BJ3378" s="2">
        <v>1.4</v>
      </c>
      <c r="BK3378" s="2">
        <v>4</v>
      </c>
      <c r="BL3378" s="2">
        <v>58.28</v>
      </c>
      <c r="BM3378" s="2">
        <v>8.16</v>
      </c>
      <c r="BN3378" s="2">
        <v>66.44</v>
      </c>
      <c r="BO3378" s="2">
        <v>66.44</v>
      </c>
      <c r="BP3378" s="2"/>
      <c r="BQ3378" s="2" t="s">
        <v>83</v>
      </c>
      <c r="BR3378" s="2" t="s">
        <v>122</v>
      </c>
      <c r="BS3378" s="3">
        <v>42964</v>
      </c>
      <c r="BT3378" s="4">
        <v>0.43333333333333335</v>
      </c>
      <c r="BU3378" s="2" t="s">
        <v>3460</v>
      </c>
      <c r="BV3378" s="2" t="s">
        <v>95</v>
      </c>
      <c r="BW3378" s="2"/>
      <c r="BX3378" s="2"/>
      <c r="BY3378" s="2">
        <v>6913.25</v>
      </c>
      <c r="BZ3378" s="2" t="s">
        <v>27</v>
      </c>
      <c r="CA3378" s="2"/>
      <c r="CB3378" s="2"/>
      <c r="CC3378" s="2" t="s">
        <v>447</v>
      </c>
      <c r="CD3378" s="2">
        <v>1759</v>
      </c>
      <c r="CE3378" s="2" t="s">
        <v>89</v>
      </c>
      <c r="CF3378" s="5">
        <v>42965</v>
      </c>
      <c r="CG3378" s="2"/>
      <c r="CH3378" s="2"/>
      <c r="CI3378" s="2">
        <v>1</v>
      </c>
      <c r="CJ3378" s="2">
        <v>1</v>
      </c>
      <c r="CK3378" s="2">
        <v>34</v>
      </c>
      <c r="CL3378" s="2" t="s">
        <v>86</v>
      </c>
      <c r="CM3378" s="2"/>
    </row>
    <row r="3379" spans="1:91">
      <c r="A3379" s="2" t="s">
        <v>71</v>
      </c>
      <c r="B3379" s="2" t="s">
        <v>72</v>
      </c>
      <c r="C3379" s="2" t="s">
        <v>73</v>
      </c>
      <c r="D3379" s="2"/>
      <c r="E3379" s="2" t="str">
        <f>"FES1162569452"</f>
        <v>FES1162569452</v>
      </c>
      <c r="F3379" s="3">
        <v>42963</v>
      </c>
      <c r="G3379" s="2">
        <v>201802</v>
      </c>
      <c r="H3379" s="2" t="s">
        <v>74</v>
      </c>
      <c r="I3379" s="2" t="s">
        <v>75</v>
      </c>
      <c r="J3379" s="2" t="s">
        <v>118</v>
      </c>
      <c r="K3379" s="2" t="s">
        <v>77</v>
      </c>
      <c r="L3379" s="2" t="s">
        <v>206</v>
      </c>
      <c r="M3379" s="2" t="s">
        <v>207</v>
      </c>
      <c r="N3379" s="2" t="s">
        <v>1672</v>
      </c>
      <c r="O3379" s="2" t="s">
        <v>358</v>
      </c>
      <c r="P3379" s="2" t="str">
        <f>"2170585307                    "</f>
        <v xml:space="preserve">2170585307                    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5.63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0</v>
      </c>
      <c r="BH3379" s="2">
        <v>1</v>
      </c>
      <c r="BI3379" s="2">
        <v>3.8</v>
      </c>
      <c r="BJ3379" s="2">
        <v>4.5999999999999996</v>
      </c>
      <c r="BK3379" s="2">
        <v>5</v>
      </c>
      <c r="BL3379" s="2">
        <v>58.28</v>
      </c>
      <c r="BM3379" s="2">
        <v>8.16</v>
      </c>
      <c r="BN3379" s="2">
        <v>66.44</v>
      </c>
      <c r="BO3379" s="2">
        <v>66.44</v>
      </c>
      <c r="BP3379" s="2"/>
      <c r="BQ3379" s="2" t="s">
        <v>288</v>
      </c>
      <c r="BR3379" s="2" t="s">
        <v>122</v>
      </c>
      <c r="BS3379" s="3">
        <v>42964</v>
      </c>
      <c r="BT3379" s="4">
        <v>0.52361111111111114</v>
      </c>
      <c r="BU3379" s="2" t="s">
        <v>1673</v>
      </c>
      <c r="BV3379" s="2" t="s">
        <v>95</v>
      </c>
      <c r="BW3379" s="2"/>
      <c r="BX3379" s="2"/>
      <c r="BY3379" s="2">
        <v>22825.93</v>
      </c>
      <c r="BZ3379" s="2" t="s">
        <v>27</v>
      </c>
      <c r="CA3379" s="2" t="s">
        <v>640</v>
      </c>
      <c r="CB3379" s="2"/>
      <c r="CC3379" s="2" t="s">
        <v>207</v>
      </c>
      <c r="CD3379" s="2">
        <v>250</v>
      </c>
      <c r="CE3379" s="2" t="s">
        <v>89</v>
      </c>
      <c r="CF3379" s="5">
        <v>42968</v>
      </c>
      <c r="CG3379" s="2"/>
      <c r="CH3379" s="2"/>
      <c r="CI3379" s="2">
        <v>1</v>
      </c>
      <c r="CJ3379" s="2">
        <v>1</v>
      </c>
      <c r="CK3379" s="2">
        <v>34</v>
      </c>
      <c r="CL3379" s="2" t="s">
        <v>86</v>
      </c>
      <c r="CM3379" s="2"/>
    </row>
    <row r="3380" spans="1:91">
      <c r="A3380" s="2" t="s">
        <v>71</v>
      </c>
      <c r="B3380" s="2" t="s">
        <v>72</v>
      </c>
      <c r="C3380" s="2" t="s">
        <v>73</v>
      </c>
      <c r="D3380" s="2"/>
      <c r="E3380" s="2" t="str">
        <f>"FES1162568372"</f>
        <v>FES1162568372</v>
      </c>
      <c r="F3380" s="3">
        <v>42958</v>
      </c>
      <c r="G3380" s="2">
        <v>201802</v>
      </c>
      <c r="H3380" s="2" t="s">
        <v>74</v>
      </c>
      <c r="I3380" s="2" t="s">
        <v>75</v>
      </c>
      <c r="J3380" s="2" t="s">
        <v>118</v>
      </c>
      <c r="K3380" s="2" t="s">
        <v>77</v>
      </c>
      <c r="L3380" s="2" t="s">
        <v>74</v>
      </c>
      <c r="M3380" s="2" t="s">
        <v>75</v>
      </c>
      <c r="N3380" s="2" t="s">
        <v>192</v>
      </c>
      <c r="O3380" s="2" t="s">
        <v>358</v>
      </c>
      <c r="P3380" s="2" t="str">
        <f>"2170584460                    "</f>
        <v xml:space="preserve">2170584460                    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5.23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0</v>
      </c>
      <c r="BF3380" s="2">
        <v>0</v>
      </c>
      <c r="BG3380" s="2">
        <v>0</v>
      </c>
      <c r="BH3380" s="2">
        <v>1</v>
      </c>
      <c r="BI3380" s="2">
        <v>13.2</v>
      </c>
      <c r="BJ3380" s="2">
        <v>8.9</v>
      </c>
      <c r="BK3380" s="2">
        <v>14</v>
      </c>
      <c r="BL3380" s="2">
        <v>54.16</v>
      </c>
      <c r="BM3380" s="2">
        <v>7.58</v>
      </c>
      <c r="BN3380" s="2">
        <v>61.74</v>
      </c>
      <c r="BO3380" s="2">
        <v>61.74</v>
      </c>
      <c r="BP3380" s="2"/>
      <c r="BQ3380" s="2" t="s">
        <v>83</v>
      </c>
      <c r="BR3380" s="2" t="s">
        <v>122</v>
      </c>
      <c r="BS3380" s="3">
        <v>42961</v>
      </c>
      <c r="BT3380" s="4">
        <v>0.34027777777777773</v>
      </c>
      <c r="BU3380" s="2" t="s">
        <v>193</v>
      </c>
      <c r="BV3380" s="2" t="s">
        <v>95</v>
      </c>
      <c r="BW3380" s="2"/>
      <c r="BX3380" s="2"/>
      <c r="BY3380" s="2">
        <v>44651.74</v>
      </c>
      <c r="BZ3380" s="2" t="s">
        <v>27</v>
      </c>
      <c r="CA3380" s="2" t="s">
        <v>194</v>
      </c>
      <c r="CB3380" s="2"/>
      <c r="CC3380" s="2" t="s">
        <v>75</v>
      </c>
      <c r="CD3380" s="2">
        <v>1665</v>
      </c>
      <c r="CE3380" s="2" t="s">
        <v>89</v>
      </c>
      <c r="CF3380" s="5">
        <v>42962</v>
      </c>
      <c r="CG3380" s="2"/>
      <c r="CH3380" s="2"/>
      <c r="CI3380" s="2">
        <v>1</v>
      </c>
      <c r="CJ3380" s="2">
        <v>1</v>
      </c>
      <c r="CK3380" s="2">
        <v>32</v>
      </c>
      <c r="CL3380" s="2" t="s">
        <v>86</v>
      </c>
      <c r="CM3380" s="2"/>
    </row>
    <row r="3381" spans="1:91">
      <c r="A3381" s="2" t="s">
        <v>71</v>
      </c>
      <c r="B3381" s="2" t="s">
        <v>72</v>
      </c>
      <c r="C3381" s="2" t="s">
        <v>73</v>
      </c>
      <c r="D3381" s="2"/>
      <c r="E3381" s="2" t="str">
        <f>"FES1162568301"</f>
        <v>FES1162568301</v>
      </c>
      <c r="F3381" s="3">
        <v>42958</v>
      </c>
      <c r="G3381" s="2">
        <v>201802</v>
      </c>
      <c r="H3381" s="2" t="s">
        <v>74</v>
      </c>
      <c r="I3381" s="2" t="s">
        <v>75</v>
      </c>
      <c r="J3381" s="2" t="s">
        <v>118</v>
      </c>
      <c r="K3381" s="2" t="s">
        <v>77</v>
      </c>
      <c r="L3381" s="2" t="s">
        <v>1202</v>
      </c>
      <c r="M3381" s="2" t="s">
        <v>1203</v>
      </c>
      <c r="N3381" s="2" t="s">
        <v>2883</v>
      </c>
      <c r="O3381" s="2" t="s">
        <v>358</v>
      </c>
      <c r="P3381" s="2" t="str">
        <f>"2170584419                    "</f>
        <v xml:space="preserve">2170584419                    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5.58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1</v>
      </c>
      <c r="BI3381" s="2">
        <v>14.1</v>
      </c>
      <c r="BJ3381" s="2">
        <v>9.5</v>
      </c>
      <c r="BK3381" s="2">
        <v>15</v>
      </c>
      <c r="BL3381" s="2">
        <v>57.79</v>
      </c>
      <c r="BM3381" s="2">
        <v>8.09</v>
      </c>
      <c r="BN3381" s="2">
        <v>65.88</v>
      </c>
      <c r="BO3381" s="2">
        <v>65.88</v>
      </c>
      <c r="BP3381" s="2"/>
      <c r="BQ3381" s="2" t="s">
        <v>83</v>
      </c>
      <c r="BR3381" s="2" t="s">
        <v>122</v>
      </c>
      <c r="BS3381" s="3">
        <v>42961</v>
      </c>
      <c r="BT3381" s="4">
        <v>0.29722222222222222</v>
      </c>
      <c r="BU3381" s="2" t="s">
        <v>3461</v>
      </c>
      <c r="BV3381" s="2" t="s">
        <v>95</v>
      </c>
      <c r="BW3381" s="2"/>
      <c r="BX3381" s="2"/>
      <c r="BY3381" s="2">
        <v>47518.81</v>
      </c>
      <c r="BZ3381" s="2" t="s">
        <v>27</v>
      </c>
      <c r="CA3381" s="2" t="s">
        <v>499</v>
      </c>
      <c r="CB3381" s="2"/>
      <c r="CC3381" s="2" t="s">
        <v>1203</v>
      </c>
      <c r="CD3381" s="2">
        <v>1508</v>
      </c>
      <c r="CE3381" s="2" t="s">
        <v>89</v>
      </c>
      <c r="CF3381" s="5">
        <v>42962</v>
      </c>
      <c r="CG3381" s="2"/>
      <c r="CH3381" s="2"/>
      <c r="CI3381" s="2">
        <v>1</v>
      </c>
      <c r="CJ3381" s="2">
        <v>1</v>
      </c>
      <c r="CK3381" s="2">
        <v>32</v>
      </c>
      <c r="CL3381" s="2" t="s">
        <v>86</v>
      </c>
      <c r="CM3381" s="2"/>
    </row>
    <row r="3382" spans="1:91">
      <c r="A3382" s="2" t="s">
        <v>71</v>
      </c>
      <c r="B3382" s="2" t="s">
        <v>72</v>
      </c>
      <c r="C3382" s="2" t="s">
        <v>73</v>
      </c>
      <c r="D3382" s="2"/>
      <c r="E3382" s="2" t="str">
        <f>"FES1162569161"</f>
        <v>FES1162569161</v>
      </c>
      <c r="F3382" s="3">
        <v>42963</v>
      </c>
      <c r="G3382" s="2">
        <v>201802</v>
      </c>
      <c r="H3382" s="2" t="s">
        <v>74</v>
      </c>
      <c r="I3382" s="2" t="s">
        <v>75</v>
      </c>
      <c r="J3382" s="2" t="s">
        <v>118</v>
      </c>
      <c r="K3382" s="2" t="s">
        <v>77</v>
      </c>
      <c r="L3382" s="2" t="s">
        <v>306</v>
      </c>
      <c r="M3382" s="2" t="s">
        <v>307</v>
      </c>
      <c r="N3382" s="2" t="s">
        <v>3462</v>
      </c>
      <c r="O3382" s="2" t="s">
        <v>358</v>
      </c>
      <c r="P3382" s="2" t="str">
        <f>"2170583379                    "</f>
        <v xml:space="preserve">2170583379                    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5.63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1</v>
      </c>
      <c r="BI3382" s="2">
        <v>3</v>
      </c>
      <c r="BJ3382" s="2">
        <v>6.4</v>
      </c>
      <c r="BK3382" s="2">
        <v>7</v>
      </c>
      <c r="BL3382" s="2">
        <v>58.28</v>
      </c>
      <c r="BM3382" s="2">
        <v>8.16</v>
      </c>
      <c r="BN3382" s="2">
        <v>66.44</v>
      </c>
      <c r="BO3382" s="2">
        <v>66.44</v>
      </c>
      <c r="BP3382" s="2"/>
      <c r="BQ3382" s="2" t="s">
        <v>83</v>
      </c>
      <c r="BR3382" s="2" t="s">
        <v>122</v>
      </c>
      <c r="BS3382" s="3">
        <v>42964</v>
      </c>
      <c r="BT3382" s="4">
        <v>0.3527777777777778</v>
      </c>
      <c r="BU3382" s="2" t="s">
        <v>3463</v>
      </c>
      <c r="BV3382" s="2" t="s">
        <v>95</v>
      </c>
      <c r="BW3382" s="2"/>
      <c r="BX3382" s="2"/>
      <c r="BY3382" s="2">
        <v>32000</v>
      </c>
      <c r="BZ3382" s="2" t="s">
        <v>27</v>
      </c>
      <c r="CA3382" s="2" t="s">
        <v>1808</v>
      </c>
      <c r="CB3382" s="2"/>
      <c r="CC3382" s="2" t="s">
        <v>307</v>
      </c>
      <c r="CD3382" s="2">
        <v>1939</v>
      </c>
      <c r="CE3382" s="2" t="s">
        <v>135</v>
      </c>
      <c r="CF3382" s="5">
        <v>42965</v>
      </c>
      <c r="CG3382" s="2"/>
      <c r="CH3382" s="2"/>
      <c r="CI3382" s="2">
        <v>1</v>
      </c>
      <c r="CJ3382" s="2">
        <v>1</v>
      </c>
      <c r="CK3382" s="2">
        <v>34</v>
      </c>
      <c r="CL3382" s="2" t="s">
        <v>86</v>
      </c>
      <c r="CM3382" s="2"/>
    </row>
    <row r="3383" spans="1:91">
      <c r="A3383" s="2" t="s">
        <v>71</v>
      </c>
      <c r="B3383" s="2" t="s">
        <v>72</v>
      </c>
      <c r="C3383" s="2" t="s">
        <v>73</v>
      </c>
      <c r="D3383" s="2"/>
      <c r="E3383" s="2" t="str">
        <f>"FES1162569524"</f>
        <v>FES1162569524</v>
      </c>
      <c r="F3383" s="3">
        <v>42963</v>
      </c>
      <c r="G3383" s="2">
        <v>201802</v>
      </c>
      <c r="H3383" s="2" t="s">
        <v>74</v>
      </c>
      <c r="I3383" s="2" t="s">
        <v>75</v>
      </c>
      <c r="J3383" s="2" t="s">
        <v>118</v>
      </c>
      <c r="K3383" s="2" t="s">
        <v>77</v>
      </c>
      <c r="L3383" s="2" t="s">
        <v>306</v>
      </c>
      <c r="M3383" s="2" t="s">
        <v>307</v>
      </c>
      <c r="N3383" s="2" t="s">
        <v>2330</v>
      </c>
      <c r="O3383" s="2" t="s">
        <v>358</v>
      </c>
      <c r="P3383" s="2" t="str">
        <f>"2170585004                    "</f>
        <v xml:space="preserve">2170585004                    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5.63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1</v>
      </c>
      <c r="BI3383" s="2">
        <v>7.5</v>
      </c>
      <c r="BJ3383" s="2">
        <v>3.6</v>
      </c>
      <c r="BK3383" s="2">
        <v>8</v>
      </c>
      <c r="BL3383" s="2">
        <v>58.28</v>
      </c>
      <c r="BM3383" s="2">
        <v>8.16</v>
      </c>
      <c r="BN3383" s="2">
        <v>66.44</v>
      </c>
      <c r="BO3383" s="2">
        <v>66.44</v>
      </c>
      <c r="BP3383" s="2"/>
      <c r="BQ3383" s="2" t="s">
        <v>288</v>
      </c>
      <c r="BR3383" s="2" t="s">
        <v>122</v>
      </c>
      <c r="BS3383" s="3">
        <v>42964</v>
      </c>
      <c r="BT3383" s="4">
        <v>0.54166666666666663</v>
      </c>
      <c r="BU3383" s="2" t="s">
        <v>3055</v>
      </c>
      <c r="BV3383" s="2" t="s">
        <v>95</v>
      </c>
      <c r="BW3383" s="2"/>
      <c r="BX3383" s="2"/>
      <c r="BY3383" s="2">
        <v>18136.97</v>
      </c>
      <c r="BZ3383" s="2" t="s">
        <v>27</v>
      </c>
      <c r="CA3383" s="2"/>
      <c r="CB3383" s="2"/>
      <c r="CC3383" s="2" t="s">
        <v>307</v>
      </c>
      <c r="CD3383" s="2">
        <v>1929</v>
      </c>
      <c r="CE3383" s="2" t="s">
        <v>89</v>
      </c>
      <c r="CF3383" s="5">
        <v>42965</v>
      </c>
      <c r="CG3383" s="2"/>
      <c r="CH3383" s="2"/>
      <c r="CI3383" s="2">
        <v>1</v>
      </c>
      <c r="CJ3383" s="2">
        <v>1</v>
      </c>
      <c r="CK3383" s="2">
        <v>34</v>
      </c>
      <c r="CL3383" s="2" t="s">
        <v>86</v>
      </c>
      <c r="CM3383" s="2"/>
    </row>
    <row r="3384" spans="1:91">
      <c r="A3384" s="2" t="s">
        <v>71</v>
      </c>
      <c r="B3384" s="2" t="s">
        <v>72</v>
      </c>
      <c r="C3384" s="2" t="s">
        <v>73</v>
      </c>
      <c r="D3384" s="2"/>
      <c r="E3384" s="2" t="str">
        <f>"FES11625685460"</f>
        <v>FES11625685460</v>
      </c>
      <c r="F3384" s="3">
        <v>42964</v>
      </c>
      <c r="G3384" s="2">
        <v>201802</v>
      </c>
      <c r="H3384" s="2" t="s">
        <v>74</v>
      </c>
      <c r="I3384" s="2" t="s">
        <v>75</v>
      </c>
      <c r="J3384" s="2" t="s">
        <v>76</v>
      </c>
      <c r="K3384" s="2" t="s">
        <v>77</v>
      </c>
      <c r="L3384" s="2" t="s">
        <v>144</v>
      </c>
      <c r="M3384" s="2" t="s">
        <v>145</v>
      </c>
      <c r="N3384" s="2" t="s">
        <v>1294</v>
      </c>
      <c r="O3384" s="2" t="s">
        <v>100</v>
      </c>
      <c r="P3384" s="2" t="str">
        <f>"2170585460                    "</f>
        <v xml:space="preserve">2170585460                    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  <c r="BG3384" s="2">
        <v>0</v>
      </c>
      <c r="BH3384" s="2">
        <v>1</v>
      </c>
      <c r="BI3384" s="2">
        <v>1</v>
      </c>
      <c r="BJ3384" s="2">
        <v>0</v>
      </c>
      <c r="BK3384" s="2">
        <v>1</v>
      </c>
      <c r="BL3384" s="2">
        <v>0</v>
      </c>
      <c r="BM3384" s="2">
        <v>0</v>
      </c>
      <c r="BN3384" s="2">
        <v>0</v>
      </c>
      <c r="BO3384" s="2">
        <v>0</v>
      </c>
      <c r="BP3384" s="2"/>
      <c r="BQ3384" s="2" t="s">
        <v>108</v>
      </c>
      <c r="BR3384" s="2" t="s">
        <v>84</v>
      </c>
      <c r="BS3384" s="3">
        <v>42965</v>
      </c>
      <c r="BT3384" s="4">
        <v>0.36180555555555555</v>
      </c>
      <c r="BU3384" s="2"/>
      <c r="BV3384" s="2" t="s">
        <v>95</v>
      </c>
      <c r="BW3384" s="2"/>
      <c r="BX3384" s="2"/>
      <c r="BY3384" s="2">
        <v>1200</v>
      </c>
      <c r="BZ3384" s="2"/>
      <c r="CA3384" s="2"/>
      <c r="CB3384" s="2"/>
      <c r="CC3384" s="2" t="s">
        <v>145</v>
      </c>
      <c r="CD3384" s="2">
        <v>2001</v>
      </c>
      <c r="CE3384" s="2" t="s">
        <v>104</v>
      </c>
      <c r="CF3384" s="2"/>
      <c r="CG3384" s="2"/>
      <c r="CH3384" s="2"/>
      <c r="CI3384" s="2">
        <v>1</v>
      </c>
      <c r="CJ3384" s="2">
        <v>1</v>
      </c>
      <c r="CK3384" s="2">
        <v>-1</v>
      </c>
      <c r="CL3384" s="2" t="s">
        <v>86</v>
      </c>
      <c r="CM3384" s="2"/>
    </row>
    <row r="3385" spans="1:91">
      <c r="A3385" s="2" t="s">
        <v>71</v>
      </c>
      <c r="B3385" s="2" t="s">
        <v>72</v>
      </c>
      <c r="C3385" s="2" t="s">
        <v>73</v>
      </c>
      <c r="D3385" s="2"/>
      <c r="E3385" s="2" t="str">
        <f>"FES1162571824"</f>
        <v>FES1162571824</v>
      </c>
      <c r="F3385" s="3">
        <v>42975</v>
      </c>
      <c r="G3385" s="2">
        <v>201802</v>
      </c>
      <c r="H3385" s="2" t="s">
        <v>74</v>
      </c>
      <c r="I3385" s="2" t="s">
        <v>75</v>
      </c>
      <c r="J3385" s="2" t="s">
        <v>76</v>
      </c>
      <c r="K3385" s="2" t="s">
        <v>77</v>
      </c>
      <c r="L3385" s="2" t="s">
        <v>244</v>
      </c>
      <c r="M3385" s="2" t="s">
        <v>245</v>
      </c>
      <c r="N3385" s="2" t="s">
        <v>1803</v>
      </c>
      <c r="O3385" s="2" t="s">
        <v>100</v>
      </c>
      <c r="P3385" s="2" t="str">
        <f>"2170587451                    "</f>
        <v xml:space="preserve">2170587451                    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3.13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1</v>
      </c>
      <c r="BI3385" s="2">
        <v>3.5</v>
      </c>
      <c r="BJ3385" s="2">
        <v>5.5</v>
      </c>
      <c r="BK3385" s="2">
        <v>6</v>
      </c>
      <c r="BL3385" s="2">
        <v>32.380000000000003</v>
      </c>
      <c r="BM3385" s="2">
        <v>4.53</v>
      </c>
      <c r="BN3385" s="2">
        <v>36.909999999999997</v>
      </c>
      <c r="BO3385" s="2">
        <v>36.909999999999997</v>
      </c>
      <c r="BP3385" s="2"/>
      <c r="BQ3385" s="2" t="s">
        <v>108</v>
      </c>
      <c r="BR3385" s="2" t="s">
        <v>84</v>
      </c>
      <c r="BS3385" s="3">
        <v>42977</v>
      </c>
      <c r="BT3385" s="4">
        <v>0.45763888888888887</v>
      </c>
      <c r="BU3385" s="2" t="s">
        <v>502</v>
      </c>
      <c r="BV3385" s="2" t="s">
        <v>86</v>
      </c>
      <c r="BW3385" s="2" t="s">
        <v>110</v>
      </c>
      <c r="BX3385" s="2" t="s">
        <v>327</v>
      </c>
      <c r="BY3385" s="2">
        <v>27634.880000000001</v>
      </c>
      <c r="BZ3385" s="2"/>
      <c r="CA3385" s="2" t="s">
        <v>2902</v>
      </c>
      <c r="CB3385" s="2"/>
      <c r="CC3385" s="2" t="s">
        <v>245</v>
      </c>
      <c r="CD3385" s="2">
        <v>1459</v>
      </c>
      <c r="CE3385" s="2" t="s">
        <v>89</v>
      </c>
      <c r="CF3385" s="5">
        <v>42978</v>
      </c>
      <c r="CG3385" s="2"/>
      <c r="CH3385" s="2"/>
      <c r="CI3385" s="2">
        <v>1</v>
      </c>
      <c r="CJ3385" s="2">
        <v>2</v>
      </c>
      <c r="CK3385" s="2">
        <v>22</v>
      </c>
      <c r="CL3385" s="2" t="s">
        <v>86</v>
      </c>
      <c r="CM3385" s="2"/>
    </row>
    <row r="3386" spans="1:91">
      <c r="A3386" s="2" t="s">
        <v>71</v>
      </c>
      <c r="B3386" s="2" t="s">
        <v>72</v>
      </c>
      <c r="C3386" s="2" t="s">
        <v>73</v>
      </c>
      <c r="D3386" s="2"/>
      <c r="E3386" s="2" t="str">
        <f>"FES1162572145"</f>
        <v>FES1162572145</v>
      </c>
      <c r="F3386" s="3">
        <v>42976</v>
      </c>
      <c r="G3386" s="2">
        <v>201802</v>
      </c>
      <c r="H3386" s="2" t="s">
        <v>74</v>
      </c>
      <c r="I3386" s="2" t="s">
        <v>75</v>
      </c>
      <c r="J3386" s="2" t="s">
        <v>76</v>
      </c>
      <c r="K3386" s="2" t="s">
        <v>77</v>
      </c>
      <c r="L3386" s="2" t="s">
        <v>723</v>
      </c>
      <c r="M3386" s="2" t="s">
        <v>724</v>
      </c>
      <c r="N3386" s="2" t="s">
        <v>1350</v>
      </c>
      <c r="O3386" s="2" t="s">
        <v>100</v>
      </c>
      <c r="P3386" s="2" t="str">
        <f>"2170587757                    "</f>
        <v xml:space="preserve">2170587757                    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5.63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1</v>
      </c>
      <c r="BI3386" s="2">
        <v>1</v>
      </c>
      <c r="BJ3386" s="2">
        <v>0.2</v>
      </c>
      <c r="BK3386" s="2">
        <v>1</v>
      </c>
      <c r="BL3386" s="2">
        <v>58.28</v>
      </c>
      <c r="BM3386" s="2">
        <v>8.16</v>
      </c>
      <c r="BN3386" s="2">
        <v>66.44</v>
      </c>
      <c r="BO3386" s="2">
        <v>66.44</v>
      </c>
      <c r="BP3386" s="2"/>
      <c r="BQ3386" s="2" t="s">
        <v>3464</v>
      </c>
      <c r="BR3386" s="2" t="s">
        <v>84</v>
      </c>
      <c r="BS3386" s="3">
        <v>42977</v>
      </c>
      <c r="BT3386" s="4">
        <v>0.41666666666666669</v>
      </c>
      <c r="BU3386" s="2" t="s">
        <v>330</v>
      </c>
      <c r="BV3386" s="2" t="s">
        <v>95</v>
      </c>
      <c r="BW3386" s="2"/>
      <c r="BX3386" s="2"/>
      <c r="BY3386" s="2">
        <v>1200</v>
      </c>
      <c r="BZ3386" s="2"/>
      <c r="CA3386" s="2"/>
      <c r="CB3386" s="2"/>
      <c r="CC3386" s="2" t="s">
        <v>724</v>
      </c>
      <c r="CD3386" s="2">
        <v>1740</v>
      </c>
      <c r="CE3386" s="2" t="s">
        <v>104</v>
      </c>
      <c r="CF3386" s="5">
        <v>42978</v>
      </c>
      <c r="CG3386" s="2"/>
      <c r="CH3386" s="2"/>
      <c r="CI3386" s="2">
        <v>1</v>
      </c>
      <c r="CJ3386" s="2">
        <v>1</v>
      </c>
      <c r="CK3386" s="2">
        <v>24</v>
      </c>
      <c r="CL3386" s="2" t="s">
        <v>86</v>
      </c>
      <c r="CM3386" s="2"/>
    </row>
    <row r="3387" spans="1:91">
      <c r="A3387" s="2" t="s">
        <v>71</v>
      </c>
      <c r="B3387" s="2" t="s">
        <v>72</v>
      </c>
      <c r="C3387" s="2" t="s">
        <v>73</v>
      </c>
      <c r="D3387" s="2"/>
      <c r="E3387" s="2" t="str">
        <f>"FES1162571630"</f>
        <v>FES1162571630</v>
      </c>
      <c r="F3387" s="3">
        <v>42975</v>
      </c>
      <c r="G3387" s="2">
        <v>201802</v>
      </c>
      <c r="H3387" s="2" t="s">
        <v>74</v>
      </c>
      <c r="I3387" s="2" t="s">
        <v>75</v>
      </c>
      <c r="J3387" s="2" t="s">
        <v>76</v>
      </c>
      <c r="K3387" s="2" t="s">
        <v>77</v>
      </c>
      <c r="L3387" s="2" t="s">
        <v>244</v>
      </c>
      <c r="M3387" s="2" t="s">
        <v>245</v>
      </c>
      <c r="N3387" s="2" t="s">
        <v>421</v>
      </c>
      <c r="O3387" s="2" t="s">
        <v>100</v>
      </c>
      <c r="P3387" s="2" t="str">
        <f>"2170586941                    "</f>
        <v xml:space="preserve">2170586941                    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3.13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  <c r="BG3387" s="2">
        <v>0</v>
      </c>
      <c r="BH3387" s="2">
        <v>1</v>
      </c>
      <c r="BI3387" s="2">
        <v>3.1</v>
      </c>
      <c r="BJ3387" s="2">
        <v>3.4</v>
      </c>
      <c r="BK3387" s="2">
        <v>4</v>
      </c>
      <c r="BL3387" s="2">
        <v>32.380000000000003</v>
      </c>
      <c r="BM3387" s="2">
        <v>4.53</v>
      </c>
      <c r="BN3387" s="2">
        <v>36.909999999999997</v>
      </c>
      <c r="BO3387" s="2">
        <v>36.909999999999997</v>
      </c>
      <c r="BP3387" s="2"/>
      <c r="BQ3387" s="2" t="s">
        <v>288</v>
      </c>
      <c r="BR3387" s="2" t="s">
        <v>84</v>
      </c>
      <c r="BS3387" s="3">
        <v>42977</v>
      </c>
      <c r="BT3387" s="4">
        <v>0.42638888888888887</v>
      </c>
      <c r="BU3387" s="2" t="s">
        <v>330</v>
      </c>
      <c r="BV3387" s="2" t="s">
        <v>86</v>
      </c>
      <c r="BW3387" s="2" t="s">
        <v>124</v>
      </c>
      <c r="BX3387" s="2" t="s">
        <v>327</v>
      </c>
      <c r="BY3387" s="2">
        <v>17094</v>
      </c>
      <c r="BZ3387" s="2"/>
      <c r="CA3387" s="2" t="s">
        <v>2902</v>
      </c>
      <c r="CB3387" s="2"/>
      <c r="CC3387" s="2" t="s">
        <v>245</v>
      </c>
      <c r="CD3387" s="2">
        <v>1459</v>
      </c>
      <c r="CE3387" s="2" t="s">
        <v>89</v>
      </c>
      <c r="CF3387" s="5">
        <v>42978</v>
      </c>
      <c r="CG3387" s="2"/>
      <c r="CH3387" s="2"/>
      <c r="CI3387" s="2">
        <v>1</v>
      </c>
      <c r="CJ3387" s="2">
        <v>2</v>
      </c>
      <c r="CK3387" s="2">
        <v>22</v>
      </c>
      <c r="CL3387" s="2" t="s">
        <v>86</v>
      </c>
      <c r="CM3387" s="2"/>
    </row>
    <row r="3388" spans="1:91">
      <c r="A3388" s="2" t="s">
        <v>71</v>
      </c>
      <c r="B3388" s="2" t="s">
        <v>72</v>
      </c>
      <c r="C3388" s="2" t="s">
        <v>73</v>
      </c>
      <c r="D3388" s="2"/>
      <c r="E3388" s="2" t="str">
        <f>"FES1162571904"</f>
        <v>FES1162571904</v>
      </c>
      <c r="F3388" s="3">
        <v>42975</v>
      </c>
      <c r="G3388" s="2">
        <v>201802</v>
      </c>
      <c r="H3388" s="2" t="s">
        <v>74</v>
      </c>
      <c r="I3388" s="2" t="s">
        <v>75</v>
      </c>
      <c r="J3388" s="2" t="s">
        <v>76</v>
      </c>
      <c r="K3388" s="2" t="s">
        <v>77</v>
      </c>
      <c r="L3388" s="2" t="s">
        <v>170</v>
      </c>
      <c r="M3388" s="2" t="s">
        <v>171</v>
      </c>
      <c r="N3388" s="2" t="s">
        <v>2162</v>
      </c>
      <c r="O3388" s="2" t="s">
        <v>100</v>
      </c>
      <c r="P3388" s="2" t="str">
        <f>"2170586684                    "</f>
        <v xml:space="preserve">2170586684                    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3.88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  <c r="BG3388" s="2">
        <v>0</v>
      </c>
      <c r="BH3388" s="2">
        <v>2</v>
      </c>
      <c r="BI3388" s="2">
        <v>9.9</v>
      </c>
      <c r="BJ3388" s="2">
        <v>6.7</v>
      </c>
      <c r="BK3388" s="2">
        <v>10</v>
      </c>
      <c r="BL3388" s="2">
        <v>40.15</v>
      </c>
      <c r="BM3388" s="2">
        <v>5.62</v>
      </c>
      <c r="BN3388" s="2">
        <v>45.77</v>
      </c>
      <c r="BO3388" s="2">
        <v>45.77</v>
      </c>
      <c r="BP3388" s="2"/>
      <c r="BQ3388" s="2" t="s">
        <v>288</v>
      </c>
      <c r="BR3388" s="2" t="s">
        <v>84</v>
      </c>
      <c r="BS3388" s="3">
        <v>42976</v>
      </c>
      <c r="BT3388" s="4">
        <v>0.47569444444444442</v>
      </c>
      <c r="BU3388" s="2" t="s">
        <v>1360</v>
      </c>
      <c r="BV3388" s="2" t="s">
        <v>86</v>
      </c>
      <c r="BW3388" s="2" t="s">
        <v>124</v>
      </c>
      <c r="BX3388" s="2" t="s">
        <v>1024</v>
      </c>
      <c r="BY3388" s="2">
        <v>33671.730000000003</v>
      </c>
      <c r="BZ3388" s="2"/>
      <c r="CA3388" s="2" t="s">
        <v>1617</v>
      </c>
      <c r="CB3388" s="2"/>
      <c r="CC3388" s="2" t="s">
        <v>171</v>
      </c>
      <c r="CD3388" s="2">
        <v>1401</v>
      </c>
      <c r="CE3388" s="2" t="s">
        <v>89</v>
      </c>
      <c r="CF3388" s="5">
        <v>42977</v>
      </c>
      <c r="CG3388" s="2"/>
      <c r="CH3388" s="2"/>
      <c r="CI3388" s="2">
        <v>1</v>
      </c>
      <c r="CJ3388" s="2">
        <v>1</v>
      </c>
      <c r="CK3388" s="2">
        <v>22</v>
      </c>
      <c r="CL3388" s="2" t="s">
        <v>86</v>
      </c>
      <c r="CM3388" s="2"/>
    </row>
    <row r="3389" spans="1:91">
      <c r="A3389" s="2" t="s">
        <v>71</v>
      </c>
      <c r="B3389" s="2" t="s">
        <v>72</v>
      </c>
      <c r="C3389" s="2" t="s">
        <v>73</v>
      </c>
      <c r="D3389" s="2"/>
      <c r="E3389" s="2" t="str">
        <f>"FES1162572150"</f>
        <v>FES1162572150</v>
      </c>
      <c r="F3389" s="3">
        <v>42976</v>
      </c>
      <c r="G3389" s="2">
        <v>201802</v>
      </c>
      <c r="H3389" s="2" t="s">
        <v>74</v>
      </c>
      <c r="I3389" s="2" t="s">
        <v>75</v>
      </c>
      <c r="J3389" s="2" t="s">
        <v>76</v>
      </c>
      <c r="K3389" s="2" t="s">
        <v>77</v>
      </c>
      <c r="L3389" s="2" t="s">
        <v>510</v>
      </c>
      <c r="M3389" s="2" t="s">
        <v>511</v>
      </c>
      <c r="N3389" s="2" t="s">
        <v>2342</v>
      </c>
      <c r="O3389" s="2" t="s">
        <v>100</v>
      </c>
      <c r="P3389" s="2" t="str">
        <f>"2170587512                    "</f>
        <v xml:space="preserve">2170587512                    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4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  <c r="BG3389" s="2">
        <v>0</v>
      </c>
      <c r="BH3389" s="2">
        <v>1</v>
      </c>
      <c r="BI3389" s="2">
        <v>1</v>
      </c>
      <c r="BJ3389" s="2">
        <v>0.2</v>
      </c>
      <c r="BK3389" s="2">
        <v>1</v>
      </c>
      <c r="BL3389" s="2">
        <v>41.44</v>
      </c>
      <c r="BM3389" s="2">
        <v>5.8</v>
      </c>
      <c r="BN3389" s="2">
        <v>47.24</v>
      </c>
      <c r="BO3389" s="2">
        <v>47.24</v>
      </c>
      <c r="BP3389" s="2"/>
      <c r="BQ3389" s="2"/>
      <c r="BR3389" s="2" t="s">
        <v>84</v>
      </c>
      <c r="BS3389" s="3">
        <v>42977</v>
      </c>
      <c r="BT3389" s="4">
        <v>0.3743055555555555</v>
      </c>
      <c r="BU3389" s="2" t="s">
        <v>3465</v>
      </c>
      <c r="BV3389" s="2" t="s">
        <v>95</v>
      </c>
      <c r="BW3389" s="2"/>
      <c r="BX3389" s="2"/>
      <c r="BY3389" s="2">
        <v>1200</v>
      </c>
      <c r="BZ3389" s="2"/>
      <c r="CA3389" s="2" t="s">
        <v>872</v>
      </c>
      <c r="CB3389" s="2"/>
      <c r="CC3389" s="2" t="s">
        <v>511</v>
      </c>
      <c r="CD3389" s="2">
        <v>6229</v>
      </c>
      <c r="CE3389" s="2" t="s">
        <v>104</v>
      </c>
      <c r="CF3389" s="5">
        <v>42978</v>
      </c>
      <c r="CG3389" s="2"/>
      <c r="CH3389" s="2"/>
      <c r="CI3389" s="2">
        <v>1</v>
      </c>
      <c r="CJ3389" s="2">
        <v>1</v>
      </c>
      <c r="CK3389" s="2">
        <v>21</v>
      </c>
      <c r="CL3389" s="2" t="s">
        <v>86</v>
      </c>
      <c r="CM3389" s="2"/>
    </row>
    <row r="3390" spans="1:91">
      <c r="A3390" s="2" t="s">
        <v>71</v>
      </c>
      <c r="B3390" s="2" t="s">
        <v>72</v>
      </c>
      <c r="C3390" s="2" t="s">
        <v>73</v>
      </c>
      <c r="D3390" s="2"/>
      <c r="E3390" s="2" t="str">
        <f>"FES1162571885"</f>
        <v>FES1162571885</v>
      </c>
      <c r="F3390" s="3">
        <v>42975</v>
      </c>
      <c r="G3390" s="2">
        <v>201802</v>
      </c>
      <c r="H3390" s="2" t="s">
        <v>74</v>
      </c>
      <c r="I3390" s="2" t="s">
        <v>75</v>
      </c>
      <c r="J3390" s="2" t="s">
        <v>76</v>
      </c>
      <c r="K3390" s="2" t="s">
        <v>77</v>
      </c>
      <c r="L3390" s="2" t="s">
        <v>244</v>
      </c>
      <c r="M3390" s="2" t="s">
        <v>245</v>
      </c>
      <c r="N3390" s="2" t="s">
        <v>421</v>
      </c>
      <c r="O3390" s="2" t="s">
        <v>100</v>
      </c>
      <c r="P3390" s="2" t="str">
        <f>"2170587531                    "</f>
        <v xml:space="preserve">2170587531                    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3.13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1</v>
      </c>
      <c r="BI3390" s="2">
        <v>2.2000000000000002</v>
      </c>
      <c r="BJ3390" s="2">
        <v>3.3</v>
      </c>
      <c r="BK3390" s="2">
        <v>4</v>
      </c>
      <c r="BL3390" s="2">
        <v>32.380000000000003</v>
      </c>
      <c r="BM3390" s="2">
        <v>4.53</v>
      </c>
      <c r="BN3390" s="2">
        <v>36.909999999999997</v>
      </c>
      <c r="BO3390" s="2">
        <v>36.909999999999997</v>
      </c>
      <c r="BP3390" s="2"/>
      <c r="BQ3390" s="2" t="s">
        <v>288</v>
      </c>
      <c r="BR3390" s="2" t="s">
        <v>84</v>
      </c>
      <c r="BS3390" s="3">
        <v>42977</v>
      </c>
      <c r="BT3390" s="4">
        <v>0.45624999999999999</v>
      </c>
      <c r="BU3390" s="2" t="s">
        <v>330</v>
      </c>
      <c r="BV3390" s="2" t="s">
        <v>86</v>
      </c>
      <c r="BW3390" s="2" t="s">
        <v>110</v>
      </c>
      <c r="BX3390" s="2" t="s">
        <v>327</v>
      </c>
      <c r="BY3390" s="2">
        <v>16525.89</v>
      </c>
      <c r="BZ3390" s="2"/>
      <c r="CA3390" s="2" t="s">
        <v>2902</v>
      </c>
      <c r="CB3390" s="2"/>
      <c r="CC3390" s="2" t="s">
        <v>245</v>
      </c>
      <c r="CD3390" s="2">
        <v>1459</v>
      </c>
      <c r="CE3390" s="2" t="s">
        <v>89</v>
      </c>
      <c r="CF3390" s="5">
        <v>42978</v>
      </c>
      <c r="CG3390" s="2"/>
      <c r="CH3390" s="2"/>
      <c r="CI3390" s="2">
        <v>1</v>
      </c>
      <c r="CJ3390" s="2">
        <v>2</v>
      </c>
      <c r="CK3390" s="2">
        <v>22</v>
      </c>
      <c r="CL3390" s="2" t="s">
        <v>86</v>
      </c>
      <c r="CM3390" s="2"/>
    </row>
    <row r="3391" spans="1:91">
      <c r="A3391" s="2" t="s">
        <v>71</v>
      </c>
      <c r="B3391" s="2" t="s">
        <v>72</v>
      </c>
      <c r="C3391" s="2" t="s">
        <v>73</v>
      </c>
      <c r="D3391" s="2"/>
      <c r="E3391" s="2" t="str">
        <f>"FES1162572155"</f>
        <v>FES1162572155</v>
      </c>
      <c r="F3391" s="3">
        <v>42976</v>
      </c>
      <c r="G3391" s="2">
        <v>201802</v>
      </c>
      <c r="H3391" s="2" t="s">
        <v>74</v>
      </c>
      <c r="I3391" s="2" t="s">
        <v>75</v>
      </c>
      <c r="J3391" s="2" t="s">
        <v>76</v>
      </c>
      <c r="K3391" s="2" t="s">
        <v>77</v>
      </c>
      <c r="L3391" s="2" t="s">
        <v>221</v>
      </c>
      <c r="M3391" s="2" t="s">
        <v>222</v>
      </c>
      <c r="N3391" s="2" t="s">
        <v>415</v>
      </c>
      <c r="O3391" s="2" t="s">
        <v>100</v>
      </c>
      <c r="P3391" s="2" t="str">
        <f>"2170577311                    "</f>
        <v xml:space="preserve">2170577311                    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4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  <c r="BG3391" s="2">
        <v>0</v>
      </c>
      <c r="BH3391" s="2">
        <v>1</v>
      </c>
      <c r="BI3391" s="2">
        <v>1</v>
      </c>
      <c r="BJ3391" s="2">
        <v>0.2</v>
      </c>
      <c r="BK3391" s="2">
        <v>1</v>
      </c>
      <c r="BL3391" s="2">
        <v>41.44</v>
      </c>
      <c r="BM3391" s="2">
        <v>5.8</v>
      </c>
      <c r="BN3391" s="2">
        <v>47.24</v>
      </c>
      <c r="BO3391" s="2">
        <v>47.24</v>
      </c>
      <c r="BP3391" s="2"/>
      <c r="BQ3391" s="2" t="s">
        <v>108</v>
      </c>
      <c r="BR3391" s="2" t="s">
        <v>84</v>
      </c>
      <c r="BS3391" s="3">
        <v>42977</v>
      </c>
      <c r="BT3391" s="4">
        <v>0.40416666666666662</v>
      </c>
      <c r="BU3391" s="2" t="s">
        <v>416</v>
      </c>
      <c r="BV3391" s="2" t="s">
        <v>95</v>
      </c>
      <c r="BW3391" s="2"/>
      <c r="BX3391" s="2"/>
      <c r="BY3391" s="2">
        <v>1200</v>
      </c>
      <c r="BZ3391" s="2"/>
      <c r="CA3391" s="2" t="s">
        <v>934</v>
      </c>
      <c r="CB3391" s="2"/>
      <c r="CC3391" s="2" t="s">
        <v>222</v>
      </c>
      <c r="CD3391" s="2">
        <v>4302</v>
      </c>
      <c r="CE3391" s="2" t="s">
        <v>104</v>
      </c>
      <c r="CF3391" s="5">
        <v>42978</v>
      </c>
      <c r="CG3391" s="2"/>
      <c r="CH3391" s="2"/>
      <c r="CI3391" s="2">
        <v>1</v>
      </c>
      <c r="CJ3391" s="2">
        <v>1</v>
      </c>
      <c r="CK3391" s="2">
        <v>21</v>
      </c>
      <c r="CL3391" s="2" t="s">
        <v>86</v>
      </c>
      <c r="CM3391" s="2"/>
    </row>
    <row r="3392" spans="1:91">
      <c r="A3392" s="2" t="s">
        <v>71</v>
      </c>
      <c r="B3392" s="2" t="s">
        <v>72</v>
      </c>
      <c r="C3392" s="2" t="s">
        <v>73</v>
      </c>
      <c r="D3392" s="2"/>
      <c r="E3392" s="2" t="str">
        <f>"FES1162521557"</f>
        <v>FES1162521557</v>
      </c>
      <c r="F3392" s="3">
        <v>42975</v>
      </c>
      <c r="G3392" s="2">
        <v>201802</v>
      </c>
      <c r="H3392" s="2" t="s">
        <v>74</v>
      </c>
      <c r="I3392" s="2" t="s">
        <v>75</v>
      </c>
      <c r="J3392" s="2" t="s">
        <v>76</v>
      </c>
      <c r="K3392" s="2" t="s">
        <v>77</v>
      </c>
      <c r="L3392" s="2" t="s">
        <v>1202</v>
      </c>
      <c r="M3392" s="2" t="s">
        <v>1203</v>
      </c>
      <c r="N3392" s="2" t="s">
        <v>3466</v>
      </c>
      <c r="O3392" s="2" t="s">
        <v>100</v>
      </c>
      <c r="P3392" s="2" t="str">
        <f>"2170542804                    "</f>
        <v xml:space="preserve">2170542804                    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3.13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  <c r="BG3392" s="2">
        <v>0</v>
      </c>
      <c r="BH3392" s="2">
        <v>1</v>
      </c>
      <c r="BI3392" s="2">
        <v>6</v>
      </c>
      <c r="BJ3392" s="2">
        <v>2</v>
      </c>
      <c r="BK3392" s="2">
        <v>6</v>
      </c>
      <c r="BL3392" s="2">
        <v>32.380000000000003</v>
      </c>
      <c r="BM3392" s="2">
        <v>4.53</v>
      </c>
      <c r="BN3392" s="2">
        <v>36.909999999999997</v>
      </c>
      <c r="BO3392" s="2">
        <v>36.909999999999997</v>
      </c>
      <c r="BP3392" s="2"/>
      <c r="BQ3392" s="2" t="s">
        <v>288</v>
      </c>
      <c r="BR3392" s="2" t="s">
        <v>84</v>
      </c>
      <c r="BS3392" s="1" t="s">
        <v>1200</v>
      </c>
      <c r="BT3392" s="2"/>
      <c r="BU3392" s="2"/>
      <c r="BV3392" s="2"/>
      <c r="BW3392" s="2"/>
      <c r="BX3392" s="2"/>
      <c r="BY3392" s="2">
        <v>9900</v>
      </c>
      <c r="BZ3392" s="2"/>
      <c r="CA3392" s="2"/>
      <c r="CB3392" s="2"/>
      <c r="CC3392" s="2" t="s">
        <v>1203</v>
      </c>
      <c r="CD3392" s="2">
        <v>1501</v>
      </c>
      <c r="CE3392" s="2" t="s">
        <v>89</v>
      </c>
      <c r="CF3392" s="2"/>
      <c r="CG3392" s="2"/>
      <c r="CH3392" s="2"/>
      <c r="CI3392" s="2">
        <v>1</v>
      </c>
      <c r="CJ3392" s="2" t="s">
        <v>1200</v>
      </c>
      <c r="CK3392" s="2">
        <v>22</v>
      </c>
      <c r="CL3392" s="2" t="s">
        <v>86</v>
      </c>
      <c r="CM3392" s="2"/>
    </row>
    <row r="3393" spans="1:91">
      <c r="A3393" s="2" t="s">
        <v>71</v>
      </c>
      <c r="B3393" s="2" t="s">
        <v>72</v>
      </c>
      <c r="C3393" s="2" t="s">
        <v>73</v>
      </c>
      <c r="D3393" s="2"/>
      <c r="E3393" s="2" t="str">
        <f>"FES1162572146"</f>
        <v>FES1162572146</v>
      </c>
      <c r="F3393" s="3">
        <v>42976</v>
      </c>
      <c r="G3393" s="2">
        <v>201802</v>
      </c>
      <c r="H3393" s="2" t="s">
        <v>74</v>
      </c>
      <c r="I3393" s="2" t="s">
        <v>75</v>
      </c>
      <c r="J3393" s="2" t="s">
        <v>76</v>
      </c>
      <c r="K3393" s="2" t="s">
        <v>77</v>
      </c>
      <c r="L3393" s="2" t="s">
        <v>221</v>
      </c>
      <c r="M3393" s="2" t="s">
        <v>222</v>
      </c>
      <c r="N3393" s="2" t="s">
        <v>415</v>
      </c>
      <c r="O3393" s="2" t="s">
        <v>100</v>
      </c>
      <c r="P3393" s="2" t="str">
        <f>"2170587265                    "</f>
        <v xml:space="preserve">2170587265                    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10.01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0</v>
      </c>
      <c r="BD3393" s="2">
        <v>0</v>
      </c>
      <c r="BE3393" s="2">
        <v>0</v>
      </c>
      <c r="BF3393" s="2">
        <v>0</v>
      </c>
      <c r="BG3393" s="2">
        <v>0</v>
      </c>
      <c r="BH3393" s="2">
        <v>1</v>
      </c>
      <c r="BI3393" s="2">
        <v>5</v>
      </c>
      <c r="BJ3393" s="2">
        <v>3.3</v>
      </c>
      <c r="BK3393" s="2">
        <v>5</v>
      </c>
      <c r="BL3393" s="2">
        <v>103.61</v>
      </c>
      <c r="BM3393" s="2">
        <v>14.51</v>
      </c>
      <c r="BN3393" s="2">
        <v>118.12</v>
      </c>
      <c r="BO3393" s="2">
        <v>118.12</v>
      </c>
      <c r="BP3393" s="2"/>
      <c r="BQ3393" s="2" t="s">
        <v>108</v>
      </c>
      <c r="BR3393" s="2" t="s">
        <v>84</v>
      </c>
      <c r="BS3393" s="3">
        <v>42977</v>
      </c>
      <c r="BT3393" s="4">
        <v>0.40416666666666662</v>
      </c>
      <c r="BU3393" s="2" t="s">
        <v>416</v>
      </c>
      <c r="BV3393" s="2" t="s">
        <v>95</v>
      </c>
      <c r="BW3393" s="2"/>
      <c r="BX3393" s="2"/>
      <c r="BY3393" s="2">
        <v>16278.55</v>
      </c>
      <c r="BZ3393" s="2"/>
      <c r="CA3393" s="2" t="s">
        <v>934</v>
      </c>
      <c r="CB3393" s="2"/>
      <c r="CC3393" s="2" t="s">
        <v>222</v>
      </c>
      <c r="CD3393" s="2">
        <v>4302</v>
      </c>
      <c r="CE3393" s="2" t="s">
        <v>89</v>
      </c>
      <c r="CF3393" s="5">
        <v>42978</v>
      </c>
      <c r="CG3393" s="2"/>
      <c r="CH3393" s="2"/>
      <c r="CI3393" s="2">
        <v>1</v>
      </c>
      <c r="CJ3393" s="2">
        <v>1</v>
      </c>
      <c r="CK3393" s="2">
        <v>21</v>
      </c>
      <c r="CL3393" s="2" t="s">
        <v>86</v>
      </c>
      <c r="CM3393" s="2"/>
    </row>
    <row r="3394" spans="1:91">
      <c r="A3394" s="2" t="s">
        <v>71</v>
      </c>
      <c r="B3394" s="2" t="s">
        <v>72</v>
      </c>
      <c r="C3394" s="2" t="s">
        <v>73</v>
      </c>
      <c r="D3394" s="2"/>
      <c r="E3394" s="2" t="str">
        <f>"FES1162572115"</f>
        <v>FES1162572115</v>
      </c>
      <c r="F3394" s="3">
        <v>42976</v>
      </c>
      <c r="G3394" s="2">
        <v>201802</v>
      </c>
      <c r="H3394" s="2" t="s">
        <v>74</v>
      </c>
      <c r="I3394" s="2" t="s">
        <v>75</v>
      </c>
      <c r="J3394" s="2" t="s">
        <v>76</v>
      </c>
      <c r="K3394" s="2" t="s">
        <v>77</v>
      </c>
      <c r="L3394" s="2" t="s">
        <v>362</v>
      </c>
      <c r="M3394" s="2" t="s">
        <v>363</v>
      </c>
      <c r="N3394" s="2" t="s">
        <v>1020</v>
      </c>
      <c r="O3394" s="2" t="s">
        <v>100</v>
      </c>
      <c r="P3394" s="2" t="str">
        <f>"2170587732                    "</f>
        <v xml:space="preserve">2170587732                    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7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0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  <c r="BG3394" s="2">
        <v>0</v>
      </c>
      <c r="BH3394" s="2">
        <v>1</v>
      </c>
      <c r="BI3394" s="2">
        <v>3.2</v>
      </c>
      <c r="BJ3394" s="2">
        <v>1.4</v>
      </c>
      <c r="BK3394" s="2">
        <v>3.5</v>
      </c>
      <c r="BL3394" s="2">
        <v>72.52</v>
      </c>
      <c r="BM3394" s="2">
        <v>10.15</v>
      </c>
      <c r="BN3394" s="2">
        <v>82.67</v>
      </c>
      <c r="BO3394" s="2">
        <v>82.67</v>
      </c>
      <c r="BP3394" s="2"/>
      <c r="BQ3394" s="2" t="s">
        <v>108</v>
      </c>
      <c r="BR3394" s="2" t="s">
        <v>84</v>
      </c>
      <c r="BS3394" s="3">
        <v>42977</v>
      </c>
      <c r="BT3394" s="4">
        <v>0.41944444444444445</v>
      </c>
      <c r="BU3394" s="2" t="s">
        <v>3467</v>
      </c>
      <c r="BV3394" s="2" t="s">
        <v>95</v>
      </c>
      <c r="BW3394" s="2"/>
      <c r="BX3394" s="2"/>
      <c r="BY3394" s="2">
        <v>6866.6</v>
      </c>
      <c r="BZ3394" s="2"/>
      <c r="CA3394" s="2" t="s">
        <v>685</v>
      </c>
      <c r="CB3394" s="2"/>
      <c r="CC3394" s="2" t="s">
        <v>363</v>
      </c>
      <c r="CD3394" s="2">
        <v>3200</v>
      </c>
      <c r="CE3394" s="2" t="s">
        <v>89</v>
      </c>
      <c r="CF3394" s="5">
        <v>42978</v>
      </c>
      <c r="CG3394" s="2"/>
      <c r="CH3394" s="2"/>
      <c r="CI3394" s="2">
        <v>1</v>
      </c>
      <c r="CJ3394" s="2">
        <v>1</v>
      </c>
      <c r="CK3394" s="2">
        <v>21</v>
      </c>
      <c r="CL3394" s="2" t="s">
        <v>86</v>
      </c>
      <c r="CM3394" s="2"/>
    </row>
    <row r="3395" spans="1:91">
      <c r="A3395" s="2" t="s">
        <v>71</v>
      </c>
      <c r="B3395" s="2" t="s">
        <v>72</v>
      </c>
      <c r="C3395" s="2" t="s">
        <v>73</v>
      </c>
      <c r="D3395" s="2"/>
      <c r="E3395" s="2" t="str">
        <f>"FES1162572116"</f>
        <v>FES1162572116</v>
      </c>
      <c r="F3395" s="3">
        <v>42976</v>
      </c>
      <c r="G3395" s="2">
        <v>201802</v>
      </c>
      <c r="H3395" s="2" t="s">
        <v>74</v>
      </c>
      <c r="I3395" s="2" t="s">
        <v>75</v>
      </c>
      <c r="J3395" s="2" t="s">
        <v>76</v>
      </c>
      <c r="K3395" s="2" t="s">
        <v>77</v>
      </c>
      <c r="L3395" s="2" t="s">
        <v>149</v>
      </c>
      <c r="M3395" s="2" t="s">
        <v>150</v>
      </c>
      <c r="N3395" s="2" t="s">
        <v>463</v>
      </c>
      <c r="O3395" s="2" t="s">
        <v>100</v>
      </c>
      <c r="P3395" s="2" t="str">
        <f>"2170587733                    "</f>
        <v xml:space="preserve">2170587733                    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4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  <c r="BG3395" s="2">
        <v>0</v>
      </c>
      <c r="BH3395" s="2">
        <v>1</v>
      </c>
      <c r="BI3395" s="2">
        <v>1</v>
      </c>
      <c r="BJ3395" s="2">
        <v>0.2</v>
      </c>
      <c r="BK3395" s="2">
        <v>1</v>
      </c>
      <c r="BL3395" s="2">
        <v>41.44</v>
      </c>
      <c r="BM3395" s="2">
        <v>5.8</v>
      </c>
      <c r="BN3395" s="2">
        <v>47.24</v>
      </c>
      <c r="BO3395" s="2">
        <v>47.24</v>
      </c>
      <c r="BP3395" s="2"/>
      <c r="BQ3395" s="2" t="s">
        <v>288</v>
      </c>
      <c r="BR3395" s="2" t="s">
        <v>84</v>
      </c>
      <c r="BS3395" s="3">
        <v>42977</v>
      </c>
      <c r="BT3395" s="4">
        <v>0.4375</v>
      </c>
      <c r="BU3395" s="2" t="s">
        <v>1129</v>
      </c>
      <c r="BV3395" s="2" t="s">
        <v>95</v>
      </c>
      <c r="BW3395" s="2"/>
      <c r="BX3395" s="2"/>
      <c r="BY3395" s="2">
        <v>1200</v>
      </c>
      <c r="BZ3395" s="2"/>
      <c r="CA3395" s="2" t="s">
        <v>347</v>
      </c>
      <c r="CB3395" s="2"/>
      <c r="CC3395" s="2" t="s">
        <v>150</v>
      </c>
      <c r="CD3395" s="2">
        <v>4001</v>
      </c>
      <c r="CE3395" s="2" t="s">
        <v>104</v>
      </c>
      <c r="CF3395" s="5">
        <v>42978</v>
      </c>
      <c r="CG3395" s="2"/>
      <c r="CH3395" s="2"/>
      <c r="CI3395" s="2">
        <v>1</v>
      </c>
      <c r="CJ3395" s="2">
        <v>1</v>
      </c>
      <c r="CK3395" s="2">
        <v>21</v>
      </c>
      <c r="CL3395" s="2" t="s">
        <v>86</v>
      </c>
      <c r="CM3395" s="2"/>
    </row>
    <row r="3396" spans="1:91">
      <c r="A3396" s="2" t="s">
        <v>71</v>
      </c>
      <c r="B3396" s="2" t="s">
        <v>72</v>
      </c>
      <c r="C3396" s="2" t="s">
        <v>73</v>
      </c>
      <c r="D3396" s="2"/>
      <c r="E3396" s="2" t="str">
        <f>"FES1162572080"</f>
        <v>FES1162572080</v>
      </c>
      <c r="F3396" s="3">
        <v>42976</v>
      </c>
      <c r="G3396" s="2">
        <v>201802</v>
      </c>
      <c r="H3396" s="2" t="s">
        <v>74</v>
      </c>
      <c r="I3396" s="2" t="s">
        <v>75</v>
      </c>
      <c r="J3396" s="2" t="s">
        <v>76</v>
      </c>
      <c r="K3396" s="2" t="s">
        <v>77</v>
      </c>
      <c r="L3396" s="2" t="s">
        <v>231</v>
      </c>
      <c r="M3396" s="2" t="s">
        <v>232</v>
      </c>
      <c r="N3396" s="2" t="s">
        <v>233</v>
      </c>
      <c r="O3396" s="2" t="s">
        <v>100</v>
      </c>
      <c r="P3396" s="2" t="str">
        <f>"2170587684                    "</f>
        <v xml:space="preserve">2170587684                    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4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  <c r="BG3396" s="2">
        <v>0</v>
      </c>
      <c r="BH3396" s="2">
        <v>1</v>
      </c>
      <c r="BI3396" s="2">
        <v>1</v>
      </c>
      <c r="BJ3396" s="2">
        <v>0.2</v>
      </c>
      <c r="BK3396" s="2">
        <v>1</v>
      </c>
      <c r="BL3396" s="2">
        <v>41.44</v>
      </c>
      <c r="BM3396" s="2">
        <v>5.8</v>
      </c>
      <c r="BN3396" s="2">
        <v>47.24</v>
      </c>
      <c r="BO3396" s="2">
        <v>47.24</v>
      </c>
      <c r="BP3396" s="2"/>
      <c r="BQ3396" s="2" t="s">
        <v>83</v>
      </c>
      <c r="BR3396" s="2" t="s">
        <v>84</v>
      </c>
      <c r="BS3396" s="3">
        <v>42977</v>
      </c>
      <c r="BT3396" s="4">
        <v>0.33194444444444443</v>
      </c>
      <c r="BU3396" s="2" t="s">
        <v>1351</v>
      </c>
      <c r="BV3396" s="2" t="s">
        <v>95</v>
      </c>
      <c r="BW3396" s="2"/>
      <c r="BX3396" s="2"/>
      <c r="BY3396" s="2">
        <v>1200</v>
      </c>
      <c r="BZ3396" s="2"/>
      <c r="CA3396" s="2" t="s">
        <v>1352</v>
      </c>
      <c r="CB3396" s="2"/>
      <c r="CC3396" s="2" t="s">
        <v>232</v>
      </c>
      <c r="CD3396" s="2">
        <v>4026</v>
      </c>
      <c r="CE3396" s="2" t="s">
        <v>104</v>
      </c>
      <c r="CF3396" s="5">
        <v>42978</v>
      </c>
      <c r="CG3396" s="2"/>
      <c r="CH3396" s="2"/>
      <c r="CI3396" s="2">
        <v>1</v>
      </c>
      <c r="CJ3396" s="2">
        <v>1</v>
      </c>
      <c r="CK3396" s="2">
        <v>21</v>
      </c>
      <c r="CL3396" s="2" t="s">
        <v>86</v>
      </c>
      <c r="CM3396" s="2"/>
    </row>
    <row r="3397" spans="1:91">
      <c r="A3397" s="2" t="s">
        <v>71</v>
      </c>
      <c r="B3397" s="2" t="s">
        <v>72</v>
      </c>
      <c r="C3397" s="2" t="s">
        <v>73</v>
      </c>
      <c r="D3397" s="2"/>
      <c r="E3397" s="2" t="str">
        <f>"FES1162572117"</f>
        <v>FES1162572117</v>
      </c>
      <c r="F3397" s="3">
        <v>42976</v>
      </c>
      <c r="G3397" s="2">
        <v>201802</v>
      </c>
      <c r="H3397" s="2" t="s">
        <v>74</v>
      </c>
      <c r="I3397" s="2" t="s">
        <v>75</v>
      </c>
      <c r="J3397" s="2" t="s">
        <v>76</v>
      </c>
      <c r="K3397" s="2" t="s">
        <v>77</v>
      </c>
      <c r="L3397" s="2" t="s">
        <v>221</v>
      </c>
      <c r="M3397" s="2" t="s">
        <v>222</v>
      </c>
      <c r="N3397" s="2" t="s">
        <v>1275</v>
      </c>
      <c r="O3397" s="2" t="s">
        <v>100</v>
      </c>
      <c r="P3397" s="2" t="str">
        <f>"2170587734                    "</f>
        <v xml:space="preserve">2170587734                    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4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0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1</v>
      </c>
      <c r="BI3397" s="2">
        <v>1</v>
      </c>
      <c r="BJ3397" s="2">
        <v>0.2</v>
      </c>
      <c r="BK3397" s="2">
        <v>1</v>
      </c>
      <c r="BL3397" s="2">
        <v>41.44</v>
      </c>
      <c r="BM3397" s="2">
        <v>5.8</v>
      </c>
      <c r="BN3397" s="2">
        <v>47.24</v>
      </c>
      <c r="BO3397" s="2">
        <v>47.24</v>
      </c>
      <c r="BP3397" s="2"/>
      <c r="BQ3397" s="2" t="s">
        <v>227</v>
      </c>
      <c r="BR3397" s="2" t="s">
        <v>84</v>
      </c>
      <c r="BS3397" s="3">
        <v>42977</v>
      </c>
      <c r="BT3397" s="4">
        <v>0.34930555555555554</v>
      </c>
      <c r="BU3397" s="2" t="s">
        <v>3468</v>
      </c>
      <c r="BV3397" s="2" t="s">
        <v>95</v>
      </c>
      <c r="BW3397" s="2"/>
      <c r="BX3397" s="2"/>
      <c r="BY3397" s="2">
        <v>1200</v>
      </c>
      <c r="BZ3397" s="2"/>
      <c r="CA3397" s="2"/>
      <c r="CB3397" s="2"/>
      <c r="CC3397" s="2" t="s">
        <v>222</v>
      </c>
      <c r="CD3397" s="2">
        <v>4300</v>
      </c>
      <c r="CE3397" s="2" t="s">
        <v>104</v>
      </c>
      <c r="CF3397" s="5">
        <v>42978</v>
      </c>
      <c r="CG3397" s="2"/>
      <c r="CH3397" s="2"/>
      <c r="CI3397" s="2">
        <v>1</v>
      </c>
      <c r="CJ3397" s="2">
        <v>1</v>
      </c>
      <c r="CK3397" s="2">
        <v>21</v>
      </c>
      <c r="CL3397" s="2" t="s">
        <v>86</v>
      </c>
      <c r="CM3397" s="2"/>
    </row>
    <row r="3398" spans="1:91">
      <c r="A3398" s="2" t="s">
        <v>71</v>
      </c>
      <c r="B3398" s="2" t="s">
        <v>72</v>
      </c>
      <c r="C3398" s="2" t="s">
        <v>73</v>
      </c>
      <c r="D3398" s="2"/>
      <c r="E3398" s="2" t="str">
        <f>"FES1162572094"</f>
        <v>FES1162572094</v>
      </c>
      <c r="F3398" s="3">
        <v>42976</v>
      </c>
      <c r="G3398" s="2">
        <v>201802</v>
      </c>
      <c r="H3398" s="2" t="s">
        <v>74</v>
      </c>
      <c r="I3398" s="2" t="s">
        <v>75</v>
      </c>
      <c r="J3398" s="2" t="s">
        <v>76</v>
      </c>
      <c r="K3398" s="2" t="s">
        <v>77</v>
      </c>
      <c r="L3398" s="2" t="s">
        <v>237</v>
      </c>
      <c r="M3398" s="2" t="s">
        <v>238</v>
      </c>
      <c r="N3398" s="2" t="s">
        <v>239</v>
      </c>
      <c r="O3398" s="2" t="s">
        <v>100</v>
      </c>
      <c r="P3398" s="2" t="str">
        <f>"2170587705                    "</f>
        <v xml:space="preserve">2170587705                    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4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  <c r="BG3398" s="2">
        <v>0</v>
      </c>
      <c r="BH3398" s="2">
        <v>1</v>
      </c>
      <c r="BI3398" s="2">
        <v>1</v>
      </c>
      <c r="BJ3398" s="2">
        <v>0.2</v>
      </c>
      <c r="BK3398" s="2">
        <v>1</v>
      </c>
      <c r="BL3398" s="2">
        <v>41.44</v>
      </c>
      <c r="BM3398" s="2">
        <v>5.8</v>
      </c>
      <c r="BN3398" s="2">
        <v>47.24</v>
      </c>
      <c r="BO3398" s="2">
        <v>47.24</v>
      </c>
      <c r="BP3398" s="2"/>
      <c r="BQ3398" s="2" t="s">
        <v>83</v>
      </c>
      <c r="BR3398" s="2" t="s">
        <v>84</v>
      </c>
      <c r="BS3398" s="3">
        <v>42977</v>
      </c>
      <c r="BT3398" s="4">
        <v>0.41041666666666665</v>
      </c>
      <c r="BU3398" s="2" t="s">
        <v>825</v>
      </c>
      <c r="BV3398" s="2" t="s">
        <v>95</v>
      </c>
      <c r="BW3398" s="2"/>
      <c r="BX3398" s="2"/>
      <c r="BY3398" s="2">
        <v>1200</v>
      </c>
      <c r="BZ3398" s="2"/>
      <c r="CA3398" s="2" t="s">
        <v>672</v>
      </c>
      <c r="CB3398" s="2"/>
      <c r="CC3398" s="2" t="s">
        <v>238</v>
      </c>
      <c r="CD3398" s="2">
        <v>3610</v>
      </c>
      <c r="CE3398" s="2" t="s">
        <v>104</v>
      </c>
      <c r="CF3398" s="5">
        <v>42978</v>
      </c>
      <c r="CG3398" s="2"/>
      <c r="CH3398" s="2"/>
      <c r="CI3398" s="2">
        <v>1</v>
      </c>
      <c r="CJ3398" s="2">
        <v>1</v>
      </c>
      <c r="CK3398" s="2">
        <v>21</v>
      </c>
      <c r="CL3398" s="2" t="s">
        <v>86</v>
      </c>
      <c r="CM3398" s="2"/>
    </row>
    <row r="3399" spans="1:91">
      <c r="A3399" s="2" t="s">
        <v>71</v>
      </c>
      <c r="B3399" s="2" t="s">
        <v>72</v>
      </c>
      <c r="C3399" s="2" t="s">
        <v>73</v>
      </c>
      <c r="D3399" s="2"/>
      <c r="E3399" s="2" t="str">
        <f>"FES1162572111"</f>
        <v>FES1162572111</v>
      </c>
      <c r="F3399" s="3">
        <v>42976</v>
      </c>
      <c r="G3399" s="2">
        <v>201802</v>
      </c>
      <c r="H3399" s="2" t="s">
        <v>74</v>
      </c>
      <c r="I3399" s="2" t="s">
        <v>75</v>
      </c>
      <c r="J3399" s="2" t="s">
        <v>76</v>
      </c>
      <c r="K3399" s="2" t="s">
        <v>77</v>
      </c>
      <c r="L3399" s="2" t="s">
        <v>97</v>
      </c>
      <c r="M3399" s="2" t="s">
        <v>98</v>
      </c>
      <c r="N3399" s="2" t="s">
        <v>500</v>
      </c>
      <c r="O3399" s="2" t="s">
        <v>100</v>
      </c>
      <c r="P3399" s="2" t="str">
        <f>"2170587517                    "</f>
        <v xml:space="preserve">2170587517                    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4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1</v>
      </c>
      <c r="BI3399" s="2">
        <v>1</v>
      </c>
      <c r="BJ3399" s="2">
        <v>0.2</v>
      </c>
      <c r="BK3399" s="2">
        <v>1</v>
      </c>
      <c r="BL3399" s="2">
        <v>41.44</v>
      </c>
      <c r="BM3399" s="2">
        <v>5.8</v>
      </c>
      <c r="BN3399" s="2">
        <v>47.24</v>
      </c>
      <c r="BO3399" s="2">
        <v>47.24</v>
      </c>
      <c r="BP3399" s="2"/>
      <c r="BQ3399" s="2" t="s">
        <v>108</v>
      </c>
      <c r="BR3399" s="2" t="s">
        <v>84</v>
      </c>
      <c r="BS3399" s="3">
        <v>42977</v>
      </c>
      <c r="BT3399" s="4">
        <v>0.375</v>
      </c>
      <c r="BU3399" s="2" t="s">
        <v>501</v>
      </c>
      <c r="BV3399" s="2" t="s">
        <v>95</v>
      </c>
      <c r="BW3399" s="2"/>
      <c r="BX3399" s="2"/>
      <c r="BY3399" s="2">
        <v>1200</v>
      </c>
      <c r="BZ3399" s="2"/>
      <c r="CA3399" s="2" t="s">
        <v>294</v>
      </c>
      <c r="CB3399" s="2"/>
      <c r="CC3399" s="2" t="s">
        <v>98</v>
      </c>
      <c r="CD3399" s="2">
        <v>6001</v>
      </c>
      <c r="CE3399" s="2" t="s">
        <v>104</v>
      </c>
      <c r="CF3399" s="5">
        <v>42978</v>
      </c>
      <c r="CG3399" s="2"/>
      <c r="CH3399" s="2"/>
      <c r="CI3399" s="2">
        <v>1</v>
      </c>
      <c r="CJ3399" s="2">
        <v>1</v>
      </c>
      <c r="CK3399" s="2">
        <v>21</v>
      </c>
      <c r="CL3399" s="2" t="s">
        <v>86</v>
      </c>
      <c r="CM3399" s="2"/>
    </row>
    <row r="3400" spans="1:91">
      <c r="A3400" s="2" t="s">
        <v>71</v>
      </c>
      <c r="B3400" s="2" t="s">
        <v>72</v>
      </c>
      <c r="C3400" s="2" t="s">
        <v>73</v>
      </c>
      <c r="D3400" s="2"/>
      <c r="E3400" s="2" t="str">
        <f>"FES1162572068"</f>
        <v>FES1162572068</v>
      </c>
      <c r="F3400" s="3">
        <v>42976</v>
      </c>
      <c r="G3400" s="2">
        <v>201802</v>
      </c>
      <c r="H3400" s="2" t="s">
        <v>74</v>
      </c>
      <c r="I3400" s="2" t="s">
        <v>75</v>
      </c>
      <c r="J3400" s="2" t="s">
        <v>76</v>
      </c>
      <c r="K3400" s="2" t="s">
        <v>77</v>
      </c>
      <c r="L3400" s="2" t="s">
        <v>74</v>
      </c>
      <c r="M3400" s="2" t="s">
        <v>75</v>
      </c>
      <c r="N3400" s="2" t="s">
        <v>2324</v>
      </c>
      <c r="O3400" s="2" t="s">
        <v>100</v>
      </c>
      <c r="P3400" s="2" t="str">
        <f>"22170587681                   "</f>
        <v xml:space="preserve">22170587681                   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3.13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0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  <c r="BG3400" s="2">
        <v>0</v>
      </c>
      <c r="BH3400" s="2">
        <v>1</v>
      </c>
      <c r="BI3400" s="2">
        <v>1</v>
      </c>
      <c r="BJ3400" s="2">
        <v>0.2</v>
      </c>
      <c r="BK3400" s="2">
        <v>1</v>
      </c>
      <c r="BL3400" s="2">
        <v>32.380000000000003</v>
      </c>
      <c r="BM3400" s="2">
        <v>4.53</v>
      </c>
      <c r="BN3400" s="2">
        <v>36.909999999999997</v>
      </c>
      <c r="BO3400" s="2">
        <v>36.909999999999997</v>
      </c>
      <c r="BP3400" s="2"/>
      <c r="BQ3400" s="2" t="s">
        <v>3283</v>
      </c>
      <c r="BR3400" s="2" t="s">
        <v>84</v>
      </c>
      <c r="BS3400" s="3">
        <v>42977</v>
      </c>
      <c r="BT3400" s="4">
        <v>0.3444444444444445</v>
      </c>
      <c r="BU3400" s="2" t="s">
        <v>1752</v>
      </c>
      <c r="BV3400" s="2" t="s">
        <v>95</v>
      </c>
      <c r="BW3400" s="2"/>
      <c r="BX3400" s="2"/>
      <c r="BY3400" s="2">
        <v>1200</v>
      </c>
      <c r="BZ3400" s="2"/>
      <c r="CA3400" s="2" t="s">
        <v>331</v>
      </c>
      <c r="CB3400" s="2"/>
      <c r="CC3400" s="2" t="s">
        <v>75</v>
      </c>
      <c r="CD3400" s="2">
        <v>1600</v>
      </c>
      <c r="CE3400" s="2" t="s">
        <v>104</v>
      </c>
      <c r="CF3400" s="5">
        <v>42978</v>
      </c>
      <c r="CG3400" s="2"/>
      <c r="CH3400" s="2"/>
      <c r="CI3400" s="2">
        <v>1</v>
      </c>
      <c r="CJ3400" s="2">
        <v>1</v>
      </c>
      <c r="CK3400" s="2">
        <v>22</v>
      </c>
      <c r="CL3400" s="2" t="s">
        <v>86</v>
      </c>
      <c r="CM3400" s="2"/>
    </row>
    <row r="3401" spans="1:91">
      <c r="A3401" s="2" t="s">
        <v>71</v>
      </c>
      <c r="B3401" s="2" t="s">
        <v>72</v>
      </c>
      <c r="C3401" s="2" t="s">
        <v>73</v>
      </c>
      <c r="D3401" s="2"/>
      <c r="E3401" s="2" t="str">
        <f>"FES1162572143"</f>
        <v>FES1162572143</v>
      </c>
      <c r="F3401" s="3">
        <v>42976</v>
      </c>
      <c r="G3401" s="2">
        <v>201802</v>
      </c>
      <c r="H3401" s="2" t="s">
        <v>74</v>
      </c>
      <c r="I3401" s="2" t="s">
        <v>75</v>
      </c>
      <c r="J3401" s="2" t="s">
        <v>76</v>
      </c>
      <c r="K3401" s="2" t="s">
        <v>77</v>
      </c>
      <c r="L3401" s="2" t="s">
        <v>105</v>
      </c>
      <c r="M3401" s="2" t="s">
        <v>106</v>
      </c>
      <c r="N3401" s="2" t="s">
        <v>450</v>
      </c>
      <c r="O3401" s="2" t="s">
        <v>100</v>
      </c>
      <c r="P3401" s="2" t="str">
        <f>"2170587755                    "</f>
        <v xml:space="preserve">2170587755                    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4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1</v>
      </c>
      <c r="BI3401" s="2">
        <v>1</v>
      </c>
      <c r="BJ3401" s="2">
        <v>0.2</v>
      </c>
      <c r="BK3401" s="2">
        <v>1</v>
      </c>
      <c r="BL3401" s="2">
        <v>41.44</v>
      </c>
      <c r="BM3401" s="2">
        <v>5.8</v>
      </c>
      <c r="BN3401" s="2">
        <v>47.24</v>
      </c>
      <c r="BO3401" s="2">
        <v>47.24</v>
      </c>
      <c r="BP3401" s="2"/>
      <c r="BQ3401" s="2" t="s">
        <v>209</v>
      </c>
      <c r="BR3401" s="2" t="s">
        <v>84</v>
      </c>
      <c r="BS3401" s="3">
        <v>42978</v>
      </c>
      <c r="BT3401" s="4">
        <v>0.45833333333333331</v>
      </c>
      <c r="BU3401" s="2" t="s">
        <v>3469</v>
      </c>
      <c r="BV3401" s="2" t="s">
        <v>95</v>
      </c>
      <c r="BW3401" s="2"/>
      <c r="BX3401" s="2"/>
      <c r="BY3401" s="2">
        <v>1200</v>
      </c>
      <c r="BZ3401" s="2"/>
      <c r="CA3401" s="2" t="s">
        <v>3409</v>
      </c>
      <c r="CB3401" s="2"/>
      <c r="CC3401" s="2" t="s">
        <v>106</v>
      </c>
      <c r="CD3401" s="2">
        <v>7380</v>
      </c>
      <c r="CE3401" s="2" t="s">
        <v>104</v>
      </c>
      <c r="CF3401" s="5">
        <v>42978</v>
      </c>
      <c r="CG3401" s="2"/>
      <c r="CH3401" s="2"/>
      <c r="CI3401" s="2">
        <v>3</v>
      </c>
      <c r="CJ3401" s="2">
        <v>2</v>
      </c>
      <c r="CK3401" s="2">
        <v>21</v>
      </c>
      <c r="CL3401" s="2" t="s">
        <v>86</v>
      </c>
      <c r="CM3401" s="2"/>
    </row>
    <row r="3402" spans="1:91">
      <c r="A3402" s="2" t="s">
        <v>71</v>
      </c>
      <c r="B3402" s="2" t="s">
        <v>72</v>
      </c>
      <c r="C3402" s="2" t="s">
        <v>73</v>
      </c>
      <c r="D3402" s="2"/>
      <c r="E3402" s="2" t="str">
        <f>"FES1162572142"</f>
        <v>FES1162572142</v>
      </c>
      <c r="F3402" s="3">
        <v>42976</v>
      </c>
      <c r="G3402" s="2">
        <v>201802</v>
      </c>
      <c r="H3402" s="2" t="s">
        <v>74</v>
      </c>
      <c r="I3402" s="2" t="s">
        <v>75</v>
      </c>
      <c r="J3402" s="2" t="s">
        <v>76</v>
      </c>
      <c r="K3402" s="2" t="s">
        <v>77</v>
      </c>
      <c r="L3402" s="2" t="s">
        <v>174</v>
      </c>
      <c r="M3402" s="2" t="s">
        <v>175</v>
      </c>
      <c r="N3402" s="2" t="s">
        <v>2787</v>
      </c>
      <c r="O3402" s="2" t="s">
        <v>100</v>
      </c>
      <c r="P3402" s="2" t="str">
        <f>"2170587752                    "</f>
        <v xml:space="preserve">2170587752                    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4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  <c r="BG3402" s="2">
        <v>0</v>
      </c>
      <c r="BH3402" s="2">
        <v>1</v>
      </c>
      <c r="BI3402" s="2">
        <v>1</v>
      </c>
      <c r="BJ3402" s="2">
        <v>0.2</v>
      </c>
      <c r="BK3402" s="2">
        <v>1</v>
      </c>
      <c r="BL3402" s="2">
        <v>41.44</v>
      </c>
      <c r="BM3402" s="2">
        <v>5.8</v>
      </c>
      <c r="BN3402" s="2">
        <v>47.24</v>
      </c>
      <c r="BO3402" s="2">
        <v>47.24</v>
      </c>
      <c r="BP3402" s="2"/>
      <c r="BQ3402" s="2" t="s">
        <v>3470</v>
      </c>
      <c r="BR3402" s="2" t="s">
        <v>84</v>
      </c>
      <c r="BS3402" s="3">
        <v>42977</v>
      </c>
      <c r="BT3402" s="4">
        <v>0.37361111111111112</v>
      </c>
      <c r="BU3402" s="2" t="s">
        <v>2788</v>
      </c>
      <c r="BV3402" s="2" t="s">
        <v>95</v>
      </c>
      <c r="BW3402" s="2"/>
      <c r="BX3402" s="2"/>
      <c r="BY3402" s="2">
        <v>1200</v>
      </c>
      <c r="BZ3402" s="2"/>
      <c r="CA3402" s="2" t="s">
        <v>1420</v>
      </c>
      <c r="CB3402" s="2"/>
      <c r="CC3402" s="2" t="s">
        <v>175</v>
      </c>
      <c r="CD3402" s="2">
        <v>5201</v>
      </c>
      <c r="CE3402" s="2" t="s">
        <v>104</v>
      </c>
      <c r="CF3402" s="5">
        <v>42978</v>
      </c>
      <c r="CG3402" s="2"/>
      <c r="CH3402" s="2"/>
      <c r="CI3402" s="2">
        <v>1</v>
      </c>
      <c r="CJ3402" s="2">
        <v>1</v>
      </c>
      <c r="CK3402" s="2">
        <v>21</v>
      </c>
      <c r="CL3402" s="2" t="s">
        <v>86</v>
      </c>
      <c r="CM3402" s="2"/>
    </row>
    <row r="3403" spans="1:91">
      <c r="A3403" s="2" t="s">
        <v>71</v>
      </c>
      <c r="B3403" s="2" t="s">
        <v>72</v>
      </c>
      <c r="C3403" s="2" t="s">
        <v>73</v>
      </c>
      <c r="D3403" s="2"/>
      <c r="E3403" s="2" t="str">
        <f>"FES1162572027"</f>
        <v>FES1162572027</v>
      </c>
      <c r="F3403" s="3">
        <v>42976</v>
      </c>
      <c r="G3403" s="2">
        <v>201802</v>
      </c>
      <c r="H3403" s="2" t="s">
        <v>74</v>
      </c>
      <c r="I3403" s="2" t="s">
        <v>75</v>
      </c>
      <c r="J3403" s="2" t="s">
        <v>76</v>
      </c>
      <c r="K3403" s="2" t="s">
        <v>77</v>
      </c>
      <c r="L3403" s="2" t="s">
        <v>244</v>
      </c>
      <c r="M3403" s="2" t="s">
        <v>245</v>
      </c>
      <c r="N3403" s="2" t="s">
        <v>2784</v>
      </c>
      <c r="O3403" s="2" t="s">
        <v>100</v>
      </c>
      <c r="P3403" s="2" t="str">
        <f>"2170583912                    "</f>
        <v xml:space="preserve">2170583912                    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5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1</v>
      </c>
      <c r="BI3403" s="2">
        <v>12.6</v>
      </c>
      <c r="BJ3403" s="2">
        <v>5.6</v>
      </c>
      <c r="BK3403" s="2">
        <v>13</v>
      </c>
      <c r="BL3403" s="2">
        <v>51.8</v>
      </c>
      <c r="BM3403" s="2">
        <v>7.25</v>
      </c>
      <c r="BN3403" s="2">
        <v>59.05</v>
      </c>
      <c r="BO3403" s="2">
        <v>59.05</v>
      </c>
      <c r="BP3403" s="2"/>
      <c r="BQ3403" s="2" t="s">
        <v>108</v>
      </c>
      <c r="BR3403" s="2" t="s">
        <v>84</v>
      </c>
      <c r="BS3403" s="3">
        <v>42977</v>
      </c>
      <c r="BT3403" s="4">
        <v>0.3923611111111111</v>
      </c>
      <c r="BU3403" s="2" t="s">
        <v>1360</v>
      </c>
      <c r="BV3403" s="2" t="s">
        <v>95</v>
      </c>
      <c r="BW3403" s="2"/>
      <c r="BX3403" s="2"/>
      <c r="BY3403" s="2">
        <v>28226.23</v>
      </c>
      <c r="BZ3403" s="2"/>
      <c r="CA3403" s="2" t="s">
        <v>499</v>
      </c>
      <c r="CB3403" s="2"/>
      <c r="CC3403" s="2" t="s">
        <v>245</v>
      </c>
      <c r="CD3403" s="2">
        <v>1459</v>
      </c>
      <c r="CE3403" s="2" t="s">
        <v>948</v>
      </c>
      <c r="CF3403" s="5">
        <v>42978</v>
      </c>
      <c r="CG3403" s="2"/>
      <c r="CH3403" s="2"/>
      <c r="CI3403" s="2">
        <v>1</v>
      </c>
      <c r="CJ3403" s="2">
        <v>1</v>
      </c>
      <c r="CK3403" s="2">
        <v>22</v>
      </c>
      <c r="CL3403" s="2" t="s">
        <v>86</v>
      </c>
      <c r="CM3403" s="2"/>
    </row>
    <row r="3404" spans="1:91">
      <c r="A3404" s="2" t="s">
        <v>71</v>
      </c>
      <c r="B3404" s="2" t="s">
        <v>72</v>
      </c>
      <c r="C3404" s="2" t="s">
        <v>73</v>
      </c>
      <c r="D3404" s="2"/>
      <c r="E3404" s="2" t="str">
        <f>"FES1162572113"</f>
        <v>FES1162572113</v>
      </c>
      <c r="F3404" s="3">
        <v>42976</v>
      </c>
      <c r="G3404" s="2">
        <v>201802</v>
      </c>
      <c r="H3404" s="2" t="s">
        <v>74</v>
      </c>
      <c r="I3404" s="2" t="s">
        <v>75</v>
      </c>
      <c r="J3404" s="2" t="s">
        <v>76</v>
      </c>
      <c r="K3404" s="2" t="s">
        <v>77</v>
      </c>
      <c r="L3404" s="2" t="s">
        <v>149</v>
      </c>
      <c r="M3404" s="2" t="s">
        <v>150</v>
      </c>
      <c r="N3404" s="2" t="s">
        <v>427</v>
      </c>
      <c r="O3404" s="2" t="s">
        <v>100</v>
      </c>
      <c r="P3404" s="2" t="str">
        <f>"2170587539                    "</f>
        <v xml:space="preserve">2170587539                    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7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1</v>
      </c>
      <c r="BI3404" s="2">
        <v>3.1</v>
      </c>
      <c r="BJ3404" s="2">
        <v>1.8</v>
      </c>
      <c r="BK3404" s="2">
        <v>3.5</v>
      </c>
      <c r="BL3404" s="2">
        <v>72.52</v>
      </c>
      <c r="BM3404" s="2">
        <v>10.15</v>
      </c>
      <c r="BN3404" s="2">
        <v>82.67</v>
      </c>
      <c r="BO3404" s="2">
        <v>82.67</v>
      </c>
      <c r="BP3404" s="2"/>
      <c r="BQ3404" s="2" t="s">
        <v>1917</v>
      </c>
      <c r="BR3404" s="2" t="s">
        <v>84</v>
      </c>
      <c r="BS3404" s="3">
        <v>42978</v>
      </c>
      <c r="BT3404" s="4">
        <v>0.7680555555555556</v>
      </c>
      <c r="BU3404" s="2" t="s">
        <v>1174</v>
      </c>
      <c r="BV3404" s="2" t="s">
        <v>86</v>
      </c>
      <c r="BW3404" s="2"/>
      <c r="BX3404" s="2"/>
      <c r="BY3404" s="2">
        <v>9117.36</v>
      </c>
      <c r="BZ3404" s="2"/>
      <c r="CA3404" s="2" t="s">
        <v>550</v>
      </c>
      <c r="CB3404" s="2"/>
      <c r="CC3404" s="2" t="s">
        <v>150</v>
      </c>
      <c r="CD3404" s="2">
        <v>4001</v>
      </c>
      <c r="CE3404" s="2" t="s">
        <v>948</v>
      </c>
      <c r="CF3404" s="2"/>
      <c r="CG3404" s="2"/>
      <c r="CH3404" s="2"/>
      <c r="CI3404" s="2">
        <v>1</v>
      </c>
      <c r="CJ3404" s="2">
        <v>2</v>
      </c>
      <c r="CK3404" s="2">
        <v>21</v>
      </c>
      <c r="CL3404" s="2" t="s">
        <v>86</v>
      </c>
      <c r="CM3404" s="2"/>
    </row>
    <row r="3405" spans="1:91">
      <c r="A3405" s="2" t="s">
        <v>71</v>
      </c>
      <c r="B3405" s="2" t="s">
        <v>72</v>
      </c>
      <c r="C3405" s="2" t="s">
        <v>73</v>
      </c>
      <c r="D3405" s="2"/>
      <c r="E3405" s="2" t="str">
        <f>"FES1162572009"</f>
        <v>FES1162572009</v>
      </c>
      <c r="F3405" s="3">
        <v>42976</v>
      </c>
      <c r="G3405" s="2">
        <v>201802</v>
      </c>
      <c r="H3405" s="2" t="s">
        <v>74</v>
      </c>
      <c r="I3405" s="2" t="s">
        <v>75</v>
      </c>
      <c r="J3405" s="2" t="s">
        <v>76</v>
      </c>
      <c r="K3405" s="2" t="s">
        <v>77</v>
      </c>
      <c r="L3405" s="2" t="s">
        <v>144</v>
      </c>
      <c r="M3405" s="2" t="s">
        <v>145</v>
      </c>
      <c r="N3405" s="2" t="s">
        <v>1300</v>
      </c>
      <c r="O3405" s="2" t="s">
        <v>100</v>
      </c>
      <c r="P3405" s="2" t="str">
        <f>"2170580825                    "</f>
        <v xml:space="preserve">2170580825                    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3.13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0</v>
      </c>
      <c r="BH3405" s="2">
        <v>1</v>
      </c>
      <c r="BI3405" s="2">
        <v>1.7</v>
      </c>
      <c r="BJ3405" s="2">
        <v>2.9</v>
      </c>
      <c r="BK3405" s="2">
        <v>3</v>
      </c>
      <c r="BL3405" s="2">
        <v>32.380000000000003</v>
      </c>
      <c r="BM3405" s="2">
        <v>4.53</v>
      </c>
      <c r="BN3405" s="2">
        <v>36.909999999999997</v>
      </c>
      <c r="BO3405" s="2">
        <v>36.909999999999997</v>
      </c>
      <c r="BP3405" s="2"/>
      <c r="BQ3405" s="2" t="s">
        <v>108</v>
      </c>
      <c r="BR3405" s="2" t="s">
        <v>84</v>
      </c>
      <c r="BS3405" s="3">
        <v>42977</v>
      </c>
      <c r="BT3405" s="4">
        <v>0.38750000000000001</v>
      </c>
      <c r="BU3405" s="2" t="s">
        <v>3471</v>
      </c>
      <c r="BV3405" s="2" t="s">
        <v>95</v>
      </c>
      <c r="BW3405" s="2"/>
      <c r="BX3405" s="2"/>
      <c r="BY3405" s="2">
        <v>14369.99</v>
      </c>
      <c r="BZ3405" s="2"/>
      <c r="CA3405" s="2" t="s">
        <v>267</v>
      </c>
      <c r="CB3405" s="2"/>
      <c r="CC3405" s="2" t="s">
        <v>145</v>
      </c>
      <c r="CD3405" s="2">
        <v>2065</v>
      </c>
      <c r="CE3405" s="2" t="s">
        <v>135</v>
      </c>
      <c r="CF3405" s="5">
        <v>42978</v>
      </c>
      <c r="CG3405" s="2"/>
      <c r="CH3405" s="2"/>
      <c r="CI3405" s="2">
        <v>1</v>
      </c>
      <c r="CJ3405" s="2">
        <v>1</v>
      </c>
      <c r="CK3405" s="2">
        <v>22</v>
      </c>
      <c r="CL3405" s="2" t="s">
        <v>86</v>
      </c>
      <c r="CM3405" s="2"/>
    </row>
    <row r="3406" spans="1:91">
      <c r="A3406" s="2" t="s">
        <v>71</v>
      </c>
      <c r="B3406" s="2" t="s">
        <v>72</v>
      </c>
      <c r="C3406" s="2" t="s">
        <v>73</v>
      </c>
      <c r="D3406" s="2"/>
      <c r="E3406" s="2" t="str">
        <f>"FES1162572019"</f>
        <v>FES1162572019</v>
      </c>
      <c r="F3406" s="3">
        <v>42976</v>
      </c>
      <c r="G3406" s="2">
        <v>201802</v>
      </c>
      <c r="H3406" s="2" t="s">
        <v>74</v>
      </c>
      <c r="I3406" s="2" t="s">
        <v>75</v>
      </c>
      <c r="J3406" s="2" t="s">
        <v>76</v>
      </c>
      <c r="K3406" s="2" t="s">
        <v>77</v>
      </c>
      <c r="L3406" s="2" t="s">
        <v>74</v>
      </c>
      <c r="M3406" s="2" t="s">
        <v>75</v>
      </c>
      <c r="N3406" s="2" t="s">
        <v>192</v>
      </c>
      <c r="O3406" s="2" t="s">
        <v>100</v>
      </c>
      <c r="P3406" s="2" t="str">
        <f>"2170583283                    "</f>
        <v xml:space="preserve">2170583283                    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3.13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0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  <c r="BG3406" s="2">
        <v>0</v>
      </c>
      <c r="BH3406" s="2">
        <v>1</v>
      </c>
      <c r="BI3406" s="2">
        <v>3.6</v>
      </c>
      <c r="BJ3406" s="2">
        <v>3</v>
      </c>
      <c r="BK3406" s="2">
        <v>4</v>
      </c>
      <c r="BL3406" s="2">
        <v>32.380000000000003</v>
      </c>
      <c r="BM3406" s="2">
        <v>4.53</v>
      </c>
      <c r="BN3406" s="2">
        <v>36.909999999999997</v>
      </c>
      <c r="BO3406" s="2">
        <v>36.909999999999997</v>
      </c>
      <c r="BP3406" s="2"/>
      <c r="BQ3406" s="2" t="s">
        <v>288</v>
      </c>
      <c r="BR3406" s="2" t="s">
        <v>84</v>
      </c>
      <c r="BS3406" s="3">
        <v>42977</v>
      </c>
      <c r="BT3406" s="4">
        <v>0.33680555555555558</v>
      </c>
      <c r="BU3406" s="2" t="s">
        <v>3472</v>
      </c>
      <c r="BV3406" s="2" t="s">
        <v>95</v>
      </c>
      <c r="BW3406" s="2"/>
      <c r="BX3406" s="2"/>
      <c r="BY3406" s="2">
        <v>15000.13</v>
      </c>
      <c r="BZ3406" s="2"/>
      <c r="CA3406" s="2"/>
      <c r="CB3406" s="2"/>
      <c r="CC3406" s="2" t="s">
        <v>75</v>
      </c>
      <c r="CD3406" s="2">
        <v>1665</v>
      </c>
      <c r="CE3406" s="2" t="s">
        <v>135</v>
      </c>
      <c r="CF3406" s="5">
        <v>42978</v>
      </c>
      <c r="CG3406" s="2"/>
      <c r="CH3406" s="2"/>
      <c r="CI3406" s="2">
        <v>1</v>
      </c>
      <c r="CJ3406" s="2">
        <v>1</v>
      </c>
      <c r="CK3406" s="2">
        <v>22</v>
      </c>
      <c r="CL3406" s="2" t="s">
        <v>86</v>
      </c>
      <c r="CM3406" s="2"/>
    </row>
    <row r="3407" spans="1:91">
      <c r="A3407" s="2" t="s">
        <v>71</v>
      </c>
      <c r="B3407" s="2" t="s">
        <v>72</v>
      </c>
      <c r="C3407" s="2" t="s">
        <v>73</v>
      </c>
      <c r="D3407" s="2"/>
      <c r="E3407" s="2" t="str">
        <f>"FES1162572087"</f>
        <v>FES1162572087</v>
      </c>
      <c r="F3407" s="3">
        <v>42976</v>
      </c>
      <c r="G3407" s="2">
        <v>201802</v>
      </c>
      <c r="H3407" s="2" t="s">
        <v>74</v>
      </c>
      <c r="I3407" s="2" t="s">
        <v>75</v>
      </c>
      <c r="J3407" s="2" t="s">
        <v>76</v>
      </c>
      <c r="K3407" s="2" t="s">
        <v>77</v>
      </c>
      <c r="L3407" s="2" t="s">
        <v>237</v>
      </c>
      <c r="M3407" s="2" t="s">
        <v>238</v>
      </c>
      <c r="N3407" s="2" t="s">
        <v>571</v>
      </c>
      <c r="O3407" s="2" t="s">
        <v>100</v>
      </c>
      <c r="P3407" s="2" t="str">
        <f>"2170587286                    "</f>
        <v xml:space="preserve">2170587286                    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10.01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2</v>
      </c>
      <c r="BI3407" s="2">
        <v>4.7</v>
      </c>
      <c r="BJ3407" s="2">
        <v>2.8</v>
      </c>
      <c r="BK3407" s="2">
        <v>5</v>
      </c>
      <c r="BL3407" s="2">
        <v>103.61</v>
      </c>
      <c r="BM3407" s="2">
        <v>14.51</v>
      </c>
      <c r="BN3407" s="2">
        <v>118.12</v>
      </c>
      <c r="BO3407" s="2">
        <v>118.12</v>
      </c>
      <c r="BP3407" s="2"/>
      <c r="BQ3407" s="2" t="s">
        <v>572</v>
      </c>
      <c r="BR3407" s="2" t="s">
        <v>84</v>
      </c>
      <c r="BS3407" s="3">
        <v>42977</v>
      </c>
      <c r="BT3407" s="4">
        <v>0.36249999999999999</v>
      </c>
      <c r="BU3407" s="2" t="s">
        <v>573</v>
      </c>
      <c r="BV3407" s="2" t="s">
        <v>95</v>
      </c>
      <c r="BW3407" s="2"/>
      <c r="BX3407" s="2"/>
      <c r="BY3407" s="2">
        <v>14211.74</v>
      </c>
      <c r="BZ3407" s="2"/>
      <c r="CA3407" s="2" t="s">
        <v>401</v>
      </c>
      <c r="CB3407" s="2"/>
      <c r="CC3407" s="2" t="s">
        <v>238</v>
      </c>
      <c r="CD3407" s="2">
        <v>3610</v>
      </c>
      <c r="CE3407" s="2" t="s">
        <v>948</v>
      </c>
      <c r="CF3407" s="5">
        <v>42978</v>
      </c>
      <c r="CG3407" s="2"/>
      <c r="CH3407" s="2"/>
      <c r="CI3407" s="2">
        <v>1</v>
      </c>
      <c r="CJ3407" s="2">
        <v>1</v>
      </c>
      <c r="CK3407" s="2">
        <v>21</v>
      </c>
      <c r="CL3407" s="2" t="s">
        <v>86</v>
      </c>
      <c r="CM3407" s="2"/>
    </row>
    <row r="3408" spans="1:91">
      <c r="A3408" s="2" t="s">
        <v>71</v>
      </c>
      <c r="B3408" s="2" t="s">
        <v>72</v>
      </c>
      <c r="C3408" s="2" t="s">
        <v>73</v>
      </c>
      <c r="D3408" s="2"/>
      <c r="E3408" s="2" t="str">
        <f>"FES1162572170"</f>
        <v>FES1162572170</v>
      </c>
      <c r="F3408" s="3">
        <v>42976</v>
      </c>
      <c r="G3408" s="2">
        <v>201802</v>
      </c>
      <c r="H3408" s="2" t="s">
        <v>74</v>
      </c>
      <c r="I3408" s="2" t="s">
        <v>75</v>
      </c>
      <c r="J3408" s="2" t="s">
        <v>76</v>
      </c>
      <c r="K3408" s="2" t="s">
        <v>77</v>
      </c>
      <c r="L3408" s="2" t="s">
        <v>170</v>
      </c>
      <c r="M3408" s="2" t="s">
        <v>171</v>
      </c>
      <c r="N3408" s="2" t="s">
        <v>1022</v>
      </c>
      <c r="O3408" s="2" t="s">
        <v>100</v>
      </c>
      <c r="P3408" s="2" t="str">
        <f>"2170587778                    "</f>
        <v xml:space="preserve">2170587778                    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3.13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0</v>
      </c>
      <c r="BH3408" s="2">
        <v>1</v>
      </c>
      <c r="BI3408" s="2">
        <v>1</v>
      </c>
      <c r="BJ3408" s="2">
        <v>0.2</v>
      </c>
      <c r="BK3408" s="2">
        <v>1</v>
      </c>
      <c r="BL3408" s="2">
        <v>32.380000000000003</v>
      </c>
      <c r="BM3408" s="2">
        <v>4.53</v>
      </c>
      <c r="BN3408" s="2">
        <v>36.909999999999997</v>
      </c>
      <c r="BO3408" s="2">
        <v>36.909999999999997</v>
      </c>
      <c r="BP3408" s="2"/>
      <c r="BQ3408" s="2" t="s">
        <v>108</v>
      </c>
      <c r="BR3408" s="2" t="s">
        <v>84</v>
      </c>
      <c r="BS3408" s="3">
        <v>42977</v>
      </c>
      <c r="BT3408" s="4">
        <v>0.36527777777777781</v>
      </c>
      <c r="BU3408" s="2" t="s">
        <v>1023</v>
      </c>
      <c r="BV3408" s="2" t="s">
        <v>95</v>
      </c>
      <c r="BW3408" s="2"/>
      <c r="BX3408" s="2"/>
      <c r="BY3408" s="2">
        <v>1200</v>
      </c>
      <c r="BZ3408" s="2"/>
      <c r="CA3408" s="2" t="s">
        <v>492</v>
      </c>
      <c r="CB3408" s="2"/>
      <c r="CC3408" s="2" t="s">
        <v>171</v>
      </c>
      <c r="CD3408" s="2">
        <v>1428</v>
      </c>
      <c r="CE3408" s="2" t="s">
        <v>104</v>
      </c>
      <c r="CF3408" s="5">
        <v>42978</v>
      </c>
      <c r="CG3408" s="2"/>
      <c r="CH3408" s="2"/>
      <c r="CI3408" s="2">
        <v>1</v>
      </c>
      <c r="CJ3408" s="2">
        <v>1</v>
      </c>
      <c r="CK3408" s="2">
        <v>22</v>
      </c>
      <c r="CL3408" s="2" t="s">
        <v>86</v>
      </c>
      <c r="CM3408" s="2"/>
    </row>
    <row r="3409" spans="1:91">
      <c r="A3409" s="2" t="s">
        <v>71</v>
      </c>
      <c r="B3409" s="2" t="s">
        <v>72</v>
      </c>
      <c r="C3409" s="2" t="s">
        <v>73</v>
      </c>
      <c r="D3409" s="2"/>
      <c r="E3409" s="2" t="str">
        <f>"FES1162572154"</f>
        <v>FES1162572154</v>
      </c>
      <c r="F3409" s="3">
        <v>42976</v>
      </c>
      <c r="G3409" s="2">
        <v>201802</v>
      </c>
      <c r="H3409" s="2" t="s">
        <v>74</v>
      </c>
      <c r="I3409" s="2" t="s">
        <v>75</v>
      </c>
      <c r="J3409" s="2" t="s">
        <v>76</v>
      </c>
      <c r="K3409" s="2" t="s">
        <v>77</v>
      </c>
      <c r="L3409" s="2" t="s">
        <v>74</v>
      </c>
      <c r="M3409" s="2" t="s">
        <v>75</v>
      </c>
      <c r="N3409" s="2" t="s">
        <v>2617</v>
      </c>
      <c r="O3409" s="2" t="s">
        <v>100</v>
      </c>
      <c r="P3409" s="2" t="str">
        <f>"2170587761                    "</f>
        <v xml:space="preserve">2170587761                    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3.13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1</v>
      </c>
      <c r="BI3409" s="2">
        <v>1</v>
      </c>
      <c r="BJ3409" s="2">
        <v>0.2</v>
      </c>
      <c r="BK3409" s="2">
        <v>1</v>
      </c>
      <c r="BL3409" s="2">
        <v>32.380000000000003</v>
      </c>
      <c r="BM3409" s="2">
        <v>4.53</v>
      </c>
      <c r="BN3409" s="2">
        <v>36.909999999999997</v>
      </c>
      <c r="BO3409" s="2">
        <v>36.909999999999997</v>
      </c>
      <c r="BP3409" s="2"/>
      <c r="BQ3409" s="2" t="s">
        <v>108</v>
      </c>
      <c r="BR3409" s="2" t="s">
        <v>84</v>
      </c>
      <c r="BS3409" s="3">
        <v>42977</v>
      </c>
      <c r="BT3409" s="4">
        <v>0.4236111111111111</v>
      </c>
      <c r="BU3409" s="2" t="s">
        <v>3473</v>
      </c>
      <c r="BV3409" s="2" t="s">
        <v>95</v>
      </c>
      <c r="BW3409" s="2"/>
      <c r="BX3409" s="2"/>
      <c r="BY3409" s="2">
        <v>1200</v>
      </c>
      <c r="BZ3409" s="2"/>
      <c r="CA3409" s="2"/>
      <c r="CB3409" s="2"/>
      <c r="CC3409" s="2" t="s">
        <v>75</v>
      </c>
      <c r="CD3409" s="2">
        <v>1624</v>
      </c>
      <c r="CE3409" s="2" t="s">
        <v>104</v>
      </c>
      <c r="CF3409" s="5">
        <v>42978</v>
      </c>
      <c r="CG3409" s="2"/>
      <c r="CH3409" s="2"/>
      <c r="CI3409" s="2">
        <v>1</v>
      </c>
      <c r="CJ3409" s="2">
        <v>1</v>
      </c>
      <c r="CK3409" s="2">
        <v>22</v>
      </c>
      <c r="CL3409" s="2" t="s">
        <v>86</v>
      </c>
      <c r="CM3409" s="2"/>
    </row>
    <row r="3410" spans="1:91">
      <c r="A3410" s="2" t="s">
        <v>71</v>
      </c>
      <c r="B3410" s="2" t="s">
        <v>72</v>
      </c>
      <c r="C3410" s="2" t="s">
        <v>73</v>
      </c>
      <c r="D3410" s="2"/>
      <c r="E3410" s="2" t="str">
        <f>"FES1162571915"</f>
        <v>FES1162571915</v>
      </c>
      <c r="F3410" s="3">
        <v>42976</v>
      </c>
      <c r="G3410" s="2">
        <v>201802</v>
      </c>
      <c r="H3410" s="2" t="s">
        <v>74</v>
      </c>
      <c r="I3410" s="2" t="s">
        <v>75</v>
      </c>
      <c r="J3410" s="2" t="s">
        <v>76</v>
      </c>
      <c r="K3410" s="2" t="s">
        <v>77</v>
      </c>
      <c r="L3410" s="2" t="s">
        <v>268</v>
      </c>
      <c r="M3410" s="2" t="s">
        <v>269</v>
      </c>
      <c r="N3410" s="2" t="s">
        <v>1233</v>
      </c>
      <c r="O3410" s="2" t="s">
        <v>100</v>
      </c>
      <c r="P3410" s="2" t="str">
        <f>"2170587579                    "</f>
        <v xml:space="preserve">2170587579                    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6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0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0</v>
      </c>
      <c r="BH3410" s="2">
        <v>1</v>
      </c>
      <c r="BI3410" s="2">
        <v>3</v>
      </c>
      <c r="BJ3410" s="2">
        <v>0.2</v>
      </c>
      <c r="BK3410" s="2">
        <v>3</v>
      </c>
      <c r="BL3410" s="2">
        <v>62.16</v>
      </c>
      <c r="BM3410" s="2">
        <v>8.6999999999999993</v>
      </c>
      <c r="BN3410" s="2">
        <v>70.86</v>
      </c>
      <c r="BO3410" s="2">
        <v>70.86</v>
      </c>
      <c r="BP3410" s="2"/>
      <c r="BQ3410" s="2" t="s">
        <v>3474</v>
      </c>
      <c r="BR3410" s="2" t="s">
        <v>84</v>
      </c>
      <c r="BS3410" s="3">
        <v>42977</v>
      </c>
      <c r="BT3410" s="4">
        <v>0.4375</v>
      </c>
      <c r="BU3410" s="2" t="s">
        <v>3475</v>
      </c>
      <c r="BV3410" s="2" t="s">
        <v>95</v>
      </c>
      <c r="BW3410" s="2"/>
      <c r="BX3410" s="2"/>
      <c r="BY3410" s="2">
        <v>1200</v>
      </c>
      <c r="BZ3410" s="2"/>
      <c r="CA3410" s="2" t="s">
        <v>3476</v>
      </c>
      <c r="CB3410" s="2"/>
      <c r="CC3410" s="2" t="s">
        <v>269</v>
      </c>
      <c r="CD3410" s="2">
        <v>40</v>
      </c>
      <c r="CE3410" s="2" t="s">
        <v>104</v>
      </c>
      <c r="CF3410" s="5">
        <v>42978</v>
      </c>
      <c r="CG3410" s="2"/>
      <c r="CH3410" s="2"/>
      <c r="CI3410" s="2">
        <v>1</v>
      </c>
      <c r="CJ3410" s="2">
        <v>1</v>
      </c>
      <c r="CK3410" s="2">
        <v>21</v>
      </c>
      <c r="CL3410" s="2" t="s">
        <v>86</v>
      </c>
      <c r="CM3410" s="2"/>
    </row>
    <row r="3411" spans="1:91">
      <c r="A3411" s="2" t="s">
        <v>71</v>
      </c>
      <c r="B3411" s="2" t="s">
        <v>72</v>
      </c>
      <c r="C3411" s="2" t="s">
        <v>73</v>
      </c>
      <c r="D3411" s="2"/>
      <c r="E3411" s="2" t="str">
        <f>"FES1162572168"</f>
        <v>FES1162572168</v>
      </c>
      <c r="F3411" s="3">
        <v>42976</v>
      </c>
      <c r="G3411" s="2">
        <v>201802</v>
      </c>
      <c r="H3411" s="2" t="s">
        <v>74</v>
      </c>
      <c r="I3411" s="2" t="s">
        <v>75</v>
      </c>
      <c r="J3411" s="2" t="s">
        <v>76</v>
      </c>
      <c r="K3411" s="2" t="s">
        <v>77</v>
      </c>
      <c r="L3411" s="2" t="s">
        <v>237</v>
      </c>
      <c r="M3411" s="2" t="s">
        <v>238</v>
      </c>
      <c r="N3411" s="2" t="s">
        <v>765</v>
      </c>
      <c r="O3411" s="2" t="s">
        <v>100</v>
      </c>
      <c r="P3411" s="2" t="str">
        <f>"2170587413                    "</f>
        <v xml:space="preserve">2170587413                    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4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1</v>
      </c>
      <c r="BI3411" s="2">
        <v>1</v>
      </c>
      <c r="BJ3411" s="2">
        <v>0.2</v>
      </c>
      <c r="BK3411" s="2">
        <v>1</v>
      </c>
      <c r="BL3411" s="2">
        <v>41.44</v>
      </c>
      <c r="BM3411" s="2">
        <v>5.8</v>
      </c>
      <c r="BN3411" s="2">
        <v>47.24</v>
      </c>
      <c r="BO3411" s="2">
        <v>47.24</v>
      </c>
      <c r="BP3411" s="2"/>
      <c r="BQ3411" s="2" t="s">
        <v>108</v>
      </c>
      <c r="BR3411" s="2" t="s">
        <v>84</v>
      </c>
      <c r="BS3411" s="3">
        <v>42977</v>
      </c>
      <c r="BT3411" s="4">
        <v>0.33333333333333331</v>
      </c>
      <c r="BU3411" s="2" t="s">
        <v>766</v>
      </c>
      <c r="BV3411" s="2" t="s">
        <v>95</v>
      </c>
      <c r="BW3411" s="2"/>
      <c r="BX3411" s="2"/>
      <c r="BY3411" s="2">
        <v>1200</v>
      </c>
      <c r="BZ3411" s="2"/>
      <c r="CA3411" s="2" t="s">
        <v>401</v>
      </c>
      <c r="CB3411" s="2"/>
      <c r="CC3411" s="2" t="s">
        <v>238</v>
      </c>
      <c r="CD3411" s="2">
        <v>3610</v>
      </c>
      <c r="CE3411" s="2" t="s">
        <v>104</v>
      </c>
      <c r="CF3411" s="5">
        <v>42978</v>
      </c>
      <c r="CG3411" s="2"/>
      <c r="CH3411" s="2"/>
      <c r="CI3411" s="2">
        <v>1</v>
      </c>
      <c r="CJ3411" s="2">
        <v>1</v>
      </c>
      <c r="CK3411" s="2">
        <v>21</v>
      </c>
      <c r="CL3411" s="2" t="s">
        <v>86</v>
      </c>
      <c r="CM3411" s="2"/>
    </row>
    <row r="3412" spans="1:91">
      <c r="A3412" s="2" t="s">
        <v>71</v>
      </c>
      <c r="B3412" s="2" t="s">
        <v>72</v>
      </c>
      <c r="C3412" s="2" t="s">
        <v>73</v>
      </c>
      <c r="D3412" s="2"/>
      <c r="E3412" s="2" t="str">
        <f>"FES1162572159"</f>
        <v>FES1162572159</v>
      </c>
      <c r="F3412" s="3">
        <v>42976</v>
      </c>
      <c r="G3412" s="2">
        <v>201802</v>
      </c>
      <c r="H3412" s="2" t="s">
        <v>74</v>
      </c>
      <c r="I3412" s="2" t="s">
        <v>75</v>
      </c>
      <c r="J3412" s="2" t="s">
        <v>76</v>
      </c>
      <c r="K3412" s="2" t="s">
        <v>77</v>
      </c>
      <c r="L3412" s="2" t="s">
        <v>149</v>
      </c>
      <c r="M3412" s="2" t="s">
        <v>150</v>
      </c>
      <c r="N3412" s="2" t="s">
        <v>1947</v>
      </c>
      <c r="O3412" s="2" t="s">
        <v>100</v>
      </c>
      <c r="P3412" s="2" t="str">
        <f>"2170587766                    "</f>
        <v xml:space="preserve">2170587766                    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4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  <c r="BG3412" s="2">
        <v>0</v>
      </c>
      <c r="BH3412" s="2">
        <v>1</v>
      </c>
      <c r="BI3412" s="2">
        <v>1</v>
      </c>
      <c r="BJ3412" s="2">
        <v>0.2</v>
      </c>
      <c r="BK3412" s="2">
        <v>1</v>
      </c>
      <c r="BL3412" s="2">
        <v>41.44</v>
      </c>
      <c r="BM3412" s="2">
        <v>5.8</v>
      </c>
      <c r="BN3412" s="2">
        <v>47.24</v>
      </c>
      <c r="BO3412" s="2">
        <v>47.24</v>
      </c>
      <c r="BP3412" s="2"/>
      <c r="BQ3412" s="2" t="s">
        <v>288</v>
      </c>
      <c r="BR3412" s="2" t="s">
        <v>84</v>
      </c>
      <c r="BS3412" s="3">
        <v>42977</v>
      </c>
      <c r="BT3412" s="4">
        <v>0.34027777777777773</v>
      </c>
      <c r="BU3412" s="2" t="s">
        <v>1948</v>
      </c>
      <c r="BV3412" s="2" t="s">
        <v>95</v>
      </c>
      <c r="BW3412" s="2"/>
      <c r="BX3412" s="2"/>
      <c r="BY3412" s="2">
        <v>1200</v>
      </c>
      <c r="BZ3412" s="2"/>
      <c r="CA3412" s="2" t="s">
        <v>1949</v>
      </c>
      <c r="CB3412" s="2"/>
      <c r="CC3412" s="2" t="s">
        <v>150</v>
      </c>
      <c r="CD3412" s="2">
        <v>4064</v>
      </c>
      <c r="CE3412" s="2" t="s">
        <v>104</v>
      </c>
      <c r="CF3412" s="5">
        <v>42978</v>
      </c>
      <c r="CG3412" s="2"/>
      <c r="CH3412" s="2"/>
      <c r="CI3412" s="2">
        <v>1</v>
      </c>
      <c r="CJ3412" s="2">
        <v>1</v>
      </c>
      <c r="CK3412" s="2">
        <v>21</v>
      </c>
      <c r="CL3412" s="2" t="s">
        <v>86</v>
      </c>
      <c r="CM3412" s="2"/>
    </row>
    <row r="3413" spans="1:91">
      <c r="A3413" s="2" t="s">
        <v>71</v>
      </c>
      <c r="B3413" s="2" t="s">
        <v>72</v>
      </c>
      <c r="C3413" s="2" t="s">
        <v>73</v>
      </c>
      <c r="D3413" s="2"/>
      <c r="E3413" s="2" t="str">
        <f>"FES1162572133"</f>
        <v>FES1162572133</v>
      </c>
      <c r="F3413" s="3">
        <v>42976</v>
      </c>
      <c r="G3413" s="2">
        <v>201802</v>
      </c>
      <c r="H3413" s="2" t="s">
        <v>74</v>
      </c>
      <c r="I3413" s="2" t="s">
        <v>75</v>
      </c>
      <c r="J3413" s="2" t="s">
        <v>76</v>
      </c>
      <c r="K3413" s="2" t="s">
        <v>77</v>
      </c>
      <c r="L3413" s="2" t="s">
        <v>353</v>
      </c>
      <c r="M3413" s="2" t="s">
        <v>354</v>
      </c>
      <c r="N3413" s="2" t="s">
        <v>2932</v>
      </c>
      <c r="O3413" s="2" t="s">
        <v>100</v>
      </c>
      <c r="P3413" s="2" t="str">
        <f>"2170585638                    "</f>
        <v xml:space="preserve">2170585638                    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6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1</v>
      </c>
      <c r="BI3413" s="2">
        <v>2.7</v>
      </c>
      <c r="BJ3413" s="2">
        <v>1.6</v>
      </c>
      <c r="BK3413" s="2">
        <v>3</v>
      </c>
      <c r="BL3413" s="2">
        <v>62.16</v>
      </c>
      <c r="BM3413" s="2">
        <v>8.6999999999999993</v>
      </c>
      <c r="BN3413" s="2">
        <v>70.86</v>
      </c>
      <c r="BO3413" s="2">
        <v>70.86</v>
      </c>
      <c r="BP3413" s="2"/>
      <c r="BQ3413" s="2" t="s">
        <v>108</v>
      </c>
      <c r="BR3413" s="2" t="s">
        <v>84</v>
      </c>
      <c r="BS3413" s="3">
        <v>42977</v>
      </c>
      <c r="BT3413" s="4">
        <v>0.4548611111111111</v>
      </c>
      <c r="BU3413" s="2" t="s">
        <v>1604</v>
      </c>
      <c r="BV3413" s="2" t="s">
        <v>95</v>
      </c>
      <c r="BW3413" s="2"/>
      <c r="BX3413" s="2"/>
      <c r="BY3413" s="2">
        <v>7983.42</v>
      </c>
      <c r="BZ3413" s="2"/>
      <c r="CA3413" s="2" t="s">
        <v>668</v>
      </c>
      <c r="CB3413" s="2"/>
      <c r="CC3413" s="2" t="s">
        <v>354</v>
      </c>
      <c r="CD3413" s="2">
        <v>3699</v>
      </c>
      <c r="CE3413" s="2" t="s">
        <v>89</v>
      </c>
      <c r="CF3413" s="5">
        <v>42978</v>
      </c>
      <c r="CG3413" s="2"/>
      <c r="CH3413" s="2"/>
      <c r="CI3413" s="2">
        <v>1</v>
      </c>
      <c r="CJ3413" s="2">
        <v>1</v>
      </c>
      <c r="CK3413" s="2">
        <v>21</v>
      </c>
      <c r="CL3413" s="2" t="s">
        <v>86</v>
      </c>
      <c r="CM3413" s="2"/>
    </row>
    <row r="3414" spans="1:91">
      <c r="A3414" s="2" t="s">
        <v>71</v>
      </c>
      <c r="B3414" s="2" t="s">
        <v>72</v>
      </c>
      <c r="C3414" s="2" t="s">
        <v>73</v>
      </c>
      <c r="D3414" s="2"/>
      <c r="E3414" s="2" t="str">
        <f>"FES1162571982"</f>
        <v>FES1162571982</v>
      </c>
      <c r="F3414" s="3">
        <v>42976</v>
      </c>
      <c r="G3414" s="2">
        <v>201802</v>
      </c>
      <c r="H3414" s="2" t="s">
        <v>74</v>
      </c>
      <c r="I3414" s="2" t="s">
        <v>75</v>
      </c>
      <c r="J3414" s="2" t="s">
        <v>76</v>
      </c>
      <c r="K3414" s="2" t="s">
        <v>77</v>
      </c>
      <c r="L3414" s="2" t="s">
        <v>74</v>
      </c>
      <c r="M3414" s="2" t="s">
        <v>75</v>
      </c>
      <c r="N3414" s="2" t="s">
        <v>192</v>
      </c>
      <c r="O3414" s="2" t="s">
        <v>100</v>
      </c>
      <c r="P3414" s="2" t="str">
        <f>"2170585202                    "</f>
        <v xml:space="preserve">2170585202                    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3.13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1</v>
      </c>
      <c r="BI3414" s="2">
        <v>1</v>
      </c>
      <c r="BJ3414" s="2">
        <v>0.2</v>
      </c>
      <c r="BK3414" s="2">
        <v>1</v>
      </c>
      <c r="BL3414" s="2">
        <v>32.380000000000003</v>
      </c>
      <c r="BM3414" s="2">
        <v>4.53</v>
      </c>
      <c r="BN3414" s="2">
        <v>36.909999999999997</v>
      </c>
      <c r="BO3414" s="2">
        <v>36.909999999999997</v>
      </c>
      <c r="BP3414" s="2"/>
      <c r="BQ3414" s="2" t="s">
        <v>288</v>
      </c>
      <c r="BR3414" s="2" t="s">
        <v>84</v>
      </c>
      <c r="BS3414" s="3">
        <v>42977</v>
      </c>
      <c r="BT3414" s="4">
        <v>0.33680555555555558</v>
      </c>
      <c r="BU3414" s="2" t="s">
        <v>3472</v>
      </c>
      <c r="BV3414" s="2" t="s">
        <v>95</v>
      </c>
      <c r="BW3414" s="2"/>
      <c r="BX3414" s="2"/>
      <c r="BY3414" s="2">
        <v>1200</v>
      </c>
      <c r="BZ3414" s="2"/>
      <c r="CA3414" s="2"/>
      <c r="CB3414" s="2"/>
      <c r="CC3414" s="2" t="s">
        <v>75</v>
      </c>
      <c r="CD3414" s="2">
        <v>1665</v>
      </c>
      <c r="CE3414" s="2" t="s">
        <v>104</v>
      </c>
      <c r="CF3414" s="5">
        <v>42978</v>
      </c>
      <c r="CG3414" s="2"/>
      <c r="CH3414" s="2"/>
      <c r="CI3414" s="2">
        <v>1</v>
      </c>
      <c r="CJ3414" s="2">
        <v>1</v>
      </c>
      <c r="CK3414" s="2">
        <v>22</v>
      </c>
      <c r="CL3414" s="2" t="s">
        <v>86</v>
      </c>
      <c r="CM3414" s="2"/>
    </row>
    <row r="3415" spans="1:91">
      <c r="A3415" s="2" t="s">
        <v>71</v>
      </c>
      <c r="B3415" s="2" t="s">
        <v>72</v>
      </c>
      <c r="C3415" s="2" t="s">
        <v>73</v>
      </c>
      <c r="D3415" s="2"/>
      <c r="E3415" s="2" t="str">
        <f>"FES1162572171"</f>
        <v>FES1162572171</v>
      </c>
      <c r="F3415" s="3">
        <v>42976</v>
      </c>
      <c r="G3415" s="2">
        <v>201802</v>
      </c>
      <c r="H3415" s="2" t="s">
        <v>74</v>
      </c>
      <c r="I3415" s="2" t="s">
        <v>75</v>
      </c>
      <c r="J3415" s="2" t="s">
        <v>76</v>
      </c>
      <c r="K3415" s="2" t="s">
        <v>77</v>
      </c>
      <c r="L3415" s="2" t="s">
        <v>144</v>
      </c>
      <c r="M3415" s="2" t="s">
        <v>145</v>
      </c>
      <c r="N3415" s="2" t="s">
        <v>3477</v>
      </c>
      <c r="O3415" s="2" t="s">
        <v>100</v>
      </c>
      <c r="P3415" s="2" t="str">
        <f>"2170587779                    "</f>
        <v xml:space="preserve">2170587779                    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3.13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  <c r="BG3415" s="2">
        <v>0</v>
      </c>
      <c r="BH3415" s="2">
        <v>1</v>
      </c>
      <c r="BI3415" s="2">
        <v>1</v>
      </c>
      <c r="BJ3415" s="2">
        <v>0.2</v>
      </c>
      <c r="BK3415" s="2">
        <v>1</v>
      </c>
      <c r="BL3415" s="2">
        <v>32.380000000000003</v>
      </c>
      <c r="BM3415" s="2">
        <v>4.53</v>
      </c>
      <c r="BN3415" s="2">
        <v>36.909999999999997</v>
      </c>
      <c r="BO3415" s="2">
        <v>36.909999999999997</v>
      </c>
      <c r="BP3415" s="2"/>
      <c r="BQ3415" s="2" t="s">
        <v>3478</v>
      </c>
      <c r="BR3415" s="2" t="s">
        <v>84</v>
      </c>
      <c r="BS3415" s="3">
        <v>42977</v>
      </c>
      <c r="BT3415" s="4">
        <v>0.36180555555555555</v>
      </c>
      <c r="BU3415" s="2" t="s">
        <v>2045</v>
      </c>
      <c r="BV3415" s="2" t="s">
        <v>95</v>
      </c>
      <c r="BW3415" s="2"/>
      <c r="BX3415" s="2"/>
      <c r="BY3415" s="2">
        <v>1200</v>
      </c>
      <c r="BZ3415" s="2"/>
      <c r="CA3415" s="2"/>
      <c r="CB3415" s="2"/>
      <c r="CC3415" s="2" t="s">
        <v>145</v>
      </c>
      <c r="CD3415" s="2">
        <v>2093</v>
      </c>
      <c r="CE3415" s="2" t="s">
        <v>104</v>
      </c>
      <c r="CF3415" s="5">
        <v>42978</v>
      </c>
      <c r="CG3415" s="2"/>
      <c r="CH3415" s="2"/>
      <c r="CI3415" s="2">
        <v>1</v>
      </c>
      <c r="CJ3415" s="2">
        <v>1</v>
      </c>
      <c r="CK3415" s="2">
        <v>22</v>
      </c>
      <c r="CL3415" s="2" t="s">
        <v>86</v>
      </c>
      <c r="CM3415" s="2"/>
    </row>
    <row r="3416" spans="1:91">
      <c r="A3416" s="2" t="s">
        <v>71</v>
      </c>
      <c r="B3416" s="2" t="s">
        <v>72</v>
      </c>
      <c r="C3416" s="2" t="s">
        <v>73</v>
      </c>
      <c r="D3416" s="2"/>
      <c r="E3416" s="2" t="str">
        <f>"FES1162572163"</f>
        <v>FES1162572163</v>
      </c>
      <c r="F3416" s="3">
        <v>42976</v>
      </c>
      <c r="G3416" s="2">
        <v>201802</v>
      </c>
      <c r="H3416" s="2" t="s">
        <v>74</v>
      </c>
      <c r="I3416" s="2" t="s">
        <v>75</v>
      </c>
      <c r="J3416" s="2" t="s">
        <v>76</v>
      </c>
      <c r="K3416" s="2" t="s">
        <v>77</v>
      </c>
      <c r="L3416" s="2" t="s">
        <v>149</v>
      </c>
      <c r="M3416" s="2" t="s">
        <v>150</v>
      </c>
      <c r="N3416" s="2" t="s">
        <v>1268</v>
      </c>
      <c r="O3416" s="2" t="s">
        <v>100</v>
      </c>
      <c r="P3416" s="2" t="str">
        <f>"2170587775                    "</f>
        <v xml:space="preserve">2170587775                    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4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0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2">
        <v>0</v>
      </c>
      <c r="BD3416" s="2">
        <v>0</v>
      </c>
      <c r="BE3416" s="2">
        <v>0</v>
      </c>
      <c r="BF3416" s="2">
        <v>0</v>
      </c>
      <c r="BG3416" s="2">
        <v>0</v>
      </c>
      <c r="BH3416" s="2">
        <v>1</v>
      </c>
      <c r="BI3416" s="2">
        <v>1</v>
      </c>
      <c r="BJ3416" s="2">
        <v>0.2</v>
      </c>
      <c r="BK3416" s="2">
        <v>1</v>
      </c>
      <c r="BL3416" s="2">
        <v>41.44</v>
      </c>
      <c r="BM3416" s="2">
        <v>5.8</v>
      </c>
      <c r="BN3416" s="2">
        <v>47.24</v>
      </c>
      <c r="BO3416" s="2">
        <v>47.24</v>
      </c>
      <c r="BP3416" s="2"/>
      <c r="BQ3416" s="2" t="s">
        <v>83</v>
      </c>
      <c r="BR3416" s="2" t="s">
        <v>84</v>
      </c>
      <c r="BS3416" s="3">
        <v>42977</v>
      </c>
      <c r="BT3416" s="4">
        <v>0.34027777777777773</v>
      </c>
      <c r="BU3416" s="2" t="s">
        <v>1817</v>
      </c>
      <c r="BV3416" s="2" t="s">
        <v>95</v>
      </c>
      <c r="BW3416" s="2"/>
      <c r="BX3416" s="2"/>
      <c r="BY3416" s="2">
        <v>1200</v>
      </c>
      <c r="BZ3416" s="2"/>
      <c r="CA3416" s="2" t="s">
        <v>682</v>
      </c>
      <c r="CB3416" s="2"/>
      <c r="CC3416" s="2" t="s">
        <v>150</v>
      </c>
      <c r="CD3416" s="2">
        <v>4001</v>
      </c>
      <c r="CE3416" s="2" t="s">
        <v>104</v>
      </c>
      <c r="CF3416" s="5">
        <v>42978</v>
      </c>
      <c r="CG3416" s="2"/>
      <c r="CH3416" s="2"/>
      <c r="CI3416" s="2">
        <v>1</v>
      </c>
      <c r="CJ3416" s="2">
        <v>1</v>
      </c>
      <c r="CK3416" s="2">
        <v>21</v>
      </c>
      <c r="CL3416" s="2" t="s">
        <v>86</v>
      </c>
      <c r="CM3416" s="2"/>
    </row>
    <row r="3417" spans="1:91">
      <c r="A3417" s="2" t="s">
        <v>71</v>
      </c>
      <c r="B3417" s="2" t="s">
        <v>72</v>
      </c>
      <c r="C3417" s="2" t="s">
        <v>73</v>
      </c>
      <c r="D3417" s="2"/>
      <c r="E3417" s="2" t="str">
        <f>"FES1162572135"</f>
        <v>FES1162572135</v>
      </c>
      <c r="F3417" s="3">
        <v>42976</v>
      </c>
      <c r="G3417" s="2">
        <v>201802</v>
      </c>
      <c r="H3417" s="2" t="s">
        <v>74</v>
      </c>
      <c r="I3417" s="2" t="s">
        <v>75</v>
      </c>
      <c r="J3417" s="2" t="s">
        <v>76</v>
      </c>
      <c r="K3417" s="2" t="s">
        <v>77</v>
      </c>
      <c r="L3417" s="2" t="s">
        <v>343</v>
      </c>
      <c r="M3417" s="2" t="s">
        <v>344</v>
      </c>
      <c r="N3417" s="2" t="s">
        <v>351</v>
      </c>
      <c r="O3417" s="2" t="s">
        <v>100</v>
      </c>
      <c r="P3417" s="2" t="str">
        <f>"2170587741                    "</f>
        <v xml:space="preserve">2170587741                    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4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0</v>
      </c>
      <c r="BH3417" s="2">
        <v>1</v>
      </c>
      <c r="BI3417" s="2">
        <v>1</v>
      </c>
      <c r="BJ3417" s="2">
        <v>0.2</v>
      </c>
      <c r="BK3417" s="2">
        <v>1</v>
      </c>
      <c r="BL3417" s="2">
        <v>41.44</v>
      </c>
      <c r="BM3417" s="2">
        <v>5.8</v>
      </c>
      <c r="BN3417" s="2">
        <v>47.24</v>
      </c>
      <c r="BO3417" s="2">
        <v>47.24</v>
      </c>
      <c r="BP3417" s="2"/>
      <c r="BQ3417" s="2" t="s">
        <v>108</v>
      </c>
      <c r="BR3417" s="2" t="s">
        <v>84</v>
      </c>
      <c r="BS3417" s="3">
        <v>42977</v>
      </c>
      <c r="BT3417" s="4">
        <v>0.40416666666666662</v>
      </c>
      <c r="BU3417" s="2" t="s">
        <v>352</v>
      </c>
      <c r="BV3417" s="2" t="s">
        <v>95</v>
      </c>
      <c r="BW3417" s="2"/>
      <c r="BX3417" s="2"/>
      <c r="BY3417" s="2">
        <v>1200</v>
      </c>
      <c r="BZ3417" s="2"/>
      <c r="CA3417" s="2" t="s">
        <v>347</v>
      </c>
      <c r="CB3417" s="2"/>
      <c r="CC3417" s="2" t="s">
        <v>344</v>
      </c>
      <c r="CD3417" s="2">
        <v>4133</v>
      </c>
      <c r="CE3417" s="2" t="s">
        <v>104</v>
      </c>
      <c r="CF3417" s="5">
        <v>42978</v>
      </c>
      <c r="CG3417" s="2"/>
      <c r="CH3417" s="2"/>
      <c r="CI3417" s="2">
        <v>1</v>
      </c>
      <c r="CJ3417" s="2">
        <v>1</v>
      </c>
      <c r="CK3417" s="2">
        <v>21</v>
      </c>
      <c r="CL3417" s="2" t="s">
        <v>86</v>
      </c>
      <c r="CM3417" s="2"/>
    </row>
    <row r="3418" spans="1:91">
      <c r="A3418" s="2" t="s">
        <v>71</v>
      </c>
      <c r="B3418" s="2" t="s">
        <v>72</v>
      </c>
      <c r="C3418" s="2" t="s">
        <v>73</v>
      </c>
      <c r="D3418" s="2"/>
      <c r="E3418" s="2" t="str">
        <f>"FES1162572169"</f>
        <v>FES1162572169</v>
      </c>
      <c r="F3418" s="3">
        <v>42976</v>
      </c>
      <c r="G3418" s="2">
        <v>201802</v>
      </c>
      <c r="H3418" s="2" t="s">
        <v>74</v>
      </c>
      <c r="I3418" s="2" t="s">
        <v>75</v>
      </c>
      <c r="J3418" s="2" t="s">
        <v>76</v>
      </c>
      <c r="K3418" s="2" t="s">
        <v>77</v>
      </c>
      <c r="L3418" s="2" t="s">
        <v>174</v>
      </c>
      <c r="M3418" s="2" t="s">
        <v>175</v>
      </c>
      <c r="N3418" s="2" t="s">
        <v>3479</v>
      </c>
      <c r="O3418" s="2" t="s">
        <v>100</v>
      </c>
      <c r="P3418" s="2" t="str">
        <f>"2170587776                    "</f>
        <v xml:space="preserve">2170587776                    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4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1</v>
      </c>
      <c r="BI3418" s="2">
        <v>1.3</v>
      </c>
      <c r="BJ3418" s="2">
        <v>1</v>
      </c>
      <c r="BK3418" s="2">
        <v>1.5</v>
      </c>
      <c r="BL3418" s="2">
        <v>41.44</v>
      </c>
      <c r="BM3418" s="2">
        <v>5.8</v>
      </c>
      <c r="BN3418" s="2">
        <v>47.24</v>
      </c>
      <c r="BO3418" s="2">
        <v>47.24</v>
      </c>
      <c r="BP3418" s="2"/>
      <c r="BQ3418" s="2" t="s">
        <v>1321</v>
      </c>
      <c r="BR3418" s="2" t="s">
        <v>84</v>
      </c>
      <c r="BS3418" s="3">
        <v>42977</v>
      </c>
      <c r="BT3418" s="4">
        <v>0.3833333333333333</v>
      </c>
      <c r="BU3418" s="2" t="s">
        <v>3480</v>
      </c>
      <c r="BV3418" s="2" t="s">
        <v>95</v>
      </c>
      <c r="BW3418" s="2"/>
      <c r="BX3418" s="2"/>
      <c r="BY3418" s="2">
        <v>4977.6000000000004</v>
      </c>
      <c r="BZ3418" s="2"/>
      <c r="CA3418" s="2" t="s">
        <v>1373</v>
      </c>
      <c r="CB3418" s="2"/>
      <c r="CC3418" s="2" t="s">
        <v>175</v>
      </c>
      <c r="CD3418" s="2">
        <v>5200</v>
      </c>
      <c r="CE3418" s="2" t="s">
        <v>89</v>
      </c>
      <c r="CF3418" s="5">
        <v>42978</v>
      </c>
      <c r="CG3418" s="2"/>
      <c r="CH3418" s="2"/>
      <c r="CI3418" s="2">
        <v>1</v>
      </c>
      <c r="CJ3418" s="2">
        <v>1</v>
      </c>
      <c r="CK3418" s="2">
        <v>21</v>
      </c>
      <c r="CL3418" s="2" t="s">
        <v>86</v>
      </c>
      <c r="CM3418" s="2"/>
    </row>
    <row r="3419" spans="1:91">
      <c r="A3419" s="2" t="s">
        <v>71</v>
      </c>
      <c r="B3419" s="2" t="s">
        <v>72</v>
      </c>
      <c r="C3419" s="2" t="s">
        <v>73</v>
      </c>
      <c r="D3419" s="2"/>
      <c r="E3419" s="2" t="str">
        <f>"FES1162572136"</f>
        <v>FES1162572136</v>
      </c>
      <c r="F3419" s="3">
        <v>42976</v>
      </c>
      <c r="G3419" s="2">
        <v>201802</v>
      </c>
      <c r="H3419" s="2" t="s">
        <v>74</v>
      </c>
      <c r="I3419" s="2" t="s">
        <v>75</v>
      </c>
      <c r="J3419" s="2" t="s">
        <v>76</v>
      </c>
      <c r="K3419" s="2" t="s">
        <v>77</v>
      </c>
      <c r="L3419" s="2" t="s">
        <v>237</v>
      </c>
      <c r="M3419" s="2" t="s">
        <v>238</v>
      </c>
      <c r="N3419" s="2" t="s">
        <v>571</v>
      </c>
      <c r="O3419" s="2" t="s">
        <v>100</v>
      </c>
      <c r="P3419" s="2" t="str">
        <f>"2170587744                    "</f>
        <v xml:space="preserve">2170587744                    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4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  <c r="BG3419" s="2">
        <v>0</v>
      </c>
      <c r="BH3419" s="2">
        <v>1</v>
      </c>
      <c r="BI3419" s="2">
        <v>1</v>
      </c>
      <c r="BJ3419" s="2">
        <v>0.2</v>
      </c>
      <c r="BK3419" s="2">
        <v>1</v>
      </c>
      <c r="BL3419" s="2">
        <v>41.44</v>
      </c>
      <c r="BM3419" s="2">
        <v>5.8</v>
      </c>
      <c r="BN3419" s="2">
        <v>47.24</v>
      </c>
      <c r="BO3419" s="2">
        <v>47.24</v>
      </c>
      <c r="BP3419" s="2"/>
      <c r="BQ3419" s="2" t="s">
        <v>108</v>
      </c>
      <c r="BR3419" s="2" t="s">
        <v>84</v>
      </c>
      <c r="BS3419" s="3">
        <v>42977</v>
      </c>
      <c r="BT3419" s="4">
        <v>0.36249999999999999</v>
      </c>
      <c r="BU3419" s="2" t="s">
        <v>573</v>
      </c>
      <c r="BV3419" s="2" t="s">
        <v>95</v>
      </c>
      <c r="BW3419" s="2"/>
      <c r="BX3419" s="2"/>
      <c r="BY3419" s="2">
        <v>1200</v>
      </c>
      <c r="BZ3419" s="2"/>
      <c r="CA3419" s="2" t="s">
        <v>401</v>
      </c>
      <c r="CB3419" s="2"/>
      <c r="CC3419" s="2" t="s">
        <v>238</v>
      </c>
      <c r="CD3419" s="2">
        <v>3610</v>
      </c>
      <c r="CE3419" s="2" t="s">
        <v>104</v>
      </c>
      <c r="CF3419" s="5">
        <v>42978</v>
      </c>
      <c r="CG3419" s="2"/>
      <c r="CH3419" s="2"/>
      <c r="CI3419" s="2">
        <v>1</v>
      </c>
      <c r="CJ3419" s="2">
        <v>1</v>
      </c>
      <c r="CK3419" s="2">
        <v>21</v>
      </c>
      <c r="CL3419" s="2" t="s">
        <v>86</v>
      </c>
      <c r="CM3419" s="2"/>
    </row>
    <row r="3420" spans="1:91">
      <c r="A3420" s="2" t="s">
        <v>71</v>
      </c>
      <c r="B3420" s="2" t="s">
        <v>72</v>
      </c>
      <c r="C3420" s="2" t="s">
        <v>73</v>
      </c>
      <c r="D3420" s="2"/>
      <c r="E3420" s="2" t="str">
        <f>"FES1162572137"</f>
        <v>FES1162572137</v>
      </c>
      <c r="F3420" s="3">
        <v>42976</v>
      </c>
      <c r="G3420" s="2">
        <v>201802</v>
      </c>
      <c r="H3420" s="2" t="s">
        <v>74</v>
      </c>
      <c r="I3420" s="2" t="s">
        <v>75</v>
      </c>
      <c r="J3420" s="2" t="s">
        <v>76</v>
      </c>
      <c r="K3420" s="2" t="s">
        <v>77</v>
      </c>
      <c r="L3420" s="2" t="s">
        <v>343</v>
      </c>
      <c r="M3420" s="2" t="s">
        <v>344</v>
      </c>
      <c r="N3420" s="2" t="s">
        <v>351</v>
      </c>
      <c r="O3420" s="2" t="s">
        <v>100</v>
      </c>
      <c r="P3420" s="2" t="str">
        <f>"2170587745                    "</f>
        <v xml:space="preserve">2170587745                    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4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0</v>
      </c>
      <c r="BH3420" s="2">
        <v>1</v>
      </c>
      <c r="BI3420" s="2">
        <v>1</v>
      </c>
      <c r="BJ3420" s="2">
        <v>0.2</v>
      </c>
      <c r="BK3420" s="2">
        <v>1</v>
      </c>
      <c r="BL3420" s="2">
        <v>41.44</v>
      </c>
      <c r="BM3420" s="2">
        <v>5.8</v>
      </c>
      <c r="BN3420" s="2">
        <v>47.24</v>
      </c>
      <c r="BO3420" s="2">
        <v>47.24</v>
      </c>
      <c r="BP3420" s="2"/>
      <c r="BQ3420" s="2" t="s">
        <v>108</v>
      </c>
      <c r="BR3420" s="2" t="s">
        <v>84</v>
      </c>
      <c r="BS3420" s="3">
        <v>42977</v>
      </c>
      <c r="BT3420" s="4">
        <v>0.40625</v>
      </c>
      <c r="BU3420" s="2" t="s">
        <v>352</v>
      </c>
      <c r="BV3420" s="2" t="s">
        <v>95</v>
      </c>
      <c r="BW3420" s="2"/>
      <c r="BX3420" s="2"/>
      <c r="BY3420" s="2">
        <v>1200</v>
      </c>
      <c r="BZ3420" s="2"/>
      <c r="CA3420" s="2" t="s">
        <v>347</v>
      </c>
      <c r="CB3420" s="2"/>
      <c r="CC3420" s="2" t="s">
        <v>344</v>
      </c>
      <c r="CD3420" s="2">
        <v>4133</v>
      </c>
      <c r="CE3420" s="2" t="s">
        <v>104</v>
      </c>
      <c r="CF3420" s="5">
        <v>42978</v>
      </c>
      <c r="CG3420" s="2"/>
      <c r="CH3420" s="2"/>
      <c r="CI3420" s="2">
        <v>1</v>
      </c>
      <c r="CJ3420" s="2">
        <v>1</v>
      </c>
      <c r="CK3420" s="2">
        <v>21</v>
      </c>
      <c r="CL3420" s="2" t="s">
        <v>86</v>
      </c>
      <c r="CM3420" s="2"/>
    </row>
    <row r="3421" spans="1:91">
      <c r="A3421" s="2" t="s">
        <v>71</v>
      </c>
      <c r="B3421" s="2" t="s">
        <v>72</v>
      </c>
      <c r="C3421" s="2" t="s">
        <v>73</v>
      </c>
      <c r="D3421" s="2"/>
      <c r="E3421" s="2" t="str">
        <f>"FES1162572139"</f>
        <v>FES1162572139</v>
      </c>
      <c r="F3421" s="3">
        <v>42976</v>
      </c>
      <c r="G3421" s="2">
        <v>201802</v>
      </c>
      <c r="H3421" s="2" t="s">
        <v>74</v>
      </c>
      <c r="I3421" s="2" t="s">
        <v>75</v>
      </c>
      <c r="J3421" s="2" t="s">
        <v>76</v>
      </c>
      <c r="K3421" s="2" t="s">
        <v>77</v>
      </c>
      <c r="L3421" s="2" t="s">
        <v>1663</v>
      </c>
      <c r="M3421" s="2" t="s">
        <v>1664</v>
      </c>
      <c r="N3421" s="2" t="s">
        <v>1996</v>
      </c>
      <c r="O3421" s="2" t="s">
        <v>100</v>
      </c>
      <c r="P3421" s="2" t="str">
        <f>"2170587747                    "</f>
        <v xml:space="preserve">2170587747                    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4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1</v>
      </c>
      <c r="BI3421" s="2">
        <v>1</v>
      </c>
      <c r="BJ3421" s="2">
        <v>0.2</v>
      </c>
      <c r="BK3421" s="2">
        <v>1</v>
      </c>
      <c r="BL3421" s="2">
        <v>41.44</v>
      </c>
      <c r="BM3421" s="2">
        <v>5.8</v>
      </c>
      <c r="BN3421" s="2">
        <v>47.24</v>
      </c>
      <c r="BO3421" s="2">
        <v>47.24</v>
      </c>
      <c r="BP3421" s="2"/>
      <c r="BQ3421" s="2" t="s">
        <v>108</v>
      </c>
      <c r="BR3421" s="2" t="s">
        <v>84</v>
      </c>
      <c r="BS3421" s="3">
        <v>42977</v>
      </c>
      <c r="BT3421" s="4">
        <v>0.44513888888888892</v>
      </c>
      <c r="BU3421" s="2" t="s">
        <v>2936</v>
      </c>
      <c r="BV3421" s="2" t="s">
        <v>95</v>
      </c>
      <c r="BW3421" s="2"/>
      <c r="BX3421" s="2"/>
      <c r="BY3421" s="2">
        <v>1200</v>
      </c>
      <c r="BZ3421" s="2"/>
      <c r="CA3421" s="2" t="s">
        <v>1668</v>
      </c>
      <c r="CB3421" s="2"/>
      <c r="CC3421" s="2" t="s">
        <v>1664</v>
      </c>
      <c r="CD3421" s="2">
        <v>3310</v>
      </c>
      <c r="CE3421" s="2" t="s">
        <v>104</v>
      </c>
      <c r="CF3421" s="5">
        <v>42978</v>
      </c>
      <c r="CG3421" s="2"/>
      <c r="CH3421" s="2"/>
      <c r="CI3421" s="2">
        <v>1</v>
      </c>
      <c r="CJ3421" s="2">
        <v>1</v>
      </c>
      <c r="CK3421" s="2">
        <v>21</v>
      </c>
      <c r="CL3421" s="2" t="s">
        <v>86</v>
      </c>
      <c r="CM3421" s="2"/>
    </row>
    <row r="3422" spans="1:91">
      <c r="A3422" s="2" t="s">
        <v>71</v>
      </c>
      <c r="B3422" s="2" t="s">
        <v>72</v>
      </c>
      <c r="C3422" s="2" t="s">
        <v>73</v>
      </c>
      <c r="D3422" s="2"/>
      <c r="E3422" s="2" t="str">
        <f>"FES1162571875"</f>
        <v>FES1162571875</v>
      </c>
      <c r="F3422" s="3">
        <v>42976</v>
      </c>
      <c r="G3422" s="2">
        <v>201802</v>
      </c>
      <c r="H3422" s="2" t="s">
        <v>74</v>
      </c>
      <c r="I3422" s="2" t="s">
        <v>75</v>
      </c>
      <c r="J3422" s="2" t="s">
        <v>76</v>
      </c>
      <c r="K3422" s="2" t="s">
        <v>77</v>
      </c>
      <c r="L3422" s="2" t="s">
        <v>105</v>
      </c>
      <c r="M3422" s="2" t="s">
        <v>106</v>
      </c>
      <c r="N3422" s="2" t="s">
        <v>534</v>
      </c>
      <c r="O3422" s="2" t="s">
        <v>100</v>
      </c>
      <c r="P3422" s="2" t="str">
        <f>"2170587513                    "</f>
        <v xml:space="preserve">2170587513                    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37.020000000000003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  <c r="BG3422" s="2">
        <v>0</v>
      </c>
      <c r="BH3422" s="2">
        <v>1</v>
      </c>
      <c r="BI3422" s="2">
        <v>9.9</v>
      </c>
      <c r="BJ3422" s="2">
        <v>18.100000000000001</v>
      </c>
      <c r="BK3422" s="2">
        <v>18.5</v>
      </c>
      <c r="BL3422" s="2">
        <v>383.34</v>
      </c>
      <c r="BM3422" s="2">
        <v>53.67</v>
      </c>
      <c r="BN3422" s="2">
        <v>437.01</v>
      </c>
      <c r="BO3422" s="2">
        <v>437.01</v>
      </c>
      <c r="BP3422" s="2"/>
      <c r="BQ3422" s="2" t="s">
        <v>2535</v>
      </c>
      <c r="BR3422" s="2" t="s">
        <v>84</v>
      </c>
      <c r="BS3422" s="3">
        <v>42977</v>
      </c>
      <c r="BT3422" s="4">
        <v>0.3666666666666667</v>
      </c>
      <c r="BU3422" s="2" t="s">
        <v>2398</v>
      </c>
      <c r="BV3422" s="2" t="s">
        <v>95</v>
      </c>
      <c r="BW3422" s="2"/>
      <c r="BX3422" s="2"/>
      <c r="BY3422" s="2">
        <v>90748.35</v>
      </c>
      <c r="BZ3422" s="2"/>
      <c r="CA3422" s="2" t="s">
        <v>112</v>
      </c>
      <c r="CB3422" s="2"/>
      <c r="CC3422" s="2" t="s">
        <v>106</v>
      </c>
      <c r="CD3422" s="2">
        <v>7405</v>
      </c>
      <c r="CE3422" s="2" t="s">
        <v>89</v>
      </c>
      <c r="CF3422" s="5">
        <v>42978</v>
      </c>
      <c r="CG3422" s="2"/>
      <c r="CH3422" s="2"/>
      <c r="CI3422" s="2">
        <v>1</v>
      </c>
      <c r="CJ3422" s="2">
        <v>1</v>
      </c>
      <c r="CK3422" s="2">
        <v>21</v>
      </c>
      <c r="CL3422" s="2" t="s">
        <v>86</v>
      </c>
      <c r="CM3422" s="2"/>
    </row>
    <row r="3423" spans="1:91">
      <c r="A3423" s="2" t="s">
        <v>71</v>
      </c>
      <c r="B3423" s="2" t="s">
        <v>72</v>
      </c>
      <c r="C3423" s="2" t="s">
        <v>73</v>
      </c>
      <c r="D3423" s="2"/>
      <c r="E3423" s="2" t="str">
        <f>"FES1162572172"</f>
        <v>FES1162572172</v>
      </c>
      <c r="F3423" s="3">
        <v>42976</v>
      </c>
      <c r="G3423" s="2">
        <v>201802</v>
      </c>
      <c r="H3423" s="2" t="s">
        <v>74</v>
      </c>
      <c r="I3423" s="2" t="s">
        <v>75</v>
      </c>
      <c r="J3423" s="2" t="s">
        <v>76</v>
      </c>
      <c r="K3423" s="2" t="s">
        <v>77</v>
      </c>
      <c r="L3423" s="2" t="s">
        <v>105</v>
      </c>
      <c r="M3423" s="2" t="s">
        <v>106</v>
      </c>
      <c r="N3423" s="2" t="s">
        <v>3481</v>
      </c>
      <c r="O3423" s="2" t="s">
        <v>100</v>
      </c>
      <c r="P3423" s="2" t="str">
        <f>"2170587790                    "</f>
        <v xml:space="preserve">2170587790                    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4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0</v>
      </c>
      <c r="BD3423" s="2">
        <v>0</v>
      </c>
      <c r="BE3423" s="2">
        <v>0</v>
      </c>
      <c r="BF3423" s="2">
        <v>0</v>
      </c>
      <c r="BG3423" s="2">
        <v>0</v>
      </c>
      <c r="BH3423" s="2">
        <v>1</v>
      </c>
      <c r="BI3423" s="2">
        <v>1</v>
      </c>
      <c r="BJ3423" s="2">
        <v>0.2</v>
      </c>
      <c r="BK3423" s="2">
        <v>1</v>
      </c>
      <c r="BL3423" s="2">
        <v>41.44</v>
      </c>
      <c r="BM3423" s="2">
        <v>5.8</v>
      </c>
      <c r="BN3423" s="2">
        <v>47.24</v>
      </c>
      <c r="BO3423" s="2">
        <v>47.24</v>
      </c>
      <c r="BP3423" s="2"/>
      <c r="BQ3423" s="2" t="s">
        <v>3482</v>
      </c>
      <c r="BR3423" s="2" t="s">
        <v>84</v>
      </c>
      <c r="BS3423" s="3">
        <v>42977</v>
      </c>
      <c r="BT3423" s="4">
        <v>0.39513888888888887</v>
      </c>
      <c r="BU3423" s="2" t="s">
        <v>3483</v>
      </c>
      <c r="BV3423" s="2" t="s">
        <v>95</v>
      </c>
      <c r="BW3423" s="2"/>
      <c r="BX3423" s="2"/>
      <c r="BY3423" s="2">
        <v>1200</v>
      </c>
      <c r="BZ3423" s="2"/>
      <c r="CA3423" s="2" t="s">
        <v>748</v>
      </c>
      <c r="CB3423" s="2"/>
      <c r="CC3423" s="2" t="s">
        <v>106</v>
      </c>
      <c r="CD3423" s="2">
        <v>7441</v>
      </c>
      <c r="CE3423" s="2" t="s">
        <v>104</v>
      </c>
      <c r="CF3423" s="5">
        <v>42978</v>
      </c>
      <c r="CG3423" s="2"/>
      <c r="CH3423" s="2"/>
      <c r="CI3423" s="2">
        <v>1</v>
      </c>
      <c r="CJ3423" s="2">
        <v>1</v>
      </c>
      <c r="CK3423" s="2">
        <v>21</v>
      </c>
      <c r="CL3423" s="2" t="s">
        <v>86</v>
      </c>
      <c r="CM3423" s="2"/>
    </row>
    <row r="3424" spans="1:91">
      <c r="A3424" s="2" t="s">
        <v>71</v>
      </c>
      <c r="B3424" s="2" t="s">
        <v>72</v>
      </c>
      <c r="C3424" s="2" t="s">
        <v>73</v>
      </c>
      <c r="D3424" s="2"/>
      <c r="E3424" s="2" t="str">
        <f>"FES1162572166"</f>
        <v>FES1162572166</v>
      </c>
      <c r="F3424" s="3">
        <v>42976</v>
      </c>
      <c r="G3424" s="2">
        <v>201802</v>
      </c>
      <c r="H3424" s="2" t="s">
        <v>74</v>
      </c>
      <c r="I3424" s="2" t="s">
        <v>75</v>
      </c>
      <c r="J3424" s="2" t="s">
        <v>76</v>
      </c>
      <c r="K3424" s="2" t="s">
        <v>77</v>
      </c>
      <c r="L3424" s="2" t="s">
        <v>97</v>
      </c>
      <c r="M3424" s="2" t="s">
        <v>98</v>
      </c>
      <c r="N3424" s="2" t="s">
        <v>1044</v>
      </c>
      <c r="O3424" s="2" t="s">
        <v>100</v>
      </c>
      <c r="P3424" s="2" t="str">
        <f>"2170587785                    "</f>
        <v xml:space="preserve">2170587785                    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4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1</v>
      </c>
      <c r="BI3424" s="2">
        <v>1</v>
      </c>
      <c r="BJ3424" s="2">
        <v>0.2</v>
      </c>
      <c r="BK3424" s="2">
        <v>1</v>
      </c>
      <c r="BL3424" s="2">
        <v>41.44</v>
      </c>
      <c r="BM3424" s="2">
        <v>5.8</v>
      </c>
      <c r="BN3424" s="2">
        <v>47.24</v>
      </c>
      <c r="BO3424" s="2">
        <v>47.24</v>
      </c>
      <c r="BP3424" s="2"/>
      <c r="BQ3424" s="2" t="s">
        <v>1045</v>
      </c>
      <c r="BR3424" s="2" t="s">
        <v>84</v>
      </c>
      <c r="BS3424" s="3">
        <v>42977</v>
      </c>
      <c r="BT3424" s="4">
        <v>0.39166666666666666</v>
      </c>
      <c r="BU3424" s="2" t="s">
        <v>3484</v>
      </c>
      <c r="BV3424" s="2" t="s">
        <v>95</v>
      </c>
      <c r="BW3424" s="2"/>
      <c r="BX3424" s="2"/>
      <c r="BY3424" s="2">
        <v>1200</v>
      </c>
      <c r="BZ3424" s="2"/>
      <c r="CA3424" s="2" t="s">
        <v>1047</v>
      </c>
      <c r="CB3424" s="2"/>
      <c r="CC3424" s="2" t="s">
        <v>98</v>
      </c>
      <c r="CD3424" s="2">
        <v>6045</v>
      </c>
      <c r="CE3424" s="2" t="s">
        <v>104</v>
      </c>
      <c r="CF3424" s="5">
        <v>42978</v>
      </c>
      <c r="CG3424" s="2"/>
      <c r="CH3424" s="2"/>
      <c r="CI3424" s="2">
        <v>1</v>
      </c>
      <c r="CJ3424" s="2">
        <v>1</v>
      </c>
      <c r="CK3424" s="2">
        <v>21</v>
      </c>
      <c r="CL3424" s="2" t="s">
        <v>86</v>
      </c>
      <c r="CM3424" s="2"/>
    </row>
    <row r="3425" spans="1:91">
      <c r="A3425" s="2" t="s">
        <v>71</v>
      </c>
      <c r="B3425" s="2" t="s">
        <v>72</v>
      </c>
      <c r="C3425" s="2" t="s">
        <v>73</v>
      </c>
      <c r="D3425" s="2"/>
      <c r="E3425" s="2" t="str">
        <f>"FES1162572149"</f>
        <v>FES1162572149</v>
      </c>
      <c r="F3425" s="3">
        <v>42976</v>
      </c>
      <c r="G3425" s="2">
        <v>201802</v>
      </c>
      <c r="H3425" s="2" t="s">
        <v>74</v>
      </c>
      <c r="I3425" s="2" t="s">
        <v>75</v>
      </c>
      <c r="J3425" s="2" t="s">
        <v>76</v>
      </c>
      <c r="K3425" s="2" t="s">
        <v>77</v>
      </c>
      <c r="L3425" s="2" t="s">
        <v>105</v>
      </c>
      <c r="M3425" s="2" t="s">
        <v>106</v>
      </c>
      <c r="N3425" s="2" t="s">
        <v>827</v>
      </c>
      <c r="O3425" s="2" t="s">
        <v>100</v>
      </c>
      <c r="P3425" s="2" t="str">
        <f>"2170587492                    "</f>
        <v xml:space="preserve">2170587492                    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7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0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1</v>
      </c>
      <c r="BI3425" s="2">
        <v>3.5</v>
      </c>
      <c r="BJ3425" s="2">
        <v>1.5</v>
      </c>
      <c r="BK3425" s="2">
        <v>3.5</v>
      </c>
      <c r="BL3425" s="2">
        <v>72.52</v>
      </c>
      <c r="BM3425" s="2">
        <v>10.15</v>
      </c>
      <c r="BN3425" s="2">
        <v>82.67</v>
      </c>
      <c r="BO3425" s="2">
        <v>82.67</v>
      </c>
      <c r="BP3425" s="2"/>
      <c r="BQ3425" s="2" t="s">
        <v>288</v>
      </c>
      <c r="BR3425" s="2" t="s">
        <v>84</v>
      </c>
      <c r="BS3425" s="3">
        <v>42977</v>
      </c>
      <c r="BT3425" s="4">
        <v>0.40972222222222227</v>
      </c>
      <c r="BU3425" s="2" t="s">
        <v>1337</v>
      </c>
      <c r="BV3425" s="2" t="s">
        <v>95</v>
      </c>
      <c r="BW3425" s="2"/>
      <c r="BX3425" s="2"/>
      <c r="BY3425" s="2">
        <v>7460.83</v>
      </c>
      <c r="BZ3425" s="2"/>
      <c r="CA3425" s="2"/>
      <c r="CB3425" s="2"/>
      <c r="CC3425" s="2" t="s">
        <v>106</v>
      </c>
      <c r="CD3425" s="2">
        <v>7560</v>
      </c>
      <c r="CE3425" s="2" t="s">
        <v>89</v>
      </c>
      <c r="CF3425" s="5">
        <v>42978</v>
      </c>
      <c r="CG3425" s="2"/>
      <c r="CH3425" s="2"/>
      <c r="CI3425" s="2">
        <v>1</v>
      </c>
      <c r="CJ3425" s="2">
        <v>1</v>
      </c>
      <c r="CK3425" s="2">
        <v>21</v>
      </c>
      <c r="CL3425" s="2" t="s">
        <v>86</v>
      </c>
      <c r="CM3425" s="2"/>
    </row>
    <row r="3426" spans="1:91">
      <c r="A3426" s="2" t="s">
        <v>71</v>
      </c>
      <c r="B3426" s="2" t="s">
        <v>72</v>
      </c>
      <c r="C3426" s="2" t="s">
        <v>73</v>
      </c>
      <c r="D3426" s="2"/>
      <c r="E3426" s="2" t="str">
        <f>"FES1162572112"</f>
        <v>FES1162572112</v>
      </c>
      <c r="F3426" s="3">
        <v>42976</v>
      </c>
      <c r="G3426" s="2">
        <v>201802</v>
      </c>
      <c r="H3426" s="2" t="s">
        <v>74</v>
      </c>
      <c r="I3426" s="2" t="s">
        <v>75</v>
      </c>
      <c r="J3426" s="2" t="s">
        <v>76</v>
      </c>
      <c r="K3426" s="2" t="s">
        <v>77</v>
      </c>
      <c r="L3426" s="2" t="s">
        <v>339</v>
      </c>
      <c r="M3426" s="2" t="s">
        <v>340</v>
      </c>
      <c r="N3426" s="2" t="s">
        <v>2948</v>
      </c>
      <c r="O3426" s="2" t="s">
        <v>100</v>
      </c>
      <c r="P3426" s="2" t="str">
        <f>"2170587529                    "</f>
        <v xml:space="preserve">2170587529                    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8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0</v>
      </c>
      <c r="BH3426" s="2">
        <v>1</v>
      </c>
      <c r="BI3426" s="2">
        <v>3.6</v>
      </c>
      <c r="BJ3426" s="2">
        <v>1.4</v>
      </c>
      <c r="BK3426" s="2">
        <v>4</v>
      </c>
      <c r="BL3426" s="2">
        <v>82.88</v>
      </c>
      <c r="BM3426" s="2">
        <v>11.6</v>
      </c>
      <c r="BN3426" s="2">
        <v>94.48</v>
      </c>
      <c r="BO3426" s="2">
        <v>94.48</v>
      </c>
      <c r="BP3426" s="2"/>
      <c r="BQ3426" s="2" t="s">
        <v>83</v>
      </c>
      <c r="BR3426" s="2" t="s">
        <v>84</v>
      </c>
      <c r="BS3426" s="3">
        <v>42977</v>
      </c>
      <c r="BT3426" s="4">
        <v>0.3840277777777778</v>
      </c>
      <c r="BU3426" s="2" t="s">
        <v>3485</v>
      </c>
      <c r="BV3426" s="2" t="s">
        <v>95</v>
      </c>
      <c r="BW3426" s="2"/>
      <c r="BX3426" s="2"/>
      <c r="BY3426" s="2">
        <v>6950.34</v>
      </c>
      <c r="BZ3426" s="2"/>
      <c r="CA3426" s="2" t="s">
        <v>2236</v>
      </c>
      <c r="CB3426" s="2"/>
      <c r="CC3426" s="2" t="s">
        <v>340</v>
      </c>
      <c r="CD3426" s="2">
        <v>1947</v>
      </c>
      <c r="CE3426" s="2" t="s">
        <v>89</v>
      </c>
      <c r="CF3426" s="5">
        <v>42978</v>
      </c>
      <c r="CG3426" s="2"/>
      <c r="CH3426" s="2"/>
      <c r="CI3426" s="2">
        <v>1</v>
      </c>
      <c r="CJ3426" s="2">
        <v>1</v>
      </c>
      <c r="CK3426" s="2">
        <v>21</v>
      </c>
      <c r="CL3426" s="2" t="s">
        <v>86</v>
      </c>
      <c r="CM3426" s="2"/>
    </row>
    <row r="3427" spans="1:91">
      <c r="A3427" s="2" t="s">
        <v>71</v>
      </c>
      <c r="B3427" s="2" t="s">
        <v>72</v>
      </c>
      <c r="C3427" s="2" t="s">
        <v>73</v>
      </c>
      <c r="D3427" s="2"/>
      <c r="E3427" s="2" t="str">
        <f>"FES1162572162"</f>
        <v>FES1162572162</v>
      </c>
      <c r="F3427" s="3">
        <v>42976</v>
      </c>
      <c r="G3427" s="2">
        <v>201802</v>
      </c>
      <c r="H3427" s="2" t="s">
        <v>74</v>
      </c>
      <c r="I3427" s="2" t="s">
        <v>75</v>
      </c>
      <c r="J3427" s="2" t="s">
        <v>76</v>
      </c>
      <c r="K3427" s="2" t="s">
        <v>77</v>
      </c>
      <c r="L3427" s="2" t="s">
        <v>268</v>
      </c>
      <c r="M3427" s="2" t="s">
        <v>269</v>
      </c>
      <c r="N3427" s="2" t="s">
        <v>982</v>
      </c>
      <c r="O3427" s="2" t="s">
        <v>100</v>
      </c>
      <c r="P3427" s="2" t="str">
        <f>"2170587771                    "</f>
        <v xml:space="preserve">2170587771                    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4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0</v>
      </c>
      <c r="BH3427" s="2">
        <v>1</v>
      </c>
      <c r="BI3427" s="2">
        <v>1</v>
      </c>
      <c r="BJ3427" s="2">
        <v>0.2</v>
      </c>
      <c r="BK3427" s="2">
        <v>1</v>
      </c>
      <c r="BL3427" s="2">
        <v>41.44</v>
      </c>
      <c r="BM3427" s="2">
        <v>5.8</v>
      </c>
      <c r="BN3427" s="2">
        <v>47.24</v>
      </c>
      <c r="BO3427" s="2">
        <v>47.24</v>
      </c>
      <c r="BP3427" s="2"/>
      <c r="BQ3427" s="2" t="s">
        <v>108</v>
      </c>
      <c r="BR3427" s="2" t="s">
        <v>84</v>
      </c>
      <c r="BS3427" s="3">
        <v>42977</v>
      </c>
      <c r="BT3427" s="4">
        <v>0.4236111111111111</v>
      </c>
      <c r="BU3427" s="2" t="s">
        <v>3486</v>
      </c>
      <c r="BV3427" s="2" t="s">
        <v>95</v>
      </c>
      <c r="BW3427" s="2"/>
      <c r="BX3427" s="2"/>
      <c r="BY3427" s="2">
        <v>1200</v>
      </c>
      <c r="BZ3427" s="2"/>
      <c r="CA3427" s="2"/>
      <c r="CB3427" s="2"/>
      <c r="CC3427" s="2" t="s">
        <v>269</v>
      </c>
      <c r="CD3427" s="2">
        <v>200</v>
      </c>
      <c r="CE3427" s="2" t="s">
        <v>104</v>
      </c>
      <c r="CF3427" s="5">
        <v>42978</v>
      </c>
      <c r="CG3427" s="2"/>
      <c r="CH3427" s="2"/>
      <c r="CI3427" s="2">
        <v>1</v>
      </c>
      <c r="CJ3427" s="2">
        <v>1</v>
      </c>
      <c r="CK3427" s="2">
        <v>21</v>
      </c>
      <c r="CL3427" s="2" t="s">
        <v>86</v>
      </c>
      <c r="CM3427" s="2"/>
    </row>
    <row r="3428" spans="1:91">
      <c r="A3428" s="2" t="s">
        <v>71</v>
      </c>
      <c r="B3428" s="2" t="s">
        <v>72</v>
      </c>
      <c r="C3428" s="2" t="s">
        <v>73</v>
      </c>
      <c r="D3428" s="2"/>
      <c r="E3428" s="2" t="str">
        <f>"FES1162572144"</f>
        <v>FES1162572144</v>
      </c>
      <c r="F3428" s="3">
        <v>42976</v>
      </c>
      <c r="G3428" s="2">
        <v>201802</v>
      </c>
      <c r="H3428" s="2" t="s">
        <v>74</v>
      </c>
      <c r="I3428" s="2" t="s">
        <v>75</v>
      </c>
      <c r="J3428" s="2" t="s">
        <v>76</v>
      </c>
      <c r="K3428" s="2" t="s">
        <v>77</v>
      </c>
      <c r="L3428" s="2" t="s">
        <v>206</v>
      </c>
      <c r="M3428" s="2" t="s">
        <v>207</v>
      </c>
      <c r="N3428" s="2" t="s">
        <v>3487</v>
      </c>
      <c r="O3428" s="2" t="s">
        <v>100</v>
      </c>
      <c r="P3428" s="2" t="str">
        <f>"2170587756                    "</f>
        <v xml:space="preserve">2170587756                    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5.63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0</v>
      </c>
      <c r="BH3428" s="2">
        <v>1</v>
      </c>
      <c r="BI3428" s="2">
        <v>1</v>
      </c>
      <c r="BJ3428" s="2">
        <v>0.2</v>
      </c>
      <c r="BK3428" s="2">
        <v>1</v>
      </c>
      <c r="BL3428" s="2">
        <v>58.28</v>
      </c>
      <c r="BM3428" s="2">
        <v>8.16</v>
      </c>
      <c r="BN3428" s="2">
        <v>66.44</v>
      </c>
      <c r="BO3428" s="2">
        <v>66.44</v>
      </c>
      <c r="BP3428" s="2"/>
      <c r="BQ3428" s="2"/>
      <c r="BR3428" s="2" t="s">
        <v>84</v>
      </c>
      <c r="BS3428" s="3">
        <v>42977</v>
      </c>
      <c r="BT3428" s="4">
        <v>0.47013888888888888</v>
      </c>
      <c r="BU3428" s="2" t="s">
        <v>3488</v>
      </c>
      <c r="BV3428" s="2" t="s">
        <v>95</v>
      </c>
      <c r="BW3428" s="2"/>
      <c r="BX3428" s="2"/>
      <c r="BY3428" s="2">
        <v>1200</v>
      </c>
      <c r="BZ3428" s="2"/>
      <c r="CA3428" s="2" t="s">
        <v>640</v>
      </c>
      <c r="CB3428" s="2"/>
      <c r="CC3428" s="2" t="s">
        <v>207</v>
      </c>
      <c r="CD3428" s="2">
        <v>250</v>
      </c>
      <c r="CE3428" s="2" t="s">
        <v>104</v>
      </c>
      <c r="CF3428" s="5">
        <v>42977</v>
      </c>
      <c r="CG3428" s="2"/>
      <c r="CH3428" s="2"/>
      <c r="CI3428" s="2">
        <v>1</v>
      </c>
      <c r="CJ3428" s="2">
        <v>1</v>
      </c>
      <c r="CK3428" s="2">
        <v>24</v>
      </c>
      <c r="CL3428" s="2" t="s">
        <v>86</v>
      </c>
      <c r="CM3428" s="2"/>
    </row>
    <row r="3429" spans="1:91">
      <c r="A3429" s="2" t="s">
        <v>71</v>
      </c>
      <c r="B3429" s="2" t="s">
        <v>72</v>
      </c>
      <c r="C3429" s="2" t="s">
        <v>73</v>
      </c>
      <c r="D3429" s="2"/>
      <c r="E3429" s="2" t="str">
        <f>"FES1162572141"</f>
        <v>FES1162572141</v>
      </c>
      <c r="F3429" s="3">
        <v>42976</v>
      </c>
      <c r="G3429" s="2">
        <v>201802</v>
      </c>
      <c r="H3429" s="2" t="s">
        <v>74</v>
      </c>
      <c r="I3429" s="2" t="s">
        <v>75</v>
      </c>
      <c r="J3429" s="2" t="s">
        <v>76</v>
      </c>
      <c r="K3429" s="2" t="s">
        <v>77</v>
      </c>
      <c r="L3429" s="2" t="s">
        <v>144</v>
      </c>
      <c r="M3429" s="2" t="s">
        <v>145</v>
      </c>
      <c r="N3429" s="2" t="s">
        <v>146</v>
      </c>
      <c r="O3429" s="2" t="s">
        <v>100</v>
      </c>
      <c r="P3429" s="2" t="str">
        <f>"2170580390                    "</f>
        <v xml:space="preserve">2170580390                    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3.13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0</v>
      </c>
      <c r="BH3429" s="2">
        <v>1</v>
      </c>
      <c r="BI3429" s="2">
        <v>2.6</v>
      </c>
      <c r="BJ3429" s="2">
        <v>1.6</v>
      </c>
      <c r="BK3429" s="2">
        <v>3</v>
      </c>
      <c r="BL3429" s="2">
        <v>32.380000000000003</v>
      </c>
      <c r="BM3429" s="2">
        <v>4.53</v>
      </c>
      <c r="BN3429" s="2">
        <v>36.909999999999997</v>
      </c>
      <c r="BO3429" s="2">
        <v>36.909999999999997</v>
      </c>
      <c r="BP3429" s="2"/>
      <c r="BQ3429" s="2" t="s">
        <v>83</v>
      </c>
      <c r="BR3429" s="2" t="s">
        <v>84</v>
      </c>
      <c r="BS3429" s="3">
        <v>42977</v>
      </c>
      <c r="BT3429" s="4">
        <v>0.3923611111111111</v>
      </c>
      <c r="BU3429" s="2" t="s">
        <v>1176</v>
      </c>
      <c r="BV3429" s="2" t="s">
        <v>95</v>
      </c>
      <c r="BW3429" s="2"/>
      <c r="BX3429" s="2"/>
      <c r="BY3429" s="2">
        <v>8105.02</v>
      </c>
      <c r="BZ3429" s="2"/>
      <c r="CA3429" s="2" t="s">
        <v>729</v>
      </c>
      <c r="CB3429" s="2"/>
      <c r="CC3429" s="2" t="s">
        <v>145</v>
      </c>
      <c r="CD3429" s="2">
        <v>2094</v>
      </c>
      <c r="CE3429" s="2" t="s">
        <v>89</v>
      </c>
      <c r="CF3429" s="5">
        <v>42978</v>
      </c>
      <c r="CG3429" s="2"/>
      <c r="CH3429" s="2"/>
      <c r="CI3429" s="2">
        <v>1</v>
      </c>
      <c r="CJ3429" s="2">
        <v>1</v>
      </c>
      <c r="CK3429" s="2">
        <v>22</v>
      </c>
      <c r="CL3429" s="2" t="s">
        <v>86</v>
      </c>
      <c r="CM3429" s="2"/>
    </row>
    <row r="3430" spans="1:91">
      <c r="A3430" s="2" t="s">
        <v>71</v>
      </c>
      <c r="B3430" s="2" t="s">
        <v>72</v>
      </c>
      <c r="C3430" s="2" t="s">
        <v>73</v>
      </c>
      <c r="D3430" s="2"/>
      <c r="E3430" s="2" t="str">
        <f>"FES1162572130"</f>
        <v>FES1162572130</v>
      </c>
      <c r="F3430" s="3">
        <v>42976</v>
      </c>
      <c r="G3430" s="2">
        <v>201802</v>
      </c>
      <c r="H3430" s="2" t="s">
        <v>74</v>
      </c>
      <c r="I3430" s="2" t="s">
        <v>75</v>
      </c>
      <c r="J3430" s="2" t="s">
        <v>76</v>
      </c>
      <c r="K3430" s="2" t="s">
        <v>77</v>
      </c>
      <c r="L3430" s="2" t="s">
        <v>593</v>
      </c>
      <c r="M3430" s="2" t="s">
        <v>594</v>
      </c>
      <c r="N3430" s="2" t="s">
        <v>3489</v>
      </c>
      <c r="O3430" s="2" t="s">
        <v>100</v>
      </c>
      <c r="P3430" s="2" t="str">
        <f>"2170583764                    "</f>
        <v xml:space="preserve">2170583764                    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3.13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0</v>
      </c>
      <c r="BH3430" s="2">
        <v>1</v>
      </c>
      <c r="BI3430" s="2">
        <v>3.1</v>
      </c>
      <c r="BJ3430" s="2">
        <v>3.4</v>
      </c>
      <c r="BK3430" s="2">
        <v>4</v>
      </c>
      <c r="BL3430" s="2">
        <v>32.380000000000003</v>
      </c>
      <c r="BM3430" s="2">
        <v>4.53</v>
      </c>
      <c r="BN3430" s="2">
        <v>36.909999999999997</v>
      </c>
      <c r="BO3430" s="2">
        <v>36.909999999999997</v>
      </c>
      <c r="BP3430" s="2"/>
      <c r="BQ3430" s="2" t="s">
        <v>108</v>
      </c>
      <c r="BR3430" s="2" t="s">
        <v>84</v>
      </c>
      <c r="BS3430" s="3">
        <v>42977</v>
      </c>
      <c r="BT3430" s="4">
        <v>0.41597222222222219</v>
      </c>
      <c r="BU3430" s="2" t="s">
        <v>3490</v>
      </c>
      <c r="BV3430" s="2" t="s">
        <v>95</v>
      </c>
      <c r="BW3430" s="2"/>
      <c r="BX3430" s="2"/>
      <c r="BY3430" s="2">
        <v>16927.830000000002</v>
      </c>
      <c r="BZ3430" s="2"/>
      <c r="CA3430" s="2" t="s">
        <v>570</v>
      </c>
      <c r="CB3430" s="2"/>
      <c r="CC3430" s="2" t="s">
        <v>594</v>
      </c>
      <c r="CD3430" s="2">
        <v>1685</v>
      </c>
      <c r="CE3430" s="2" t="s">
        <v>89</v>
      </c>
      <c r="CF3430" s="5">
        <v>42978</v>
      </c>
      <c r="CG3430" s="2"/>
      <c r="CH3430" s="2"/>
      <c r="CI3430" s="2">
        <v>1</v>
      </c>
      <c r="CJ3430" s="2">
        <v>1</v>
      </c>
      <c r="CK3430" s="2">
        <v>22</v>
      </c>
      <c r="CL3430" s="2" t="s">
        <v>86</v>
      </c>
      <c r="CM3430" s="2"/>
    </row>
    <row r="3431" spans="1:91">
      <c r="A3431" s="2" t="s">
        <v>71</v>
      </c>
      <c r="B3431" s="2" t="s">
        <v>72</v>
      </c>
      <c r="C3431" s="2" t="s">
        <v>73</v>
      </c>
      <c r="D3431" s="2"/>
      <c r="E3431" s="2" t="str">
        <f>"FES1162571873"</f>
        <v>FES1162571873</v>
      </c>
      <c r="F3431" s="3">
        <v>42976</v>
      </c>
      <c r="G3431" s="2">
        <v>201802</v>
      </c>
      <c r="H3431" s="2" t="s">
        <v>74</v>
      </c>
      <c r="I3431" s="2" t="s">
        <v>75</v>
      </c>
      <c r="J3431" s="2" t="s">
        <v>76</v>
      </c>
      <c r="K3431" s="2" t="s">
        <v>77</v>
      </c>
      <c r="L3431" s="2" t="s">
        <v>149</v>
      </c>
      <c r="M3431" s="2" t="s">
        <v>150</v>
      </c>
      <c r="N3431" s="2" t="s">
        <v>1356</v>
      </c>
      <c r="O3431" s="2" t="s">
        <v>100</v>
      </c>
      <c r="P3431" s="2" t="str">
        <f>"2170587520                    "</f>
        <v xml:space="preserve">2170587520                    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61.04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0</v>
      </c>
      <c r="BH3431" s="2">
        <v>1</v>
      </c>
      <c r="BI3431" s="2">
        <v>13.9</v>
      </c>
      <c r="BJ3431" s="2">
        <v>30.1</v>
      </c>
      <c r="BK3431" s="2">
        <v>30.5</v>
      </c>
      <c r="BL3431" s="2">
        <v>632</v>
      </c>
      <c r="BM3431" s="2">
        <v>88.48</v>
      </c>
      <c r="BN3431" s="2">
        <v>720.48</v>
      </c>
      <c r="BO3431" s="2">
        <v>720.48</v>
      </c>
      <c r="BP3431" s="2"/>
      <c r="BQ3431" s="2" t="s">
        <v>108</v>
      </c>
      <c r="BR3431" s="2" t="s">
        <v>84</v>
      </c>
      <c r="BS3431" s="3">
        <v>42977</v>
      </c>
      <c r="BT3431" s="4">
        <v>0.4375</v>
      </c>
      <c r="BU3431" s="2" t="s">
        <v>3491</v>
      </c>
      <c r="BV3431" s="2" t="s">
        <v>95</v>
      </c>
      <c r="BW3431" s="2"/>
      <c r="BX3431" s="2"/>
      <c r="BY3431" s="2">
        <v>150484.79</v>
      </c>
      <c r="BZ3431" s="2"/>
      <c r="CA3431" s="2" t="s">
        <v>148</v>
      </c>
      <c r="CB3431" s="2"/>
      <c r="CC3431" s="2" t="s">
        <v>150</v>
      </c>
      <c r="CD3431" s="2">
        <v>4051</v>
      </c>
      <c r="CE3431" s="2" t="s">
        <v>89</v>
      </c>
      <c r="CF3431" s="5">
        <v>42978</v>
      </c>
      <c r="CG3431" s="2"/>
      <c r="CH3431" s="2"/>
      <c r="CI3431" s="2">
        <v>1</v>
      </c>
      <c r="CJ3431" s="2">
        <v>1</v>
      </c>
      <c r="CK3431" s="2">
        <v>21</v>
      </c>
      <c r="CL3431" s="2" t="s">
        <v>86</v>
      </c>
      <c r="CM3431" s="2"/>
    </row>
    <row r="3432" spans="1:91">
      <c r="A3432" s="2" t="s">
        <v>71</v>
      </c>
      <c r="B3432" s="2" t="s">
        <v>72</v>
      </c>
      <c r="C3432" s="2" t="s">
        <v>73</v>
      </c>
      <c r="D3432" s="2"/>
      <c r="E3432" s="2" t="str">
        <f>"FES1162572140"</f>
        <v>FES1162572140</v>
      </c>
      <c r="F3432" s="3">
        <v>42976</v>
      </c>
      <c r="G3432" s="2">
        <v>201802</v>
      </c>
      <c r="H3432" s="2" t="s">
        <v>74</v>
      </c>
      <c r="I3432" s="2" t="s">
        <v>75</v>
      </c>
      <c r="J3432" s="2" t="s">
        <v>76</v>
      </c>
      <c r="K3432" s="2" t="s">
        <v>77</v>
      </c>
      <c r="L3432" s="2" t="s">
        <v>74</v>
      </c>
      <c r="M3432" s="2" t="s">
        <v>75</v>
      </c>
      <c r="N3432" s="2" t="s">
        <v>833</v>
      </c>
      <c r="O3432" s="2" t="s">
        <v>100</v>
      </c>
      <c r="P3432" s="2" t="str">
        <f>"2170587749                    "</f>
        <v xml:space="preserve">2170587749                    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3.13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  <c r="BG3432" s="2">
        <v>0</v>
      </c>
      <c r="BH3432" s="2">
        <v>1</v>
      </c>
      <c r="BI3432" s="2">
        <v>2.5</v>
      </c>
      <c r="BJ3432" s="2">
        <v>1.6</v>
      </c>
      <c r="BK3432" s="2">
        <v>3</v>
      </c>
      <c r="BL3432" s="2">
        <v>32.380000000000003</v>
      </c>
      <c r="BM3432" s="2">
        <v>4.53</v>
      </c>
      <c r="BN3432" s="2">
        <v>36.909999999999997</v>
      </c>
      <c r="BO3432" s="2">
        <v>36.909999999999997</v>
      </c>
      <c r="BP3432" s="2"/>
      <c r="BQ3432" s="2" t="s">
        <v>83</v>
      </c>
      <c r="BR3432" s="2" t="s">
        <v>84</v>
      </c>
      <c r="BS3432" s="3">
        <v>42977</v>
      </c>
      <c r="BT3432" s="4">
        <v>0.46180555555555558</v>
      </c>
      <c r="BU3432" s="2" t="s">
        <v>3492</v>
      </c>
      <c r="BV3432" s="2" t="s">
        <v>95</v>
      </c>
      <c r="BW3432" s="2"/>
      <c r="BX3432" s="2"/>
      <c r="BY3432" s="2">
        <v>8079.62</v>
      </c>
      <c r="BZ3432" s="2"/>
      <c r="CA3432" s="2" t="s">
        <v>194</v>
      </c>
      <c r="CB3432" s="2"/>
      <c r="CC3432" s="2" t="s">
        <v>75</v>
      </c>
      <c r="CD3432" s="2">
        <v>1666</v>
      </c>
      <c r="CE3432" s="2" t="s">
        <v>89</v>
      </c>
      <c r="CF3432" s="5">
        <v>42978</v>
      </c>
      <c r="CG3432" s="2"/>
      <c r="CH3432" s="2"/>
      <c r="CI3432" s="2">
        <v>1</v>
      </c>
      <c r="CJ3432" s="2">
        <v>1</v>
      </c>
      <c r="CK3432" s="2">
        <v>22</v>
      </c>
      <c r="CL3432" s="2" t="s">
        <v>86</v>
      </c>
      <c r="CM3432" s="2"/>
    </row>
    <row r="3433" spans="1:91">
      <c r="A3433" s="2" t="s">
        <v>71</v>
      </c>
      <c r="B3433" s="2" t="s">
        <v>72</v>
      </c>
      <c r="C3433" s="2" t="s">
        <v>73</v>
      </c>
      <c r="D3433" s="2"/>
      <c r="E3433" s="2" t="str">
        <f>"FES1162572110"</f>
        <v>FES1162572110</v>
      </c>
      <c r="F3433" s="3">
        <v>42976</v>
      </c>
      <c r="G3433" s="2">
        <v>201802</v>
      </c>
      <c r="H3433" s="2" t="s">
        <v>74</v>
      </c>
      <c r="I3433" s="2" t="s">
        <v>75</v>
      </c>
      <c r="J3433" s="2" t="s">
        <v>76</v>
      </c>
      <c r="K3433" s="2" t="s">
        <v>77</v>
      </c>
      <c r="L3433" s="2" t="s">
        <v>105</v>
      </c>
      <c r="M3433" s="2" t="s">
        <v>106</v>
      </c>
      <c r="N3433" s="2" t="s">
        <v>827</v>
      </c>
      <c r="O3433" s="2" t="s">
        <v>100</v>
      </c>
      <c r="P3433" s="2" t="str">
        <f>"2170587492 3                  "</f>
        <v xml:space="preserve">2170587492 3                  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5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0</v>
      </c>
      <c r="BD3433" s="2">
        <v>0</v>
      </c>
      <c r="BE3433" s="2">
        <v>0</v>
      </c>
      <c r="BF3433" s="2">
        <v>0</v>
      </c>
      <c r="BG3433" s="2">
        <v>0</v>
      </c>
      <c r="BH3433" s="2">
        <v>1</v>
      </c>
      <c r="BI3433" s="2">
        <v>2.1</v>
      </c>
      <c r="BJ3433" s="2">
        <v>1</v>
      </c>
      <c r="BK3433" s="2">
        <v>2.5</v>
      </c>
      <c r="BL3433" s="2">
        <v>51.8</v>
      </c>
      <c r="BM3433" s="2">
        <v>7.25</v>
      </c>
      <c r="BN3433" s="2">
        <v>59.05</v>
      </c>
      <c r="BO3433" s="2">
        <v>59.05</v>
      </c>
      <c r="BP3433" s="2"/>
      <c r="BQ3433" s="2" t="s">
        <v>288</v>
      </c>
      <c r="BR3433" s="2" t="s">
        <v>84</v>
      </c>
      <c r="BS3433" s="3">
        <v>42977</v>
      </c>
      <c r="BT3433" s="4">
        <v>0.40972222222222227</v>
      </c>
      <c r="BU3433" s="2" t="s">
        <v>1337</v>
      </c>
      <c r="BV3433" s="2" t="s">
        <v>95</v>
      </c>
      <c r="BW3433" s="2"/>
      <c r="BX3433" s="2"/>
      <c r="BY3433" s="2">
        <v>4909.6000000000004</v>
      </c>
      <c r="BZ3433" s="2"/>
      <c r="CA3433" s="2"/>
      <c r="CB3433" s="2"/>
      <c r="CC3433" s="2" t="s">
        <v>106</v>
      </c>
      <c r="CD3433" s="2">
        <v>7560</v>
      </c>
      <c r="CE3433" s="2" t="s">
        <v>89</v>
      </c>
      <c r="CF3433" s="5">
        <v>42978</v>
      </c>
      <c r="CG3433" s="2"/>
      <c r="CH3433" s="2"/>
      <c r="CI3433" s="2">
        <v>1</v>
      </c>
      <c r="CJ3433" s="2">
        <v>1</v>
      </c>
      <c r="CK3433" s="2">
        <v>21</v>
      </c>
      <c r="CL3433" s="2" t="s">
        <v>86</v>
      </c>
      <c r="CM3433" s="2"/>
    </row>
    <row r="3434" spans="1:91">
      <c r="A3434" s="2" t="s">
        <v>71</v>
      </c>
      <c r="B3434" s="2" t="s">
        <v>72</v>
      </c>
      <c r="C3434" s="2" t="s">
        <v>73</v>
      </c>
      <c r="D3434" s="2"/>
      <c r="E3434" s="2" t="str">
        <f>"FES1162571871"</f>
        <v>FES1162571871</v>
      </c>
      <c r="F3434" s="3">
        <v>42976</v>
      </c>
      <c r="G3434" s="2">
        <v>201802</v>
      </c>
      <c r="H3434" s="2" t="s">
        <v>74</v>
      </c>
      <c r="I3434" s="2" t="s">
        <v>75</v>
      </c>
      <c r="J3434" s="2" t="s">
        <v>76</v>
      </c>
      <c r="K3434" s="2" t="s">
        <v>77</v>
      </c>
      <c r="L3434" s="2" t="s">
        <v>97</v>
      </c>
      <c r="M3434" s="2" t="s">
        <v>98</v>
      </c>
      <c r="N3434" s="2" t="s">
        <v>1044</v>
      </c>
      <c r="O3434" s="2" t="s">
        <v>100</v>
      </c>
      <c r="P3434" s="2" t="str">
        <f>"2170587518                    "</f>
        <v xml:space="preserve">2170587518                    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41.02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  <c r="BG3434" s="2">
        <v>0</v>
      </c>
      <c r="BH3434" s="2">
        <v>1</v>
      </c>
      <c r="BI3434" s="2">
        <v>8.6</v>
      </c>
      <c r="BJ3434" s="2">
        <v>20.399999999999999</v>
      </c>
      <c r="BK3434" s="2">
        <v>20.5</v>
      </c>
      <c r="BL3434" s="2">
        <v>424.78</v>
      </c>
      <c r="BM3434" s="2">
        <v>59.47</v>
      </c>
      <c r="BN3434" s="2">
        <v>484.25</v>
      </c>
      <c r="BO3434" s="2">
        <v>484.25</v>
      </c>
      <c r="BP3434" s="2"/>
      <c r="BQ3434" s="2" t="s">
        <v>1045</v>
      </c>
      <c r="BR3434" s="2" t="s">
        <v>84</v>
      </c>
      <c r="BS3434" s="3">
        <v>42977</v>
      </c>
      <c r="BT3434" s="4">
        <v>0.45833333333333331</v>
      </c>
      <c r="BU3434" s="2" t="s">
        <v>3484</v>
      </c>
      <c r="BV3434" s="2" t="s">
        <v>86</v>
      </c>
      <c r="BW3434" s="2"/>
      <c r="BX3434" s="2"/>
      <c r="BY3434" s="2">
        <v>101980.29</v>
      </c>
      <c r="BZ3434" s="2"/>
      <c r="CA3434" s="2" t="s">
        <v>1047</v>
      </c>
      <c r="CB3434" s="2"/>
      <c r="CC3434" s="2" t="s">
        <v>98</v>
      </c>
      <c r="CD3434" s="2">
        <v>6045</v>
      </c>
      <c r="CE3434" s="2" t="s">
        <v>89</v>
      </c>
      <c r="CF3434" s="5">
        <v>42977</v>
      </c>
      <c r="CG3434" s="2"/>
      <c r="CH3434" s="2"/>
      <c r="CI3434" s="2">
        <v>1</v>
      </c>
      <c r="CJ3434" s="2">
        <v>1</v>
      </c>
      <c r="CK3434" s="2">
        <v>21</v>
      </c>
      <c r="CL3434" s="2" t="s">
        <v>86</v>
      </c>
      <c r="CM3434" s="2"/>
    </row>
    <row r="3435" spans="1:91">
      <c r="A3435" s="2" t="s">
        <v>71</v>
      </c>
      <c r="B3435" s="2" t="s">
        <v>72</v>
      </c>
      <c r="C3435" s="2" t="s">
        <v>73</v>
      </c>
      <c r="D3435" s="2"/>
      <c r="E3435" s="2" t="str">
        <f>"FES1162572148"</f>
        <v>FES1162572148</v>
      </c>
      <c r="F3435" s="3">
        <v>42976</v>
      </c>
      <c r="G3435" s="2">
        <v>201802</v>
      </c>
      <c r="H3435" s="2" t="s">
        <v>74</v>
      </c>
      <c r="I3435" s="2" t="s">
        <v>75</v>
      </c>
      <c r="J3435" s="2" t="s">
        <v>76</v>
      </c>
      <c r="K3435" s="2" t="s">
        <v>77</v>
      </c>
      <c r="L3435" s="2" t="s">
        <v>417</v>
      </c>
      <c r="M3435" s="2" t="s">
        <v>417</v>
      </c>
      <c r="N3435" s="2" t="s">
        <v>1309</v>
      </c>
      <c r="O3435" s="2" t="s">
        <v>100</v>
      </c>
      <c r="P3435" s="2" t="str">
        <f>"2170583662                    "</f>
        <v xml:space="preserve">2170583662                    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4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0</v>
      </c>
      <c r="BH3435" s="2">
        <v>1</v>
      </c>
      <c r="BI3435" s="2">
        <v>1</v>
      </c>
      <c r="BJ3435" s="2">
        <v>0.2</v>
      </c>
      <c r="BK3435" s="2">
        <v>1</v>
      </c>
      <c r="BL3435" s="2">
        <v>41.44</v>
      </c>
      <c r="BM3435" s="2">
        <v>5.8</v>
      </c>
      <c r="BN3435" s="2">
        <v>47.24</v>
      </c>
      <c r="BO3435" s="2">
        <v>47.24</v>
      </c>
      <c r="BP3435" s="2"/>
      <c r="BQ3435" s="2" t="s">
        <v>83</v>
      </c>
      <c r="BR3435" s="2" t="s">
        <v>84</v>
      </c>
      <c r="BS3435" s="3">
        <v>42977</v>
      </c>
      <c r="BT3435" s="4">
        <v>0.48958333333333331</v>
      </c>
      <c r="BU3435" s="2" t="s">
        <v>3493</v>
      </c>
      <c r="BV3435" s="2" t="s">
        <v>95</v>
      </c>
      <c r="BW3435" s="2"/>
      <c r="BX3435" s="2"/>
      <c r="BY3435" s="2">
        <v>1200</v>
      </c>
      <c r="BZ3435" s="2"/>
      <c r="CA3435" s="2" t="s">
        <v>460</v>
      </c>
      <c r="CB3435" s="2"/>
      <c r="CC3435" s="2" t="s">
        <v>417</v>
      </c>
      <c r="CD3435" s="2">
        <v>7646</v>
      </c>
      <c r="CE3435" s="2" t="s">
        <v>104</v>
      </c>
      <c r="CF3435" s="5">
        <v>42977</v>
      </c>
      <c r="CG3435" s="2"/>
      <c r="CH3435" s="2"/>
      <c r="CI3435" s="2">
        <v>1</v>
      </c>
      <c r="CJ3435" s="2">
        <v>1</v>
      </c>
      <c r="CK3435" s="2">
        <v>21</v>
      </c>
      <c r="CL3435" s="2" t="s">
        <v>86</v>
      </c>
      <c r="CM3435" s="2"/>
    </row>
    <row r="3436" spans="1:91">
      <c r="A3436" s="2" t="s">
        <v>71</v>
      </c>
      <c r="B3436" s="2" t="s">
        <v>72</v>
      </c>
      <c r="C3436" s="2" t="s">
        <v>73</v>
      </c>
      <c r="D3436" s="2"/>
      <c r="E3436" s="2" t="str">
        <f>"FES1162571969"</f>
        <v>FES1162571969</v>
      </c>
      <c r="F3436" s="3">
        <v>42976</v>
      </c>
      <c r="G3436" s="2">
        <v>201802</v>
      </c>
      <c r="H3436" s="2" t="s">
        <v>74</v>
      </c>
      <c r="I3436" s="2" t="s">
        <v>75</v>
      </c>
      <c r="J3436" s="2" t="s">
        <v>76</v>
      </c>
      <c r="K3436" s="2" t="s">
        <v>77</v>
      </c>
      <c r="L3436" s="2" t="s">
        <v>149</v>
      </c>
      <c r="M3436" s="2" t="s">
        <v>150</v>
      </c>
      <c r="N3436" s="2" t="s">
        <v>503</v>
      </c>
      <c r="O3436" s="2" t="s">
        <v>100</v>
      </c>
      <c r="P3436" s="2" t="str">
        <f>"2170586979                    "</f>
        <v xml:space="preserve">2170586979                    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7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  <c r="BG3436" s="2">
        <v>0</v>
      </c>
      <c r="BH3436" s="2">
        <v>1</v>
      </c>
      <c r="BI3436" s="2">
        <v>2</v>
      </c>
      <c r="BJ3436" s="2">
        <v>3.1</v>
      </c>
      <c r="BK3436" s="2">
        <v>3.5</v>
      </c>
      <c r="BL3436" s="2">
        <v>72.52</v>
      </c>
      <c r="BM3436" s="2">
        <v>10.15</v>
      </c>
      <c r="BN3436" s="2">
        <v>82.67</v>
      </c>
      <c r="BO3436" s="2">
        <v>82.67</v>
      </c>
      <c r="BP3436" s="2"/>
      <c r="BQ3436" s="2" t="s">
        <v>108</v>
      </c>
      <c r="BR3436" s="2" t="s">
        <v>84</v>
      </c>
      <c r="BS3436" s="3">
        <v>42977</v>
      </c>
      <c r="BT3436" s="4">
        <v>0.40972222222222227</v>
      </c>
      <c r="BU3436" s="2" t="s">
        <v>1514</v>
      </c>
      <c r="BV3436" s="2" t="s">
        <v>95</v>
      </c>
      <c r="BW3436" s="2"/>
      <c r="BX3436" s="2"/>
      <c r="BY3436" s="2">
        <v>15600</v>
      </c>
      <c r="BZ3436" s="2"/>
      <c r="CA3436" s="2" t="s">
        <v>682</v>
      </c>
      <c r="CB3436" s="2"/>
      <c r="CC3436" s="2" t="s">
        <v>150</v>
      </c>
      <c r="CD3436" s="2">
        <v>4001</v>
      </c>
      <c r="CE3436" s="2" t="s">
        <v>89</v>
      </c>
      <c r="CF3436" s="5">
        <v>42978</v>
      </c>
      <c r="CG3436" s="2"/>
      <c r="CH3436" s="2"/>
      <c r="CI3436" s="2">
        <v>1</v>
      </c>
      <c r="CJ3436" s="2">
        <v>1</v>
      </c>
      <c r="CK3436" s="2">
        <v>21</v>
      </c>
      <c r="CL3436" s="2" t="s">
        <v>86</v>
      </c>
      <c r="CM3436" s="2"/>
    </row>
    <row r="3437" spans="1:91">
      <c r="A3437" s="2" t="s">
        <v>71</v>
      </c>
      <c r="B3437" s="2" t="s">
        <v>72</v>
      </c>
      <c r="C3437" s="2" t="s">
        <v>73</v>
      </c>
      <c r="D3437" s="2"/>
      <c r="E3437" s="2" t="str">
        <f>"FES1162572158"</f>
        <v>FES1162572158</v>
      </c>
      <c r="F3437" s="3">
        <v>42976</v>
      </c>
      <c r="G3437" s="2">
        <v>201802</v>
      </c>
      <c r="H3437" s="2" t="s">
        <v>74</v>
      </c>
      <c r="I3437" s="2" t="s">
        <v>75</v>
      </c>
      <c r="J3437" s="2" t="s">
        <v>76</v>
      </c>
      <c r="K3437" s="2" t="s">
        <v>77</v>
      </c>
      <c r="L3437" s="2" t="s">
        <v>105</v>
      </c>
      <c r="M3437" s="2" t="s">
        <v>106</v>
      </c>
      <c r="N3437" s="2" t="s">
        <v>644</v>
      </c>
      <c r="O3437" s="2" t="s">
        <v>100</v>
      </c>
      <c r="P3437" s="2" t="str">
        <f>"2170587763                    "</f>
        <v xml:space="preserve">2170587763                    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4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  <c r="BG3437" s="2">
        <v>0</v>
      </c>
      <c r="BH3437" s="2">
        <v>1</v>
      </c>
      <c r="BI3437" s="2">
        <v>1</v>
      </c>
      <c r="BJ3437" s="2">
        <v>0.2</v>
      </c>
      <c r="BK3437" s="2">
        <v>1</v>
      </c>
      <c r="BL3437" s="2">
        <v>41.44</v>
      </c>
      <c r="BM3437" s="2">
        <v>5.8</v>
      </c>
      <c r="BN3437" s="2">
        <v>47.24</v>
      </c>
      <c r="BO3437" s="2">
        <v>47.24</v>
      </c>
      <c r="BP3437" s="2"/>
      <c r="BQ3437" s="2" t="s">
        <v>108</v>
      </c>
      <c r="BR3437" s="2" t="s">
        <v>84</v>
      </c>
      <c r="BS3437" s="3">
        <v>42977</v>
      </c>
      <c r="BT3437" s="4">
        <v>0.4375</v>
      </c>
      <c r="BU3437" s="2" t="s">
        <v>1369</v>
      </c>
      <c r="BV3437" s="2" t="s">
        <v>95</v>
      </c>
      <c r="BW3437" s="2"/>
      <c r="BX3437" s="2"/>
      <c r="BY3437" s="2">
        <v>1200</v>
      </c>
      <c r="BZ3437" s="2"/>
      <c r="CA3437" s="2" t="s">
        <v>112</v>
      </c>
      <c r="CB3437" s="2"/>
      <c r="CC3437" s="2" t="s">
        <v>106</v>
      </c>
      <c r="CD3437" s="2">
        <v>7441</v>
      </c>
      <c r="CE3437" s="2" t="s">
        <v>104</v>
      </c>
      <c r="CF3437" s="5">
        <v>42977</v>
      </c>
      <c r="CG3437" s="2"/>
      <c r="CH3437" s="2"/>
      <c r="CI3437" s="2">
        <v>1</v>
      </c>
      <c r="CJ3437" s="2">
        <v>1</v>
      </c>
      <c r="CK3437" s="2">
        <v>21</v>
      </c>
      <c r="CL3437" s="2" t="s">
        <v>86</v>
      </c>
      <c r="CM3437" s="2"/>
    </row>
    <row r="3438" spans="1:91">
      <c r="A3438" s="2" t="s">
        <v>71</v>
      </c>
      <c r="B3438" s="2" t="s">
        <v>72</v>
      </c>
      <c r="C3438" s="2" t="s">
        <v>73</v>
      </c>
      <c r="D3438" s="2"/>
      <c r="E3438" s="2" t="str">
        <f>"FES1162572151"</f>
        <v>FES1162572151</v>
      </c>
      <c r="F3438" s="3">
        <v>42976</v>
      </c>
      <c r="G3438" s="2">
        <v>201802</v>
      </c>
      <c r="H3438" s="2" t="s">
        <v>74</v>
      </c>
      <c r="I3438" s="2" t="s">
        <v>75</v>
      </c>
      <c r="J3438" s="2" t="s">
        <v>76</v>
      </c>
      <c r="K3438" s="2" t="s">
        <v>77</v>
      </c>
      <c r="L3438" s="2" t="s">
        <v>97</v>
      </c>
      <c r="M3438" s="2" t="s">
        <v>98</v>
      </c>
      <c r="N3438" s="2" t="s">
        <v>500</v>
      </c>
      <c r="O3438" s="2" t="s">
        <v>100</v>
      </c>
      <c r="P3438" s="2" t="str">
        <f>"2170587517                    "</f>
        <v xml:space="preserve">2170587517                    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4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1</v>
      </c>
      <c r="BI3438" s="2">
        <v>1</v>
      </c>
      <c r="BJ3438" s="2">
        <v>0.2</v>
      </c>
      <c r="BK3438" s="2">
        <v>1</v>
      </c>
      <c r="BL3438" s="2">
        <v>41.44</v>
      </c>
      <c r="BM3438" s="2">
        <v>5.8</v>
      </c>
      <c r="BN3438" s="2">
        <v>47.24</v>
      </c>
      <c r="BO3438" s="2">
        <v>47.24</v>
      </c>
      <c r="BP3438" s="2"/>
      <c r="BQ3438" s="2" t="s">
        <v>108</v>
      </c>
      <c r="BR3438" s="2" t="s">
        <v>84</v>
      </c>
      <c r="BS3438" s="3">
        <v>42977</v>
      </c>
      <c r="BT3438" s="4">
        <v>0.375</v>
      </c>
      <c r="BU3438" s="2" t="s">
        <v>501</v>
      </c>
      <c r="BV3438" s="2" t="s">
        <v>95</v>
      </c>
      <c r="BW3438" s="2"/>
      <c r="BX3438" s="2"/>
      <c r="BY3438" s="2">
        <v>1200</v>
      </c>
      <c r="BZ3438" s="2"/>
      <c r="CA3438" s="2" t="s">
        <v>294</v>
      </c>
      <c r="CB3438" s="2"/>
      <c r="CC3438" s="2" t="s">
        <v>98</v>
      </c>
      <c r="CD3438" s="2">
        <v>6001</v>
      </c>
      <c r="CE3438" s="2" t="s">
        <v>104</v>
      </c>
      <c r="CF3438" s="5">
        <v>42978</v>
      </c>
      <c r="CG3438" s="2"/>
      <c r="CH3438" s="2"/>
      <c r="CI3438" s="2">
        <v>1</v>
      </c>
      <c r="CJ3438" s="2">
        <v>1</v>
      </c>
      <c r="CK3438" s="2">
        <v>21</v>
      </c>
      <c r="CL3438" s="2" t="s">
        <v>86</v>
      </c>
      <c r="CM3438" s="2"/>
    </row>
    <row r="3439" spans="1:91">
      <c r="A3439" s="2" t="s">
        <v>71</v>
      </c>
      <c r="B3439" s="2" t="s">
        <v>72</v>
      </c>
      <c r="C3439" s="2" t="s">
        <v>73</v>
      </c>
      <c r="D3439" s="2"/>
      <c r="E3439" s="2" t="str">
        <f>"FES1162572082"</f>
        <v>FES1162572082</v>
      </c>
      <c r="F3439" s="3">
        <v>42976</v>
      </c>
      <c r="G3439" s="2">
        <v>201802</v>
      </c>
      <c r="H3439" s="2" t="s">
        <v>74</v>
      </c>
      <c r="I3439" s="2" t="s">
        <v>75</v>
      </c>
      <c r="J3439" s="2" t="s">
        <v>76</v>
      </c>
      <c r="K3439" s="2" t="s">
        <v>77</v>
      </c>
      <c r="L3439" s="2" t="s">
        <v>237</v>
      </c>
      <c r="M3439" s="2" t="s">
        <v>238</v>
      </c>
      <c r="N3439" s="2" t="s">
        <v>388</v>
      </c>
      <c r="O3439" s="2" t="s">
        <v>100</v>
      </c>
      <c r="P3439" s="2" t="str">
        <f>"2170587696                    "</f>
        <v xml:space="preserve">2170587696                    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40.020000000000003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  <c r="BG3439" s="2">
        <v>0</v>
      </c>
      <c r="BH3439" s="2">
        <v>1</v>
      </c>
      <c r="BI3439" s="2">
        <v>8.3000000000000007</v>
      </c>
      <c r="BJ3439" s="2">
        <v>19.7</v>
      </c>
      <c r="BK3439" s="2">
        <v>20</v>
      </c>
      <c r="BL3439" s="2">
        <v>414.42</v>
      </c>
      <c r="BM3439" s="2">
        <v>58.02</v>
      </c>
      <c r="BN3439" s="2">
        <v>472.44</v>
      </c>
      <c r="BO3439" s="2">
        <v>472.44</v>
      </c>
      <c r="BP3439" s="2"/>
      <c r="BQ3439" s="2" t="s">
        <v>108</v>
      </c>
      <c r="BR3439" s="2" t="s">
        <v>84</v>
      </c>
      <c r="BS3439" s="3">
        <v>42977</v>
      </c>
      <c r="BT3439" s="4">
        <v>0.4375</v>
      </c>
      <c r="BU3439" s="2" t="s">
        <v>855</v>
      </c>
      <c r="BV3439" s="2" t="s">
        <v>95</v>
      </c>
      <c r="BW3439" s="2"/>
      <c r="BX3439" s="2"/>
      <c r="BY3439" s="2">
        <v>98571.33</v>
      </c>
      <c r="BZ3439" s="2"/>
      <c r="CA3439" s="2" t="s">
        <v>1454</v>
      </c>
      <c r="CB3439" s="2"/>
      <c r="CC3439" s="2" t="s">
        <v>238</v>
      </c>
      <c r="CD3439" s="2">
        <v>3610</v>
      </c>
      <c r="CE3439" s="2" t="s">
        <v>135</v>
      </c>
      <c r="CF3439" s="5">
        <v>42978</v>
      </c>
      <c r="CG3439" s="2"/>
      <c r="CH3439" s="2"/>
      <c r="CI3439" s="2">
        <v>1</v>
      </c>
      <c r="CJ3439" s="2">
        <v>1</v>
      </c>
      <c r="CK3439" s="2">
        <v>21</v>
      </c>
      <c r="CL3439" s="2" t="s">
        <v>86</v>
      </c>
      <c r="CM3439" s="2"/>
    </row>
    <row r="3440" spans="1:91">
      <c r="A3440" s="2" t="s">
        <v>71</v>
      </c>
      <c r="B3440" s="2" t="s">
        <v>72</v>
      </c>
      <c r="C3440" s="2" t="s">
        <v>73</v>
      </c>
      <c r="D3440" s="2"/>
      <c r="E3440" s="2" t="str">
        <f>"FES1162572051"</f>
        <v>FES1162572051</v>
      </c>
      <c r="F3440" s="3">
        <v>42976</v>
      </c>
      <c r="G3440" s="2">
        <v>201802</v>
      </c>
      <c r="H3440" s="2" t="s">
        <v>74</v>
      </c>
      <c r="I3440" s="2" t="s">
        <v>75</v>
      </c>
      <c r="J3440" s="2" t="s">
        <v>76</v>
      </c>
      <c r="K3440" s="2" t="s">
        <v>77</v>
      </c>
      <c r="L3440" s="2" t="s">
        <v>604</v>
      </c>
      <c r="M3440" s="2" t="s">
        <v>605</v>
      </c>
      <c r="N3440" s="2" t="s">
        <v>391</v>
      </c>
      <c r="O3440" s="2" t="s">
        <v>100</v>
      </c>
      <c r="P3440" s="2" t="str">
        <f>"2170587671                    "</f>
        <v xml:space="preserve">2170587671                    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4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  <c r="BG3440" s="2">
        <v>0</v>
      </c>
      <c r="BH3440" s="2">
        <v>1</v>
      </c>
      <c r="BI3440" s="2">
        <v>1</v>
      </c>
      <c r="BJ3440" s="2">
        <v>0.2</v>
      </c>
      <c r="BK3440" s="2">
        <v>1</v>
      </c>
      <c r="BL3440" s="2">
        <v>41.44</v>
      </c>
      <c r="BM3440" s="2">
        <v>5.8</v>
      </c>
      <c r="BN3440" s="2">
        <v>47.24</v>
      </c>
      <c r="BO3440" s="2">
        <v>47.24</v>
      </c>
      <c r="BP3440" s="2"/>
      <c r="BQ3440" s="2" t="s">
        <v>288</v>
      </c>
      <c r="BR3440" s="2" t="s">
        <v>84</v>
      </c>
      <c r="BS3440" s="3">
        <v>42977</v>
      </c>
      <c r="BT3440" s="4">
        <v>0.34722222222222227</v>
      </c>
      <c r="BU3440" s="2" t="s">
        <v>215</v>
      </c>
      <c r="BV3440" s="2" t="s">
        <v>95</v>
      </c>
      <c r="BW3440" s="2"/>
      <c r="BX3440" s="2"/>
      <c r="BY3440" s="2">
        <v>1200</v>
      </c>
      <c r="BZ3440" s="2" t="s">
        <v>27</v>
      </c>
      <c r="CA3440" s="2" t="s">
        <v>607</v>
      </c>
      <c r="CB3440" s="2"/>
      <c r="CC3440" s="2" t="s">
        <v>605</v>
      </c>
      <c r="CD3440" s="2">
        <v>4126</v>
      </c>
      <c r="CE3440" s="2" t="s">
        <v>104</v>
      </c>
      <c r="CF3440" s="5">
        <v>42978</v>
      </c>
      <c r="CG3440" s="2"/>
      <c r="CH3440" s="2"/>
      <c r="CI3440" s="2">
        <v>1</v>
      </c>
      <c r="CJ3440" s="2">
        <v>1</v>
      </c>
      <c r="CK3440" s="2">
        <v>21</v>
      </c>
      <c r="CL3440" s="2" t="s">
        <v>86</v>
      </c>
      <c r="CM3440" s="2"/>
    </row>
    <row r="3441" spans="1:91">
      <c r="A3441" s="2" t="s">
        <v>71</v>
      </c>
      <c r="B3441" s="2" t="s">
        <v>72</v>
      </c>
      <c r="C3441" s="2" t="s">
        <v>73</v>
      </c>
      <c r="D3441" s="2"/>
      <c r="E3441" s="2" t="str">
        <f>"FES1162571926"</f>
        <v>FES1162571926</v>
      </c>
      <c r="F3441" s="3">
        <v>42976</v>
      </c>
      <c r="G3441" s="2">
        <v>201802</v>
      </c>
      <c r="H3441" s="2" t="s">
        <v>74</v>
      </c>
      <c r="I3441" s="2" t="s">
        <v>75</v>
      </c>
      <c r="J3441" s="2" t="s">
        <v>76</v>
      </c>
      <c r="K3441" s="2" t="s">
        <v>77</v>
      </c>
      <c r="L3441" s="2" t="s">
        <v>97</v>
      </c>
      <c r="M3441" s="2" t="s">
        <v>98</v>
      </c>
      <c r="N3441" s="2" t="s">
        <v>248</v>
      </c>
      <c r="O3441" s="2" t="s">
        <v>100</v>
      </c>
      <c r="P3441" s="2" t="str">
        <f>"2170586026                    "</f>
        <v xml:space="preserve">2170586026                    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4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1</v>
      </c>
      <c r="BI3441" s="2">
        <v>1</v>
      </c>
      <c r="BJ3441" s="2">
        <v>0.2</v>
      </c>
      <c r="BK3441" s="2">
        <v>1</v>
      </c>
      <c r="BL3441" s="2">
        <v>41.44</v>
      </c>
      <c r="BM3441" s="2">
        <v>5.8</v>
      </c>
      <c r="BN3441" s="2">
        <v>47.24</v>
      </c>
      <c r="BO3441" s="2">
        <v>47.24</v>
      </c>
      <c r="BP3441" s="2"/>
      <c r="BQ3441" s="2" t="s">
        <v>83</v>
      </c>
      <c r="BR3441" s="2" t="s">
        <v>84</v>
      </c>
      <c r="BS3441" s="3">
        <v>42977</v>
      </c>
      <c r="BT3441" s="4">
        <v>0.33333333333333331</v>
      </c>
      <c r="BU3441" s="2" t="s">
        <v>390</v>
      </c>
      <c r="BV3441" s="2" t="s">
        <v>95</v>
      </c>
      <c r="BW3441" s="2"/>
      <c r="BX3441" s="2"/>
      <c r="BY3441" s="2">
        <v>1200</v>
      </c>
      <c r="BZ3441" s="2" t="s">
        <v>27</v>
      </c>
      <c r="CA3441" s="2" t="s">
        <v>294</v>
      </c>
      <c r="CB3441" s="2"/>
      <c r="CC3441" s="2" t="s">
        <v>98</v>
      </c>
      <c r="CD3441" s="2">
        <v>6001</v>
      </c>
      <c r="CE3441" s="2" t="s">
        <v>104</v>
      </c>
      <c r="CF3441" s="5">
        <v>42978</v>
      </c>
      <c r="CG3441" s="2"/>
      <c r="CH3441" s="2"/>
      <c r="CI3441" s="2">
        <v>1</v>
      </c>
      <c r="CJ3441" s="2">
        <v>1</v>
      </c>
      <c r="CK3441" s="2">
        <v>21</v>
      </c>
      <c r="CL3441" s="2" t="s">
        <v>86</v>
      </c>
      <c r="CM3441" s="2"/>
    </row>
    <row r="3442" spans="1:91">
      <c r="A3442" s="2" t="s">
        <v>71</v>
      </c>
      <c r="B3442" s="2" t="s">
        <v>72</v>
      </c>
      <c r="C3442" s="2" t="s">
        <v>73</v>
      </c>
      <c r="D3442" s="2"/>
      <c r="E3442" s="2" t="str">
        <f>"FES1162572014"</f>
        <v>FES1162572014</v>
      </c>
      <c r="F3442" s="3">
        <v>42976</v>
      </c>
      <c r="G3442" s="2">
        <v>201802</v>
      </c>
      <c r="H3442" s="2" t="s">
        <v>74</v>
      </c>
      <c r="I3442" s="2" t="s">
        <v>75</v>
      </c>
      <c r="J3442" s="2" t="s">
        <v>76</v>
      </c>
      <c r="K3442" s="2" t="s">
        <v>77</v>
      </c>
      <c r="L3442" s="2" t="s">
        <v>417</v>
      </c>
      <c r="M3442" s="2" t="s">
        <v>417</v>
      </c>
      <c r="N3442" s="2" t="s">
        <v>475</v>
      </c>
      <c r="O3442" s="2" t="s">
        <v>100</v>
      </c>
      <c r="P3442" s="2" t="str">
        <f>"2170582399                    "</f>
        <v xml:space="preserve">2170582399                    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6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  <c r="BG3442" s="2">
        <v>0</v>
      </c>
      <c r="BH3442" s="2">
        <v>1</v>
      </c>
      <c r="BI3442" s="2">
        <v>1.5</v>
      </c>
      <c r="BJ3442" s="2">
        <v>2.9</v>
      </c>
      <c r="BK3442" s="2">
        <v>3</v>
      </c>
      <c r="BL3442" s="2">
        <v>62.16</v>
      </c>
      <c r="BM3442" s="2">
        <v>8.6999999999999993</v>
      </c>
      <c r="BN3442" s="2">
        <v>70.86</v>
      </c>
      <c r="BO3442" s="2">
        <v>70.86</v>
      </c>
      <c r="BP3442" s="2"/>
      <c r="BQ3442" s="2" t="s">
        <v>108</v>
      </c>
      <c r="BR3442" s="2" t="s">
        <v>84</v>
      </c>
      <c r="BS3442" s="3">
        <v>42977</v>
      </c>
      <c r="BT3442" s="4">
        <v>0.49791666666666662</v>
      </c>
      <c r="BU3442" s="2" t="s">
        <v>1336</v>
      </c>
      <c r="BV3442" s="2" t="s">
        <v>95</v>
      </c>
      <c r="BW3442" s="2"/>
      <c r="BX3442" s="2"/>
      <c r="BY3442" s="2">
        <v>14590.22</v>
      </c>
      <c r="BZ3442" s="2" t="s">
        <v>27</v>
      </c>
      <c r="CA3442" s="2" t="s">
        <v>460</v>
      </c>
      <c r="CB3442" s="2"/>
      <c r="CC3442" s="2" t="s">
        <v>417</v>
      </c>
      <c r="CD3442" s="2">
        <v>7646</v>
      </c>
      <c r="CE3442" s="2" t="s">
        <v>89</v>
      </c>
      <c r="CF3442" s="5">
        <v>42977</v>
      </c>
      <c r="CG3442" s="2"/>
      <c r="CH3442" s="2"/>
      <c r="CI3442" s="2">
        <v>1</v>
      </c>
      <c r="CJ3442" s="2">
        <v>1</v>
      </c>
      <c r="CK3442" s="2">
        <v>21</v>
      </c>
      <c r="CL3442" s="2" t="s">
        <v>86</v>
      </c>
      <c r="CM3442" s="2"/>
    </row>
    <row r="3443" spans="1:91">
      <c r="A3443" s="2" t="s">
        <v>71</v>
      </c>
      <c r="B3443" s="2" t="s">
        <v>72</v>
      </c>
      <c r="C3443" s="2" t="s">
        <v>73</v>
      </c>
      <c r="D3443" s="2"/>
      <c r="E3443" s="2" t="str">
        <f>"FES1162571932"</f>
        <v>FES1162571932</v>
      </c>
      <c r="F3443" s="3">
        <v>42976</v>
      </c>
      <c r="G3443" s="2">
        <v>201802</v>
      </c>
      <c r="H3443" s="2" t="s">
        <v>74</v>
      </c>
      <c r="I3443" s="2" t="s">
        <v>75</v>
      </c>
      <c r="J3443" s="2" t="s">
        <v>76</v>
      </c>
      <c r="K3443" s="2" t="s">
        <v>77</v>
      </c>
      <c r="L3443" s="2" t="s">
        <v>97</v>
      </c>
      <c r="M3443" s="2" t="s">
        <v>98</v>
      </c>
      <c r="N3443" s="2" t="s">
        <v>822</v>
      </c>
      <c r="O3443" s="2" t="s">
        <v>100</v>
      </c>
      <c r="P3443" s="2" t="str">
        <f>"2170587288                    "</f>
        <v xml:space="preserve">2170587288                    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4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0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1</v>
      </c>
      <c r="BI3443" s="2">
        <v>1</v>
      </c>
      <c r="BJ3443" s="2">
        <v>0.2</v>
      </c>
      <c r="BK3443" s="2">
        <v>1</v>
      </c>
      <c r="BL3443" s="2">
        <v>41.44</v>
      </c>
      <c r="BM3443" s="2">
        <v>5.8</v>
      </c>
      <c r="BN3443" s="2">
        <v>47.24</v>
      </c>
      <c r="BO3443" s="2">
        <v>47.24</v>
      </c>
      <c r="BP3443" s="2"/>
      <c r="BQ3443" s="2" t="s">
        <v>83</v>
      </c>
      <c r="BR3443" s="2" t="s">
        <v>84</v>
      </c>
      <c r="BS3443" s="3">
        <v>42977</v>
      </c>
      <c r="BT3443" s="4">
        <v>0.3125</v>
      </c>
      <c r="BU3443" s="2" t="s">
        <v>1081</v>
      </c>
      <c r="BV3443" s="2" t="s">
        <v>95</v>
      </c>
      <c r="BW3443" s="2"/>
      <c r="BX3443" s="2"/>
      <c r="BY3443" s="2">
        <v>1200</v>
      </c>
      <c r="BZ3443" s="2" t="s">
        <v>27</v>
      </c>
      <c r="CA3443" s="2" t="s">
        <v>294</v>
      </c>
      <c r="CB3443" s="2"/>
      <c r="CC3443" s="2" t="s">
        <v>98</v>
      </c>
      <c r="CD3443" s="2">
        <v>6014</v>
      </c>
      <c r="CE3443" s="2" t="s">
        <v>104</v>
      </c>
      <c r="CF3443" s="5">
        <v>42978</v>
      </c>
      <c r="CG3443" s="2"/>
      <c r="CH3443" s="2"/>
      <c r="CI3443" s="2">
        <v>1</v>
      </c>
      <c r="CJ3443" s="2">
        <v>1</v>
      </c>
      <c r="CK3443" s="2">
        <v>21</v>
      </c>
      <c r="CL3443" s="2" t="s">
        <v>86</v>
      </c>
      <c r="CM3443" s="2"/>
    </row>
    <row r="3444" spans="1:91">
      <c r="A3444" s="2" t="s">
        <v>71</v>
      </c>
      <c r="B3444" s="2" t="s">
        <v>72</v>
      </c>
      <c r="C3444" s="2" t="s">
        <v>73</v>
      </c>
      <c r="D3444" s="2"/>
      <c r="E3444" s="2" t="str">
        <f>"FES1162571923"</f>
        <v>FES1162571923</v>
      </c>
      <c r="F3444" s="3">
        <v>42976</v>
      </c>
      <c r="G3444" s="2">
        <v>201802</v>
      </c>
      <c r="H3444" s="2" t="s">
        <v>74</v>
      </c>
      <c r="I3444" s="2" t="s">
        <v>75</v>
      </c>
      <c r="J3444" s="2" t="s">
        <v>76</v>
      </c>
      <c r="K3444" s="2" t="s">
        <v>77</v>
      </c>
      <c r="L3444" s="2" t="s">
        <v>149</v>
      </c>
      <c r="M3444" s="2" t="s">
        <v>150</v>
      </c>
      <c r="N3444" s="2" t="s">
        <v>3494</v>
      </c>
      <c r="O3444" s="2" t="s">
        <v>100</v>
      </c>
      <c r="P3444" s="2" t="str">
        <f>"2170584584                    "</f>
        <v xml:space="preserve">2170584584                    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4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0</v>
      </c>
      <c r="BH3444" s="2">
        <v>1</v>
      </c>
      <c r="BI3444" s="2">
        <v>1</v>
      </c>
      <c r="BJ3444" s="2">
        <v>0.2</v>
      </c>
      <c r="BK3444" s="2">
        <v>1</v>
      </c>
      <c r="BL3444" s="2">
        <v>41.44</v>
      </c>
      <c r="BM3444" s="2">
        <v>5.8</v>
      </c>
      <c r="BN3444" s="2">
        <v>47.24</v>
      </c>
      <c r="BO3444" s="2">
        <v>47.24</v>
      </c>
      <c r="BP3444" s="2"/>
      <c r="BQ3444" s="2" t="s">
        <v>83</v>
      </c>
      <c r="BR3444" s="2" t="s">
        <v>84</v>
      </c>
      <c r="BS3444" s="3">
        <v>42977</v>
      </c>
      <c r="BT3444" s="4">
        <v>0.40833333333333338</v>
      </c>
      <c r="BU3444" s="2" t="s">
        <v>3495</v>
      </c>
      <c r="BV3444" s="2" t="s">
        <v>95</v>
      </c>
      <c r="BW3444" s="2"/>
      <c r="BX3444" s="2"/>
      <c r="BY3444" s="2">
        <v>1200</v>
      </c>
      <c r="BZ3444" s="2" t="s">
        <v>27</v>
      </c>
      <c r="CA3444" s="2" t="s">
        <v>429</v>
      </c>
      <c r="CB3444" s="2"/>
      <c r="CC3444" s="2" t="s">
        <v>150</v>
      </c>
      <c r="CD3444" s="2">
        <v>4052</v>
      </c>
      <c r="CE3444" s="2" t="s">
        <v>104</v>
      </c>
      <c r="CF3444" s="5">
        <v>42978</v>
      </c>
      <c r="CG3444" s="2"/>
      <c r="CH3444" s="2"/>
      <c r="CI3444" s="2">
        <v>1</v>
      </c>
      <c r="CJ3444" s="2">
        <v>1</v>
      </c>
      <c r="CK3444" s="2">
        <v>21</v>
      </c>
      <c r="CL3444" s="2" t="s">
        <v>86</v>
      </c>
      <c r="CM3444" s="2"/>
    </row>
    <row r="3445" spans="1:91">
      <c r="A3445" s="2" t="s">
        <v>71</v>
      </c>
      <c r="B3445" s="2" t="s">
        <v>72</v>
      </c>
      <c r="C3445" s="2" t="s">
        <v>73</v>
      </c>
      <c r="D3445" s="2"/>
      <c r="E3445" s="2" t="str">
        <f>"FES1162571958"</f>
        <v>FES1162571958</v>
      </c>
      <c r="F3445" s="3">
        <v>42976</v>
      </c>
      <c r="G3445" s="2">
        <v>201802</v>
      </c>
      <c r="H3445" s="2" t="s">
        <v>74</v>
      </c>
      <c r="I3445" s="2" t="s">
        <v>75</v>
      </c>
      <c r="J3445" s="2" t="s">
        <v>76</v>
      </c>
      <c r="K3445" s="2" t="s">
        <v>77</v>
      </c>
      <c r="L3445" s="2" t="s">
        <v>149</v>
      </c>
      <c r="M3445" s="2" t="s">
        <v>150</v>
      </c>
      <c r="N3445" s="2" t="s">
        <v>3496</v>
      </c>
      <c r="O3445" s="2" t="s">
        <v>100</v>
      </c>
      <c r="P3445" s="2" t="str">
        <f>"2170587598                    "</f>
        <v xml:space="preserve">2170587598                    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4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0</v>
      </c>
      <c r="BH3445" s="2">
        <v>1</v>
      </c>
      <c r="BI3445" s="2">
        <v>1</v>
      </c>
      <c r="BJ3445" s="2">
        <v>0.2</v>
      </c>
      <c r="BK3445" s="2">
        <v>1</v>
      </c>
      <c r="BL3445" s="2">
        <v>41.44</v>
      </c>
      <c r="BM3445" s="2">
        <v>5.8</v>
      </c>
      <c r="BN3445" s="2">
        <v>47.24</v>
      </c>
      <c r="BO3445" s="2">
        <v>47.24</v>
      </c>
      <c r="BP3445" s="2"/>
      <c r="BQ3445" s="2" t="s">
        <v>83</v>
      </c>
      <c r="BR3445" s="2" t="s">
        <v>84</v>
      </c>
      <c r="BS3445" s="3">
        <v>42977</v>
      </c>
      <c r="BT3445" s="4">
        <v>0.35555555555555557</v>
      </c>
      <c r="BU3445" s="2" t="s">
        <v>3497</v>
      </c>
      <c r="BV3445" s="2" t="s">
        <v>95</v>
      </c>
      <c r="BW3445" s="2"/>
      <c r="BX3445" s="2"/>
      <c r="BY3445" s="2">
        <v>1200</v>
      </c>
      <c r="BZ3445" s="2" t="s">
        <v>27</v>
      </c>
      <c r="CA3445" s="2" t="s">
        <v>3498</v>
      </c>
      <c r="CB3445" s="2"/>
      <c r="CC3445" s="2" t="s">
        <v>150</v>
      </c>
      <c r="CD3445" s="2">
        <v>4091</v>
      </c>
      <c r="CE3445" s="2" t="s">
        <v>104</v>
      </c>
      <c r="CF3445" s="5">
        <v>42978</v>
      </c>
      <c r="CG3445" s="2"/>
      <c r="CH3445" s="2"/>
      <c r="CI3445" s="2">
        <v>1</v>
      </c>
      <c r="CJ3445" s="2">
        <v>1</v>
      </c>
      <c r="CK3445" s="2">
        <v>21</v>
      </c>
      <c r="CL3445" s="2" t="s">
        <v>86</v>
      </c>
      <c r="CM3445" s="2"/>
    </row>
    <row r="3446" spans="1:91">
      <c r="A3446" s="2" t="s">
        <v>71</v>
      </c>
      <c r="B3446" s="2" t="s">
        <v>72</v>
      </c>
      <c r="C3446" s="2" t="s">
        <v>73</v>
      </c>
      <c r="D3446" s="2"/>
      <c r="E3446" s="2" t="str">
        <f>"FES1162571975"</f>
        <v>FES1162571975</v>
      </c>
      <c r="F3446" s="3">
        <v>42976</v>
      </c>
      <c r="G3446" s="2">
        <v>201802</v>
      </c>
      <c r="H3446" s="2" t="s">
        <v>74</v>
      </c>
      <c r="I3446" s="2" t="s">
        <v>75</v>
      </c>
      <c r="J3446" s="2" t="s">
        <v>76</v>
      </c>
      <c r="K3446" s="2" t="s">
        <v>77</v>
      </c>
      <c r="L3446" s="2" t="s">
        <v>841</v>
      </c>
      <c r="M3446" s="2" t="s">
        <v>842</v>
      </c>
      <c r="N3446" s="2" t="s">
        <v>843</v>
      </c>
      <c r="O3446" s="2" t="s">
        <v>100</v>
      </c>
      <c r="P3446" s="2" t="str">
        <f>"2170587619                    "</f>
        <v xml:space="preserve">2170587619                    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7.75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  <c r="BG3446" s="2">
        <v>0</v>
      </c>
      <c r="BH3446" s="2">
        <v>1</v>
      </c>
      <c r="BI3446" s="2">
        <v>1</v>
      </c>
      <c r="BJ3446" s="2">
        <v>0.2</v>
      </c>
      <c r="BK3446" s="2">
        <v>1</v>
      </c>
      <c r="BL3446" s="2">
        <v>80.290000000000006</v>
      </c>
      <c r="BM3446" s="2">
        <v>11.24</v>
      </c>
      <c r="BN3446" s="2">
        <v>91.53</v>
      </c>
      <c r="BO3446" s="2">
        <v>91.53</v>
      </c>
      <c r="BP3446" s="2"/>
      <c r="BQ3446" s="2" t="s">
        <v>83</v>
      </c>
      <c r="BR3446" s="2" t="s">
        <v>84</v>
      </c>
      <c r="BS3446" s="3">
        <v>42977</v>
      </c>
      <c r="BT3446" s="4">
        <v>0.53263888888888888</v>
      </c>
      <c r="BU3446" s="2" t="s">
        <v>844</v>
      </c>
      <c r="BV3446" s="2" t="s">
        <v>95</v>
      </c>
      <c r="BW3446" s="2"/>
      <c r="BX3446" s="2"/>
      <c r="BY3446" s="2">
        <v>1200</v>
      </c>
      <c r="BZ3446" s="2" t="s">
        <v>27</v>
      </c>
      <c r="CA3446" s="2" t="s">
        <v>845</v>
      </c>
      <c r="CB3446" s="2"/>
      <c r="CC3446" s="2" t="s">
        <v>842</v>
      </c>
      <c r="CD3446" s="2">
        <v>3370</v>
      </c>
      <c r="CE3446" s="2" t="s">
        <v>104</v>
      </c>
      <c r="CF3446" s="5">
        <v>42977</v>
      </c>
      <c r="CG3446" s="2"/>
      <c r="CH3446" s="2"/>
      <c r="CI3446" s="2">
        <v>3</v>
      </c>
      <c r="CJ3446" s="2">
        <v>1</v>
      </c>
      <c r="CK3446" s="2">
        <v>23</v>
      </c>
      <c r="CL3446" s="2" t="s">
        <v>86</v>
      </c>
      <c r="CM3446" s="2"/>
    </row>
    <row r="3447" spans="1:91">
      <c r="A3447" s="2" t="s">
        <v>71</v>
      </c>
      <c r="B3447" s="2" t="s">
        <v>72</v>
      </c>
      <c r="C3447" s="2" t="s">
        <v>73</v>
      </c>
      <c r="D3447" s="2"/>
      <c r="E3447" s="2" t="str">
        <f>"FES1162571985"</f>
        <v>FES1162571985</v>
      </c>
      <c r="F3447" s="3">
        <v>42976</v>
      </c>
      <c r="G3447" s="2">
        <v>201802</v>
      </c>
      <c r="H3447" s="2" t="s">
        <v>74</v>
      </c>
      <c r="I3447" s="2" t="s">
        <v>75</v>
      </c>
      <c r="J3447" s="2" t="s">
        <v>76</v>
      </c>
      <c r="K3447" s="2" t="s">
        <v>77</v>
      </c>
      <c r="L3447" s="2" t="s">
        <v>244</v>
      </c>
      <c r="M3447" s="2" t="s">
        <v>245</v>
      </c>
      <c r="N3447" s="2" t="s">
        <v>2564</v>
      </c>
      <c r="O3447" s="2" t="s">
        <v>100</v>
      </c>
      <c r="P3447" s="2" t="str">
        <f>"2170586007                    "</f>
        <v xml:space="preserve">2170586007                    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3.5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  <c r="BG3447" s="2">
        <v>0</v>
      </c>
      <c r="BH3447" s="2">
        <v>1</v>
      </c>
      <c r="BI3447" s="2">
        <v>8.8000000000000007</v>
      </c>
      <c r="BJ3447" s="2">
        <v>7.2</v>
      </c>
      <c r="BK3447" s="2">
        <v>9</v>
      </c>
      <c r="BL3447" s="2">
        <v>36.26</v>
      </c>
      <c r="BM3447" s="2">
        <v>5.08</v>
      </c>
      <c r="BN3447" s="2">
        <v>41.34</v>
      </c>
      <c r="BO3447" s="2">
        <v>41.34</v>
      </c>
      <c r="BP3447" s="2"/>
      <c r="BQ3447" s="2"/>
      <c r="BR3447" s="2" t="s">
        <v>84</v>
      </c>
      <c r="BS3447" s="3">
        <v>42977</v>
      </c>
      <c r="BT3447" s="4">
        <v>0.30416666666666664</v>
      </c>
      <c r="BU3447" s="2" t="s">
        <v>3499</v>
      </c>
      <c r="BV3447" s="2" t="s">
        <v>95</v>
      </c>
      <c r="BW3447" s="2"/>
      <c r="BX3447" s="2"/>
      <c r="BY3447" s="2">
        <v>36180.69</v>
      </c>
      <c r="BZ3447" s="2" t="s">
        <v>27</v>
      </c>
      <c r="CA3447" s="2" t="s">
        <v>499</v>
      </c>
      <c r="CB3447" s="2"/>
      <c r="CC3447" s="2" t="s">
        <v>245</v>
      </c>
      <c r="CD3447" s="2">
        <v>1459</v>
      </c>
      <c r="CE3447" s="2" t="s">
        <v>948</v>
      </c>
      <c r="CF3447" s="5">
        <v>42978</v>
      </c>
      <c r="CG3447" s="2"/>
      <c r="CH3447" s="2"/>
      <c r="CI3447" s="2">
        <v>1</v>
      </c>
      <c r="CJ3447" s="2">
        <v>1</v>
      </c>
      <c r="CK3447" s="2">
        <v>22</v>
      </c>
      <c r="CL3447" s="2" t="s">
        <v>86</v>
      </c>
      <c r="CM3447" s="2"/>
    </row>
    <row r="3448" spans="1:91">
      <c r="A3448" s="2" t="s">
        <v>71</v>
      </c>
      <c r="B3448" s="2" t="s">
        <v>72</v>
      </c>
      <c r="C3448" s="2" t="s">
        <v>73</v>
      </c>
      <c r="D3448" s="2"/>
      <c r="E3448" s="2" t="str">
        <f>"FES1162571984"</f>
        <v>FES1162571984</v>
      </c>
      <c r="F3448" s="3">
        <v>42976</v>
      </c>
      <c r="G3448" s="2">
        <v>201802</v>
      </c>
      <c r="H3448" s="2" t="s">
        <v>74</v>
      </c>
      <c r="I3448" s="2" t="s">
        <v>75</v>
      </c>
      <c r="J3448" s="2" t="s">
        <v>76</v>
      </c>
      <c r="K3448" s="2" t="s">
        <v>77</v>
      </c>
      <c r="L3448" s="2" t="s">
        <v>216</v>
      </c>
      <c r="M3448" s="2" t="s">
        <v>217</v>
      </c>
      <c r="N3448" s="2" t="s">
        <v>351</v>
      </c>
      <c r="O3448" s="2" t="s">
        <v>100</v>
      </c>
      <c r="P3448" s="2" t="str">
        <f>"2170587632                    "</f>
        <v xml:space="preserve">2170587632                    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3.13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0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  <c r="BG3448" s="2">
        <v>0</v>
      </c>
      <c r="BH3448" s="2">
        <v>1</v>
      </c>
      <c r="BI3448" s="2">
        <v>1</v>
      </c>
      <c r="BJ3448" s="2">
        <v>0.2</v>
      </c>
      <c r="BK3448" s="2">
        <v>1</v>
      </c>
      <c r="BL3448" s="2">
        <v>32.380000000000003</v>
      </c>
      <c r="BM3448" s="2">
        <v>4.53</v>
      </c>
      <c r="BN3448" s="2">
        <v>36.909999999999997</v>
      </c>
      <c r="BO3448" s="2">
        <v>36.909999999999997</v>
      </c>
      <c r="BP3448" s="2"/>
      <c r="BQ3448" s="2"/>
      <c r="BR3448" s="2" t="s">
        <v>84</v>
      </c>
      <c r="BS3448" s="3">
        <v>42977</v>
      </c>
      <c r="BT3448" s="4">
        <v>0.3840277777777778</v>
      </c>
      <c r="BU3448" s="2" t="s">
        <v>519</v>
      </c>
      <c r="BV3448" s="2" t="s">
        <v>95</v>
      </c>
      <c r="BW3448" s="2"/>
      <c r="BX3448" s="2"/>
      <c r="BY3448" s="2">
        <v>1200</v>
      </c>
      <c r="BZ3448" s="2" t="s">
        <v>27</v>
      </c>
      <c r="CA3448" s="2" t="s">
        <v>220</v>
      </c>
      <c r="CB3448" s="2"/>
      <c r="CC3448" s="2" t="s">
        <v>217</v>
      </c>
      <c r="CD3448" s="2">
        <v>1451</v>
      </c>
      <c r="CE3448" s="2" t="s">
        <v>104</v>
      </c>
      <c r="CF3448" s="5">
        <v>42978</v>
      </c>
      <c r="CG3448" s="2"/>
      <c r="CH3448" s="2"/>
      <c r="CI3448" s="2">
        <v>1</v>
      </c>
      <c r="CJ3448" s="2">
        <v>1</v>
      </c>
      <c r="CK3448" s="2">
        <v>22</v>
      </c>
      <c r="CL3448" s="2" t="s">
        <v>86</v>
      </c>
      <c r="CM3448" s="2"/>
    </row>
    <row r="3449" spans="1:91">
      <c r="A3449" s="2" t="s">
        <v>71</v>
      </c>
      <c r="B3449" s="2" t="s">
        <v>72</v>
      </c>
      <c r="C3449" s="2" t="s">
        <v>73</v>
      </c>
      <c r="D3449" s="2"/>
      <c r="E3449" s="2" t="str">
        <f>"FES1162571922"</f>
        <v>FES1162571922</v>
      </c>
      <c r="F3449" s="3">
        <v>42976</v>
      </c>
      <c r="G3449" s="2">
        <v>201802</v>
      </c>
      <c r="H3449" s="2" t="s">
        <v>74</v>
      </c>
      <c r="I3449" s="2" t="s">
        <v>75</v>
      </c>
      <c r="J3449" s="2" t="s">
        <v>76</v>
      </c>
      <c r="K3449" s="2" t="s">
        <v>77</v>
      </c>
      <c r="L3449" s="2" t="s">
        <v>149</v>
      </c>
      <c r="M3449" s="2" t="s">
        <v>150</v>
      </c>
      <c r="N3449" s="2" t="s">
        <v>183</v>
      </c>
      <c r="O3449" s="2" t="s">
        <v>100</v>
      </c>
      <c r="P3449" s="2" t="str">
        <f>"2170584471                    "</f>
        <v xml:space="preserve">2170584471                    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4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1</v>
      </c>
      <c r="BI3449" s="2">
        <v>1</v>
      </c>
      <c r="BJ3449" s="2">
        <v>0.2</v>
      </c>
      <c r="BK3449" s="2">
        <v>1</v>
      </c>
      <c r="BL3449" s="2">
        <v>41.44</v>
      </c>
      <c r="BM3449" s="2">
        <v>5.8</v>
      </c>
      <c r="BN3449" s="2">
        <v>47.24</v>
      </c>
      <c r="BO3449" s="2">
        <v>47.24</v>
      </c>
      <c r="BP3449" s="2"/>
      <c r="BQ3449" s="2" t="s">
        <v>1284</v>
      </c>
      <c r="BR3449" s="2" t="s">
        <v>84</v>
      </c>
      <c r="BS3449" s="3">
        <v>42977</v>
      </c>
      <c r="BT3449" s="4">
        <v>0.32083333333333336</v>
      </c>
      <c r="BU3449" s="2" t="s">
        <v>3500</v>
      </c>
      <c r="BV3449" s="2" t="s">
        <v>95</v>
      </c>
      <c r="BW3449" s="2"/>
      <c r="BX3449" s="2"/>
      <c r="BY3449" s="2">
        <v>1200</v>
      </c>
      <c r="BZ3449" s="2" t="s">
        <v>27</v>
      </c>
      <c r="CA3449" s="2"/>
      <c r="CB3449" s="2"/>
      <c r="CC3449" s="2" t="s">
        <v>150</v>
      </c>
      <c r="CD3449" s="2">
        <v>4001</v>
      </c>
      <c r="CE3449" s="2" t="s">
        <v>104</v>
      </c>
      <c r="CF3449" s="5">
        <v>42978</v>
      </c>
      <c r="CG3449" s="2"/>
      <c r="CH3449" s="2"/>
      <c r="CI3449" s="2">
        <v>1</v>
      </c>
      <c r="CJ3449" s="2">
        <v>1</v>
      </c>
      <c r="CK3449" s="2">
        <v>21</v>
      </c>
      <c r="CL3449" s="2" t="s">
        <v>86</v>
      </c>
      <c r="CM3449" s="2"/>
    </row>
    <row r="3450" spans="1:91">
      <c r="A3450" s="2" t="s">
        <v>71</v>
      </c>
      <c r="B3450" s="2" t="s">
        <v>72</v>
      </c>
      <c r="C3450" s="2" t="s">
        <v>73</v>
      </c>
      <c r="D3450" s="2"/>
      <c r="E3450" s="2" t="str">
        <f>"FES1162571988"</f>
        <v>FES1162571988</v>
      </c>
      <c r="F3450" s="3">
        <v>42976</v>
      </c>
      <c r="G3450" s="2">
        <v>201802</v>
      </c>
      <c r="H3450" s="2" t="s">
        <v>74</v>
      </c>
      <c r="I3450" s="2" t="s">
        <v>75</v>
      </c>
      <c r="J3450" s="2" t="s">
        <v>76</v>
      </c>
      <c r="K3450" s="2" t="s">
        <v>77</v>
      </c>
      <c r="L3450" s="2" t="s">
        <v>362</v>
      </c>
      <c r="M3450" s="2" t="s">
        <v>363</v>
      </c>
      <c r="N3450" s="2" t="s">
        <v>1168</v>
      </c>
      <c r="O3450" s="2" t="s">
        <v>100</v>
      </c>
      <c r="P3450" s="2" t="str">
        <f>"2170587634                    "</f>
        <v xml:space="preserve">2170587634                    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4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0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  <c r="BG3450" s="2">
        <v>0</v>
      </c>
      <c r="BH3450" s="2">
        <v>1</v>
      </c>
      <c r="BI3450" s="2">
        <v>1</v>
      </c>
      <c r="BJ3450" s="2">
        <v>0.2</v>
      </c>
      <c r="BK3450" s="2">
        <v>1</v>
      </c>
      <c r="BL3450" s="2">
        <v>41.44</v>
      </c>
      <c r="BM3450" s="2">
        <v>5.8</v>
      </c>
      <c r="BN3450" s="2">
        <v>47.24</v>
      </c>
      <c r="BO3450" s="2">
        <v>47.24</v>
      </c>
      <c r="BP3450" s="2"/>
      <c r="BQ3450" s="2" t="s">
        <v>83</v>
      </c>
      <c r="BR3450" s="2" t="s">
        <v>84</v>
      </c>
      <c r="BS3450" s="3">
        <v>42977</v>
      </c>
      <c r="BT3450" s="4">
        <v>0.34166666666666662</v>
      </c>
      <c r="BU3450" s="2" t="s">
        <v>1169</v>
      </c>
      <c r="BV3450" s="2" t="s">
        <v>95</v>
      </c>
      <c r="BW3450" s="2"/>
      <c r="BX3450" s="2"/>
      <c r="BY3450" s="2">
        <v>1200</v>
      </c>
      <c r="BZ3450" s="2" t="s">
        <v>27</v>
      </c>
      <c r="CA3450" s="2" t="s">
        <v>1170</v>
      </c>
      <c r="CB3450" s="2"/>
      <c r="CC3450" s="2" t="s">
        <v>363</v>
      </c>
      <c r="CD3450" s="2">
        <v>3201</v>
      </c>
      <c r="CE3450" s="2" t="s">
        <v>104</v>
      </c>
      <c r="CF3450" s="5">
        <v>42978</v>
      </c>
      <c r="CG3450" s="2"/>
      <c r="CH3450" s="2"/>
      <c r="CI3450" s="2">
        <v>1</v>
      </c>
      <c r="CJ3450" s="2">
        <v>1</v>
      </c>
      <c r="CK3450" s="2">
        <v>21</v>
      </c>
      <c r="CL3450" s="2" t="s">
        <v>86</v>
      </c>
      <c r="CM3450" s="2"/>
    </row>
    <row r="3451" spans="1:91">
      <c r="A3451" s="2" t="s">
        <v>71</v>
      </c>
      <c r="B3451" s="2" t="s">
        <v>72</v>
      </c>
      <c r="C3451" s="2" t="s">
        <v>73</v>
      </c>
      <c r="D3451" s="2"/>
      <c r="E3451" s="2" t="str">
        <f>"FES1162571937"</f>
        <v>FES1162571937</v>
      </c>
      <c r="F3451" s="3">
        <v>42976</v>
      </c>
      <c r="G3451" s="2">
        <v>201802</v>
      </c>
      <c r="H3451" s="2" t="s">
        <v>74</v>
      </c>
      <c r="I3451" s="2" t="s">
        <v>75</v>
      </c>
      <c r="J3451" s="2" t="s">
        <v>76</v>
      </c>
      <c r="K3451" s="2" t="s">
        <v>77</v>
      </c>
      <c r="L3451" s="2" t="s">
        <v>3501</v>
      </c>
      <c r="M3451" s="2" t="s">
        <v>3502</v>
      </c>
      <c r="N3451" s="2" t="s">
        <v>93</v>
      </c>
      <c r="O3451" s="2" t="s">
        <v>100</v>
      </c>
      <c r="P3451" s="2" t="str">
        <f>"2170587552                    "</f>
        <v xml:space="preserve">2170587552                    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13.01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  <c r="BG3451" s="2">
        <v>0</v>
      </c>
      <c r="BH3451" s="2">
        <v>1</v>
      </c>
      <c r="BI3451" s="2">
        <v>2.5</v>
      </c>
      <c r="BJ3451" s="2">
        <v>3.5</v>
      </c>
      <c r="BK3451" s="2">
        <v>3.5</v>
      </c>
      <c r="BL3451" s="2">
        <v>134.69</v>
      </c>
      <c r="BM3451" s="2">
        <v>18.86</v>
      </c>
      <c r="BN3451" s="2">
        <v>153.55000000000001</v>
      </c>
      <c r="BO3451" s="2">
        <v>153.55000000000001</v>
      </c>
      <c r="BP3451" s="2"/>
      <c r="BQ3451" s="2"/>
      <c r="BR3451" s="2" t="s">
        <v>84</v>
      </c>
      <c r="BS3451" s="3">
        <v>42977</v>
      </c>
      <c r="BT3451" s="4">
        <v>0.41666666666666669</v>
      </c>
      <c r="BU3451" s="2" t="s">
        <v>3503</v>
      </c>
      <c r="BV3451" s="2" t="s">
        <v>95</v>
      </c>
      <c r="BW3451" s="2"/>
      <c r="BX3451" s="2"/>
      <c r="BY3451" s="2">
        <v>17301.400000000001</v>
      </c>
      <c r="BZ3451" s="2" t="s">
        <v>27</v>
      </c>
      <c r="CA3451" s="2"/>
      <c r="CB3451" s="2"/>
      <c r="CC3451" s="2" t="s">
        <v>3502</v>
      </c>
      <c r="CD3451" s="2">
        <v>9499</v>
      </c>
      <c r="CE3451" s="2" t="s">
        <v>89</v>
      </c>
      <c r="CF3451" s="2"/>
      <c r="CG3451" s="2"/>
      <c r="CH3451" s="2"/>
      <c r="CI3451" s="2">
        <v>1</v>
      </c>
      <c r="CJ3451" s="2">
        <v>1</v>
      </c>
      <c r="CK3451" s="2">
        <v>23</v>
      </c>
      <c r="CL3451" s="2" t="s">
        <v>86</v>
      </c>
      <c r="CM3451" s="2"/>
    </row>
    <row r="3452" spans="1:91">
      <c r="A3452" s="2" t="s">
        <v>71</v>
      </c>
      <c r="B3452" s="2" t="s">
        <v>72</v>
      </c>
      <c r="C3452" s="2" t="s">
        <v>73</v>
      </c>
      <c r="D3452" s="2"/>
      <c r="E3452" s="2" t="str">
        <f>"FES1162572062"</f>
        <v>FES1162572062</v>
      </c>
      <c r="F3452" s="3">
        <v>42976</v>
      </c>
      <c r="G3452" s="2">
        <v>201802</v>
      </c>
      <c r="H3452" s="2" t="s">
        <v>74</v>
      </c>
      <c r="I3452" s="2" t="s">
        <v>75</v>
      </c>
      <c r="J3452" s="2" t="s">
        <v>76</v>
      </c>
      <c r="K3452" s="2" t="s">
        <v>77</v>
      </c>
      <c r="L3452" s="2" t="s">
        <v>74</v>
      </c>
      <c r="M3452" s="2" t="s">
        <v>75</v>
      </c>
      <c r="N3452" s="2" t="s">
        <v>1385</v>
      </c>
      <c r="O3452" s="2" t="s">
        <v>100</v>
      </c>
      <c r="P3452" s="2" t="str">
        <f>"2170587679                    "</f>
        <v xml:space="preserve">2170587679                    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3.13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  <c r="BG3452" s="2">
        <v>0</v>
      </c>
      <c r="BH3452" s="2">
        <v>1</v>
      </c>
      <c r="BI3452" s="2">
        <v>1</v>
      </c>
      <c r="BJ3452" s="2">
        <v>0.2</v>
      </c>
      <c r="BK3452" s="2">
        <v>1</v>
      </c>
      <c r="BL3452" s="2">
        <v>32.380000000000003</v>
      </c>
      <c r="BM3452" s="2">
        <v>4.53</v>
      </c>
      <c r="BN3452" s="2">
        <v>36.909999999999997</v>
      </c>
      <c r="BO3452" s="2">
        <v>36.909999999999997</v>
      </c>
      <c r="BP3452" s="2"/>
      <c r="BQ3452" s="2" t="s">
        <v>108</v>
      </c>
      <c r="BR3452" s="2" t="s">
        <v>84</v>
      </c>
      <c r="BS3452" s="3">
        <v>42977</v>
      </c>
      <c r="BT3452" s="4">
        <v>0.33263888888888887</v>
      </c>
      <c r="BU3452" s="2" t="s">
        <v>3504</v>
      </c>
      <c r="BV3452" s="2" t="s">
        <v>95</v>
      </c>
      <c r="BW3452" s="2"/>
      <c r="BX3452" s="2"/>
      <c r="BY3452" s="2">
        <v>1200</v>
      </c>
      <c r="BZ3452" s="2" t="s">
        <v>27</v>
      </c>
      <c r="CA3452" s="2" t="s">
        <v>1448</v>
      </c>
      <c r="CB3452" s="2"/>
      <c r="CC3452" s="2" t="s">
        <v>75</v>
      </c>
      <c r="CD3452" s="2">
        <v>1609</v>
      </c>
      <c r="CE3452" s="2" t="s">
        <v>104</v>
      </c>
      <c r="CF3452" s="5">
        <v>42978</v>
      </c>
      <c r="CG3452" s="2"/>
      <c r="CH3452" s="2"/>
      <c r="CI3452" s="2">
        <v>1</v>
      </c>
      <c r="CJ3452" s="2">
        <v>1</v>
      </c>
      <c r="CK3452" s="2">
        <v>22</v>
      </c>
      <c r="CL3452" s="2" t="s">
        <v>86</v>
      </c>
      <c r="CM3452" s="2"/>
    </row>
    <row r="3453" spans="1:91">
      <c r="A3453" s="2" t="s">
        <v>71</v>
      </c>
      <c r="B3453" s="2" t="s">
        <v>72</v>
      </c>
      <c r="C3453" s="2" t="s">
        <v>73</v>
      </c>
      <c r="D3453" s="2"/>
      <c r="E3453" s="2" t="str">
        <f>"FES1162572039"</f>
        <v>FES1162572039</v>
      </c>
      <c r="F3453" s="3">
        <v>42976</v>
      </c>
      <c r="G3453" s="2">
        <v>201802</v>
      </c>
      <c r="H3453" s="2" t="s">
        <v>74</v>
      </c>
      <c r="I3453" s="2" t="s">
        <v>75</v>
      </c>
      <c r="J3453" s="2" t="s">
        <v>76</v>
      </c>
      <c r="K3453" s="2" t="s">
        <v>77</v>
      </c>
      <c r="L3453" s="2" t="s">
        <v>1229</v>
      </c>
      <c r="M3453" s="2" t="s">
        <v>1230</v>
      </c>
      <c r="N3453" s="2" t="s">
        <v>1231</v>
      </c>
      <c r="O3453" s="2" t="s">
        <v>100</v>
      </c>
      <c r="P3453" s="2" t="str">
        <f>"2170585295                    "</f>
        <v xml:space="preserve">2170585295                    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3.13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0</v>
      </c>
      <c r="BH3453" s="2">
        <v>1</v>
      </c>
      <c r="BI3453" s="2">
        <v>6</v>
      </c>
      <c r="BJ3453" s="2">
        <v>7.6</v>
      </c>
      <c r="BK3453" s="2">
        <v>8</v>
      </c>
      <c r="BL3453" s="2">
        <v>32.380000000000003</v>
      </c>
      <c r="BM3453" s="2">
        <v>4.53</v>
      </c>
      <c r="BN3453" s="2">
        <v>36.909999999999997</v>
      </c>
      <c r="BO3453" s="2">
        <v>36.909999999999997</v>
      </c>
      <c r="BP3453" s="2"/>
      <c r="BQ3453" s="2" t="s">
        <v>108</v>
      </c>
      <c r="BR3453" s="2" t="s">
        <v>84</v>
      </c>
      <c r="BS3453" s="3">
        <v>42977</v>
      </c>
      <c r="BT3453" s="4">
        <v>0.43402777777777773</v>
      </c>
      <c r="BU3453" s="2" t="s">
        <v>3505</v>
      </c>
      <c r="BV3453" s="2" t="s">
        <v>95</v>
      </c>
      <c r="BW3453" s="2"/>
      <c r="BX3453" s="2"/>
      <c r="BY3453" s="2">
        <v>38000</v>
      </c>
      <c r="BZ3453" s="2" t="s">
        <v>27</v>
      </c>
      <c r="CA3453" s="2" t="s">
        <v>1738</v>
      </c>
      <c r="CB3453" s="2"/>
      <c r="CC3453" s="2" t="s">
        <v>1230</v>
      </c>
      <c r="CD3453" s="2">
        <v>1449</v>
      </c>
      <c r="CE3453" s="2" t="s">
        <v>108</v>
      </c>
      <c r="CF3453" s="5">
        <v>42978</v>
      </c>
      <c r="CG3453" s="2"/>
      <c r="CH3453" s="2"/>
      <c r="CI3453" s="2">
        <v>1</v>
      </c>
      <c r="CJ3453" s="2">
        <v>1</v>
      </c>
      <c r="CK3453" s="2">
        <v>22</v>
      </c>
      <c r="CL3453" s="2" t="s">
        <v>86</v>
      </c>
      <c r="CM3453" s="2"/>
    </row>
    <row r="3454" spans="1:91">
      <c r="A3454" s="2" t="s">
        <v>71</v>
      </c>
      <c r="B3454" s="2" t="s">
        <v>72</v>
      </c>
      <c r="C3454" s="2" t="s">
        <v>73</v>
      </c>
      <c r="D3454" s="2"/>
      <c r="E3454" s="2" t="str">
        <f>"FES1162571994"</f>
        <v>FES1162571994</v>
      </c>
      <c r="F3454" s="3">
        <v>42976</v>
      </c>
      <c r="G3454" s="2">
        <v>201802</v>
      </c>
      <c r="H3454" s="2" t="s">
        <v>74</v>
      </c>
      <c r="I3454" s="2" t="s">
        <v>75</v>
      </c>
      <c r="J3454" s="2" t="s">
        <v>76</v>
      </c>
      <c r="K3454" s="2" t="s">
        <v>77</v>
      </c>
      <c r="L3454" s="2" t="s">
        <v>268</v>
      </c>
      <c r="M3454" s="2" t="s">
        <v>269</v>
      </c>
      <c r="N3454" s="2" t="s">
        <v>3506</v>
      </c>
      <c r="O3454" s="2" t="s">
        <v>100</v>
      </c>
      <c r="P3454" s="2" t="str">
        <f>"2170584895                    "</f>
        <v xml:space="preserve">2170584895                    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4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  <c r="BG3454" s="2">
        <v>0</v>
      </c>
      <c r="BH3454" s="2">
        <v>1</v>
      </c>
      <c r="BI3454" s="2">
        <v>1</v>
      </c>
      <c r="BJ3454" s="2">
        <v>0.2</v>
      </c>
      <c r="BK3454" s="2">
        <v>1</v>
      </c>
      <c r="BL3454" s="2">
        <v>41.44</v>
      </c>
      <c r="BM3454" s="2">
        <v>5.8</v>
      </c>
      <c r="BN3454" s="2">
        <v>47.24</v>
      </c>
      <c r="BO3454" s="2">
        <v>47.24</v>
      </c>
      <c r="BP3454" s="2"/>
      <c r="BQ3454" s="2"/>
      <c r="BR3454" s="2" t="s">
        <v>84</v>
      </c>
      <c r="BS3454" s="3">
        <v>42977</v>
      </c>
      <c r="BT3454" s="4">
        <v>0.45833333333333331</v>
      </c>
      <c r="BU3454" s="2" t="s">
        <v>3507</v>
      </c>
      <c r="BV3454" s="2" t="s">
        <v>86</v>
      </c>
      <c r="BW3454" s="2" t="s">
        <v>110</v>
      </c>
      <c r="BX3454" s="2" t="s">
        <v>623</v>
      </c>
      <c r="BY3454" s="2">
        <v>1200</v>
      </c>
      <c r="BZ3454" s="2" t="s">
        <v>27</v>
      </c>
      <c r="CA3454" s="2" t="s">
        <v>638</v>
      </c>
      <c r="CB3454" s="2"/>
      <c r="CC3454" s="2" t="s">
        <v>269</v>
      </c>
      <c r="CD3454" s="2">
        <v>184</v>
      </c>
      <c r="CE3454" s="2" t="s">
        <v>104</v>
      </c>
      <c r="CF3454" s="5">
        <v>42978</v>
      </c>
      <c r="CG3454" s="2"/>
      <c r="CH3454" s="2"/>
      <c r="CI3454" s="2">
        <v>1</v>
      </c>
      <c r="CJ3454" s="2">
        <v>1</v>
      </c>
      <c r="CK3454" s="2">
        <v>21</v>
      </c>
      <c r="CL3454" s="2" t="s">
        <v>86</v>
      </c>
      <c r="CM3454" s="2"/>
    </row>
    <row r="3455" spans="1:91">
      <c r="A3455" s="2" t="s">
        <v>71</v>
      </c>
      <c r="B3455" s="2" t="s">
        <v>72</v>
      </c>
      <c r="C3455" s="2" t="s">
        <v>73</v>
      </c>
      <c r="D3455" s="2"/>
      <c r="E3455" s="2" t="str">
        <f>"FES1162572071"</f>
        <v>FES1162572071</v>
      </c>
      <c r="F3455" s="3">
        <v>42976</v>
      </c>
      <c r="G3455" s="2">
        <v>201802</v>
      </c>
      <c r="H3455" s="2" t="s">
        <v>74</v>
      </c>
      <c r="I3455" s="2" t="s">
        <v>75</v>
      </c>
      <c r="J3455" s="2" t="s">
        <v>76</v>
      </c>
      <c r="K3455" s="2" t="s">
        <v>77</v>
      </c>
      <c r="L3455" s="2" t="s">
        <v>244</v>
      </c>
      <c r="M3455" s="2" t="s">
        <v>245</v>
      </c>
      <c r="N3455" s="2" t="s">
        <v>3508</v>
      </c>
      <c r="O3455" s="2" t="s">
        <v>100</v>
      </c>
      <c r="P3455" s="2" t="str">
        <f>"2170587669                    "</f>
        <v xml:space="preserve">2170587669                    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3.13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0</v>
      </c>
      <c r="BH3455" s="2">
        <v>1</v>
      </c>
      <c r="BI3455" s="2">
        <v>3.6</v>
      </c>
      <c r="BJ3455" s="2">
        <v>3.4</v>
      </c>
      <c r="BK3455" s="2">
        <v>4</v>
      </c>
      <c r="BL3455" s="2">
        <v>32.380000000000003</v>
      </c>
      <c r="BM3455" s="2">
        <v>4.53</v>
      </c>
      <c r="BN3455" s="2">
        <v>36.909999999999997</v>
      </c>
      <c r="BO3455" s="2">
        <v>36.909999999999997</v>
      </c>
      <c r="BP3455" s="2"/>
      <c r="BQ3455" s="2" t="s">
        <v>3509</v>
      </c>
      <c r="BR3455" s="2" t="s">
        <v>84</v>
      </c>
      <c r="BS3455" s="3">
        <v>42977</v>
      </c>
      <c r="BT3455" s="4">
        <v>0.34027777777777773</v>
      </c>
      <c r="BU3455" s="2" t="s">
        <v>3510</v>
      </c>
      <c r="BV3455" s="2" t="s">
        <v>95</v>
      </c>
      <c r="BW3455" s="2"/>
      <c r="BX3455" s="2"/>
      <c r="BY3455" s="2">
        <v>17200.509999999998</v>
      </c>
      <c r="BZ3455" s="2" t="s">
        <v>27</v>
      </c>
      <c r="CA3455" s="2" t="s">
        <v>499</v>
      </c>
      <c r="CB3455" s="2"/>
      <c r="CC3455" s="2" t="s">
        <v>245</v>
      </c>
      <c r="CD3455" s="2">
        <v>1459</v>
      </c>
      <c r="CE3455" s="2" t="s">
        <v>89</v>
      </c>
      <c r="CF3455" s="5">
        <v>42978</v>
      </c>
      <c r="CG3455" s="2"/>
      <c r="CH3455" s="2"/>
      <c r="CI3455" s="2">
        <v>1</v>
      </c>
      <c r="CJ3455" s="2">
        <v>1</v>
      </c>
      <c r="CK3455" s="2">
        <v>22</v>
      </c>
      <c r="CL3455" s="2" t="s">
        <v>86</v>
      </c>
      <c r="CM3455" s="2"/>
    </row>
    <row r="3456" spans="1:91">
      <c r="A3456" s="2" t="s">
        <v>71</v>
      </c>
      <c r="B3456" s="2" t="s">
        <v>72</v>
      </c>
      <c r="C3456" s="2" t="s">
        <v>73</v>
      </c>
      <c r="D3456" s="2"/>
      <c r="E3456" s="2" t="str">
        <f>"FES1162571998"</f>
        <v>FES1162571998</v>
      </c>
      <c r="F3456" s="3">
        <v>42976</v>
      </c>
      <c r="G3456" s="2">
        <v>201802</v>
      </c>
      <c r="H3456" s="2" t="s">
        <v>74</v>
      </c>
      <c r="I3456" s="2" t="s">
        <v>75</v>
      </c>
      <c r="J3456" s="2" t="s">
        <v>76</v>
      </c>
      <c r="K3456" s="2" t="s">
        <v>77</v>
      </c>
      <c r="L3456" s="2" t="s">
        <v>137</v>
      </c>
      <c r="M3456" s="2" t="s">
        <v>138</v>
      </c>
      <c r="N3456" s="2" t="s">
        <v>368</v>
      </c>
      <c r="O3456" s="2" t="s">
        <v>100</v>
      </c>
      <c r="P3456" s="2" t="str">
        <f>"2170586409                    "</f>
        <v xml:space="preserve">2170586409                    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4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1</v>
      </c>
      <c r="BI3456" s="2">
        <v>1</v>
      </c>
      <c r="BJ3456" s="2">
        <v>0.2</v>
      </c>
      <c r="BK3456" s="2">
        <v>1</v>
      </c>
      <c r="BL3456" s="2">
        <v>41.44</v>
      </c>
      <c r="BM3456" s="2">
        <v>5.8</v>
      </c>
      <c r="BN3456" s="2">
        <v>47.24</v>
      </c>
      <c r="BO3456" s="2">
        <v>47.24</v>
      </c>
      <c r="BP3456" s="2"/>
      <c r="BQ3456" s="2" t="s">
        <v>108</v>
      </c>
      <c r="BR3456" s="2" t="s">
        <v>84</v>
      </c>
      <c r="BS3456" s="3">
        <v>42977</v>
      </c>
      <c r="BT3456" s="4">
        <v>0.3527777777777778</v>
      </c>
      <c r="BU3456" s="2" t="s">
        <v>1109</v>
      </c>
      <c r="BV3456" s="2" t="s">
        <v>95</v>
      </c>
      <c r="BW3456" s="2"/>
      <c r="BX3456" s="2"/>
      <c r="BY3456" s="2">
        <v>1200</v>
      </c>
      <c r="BZ3456" s="2" t="s">
        <v>27</v>
      </c>
      <c r="CA3456" s="2"/>
      <c r="CB3456" s="2"/>
      <c r="CC3456" s="2" t="s">
        <v>138</v>
      </c>
      <c r="CD3456" s="2">
        <v>157</v>
      </c>
      <c r="CE3456" s="2" t="s">
        <v>104</v>
      </c>
      <c r="CF3456" s="5">
        <v>42978</v>
      </c>
      <c r="CG3456" s="2"/>
      <c r="CH3456" s="2"/>
      <c r="CI3456" s="2">
        <v>1</v>
      </c>
      <c r="CJ3456" s="2">
        <v>1</v>
      </c>
      <c r="CK3456" s="2">
        <v>21</v>
      </c>
      <c r="CL3456" s="2" t="s">
        <v>86</v>
      </c>
      <c r="CM3456" s="2"/>
    </row>
    <row r="3457" spans="1:91">
      <c r="A3457" s="2" t="s">
        <v>71</v>
      </c>
      <c r="B3457" s="2" t="s">
        <v>72</v>
      </c>
      <c r="C3457" s="2" t="s">
        <v>73</v>
      </c>
      <c r="D3457" s="2"/>
      <c r="E3457" s="2" t="str">
        <f>"FES1162572106"</f>
        <v>FES1162572106</v>
      </c>
      <c r="F3457" s="3">
        <v>42976</v>
      </c>
      <c r="G3457" s="2">
        <v>201802</v>
      </c>
      <c r="H3457" s="2" t="s">
        <v>74</v>
      </c>
      <c r="I3457" s="2" t="s">
        <v>75</v>
      </c>
      <c r="J3457" s="2" t="s">
        <v>76</v>
      </c>
      <c r="K3457" s="2" t="s">
        <v>77</v>
      </c>
      <c r="L3457" s="2" t="s">
        <v>97</v>
      </c>
      <c r="M3457" s="2" t="s">
        <v>98</v>
      </c>
      <c r="N3457" s="2" t="s">
        <v>292</v>
      </c>
      <c r="O3457" s="2" t="s">
        <v>100</v>
      </c>
      <c r="P3457" s="2" t="str">
        <f>"2170587723                    "</f>
        <v xml:space="preserve">2170587723                    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4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0</v>
      </c>
      <c r="BH3457" s="2">
        <v>1</v>
      </c>
      <c r="BI3457" s="2">
        <v>1</v>
      </c>
      <c r="BJ3457" s="2">
        <v>0.2</v>
      </c>
      <c r="BK3457" s="2">
        <v>1</v>
      </c>
      <c r="BL3457" s="2">
        <v>41.44</v>
      </c>
      <c r="BM3457" s="2">
        <v>5.8</v>
      </c>
      <c r="BN3457" s="2">
        <v>47.24</v>
      </c>
      <c r="BO3457" s="2">
        <v>47.24</v>
      </c>
      <c r="BP3457" s="2"/>
      <c r="BQ3457" s="2" t="s">
        <v>83</v>
      </c>
      <c r="BR3457" s="2" t="s">
        <v>84</v>
      </c>
      <c r="BS3457" s="3">
        <v>42977</v>
      </c>
      <c r="BT3457" s="4">
        <v>0.30555555555555552</v>
      </c>
      <c r="BU3457" s="2" t="s">
        <v>1288</v>
      </c>
      <c r="BV3457" s="2" t="s">
        <v>95</v>
      </c>
      <c r="BW3457" s="2"/>
      <c r="BX3457" s="2"/>
      <c r="BY3457" s="2">
        <v>1200</v>
      </c>
      <c r="BZ3457" s="2" t="s">
        <v>27</v>
      </c>
      <c r="CA3457" s="2" t="s">
        <v>294</v>
      </c>
      <c r="CB3457" s="2"/>
      <c r="CC3457" s="2" t="s">
        <v>98</v>
      </c>
      <c r="CD3457" s="2">
        <v>6001</v>
      </c>
      <c r="CE3457" s="2" t="s">
        <v>104</v>
      </c>
      <c r="CF3457" s="5">
        <v>42978</v>
      </c>
      <c r="CG3457" s="2"/>
      <c r="CH3457" s="2"/>
      <c r="CI3457" s="2">
        <v>1</v>
      </c>
      <c r="CJ3457" s="2">
        <v>1</v>
      </c>
      <c r="CK3457" s="2">
        <v>21</v>
      </c>
      <c r="CL3457" s="2" t="s">
        <v>86</v>
      </c>
      <c r="CM3457" s="2"/>
    </row>
    <row r="3458" spans="1:91">
      <c r="A3458" s="2" t="s">
        <v>71</v>
      </c>
      <c r="B3458" s="2" t="s">
        <v>72</v>
      </c>
      <c r="C3458" s="2" t="s">
        <v>73</v>
      </c>
      <c r="D3458" s="2"/>
      <c r="E3458" s="2" t="str">
        <f>"FES1162572086"</f>
        <v>FES1162572086</v>
      </c>
      <c r="F3458" s="3">
        <v>42976</v>
      </c>
      <c r="G3458" s="2">
        <v>201802</v>
      </c>
      <c r="H3458" s="2" t="s">
        <v>74</v>
      </c>
      <c r="I3458" s="2" t="s">
        <v>75</v>
      </c>
      <c r="J3458" s="2" t="s">
        <v>76</v>
      </c>
      <c r="K3458" s="2" t="s">
        <v>77</v>
      </c>
      <c r="L3458" s="2" t="s">
        <v>311</v>
      </c>
      <c r="M3458" s="2" t="s">
        <v>312</v>
      </c>
      <c r="N3458" s="2" t="s">
        <v>3511</v>
      </c>
      <c r="O3458" s="2" t="s">
        <v>100</v>
      </c>
      <c r="P3458" s="2" t="str">
        <f>"2170586888                    "</f>
        <v xml:space="preserve">2170586888                    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3.13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  <c r="BG3458" s="2">
        <v>0</v>
      </c>
      <c r="BH3458" s="2">
        <v>1</v>
      </c>
      <c r="BI3458" s="2">
        <v>5.3</v>
      </c>
      <c r="BJ3458" s="2">
        <v>1.9</v>
      </c>
      <c r="BK3458" s="2">
        <v>6</v>
      </c>
      <c r="BL3458" s="2">
        <v>32.380000000000003</v>
      </c>
      <c r="BM3458" s="2">
        <v>4.53</v>
      </c>
      <c r="BN3458" s="2">
        <v>36.909999999999997</v>
      </c>
      <c r="BO3458" s="2">
        <v>36.909999999999997</v>
      </c>
      <c r="BP3458" s="2"/>
      <c r="BQ3458" s="2" t="s">
        <v>108</v>
      </c>
      <c r="BR3458" s="2" t="s">
        <v>84</v>
      </c>
      <c r="BS3458" s="3">
        <v>42977</v>
      </c>
      <c r="BT3458" s="4">
        <v>0.3444444444444445</v>
      </c>
      <c r="BU3458" s="2" t="s">
        <v>3512</v>
      </c>
      <c r="BV3458" s="2" t="s">
        <v>95</v>
      </c>
      <c r="BW3458" s="2"/>
      <c r="BX3458" s="2"/>
      <c r="BY3458" s="2">
        <v>9672.84</v>
      </c>
      <c r="BZ3458" s="2" t="s">
        <v>27</v>
      </c>
      <c r="CA3458" s="2"/>
      <c r="CB3458" s="2"/>
      <c r="CC3458" s="2" t="s">
        <v>312</v>
      </c>
      <c r="CD3458" s="2">
        <v>1560</v>
      </c>
      <c r="CE3458" s="2" t="s">
        <v>89</v>
      </c>
      <c r="CF3458" s="5">
        <v>42978</v>
      </c>
      <c r="CG3458" s="2"/>
      <c r="CH3458" s="2"/>
      <c r="CI3458" s="2">
        <v>1</v>
      </c>
      <c r="CJ3458" s="2">
        <v>1</v>
      </c>
      <c r="CK3458" s="2">
        <v>22</v>
      </c>
      <c r="CL3458" s="2" t="s">
        <v>86</v>
      </c>
      <c r="CM3458" s="2"/>
    </row>
    <row r="3459" spans="1:91">
      <c r="A3459" s="2" t="s">
        <v>71</v>
      </c>
      <c r="B3459" s="2" t="s">
        <v>72</v>
      </c>
      <c r="C3459" s="2" t="s">
        <v>73</v>
      </c>
      <c r="D3459" s="2"/>
      <c r="E3459" s="2" t="str">
        <f>"FES1162572030"</f>
        <v>FES1162572030</v>
      </c>
      <c r="F3459" s="3">
        <v>42976</v>
      </c>
      <c r="G3459" s="2">
        <v>201802</v>
      </c>
      <c r="H3459" s="2" t="s">
        <v>74</v>
      </c>
      <c r="I3459" s="2" t="s">
        <v>75</v>
      </c>
      <c r="J3459" s="2" t="s">
        <v>76</v>
      </c>
      <c r="K3459" s="2" t="s">
        <v>77</v>
      </c>
      <c r="L3459" s="2" t="s">
        <v>268</v>
      </c>
      <c r="M3459" s="2" t="s">
        <v>269</v>
      </c>
      <c r="N3459" s="2" t="s">
        <v>982</v>
      </c>
      <c r="O3459" s="2" t="s">
        <v>100</v>
      </c>
      <c r="P3459" s="2" t="str">
        <f>"2170584009                    "</f>
        <v xml:space="preserve">2170584009                    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4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0</v>
      </c>
      <c r="BH3459" s="2">
        <v>1</v>
      </c>
      <c r="BI3459" s="2">
        <v>1.1000000000000001</v>
      </c>
      <c r="BJ3459" s="2">
        <v>1.6</v>
      </c>
      <c r="BK3459" s="2">
        <v>2</v>
      </c>
      <c r="BL3459" s="2">
        <v>41.44</v>
      </c>
      <c r="BM3459" s="2">
        <v>5.8</v>
      </c>
      <c r="BN3459" s="2">
        <v>47.24</v>
      </c>
      <c r="BO3459" s="2">
        <v>47.24</v>
      </c>
      <c r="BP3459" s="2"/>
      <c r="BQ3459" s="2" t="s">
        <v>108</v>
      </c>
      <c r="BR3459" s="2" t="s">
        <v>84</v>
      </c>
      <c r="BS3459" s="3">
        <v>42977</v>
      </c>
      <c r="BT3459" s="4">
        <v>0.4236111111111111</v>
      </c>
      <c r="BU3459" s="2" t="s">
        <v>3486</v>
      </c>
      <c r="BV3459" s="2" t="s">
        <v>95</v>
      </c>
      <c r="BW3459" s="2"/>
      <c r="BX3459" s="2"/>
      <c r="BY3459" s="2">
        <v>7931.92</v>
      </c>
      <c r="BZ3459" s="2" t="s">
        <v>27</v>
      </c>
      <c r="CA3459" s="2"/>
      <c r="CB3459" s="2"/>
      <c r="CC3459" s="2" t="s">
        <v>269</v>
      </c>
      <c r="CD3459" s="2">
        <v>200</v>
      </c>
      <c r="CE3459" s="2" t="s">
        <v>89</v>
      </c>
      <c r="CF3459" s="5">
        <v>42978</v>
      </c>
      <c r="CG3459" s="2"/>
      <c r="CH3459" s="2"/>
      <c r="CI3459" s="2">
        <v>1</v>
      </c>
      <c r="CJ3459" s="2">
        <v>1</v>
      </c>
      <c r="CK3459" s="2">
        <v>21</v>
      </c>
      <c r="CL3459" s="2" t="s">
        <v>86</v>
      </c>
      <c r="CM3459" s="2"/>
    </row>
    <row r="3460" spans="1:91">
      <c r="A3460" s="2" t="s">
        <v>71</v>
      </c>
      <c r="B3460" s="2" t="s">
        <v>72</v>
      </c>
      <c r="C3460" s="2" t="s">
        <v>73</v>
      </c>
      <c r="D3460" s="2"/>
      <c r="E3460" s="2" t="str">
        <f>"FES1162572015"</f>
        <v>FES1162572015</v>
      </c>
      <c r="F3460" s="3">
        <v>42976</v>
      </c>
      <c r="G3460" s="2">
        <v>201802</v>
      </c>
      <c r="H3460" s="2" t="s">
        <v>74</v>
      </c>
      <c r="I3460" s="2" t="s">
        <v>75</v>
      </c>
      <c r="J3460" s="2" t="s">
        <v>76</v>
      </c>
      <c r="K3460" s="2" t="s">
        <v>77</v>
      </c>
      <c r="L3460" s="2" t="s">
        <v>237</v>
      </c>
      <c r="M3460" s="2" t="s">
        <v>238</v>
      </c>
      <c r="N3460" s="2" t="s">
        <v>2002</v>
      </c>
      <c r="O3460" s="2" t="s">
        <v>100</v>
      </c>
      <c r="P3460" s="2" t="str">
        <f>"2170582405                    "</f>
        <v xml:space="preserve">2170582405                    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4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0</v>
      </c>
      <c r="AV3460" s="2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  <c r="BG3460" s="2">
        <v>0</v>
      </c>
      <c r="BH3460" s="2">
        <v>1</v>
      </c>
      <c r="BI3460" s="2">
        <v>0.8</v>
      </c>
      <c r="BJ3460" s="2">
        <v>1.7</v>
      </c>
      <c r="BK3460" s="2">
        <v>2</v>
      </c>
      <c r="BL3460" s="2">
        <v>41.44</v>
      </c>
      <c r="BM3460" s="2">
        <v>5.8</v>
      </c>
      <c r="BN3460" s="2">
        <v>47.24</v>
      </c>
      <c r="BO3460" s="2">
        <v>47.24</v>
      </c>
      <c r="BP3460" s="2"/>
      <c r="BQ3460" s="2" t="s">
        <v>365</v>
      </c>
      <c r="BR3460" s="2" t="s">
        <v>84</v>
      </c>
      <c r="BS3460" s="3">
        <v>42977</v>
      </c>
      <c r="BT3460" s="4">
        <v>0.36874999999999997</v>
      </c>
      <c r="BU3460" s="2" t="s">
        <v>3513</v>
      </c>
      <c r="BV3460" s="2" t="s">
        <v>95</v>
      </c>
      <c r="BW3460" s="2"/>
      <c r="BX3460" s="2"/>
      <c r="BY3460" s="2">
        <v>8553.6</v>
      </c>
      <c r="BZ3460" s="2" t="s">
        <v>27</v>
      </c>
      <c r="CA3460" s="2" t="s">
        <v>672</v>
      </c>
      <c r="CB3460" s="2"/>
      <c r="CC3460" s="2" t="s">
        <v>238</v>
      </c>
      <c r="CD3460" s="2">
        <v>3610</v>
      </c>
      <c r="CE3460" s="2" t="s">
        <v>89</v>
      </c>
      <c r="CF3460" s="5">
        <v>42978</v>
      </c>
      <c r="CG3460" s="2"/>
      <c r="CH3460" s="2"/>
      <c r="CI3460" s="2">
        <v>1</v>
      </c>
      <c r="CJ3460" s="2">
        <v>1</v>
      </c>
      <c r="CK3460" s="2">
        <v>21</v>
      </c>
      <c r="CL3460" s="2" t="s">
        <v>86</v>
      </c>
      <c r="CM3460" s="2"/>
    </row>
    <row r="3461" spans="1:91">
      <c r="A3461" s="2" t="s">
        <v>71</v>
      </c>
      <c r="B3461" s="2" t="s">
        <v>72</v>
      </c>
      <c r="C3461" s="2" t="s">
        <v>73</v>
      </c>
      <c r="D3461" s="2"/>
      <c r="E3461" s="2" t="str">
        <f>"FES1162572006"</f>
        <v>FES1162572006</v>
      </c>
      <c r="F3461" s="3">
        <v>42976</v>
      </c>
      <c r="G3461" s="2">
        <v>201802</v>
      </c>
      <c r="H3461" s="2" t="s">
        <v>74</v>
      </c>
      <c r="I3461" s="2" t="s">
        <v>75</v>
      </c>
      <c r="J3461" s="2" t="s">
        <v>76</v>
      </c>
      <c r="K3461" s="2" t="s">
        <v>77</v>
      </c>
      <c r="L3461" s="2" t="s">
        <v>237</v>
      </c>
      <c r="M3461" s="2" t="s">
        <v>238</v>
      </c>
      <c r="N3461" s="2" t="s">
        <v>239</v>
      </c>
      <c r="O3461" s="2" t="s">
        <v>100</v>
      </c>
      <c r="P3461" s="2" t="str">
        <f>"21705878741                   "</f>
        <v xml:space="preserve">21705878741                   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12.01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1</v>
      </c>
      <c r="BI3461" s="2">
        <v>2.5</v>
      </c>
      <c r="BJ3461" s="2">
        <v>5.6</v>
      </c>
      <c r="BK3461" s="2">
        <v>6</v>
      </c>
      <c r="BL3461" s="2">
        <v>124.33</v>
      </c>
      <c r="BM3461" s="2">
        <v>17.41</v>
      </c>
      <c r="BN3461" s="2">
        <v>141.74</v>
      </c>
      <c r="BO3461" s="2">
        <v>141.74</v>
      </c>
      <c r="BP3461" s="2"/>
      <c r="BQ3461" s="2" t="s">
        <v>83</v>
      </c>
      <c r="BR3461" s="2" t="s">
        <v>84</v>
      </c>
      <c r="BS3461" s="3">
        <v>42977</v>
      </c>
      <c r="BT3461" s="4">
        <v>0.40972222222222227</v>
      </c>
      <c r="BU3461" s="2" t="s">
        <v>825</v>
      </c>
      <c r="BV3461" s="2" t="s">
        <v>95</v>
      </c>
      <c r="BW3461" s="2"/>
      <c r="BX3461" s="2"/>
      <c r="BY3461" s="2">
        <v>28016.639999999999</v>
      </c>
      <c r="BZ3461" s="2" t="s">
        <v>27</v>
      </c>
      <c r="CA3461" s="2" t="s">
        <v>672</v>
      </c>
      <c r="CB3461" s="2"/>
      <c r="CC3461" s="2" t="s">
        <v>238</v>
      </c>
      <c r="CD3461" s="2">
        <v>3610</v>
      </c>
      <c r="CE3461" s="2" t="s">
        <v>948</v>
      </c>
      <c r="CF3461" s="5">
        <v>42978</v>
      </c>
      <c r="CG3461" s="2"/>
      <c r="CH3461" s="2"/>
      <c r="CI3461" s="2">
        <v>1</v>
      </c>
      <c r="CJ3461" s="2">
        <v>1</v>
      </c>
      <c r="CK3461" s="2">
        <v>21</v>
      </c>
      <c r="CL3461" s="2" t="s">
        <v>86</v>
      </c>
      <c r="CM3461" s="2"/>
    </row>
    <row r="3462" spans="1:91">
      <c r="A3462" s="2" t="s">
        <v>71</v>
      </c>
      <c r="B3462" s="2" t="s">
        <v>72</v>
      </c>
      <c r="C3462" s="2" t="s">
        <v>73</v>
      </c>
      <c r="D3462" s="2"/>
      <c r="E3462" s="2" t="str">
        <f>"FES1162572048"</f>
        <v>FES1162572048</v>
      </c>
      <c r="F3462" s="3">
        <v>42976</v>
      </c>
      <c r="G3462" s="2">
        <v>201802</v>
      </c>
      <c r="H3462" s="2" t="s">
        <v>74</v>
      </c>
      <c r="I3462" s="2" t="s">
        <v>75</v>
      </c>
      <c r="J3462" s="2" t="s">
        <v>76</v>
      </c>
      <c r="K3462" s="2" t="s">
        <v>77</v>
      </c>
      <c r="L3462" s="2" t="s">
        <v>237</v>
      </c>
      <c r="M3462" s="2" t="s">
        <v>238</v>
      </c>
      <c r="N3462" s="2" t="s">
        <v>239</v>
      </c>
      <c r="O3462" s="2" t="s">
        <v>100</v>
      </c>
      <c r="P3462" s="2" t="str">
        <f>"2170580044                    "</f>
        <v xml:space="preserve">2170580044                    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17.010000000000002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1</v>
      </c>
      <c r="BI3462" s="2">
        <v>5.7</v>
      </c>
      <c r="BJ3462" s="2">
        <v>8.5</v>
      </c>
      <c r="BK3462" s="2">
        <v>8.5</v>
      </c>
      <c r="BL3462" s="2">
        <v>176.13</v>
      </c>
      <c r="BM3462" s="2">
        <v>24.66</v>
      </c>
      <c r="BN3462" s="2">
        <v>200.79</v>
      </c>
      <c r="BO3462" s="2">
        <v>200.79</v>
      </c>
      <c r="BP3462" s="2"/>
      <c r="BQ3462" s="2" t="s">
        <v>83</v>
      </c>
      <c r="BR3462" s="2" t="s">
        <v>84</v>
      </c>
      <c r="BS3462" s="3">
        <v>42977</v>
      </c>
      <c r="BT3462" s="4">
        <v>0.41041666666666665</v>
      </c>
      <c r="BU3462" s="2" t="s">
        <v>825</v>
      </c>
      <c r="BV3462" s="2" t="s">
        <v>95</v>
      </c>
      <c r="BW3462" s="2"/>
      <c r="BX3462" s="2"/>
      <c r="BY3462" s="2">
        <v>42556.959999999999</v>
      </c>
      <c r="BZ3462" s="2" t="s">
        <v>27</v>
      </c>
      <c r="CA3462" s="2" t="s">
        <v>672</v>
      </c>
      <c r="CB3462" s="2"/>
      <c r="CC3462" s="2" t="s">
        <v>238</v>
      </c>
      <c r="CD3462" s="2">
        <v>3610</v>
      </c>
      <c r="CE3462" s="2" t="s">
        <v>948</v>
      </c>
      <c r="CF3462" s="5">
        <v>42978</v>
      </c>
      <c r="CG3462" s="2"/>
      <c r="CH3462" s="2"/>
      <c r="CI3462" s="2">
        <v>1</v>
      </c>
      <c r="CJ3462" s="2">
        <v>1</v>
      </c>
      <c r="CK3462" s="2">
        <v>21</v>
      </c>
      <c r="CL3462" s="2" t="s">
        <v>86</v>
      </c>
      <c r="CM3462" s="2"/>
    </row>
    <row r="3463" spans="1:91">
      <c r="A3463" s="2" t="s">
        <v>71</v>
      </c>
      <c r="B3463" s="2" t="s">
        <v>72</v>
      </c>
      <c r="C3463" s="2" t="s">
        <v>73</v>
      </c>
      <c r="D3463" s="2"/>
      <c r="E3463" s="2" t="str">
        <f>"FES1162572033"</f>
        <v>FES1162572033</v>
      </c>
      <c r="F3463" s="3">
        <v>42976</v>
      </c>
      <c r="G3463" s="2">
        <v>201802</v>
      </c>
      <c r="H3463" s="2" t="s">
        <v>74</v>
      </c>
      <c r="I3463" s="2" t="s">
        <v>75</v>
      </c>
      <c r="J3463" s="2" t="s">
        <v>76</v>
      </c>
      <c r="K3463" s="2" t="s">
        <v>77</v>
      </c>
      <c r="L3463" s="2" t="s">
        <v>221</v>
      </c>
      <c r="M3463" s="2" t="s">
        <v>222</v>
      </c>
      <c r="N3463" s="2" t="s">
        <v>1275</v>
      </c>
      <c r="O3463" s="2" t="s">
        <v>100</v>
      </c>
      <c r="P3463" s="2" t="str">
        <f>"2170584218                    "</f>
        <v xml:space="preserve">2170584218                    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6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  <c r="BG3463" s="2">
        <v>0</v>
      </c>
      <c r="BH3463" s="2">
        <v>1</v>
      </c>
      <c r="BI3463" s="2">
        <v>2.5</v>
      </c>
      <c r="BJ3463" s="2">
        <v>3</v>
      </c>
      <c r="BK3463" s="2">
        <v>3</v>
      </c>
      <c r="BL3463" s="2">
        <v>62.16</v>
      </c>
      <c r="BM3463" s="2">
        <v>8.6999999999999993</v>
      </c>
      <c r="BN3463" s="2">
        <v>70.86</v>
      </c>
      <c r="BO3463" s="2">
        <v>70.86</v>
      </c>
      <c r="BP3463" s="2"/>
      <c r="BQ3463" s="2" t="s">
        <v>227</v>
      </c>
      <c r="BR3463" s="2" t="s">
        <v>84</v>
      </c>
      <c r="BS3463" s="3">
        <v>42977</v>
      </c>
      <c r="BT3463" s="4">
        <v>0.34930555555555554</v>
      </c>
      <c r="BU3463" s="2" t="s">
        <v>3514</v>
      </c>
      <c r="BV3463" s="2" t="s">
        <v>95</v>
      </c>
      <c r="BW3463" s="2"/>
      <c r="BX3463" s="2"/>
      <c r="BY3463" s="2">
        <v>14820.8</v>
      </c>
      <c r="BZ3463" s="2" t="s">
        <v>27</v>
      </c>
      <c r="CA3463" s="2" t="s">
        <v>148</v>
      </c>
      <c r="CB3463" s="2"/>
      <c r="CC3463" s="2" t="s">
        <v>222</v>
      </c>
      <c r="CD3463" s="2">
        <v>4300</v>
      </c>
      <c r="CE3463" s="2" t="s">
        <v>948</v>
      </c>
      <c r="CF3463" s="5">
        <v>42978</v>
      </c>
      <c r="CG3463" s="2"/>
      <c r="CH3463" s="2"/>
      <c r="CI3463" s="2">
        <v>1</v>
      </c>
      <c r="CJ3463" s="2">
        <v>1</v>
      </c>
      <c r="CK3463" s="2">
        <v>21</v>
      </c>
      <c r="CL3463" s="2" t="s">
        <v>86</v>
      </c>
      <c r="CM3463" s="2"/>
    </row>
    <row r="3464" spans="1:91">
      <c r="A3464" s="2" t="s">
        <v>71</v>
      </c>
      <c r="B3464" s="2" t="s">
        <v>72</v>
      </c>
      <c r="C3464" s="2" t="s">
        <v>73</v>
      </c>
      <c r="D3464" s="2"/>
      <c r="E3464" s="2" t="str">
        <f>"FES1162572105"</f>
        <v>FES1162572105</v>
      </c>
      <c r="F3464" s="3">
        <v>42976</v>
      </c>
      <c r="G3464" s="2">
        <v>201802</v>
      </c>
      <c r="H3464" s="2" t="s">
        <v>74</v>
      </c>
      <c r="I3464" s="2" t="s">
        <v>75</v>
      </c>
      <c r="J3464" s="2" t="s">
        <v>76</v>
      </c>
      <c r="K3464" s="2" t="s">
        <v>77</v>
      </c>
      <c r="L3464" s="2" t="s">
        <v>417</v>
      </c>
      <c r="M3464" s="2" t="s">
        <v>417</v>
      </c>
      <c r="N3464" s="2" t="s">
        <v>458</v>
      </c>
      <c r="O3464" s="2" t="s">
        <v>100</v>
      </c>
      <c r="P3464" s="2" t="str">
        <f>"2170587722                    "</f>
        <v xml:space="preserve">2170587722                    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7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  <c r="BG3464" s="2">
        <v>0</v>
      </c>
      <c r="BH3464" s="2">
        <v>1</v>
      </c>
      <c r="BI3464" s="2">
        <v>1.5</v>
      </c>
      <c r="BJ3464" s="2">
        <v>3.4</v>
      </c>
      <c r="BK3464" s="2">
        <v>3.5</v>
      </c>
      <c r="BL3464" s="2">
        <v>72.52</v>
      </c>
      <c r="BM3464" s="2">
        <v>10.15</v>
      </c>
      <c r="BN3464" s="2">
        <v>82.67</v>
      </c>
      <c r="BO3464" s="2">
        <v>82.67</v>
      </c>
      <c r="BP3464" s="2"/>
      <c r="BQ3464" s="2" t="s">
        <v>83</v>
      </c>
      <c r="BR3464" s="2" t="s">
        <v>84</v>
      </c>
      <c r="BS3464" s="3">
        <v>42977</v>
      </c>
      <c r="BT3464" s="4">
        <v>0.50277777777777777</v>
      </c>
      <c r="BU3464" s="2" t="s">
        <v>2254</v>
      </c>
      <c r="BV3464" s="2" t="s">
        <v>95</v>
      </c>
      <c r="BW3464" s="2"/>
      <c r="BX3464" s="2"/>
      <c r="BY3464" s="2">
        <v>16803.07</v>
      </c>
      <c r="BZ3464" s="2" t="s">
        <v>27</v>
      </c>
      <c r="CA3464" s="2" t="s">
        <v>460</v>
      </c>
      <c r="CB3464" s="2"/>
      <c r="CC3464" s="2" t="s">
        <v>417</v>
      </c>
      <c r="CD3464" s="2">
        <v>7646</v>
      </c>
      <c r="CE3464" s="2" t="s">
        <v>89</v>
      </c>
      <c r="CF3464" s="5">
        <v>42977</v>
      </c>
      <c r="CG3464" s="2"/>
      <c r="CH3464" s="2"/>
      <c r="CI3464" s="2">
        <v>1</v>
      </c>
      <c r="CJ3464" s="2">
        <v>1</v>
      </c>
      <c r="CK3464" s="2">
        <v>21</v>
      </c>
      <c r="CL3464" s="2" t="s">
        <v>86</v>
      </c>
      <c r="CM3464" s="2"/>
    </row>
    <row r="3465" spans="1:91">
      <c r="A3465" s="2" t="s">
        <v>71</v>
      </c>
      <c r="B3465" s="2" t="s">
        <v>72</v>
      </c>
      <c r="C3465" s="2" t="s">
        <v>73</v>
      </c>
      <c r="D3465" s="2"/>
      <c r="E3465" s="2" t="str">
        <f>"FES1162571990"</f>
        <v>FES1162571990</v>
      </c>
      <c r="F3465" s="3">
        <v>42976</v>
      </c>
      <c r="G3465" s="2">
        <v>201802</v>
      </c>
      <c r="H3465" s="2" t="s">
        <v>74</v>
      </c>
      <c r="I3465" s="2" t="s">
        <v>75</v>
      </c>
      <c r="J3465" s="2" t="s">
        <v>76</v>
      </c>
      <c r="K3465" s="2" t="s">
        <v>77</v>
      </c>
      <c r="L3465" s="2" t="s">
        <v>362</v>
      </c>
      <c r="M3465" s="2" t="s">
        <v>363</v>
      </c>
      <c r="N3465" s="2" t="s">
        <v>1344</v>
      </c>
      <c r="O3465" s="2" t="s">
        <v>100</v>
      </c>
      <c r="P3465" s="2" t="str">
        <f>"2170587638                    "</f>
        <v xml:space="preserve">2170587638                    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4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0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  <c r="BG3465" s="2">
        <v>0</v>
      </c>
      <c r="BH3465" s="2">
        <v>1</v>
      </c>
      <c r="BI3465" s="2">
        <v>1</v>
      </c>
      <c r="BJ3465" s="2">
        <v>0.2</v>
      </c>
      <c r="BK3465" s="2">
        <v>1</v>
      </c>
      <c r="BL3465" s="2">
        <v>41.44</v>
      </c>
      <c r="BM3465" s="2">
        <v>5.8</v>
      </c>
      <c r="BN3465" s="2">
        <v>47.24</v>
      </c>
      <c r="BO3465" s="2">
        <v>47.24</v>
      </c>
      <c r="BP3465" s="2"/>
      <c r="BQ3465" s="2" t="s">
        <v>1345</v>
      </c>
      <c r="BR3465" s="2" t="s">
        <v>84</v>
      </c>
      <c r="BS3465" s="3">
        <v>42977</v>
      </c>
      <c r="BT3465" s="4">
        <v>0.36874999999999997</v>
      </c>
      <c r="BU3465" s="2" t="s">
        <v>2313</v>
      </c>
      <c r="BV3465" s="2" t="s">
        <v>95</v>
      </c>
      <c r="BW3465" s="2"/>
      <c r="BX3465" s="2"/>
      <c r="BY3465" s="2">
        <v>1200</v>
      </c>
      <c r="BZ3465" s="2" t="s">
        <v>27</v>
      </c>
      <c r="CA3465" s="2" t="s">
        <v>379</v>
      </c>
      <c r="CB3465" s="2"/>
      <c r="CC3465" s="2" t="s">
        <v>363</v>
      </c>
      <c r="CD3465" s="2">
        <v>3201</v>
      </c>
      <c r="CE3465" s="2" t="s">
        <v>104</v>
      </c>
      <c r="CF3465" s="5">
        <v>42978</v>
      </c>
      <c r="CG3465" s="2"/>
      <c r="CH3465" s="2"/>
      <c r="CI3465" s="2">
        <v>1</v>
      </c>
      <c r="CJ3465" s="2">
        <v>1</v>
      </c>
      <c r="CK3465" s="2">
        <v>21</v>
      </c>
      <c r="CL3465" s="2" t="s">
        <v>86</v>
      </c>
      <c r="CM3465" s="2"/>
    </row>
    <row r="3466" spans="1:91">
      <c r="A3466" s="2" t="s">
        <v>71</v>
      </c>
      <c r="B3466" s="2" t="s">
        <v>72</v>
      </c>
      <c r="C3466" s="2" t="s">
        <v>73</v>
      </c>
      <c r="D3466" s="2"/>
      <c r="E3466" s="2" t="str">
        <f>"FES1162572000"</f>
        <v>FES1162572000</v>
      </c>
      <c r="F3466" s="3">
        <v>42976</v>
      </c>
      <c r="G3466" s="2">
        <v>201802</v>
      </c>
      <c r="H3466" s="2" t="s">
        <v>74</v>
      </c>
      <c r="I3466" s="2" t="s">
        <v>75</v>
      </c>
      <c r="J3466" s="2" t="s">
        <v>76</v>
      </c>
      <c r="K3466" s="2" t="s">
        <v>77</v>
      </c>
      <c r="L3466" s="2" t="s">
        <v>343</v>
      </c>
      <c r="M3466" s="2" t="s">
        <v>344</v>
      </c>
      <c r="N3466" s="2" t="s">
        <v>351</v>
      </c>
      <c r="O3466" s="2" t="s">
        <v>100</v>
      </c>
      <c r="P3466" s="2" t="str">
        <f>"2170587653                    "</f>
        <v xml:space="preserve">2170587653                    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4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  <c r="BG3466" s="2">
        <v>0</v>
      </c>
      <c r="BH3466" s="2">
        <v>1</v>
      </c>
      <c r="BI3466" s="2">
        <v>1</v>
      </c>
      <c r="BJ3466" s="2">
        <v>0.2</v>
      </c>
      <c r="BK3466" s="2">
        <v>1</v>
      </c>
      <c r="BL3466" s="2">
        <v>41.44</v>
      </c>
      <c r="BM3466" s="2">
        <v>5.8</v>
      </c>
      <c r="BN3466" s="2">
        <v>47.24</v>
      </c>
      <c r="BO3466" s="2">
        <v>47.24</v>
      </c>
      <c r="BP3466" s="2"/>
      <c r="BQ3466" s="2" t="s">
        <v>108</v>
      </c>
      <c r="BR3466" s="2" t="s">
        <v>84</v>
      </c>
      <c r="BS3466" s="3">
        <v>42977</v>
      </c>
      <c r="BT3466" s="4">
        <v>0.4055555555555555</v>
      </c>
      <c r="BU3466" s="2" t="s">
        <v>352</v>
      </c>
      <c r="BV3466" s="2" t="s">
        <v>95</v>
      </c>
      <c r="BW3466" s="2"/>
      <c r="BX3466" s="2"/>
      <c r="BY3466" s="2">
        <v>1200</v>
      </c>
      <c r="BZ3466" s="2" t="s">
        <v>27</v>
      </c>
      <c r="CA3466" s="2" t="s">
        <v>347</v>
      </c>
      <c r="CB3466" s="2"/>
      <c r="CC3466" s="2" t="s">
        <v>344</v>
      </c>
      <c r="CD3466" s="2">
        <v>4133</v>
      </c>
      <c r="CE3466" s="2" t="s">
        <v>104</v>
      </c>
      <c r="CF3466" s="5">
        <v>42978</v>
      </c>
      <c r="CG3466" s="2"/>
      <c r="CH3466" s="2"/>
      <c r="CI3466" s="2">
        <v>1</v>
      </c>
      <c r="CJ3466" s="2">
        <v>1</v>
      </c>
      <c r="CK3466" s="2">
        <v>21</v>
      </c>
      <c r="CL3466" s="2" t="s">
        <v>86</v>
      </c>
      <c r="CM3466" s="2"/>
    </row>
    <row r="3467" spans="1:91">
      <c r="A3467" s="2" t="s">
        <v>71</v>
      </c>
      <c r="B3467" s="2" t="s">
        <v>72</v>
      </c>
      <c r="C3467" s="2" t="s">
        <v>73</v>
      </c>
      <c r="D3467" s="2"/>
      <c r="E3467" s="2" t="str">
        <f>"FES1162572100"</f>
        <v>FES1162572100</v>
      </c>
      <c r="F3467" s="3">
        <v>42976</v>
      </c>
      <c r="G3467" s="2">
        <v>201802</v>
      </c>
      <c r="H3467" s="2" t="s">
        <v>74</v>
      </c>
      <c r="I3467" s="2" t="s">
        <v>75</v>
      </c>
      <c r="J3467" s="2" t="s">
        <v>76</v>
      </c>
      <c r="K3467" s="2" t="s">
        <v>77</v>
      </c>
      <c r="L3467" s="2" t="s">
        <v>144</v>
      </c>
      <c r="M3467" s="2" t="s">
        <v>145</v>
      </c>
      <c r="N3467" s="2" t="s">
        <v>1963</v>
      </c>
      <c r="O3467" s="2" t="s">
        <v>100</v>
      </c>
      <c r="P3467" s="2" t="str">
        <f>"2170587718                    "</f>
        <v xml:space="preserve">2170587718                    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3.13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  <c r="BG3467" s="2">
        <v>0</v>
      </c>
      <c r="BH3467" s="2">
        <v>1</v>
      </c>
      <c r="BI3467" s="2">
        <v>1</v>
      </c>
      <c r="BJ3467" s="2">
        <v>0.2</v>
      </c>
      <c r="BK3467" s="2">
        <v>1</v>
      </c>
      <c r="BL3467" s="2">
        <v>32.380000000000003</v>
      </c>
      <c r="BM3467" s="2">
        <v>4.53</v>
      </c>
      <c r="BN3467" s="2">
        <v>36.909999999999997</v>
      </c>
      <c r="BO3467" s="2">
        <v>36.909999999999997</v>
      </c>
      <c r="BP3467" s="2"/>
      <c r="BQ3467" s="2" t="s">
        <v>108</v>
      </c>
      <c r="BR3467" s="2" t="s">
        <v>84</v>
      </c>
      <c r="BS3467" s="3">
        <v>42977</v>
      </c>
      <c r="BT3467" s="4">
        <v>0.35625000000000001</v>
      </c>
      <c r="BU3467" s="2" t="s">
        <v>3515</v>
      </c>
      <c r="BV3467" s="2" t="s">
        <v>95</v>
      </c>
      <c r="BW3467" s="2"/>
      <c r="BX3467" s="2"/>
      <c r="BY3467" s="2">
        <v>1200</v>
      </c>
      <c r="BZ3467" s="2" t="s">
        <v>27</v>
      </c>
      <c r="CA3467" s="2" t="s">
        <v>1355</v>
      </c>
      <c r="CB3467" s="2"/>
      <c r="CC3467" s="2" t="s">
        <v>145</v>
      </c>
      <c r="CD3467" s="2">
        <v>2013</v>
      </c>
      <c r="CE3467" s="2" t="s">
        <v>104</v>
      </c>
      <c r="CF3467" s="5">
        <v>42978</v>
      </c>
      <c r="CG3467" s="2"/>
      <c r="CH3467" s="2"/>
      <c r="CI3467" s="2">
        <v>1</v>
      </c>
      <c r="CJ3467" s="2">
        <v>1</v>
      </c>
      <c r="CK3467" s="2">
        <v>22</v>
      </c>
      <c r="CL3467" s="2" t="s">
        <v>86</v>
      </c>
      <c r="CM3467" s="2"/>
    </row>
    <row r="3468" spans="1:91">
      <c r="A3468" s="2" t="s">
        <v>71</v>
      </c>
      <c r="B3468" s="2" t="s">
        <v>72</v>
      </c>
      <c r="C3468" s="2" t="s">
        <v>73</v>
      </c>
      <c r="D3468" s="2"/>
      <c r="E3468" s="2" t="str">
        <f>"FES1162571921"</f>
        <v>FES1162571921</v>
      </c>
      <c r="F3468" s="3">
        <v>42976</v>
      </c>
      <c r="G3468" s="2">
        <v>201802</v>
      </c>
      <c r="H3468" s="2" t="s">
        <v>74</v>
      </c>
      <c r="I3468" s="2" t="s">
        <v>75</v>
      </c>
      <c r="J3468" s="2" t="s">
        <v>76</v>
      </c>
      <c r="K3468" s="2" t="s">
        <v>77</v>
      </c>
      <c r="L3468" s="2" t="s">
        <v>144</v>
      </c>
      <c r="M3468" s="2" t="s">
        <v>145</v>
      </c>
      <c r="N3468" s="2" t="s">
        <v>295</v>
      </c>
      <c r="O3468" s="2" t="s">
        <v>100</v>
      </c>
      <c r="P3468" s="2" t="str">
        <f>"2170584118                    "</f>
        <v xml:space="preserve">2170584118                    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3.13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1</v>
      </c>
      <c r="BI3468" s="2">
        <v>1</v>
      </c>
      <c r="BJ3468" s="2">
        <v>0.2</v>
      </c>
      <c r="BK3468" s="2">
        <v>1</v>
      </c>
      <c r="BL3468" s="2">
        <v>32.380000000000003</v>
      </c>
      <c r="BM3468" s="2">
        <v>4.53</v>
      </c>
      <c r="BN3468" s="2">
        <v>36.909999999999997</v>
      </c>
      <c r="BO3468" s="2">
        <v>36.909999999999997</v>
      </c>
      <c r="BP3468" s="2"/>
      <c r="BQ3468" s="2" t="s">
        <v>288</v>
      </c>
      <c r="BR3468" s="2" t="s">
        <v>84</v>
      </c>
      <c r="BS3468" s="3">
        <v>42977</v>
      </c>
      <c r="BT3468" s="4">
        <v>0.4375</v>
      </c>
      <c r="BU3468" s="2" t="s">
        <v>2633</v>
      </c>
      <c r="BV3468" s="2" t="s">
        <v>95</v>
      </c>
      <c r="BW3468" s="2"/>
      <c r="BX3468" s="2"/>
      <c r="BY3468" s="2">
        <v>1200</v>
      </c>
      <c r="BZ3468" s="2" t="s">
        <v>27</v>
      </c>
      <c r="CA3468" s="2"/>
      <c r="CB3468" s="2"/>
      <c r="CC3468" s="2" t="s">
        <v>145</v>
      </c>
      <c r="CD3468" s="2">
        <v>2013</v>
      </c>
      <c r="CE3468" s="2" t="s">
        <v>104</v>
      </c>
      <c r="CF3468" s="5">
        <v>42978</v>
      </c>
      <c r="CG3468" s="2"/>
      <c r="CH3468" s="2"/>
      <c r="CI3468" s="2">
        <v>1</v>
      </c>
      <c r="CJ3468" s="2">
        <v>1</v>
      </c>
      <c r="CK3468" s="2">
        <v>22</v>
      </c>
      <c r="CL3468" s="2" t="s">
        <v>86</v>
      </c>
      <c r="CM3468" s="2"/>
    </row>
    <row r="3469" spans="1:91">
      <c r="A3469" s="2" t="s">
        <v>71</v>
      </c>
      <c r="B3469" s="2" t="s">
        <v>72</v>
      </c>
      <c r="C3469" s="2" t="s">
        <v>73</v>
      </c>
      <c r="D3469" s="2"/>
      <c r="E3469" s="2" t="str">
        <f>"FES1162572078"</f>
        <v>FES1162572078</v>
      </c>
      <c r="F3469" s="3">
        <v>42976</v>
      </c>
      <c r="G3469" s="2">
        <v>201802</v>
      </c>
      <c r="H3469" s="2" t="s">
        <v>74</v>
      </c>
      <c r="I3469" s="2" t="s">
        <v>75</v>
      </c>
      <c r="J3469" s="2" t="s">
        <v>76</v>
      </c>
      <c r="K3469" s="2" t="s">
        <v>77</v>
      </c>
      <c r="L3469" s="2" t="s">
        <v>939</v>
      </c>
      <c r="M3469" s="2" t="s">
        <v>940</v>
      </c>
      <c r="N3469" s="2" t="s">
        <v>941</v>
      </c>
      <c r="O3469" s="2" t="s">
        <v>100</v>
      </c>
      <c r="P3469" s="2" t="str">
        <f>"2170584636                    "</f>
        <v xml:space="preserve">2170584636                    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5.63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0</v>
      </c>
      <c r="BH3469" s="2">
        <v>1</v>
      </c>
      <c r="BI3469" s="2">
        <v>1</v>
      </c>
      <c r="BJ3469" s="2">
        <v>0.2</v>
      </c>
      <c r="BK3469" s="2">
        <v>1</v>
      </c>
      <c r="BL3469" s="2">
        <v>58.28</v>
      </c>
      <c r="BM3469" s="2">
        <v>8.16</v>
      </c>
      <c r="BN3469" s="2">
        <v>66.44</v>
      </c>
      <c r="BO3469" s="2">
        <v>66.44</v>
      </c>
      <c r="BP3469" s="2"/>
      <c r="BQ3469" s="2" t="s">
        <v>108</v>
      </c>
      <c r="BR3469" s="2" t="s">
        <v>84</v>
      </c>
      <c r="BS3469" s="3">
        <v>42977</v>
      </c>
      <c r="BT3469" s="4">
        <v>0.60416666666666663</v>
      </c>
      <c r="BU3469" s="2" t="s">
        <v>3516</v>
      </c>
      <c r="BV3469" s="2" t="s">
        <v>95</v>
      </c>
      <c r="BW3469" s="2"/>
      <c r="BX3469" s="2"/>
      <c r="BY3469" s="2">
        <v>1200</v>
      </c>
      <c r="BZ3469" s="2" t="s">
        <v>27</v>
      </c>
      <c r="CA3469" s="2" t="s">
        <v>943</v>
      </c>
      <c r="CB3469" s="2"/>
      <c r="CC3469" s="2" t="s">
        <v>940</v>
      </c>
      <c r="CD3469" s="2">
        <v>1028</v>
      </c>
      <c r="CE3469" s="2" t="s">
        <v>104</v>
      </c>
      <c r="CF3469" s="5">
        <v>42978</v>
      </c>
      <c r="CG3469" s="2"/>
      <c r="CH3469" s="2"/>
      <c r="CI3469" s="2">
        <v>2</v>
      </c>
      <c r="CJ3469" s="2">
        <v>1</v>
      </c>
      <c r="CK3469" s="2">
        <v>24</v>
      </c>
      <c r="CL3469" s="2" t="s">
        <v>86</v>
      </c>
      <c r="CM3469" s="2"/>
    </row>
    <row r="3470" spans="1:91">
      <c r="A3470" s="2" t="s">
        <v>71</v>
      </c>
      <c r="B3470" s="2" t="s">
        <v>72</v>
      </c>
      <c r="C3470" s="2" t="s">
        <v>73</v>
      </c>
      <c r="D3470" s="2"/>
      <c r="E3470" s="2" t="str">
        <f>"FES1162571977"</f>
        <v>FES1162571977</v>
      </c>
      <c r="F3470" s="3">
        <v>42976</v>
      </c>
      <c r="G3470" s="2">
        <v>201802</v>
      </c>
      <c r="H3470" s="2" t="s">
        <v>74</v>
      </c>
      <c r="I3470" s="2" t="s">
        <v>75</v>
      </c>
      <c r="J3470" s="2" t="s">
        <v>76</v>
      </c>
      <c r="K3470" s="2" t="s">
        <v>77</v>
      </c>
      <c r="L3470" s="2" t="s">
        <v>74</v>
      </c>
      <c r="M3470" s="2" t="s">
        <v>75</v>
      </c>
      <c r="N3470" s="2" t="s">
        <v>1015</v>
      </c>
      <c r="O3470" s="2" t="s">
        <v>100</v>
      </c>
      <c r="P3470" s="2" t="str">
        <f>"2170587622                    "</f>
        <v xml:space="preserve">2170587622                    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3.13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0</v>
      </c>
      <c r="BH3470" s="2">
        <v>1</v>
      </c>
      <c r="BI3470" s="2">
        <v>1.9</v>
      </c>
      <c r="BJ3470" s="2">
        <v>0.9</v>
      </c>
      <c r="BK3470" s="2">
        <v>2</v>
      </c>
      <c r="BL3470" s="2">
        <v>32.380000000000003</v>
      </c>
      <c r="BM3470" s="2">
        <v>4.53</v>
      </c>
      <c r="BN3470" s="2">
        <v>36.909999999999997</v>
      </c>
      <c r="BO3470" s="2">
        <v>36.909999999999997</v>
      </c>
      <c r="BP3470" s="2"/>
      <c r="BQ3470" s="2" t="s">
        <v>288</v>
      </c>
      <c r="BR3470" s="2" t="s">
        <v>84</v>
      </c>
      <c r="BS3470" s="3">
        <v>42977</v>
      </c>
      <c r="BT3470" s="4">
        <v>0.29305555555555557</v>
      </c>
      <c r="BU3470" s="2" t="s">
        <v>1360</v>
      </c>
      <c r="BV3470" s="2" t="s">
        <v>95</v>
      </c>
      <c r="BW3470" s="2"/>
      <c r="BX3470" s="2"/>
      <c r="BY3470" s="2">
        <v>4390.8900000000003</v>
      </c>
      <c r="BZ3470" s="2" t="s">
        <v>27</v>
      </c>
      <c r="CA3470" s="2" t="s">
        <v>331</v>
      </c>
      <c r="CB3470" s="2"/>
      <c r="CC3470" s="2" t="s">
        <v>75</v>
      </c>
      <c r="CD3470" s="2">
        <v>1624</v>
      </c>
      <c r="CE3470" s="2" t="s">
        <v>135</v>
      </c>
      <c r="CF3470" s="5">
        <v>42978</v>
      </c>
      <c r="CG3470" s="2"/>
      <c r="CH3470" s="2"/>
      <c r="CI3470" s="2">
        <v>1</v>
      </c>
      <c r="CJ3470" s="2">
        <v>1</v>
      </c>
      <c r="CK3470" s="2">
        <v>22</v>
      </c>
      <c r="CL3470" s="2" t="s">
        <v>86</v>
      </c>
      <c r="CM3470" s="2"/>
    </row>
    <row r="3471" spans="1:91">
      <c r="A3471" s="2" t="s">
        <v>71</v>
      </c>
      <c r="B3471" s="2" t="s">
        <v>72</v>
      </c>
      <c r="C3471" s="2" t="s">
        <v>73</v>
      </c>
      <c r="D3471" s="2"/>
      <c r="E3471" s="2" t="str">
        <f>"FES1162571917"</f>
        <v>FES1162571917</v>
      </c>
      <c r="F3471" s="3">
        <v>42976</v>
      </c>
      <c r="G3471" s="2">
        <v>201802</v>
      </c>
      <c r="H3471" s="2" t="s">
        <v>74</v>
      </c>
      <c r="I3471" s="2" t="s">
        <v>75</v>
      </c>
      <c r="J3471" s="2" t="s">
        <v>76</v>
      </c>
      <c r="K3471" s="2" t="s">
        <v>77</v>
      </c>
      <c r="L3471" s="2" t="s">
        <v>97</v>
      </c>
      <c r="M3471" s="2" t="s">
        <v>98</v>
      </c>
      <c r="N3471" s="2" t="s">
        <v>248</v>
      </c>
      <c r="O3471" s="2" t="s">
        <v>100</v>
      </c>
      <c r="P3471" s="2" t="str">
        <f>"2170580905                    "</f>
        <v xml:space="preserve">2170580905                    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4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  <c r="BG3471" s="2">
        <v>0</v>
      </c>
      <c r="BH3471" s="2">
        <v>1</v>
      </c>
      <c r="BI3471" s="2">
        <v>1</v>
      </c>
      <c r="BJ3471" s="2">
        <v>0.2</v>
      </c>
      <c r="BK3471" s="2">
        <v>1</v>
      </c>
      <c r="BL3471" s="2">
        <v>41.44</v>
      </c>
      <c r="BM3471" s="2">
        <v>5.8</v>
      </c>
      <c r="BN3471" s="2">
        <v>47.24</v>
      </c>
      <c r="BO3471" s="2">
        <v>47.24</v>
      </c>
      <c r="BP3471" s="2"/>
      <c r="BQ3471" s="2" t="s">
        <v>83</v>
      </c>
      <c r="BR3471" s="2" t="s">
        <v>84</v>
      </c>
      <c r="BS3471" s="3">
        <v>42977</v>
      </c>
      <c r="BT3471" s="4">
        <v>0.33333333333333331</v>
      </c>
      <c r="BU3471" s="2" t="s">
        <v>390</v>
      </c>
      <c r="BV3471" s="2" t="s">
        <v>95</v>
      </c>
      <c r="BW3471" s="2"/>
      <c r="BX3471" s="2"/>
      <c r="BY3471" s="2">
        <v>1200</v>
      </c>
      <c r="BZ3471" s="2" t="s">
        <v>27</v>
      </c>
      <c r="CA3471" s="2" t="s">
        <v>294</v>
      </c>
      <c r="CB3471" s="2"/>
      <c r="CC3471" s="2" t="s">
        <v>98</v>
      </c>
      <c r="CD3471" s="2">
        <v>6001</v>
      </c>
      <c r="CE3471" s="2" t="s">
        <v>104</v>
      </c>
      <c r="CF3471" s="5">
        <v>42978</v>
      </c>
      <c r="CG3471" s="2"/>
      <c r="CH3471" s="2"/>
      <c r="CI3471" s="2">
        <v>1</v>
      </c>
      <c r="CJ3471" s="2">
        <v>1</v>
      </c>
      <c r="CK3471" s="2">
        <v>21</v>
      </c>
      <c r="CL3471" s="2" t="s">
        <v>86</v>
      </c>
      <c r="CM3471" s="2"/>
    </row>
    <row r="3472" spans="1:91">
      <c r="A3472" s="2" t="s">
        <v>71</v>
      </c>
      <c r="B3472" s="2" t="s">
        <v>72</v>
      </c>
      <c r="C3472" s="2" t="s">
        <v>73</v>
      </c>
      <c r="D3472" s="2"/>
      <c r="E3472" s="2" t="str">
        <f>"FES1162571911"</f>
        <v>FES1162571911</v>
      </c>
      <c r="F3472" s="3">
        <v>42976</v>
      </c>
      <c r="G3472" s="2">
        <v>201802</v>
      </c>
      <c r="H3472" s="2" t="s">
        <v>74</v>
      </c>
      <c r="I3472" s="2" t="s">
        <v>75</v>
      </c>
      <c r="J3472" s="2" t="s">
        <v>76</v>
      </c>
      <c r="K3472" s="2" t="s">
        <v>77</v>
      </c>
      <c r="L3472" s="2" t="s">
        <v>105</v>
      </c>
      <c r="M3472" s="2" t="s">
        <v>106</v>
      </c>
      <c r="N3472" s="2" t="s">
        <v>534</v>
      </c>
      <c r="O3472" s="2" t="s">
        <v>100</v>
      </c>
      <c r="P3472" s="2" t="str">
        <f>"217058571                     "</f>
        <v xml:space="preserve">217058571                     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9.01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  <c r="BG3472" s="2">
        <v>0</v>
      </c>
      <c r="BH3472" s="2">
        <v>1</v>
      </c>
      <c r="BI3472" s="2">
        <v>4.5</v>
      </c>
      <c r="BJ3472" s="2">
        <v>1.8</v>
      </c>
      <c r="BK3472" s="2">
        <v>4.5</v>
      </c>
      <c r="BL3472" s="2">
        <v>93.25</v>
      </c>
      <c r="BM3472" s="2">
        <v>13.06</v>
      </c>
      <c r="BN3472" s="2">
        <v>106.31</v>
      </c>
      <c r="BO3472" s="2">
        <v>106.31</v>
      </c>
      <c r="BP3472" s="2"/>
      <c r="BQ3472" s="2" t="s">
        <v>108</v>
      </c>
      <c r="BR3472" s="2" t="s">
        <v>84</v>
      </c>
      <c r="BS3472" s="3">
        <v>42977</v>
      </c>
      <c r="BT3472" s="4">
        <v>0.3666666666666667</v>
      </c>
      <c r="BU3472" s="2" t="s">
        <v>2398</v>
      </c>
      <c r="BV3472" s="2" t="s">
        <v>95</v>
      </c>
      <c r="BW3472" s="2"/>
      <c r="BX3472" s="2"/>
      <c r="BY3472" s="2">
        <v>9236.5</v>
      </c>
      <c r="BZ3472" s="2" t="s">
        <v>27</v>
      </c>
      <c r="CA3472" s="2" t="s">
        <v>112</v>
      </c>
      <c r="CB3472" s="2"/>
      <c r="CC3472" s="2" t="s">
        <v>106</v>
      </c>
      <c r="CD3472" s="2">
        <v>7405</v>
      </c>
      <c r="CE3472" s="2" t="s">
        <v>89</v>
      </c>
      <c r="CF3472" s="5">
        <v>42978</v>
      </c>
      <c r="CG3472" s="2"/>
      <c r="CH3472" s="2"/>
      <c r="CI3472" s="2">
        <v>1</v>
      </c>
      <c r="CJ3472" s="2">
        <v>1</v>
      </c>
      <c r="CK3472" s="2">
        <v>21</v>
      </c>
      <c r="CL3472" s="2" t="s">
        <v>86</v>
      </c>
      <c r="CM3472" s="2"/>
    </row>
    <row r="3473" spans="1:91">
      <c r="A3473" s="2" t="s">
        <v>71</v>
      </c>
      <c r="B3473" s="2" t="s">
        <v>72</v>
      </c>
      <c r="C3473" s="2" t="s">
        <v>73</v>
      </c>
      <c r="D3473" s="2"/>
      <c r="E3473" s="2" t="str">
        <f>"FES1162572104"</f>
        <v>FES1162572104</v>
      </c>
      <c r="F3473" s="3">
        <v>42976</v>
      </c>
      <c r="G3473" s="2">
        <v>201802</v>
      </c>
      <c r="H3473" s="2" t="s">
        <v>74</v>
      </c>
      <c r="I3473" s="2" t="s">
        <v>75</v>
      </c>
      <c r="J3473" s="2" t="s">
        <v>76</v>
      </c>
      <c r="K3473" s="2" t="s">
        <v>77</v>
      </c>
      <c r="L3473" s="2" t="s">
        <v>417</v>
      </c>
      <c r="M3473" s="2" t="s">
        <v>417</v>
      </c>
      <c r="N3473" s="2" t="s">
        <v>418</v>
      </c>
      <c r="O3473" s="2" t="s">
        <v>100</v>
      </c>
      <c r="P3473" s="2" t="str">
        <f>"2170585120                    "</f>
        <v xml:space="preserve">2170585120                    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4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  <c r="BG3473" s="2">
        <v>0</v>
      </c>
      <c r="BH3473" s="2">
        <v>1</v>
      </c>
      <c r="BI3473" s="2">
        <v>1</v>
      </c>
      <c r="BJ3473" s="2">
        <v>0.2</v>
      </c>
      <c r="BK3473" s="2">
        <v>1</v>
      </c>
      <c r="BL3473" s="2">
        <v>41.44</v>
      </c>
      <c r="BM3473" s="2">
        <v>5.8</v>
      </c>
      <c r="BN3473" s="2">
        <v>47.24</v>
      </c>
      <c r="BO3473" s="2">
        <v>47.24</v>
      </c>
      <c r="BP3473" s="2"/>
      <c r="BQ3473" s="2" t="s">
        <v>108</v>
      </c>
      <c r="BR3473" s="2" t="s">
        <v>84</v>
      </c>
      <c r="BS3473" s="3">
        <v>42977</v>
      </c>
      <c r="BT3473" s="4">
        <v>0.51458333333333328</v>
      </c>
      <c r="BU3473" s="2" t="s">
        <v>3517</v>
      </c>
      <c r="BV3473" s="2" t="s">
        <v>95</v>
      </c>
      <c r="BW3473" s="2"/>
      <c r="BX3473" s="2"/>
      <c r="BY3473" s="2">
        <v>1200</v>
      </c>
      <c r="BZ3473" s="2" t="s">
        <v>27</v>
      </c>
      <c r="CA3473" s="2" t="s">
        <v>3518</v>
      </c>
      <c r="CB3473" s="2"/>
      <c r="CC3473" s="2" t="s">
        <v>417</v>
      </c>
      <c r="CD3473" s="2">
        <v>7646</v>
      </c>
      <c r="CE3473" s="2" t="s">
        <v>104</v>
      </c>
      <c r="CF3473" s="5">
        <v>42977</v>
      </c>
      <c r="CG3473" s="2"/>
      <c r="CH3473" s="2"/>
      <c r="CI3473" s="2">
        <v>1</v>
      </c>
      <c r="CJ3473" s="2">
        <v>1</v>
      </c>
      <c r="CK3473" s="2">
        <v>21</v>
      </c>
      <c r="CL3473" s="2" t="s">
        <v>86</v>
      </c>
      <c r="CM3473" s="2"/>
    </row>
    <row r="3474" spans="1:91">
      <c r="A3474" s="2" t="s">
        <v>71</v>
      </c>
      <c r="B3474" s="2" t="s">
        <v>72</v>
      </c>
      <c r="C3474" s="2" t="s">
        <v>73</v>
      </c>
      <c r="D3474" s="2"/>
      <c r="E3474" s="2" t="str">
        <f>"FES1162572119"</f>
        <v>FES1162572119</v>
      </c>
      <c r="F3474" s="3">
        <v>42976</v>
      </c>
      <c r="G3474" s="2">
        <v>201802</v>
      </c>
      <c r="H3474" s="2" t="s">
        <v>74</v>
      </c>
      <c r="I3474" s="2" t="s">
        <v>75</v>
      </c>
      <c r="J3474" s="2" t="s">
        <v>76</v>
      </c>
      <c r="K3474" s="2" t="s">
        <v>77</v>
      </c>
      <c r="L3474" s="2" t="s">
        <v>806</v>
      </c>
      <c r="M3474" s="2" t="s">
        <v>807</v>
      </c>
      <c r="N3474" s="2" t="s">
        <v>808</v>
      </c>
      <c r="O3474" s="2" t="s">
        <v>100</v>
      </c>
      <c r="P3474" s="2" t="str">
        <f>"2170587736                    "</f>
        <v xml:space="preserve">2170587736                    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5.63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1</v>
      </c>
      <c r="BI3474" s="2">
        <v>1</v>
      </c>
      <c r="BJ3474" s="2">
        <v>0.2</v>
      </c>
      <c r="BK3474" s="2">
        <v>1</v>
      </c>
      <c r="BL3474" s="2">
        <v>58.28</v>
      </c>
      <c r="BM3474" s="2">
        <v>8.16</v>
      </c>
      <c r="BN3474" s="2">
        <v>66.44</v>
      </c>
      <c r="BO3474" s="2">
        <v>66.44</v>
      </c>
      <c r="BP3474" s="2"/>
      <c r="BQ3474" s="2" t="s">
        <v>83</v>
      </c>
      <c r="BR3474" s="2" t="s">
        <v>84</v>
      </c>
      <c r="BS3474" s="3">
        <v>42977</v>
      </c>
      <c r="BT3474" s="4">
        <v>0.41666666666666669</v>
      </c>
      <c r="BU3474" s="2" t="s">
        <v>330</v>
      </c>
      <c r="BV3474" s="2" t="s">
        <v>95</v>
      </c>
      <c r="BW3474" s="2"/>
      <c r="BX3474" s="2"/>
      <c r="BY3474" s="2">
        <v>1200</v>
      </c>
      <c r="BZ3474" s="2" t="s">
        <v>27</v>
      </c>
      <c r="CA3474" s="2"/>
      <c r="CB3474" s="2"/>
      <c r="CC3474" s="2" t="s">
        <v>807</v>
      </c>
      <c r="CD3474" s="2">
        <v>2410</v>
      </c>
      <c r="CE3474" s="2" t="s">
        <v>104</v>
      </c>
      <c r="CF3474" s="5">
        <v>42978</v>
      </c>
      <c r="CG3474" s="2"/>
      <c r="CH3474" s="2"/>
      <c r="CI3474" s="2">
        <v>1</v>
      </c>
      <c r="CJ3474" s="2">
        <v>1</v>
      </c>
      <c r="CK3474" s="2">
        <v>24</v>
      </c>
      <c r="CL3474" s="2" t="s">
        <v>86</v>
      </c>
      <c r="CM3474" s="2"/>
    </row>
    <row r="3475" spans="1:91">
      <c r="A3475" s="2" t="s">
        <v>71</v>
      </c>
      <c r="B3475" s="2" t="s">
        <v>72</v>
      </c>
      <c r="C3475" s="2" t="s">
        <v>73</v>
      </c>
      <c r="D3475" s="2"/>
      <c r="E3475" s="2" t="str">
        <f>"FES1162572076"</f>
        <v>FES1162572076</v>
      </c>
      <c r="F3475" s="3">
        <v>42976</v>
      </c>
      <c r="G3475" s="2">
        <v>201802</v>
      </c>
      <c r="H3475" s="2" t="s">
        <v>74</v>
      </c>
      <c r="I3475" s="2" t="s">
        <v>75</v>
      </c>
      <c r="J3475" s="2" t="s">
        <v>76</v>
      </c>
      <c r="K3475" s="2" t="s">
        <v>77</v>
      </c>
      <c r="L3475" s="2" t="s">
        <v>105</v>
      </c>
      <c r="M3475" s="2" t="s">
        <v>106</v>
      </c>
      <c r="N3475" s="2" t="s">
        <v>824</v>
      </c>
      <c r="O3475" s="2" t="s">
        <v>100</v>
      </c>
      <c r="P3475" s="2" t="str">
        <f>"2170587694                    "</f>
        <v xml:space="preserve">2170587694                    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59.03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  <c r="BG3475" s="2">
        <v>0</v>
      </c>
      <c r="BH3475" s="2">
        <v>1</v>
      </c>
      <c r="BI3475" s="2">
        <v>14</v>
      </c>
      <c r="BJ3475" s="2">
        <v>29.4</v>
      </c>
      <c r="BK3475" s="2">
        <v>29.5</v>
      </c>
      <c r="BL3475" s="2">
        <v>611.27</v>
      </c>
      <c r="BM3475" s="2">
        <v>85.58</v>
      </c>
      <c r="BN3475" s="2">
        <v>696.85</v>
      </c>
      <c r="BO3475" s="2">
        <v>696.85</v>
      </c>
      <c r="BP3475" s="2"/>
      <c r="BQ3475" s="2" t="s">
        <v>83</v>
      </c>
      <c r="BR3475" s="2" t="s">
        <v>84</v>
      </c>
      <c r="BS3475" s="3">
        <v>42977</v>
      </c>
      <c r="BT3475" s="4">
        <v>0.4284722222222222</v>
      </c>
      <c r="BU3475" s="2" t="s">
        <v>3017</v>
      </c>
      <c r="BV3475" s="2" t="s">
        <v>95</v>
      </c>
      <c r="BW3475" s="2"/>
      <c r="BX3475" s="2"/>
      <c r="BY3475" s="2">
        <v>146898.43</v>
      </c>
      <c r="BZ3475" s="2" t="s">
        <v>27</v>
      </c>
      <c r="CA3475" s="2" t="s">
        <v>1591</v>
      </c>
      <c r="CB3475" s="2"/>
      <c r="CC3475" s="2" t="s">
        <v>106</v>
      </c>
      <c r="CD3475" s="2">
        <v>7800</v>
      </c>
      <c r="CE3475" s="2" t="s">
        <v>89</v>
      </c>
      <c r="CF3475" s="5">
        <v>42978</v>
      </c>
      <c r="CG3475" s="2"/>
      <c r="CH3475" s="2"/>
      <c r="CI3475" s="2">
        <v>1</v>
      </c>
      <c r="CJ3475" s="2">
        <v>1</v>
      </c>
      <c r="CK3475" s="2">
        <v>21</v>
      </c>
      <c r="CL3475" s="2" t="s">
        <v>86</v>
      </c>
      <c r="CM3475" s="2"/>
    </row>
    <row r="3476" spans="1:91">
      <c r="A3476" s="2" t="s">
        <v>71</v>
      </c>
      <c r="B3476" s="2" t="s">
        <v>72</v>
      </c>
      <c r="C3476" s="2" t="s">
        <v>73</v>
      </c>
      <c r="D3476" s="2"/>
      <c r="E3476" s="2" t="str">
        <f>"FES1162572083"</f>
        <v>FES1162572083</v>
      </c>
      <c r="F3476" s="3">
        <v>42976</v>
      </c>
      <c r="G3476" s="2">
        <v>201802</v>
      </c>
      <c r="H3476" s="2" t="s">
        <v>74</v>
      </c>
      <c r="I3476" s="2" t="s">
        <v>75</v>
      </c>
      <c r="J3476" s="2" t="s">
        <v>76</v>
      </c>
      <c r="K3476" s="2" t="s">
        <v>77</v>
      </c>
      <c r="L3476" s="2" t="s">
        <v>321</v>
      </c>
      <c r="M3476" s="2" t="s">
        <v>322</v>
      </c>
      <c r="N3476" s="2" t="s">
        <v>1362</v>
      </c>
      <c r="O3476" s="2" t="s">
        <v>100</v>
      </c>
      <c r="P3476" s="2" t="str">
        <f>"2170587697                    "</f>
        <v xml:space="preserve">2170587697                    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12.01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0</v>
      </c>
      <c r="BH3476" s="2">
        <v>1</v>
      </c>
      <c r="BI3476" s="2">
        <v>5.8</v>
      </c>
      <c r="BJ3476" s="2">
        <v>1.9</v>
      </c>
      <c r="BK3476" s="2">
        <v>6</v>
      </c>
      <c r="BL3476" s="2">
        <v>124.33</v>
      </c>
      <c r="BM3476" s="2">
        <v>17.41</v>
      </c>
      <c r="BN3476" s="2">
        <v>141.74</v>
      </c>
      <c r="BO3476" s="2">
        <v>141.74</v>
      </c>
      <c r="BP3476" s="2"/>
      <c r="BQ3476" s="2" t="s">
        <v>1550</v>
      </c>
      <c r="BR3476" s="2" t="s">
        <v>84</v>
      </c>
      <c r="BS3476" s="3">
        <v>42977</v>
      </c>
      <c r="BT3476" s="4">
        <v>0.40625</v>
      </c>
      <c r="BU3476" s="2" t="s">
        <v>3519</v>
      </c>
      <c r="BV3476" s="2" t="s">
        <v>95</v>
      </c>
      <c r="BW3476" s="2"/>
      <c r="BX3476" s="2"/>
      <c r="BY3476" s="2">
        <v>9573.61</v>
      </c>
      <c r="BZ3476" s="2" t="s">
        <v>27</v>
      </c>
      <c r="CA3476" s="2" t="s">
        <v>103</v>
      </c>
      <c r="CB3476" s="2"/>
      <c r="CC3476" s="2" t="s">
        <v>322</v>
      </c>
      <c r="CD3476" s="2">
        <v>6220</v>
      </c>
      <c r="CE3476" s="2" t="s">
        <v>948</v>
      </c>
      <c r="CF3476" s="5">
        <v>42978</v>
      </c>
      <c r="CG3476" s="2"/>
      <c r="CH3476" s="2"/>
      <c r="CI3476" s="2">
        <v>1</v>
      </c>
      <c r="CJ3476" s="2">
        <v>1</v>
      </c>
      <c r="CK3476" s="2">
        <v>21</v>
      </c>
      <c r="CL3476" s="2" t="s">
        <v>86</v>
      </c>
      <c r="CM3476" s="2"/>
    </row>
    <row r="3477" spans="1:91">
      <c r="A3477" s="2" t="s">
        <v>71</v>
      </c>
      <c r="B3477" s="2" t="s">
        <v>72</v>
      </c>
      <c r="C3477" s="2" t="s">
        <v>73</v>
      </c>
      <c r="D3477" s="2"/>
      <c r="E3477" s="2" t="str">
        <f>"FES1162572114"</f>
        <v>FES1162572114</v>
      </c>
      <c r="F3477" s="3">
        <v>42976</v>
      </c>
      <c r="G3477" s="2">
        <v>201802</v>
      </c>
      <c r="H3477" s="2" t="s">
        <v>74</v>
      </c>
      <c r="I3477" s="2" t="s">
        <v>75</v>
      </c>
      <c r="J3477" s="2" t="s">
        <v>76</v>
      </c>
      <c r="K3477" s="2" t="s">
        <v>77</v>
      </c>
      <c r="L3477" s="2" t="s">
        <v>105</v>
      </c>
      <c r="M3477" s="2" t="s">
        <v>106</v>
      </c>
      <c r="N3477" s="2" t="s">
        <v>397</v>
      </c>
      <c r="O3477" s="2" t="s">
        <v>100</v>
      </c>
      <c r="P3477" s="2" t="str">
        <f>"2170587731                    "</f>
        <v xml:space="preserve">2170587731                    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4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0</v>
      </c>
      <c r="BH3477" s="2">
        <v>1</v>
      </c>
      <c r="BI3477" s="2">
        <v>1</v>
      </c>
      <c r="BJ3477" s="2">
        <v>0.2</v>
      </c>
      <c r="BK3477" s="2">
        <v>1</v>
      </c>
      <c r="BL3477" s="2">
        <v>41.44</v>
      </c>
      <c r="BM3477" s="2">
        <v>5.8</v>
      </c>
      <c r="BN3477" s="2">
        <v>47.24</v>
      </c>
      <c r="BO3477" s="2">
        <v>47.24</v>
      </c>
      <c r="BP3477" s="2"/>
      <c r="BQ3477" s="2" t="s">
        <v>108</v>
      </c>
      <c r="BR3477" s="2" t="s">
        <v>84</v>
      </c>
      <c r="BS3477" s="3">
        <v>42977</v>
      </c>
      <c r="BT3477" s="4">
        <v>0.40833333333333338</v>
      </c>
      <c r="BU3477" s="2" t="s">
        <v>1226</v>
      </c>
      <c r="BV3477" s="2" t="s">
        <v>95</v>
      </c>
      <c r="BW3477" s="2"/>
      <c r="BX3477" s="2"/>
      <c r="BY3477" s="2">
        <v>1200</v>
      </c>
      <c r="BZ3477" s="2" t="s">
        <v>27</v>
      </c>
      <c r="CA3477" s="2" t="s">
        <v>302</v>
      </c>
      <c r="CB3477" s="2"/>
      <c r="CC3477" s="2" t="s">
        <v>106</v>
      </c>
      <c r="CD3477" s="2">
        <v>7530</v>
      </c>
      <c r="CE3477" s="2" t="s">
        <v>104</v>
      </c>
      <c r="CF3477" s="5">
        <v>42978</v>
      </c>
      <c r="CG3477" s="2"/>
      <c r="CH3477" s="2"/>
      <c r="CI3477" s="2">
        <v>1</v>
      </c>
      <c r="CJ3477" s="2">
        <v>1</v>
      </c>
      <c r="CK3477" s="2">
        <v>21</v>
      </c>
      <c r="CL3477" s="2" t="s">
        <v>86</v>
      </c>
      <c r="CM3477" s="2"/>
    </row>
    <row r="3478" spans="1:91">
      <c r="A3478" s="2" t="s">
        <v>71</v>
      </c>
      <c r="B3478" s="2" t="s">
        <v>72</v>
      </c>
      <c r="C3478" s="2" t="s">
        <v>73</v>
      </c>
      <c r="D3478" s="2"/>
      <c r="E3478" s="2" t="str">
        <f>"FES1162571945"</f>
        <v>FES1162571945</v>
      </c>
      <c r="F3478" s="3">
        <v>42976</v>
      </c>
      <c r="G3478" s="2">
        <v>201802</v>
      </c>
      <c r="H3478" s="2" t="s">
        <v>74</v>
      </c>
      <c r="I3478" s="2" t="s">
        <v>75</v>
      </c>
      <c r="J3478" s="2" t="s">
        <v>76</v>
      </c>
      <c r="K3478" s="2" t="s">
        <v>77</v>
      </c>
      <c r="L3478" s="2" t="s">
        <v>105</v>
      </c>
      <c r="M3478" s="2" t="s">
        <v>106</v>
      </c>
      <c r="N3478" s="2" t="s">
        <v>113</v>
      </c>
      <c r="O3478" s="2" t="s">
        <v>100</v>
      </c>
      <c r="P3478" s="2" t="str">
        <f>"2170587581                    "</f>
        <v xml:space="preserve">2170587581                    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16.010000000000002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  <c r="BG3478" s="2">
        <v>0</v>
      </c>
      <c r="BH3478" s="2">
        <v>2</v>
      </c>
      <c r="BI3478" s="2">
        <v>7.6</v>
      </c>
      <c r="BJ3478" s="2">
        <v>7.3</v>
      </c>
      <c r="BK3478" s="2">
        <v>8</v>
      </c>
      <c r="BL3478" s="2">
        <v>165.77</v>
      </c>
      <c r="BM3478" s="2">
        <v>23.21</v>
      </c>
      <c r="BN3478" s="2">
        <v>188.98</v>
      </c>
      <c r="BO3478" s="2">
        <v>188.98</v>
      </c>
      <c r="BP3478" s="2"/>
      <c r="BQ3478" s="2" t="s">
        <v>83</v>
      </c>
      <c r="BR3478" s="2" t="s">
        <v>84</v>
      </c>
      <c r="BS3478" s="3">
        <v>42977</v>
      </c>
      <c r="BT3478" s="4">
        <v>0.4375</v>
      </c>
      <c r="BU3478" s="2" t="s">
        <v>3520</v>
      </c>
      <c r="BV3478" s="2" t="s">
        <v>95</v>
      </c>
      <c r="BW3478" s="2"/>
      <c r="BX3478" s="2"/>
      <c r="BY3478" s="2">
        <v>36406.99</v>
      </c>
      <c r="BZ3478" s="2" t="s">
        <v>27</v>
      </c>
      <c r="CA3478" s="2"/>
      <c r="CB3478" s="2"/>
      <c r="CC3478" s="2" t="s">
        <v>106</v>
      </c>
      <c r="CD3478" s="2">
        <v>7405</v>
      </c>
      <c r="CE3478" s="2" t="s">
        <v>135</v>
      </c>
      <c r="CF3478" s="5">
        <v>42978</v>
      </c>
      <c r="CG3478" s="2"/>
      <c r="CH3478" s="2"/>
      <c r="CI3478" s="2">
        <v>1</v>
      </c>
      <c r="CJ3478" s="2">
        <v>1</v>
      </c>
      <c r="CK3478" s="2">
        <v>21</v>
      </c>
      <c r="CL3478" s="2" t="s">
        <v>86</v>
      </c>
      <c r="CM3478" s="2"/>
    </row>
    <row r="3479" spans="1:91">
      <c r="A3479" s="2" t="s">
        <v>71</v>
      </c>
      <c r="B3479" s="2" t="s">
        <v>72</v>
      </c>
      <c r="C3479" s="2" t="s">
        <v>73</v>
      </c>
      <c r="D3479" s="2"/>
      <c r="E3479" s="2" t="str">
        <f>"FES1162571912"</f>
        <v>FES1162571912</v>
      </c>
      <c r="F3479" s="3">
        <v>42976</v>
      </c>
      <c r="G3479" s="2">
        <v>201802</v>
      </c>
      <c r="H3479" s="2" t="s">
        <v>74</v>
      </c>
      <c r="I3479" s="2" t="s">
        <v>75</v>
      </c>
      <c r="J3479" s="2" t="s">
        <v>76</v>
      </c>
      <c r="K3479" s="2" t="s">
        <v>77</v>
      </c>
      <c r="L3479" s="2" t="s">
        <v>97</v>
      </c>
      <c r="M3479" s="2" t="s">
        <v>98</v>
      </c>
      <c r="N3479" s="2" t="s">
        <v>1044</v>
      </c>
      <c r="O3479" s="2" t="s">
        <v>100</v>
      </c>
      <c r="P3479" s="2" t="str">
        <f>"2170587572                    "</f>
        <v xml:space="preserve">2170587572                    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7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0</v>
      </c>
      <c r="BH3479" s="2">
        <v>1</v>
      </c>
      <c r="BI3479" s="2">
        <v>3.5</v>
      </c>
      <c r="BJ3479" s="2">
        <v>1.8</v>
      </c>
      <c r="BK3479" s="2">
        <v>3.5</v>
      </c>
      <c r="BL3479" s="2">
        <v>72.52</v>
      </c>
      <c r="BM3479" s="2">
        <v>10.15</v>
      </c>
      <c r="BN3479" s="2">
        <v>82.67</v>
      </c>
      <c r="BO3479" s="2">
        <v>82.67</v>
      </c>
      <c r="BP3479" s="2"/>
      <c r="BQ3479" s="2" t="s">
        <v>1045</v>
      </c>
      <c r="BR3479" s="2" t="s">
        <v>84</v>
      </c>
      <c r="BS3479" s="3">
        <v>42977</v>
      </c>
      <c r="BT3479" s="4">
        <v>0.3923611111111111</v>
      </c>
      <c r="BU3479" s="2" t="s">
        <v>3484</v>
      </c>
      <c r="BV3479" s="2" t="s">
        <v>95</v>
      </c>
      <c r="BW3479" s="2"/>
      <c r="BX3479" s="2"/>
      <c r="BY3479" s="2">
        <v>9120.33</v>
      </c>
      <c r="BZ3479" s="2" t="s">
        <v>27</v>
      </c>
      <c r="CA3479" s="2" t="s">
        <v>1047</v>
      </c>
      <c r="CB3479" s="2"/>
      <c r="CC3479" s="2" t="s">
        <v>98</v>
      </c>
      <c r="CD3479" s="2">
        <v>6045</v>
      </c>
      <c r="CE3479" s="2" t="s">
        <v>89</v>
      </c>
      <c r="CF3479" s="5">
        <v>42978</v>
      </c>
      <c r="CG3479" s="2"/>
      <c r="CH3479" s="2"/>
      <c r="CI3479" s="2">
        <v>1</v>
      </c>
      <c r="CJ3479" s="2">
        <v>1</v>
      </c>
      <c r="CK3479" s="2">
        <v>21</v>
      </c>
      <c r="CL3479" s="2" t="s">
        <v>86</v>
      </c>
      <c r="CM3479" s="2"/>
    </row>
    <row r="3480" spans="1:91">
      <c r="A3480" s="2" t="s">
        <v>71</v>
      </c>
      <c r="B3480" s="2" t="s">
        <v>72</v>
      </c>
      <c r="C3480" s="2" t="s">
        <v>73</v>
      </c>
      <c r="D3480" s="2"/>
      <c r="E3480" s="2" t="str">
        <f>"FES1162572096"</f>
        <v>FES1162572096</v>
      </c>
      <c r="F3480" s="3">
        <v>42976</v>
      </c>
      <c r="G3480" s="2">
        <v>201802</v>
      </c>
      <c r="H3480" s="2" t="s">
        <v>74</v>
      </c>
      <c r="I3480" s="2" t="s">
        <v>75</v>
      </c>
      <c r="J3480" s="2" t="s">
        <v>76</v>
      </c>
      <c r="K3480" s="2" t="s">
        <v>77</v>
      </c>
      <c r="L3480" s="2" t="s">
        <v>321</v>
      </c>
      <c r="M3480" s="2" t="s">
        <v>322</v>
      </c>
      <c r="N3480" s="2" t="s">
        <v>323</v>
      </c>
      <c r="O3480" s="2" t="s">
        <v>100</v>
      </c>
      <c r="P3480" s="2" t="str">
        <f>"2170587711                    "</f>
        <v xml:space="preserve">2170587711                    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8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  <c r="BG3480" s="2">
        <v>0</v>
      </c>
      <c r="BH3480" s="2">
        <v>1</v>
      </c>
      <c r="BI3480" s="2">
        <v>3.7</v>
      </c>
      <c r="BJ3480" s="2">
        <v>1.6</v>
      </c>
      <c r="BK3480" s="2">
        <v>4</v>
      </c>
      <c r="BL3480" s="2">
        <v>82.88</v>
      </c>
      <c r="BM3480" s="2">
        <v>11.6</v>
      </c>
      <c r="BN3480" s="2">
        <v>94.48</v>
      </c>
      <c r="BO3480" s="2">
        <v>94.48</v>
      </c>
      <c r="BP3480" s="2"/>
      <c r="BQ3480" s="2" t="s">
        <v>83</v>
      </c>
      <c r="BR3480" s="2" t="s">
        <v>84</v>
      </c>
      <c r="BS3480" s="3">
        <v>42977</v>
      </c>
      <c r="BT3480" s="4">
        <v>0.4069444444444445</v>
      </c>
      <c r="BU3480" s="2" t="s">
        <v>324</v>
      </c>
      <c r="BV3480" s="2" t="s">
        <v>95</v>
      </c>
      <c r="BW3480" s="2"/>
      <c r="BX3480" s="2"/>
      <c r="BY3480" s="2">
        <v>8084.38</v>
      </c>
      <c r="BZ3480" s="2" t="s">
        <v>27</v>
      </c>
      <c r="CA3480" s="2" t="s">
        <v>103</v>
      </c>
      <c r="CB3480" s="2"/>
      <c r="CC3480" s="2" t="s">
        <v>322</v>
      </c>
      <c r="CD3480" s="2">
        <v>6220</v>
      </c>
      <c r="CE3480" s="2" t="s">
        <v>89</v>
      </c>
      <c r="CF3480" s="5">
        <v>42978</v>
      </c>
      <c r="CG3480" s="2"/>
      <c r="CH3480" s="2"/>
      <c r="CI3480" s="2">
        <v>1</v>
      </c>
      <c r="CJ3480" s="2">
        <v>1</v>
      </c>
      <c r="CK3480" s="2">
        <v>21</v>
      </c>
      <c r="CL3480" s="2" t="s">
        <v>86</v>
      </c>
      <c r="CM3480" s="2"/>
    </row>
    <row r="3481" spans="1:91">
      <c r="A3481" s="2" t="s">
        <v>71</v>
      </c>
      <c r="B3481" s="2" t="s">
        <v>72</v>
      </c>
      <c r="C3481" s="2" t="s">
        <v>73</v>
      </c>
      <c r="D3481" s="2"/>
      <c r="E3481" s="2" t="str">
        <f>"FES1162571952"</f>
        <v>FES1162571952</v>
      </c>
      <c r="F3481" s="3">
        <v>42976</v>
      </c>
      <c r="G3481" s="2">
        <v>201802</v>
      </c>
      <c r="H3481" s="2" t="s">
        <v>74</v>
      </c>
      <c r="I3481" s="2" t="s">
        <v>75</v>
      </c>
      <c r="J3481" s="2" t="s">
        <v>76</v>
      </c>
      <c r="K3481" s="2" t="s">
        <v>77</v>
      </c>
      <c r="L3481" s="2" t="s">
        <v>105</v>
      </c>
      <c r="M3481" s="2" t="s">
        <v>106</v>
      </c>
      <c r="N3481" s="2" t="s">
        <v>2531</v>
      </c>
      <c r="O3481" s="2" t="s">
        <v>100</v>
      </c>
      <c r="P3481" s="2" t="str">
        <f>"2170587593                    "</f>
        <v xml:space="preserve">2170587593                    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4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0</v>
      </c>
      <c r="BH3481" s="2">
        <v>1</v>
      </c>
      <c r="BI3481" s="2">
        <v>1.3</v>
      </c>
      <c r="BJ3481" s="2">
        <v>1.7</v>
      </c>
      <c r="BK3481" s="2">
        <v>2</v>
      </c>
      <c r="BL3481" s="2">
        <v>41.44</v>
      </c>
      <c r="BM3481" s="2">
        <v>5.8</v>
      </c>
      <c r="BN3481" s="2">
        <v>47.24</v>
      </c>
      <c r="BO3481" s="2">
        <v>47.24</v>
      </c>
      <c r="BP3481" s="2"/>
      <c r="BQ3481" s="2" t="s">
        <v>83</v>
      </c>
      <c r="BR3481" s="2" t="s">
        <v>84</v>
      </c>
      <c r="BS3481" s="3">
        <v>42977</v>
      </c>
      <c r="BT3481" s="4">
        <v>0.47083333333333338</v>
      </c>
      <c r="BU3481" s="2" t="s">
        <v>3521</v>
      </c>
      <c r="BV3481" s="2" t="s">
        <v>86</v>
      </c>
      <c r="BW3481" s="2" t="s">
        <v>110</v>
      </c>
      <c r="BX3481" s="2" t="s">
        <v>537</v>
      </c>
      <c r="BY3481" s="2">
        <v>8272.1299999999992</v>
      </c>
      <c r="BZ3481" s="2" t="s">
        <v>27</v>
      </c>
      <c r="CA3481" s="2" t="s">
        <v>654</v>
      </c>
      <c r="CB3481" s="2"/>
      <c r="CC3481" s="2" t="s">
        <v>106</v>
      </c>
      <c r="CD3481" s="2">
        <v>7500</v>
      </c>
      <c r="CE3481" s="2" t="s">
        <v>89</v>
      </c>
      <c r="CF3481" s="5">
        <v>42978</v>
      </c>
      <c r="CG3481" s="2"/>
      <c r="CH3481" s="2"/>
      <c r="CI3481" s="2">
        <v>1</v>
      </c>
      <c r="CJ3481" s="2">
        <v>1</v>
      </c>
      <c r="CK3481" s="2">
        <v>21</v>
      </c>
      <c r="CL3481" s="2" t="s">
        <v>86</v>
      </c>
      <c r="CM3481" s="2"/>
    </row>
    <row r="3482" spans="1:91">
      <c r="A3482" s="2" t="s">
        <v>71</v>
      </c>
      <c r="B3482" s="2" t="s">
        <v>72</v>
      </c>
      <c r="C3482" s="2" t="s">
        <v>73</v>
      </c>
      <c r="D3482" s="2"/>
      <c r="E3482" s="2" t="str">
        <f>"FES1162571928"</f>
        <v>FES1162571928</v>
      </c>
      <c r="F3482" s="3">
        <v>42976</v>
      </c>
      <c r="G3482" s="2">
        <v>201802</v>
      </c>
      <c r="H3482" s="2" t="s">
        <v>74</v>
      </c>
      <c r="I3482" s="2" t="s">
        <v>75</v>
      </c>
      <c r="J3482" s="2" t="s">
        <v>76</v>
      </c>
      <c r="K3482" s="2" t="s">
        <v>77</v>
      </c>
      <c r="L3482" s="2" t="s">
        <v>105</v>
      </c>
      <c r="M3482" s="2" t="s">
        <v>106</v>
      </c>
      <c r="N3482" s="2" t="s">
        <v>641</v>
      </c>
      <c r="O3482" s="2" t="s">
        <v>100</v>
      </c>
      <c r="P3482" s="2" t="str">
        <f>"2170586423                    "</f>
        <v xml:space="preserve">2170586423                    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4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  <c r="BG3482" s="2">
        <v>0</v>
      </c>
      <c r="BH3482" s="2">
        <v>1</v>
      </c>
      <c r="BI3482" s="2">
        <v>1</v>
      </c>
      <c r="BJ3482" s="2">
        <v>0.2</v>
      </c>
      <c r="BK3482" s="2">
        <v>1</v>
      </c>
      <c r="BL3482" s="2">
        <v>41.44</v>
      </c>
      <c r="BM3482" s="2">
        <v>5.8</v>
      </c>
      <c r="BN3482" s="2">
        <v>47.24</v>
      </c>
      <c r="BO3482" s="2">
        <v>47.24</v>
      </c>
      <c r="BP3482" s="2"/>
      <c r="BQ3482" s="2" t="s">
        <v>108</v>
      </c>
      <c r="BR3482" s="2" t="s">
        <v>84</v>
      </c>
      <c r="BS3482" s="3">
        <v>42977</v>
      </c>
      <c r="BT3482" s="4">
        <v>0.48541666666666666</v>
      </c>
      <c r="BU3482" s="2" t="s">
        <v>3522</v>
      </c>
      <c r="BV3482" s="2" t="s">
        <v>86</v>
      </c>
      <c r="BW3482" s="2" t="s">
        <v>110</v>
      </c>
      <c r="BX3482" s="2" t="s">
        <v>111</v>
      </c>
      <c r="BY3482" s="2">
        <v>1200</v>
      </c>
      <c r="BZ3482" s="2" t="s">
        <v>27</v>
      </c>
      <c r="CA3482" s="2" t="s">
        <v>643</v>
      </c>
      <c r="CB3482" s="2"/>
      <c r="CC3482" s="2" t="s">
        <v>106</v>
      </c>
      <c r="CD3482" s="2">
        <v>7915</v>
      </c>
      <c r="CE3482" s="2" t="s">
        <v>104</v>
      </c>
      <c r="CF3482" s="5">
        <v>42978</v>
      </c>
      <c r="CG3482" s="2"/>
      <c r="CH3482" s="2"/>
      <c r="CI3482" s="2">
        <v>1</v>
      </c>
      <c r="CJ3482" s="2">
        <v>1</v>
      </c>
      <c r="CK3482" s="2">
        <v>21</v>
      </c>
      <c r="CL3482" s="2" t="s">
        <v>86</v>
      </c>
      <c r="CM3482" s="2"/>
    </row>
    <row r="3483" spans="1:91">
      <c r="A3483" s="2" t="s">
        <v>71</v>
      </c>
      <c r="B3483" s="2" t="s">
        <v>72</v>
      </c>
      <c r="C3483" s="2" t="s">
        <v>73</v>
      </c>
      <c r="D3483" s="2"/>
      <c r="E3483" s="2" t="str">
        <f>"FES1162571936"</f>
        <v>FES1162571936</v>
      </c>
      <c r="F3483" s="3">
        <v>42976</v>
      </c>
      <c r="G3483" s="2">
        <v>201802</v>
      </c>
      <c r="H3483" s="2" t="s">
        <v>74</v>
      </c>
      <c r="I3483" s="2" t="s">
        <v>75</v>
      </c>
      <c r="J3483" s="2" t="s">
        <v>76</v>
      </c>
      <c r="K3483" s="2" t="s">
        <v>77</v>
      </c>
      <c r="L3483" s="2" t="s">
        <v>105</v>
      </c>
      <c r="M3483" s="2" t="s">
        <v>106</v>
      </c>
      <c r="N3483" s="2" t="s">
        <v>644</v>
      </c>
      <c r="O3483" s="2" t="s">
        <v>100</v>
      </c>
      <c r="P3483" s="2" t="str">
        <f>"2170587551                    "</f>
        <v xml:space="preserve">2170587551                    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4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0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  <c r="BG3483" s="2">
        <v>0</v>
      </c>
      <c r="BH3483" s="2">
        <v>1</v>
      </c>
      <c r="BI3483" s="2">
        <v>2</v>
      </c>
      <c r="BJ3483" s="2">
        <v>0.2</v>
      </c>
      <c r="BK3483" s="2">
        <v>2</v>
      </c>
      <c r="BL3483" s="2">
        <v>41.44</v>
      </c>
      <c r="BM3483" s="2">
        <v>5.8</v>
      </c>
      <c r="BN3483" s="2">
        <v>47.24</v>
      </c>
      <c r="BO3483" s="2">
        <v>47.24</v>
      </c>
      <c r="BP3483" s="2"/>
      <c r="BQ3483" s="2" t="s">
        <v>108</v>
      </c>
      <c r="BR3483" s="2" t="s">
        <v>84</v>
      </c>
      <c r="BS3483" s="3">
        <v>42977</v>
      </c>
      <c r="BT3483" s="4">
        <v>0.4375</v>
      </c>
      <c r="BU3483" s="2" t="s">
        <v>1369</v>
      </c>
      <c r="BV3483" s="2" t="s">
        <v>95</v>
      </c>
      <c r="BW3483" s="2"/>
      <c r="BX3483" s="2"/>
      <c r="BY3483" s="2">
        <v>1200</v>
      </c>
      <c r="BZ3483" s="2" t="s">
        <v>27</v>
      </c>
      <c r="CA3483" s="2" t="s">
        <v>112</v>
      </c>
      <c r="CB3483" s="2"/>
      <c r="CC3483" s="2" t="s">
        <v>106</v>
      </c>
      <c r="CD3483" s="2">
        <v>7441</v>
      </c>
      <c r="CE3483" s="2" t="s">
        <v>104</v>
      </c>
      <c r="CF3483" s="5">
        <v>42977</v>
      </c>
      <c r="CG3483" s="2"/>
      <c r="CH3483" s="2"/>
      <c r="CI3483" s="2">
        <v>1</v>
      </c>
      <c r="CJ3483" s="2">
        <v>1</v>
      </c>
      <c r="CK3483" s="2">
        <v>21</v>
      </c>
      <c r="CL3483" s="2" t="s">
        <v>86</v>
      </c>
      <c r="CM3483" s="2"/>
    </row>
    <row r="3484" spans="1:91">
      <c r="A3484" s="2" t="s">
        <v>71</v>
      </c>
      <c r="B3484" s="2" t="s">
        <v>72</v>
      </c>
      <c r="C3484" s="2" t="s">
        <v>73</v>
      </c>
      <c r="D3484" s="2"/>
      <c r="E3484" s="2" t="str">
        <f>"FES1162572090"</f>
        <v>FES1162572090</v>
      </c>
      <c r="F3484" s="3">
        <v>42976</v>
      </c>
      <c r="G3484" s="2">
        <v>201802</v>
      </c>
      <c r="H3484" s="2" t="s">
        <v>74</v>
      </c>
      <c r="I3484" s="2" t="s">
        <v>75</v>
      </c>
      <c r="J3484" s="2" t="s">
        <v>76</v>
      </c>
      <c r="K3484" s="2" t="s">
        <v>77</v>
      </c>
      <c r="L3484" s="2" t="s">
        <v>105</v>
      </c>
      <c r="M3484" s="2" t="s">
        <v>106</v>
      </c>
      <c r="N3484" s="2" t="s">
        <v>2670</v>
      </c>
      <c r="O3484" s="2" t="s">
        <v>100</v>
      </c>
      <c r="P3484" s="2" t="str">
        <f>"2170587703                    "</f>
        <v xml:space="preserve">2170587703                    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4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0</v>
      </c>
      <c r="BH3484" s="2">
        <v>1</v>
      </c>
      <c r="BI3484" s="2">
        <v>1</v>
      </c>
      <c r="BJ3484" s="2">
        <v>0.2</v>
      </c>
      <c r="BK3484" s="2">
        <v>1</v>
      </c>
      <c r="BL3484" s="2">
        <v>41.44</v>
      </c>
      <c r="BM3484" s="2">
        <v>5.8</v>
      </c>
      <c r="BN3484" s="2">
        <v>47.24</v>
      </c>
      <c r="BO3484" s="2">
        <v>47.24</v>
      </c>
      <c r="BP3484" s="2"/>
      <c r="BQ3484" s="2" t="s">
        <v>83</v>
      </c>
      <c r="BR3484" s="2" t="s">
        <v>84</v>
      </c>
      <c r="BS3484" s="3">
        <v>42977</v>
      </c>
      <c r="BT3484" s="4">
        <v>0.41666666666666669</v>
      </c>
      <c r="BU3484" s="2" t="s">
        <v>3523</v>
      </c>
      <c r="BV3484" s="2" t="s">
        <v>95</v>
      </c>
      <c r="BW3484" s="2"/>
      <c r="BX3484" s="2"/>
      <c r="BY3484" s="2">
        <v>1200</v>
      </c>
      <c r="BZ3484" s="2" t="s">
        <v>27</v>
      </c>
      <c r="CA3484" s="2"/>
      <c r="CB3484" s="2"/>
      <c r="CC3484" s="2" t="s">
        <v>106</v>
      </c>
      <c r="CD3484" s="2">
        <v>7490</v>
      </c>
      <c r="CE3484" s="2" t="s">
        <v>104</v>
      </c>
      <c r="CF3484" s="5">
        <v>42978</v>
      </c>
      <c r="CG3484" s="2"/>
      <c r="CH3484" s="2"/>
      <c r="CI3484" s="2">
        <v>1</v>
      </c>
      <c r="CJ3484" s="2">
        <v>1</v>
      </c>
      <c r="CK3484" s="2">
        <v>21</v>
      </c>
      <c r="CL3484" s="2" t="s">
        <v>86</v>
      </c>
      <c r="CM3484" s="2"/>
    </row>
    <row r="3485" spans="1:91">
      <c r="A3485" s="2" t="s">
        <v>71</v>
      </c>
      <c r="B3485" s="2" t="s">
        <v>72</v>
      </c>
      <c r="C3485" s="2" t="s">
        <v>73</v>
      </c>
      <c r="D3485" s="2"/>
      <c r="E3485" s="2" t="str">
        <f>"FES1162572097"</f>
        <v>FES1162572097</v>
      </c>
      <c r="F3485" s="3">
        <v>42976</v>
      </c>
      <c r="G3485" s="2">
        <v>201802</v>
      </c>
      <c r="H3485" s="2" t="s">
        <v>74</v>
      </c>
      <c r="I3485" s="2" t="s">
        <v>75</v>
      </c>
      <c r="J3485" s="2" t="s">
        <v>76</v>
      </c>
      <c r="K3485" s="2" t="s">
        <v>77</v>
      </c>
      <c r="L3485" s="2" t="s">
        <v>170</v>
      </c>
      <c r="M3485" s="2" t="s">
        <v>171</v>
      </c>
      <c r="N3485" s="2" t="s">
        <v>3524</v>
      </c>
      <c r="O3485" s="2" t="s">
        <v>100</v>
      </c>
      <c r="P3485" s="2" t="str">
        <f>"2170587713                    "</f>
        <v xml:space="preserve">2170587713                    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3.13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1</v>
      </c>
      <c r="BI3485" s="2">
        <v>1</v>
      </c>
      <c r="BJ3485" s="2">
        <v>0.2</v>
      </c>
      <c r="BK3485" s="2">
        <v>1</v>
      </c>
      <c r="BL3485" s="2">
        <v>32.380000000000003</v>
      </c>
      <c r="BM3485" s="2">
        <v>4.53</v>
      </c>
      <c r="BN3485" s="2">
        <v>36.909999999999997</v>
      </c>
      <c r="BO3485" s="2">
        <v>36.909999999999997</v>
      </c>
      <c r="BP3485" s="2"/>
      <c r="BQ3485" s="2" t="s">
        <v>3525</v>
      </c>
      <c r="BR3485" s="2" t="s">
        <v>84</v>
      </c>
      <c r="BS3485" s="3">
        <v>42977</v>
      </c>
      <c r="BT3485" s="4">
        <v>0.47361111111111115</v>
      </c>
      <c r="BU3485" s="2" t="s">
        <v>3526</v>
      </c>
      <c r="BV3485" s="2" t="s">
        <v>86</v>
      </c>
      <c r="BW3485" s="2" t="s">
        <v>110</v>
      </c>
      <c r="BX3485" s="2" t="s">
        <v>327</v>
      </c>
      <c r="BY3485" s="2">
        <v>1200</v>
      </c>
      <c r="BZ3485" s="2" t="s">
        <v>27</v>
      </c>
      <c r="CA3485" s="2" t="s">
        <v>492</v>
      </c>
      <c r="CB3485" s="2"/>
      <c r="CC3485" s="2" t="s">
        <v>171</v>
      </c>
      <c r="CD3485" s="2">
        <v>1401</v>
      </c>
      <c r="CE3485" s="2" t="s">
        <v>104</v>
      </c>
      <c r="CF3485" s="5">
        <v>42978</v>
      </c>
      <c r="CG3485" s="2"/>
      <c r="CH3485" s="2"/>
      <c r="CI3485" s="2">
        <v>1</v>
      </c>
      <c r="CJ3485" s="2">
        <v>1</v>
      </c>
      <c r="CK3485" s="2">
        <v>22</v>
      </c>
      <c r="CL3485" s="2" t="s">
        <v>86</v>
      </c>
      <c r="CM3485" s="2"/>
    </row>
    <row r="3486" spans="1:91">
      <c r="A3486" s="2" t="s">
        <v>71</v>
      </c>
      <c r="B3486" s="2" t="s">
        <v>72</v>
      </c>
      <c r="C3486" s="2" t="s">
        <v>73</v>
      </c>
      <c r="D3486" s="2"/>
      <c r="E3486" s="2" t="str">
        <f>"FES1162572073"</f>
        <v>FES1162572073</v>
      </c>
      <c r="F3486" s="3">
        <v>42976</v>
      </c>
      <c r="G3486" s="2">
        <v>201802</v>
      </c>
      <c r="H3486" s="2" t="s">
        <v>74</v>
      </c>
      <c r="I3486" s="2" t="s">
        <v>75</v>
      </c>
      <c r="J3486" s="2" t="s">
        <v>76</v>
      </c>
      <c r="K3486" s="2" t="s">
        <v>77</v>
      </c>
      <c r="L3486" s="2" t="s">
        <v>170</v>
      </c>
      <c r="M3486" s="2" t="s">
        <v>171</v>
      </c>
      <c r="N3486" s="2" t="s">
        <v>3527</v>
      </c>
      <c r="O3486" s="2" t="s">
        <v>100</v>
      </c>
      <c r="P3486" s="2" t="str">
        <f>"2170587690                    "</f>
        <v xml:space="preserve">2170587690                    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5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0</v>
      </c>
      <c r="BH3486" s="2">
        <v>1</v>
      </c>
      <c r="BI3486" s="2">
        <v>12.4</v>
      </c>
      <c r="BJ3486" s="2">
        <v>9.1</v>
      </c>
      <c r="BK3486" s="2">
        <v>13</v>
      </c>
      <c r="BL3486" s="2">
        <v>51.8</v>
      </c>
      <c r="BM3486" s="2">
        <v>7.25</v>
      </c>
      <c r="BN3486" s="2">
        <v>59.05</v>
      </c>
      <c r="BO3486" s="2">
        <v>59.05</v>
      </c>
      <c r="BP3486" s="2"/>
      <c r="BQ3486" s="2" t="s">
        <v>108</v>
      </c>
      <c r="BR3486" s="2" t="s">
        <v>84</v>
      </c>
      <c r="BS3486" s="3">
        <v>42977</v>
      </c>
      <c r="BT3486" s="4">
        <v>0.4055555555555555</v>
      </c>
      <c r="BU3486" s="2" t="s">
        <v>1327</v>
      </c>
      <c r="BV3486" s="2" t="s">
        <v>95</v>
      </c>
      <c r="BW3486" s="2"/>
      <c r="BX3486" s="2"/>
      <c r="BY3486" s="2">
        <v>45347.15</v>
      </c>
      <c r="BZ3486" s="2" t="s">
        <v>27</v>
      </c>
      <c r="CA3486" s="2" t="s">
        <v>1617</v>
      </c>
      <c r="CB3486" s="2"/>
      <c r="CC3486" s="2" t="s">
        <v>171</v>
      </c>
      <c r="CD3486" s="2">
        <v>1401</v>
      </c>
      <c r="CE3486" s="2" t="s">
        <v>89</v>
      </c>
      <c r="CF3486" s="5">
        <v>42978</v>
      </c>
      <c r="CG3486" s="2"/>
      <c r="CH3486" s="2"/>
      <c r="CI3486" s="2">
        <v>1</v>
      </c>
      <c r="CJ3486" s="2">
        <v>1</v>
      </c>
      <c r="CK3486" s="2">
        <v>22</v>
      </c>
      <c r="CL3486" s="2" t="s">
        <v>86</v>
      </c>
      <c r="CM3486" s="2"/>
    </row>
    <row r="3487" spans="1:91">
      <c r="A3487" s="2" t="s">
        <v>71</v>
      </c>
      <c r="B3487" s="2" t="s">
        <v>72</v>
      </c>
      <c r="C3487" s="2" t="s">
        <v>73</v>
      </c>
      <c r="D3487" s="2"/>
      <c r="E3487" s="2" t="str">
        <f>"FES1162571959"</f>
        <v>FES1162571959</v>
      </c>
      <c r="F3487" s="3">
        <v>42976</v>
      </c>
      <c r="G3487" s="2">
        <v>201802</v>
      </c>
      <c r="H3487" s="2" t="s">
        <v>74</v>
      </c>
      <c r="I3487" s="2" t="s">
        <v>75</v>
      </c>
      <c r="J3487" s="2" t="s">
        <v>76</v>
      </c>
      <c r="K3487" s="2" t="s">
        <v>77</v>
      </c>
      <c r="L3487" s="2" t="s">
        <v>539</v>
      </c>
      <c r="M3487" s="2" t="s">
        <v>540</v>
      </c>
      <c r="N3487" s="2" t="s">
        <v>1740</v>
      </c>
      <c r="O3487" s="2" t="s">
        <v>100</v>
      </c>
      <c r="P3487" s="2" t="str">
        <f>"2170587599                    "</f>
        <v xml:space="preserve">2170587599                    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3.13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0</v>
      </c>
      <c r="BH3487" s="2">
        <v>1</v>
      </c>
      <c r="BI3487" s="2">
        <v>1</v>
      </c>
      <c r="BJ3487" s="2">
        <v>0.2</v>
      </c>
      <c r="BK3487" s="2">
        <v>1</v>
      </c>
      <c r="BL3487" s="2">
        <v>32.380000000000003</v>
      </c>
      <c r="BM3487" s="2">
        <v>4.53</v>
      </c>
      <c r="BN3487" s="2">
        <v>36.909999999999997</v>
      </c>
      <c r="BO3487" s="2">
        <v>36.909999999999997</v>
      </c>
      <c r="BP3487" s="2"/>
      <c r="BQ3487" s="2" t="s">
        <v>108</v>
      </c>
      <c r="BR3487" s="2" t="s">
        <v>84</v>
      </c>
      <c r="BS3487" s="3">
        <v>42977</v>
      </c>
      <c r="BT3487" s="4">
        <v>0.41319444444444442</v>
      </c>
      <c r="BU3487" s="2" t="s">
        <v>3528</v>
      </c>
      <c r="BV3487" s="2" t="s">
        <v>95</v>
      </c>
      <c r="BW3487" s="2"/>
      <c r="BX3487" s="2"/>
      <c r="BY3487" s="2">
        <v>1200</v>
      </c>
      <c r="BZ3487" s="2" t="s">
        <v>27</v>
      </c>
      <c r="CA3487" s="2" t="s">
        <v>722</v>
      </c>
      <c r="CB3487" s="2"/>
      <c r="CC3487" s="2" t="s">
        <v>540</v>
      </c>
      <c r="CD3487" s="2">
        <v>2163</v>
      </c>
      <c r="CE3487" s="2" t="s">
        <v>104</v>
      </c>
      <c r="CF3487" s="5">
        <v>42978</v>
      </c>
      <c r="CG3487" s="2"/>
      <c r="CH3487" s="2"/>
      <c r="CI3487" s="2">
        <v>1</v>
      </c>
      <c r="CJ3487" s="2">
        <v>1</v>
      </c>
      <c r="CK3487" s="2">
        <v>22</v>
      </c>
      <c r="CL3487" s="2" t="s">
        <v>86</v>
      </c>
      <c r="CM3487" s="2"/>
    </row>
    <row r="3488" spans="1:91">
      <c r="A3488" s="2" t="s">
        <v>71</v>
      </c>
      <c r="B3488" s="2" t="s">
        <v>72</v>
      </c>
      <c r="C3488" s="2" t="s">
        <v>73</v>
      </c>
      <c r="D3488" s="2"/>
      <c r="E3488" s="2" t="str">
        <f>"FES1162571919"</f>
        <v>FES1162571919</v>
      </c>
      <c r="F3488" s="3">
        <v>42976</v>
      </c>
      <c r="G3488" s="2">
        <v>201802</v>
      </c>
      <c r="H3488" s="2" t="s">
        <v>74</v>
      </c>
      <c r="I3488" s="2" t="s">
        <v>75</v>
      </c>
      <c r="J3488" s="2" t="s">
        <v>76</v>
      </c>
      <c r="K3488" s="2" t="s">
        <v>77</v>
      </c>
      <c r="L3488" s="2" t="s">
        <v>144</v>
      </c>
      <c r="M3488" s="2" t="s">
        <v>145</v>
      </c>
      <c r="N3488" s="2" t="s">
        <v>1259</v>
      </c>
      <c r="O3488" s="2" t="s">
        <v>100</v>
      </c>
      <c r="P3488" s="2" t="str">
        <f>"2170582618                    "</f>
        <v xml:space="preserve">2170582618                    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3.13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  <c r="BG3488" s="2">
        <v>0</v>
      </c>
      <c r="BH3488" s="2">
        <v>1</v>
      </c>
      <c r="BI3488" s="2">
        <v>1</v>
      </c>
      <c r="BJ3488" s="2">
        <v>0.2</v>
      </c>
      <c r="BK3488" s="2">
        <v>1</v>
      </c>
      <c r="BL3488" s="2">
        <v>32.380000000000003</v>
      </c>
      <c r="BM3488" s="2">
        <v>4.53</v>
      </c>
      <c r="BN3488" s="2">
        <v>36.909999999999997</v>
      </c>
      <c r="BO3488" s="2">
        <v>36.909999999999997</v>
      </c>
      <c r="BP3488" s="2"/>
      <c r="BQ3488" s="2" t="s">
        <v>108</v>
      </c>
      <c r="BR3488" s="2" t="s">
        <v>84</v>
      </c>
      <c r="BS3488" s="3">
        <v>42977</v>
      </c>
      <c r="BT3488" s="4">
        <v>0.40486111111111112</v>
      </c>
      <c r="BU3488" s="2" t="s">
        <v>3529</v>
      </c>
      <c r="BV3488" s="2" t="s">
        <v>95</v>
      </c>
      <c r="BW3488" s="2"/>
      <c r="BX3488" s="2"/>
      <c r="BY3488" s="2">
        <v>1200</v>
      </c>
      <c r="BZ3488" s="2" t="s">
        <v>27</v>
      </c>
      <c r="CA3488" s="2" t="s">
        <v>1261</v>
      </c>
      <c r="CB3488" s="2"/>
      <c r="CC3488" s="2" t="s">
        <v>145</v>
      </c>
      <c r="CD3488" s="2">
        <v>1723</v>
      </c>
      <c r="CE3488" s="2" t="s">
        <v>104</v>
      </c>
      <c r="CF3488" s="5">
        <v>42978</v>
      </c>
      <c r="CG3488" s="2"/>
      <c r="CH3488" s="2"/>
      <c r="CI3488" s="2">
        <v>1</v>
      </c>
      <c r="CJ3488" s="2">
        <v>1</v>
      </c>
      <c r="CK3488" s="2">
        <v>22</v>
      </c>
      <c r="CL3488" s="2" t="s">
        <v>86</v>
      </c>
      <c r="CM3488" s="2"/>
    </row>
    <row r="3489" spans="1:91">
      <c r="A3489" s="2" t="s">
        <v>71</v>
      </c>
      <c r="B3489" s="2" t="s">
        <v>72</v>
      </c>
      <c r="C3489" s="2" t="s">
        <v>73</v>
      </c>
      <c r="D3489" s="2"/>
      <c r="E3489" s="2" t="str">
        <f>"FES1162572095"</f>
        <v>FES1162572095</v>
      </c>
      <c r="F3489" s="3">
        <v>42976</v>
      </c>
      <c r="G3489" s="2">
        <v>201802</v>
      </c>
      <c r="H3489" s="2" t="s">
        <v>74</v>
      </c>
      <c r="I3489" s="2" t="s">
        <v>75</v>
      </c>
      <c r="J3489" s="2" t="s">
        <v>76</v>
      </c>
      <c r="K3489" s="2" t="s">
        <v>77</v>
      </c>
      <c r="L3489" s="2" t="s">
        <v>244</v>
      </c>
      <c r="M3489" s="2" t="s">
        <v>245</v>
      </c>
      <c r="N3489" s="2" t="s">
        <v>246</v>
      </c>
      <c r="O3489" s="2" t="s">
        <v>100</v>
      </c>
      <c r="P3489" s="2" t="str">
        <f>"2170587709                    "</f>
        <v xml:space="preserve">2170587709                    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3.13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0</v>
      </c>
      <c r="BH3489" s="2">
        <v>1</v>
      </c>
      <c r="BI3489" s="2">
        <v>1</v>
      </c>
      <c r="BJ3489" s="2">
        <v>0.2</v>
      </c>
      <c r="BK3489" s="2">
        <v>1</v>
      </c>
      <c r="BL3489" s="2">
        <v>32.380000000000003</v>
      </c>
      <c r="BM3489" s="2">
        <v>4.53</v>
      </c>
      <c r="BN3489" s="2">
        <v>36.909999999999997</v>
      </c>
      <c r="BO3489" s="2">
        <v>36.909999999999997</v>
      </c>
      <c r="BP3489" s="2"/>
      <c r="BQ3489" s="2" t="s">
        <v>108</v>
      </c>
      <c r="BR3489" s="2" t="s">
        <v>84</v>
      </c>
      <c r="BS3489" s="3">
        <v>42977</v>
      </c>
      <c r="BT3489" s="4">
        <v>0.4236111111111111</v>
      </c>
      <c r="BU3489" s="2" t="s">
        <v>330</v>
      </c>
      <c r="BV3489" s="2" t="s">
        <v>95</v>
      </c>
      <c r="BW3489" s="2"/>
      <c r="BX3489" s="2"/>
      <c r="BY3489" s="2">
        <v>1200</v>
      </c>
      <c r="BZ3489" s="2" t="s">
        <v>27</v>
      </c>
      <c r="CA3489" s="2" t="s">
        <v>2902</v>
      </c>
      <c r="CB3489" s="2"/>
      <c r="CC3489" s="2" t="s">
        <v>245</v>
      </c>
      <c r="CD3489" s="2">
        <v>1459</v>
      </c>
      <c r="CE3489" s="2" t="s">
        <v>104</v>
      </c>
      <c r="CF3489" s="5">
        <v>42978</v>
      </c>
      <c r="CG3489" s="2"/>
      <c r="CH3489" s="2"/>
      <c r="CI3489" s="2">
        <v>1</v>
      </c>
      <c r="CJ3489" s="2">
        <v>1</v>
      </c>
      <c r="CK3489" s="2">
        <v>22</v>
      </c>
      <c r="CL3489" s="2" t="s">
        <v>86</v>
      </c>
      <c r="CM3489" s="2"/>
    </row>
    <row r="3490" spans="1:91">
      <c r="A3490" s="2" t="s">
        <v>71</v>
      </c>
      <c r="B3490" s="2" t="s">
        <v>72</v>
      </c>
      <c r="C3490" s="2" t="s">
        <v>73</v>
      </c>
      <c r="D3490" s="2"/>
      <c r="E3490" s="2" t="str">
        <f>"FES1162571916"</f>
        <v>FES1162571916</v>
      </c>
      <c r="F3490" s="3">
        <v>42976</v>
      </c>
      <c r="G3490" s="2">
        <v>201802</v>
      </c>
      <c r="H3490" s="2" t="s">
        <v>74</v>
      </c>
      <c r="I3490" s="2" t="s">
        <v>75</v>
      </c>
      <c r="J3490" s="2" t="s">
        <v>76</v>
      </c>
      <c r="K3490" s="2" t="s">
        <v>77</v>
      </c>
      <c r="L3490" s="2" t="s">
        <v>105</v>
      </c>
      <c r="M3490" s="2" t="s">
        <v>106</v>
      </c>
      <c r="N3490" s="2" t="s">
        <v>746</v>
      </c>
      <c r="O3490" s="2" t="s">
        <v>100</v>
      </c>
      <c r="P3490" s="2" t="str">
        <f>"2170587588                    "</f>
        <v xml:space="preserve">2170587588                    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4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1</v>
      </c>
      <c r="BI3490" s="2">
        <v>1</v>
      </c>
      <c r="BJ3490" s="2">
        <v>0.2</v>
      </c>
      <c r="BK3490" s="2">
        <v>1</v>
      </c>
      <c r="BL3490" s="2">
        <v>41.44</v>
      </c>
      <c r="BM3490" s="2">
        <v>5.8</v>
      </c>
      <c r="BN3490" s="2">
        <v>47.24</v>
      </c>
      <c r="BO3490" s="2">
        <v>47.24</v>
      </c>
      <c r="BP3490" s="2"/>
      <c r="BQ3490" s="2" t="s">
        <v>108</v>
      </c>
      <c r="BR3490" s="2" t="s">
        <v>84</v>
      </c>
      <c r="BS3490" s="3">
        <v>42977</v>
      </c>
      <c r="BT3490" s="4">
        <v>0.40208333333333335</v>
      </c>
      <c r="BU3490" s="2" t="s">
        <v>747</v>
      </c>
      <c r="BV3490" s="2" t="s">
        <v>95</v>
      </c>
      <c r="BW3490" s="2"/>
      <c r="BX3490" s="2"/>
      <c r="BY3490" s="2">
        <v>1200</v>
      </c>
      <c r="BZ3490" s="2" t="s">
        <v>27</v>
      </c>
      <c r="CA3490" s="2" t="s">
        <v>748</v>
      </c>
      <c r="CB3490" s="2"/>
      <c r="CC3490" s="2" t="s">
        <v>106</v>
      </c>
      <c r="CD3490" s="2">
        <v>7441</v>
      </c>
      <c r="CE3490" s="2" t="s">
        <v>104</v>
      </c>
      <c r="CF3490" s="5">
        <v>42978</v>
      </c>
      <c r="CG3490" s="2"/>
      <c r="CH3490" s="2"/>
      <c r="CI3490" s="2">
        <v>1</v>
      </c>
      <c r="CJ3490" s="2">
        <v>1</v>
      </c>
      <c r="CK3490" s="2">
        <v>21</v>
      </c>
      <c r="CL3490" s="2" t="s">
        <v>86</v>
      </c>
      <c r="CM3490" s="2"/>
    </row>
    <row r="3491" spans="1:91">
      <c r="A3491" s="2" t="s">
        <v>71</v>
      </c>
      <c r="B3491" s="2" t="s">
        <v>72</v>
      </c>
      <c r="C3491" s="2" t="s">
        <v>73</v>
      </c>
      <c r="D3491" s="2"/>
      <c r="E3491" s="2" t="str">
        <f>"FES1162571966"</f>
        <v>FES1162571966</v>
      </c>
      <c r="F3491" s="3">
        <v>42976</v>
      </c>
      <c r="G3491" s="2">
        <v>201802</v>
      </c>
      <c r="H3491" s="2" t="s">
        <v>74</v>
      </c>
      <c r="I3491" s="2" t="s">
        <v>75</v>
      </c>
      <c r="J3491" s="2" t="s">
        <v>76</v>
      </c>
      <c r="K3491" s="2" t="s">
        <v>77</v>
      </c>
      <c r="L3491" s="2" t="s">
        <v>105</v>
      </c>
      <c r="M3491" s="2" t="s">
        <v>106</v>
      </c>
      <c r="N3491" s="2" t="s">
        <v>2145</v>
      </c>
      <c r="O3491" s="2" t="s">
        <v>100</v>
      </c>
      <c r="P3491" s="2" t="str">
        <f>"2170582999                    "</f>
        <v xml:space="preserve">2170582999                    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4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0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1</v>
      </c>
      <c r="BI3491" s="2">
        <v>1</v>
      </c>
      <c r="BJ3491" s="2">
        <v>0.2</v>
      </c>
      <c r="BK3491" s="2">
        <v>1</v>
      </c>
      <c r="BL3491" s="2">
        <v>41.44</v>
      </c>
      <c r="BM3491" s="2">
        <v>5.8</v>
      </c>
      <c r="BN3491" s="2">
        <v>47.24</v>
      </c>
      <c r="BO3491" s="2">
        <v>47.24</v>
      </c>
      <c r="BP3491" s="2"/>
      <c r="BQ3491" s="2" t="s">
        <v>83</v>
      </c>
      <c r="BR3491" s="2" t="s">
        <v>84</v>
      </c>
      <c r="BS3491" s="3">
        <v>42977</v>
      </c>
      <c r="BT3491" s="4">
        <v>0.3979166666666667</v>
      </c>
      <c r="BU3491" s="2" t="s">
        <v>3530</v>
      </c>
      <c r="BV3491" s="2" t="s">
        <v>95</v>
      </c>
      <c r="BW3491" s="2"/>
      <c r="BX3491" s="2"/>
      <c r="BY3491" s="2">
        <v>1200</v>
      </c>
      <c r="BZ3491" s="2" t="s">
        <v>27</v>
      </c>
      <c r="CA3491" s="2" t="s">
        <v>3531</v>
      </c>
      <c r="CB3491" s="2"/>
      <c r="CC3491" s="2" t="s">
        <v>106</v>
      </c>
      <c r="CD3491" s="2">
        <v>7460</v>
      </c>
      <c r="CE3491" s="2" t="s">
        <v>104</v>
      </c>
      <c r="CF3491" s="5">
        <v>42977</v>
      </c>
      <c r="CG3491" s="2"/>
      <c r="CH3491" s="2"/>
      <c r="CI3491" s="2">
        <v>1</v>
      </c>
      <c r="CJ3491" s="2">
        <v>1</v>
      </c>
      <c r="CK3491" s="2">
        <v>21</v>
      </c>
      <c r="CL3491" s="2" t="s">
        <v>86</v>
      </c>
      <c r="CM3491" s="2"/>
    </row>
    <row r="3492" spans="1:91">
      <c r="A3492" s="2" t="s">
        <v>71</v>
      </c>
      <c r="B3492" s="2" t="s">
        <v>72</v>
      </c>
      <c r="C3492" s="2" t="s">
        <v>73</v>
      </c>
      <c r="D3492" s="2"/>
      <c r="E3492" s="2" t="str">
        <f>"FES1162572018"</f>
        <v>FES1162572018</v>
      </c>
      <c r="F3492" s="3">
        <v>42976</v>
      </c>
      <c r="G3492" s="2">
        <v>201802</v>
      </c>
      <c r="H3492" s="2" t="s">
        <v>74</v>
      </c>
      <c r="I3492" s="2" t="s">
        <v>75</v>
      </c>
      <c r="J3492" s="2" t="s">
        <v>76</v>
      </c>
      <c r="K3492" s="2" t="s">
        <v>77</v>
      </c>
      <c r="L3492" s="2" t="s">
        <v>74</v>
      </c>
      <c r="M3492" s="2" t="s">
        <v>75</v>
      </c>
      <c r="N3492" s="2" t="s">
        <v>407</v>
      </c>
      <c r="O3492" s="2" t="s">
        <v>100</v>
      </c>
      <c r="P3492" s="2" t="str">
        <f>"2170583162                    "</f>
        <v xml:space="preserve">2170583162                    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3.13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1</v>
      </c>
      <c r="BI3492" s="2">
        <v>2.2000000000000002</v>
      </c>
      <c r="BJ3492" s="2">
        <v>1.6</v>
      </c>
      <c r="BK3492" s="2">
        <v>3</v>
      </c>
      <c r="BL3492" s="2">
        <v>32.380000000000003</v>
      </c>
      <c r="BM3492" s="2">
        <v>4.53</v>
      </c>
      <c r="BN3492" s="2">
        <v>36.909999999999997</v>
      </c>
      <c r="BO3492" s="2">
        <v>36.909999999999997</v>
      </c>
      <c r="BP3492" s="2"/>
      <c r="BQ3492" s="2"/>
      <c r="BR3492" s="2" t="s">
        <v>84</v>
      </c>
      <c r="BS3492" s="3">
        <v>42977</v>
      </c>
      <c r="BT3492" s="4">
        <v>0.51944444444444449</v>
      </c>
      <c r="BU3492" s="2" t="s">
        <v>1360</v>
      </c>
      <c r="BV3492" s="2" t="s">
        <v>86</v>
      </c>
      <c r="BW3492" s="2" t="s">
        <v>124</v>
      </c>
      <c r="BX3492" s="2" t="s">
        <v>498</v>
      </c>
      <c r="BY3492" s="2">
        <v>8084.03</v>
      </c>
      <c r="BZ3492" s="2" t="s">
        <v>27</v>
      </c>
      <c r="CA3492" s="2" t="s">
        <v>267</v>
      </c>
      <c r="CB3492" s="2"/>
      <c r="CC3492" s="2" t="s">
        <v>75</v>
      </c>
      <c r="CD3492" s="2">
        <v>1645</v>
      </c>
      <c r="CE3492" s="2" t="s">
        <v>89</v>
      </c>
      <c r="CF3492" s="5">
        <v>42978</v>
      </c>
      <c r="CG3492" s="2"/>
      <c r="CH3492" s="2"/>
      <c r="CI3492" s="2">
        <v>1</v>
      </c>
      <c r="CJ3492" s="2">
        <v>1</v>
      </c>
      <c r="CK3492" s="2">
        <v>22</v>
      </c>
      <c r="CL3492" s="2" t="s">
        <v>86</v>
      </c>
      <c r="CM3492" s="2"/>
    </row>
    <row r="3493" spans="1:91">
      <c r="A3493" s="2" t="s">
        <v>71</v>
      </c>
      <c r="B3493" s="2" t="s">
        <v>72</v>
      </c>
      <c r="C3493" s="2" t="s">
        <v>73</v>
      </c>
      <c r="D3493" s="2"/>
      <c r="E3493" s="2" t="str">
        <f>"FES1162571978"</f>
        <v>FES1162571978</v>
      </c>
      <c r="F3493" s="3">
        <v>42976</v>
      </c>
      <c r="G3493" s="2">
        <v>201802</v>
      </c>
      <c r="H3493" s="2" t="s">
        <v>74</v>
      </c>
      <c r="I3493" s="2" t="s">
        <v>75</v>
      </c>
      <c r="J3493" s="2" t="s">
        <v>76</v>
      </c>
      <c r="K3493" s="2" t="s">
        <v>77</v>
      </c>
      <c r="L3493" s="2" t="s">
        <v>339</v>
      </c>
      <c r="M3493" s="2" t="s">
        <v>340</v>
      </c>
      <c r="N3493" s="2" t="s">
        <v>3313</v>
      </c>
      <c r="O3493" s="2" t="s">
        <v>100</v>
      </c>
      <c r="P3493" s="2" t="str">
        <f>"2170587624                    "</f>
        <v xml:space="preserve">2170587624                    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4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0</v>
      </c>
      <c r="BH3493" s="2">
        <v>1</v>
      </c>
      <c r="BI3493" s="2">
        <v>1</v>
      </c>
      <c r="BJ3493" s="2">
        <v>0.2</v>
      </c>
      <c r="BK3493" s="2">
        <v>1</v>
      </c>
      <c r="BL3493" s="2">
        <v>41.44</v>
      </c>
      <c r="BM3493" s="2">
        <v>5.8</v>
      </c>
      <c r="BN3493" s="2">
        <v>47.24</v>
      </c>
      <c r="BO3493" s="2">
        <v>47.24</v>
      </c>
      <c r="BP3493" s="2"/>
      <c r="BQ3493" s="2" t="s">
        <v>3532</v>
      </c>
      <c r="BR3493" s="2" t="s">
        <v>84</v>
      </c>
      <c r="BS3493" s="3">
        <v>42977</v>
      </c>
      <c r="BT3493" s="4">
        <v>0.52013888888888882</v>
      </c>
      <c r="BU3493" s="2" t="s">
        <v>3533</v>
      </c>
      <c r="BV3493" s="2" t="s">
        <v>86</v>
      </c>
      <c r="BW3493" s="2"/>
      <c r="BX3493" s="2"/>
      <c r="BY3493" s="2">
        <v>1200</v>
      </c>
      <c r="BZ3493" s="2" t="s">
        <v>27</v>
      </c>
      <c r="CA3493" s="2" t="s">
        <v>2236</v>
      </c>
      <c r="CB3493" s="2"/>
      <c r="CC3493" s="2" t="s">
        <v>340</v>
      </c>
      <c r="CD3493" s="2">
        <v>1947</v>
      </c>
      <c r="CE3493" s="2" t="s">
        <v>104</v>
      </c>
      <c r="CF3493" s="5">
        <v>42978</v>
      </c>
      <c r="CG3493" s="2"/>
      <c r="CH3493" s="2"/>
      <c r="CI3493" s="2">
        <v>1</v>
      </c>
      <c r="CJ3493" s="2">
        <v>1</v>
      </c>
      <c r="CK3493" s="2">
        <v>21</v>
      </c>
      <c r="CL3493" s="2" t="s">
        <v>86</v>
      </c>
      <c r="CM3493" s="2"/>
    </row>
    <row r="3494" spans="1:91">
      <c r="A3494" s="2" t="s">
        <v>71</v>
      </c>
      <c r="B3494" s="2" t="s">
        <v>72</v>
      </c>
      <c r="C3494" s="2" t="s">
        <v>73</v>
      </c>
      <c r="D3494" s="2"/>
      <c r="E3494" s="2" t="str">
        <f>"FES1162572020"</f>
        <v>FES1162572020</v>
      </c>
      <c r="F3494" s="3">
        <v>42976</v>
      </c>
      <c r="G3494" s="2">
        <v>201802</v>
      </c>
      <c r="H3494" s="2" t="s">
        <v>74</v>
      </c>
      <c r="I3494" s="2" t="s">
        <v>75</v>
      </c>
      <c r="J3494" s="2" t="s">
        <v>76</v>
      </c>
      <c r="K3494" s="2" t="s">
        <v>77</v>
      </c>
      <c r="L3494" s="2" t="s">
        <v>723</v>
      </c>
      <c r="M3494" s="2" t="s">
        <v>724</v>
      </c>
      <c r="N3494" s="2" t="s">
        <v>3534</v>
      </c>
      <c r="O3494" s="2" t="s">
        <v>100</v>
      </c>
      <c r="P3494" s="2" t="str">
        <f>"2170583349                    "</f>
        <v xml:space="preserve">2170583349                    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5.63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1</v>
      </c>
      <c r="BI3494" s="2">
        <v>1.1000000000000001</v>
      </c>
      <c r="BJ3494" s="2">
        <v>1.2</v>
      </c>
      <c r="BK3494" s="2">
        <v>1.5</v>
      </c>
      <c r="BL3494" s="2">
        <v>58.28</v>
      </c>
      <c r="BM3494" s="2">
        <v>8.16</v>
      </c>
      <c r="BN3494" s="2">
        <v>66.44</v>
      </c>
      <c r="BO3494" s="2">
        <v>66.44</v>
      </c>
      <c r="BP3494" s="2"/>
      <c r="BQ3494" s="2" t="s">
        <v>209</v>
      </c>
      <c r="BR3494" s="2" t="s">
        <v>84</v>
      </c>
      <c r="BS3494" s="1" t="s">
        <v>1200</v>
      </c>
      <c r="BT3494" s="2"/>
      <c r="BU3494" s="2"/>
      <c r="BV3494" s="2"/>
      <c r="BW3494" s="2"/>
      <c r="BX3494" s="2"/>
      <c r="BY3494" s="2">
        <v>6249.14</v>
      </c>
      <c r="BZ3494" s="2" t="s">
        <v>27</v>
      </c>
      <c r="CA3494" s="2"/>
      <c r="CB3494" s="2"/>
      <c r="CC3494" s="2" t="s">
        <v>724</v>
      </c>
      <c r="CD3494" s="2">
        <v>1739</v>
      </c>
      <c r="CE3494" s="2" t="s">
        <v>948</v>
      </c>
      <c r="CF3494" s="2"/>
      <c r="CG3494" s="2"/>
      <c r="CH3494" s="2"/>
      <c r="CI3494" s="2">
        <v>1</v>
      </c>
      <c r="CJ3494" s="2" t="s">
        <v>1200</v>
      </c>
      <c r="CK3494" s="2">
        <v>24</v>
      </c>
      <c r="CL3494" s="2" t="s">
        <v>86</v>
      </c>
      <c r="CM3494" s="2"/>
    </row>
    <row r="3495" spans="1:91">
      <c r="A3495" s="2" t="s">
        <v>71</v>
      </c>
      <c r="B3495" s="2" t="s">
        <v>72</v>
      </c>
      <c r="C3495" s="2" t="s">
        <v>73</v>
      </c>
      <c r="D3495" s="2"/>
      <c r="E3495" s="2" t="str">
        <f>"FES1162572067"</f>
        <v>FES1162572067</v>
      </c>
      <c r="F3495" s="3">
        <v>42976</v>
      </c>
      <c r="G3495" s="2">
        <v>201802</v>
      </c>
      <c r="H3495" s="2" t="s">
        <v>74</v>
      </c>
      <c r="I3495" s="2" t="s">
        <v>75</v>
      </c>
      <c r="J3495" s="2" t="s">
        <v>76</v>
      </c>
      <c r="K3495" s="2" t="s">
        <v>77</v>
      </c>
      <c r="L3495" s="2" t="s">
        <v>510</v>
      </c>
      <c r="M3495" s="2" t="s">
        <v>511</v>
      </c>
      <c r="N3495" s="2" t="s">
        <v>2112</v>
      </c>
      <c r="O3495" s="2" t="s">
        <v>100</v>
      </c>
      <c r="P3495" s="2" t="str">
        <f>"2170587491                    "</f>
        <v xml:space="preserve">2170587491                    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12.01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0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  <c r="BG3495" s="2">
        <v>0</v>
      </c>
      <c r="BH3495" s="2">
        <v>1</v>
      </c>
      <c r="BI3495" s="2">
        <v>2.5</v>
      </c>
      <c r="BJ3495" s="2">
        <v>5.6</v>
      </c>
      <c r="BK3495" s="2">
        <v>6</v>
      </c>
      <c r="BL3495" s="2">
        <v>124.33</v>
      </c>
      <c r="BM3495" s="2">
        <v>17.41</v>
      </c>
      <c r="BN3495" s="2">
        <v>141.74</v>
      </c>
      <c r="BO3495" s="2">
        <v>141.74</v>
      </c>
      <c r="BP3495" s="2"/>
      <c r="BQ3495" s="2" t="s">
        <v>108</v>
      </c>
      <c r="BR3495" s="2" t="s">
        <v>84</v>
      </c>
      <c r="BS3495" s="3">
        <v>42977</v>
      </c>
      <c r="BT3495" s="4">
        <v>0.3923611111111111</v>
      </c>
      <c r="BU3495" s="2" t="s">
        <v>3535</v>
      </c>
      <c r="BV3495" s="2" t="s">
        <v>95</v>
      </c>
      <c r="BW3495" s="2"/>
      <c r="BX3495" s="2"/>
      <c r="BY3495" s="2">
        <v>27852.38</v>
      </c>
      <c r="BZ3495" s="2" t="s">
        <v>27</v>
      </c>
      <c r="CA3495" s="2" t="s">
        <v>872</v>
      </c>
      <c r="CB3495" s="2"/>
      <c r="CC3495" s="2" t="s">
        <v>511</v>
      </c>
      <c r="CD3495" s="2">
        <v>6230</v>
      </c>
      <c r="CE3495" s="2" t="s">
        <v>948</v>
      </c>
      <c r="CF3495" s="5">
        <v>42978</v>
      </c>
      <c r="CG3495" s="2"/>
      <c r="CH3495" s="2"/>
      <c r="CI3495" s="2">
        <v>1</v>
      </c>
      <c r="CJ3495" s="2">
        <v>1</v>
      </c>
      <c r="CK3495" s="2">
        <v>21</v>
      </c>
      <c r="CL3495" s="2" t="s">
        <v>86</v>
      </c>
      <c r="CM3495" s="2"/>
    </row>
    <row r="3496" spans="1:91">
      <c r="A3496" s="2" t="s">
        <v>71</v>
      </c>
      <c r="B3496" s="2" t="s">
        <v>72</v>
      </c>
      <c r="C3496" s="2" t="s">
        <v>73</v>
      </c>
      <c r="D3496" s="2"/>
      <c r="E3496" s="2" t="str">
        <f>"FES1162572003"</f>
        <v>FES1162572003</v>
      </c>
      <c r="F3496" s="3">
        <v>42976</v>
      </c>
      <c r="G3496" s="2">
        <v>201802</v>
      </c>
      <c r="H3496" s="2" t="s">
        <v>74</v>
      </c>
      <c r="I3496" s="2" t="s">
        <v>75</v>
      </c>
      <c r="J3496" s="2" t="s">
        <v>76</v>
      </c>
      <c r="K3496" s="2" t="s">
        <v>77</v>
      </c>
      <c r="L3496" s="2" t="s">
        <v>74</v>
      </c>
      <c r="M3496" s="2" t="s">
        <v>75</v>
      </c>
      <c r="N3496" s="2" t="s">
        <v>2004</v>
      </c>
      <c r="O3496" s="2" t="s">
        <v>100</v>
      </c>
      <c r="P3496" s="2" t="str">
        <f>"2170587658                    "</f>
        <v xml:space="preserve">2170587658                    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3.13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  <c r="BG3496" s="2">
        <v>0</v>
      </c>
      <c r="BH3496" s="2">
        <v>1</v>
      </c>
      <c r="BI3496" s="2">
        <v>1</v>
      </c>
      <c r="BJ3496" s="2">
        <v>0.2</v>
      </c>
      <c r="BK3496" s="2">
        <v>1</v>
      </c>
      <c r="BL3496" s="2">
        <v>32.380000000000003</v>
      </c>
      <c r="BM3496" s="2">
        <v>4.53</v>
      </c>
      <c r="BN3496" s="2">
        <v>36.909999999999997</v>
      </c>
      <c r="BO3496" s="2">
        <v>36.909999999999997</v>
      </c>
      <c r="BP3496" s="2"/>
      <c r="BQ3496" s="2"/>
      <c r="BR3496" s="2" t="s">
        <v>84</v>
      </c>
      <c r="BS3496" s="3">
        <v>42977</v>
      </c>
      <c r="BT3496" s="4">
        <v>0.46111111111111108</v>
      </c>
      <c r="BU3496" s="2" t="s">
        <v>2005</v>
      </c>
      <c r="BV3496" s="2" t="s">
        <v>86</v>
      </c>
      <c r="BW3496" s="2"/>
      <c r="BX3496" s="2"/>
      <c r="BY3496" s="2">
        <v>1200</v>
      </c>
      <c r="BZ3496" s="2" t="s">
        <v>27</v>
      </c>
      <c r="CA3496" s="2" t="s">
        <v>194</v>
      </c>
      <c r="CB3496" s="2"/>
      <c r="CC3496" s="2" t="s">
        <v>75</v>
      </c>
      <c r="CD3496" s="2">
        <v>1666</v>
      </c>
      <c r="CE3496" s="2" t="s">
        <v>104</v>
      </c>
      <c r="CF3496" s="5">
        <v>42978</v>
      </c>
      <c r="CG3496" s="2"/>
      <c r="CH3496" s="2"/>
      <c r="CI3496" s="2">
        <v>1</v>
      </c>
      <c r="CJ3496" s="2">
        <v>1</v>
      </c>
      <c r="CK3496" s="2">
        <v>22</v>
      </c>
      <c r="CL3496" s="2" t="s">
        <v>86</v>
      </c>
      <c r="CM3496" s="2"/>
    </row>
    <row r="3497" spans="1:91">
      <c r="A3497" s="2" t="s">
        <v>71</v>
      </c>
      <c r="B3497" s="2" t="s">
        <v>72</v>
      </c>
      <c r="C3497" s="2" t="s">
        <v>73</v>
      </c>
      <c r="D3497" s="2"/>
      <c r="E3497" s="2" t="str">
        <f>"FES1162572034"</f>
        <v>FES1162572034</v>
      </c>
      <c r="F3497" s="3">
        <v>42976</v>
      </c>
      <c r="G3497" s="2">
        <v>201802</v>
      </c>
      <c r="H3497" s="2" t="s">
        <v>74</v>
      </c>
      <c r="I3497" s="2" t="s">
        <v>75</v>
      </c>
      <c r="J3497" s="2" t="s">
        <v>76</v>
      </c>
      <c r="K3497" s="2" t="s">
        <v>77</v>
      </c>
      <c r="L3497" s="2" t="s">
        <v>244</v>
      </c>
      <c r="M3497" s="2" t="s">
        <v>245</v>
      </c>
      <c r="N3497" s="2" t="s">
        <v>424</v>
      </c>
      <c r="O3497" s="2" t="s">
        <v>100</v>
      </c>
      <c r="P3497" s="2" t="str">
        <f>"2170584222                    "</f>
        <v xml:space="preserve">2170584222                    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3.13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0</v>
      </c>
      <c r="BH3497" s="2">
        <v>1</v>
      </c>
      <c r="BI3497" s="2">
        <v>0.8</v>
      </c>
      <c r="BJ3497" s="2">
        <v>1</v>
      </c>
      <c r="BK3497" s="2">
        <v>1</v>
      </c>
      <c r="BL3497" s="2">
        <v>32.380000000000003</v>
      </c>
      <c r="BM3497" s="2">
        <v>4.53</v>
      </c>
      <c r="BN3497" s="2">
        <v>36.909999999999997</v>
      </c>
      <c r="BO3497" s="2">
        <v>36.909999999999997</v>
      </c>
      <c r="BP3497" s="2"/>
      <c r="BQ3497" s="2" t="s">
        <v>108</v>
      </c>
      <c r="BR3497" s="2" t="s">
        <v>84</v>
      </c>
      <c r="BS3497" s="3">
        <v>42977</v>
      </c>
      <c r="BT3497" s="4">
        <v>0.38055555555555554</v>
      </c>
      <c r="BU3497" s="2" t="s">
        <v>3536</v>
      </c>
      <c r="BV3497" s="2" t="s">
        <v>95</v>
      </c>
      <c r="BW3497" s="2"/>
      <c r="BX3497" s="2"/>
      <c r="BY3497" s="2">
        <v>4757.6400000000003</v>
      </c>
      <c r="BZ3497" s="2" t="s">
        <v>27</v>
      </c>
      <c r="CA3497" s="2" t="s">
        <v>733</v>
      </c>
      <c r="CB3497" s="2"/>
      <c r="CC3497" s="2" t="s">
        <v>245</v>
      </c>
      <c r="CD3497" s="2">
        <v>1459</v>
      </c>
      <c r="CE3497" s="2" t="s">
        <v>948</v>
      </c>
      <c r="CF3497" s="5">
        <v>42978</v>
      </c>
      <c r="CG3497" s="2"/>
      <c r="CH3497" s="2"/>
      <c r="CI3497" s="2">
        <v>1</v>
      </c>
      <c r="CJ3497" s="2">
        <v>1</v>
      </c>
      <c r="CK3497" s="2">
        <v>22</v>
      </c>
      <c r="CL3497" s="2" t="s">
        <v>86</v>
      </c>
      <c r="CM3497" s="2"/>
    </row>
    <row r="3498" spans="1:91">
      <c r="A3498" s="2" t="s">
        <v>71</v>
      </c>
      <c r="B3498" s="2" t="s">
        <v>72</v>
      </c>
      <c r="C3498" s="2" t="s">
        <v>73</v>
      </c>
      <c r="D3498" s="2"/>
      <c r="E3498" s="2" t="str">
        <f>"FES1162572049"</f>
        <v>FES1162572049</v>
      </c>
      <c r="F3498" s="3">
        <v>42976</v>
      </c>
      <c r="G3498" s="2">
        <v>201802</v>
      </c>
      <c r="H3498" s="2" t="s">
        <v>74</v>
      </c>
      <c r="I3498" s="2" t="s">
        <v>75</v>
      </c>
      <c r="J3498" s="2" t="s">
        <v>76</v>
      </c>
      <c r="K3498" s="2" t="s">
        <v>77</v>
      </c>
      <c r="L3498" s="2" t="s">
        <v>268</v>
      </c>
      <c r="M3498" s="2" t="s">
        <v>269</v>
      </c>
      <c r="N3498" s="2" t="s">
        <v>1099</v>
      </c>
      <c r="O3498" s="2" t="s">
        <v>100</v>
      </c>
      <c r="P3498" s="2" t="str">
        <f>"2170586510                    "</f>
        <v xml:space="preserve">2170586510                    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4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  <c r="BG3498" s="2">
        <v>0</v>
      </c>
      <c r="BH3498" s="2">
        <v>1</v>
      </c>
      <c r="BI3498" s="2">
        <v>1</v>
      </c>
      <c r="BJ3498" s="2">
        <v>0.2</v>
      </c>
      <c r="BK3498" s="2">
        <v>1</v>
      </c>
      <c r="BL3498" s="2">
        <v>41.44</v>
      </c>
      <c r="BM3498" s="2">
        <v>5.8</v>
      </c>
      <c r="BN3498" s="2">
        <v>47.24</v>
      </c>
      <c r="BO3498" s="2">
        <v>47.24</v>
      </c>
      <c r="BP3498" s="2"/>
      <c r="BQ3498" s="2" t="s">
        <v>1246</v>
      </c>
      <c r="BR3498" s="2" t="s">
        <v>84</v>
      </c>
      <c r="BS3498" s="3">
        <v>42977</v>
      </c>
      <c r="BT3498" s="4">
        <v>0.41805555555555557</v>
      </c>
      <c r="BU3498" s="2" t="s">
        <v>1247</v>
      </c>
      <c r="BV3498" s="2" t="s">
        <v>95</v>
      </c>
      <c r="BW3498" s="2"/>
      <c r="BX3498" s="2"/>
      <c r="BY3498" s="2">
        <v>1200</v>
      </c>
      <c r="BZ3498" s="2" t="s">
        <v>27</v>
      </c>
      <c r="CA3498" s="2" t="s">
        <v>1248</v>
      </c>
      <c r="CB3498" s="2"/>
      <c r="CC3498" s="2" t="s">
        <v>269</v>
      </c>
      <c r="CD3498" s="2">
        <v>45</v>
      </c>
      <c r="CE3498" s="2" t="s">
        <v>104</v>
      </c>
      <c r="CF3498" s="5">
        <v>42978</v>
      </c>
      <c r="CG3498" s="2"/>
      <c r="CH3498" s="2"/>
      <c r="CI3498" s="2">
        <v>1</v>
      </c>
      <c r="CJ3498" s="2">
        <v>1</v>
      </c>
      <c r="CK3498" s="2">
        <v>21</v>
      </c>
      <c r="CL3498" s="2" t="s">
        <v>86</v>
      </c>
      <c r="CM3498" s="2"/>
    </row>
    <row r="3499" spans="1:91">
      <c r="A3499" s="2" t="s">
        <v>71</v>
      </c>
      <c r="B3499" s="2" t="s">
        <v>72</v>
      </c>
      <c r="C3499" s="2" t="s">
        <v>73</v>
      </c>
      <c r="D3499" s="2"/>
      <c r="E3499" s="2" t="str">
        <f>"FES1162572010"</f>
        <v>FES1162572010</v>
      </c>
      <c r="F3499" s="3">
        <v>42976</v>
      </c>
      <c r="G3499" s="2">
        <v>201802</v>
      </c>
      <c r="H3499" s="2" t="s">
        <v>74</v>
      </c>
      <c r="I3499" s="2" t="s">
        <v>75</v>
      </c>
      <c r="J3499" s="2" t="s">
        <v>76</v>
      </c>
      <c r="K3499" s="2" t="s">
        <v>77</v>
      </c>
      <c r="L3499" s="2" t="s">
        <v>105</v>
      </c>
      <c r="M3499" s="2" t="s">
        <v>106</v>
      </c>
      <c r="N3499" s="2" t="s">
        <v>486</v>
      </c>
      <c r="O3499" s="2" t="s">
        <v>100</v>
      </c>
      <c r="P3499" s="2" t="str">
        <f>"217058925                     "</f>
        <v xml:space="preserve">217058925                     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9.01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0</v>
      </c>
      <c r="BH3499" s="2">
        <v>1</v>
      </c>
      <c r="BI3499" s="2">
        <v>2.2000000000000002</v>
      </c>
      <c r="BJ3499" s="2">
        <v>4.2</v>
      </c>
      <c r="BK3499" s="2">
        <v>4.5</v>
      </c>
      <c r="BL3499" s="2">
        <v>93.25</v>
      </c>
      <c r="BM3499" s="2">
        <v>13.06</v>
      </c>
      <c r="BN3499" s="2">
        <v>106.31</v>
      </c>
      <c r="BO3499" s="2">
        <v>106.31</v>
      </c>
      <c r="BP3499" s="2"/>
      <c r="BQ3499" s="2" t="s">
        <v>108</v>
      </c>
      <c r="BR3499" s="2" t="s">
        <v>84</v>
      </c>
      <c r="BS3499" s="3">
        <v>42977</v>
      </c>
      <c r="BT3499" s="4">
        <v>0.49305555555555558</v>
      </c>
      <c r="BU3499" s="2" t="s">
        <v>3537</v>
      </c>
      <c r="BV3499" s="2" t="s">
        <v>86</v>
      </c>
      <c r="BW3499" s="2" t="s">
        <v>110</v>
      </c>
      <c r="BX3499" s="2" t="s">
        <v>111</v>
      </c>
      <c r="BY3499" s="2">
        <v>20801.09</v>
      </c>
      <c r="BZ3499" s="2" t="s">
        <v>27</v>
      </c>
      <c r="CA3499" s="2" t="s">
        <v>291</v>
      </c>
      <c r="CB3499" s="2"/>
      <c r="CC3499" s="2" t="s">
        <v>106</v>
      </c>
      <c r="CD3499" s="2">
        <v>7441</v>
      </c>
      <c r="CE3499" s="2" t="s">
        <v>948</v>
      </c>
      <c r="CF3499" s="5">
        <v>42978</v>
      </c>
      <c r="CG3499" s="2"/>
      <c r="CH3499" s="2"/>
      <c r="CI3499" s="2">
        <v>1</v>
      </c>
      <c r="CJ3499" s="2">
        <v>1</v>
      </c>
      <c r="CK3499" s="2">
        <v>21</v>
      </c>
      <c r="CL3499" s="2" t="s">
        <v>86</v>
      </c>
      <c r="CM3499" s="2"/>
    </row>
    <row r="3500" spans="1:91">
      <c r="A3500" s="2" t="s">
        <v>71</v>
      </c>
      <c r="B3500" s="2" t="s">
        <v>72</v>
      </c>
      <c r="C3500" s="2" t="s">
        <v>73</v>
      </c>
      <c r="D3500" s="2"/>
      <c r="E3500" s="2" t="str">
        <f>"FES1162572017"</f>
        <v>FES1162572017</v>
      </c>
      <c r="F3500" s="3">
        <v>42976</v>
      </c>
      <c r="G3500" s="2">
        <v>201802</v>
      </c>
      <c r="H3500" s="2" t="s">
        <v>74</v>
      </c>
      <c r="I3500" s="2" t="s">
        <v>75</v>
      </c>
      <c r="J3500" s="2" t="s">
        <v>76</v>
      </c>
      <c r="K3500" s="2" t="s">
        <v>77</v>
      </c>
      <c r="L3500" s="2" t="s">
        <v>74</v>
      </c>
      <c r="M3500" s="2" t="s">
        <v>75</v>
      </c>
      <c r="N3500" s="2" t="s">
        <v>3538</v>
      </c>
      <c r="O3500" s="2" t="s">
        <v>100</v>
      </c>
      <c r="P3500" s="2" t="str">
        <f>"2170582789 3                  "</f>
        <v xml:space="preserve">2170582789 3                  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3.13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  <c r="BG3500" s="2">
        <v>0</v>
      </c>
      <c r="BH3500" s="2">
        <v>2</v>
      </c>
      <c r="BI3500" s="2">
        <v>4.7</v>
      </c>
      <c r="BJ3500" s="2">
        <v>3.2</v>
      </c>
      <c r="BK3500" s="2">
        <v>5</v>
      </c>
      <c r="BL3500" s="2">
        <v>32.380000000000003</v>
      </c>
      <c r="BM3500" s="2">
        <v>4.53</v>
      </c>
      <c r="BN3500" s="2">
        <v>36.909999999999997</v>
      </c>
      <c r="BO3500" s="2">
        <v>36.909999999999997</v>
      </c>
      <c r="BP3500" s="2"/>
      <c r="BQ3500" s="2" t="s">
        <v>3539</v>
      </c>
      <c r="BR3500" s="2" t="s">
        <v>84</v>
      </c>
      <c r="BS3500" s="3">
        <v>42977</v>
      </c>
      <c r="BT3500" s="4">
        <v>0.33749999999999997</v>
      </c>
      <c r="BU3500" s="2" t="s">
        <v>3540</v>
      </c>
      <c r="BV3500" s="2" t="s">
        <v>95</v>
      </c>
      <c r="BW3500" s="2"/>
      <c r="BX3500" s="2"/>
      <c r="BY3500" s="2">
        <v>15847.32</v>
      </c>
      <c r="BZ3500" s="2" t="s">
        <v>27</v>
      </c>
      <c r="CA3500" s="2" t="s">
        <v>953</v>
      </c>
      <c r="CB3500" s="2"/>
      <c r="CC3500" s="2" t="s">
        <v>75</v>
      </c>
      <c r="CD3500" s="2">
        <v>1601</v>
      </c>
      <c r="CE3500" s="2" t="s">
        <v>104</v>
      </c>
      <c r="CF3500" s="5">
        <v>42978</v>
      </c>
      <c r="CG3500" s="2"/>
      <c r="CH3500" s="2"/>
      <c r="CI3500" s="2">
        <v>1</v>
      </c>
      <c r="CJ3500" s="2">
        <v>1</v>
      </c>
      <c r="CK3500" s="2">
        <v>22</v>
      </c>
      <c r="CL3500" s="2" t="s">
        <v>86</v>
      </c>
      <c r="CM3500" s="2"/>
    </row>
    <row r="3501" spans="1:91">
      <c r="A3501" s="2" t="s">
        <v>71</v>
      </c>
      <c r="B3501" s="2" t="s">
        <v>72</v>
      </c>
      <c r="C3501" s="2" t="s">
        <v>73</v>
      </c>
      <c r="D3501" s="2"/>
      <c r="E3501" s="2" t="str">
        <f>"FES1162572028"</f>
        <v>FES1162572028</v>
      </c>
      <c r="F3501" s="3">
        <v>42976</v>
      </c>
      <c r="G3501" s="2">
        <v>201802</v>
      </c>
      <c r="H3501" s="2" t="s">
        <v>74</v>
      </c>
      <c r="I3501" s="2" t="s">
        <v>75</v>
      </c>
      <c r="J3501" s="2" t="s">
        <v>76</v>
      </c>
      <c r="K3501" s="2" t="s">
        <v>77</v>
      </c>
      <c r="L3501" s="2" t="s">
        <v>417</v>
      </c>
      <c r="M3501" s="2" t="s">
        <v>417</v>
      </c>
      <c r="N3501" s="2" t="s">
        <v>475</v>
      </c>
      <c r="O3501" s="2" t="s">
        <v>100</v>
      </c>
      <c r="P3501" s="2" t="str">
        <f>"2170583971                    "</f>
        <v xml:space="preserve">2170583971                    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4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0</v>
      </c>
      <c r="AV3501" s="2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  <c r="BG3501" s="2">
        <v>0</v>
      </c>
      <c r="BH3501" s="2">
        <v>1</v>
      </c>
      <c r="BI3501" s="2">
        <v>0.7</v>
      </c>
      <c r="BJ3501" s="2">
        <v>1.3</v>
      </c>
      <c r="BK3501" s="2">
        <v>1.5</v>
      </c>
      <c r="BL3501" s="2">
        <v>41.44</v>
      </c>
      <c r="BM3501" s="2">
        <v>5.8</v>
      </c>
      <c r="BN3501" s="2">
        <v>47.24</v>
      </c>
      <c r="BO3501" s="2">
        <v>47.24</v>
      </c>
      <c r="BP3501" s="2"/>
      <c r="BQ3501" s="2" t="s">
        <v>108</v>
      </c>
      <c r="BR3501" s="2" t="s">
        <v>84</v>
      </c>
      <c r="BS3501" s="3">
        <v>42977</v>
      </c>
      <c r="BT3501" s="4">
        <v>0.49791666666666662</v>
      </c>
      <c r="BU3501" s="2" t="s">
        <v>1336</v>
      </c>
      <c r="BV3501" s="2" t="s">
        <v>95</v>
      </c>
      <c r="BW3501" s="2"/>
      <c r="BX3501" s="2"/>
      <c r="BY3501" s="2">
        <v>6268.86</v>
      </c>
      <c r="BZ3501" s="2" t="s">
        <v>27</v>
      </c>
      <c r="CA3501" s="2" t="s">
        <v>460</v>
      </c>
      <c r="CB3501" s="2"/>
      <c r="CC3501" s="2" t="s">
        <v>417</v>
      </c>
      <c r="CD3501" s="2">
        <v>7646</v>
      </c>
      <c r="CE3501" s="2" t="s">
        <v>948</v>
      </c>
      <c r="CF3501" s="5">
        <v>42977</v>
      </c>
      <c r="CG3501" s="2"/>
      <c r="CH3501" s="2"/>
      <c r="CI3501" s="2">
        <v>1</v>
      </c>
      <c r="CJ3501" s="2">
        <v>1</v>
      </c>
      <c r="CK3501" s="2">
        <v>21</v>
      </c>
      <c r="CL3501" s="2" t="s">
        <v>86</v>
      </c>
      <c r="CM3501" s="2"/>
    </row>
    <row r="3502" spans="1:91">
      <c r="A3502" s="2" t="s">
        <v>71</v>
      </c>
      <c r="B3502" s="2" t="s">
        <v>72</v>
      </c>
      <c r="C3502" s="2" t="s">
        <v>73</v>
      </c>
      <c r="D3502" s="2"/>
      <c r="E3502" s="2" t="str">
        <f>"FES1162572037"</f>
        <v>FES1162572037</v>
      </c>
      <c r="F3502" s="3">
        <v>42976</v>
      </c>
      <c r="G3502" s="2">
        <v>201802</v>
      </c>
      <c r="H3502" s="2" t="s">
        <v>74</v>
      </c>
      <c r="I3502" s="2" t="s">
        <v>75</v>
      </c>
      <c r="J3502" s="2" t="s">
        <v>76</v>
      </c>
      <c r="K3502" s="2" t="s">
        <v>77</v>
      </c>
      <c r="L3502" s="2" t="s">
        <v>105</v>
      </c>
      <c r="M3502" s="2" t="s">
        <v>106</v>
      </c>
      <c r="N3502" s="2" t="s">
        <v>397</v>
      </c>
      <c r="O3502" s="2" t="s">
        <v>100</v>
      </c>
      <c r="P3502" s="2" t="str">
        <f>"2170584801                    "</f>
        <v xml:space="preserve">2170584801                    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4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0</v>
      </c>
      <c r="BH3502" s="2">
        <v>1</v>
      </c>
      <c r="BI3502" s="2">
        <v>1.1000000000000001</v>
      </c>
      <c r="BJ3502" s="2">
        <v>1.3</v>
      </c>
      <c r="BK3502" s="2">
        <v>1.5</v>
      </c>
      <c r="BL3502" s="2">
        <v>41.44</v>
      </c>
      <c r="BM3502" s="2">
        <v>5.8</v>
      </c>
      <c r="BN3502" s="2">
        <v>47.24</v>
      </c>
      <c r="BO3502" s="2">
        <v>47.24</v>
      </c>
      <c r="BP3502" s="2"/>
      <c r="BQ3502" s="2" t="s">
        <v>83</v>
      </c>
      <c r="BR3502" s="2" t="s">
        <v>84</v>
      </c>
      <c r="BS3502" s="3">
        <v>42977</v>
      </c>
      <c r="BT3502" s="4">
        <v>0.38125000000000003</v>
      </c>
      <c r="BU3502" s="2" t="s">
        <v>408</v>
      </c>
      <c r="BV3502" s="2" t="s">
        <v>95</v>
      </c>
      <c r="BW3502" s="2"/>
      <c r="BX3502" s="2"/>
      <c r="BY3502" s="2">
        <v>6355.72</v>
      </c>
      <c r="BZ3502" s="2" t="s">
        <v>27</v>
      </c>
      <c r="CA3502" s="2" t="s">
        <v>112</v>
      </c>
      <c r="CB3502" s="2"/>
      <c r="CC3502" s="2" t="s">
        <v>106</v>
      </c>
      <c r="CD3502" s="2">
        <v>7405</v>
      </c>
      <c r="CE3502" s="2" t="s">
        <v>948</v>
      </c>
      <c r="CF3502" s="5">
        <v>42977</v>
      </c>
      <c r="CG3502" s="2"/>
      <c r="CH3502" s="2"/>
      <c r="CI3502" s="2">
        <v>1</v>
      </c>
      <c r="CJ3502" s="2">
        <v>1</v>
      </c>
      <c r="CK3502" s="2">
        <v>21</v>
      </c>
      <c r="CL3502" s="2" t="s">
        <v>86</v>
      </c>
      <c r="CM3502" s="2"/>
    </row>
    <row r="3503" spans="1:91">
      <c r="A3503" s="2" t="s">
        <v>71</v>
      </c>
      <c r="B3503" s="2" t="s">
        <v>72</v>
      </c>
      <c r="C3503" s="2" t="s">
        <v>73</v>
      </c>
      <c r="D3503" s="2"/>
      <c r="E3503" s="2" t="str">
        <f>"FES1162572061"</f>
        <v>FES1162572061</v>
      </c>
      <c r="F3503" s="3">
        <v>42976</v>
      </c>
      <c r="G3503" s="2">
        <v>201802</v>
      </c>
      <c r="H3503" s="2" t="s">
        <v>74</v>
      </c>
      <c r="I3503" s="2" t="s">
        <v>75</v>
      </c>
      <c r="J3503" s="2" t="s">
        <v>76</v>
      </c>
      <c r="K3503" s="2" t="s">
        <v>77</v>
      </c>
      <c r="L3503" s="2" t="s">
        <v>105</v>
      </c>
      <c r="M3503" s="2" t="s">
        <v>106</v>
      </c>
      <c r="N3503" s="2" t="s">
        <v>107</v>
      </c>
      <c r="O3503" s="2" t="s">
        <v>100</v>
      </c>
      <c r="P3503" s="2" t="str">
        <f>"2170587675                    "</f>
        <v xml:space="preserve">2170587675                    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4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  <c r="BG3503" s="2">
        <v>0</v>
      </c>
      <c r="BH3503" s="2">
        <v>1</v>
      </c>
      <c r="BI3503" s="2">
        <v>1</v>
      </c>
      <c r="BJ3503" s="2">
        <v>0.2</v>
      </c>
      <c r="BK3503" s="2">
        <v>1</v>
      </c>
      <c r="BL3503" s="2">
        <v>41.44</v>
      </c>
      <c r="BM3503" s="2">
        <v>5.8</v>
      </c>
      <c r="BN3503" s="2">
        <v>47.24</v>
      </c>
      <c r="BO3503" s="2">
        <v>47.24</v>
      </c>
      <c r="BP3503" s="2"/>
      <c r="BQ3503" s="2" t="s">
        <v>108</v>
      </c>
      <c r="BR3503" s="2" t="s">
        <v>84</v>
      </c>
      <c r="BS3503" s="3">
        <v>42977</v>
      </c>
      <c r="BT3503" s="4">
        <v>0.41388888888888892</v>
      </c>
      <c r="BU3503" s="2" t="s">
        <v>2632</v>
      </c>
      <c r="BV3503" s="2" t="s">
        <v>95</v>
      </c>
      <c r="BW3503" s="2"/>
      <c r="BX3503" s="2"/>
      <c r="BY3503" s="2">
        <v>1200</v>
      </c>
      <c r="BZ3503" s="2" t="s">
        <v>27</v>
      </c>
      <c r="CA3503" s="2" t="s">
        <v>112</v>
      </c>
      <c r="CB3503" s="2"/>
      <c r="CC3503" s="2" t="s">
        <v>106</v>
      </c>
      <c r="CD3503" s="2">
        <v>7405</v>
      </c>
      <c r="CE3503" s="2" t="s">
        <v>104</v>
      </c>
      <c r="CF3503" s="5">
        <v>42977</v>
      </c>
      <c r="CG3503" s="2"/>
      <c r="CH3503" s="2"/>
      <c r="CI3503" s="2">
        <v>1</v>
      </c>
      <c r="CJ3503" s="2">
        <v>1</v>
      </c>
      <c r="CK3503" s="2">
        <v>21</v>
      </c>
      <c r="CL3503" s="2" t="s">
        <v>86</v>
      </c>
      <c r="CM3503" s="2"/>
    </row>
    <row r="3504" spans="1:91">
      <c r="A3504" s="2" t="s">
        <v>71</v>
      </c>
      <c r="B3504" s="2" t="s">
        <v>72</v>
      </c>
      <c r="C3504" s="2" t="s">
        <v>73</v>
      </c>
      <c r="D3504" s="2"/>
      <c r="E3504" s="2" t="str">
        <f>"FES1162572038"</f>
        <v>FES1162572038</v>
      </c>
      <c r="F3504" s="3">
        <v>42976</v>
      </c>
      <c r="G3504" s="2">
        <v>201802</v>
      </c>
      <c r="H3504" s="2" t="s">
        <v>74</v>
      </c>
      <c r="I3504" s="2" t="s">
        <v>75</v>
      </c>
      <c r="J3504" s="2" t="s">
        <v>76</v>
      </c>
      <c r="K3504" s="2" t="s">
        <v>77</v>
      </c>
      <c r="L3504" s="2" t="s">
        <v>604</v>
      </c>
      <c r="M3504" s="2" t="s">
        <v>605</v>
      </c>
      <c r="N3504" s="2" t="s">
        <v>391</v>
      </c>
      <c r="O3504" s="2" t="s">
        <v>100</v>
      </c>
      <c r="P3504" s="2" t="str">
        <f>"2170584861                    "</f>
        <v xml:space="preserve">2170584861                    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28.02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  <c r="BG3504" s="2">
        <v>0</v>
      </c>
      <c r="BH3504" s="2">
        <v>1</v>
      </c>
      <c r="BI3504" s="2">
        <v>13.8</v>
      </c>
      <c r="BJ3504" s="2">
        <v>7.2</v>
      </c>
      <c r="BK3504" s="2">
        <v>14</v>
      </c>
      <c r="BL3504" s="2">
        <v>290.10000000000002</v>
      </c>
      <c r="BM3504" s="2">
        <v>40.61</v>
      </c>
      <c r="BN3504" s="2">
        <v>330.71</v>
      </c>
      <c r="BO3504" s="2">
        <v>330.71</v>
      </c>
      <c r="BP3504" s="2"/>
      <c r="BQ3504" s="2" t="s">
        <v>288</v>
      </c>
      <c r="BR3504" s="2" t="s">
        <v>84</v>
      </c>
      <c r="BS3504" s="3">
        <v>42977</v>
      </c>
      <c r="BT3504" s="4">
        <v>0.34722222222222227</v>
      </c>
      <c r="BU3504" s="2" t="s">
        <v>215</v>
      </c>
      <c r="BV3504" s="2" t="s">
        <v>95</v>
      </c>
      <c r="BW3504" s="2"/>
      <c r="BX3504" s="2"/>
      <c r="BY3504" s="2">
        <v>35848.79</v>
      </c>
      <c r="BZ3504" s="2" t="s">
        <v>27</v>
      </c>
      <c r="CA3504" s="2" t="s">
        <v>607</v>
      </c>
      <c r="CB3504" s="2"/>
      <c r="CC3504" s="2" t="s">
        <v>605</v>
      </c>
      <c r="CD3504" s="2">
        <v>4126</v>
      </c>
      <c r="CE3504" s="2" t="s">
        <v>948</v>
      </c>
      <c r="CF3504" s="5">
        <v>42978</v>
      </c>
      <c r="CG3504" s="2"/>
      <c r="CH3504" s="2"/>
      <c r="CI3504" s="2">
        <v>1</v>
      </c>
      <c r="CJ3504" s="2">
        <v>1</v>
      </c>
      <c r="CK3504" s="2">
        <v>21</v>
      </c>
      <c r="CL3504" s="2" t="s">
        <v>86</v>
      </c>
      <c r="CM3504" s="2"/>
    </row>
    <row r="3505" spans="1:91">
      <c r="A3505" s="2" t="s">
        <v>71</v>
      </c>
      <c r="B3505" s="2" t="s">
        <v>72</v>
      </c>
      <c r="C3505" s="2" t="s">
        <v>73</v>
      </c>
      <c r="D3505" s="2"/>
      <c r="E3505" s="2" t="str">
        <f>"FES1162572013"</f>
        <v>FES1162572013</v>
      </c>
      <c r="F3505" s="3">
        <v>42976</v>
      </c>
      <c r="G3505" s="2">
        <v>201802</v>
      </c>
      <c r="H3505" s="2" t="s">
        <v>74</v>
      </c>
      <c r="I3505" s="2" t="s">
        <v>75</v>
      </c>
      <c r="J3505" s="2" t="s">
        <v>76</v>
      </c>
      <c r="K3505" s="2" t="s">
        <v>77</v>
      </c>
      <c r="L3505" s="2" t="s">
        <v>74</v>
      </c>
      <c r="M3505" s="2" t="s">
        <v>75</v>
      </c>
      <c r="N3505" s="2" t="s">
        <v>2324</v>
      </c>
      <c r="O3505" s="2" t="s">
        <v>358</v>
      </c>
      <c r="P3505" s="2" t="str">
        <f>"2170582293                    "</f>
        <v xml:space="preserve">2170582293                    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5.58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  <c r="BG3505" s="2">
        <v>0</v>
      </c>
      <c r="BH3505" s="2">
        <v>1</v>
      </c>
      <c r="BI3505" s="2">
        <v>15</v>
      </c>
      <c r="BJ3505" s="2">
        <v>2.7</v>
      </c>
      <c r="BK3505" s="2">
        <v>15</v>
      </c>
      <c r="BL3505" s="2">
        <v>57.79</v>
      </c>
      <c r="BM3505" s="2">
        <v>8.09</v>
      </c>
      <c r="BN3505" s="2">
        <v>65.88</v>
      </c>
      <c r="BO3505" s="2">
        <v>65.88</v>
      </c>
      <c r="BP3505" s="2"/>
      <c r="BQ3505" s="2" t="s">
        <v>3283</v>
      </c>
      <c r="BR3505" s="2" t="s">
        <v>84</v>
      </c>
      <c r="BS3505" s="3">
        <v>42977</v>
      </c>
      <c r="BT3505" s="4">
        <v>0.31875000000000003</v>
      </c>
      <c r="BU3505" s="2" t="s">
        <v>3541</v>
      </c>
      <c r="BV3505" s="2" t="s">
        <v>95</v>
      </c>
      <c r="BW3505" s="2"/>
      <c r="BX3505" s="2"/>
      <c r="BY3505" s="2">
        <v>13580</v>
      </c>
      <c r="BZ3505" s="2" t="s">
        <v>27</v>
      </c>
      <c r="CA3505" s="2" t="s">
        <v>1289</v>
      </c>
      <c r="CB3505" s="2"/>
      <c r="CC3505" s="2" t="s">
        <v>75</v>
      </c>
      <c r="CD3505" s="2">
        <v>1600</v>
      </c>
      <c r="CE3505" s="2" t="s">
        <v>948</v>
      </c>
      <c r="CF3505" s="5">
        <v>42978</v>
      </c>
      <c r="CG3505" s="2"/>
      <c r="CH3505" s="2"/>
      <c r="CI3505" s="2">
        <v>1</v>
      </c>
      <c r="CJ3505" s="2">
        <v>1</v>
      </c>
      <c r="CK3505" s="2">
        <v>32</v>
      </c>
      <c r="CL3505" s="2" t="s">
        <v>86</v>
      </c>
      <c r="CM3505" s="2"/>
    </row>
    <row r="3506" spans="1:91">
      <c r="A3506" s="2" t="s">
        <v>71</v>
      </c>
      <c r="B3506" s="2" t="s">
        <v>72</v>
      </c>
      <c r="C3506" s="2" t="s">
        <v>73</v>
      </c>
      <c r="D3506" s="2"/>
      <c r="E3506" s="2" t="str">
        <f>"FES1162572044"</f>
        <v>FES1162572044</v>
      </c>
      <c r="F3506" s="3">
        <v>42976</v>
      </c>
      <c r="G3506" s="2">
        <v>201802</v>
      </c>
      <c r="H3506" s="2" t="s">
        <v>74</v>
      </c>
      <c r="I3506" s="2" t="s">
        <v>75</v>
      </c>
      <c r="J3506" s="2" t="s">
        <v>76</v>
      </c>
      <c r="K3506" s="2" t="s">
        <v>77</v>
      </c>
      <c r="L3506" s="2" t="s">
        <v>74</v>
      </c>
      <c r="M3506" s="2" t="s">
        <v>75</v>
      </c>
      <c r="N3506" s="2" t="s">
        <v>3542</v>
      </c>
      <c r="O3506" s="2" t="s">
        <v>100</v>
      </c>
      <c r="P3506" s="2" t="str">
        <f>"2170581242                    "</f>
        <v xml:space="preserve">2170581242                    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4.25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0</v>
      </c>
      <c r="BH3506" s="2">
        <v>1</v>
      </c>
      <c r="BI3506" s="2">
        <v>8.6999999999999993</v>
      </c>
      <c r="BJ3506" s="2">
        <v>10.1</v>
      </c>
      <c r="BK3506" s="2">
        <v>11</v>
      </c>
      <c r="BL3506" s="2">
        <v>44.03</v>
      </c>
      <c r="BM3506" s="2">
        <v>6.16</v>
      </c>
      <c r="BN3506" s="2">
        <v>50.19</v>
      </c>
      <c r="BO3506" s="2">
        <v>50.19</v>
      </c>
      <c r="BP3506" s="2"/>
      <c r="BQ3506" s="2"/>
      <c r="BR3506" s="2" t="s">
        <v>84</v>
      </c>
      <c r="BS3506" s="3">
        <v>42977</v>
      </c>
      <c r="BT3506" s="4">
        <v>0.32222222222222224</v>
      </c>
      <c r="BU3506" s="2" t="s">
        <v>3543</v>
      </c>
      <c r="BV3506" s="2" t="s">
        <v>95</v>
      </c>
      <c r="BW3506" s="2"/>
      <c r="BX3506" s="2"/>
      <c r="BY3506" s="2">
        <v>50637.31</v>
      </c>
      <c r="BZ3506" s="2" t="s">
        <v>27</v>
      </c>
      <c r="CA3506" s="2" t="s">
        <v>1448</v>
      </c>
      <c r="CB3506" s="2"/>
      <c r="CC3506" s="2" t="s">
        <v>75</v>
      </c>
      <c r="CD3506" s="2">
        <v>1609</v>
      </c>
      <c r="CE3506" s="2" t="s">
        <v>948</v>
      </c>
      <c r="CF3506" s="5">
        <v>42978</v>
      </c>
      <c r="CG3506" s="2"/>
      <c r="CH3506" s="2"/>
      <c r="CI3506" s="2">
        <v>1</v>
      </c>
      <c r="CJ3506" s="2">
        <v>1</v>
      </c>
      <c r="CK3506" s="2">
        <v>22</v>
      </c>
      <c r="CL3506" s="2" t="s">
        <v>86</v>
      </c>
      <c r="CM3506" s="2"/>
    </row>
    <row r="3507" spans="1:91">
      <c r="A3507" s="2" t="s">
        <v>71</v>
      </c>
      <c r="B3507" s="2" t="s">
        <v>72</v>
      </c>
      <c r="C3507" s="2" t="s">
        <v>73</v>
      </c>
      <c r="D3507" s="2"/>
      <c r="E3507" s="2" t="str">
        <f>"FES1162572040"</f>
        <v>FES1162572040</v>
      </c>
      <c r="F3507" s="3">
        <v>42976</v>
      </c>
      <c r="G3507" s="2">
        <v>201802</v>
      </c>
      <c r="H3507" s="2" t="s">
        <v>74</v>
      </c>
      <c r="I3507" s="2" t="s">
        <v>75</v>
      </c>
      <c r="J3507" s="2" t="s">
        <v>76</v>
      </c>
      <c r="K3507" s="2" t="s">
        <v>77</v>
      </c>
      <c r="L3507" s="2" t="s">
        <v>149</v>
      </c>
      <c r="M3507" s="2" t="s">
        <v>150</v>
      </c>
      <c r="N3507" s="2" t="s">
        <v>3494</v>
      </c>
      <c r="O3507" s="2" t="s">
        <v>100</v>
      </c>
      <c r="P3507" s="2" t="str">
        <f>"2170587662                    "</f>
        <v xml:space="preserve">2170587662                    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14.01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  <c r="BG3507" s="2">
        <v>0</v>
      </c>
      <c r="BH3507" s="2">
        <v>1</v>
      </c>
      <c r="BI3507" s="2">
        <v>6.8</v>
      </c>
      <c r="BJ3507" s="2">
        <v>2.9</v>
      </c>
      <c r="BK3507" s="2">
        <v>7</v>
      </c>
      <c r="BL3507" s="2">
        <v>145.05000000000001</v>
      </c>
      <c r="BM3507" s="2">
        <v>20.309999999999999</v>
      </c>
      <c r="BN3507" s="2">
        <v>165.36</v>
      </c>
      <c r="BO3507" s="2">
        <v>165.36</v>
      </c>
      <c r="BP3507" s="2"/>
      <c r="BQ3507" s="2" t="s">
        <v>83</v>
      </c>
      <c r="BR3507" s="2" t="s">
        <v>84</v>
      </c>
      <c r="BS3507" s="3">
        <v>42977</v>
      </c>
      <c r="BT3507" s="4">
        <v>0.40763888888888888</v>
      </c>
      <c r="BU3507" s="2" t="s">
        <v>3495</v>
      </c>
      <c r="BV3507" s="2" t="s">
        <v>95</v>
      </c>
      <c r="BW3507" s="2"/>
      <c r="BX3507" s="2"/>
      <c r="BY3507" s="2">
        <v>14417.87</v>
      </c>
      <c r="BZ3507" s="2" t="s">
        <v>27</v>
      </c>
      <c r="CA3507" s="2" t="s">
        <v>429</v>
      </c>
      <c r="CB3507" s="2"/>
      <c r="CC3507" s="2" t="s">
        <v>150</v>
      </c>
      <c r="CD3507" s="2">
        <v>4052</v>
      </c>
      <c r="CE3507" s="2" t="s">
        <v>948</v>
      </c>
      <c r="CF3507" s="5">
        <v>42978</v>
      </c>
      <c r="CG3507" s="2"/>
      <c r="CH3507" s="2"/>
      <c r="CI3507" s="2">
        <v>1</v>
      </c>
      <c r="CJ3507" s="2">
        <v>1</v>
      </c>
      <c r="CK3507" s="2">
        <v>21</v>
      </c>
      <c r="CL3507" s="2" t="s">
        <v>86</v>
      </c>
      <c r="CM3507" s="2"/>
    </row>
    <row r="3508" spans="1:91">
      <c r="A3508" s="2" t="s">
        <v>71</v>
      </c>
      <c r="B3508" s="2" t="s">
        <v>72</v>
      </c>
      <c r="C3508" s="2" t="s">
        <v>73</v>
      </c>
      <c r="D3508" s="2"/>
      <c r="E3508" s="2" t="str">
        <f>"FES1162572024"</f>
        <v>FES1162572024</v>
      </c>
      <c r="F3508" s="3">
        <v>42976</v>
      </c>
      <c r="G3508" s="2">
        <v>201802</v>
      </c>
      <c r="H3508" s="2" t="s">
        <v>74</v>
      </c>
      <c r="I3508" s="2" t="s">
        <v>75</v>
      </c>
      <c r="J3508" s="2" t="s">
        <v>76</v>
      </c>
      <c r="K3508" s="2" t="s">
        <v>77</v>
      </c>
      <c r="L3508" s="2" t="s">
        <v>97</v>
      </c>
      <c r="M3508" s="2" t="s">
        <v>98</v>
      </c>
      <c r="N3508" s="2" t="s">
        <v>99</v>
      </c>
      <c r="O3508" s="2" t="s">
        <v>100</v>
      </c>
      <c r="P3508" s="2" t="str">
        <f>"2170583809                    "</f>
        <v xml:space="preserve">2170583809                    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17.010000000000002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  <c r="BG3508" s="2">
        <v>0</v>
      </c>
      <c r="BH3508" s="2">
        <v>1</v>
      </c>
      <c r="BI3508" s="2">
        <v>3.6</v>
      </c>
      <c r="BJ3508" s="2">
        <v>8.1999999999999993</v>
      </c>
      <c r="BK3508" s="2">
        <v>8.5</v>
      </c>
      <c r="BL3508" s="2">
        <v>176.13</v>
      </c>
      <c r="BM3508" s="2">
        <v>24.66</v>
      </c>
      <c r="BN3508" s="2">
        <v>200.79</v>
      </c>
      <c r="BO3508" s="2">
        <v>200.79</v>
      </c>
      <c r="BP3508" s="2"/>
      <c r="BQ3508" s="2" t="s">
        <v>83</v>
      </c>
      <c r="BR3508" s="2" t="s">
        <v>84</v>
      </c>
      <c r="BS3508" s="3">
        <v>42977</v>
      </c>
      <c r="BT3508" s="4">
        <v>0.36874999999999997</v>
      </c>
      <c r="BU3508" s="2" t="s">
        <v>102</v>
      </c>
      <c r="BV3508" s="2" t="s">
        <v>95</v>
      </c>
      <c r="BW3508" s="2"/>
      <c r="BX3508" s="2"/>
      <c r="BY3508" s="2">
        <v>40821.86</v>
      </c>
      <c r="BZ3508" s="2" t="s">
        <v>27</v>
      </c>
      <c r="CA3508" s="2" t="s">
        <v>103</v>
      </c>
      <c r="CB3508" s="2"/>
      <c r="CC3508" s="2" t="s">
        <v>98</v>
      </c>
      <c r="CD3508" s="2">
        <v>6210</v>
      </c>
      <c r="CE3508" s="2" t="s">
        <v>948</v>
      </c>
      <c r="CF3508" s="5">
        <v>42978</v>
      </c>
      <c r="CG3508" s="2"/>
      <c r="CH3508" s="2"/>
      <c r="CI3508" s="2">
        <v>1</v>
      </c>
      <c r="CJ3508" s="2">
        <v>1</v>
      </c>
      <c r="CK3508" s="2">
        <v>21</v>
      </c>
      <c r="CL3508" s="2" t="s">
        <v>86</v>
      </c>
      <c r="CM3508" s="2"/>
    </row>
    <row r="3509" spans="1:91">
      <c r="A3509" s="2" t="s">
        <v>71</v>
      </c>
      <c r="B3509" s="2" t="s">
        <v>72</v>
      </c>
      <c r="C3509" s="2" t="s">
        <v>73</v>
      </c>
      <c r="D3509" s="2"/>
      <c r="E3509" s="2" t="str">
        <f>"FES1162572075"</f>
        <v>FES1162572075</v>
      </c>
      <c r="F3509" s="3">
        <v>42976</v>
      </c>
      <c r="G3509" s="2">
        <v>201802</v>
      </c>
      <c r="H3509" s="2" t="s">
        <v>74</v>
      </c>
      <c r="I3509" s="2" t="s">
        <v>75</v>
      </c>
      <c r="J3509" s="2" t="s">
        <v>76</v>
      </c>
      <c r="K3509" s="2" t="s">
        <v>77</v>
      </c>
      <c r="L3509" s="2" t="s">
        <v>417</v>
      </c>
      <c r="M3509" s="2" t="s">
        <v>417</v>
      </c>
      <c r="N3509" s="2" t="s">
        <v>815</v>
      </c>
      <c r="O3509" s="2" t="s">
        <v>100</v>
      </c>
      <c r="P3509" s="2" t="str">
        <f>"2170587693                    "</f>
        <v xml:space="preserve">2170587693                    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4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  <c r="BG3509" s="2">
        <v>0</v>
      </c>
      <c r="BH3509" s="2">
        <v>1</v>
      </c>
      <c r="BI3509" s="2">
        <v>0.8</v>
      </c>
      <c r="BJ3509" s="2">
        <v>1</v>
      </c>
      <c r="BK3509" s="2">
        <v>1</v>
      </c>
      <c r="BL3509" s="2">
        <v>41.44</v>
      </c>
      <c r="BM3509" s="2">
        <v>5.8</v>
      </c>
      <c r="BN3509" s="2">
        <v>47.24</v>
      </c>
      <c r="BO3509" s="2">
        <v>47.24</v>
      </c>
      <c r="BP3509" s="2"/>
      <c r="BQ3509" s="2" t="s">
        <v>108</v>
      </c>
      <c r="BR3509" s="2" t="s">
        <v>84</v>
      </c>
      <c r="BS3509" s="3">
        <v>42977</v>
      </c>
      <c r="BT3509" s="4">
        <v>0.49513888888888885</v>
      </c>
      <c r="BU3509" s="2" t="s">
        <v>3544</v>
      </c>
      <c r="BV3509" s="2" t="s">
        <v>95</v>
      </c>
      <c r="BW3509" s="2"/>
      <c r="BX3509" s="2"/>
      <c r="BY3509" s="2">
        <v>5072.58</v>
      </c>
      <c r="BZ3509" s="2" t="s">
        <v>27</v>
      </c>
      <c r="CA3509" s="2" t="s">
        <v>460</v>
      </c>
      <c r="CB3509" s="2"/>
      <c r="CC3509" s="2" t="s">
        <v>417</v>
      </c>
      <c r="CD3509" s="2">
        <v>7646</v>
      </c>
      <c r="CE3509" s="2" t="s">
        <v>89</v>
      </c>
      <c r="CF3509" s="5">
        <v>42978</v>
      </c>
      <c r="CG3509" s="2"/>
      <c r="CH3509" s="2"/>
      <c r="CI3509" s="2">
        <v>1</v>
      </c>
      <c r="CJ3509" s="2">
        <v>1</v>
      </c>
      <c r="CK3509" s="2">
        <v>21</v>
      </c>
      <c r="CL3509" s="2" t="s">
        <v>86</v>
      </c>
      <c r="CM3509" s="2"/>
    </row>
    <row r="3510" spans="1:91">
      <c r="A3510" s="2" t="s">
        <v>71</v>
      </c>
      <c r="B3510" s="2" t="s">
        <v>72</v>
      </c>
      <c r="C3510" s="2" t="s">
        <v>73</v>
      </c>
      <c r="D3510" s="2"/>
      <c r="E3510" s="2" t="str">
        <f>"FES1162572074"</f>
        <v>FES1162572074</v>
      </c>
      <c r="F3510" s="3">
        <v>42976</v>
      </c>
      <c r="G3510" s="2">
        <v>201802</v>
      </c>
      <c r="H3510" s="2" t="s">
        <v>74</v>
      </c>
      <c r="I3510" s="2" t="s">
        <v>75</v>
      </c>
      <c r="J3510" s="2" t="s">
        <v>76</v>
      </c>
      <c r="K3510" s="2" t="s">
        <v>77</v>
      </c>
      <c r="L3510" s="2" t="s">
        <v>164</v>
      </c>
      <c r="M3510" s="2" t="s">
        <v>165</v>
      </c>
      <c r="N3510" s="2" t="s">
        <v>3545</v>
      </c>
      <c r="O3510" s="2" t="s">
        <v>100</v>
      </c>
      <c r="P3510" s="2" t="str">
        <f>"2170587691                    "</f>
        <v xml:space="preserve">2170587691                    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4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1</v>
      </c>
      <c r="BI3510" s="2">
        <v>1</v>
      </c>
      <c r="BJ3510" s="2">
        <v>0.2</v>
      </c>
      <c r="BK3510" s="2">
        <v>1</v>
      </c>
      <c r="BL3510" s="2">
        <v>41.44</v>
      </c>
      <c r="BM3510" s="2">
        <v>5.8</v>
      </c>
      <c r="BN3510" s="2">
        <v>47.24</v>
      </c>
      <c r="BO3510" s="2">
        <v>47.24</v>
      </c>
      <c r="BP3510" s="2"/>
      <c r="BQ3510" s="2" t="s">
        <v>83</v>
      </c>
      <c r="BR3510" s="2" t="s">
        <v>84</v>
      </c>
      <c r="BS3510" s="3">
        <v>42977</v>
      </c>
      <c r="BT3510" s="4">
        <v>0.43958333333333338</v>
      </c>
      <c r="BU3510" s="2" t="s">
        <v>3546</v>
      </c>
      <c r="BV3510" s="2" t="s">
        <v>95</v>
      </c>
      <c r="BW3510" s="2"/>
      <c r="BX3510" s="2"/>
      <c r="BY3510" s="2">
        <v>1200</v>
      </c>
      <c r="BZ3510" s="2" t="s">
        <v>27</v>
      </c>
      <c r="CA3510" s="2" t="s">
        <v>1193</v>
      </c>
      <c r="CB3510" s="2"/>
      <c r="CC3510" s="2" t="s">
        <v>165</v>
      </c>
      <c r="CD3510" s="2">
        <v>6850</v>
      </c>
      <c r="CE3510" s="2" t="s">
        <v>104</v>
      </c>
      <c r="CF3510" s="5">
        <v>42977</v>
      </c>
      <c r="CG3510" s="2"/>
      <c r="CH3510" s="2"/>
      <c r="CI3510" s="2">
        <v>3</v>
      </c>
      <c r="CJ3510" s="2">
        <v>1</v>
      </c>
      <c r="CK3510" s="2">
        <v>21</v>
      </c>
      <c r="CL3510" s="2" t="s">
        <v>86</v>
      </c>
      <c r="CM3510" s="2"/>
    </row>
    <row r="3511" spans="1:91">
      <c r="A3511" s="2" t="s">
        <v>71</v>
      </c>
      <c r="B3511" s="2" t="s">
        <v>72</v>
      </c>
      <c r="C3511" s="2" t="s">
        <v>73</v>
      </c>
      <c r="D3511" s="2"/>
      <c r="E3511" s="2" t="str">
        <f>"FES1162572008"</f>
        <v>FES1162572008</v>
      </c>
      <c r="F3511" s="3">
        <v>42976</v>
      </c>
      <c r="G3511" s="2">
        <v>201802</v>
      </c>
      <c r="H3511" s="2" t="s">
        <v>74</v>
      </c>
      <c r="I3511" s="2" t="s">
        <v>75</v>
      </c>
      <c r="J3511" s="2" t="s">
        <v>76</v>
      </c>
      <c r="K3511" s="2" t="s">
        <v>77</v>
      </c>
      <c r="L3511" s="2" t="s">
        <v>510</v>
      </c>
      <c r="M3511" s="2" t="s">
        <v>511</v>
      </c>
      <c r="N3511" s="2" t="s">
        <v>583</v>
      </c>
      <c r="O3511" s="2" t="s">
        <v>100</v>
      </c>
      <c r="P3511" s="2" t="str">
        <f>"2170579532                    "</f>
        <v xml:space="preserve">2170579532                    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17.010000000000002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  <c r="BG3511" s="2">
        <v>0</v>
      </c>
      <c r="BH3511" s="2">
        <v>1</v>
      </c>
      <c r="BI3511" s="2">
        <v>8.5</v>
      </c>
      <c r="BJ3511" s="2">
        <v>4.0999999999999996</v>
      </c>
      <c r="BK3511" s="2">
        <v>8.5</v>
      </c>
      <c r="BL3511" s="2">
        <v>176.13</v>
      </c>
      <c r="BM3511" s="2">
        <v>24.66</v>
      </c>
      <c r="BN3511" s="2">
        <v>200.79</v>
      </c>
      <c r="BO3511" s="2">
        <v>200.79</v>
      </c>
      <c r="BP3511" s="2"/>
      <c r="BQ3511" s="2" t="s">
        <v>108</v>
      </c>
      <c r="BR3511" s="2" t="s">
        <v>84</v>
      </c>
      <c r="BS3511" s="3">
        <v>42977</v>
      </c>
      <c r="BT3511" s="4">
        <v>0.31388888888888888</v>
      </c>
      <c r="BU3511" s="2" t="s">
        <v>3547</v>
      </c>
      <c r="BV3511" s="2" t="s">
        <v>95</v>
      </c>
      <c r="BW3511" s="2"/>
      <c r="BX3511" s="2"/>
      <c r="BY3511" s="2">
        <v>20503.37</v>
      </c>
      <c r="BZ3511" s="2" t="s">
        <v>27</v>
      </c>
      <c r="CA3511" s="2" t="s">
        <v>872</v>
      </c>
      <c r="CB3511" s="2"/>
      <c r="CC3511" s="2" t="s">
        <v>511</v>
      </c>
      <c r="CD3511" s="2">
        <v>6229</v>
      </c>
      <c r="CE3511" s="2" t="s">
        <v>135</v>
      </c>
      <c r="CF3511" s="5">
        <v>42978</v>
      </c>
      <c r="CG3511" s="2"/>
      <c r="CH3511" s="2"/>
      <c r="CI3511" s="2">
        <v>1</v>
      </c>
      <c r="CJ3511" s="2">
        <v>1</v>
      </c>
      <c r="CK3511" s="2">
        <v>21</v>
      </c>
      <c r="CL3511" s="2" t="s">
        <v>86</v>
      </c>
      <c r="CM3511" s="2"/>
    </row>
    <row r="3512" spans="1:91">
      <c r="A3512" s="2" t="s">
        <v>71</v>
      </c>
      <c r="B3512" s="2" t="s">
        <v>72</v>
      </c>
      <c r="C3512" s="2" t="s">
        <v>73</v>
      </c>
      <c r="D3512" s="2"/>
      <c r="E3512" s="2" t="str">
        <f>"FES1162572025"</f>
        <v>FES1162572025</v>
      </c>
      <c r="F3512" s="3">
        <v>42976</v>
      </c>
      <c r="G3512" s="2">
        <v>201802</v>
      </c>
      <c r="H3512" s="2" t="s">
        <v>74</v>
      </c>
      <c r="I3512" s="2" t="s">
        <v>75</v>
      </c>
      <c r="J3512" s="2" t="s">
        <v>76</v>
      </c>
      <c r="K3512" s="2" t="s">
        <v>77</v>
      </c>
      <c r="L3512" s="2" t="s">
        <v>97</v>
      </c>
      <c r="M3512" s="2" t="s">
        <v>98</v>
      </c>
      <c r="N3512" s="2" t="s">
        <v>99</v>
      </c>
      <c r="O3512" s="2" t="s">
        <v>100</v>
      </c>
      <c r="P3512" s="2" t="str">
        <f>"2170583811                    "</f>
        <v xml:space="preserve">2170583811                    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4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0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  <c r="BG3512" s="2">
        <v>0</v>
      </c>
      <c r="BH3512" s="2">
        <v>1</v>
      </c>
      <c r="BI3512" s="2">
        <v>1.6</v>
      </c>
      <c r="BJ3512" s="2">
        <v>1.7</v>
      </c>
      <c r="BK3512" s="2">
        <v>2</v>
      </c>
      <c r="BL3512" s="2">
        <v>41.44</v>
      </c>
      <c r="BM3512" s="2">
        <v>5.8</v>
      </c>
      <c r="BN3512" s="2">
        <v>47.24</v>
      </c>
      <c r="BO3512" s="2">
        <v>47.24</v>
      </c>
      <c r="BP3512" s="2"/>
      <c r="BQ3512" s="2" t="s">
        <v>83</v>
      </c>
      <c r="BR3512" s="2" t="s">
        <v>84</v>
      </c>
      <c r="BS3512" s="3">
        <v>42977</v>
      </c>
      <c r="BT3512" s="4">
        <v>0.36944444444444446</v>
      </c>
      <c r="BU3512" s="2" t="s">
        <v>102</v>
      </c>
      <c r="BV3512" s="2" t="s">
        <v>95</v>
      </c>
      <c r="BW3512" s="2"/>
      <c r="BX3512" s="2"/>
      <c r="BY3512" s="2">
        <v>8493.23</v>
      </c>
      <c r="BZ3512" s="2" t="s">
        <v>27</v>
      </c>
      <c r="CA3512" s="2" t="s">
        <v>103</v>
      </c>
      <c r="CB3512" s="2"/>
      <c r="CC3512" s="2" t="s">
        <v>98</v>
      </c>
      <c r="CD3512" s="2">
        <v>6210</v>
      </c>
      <c r="CE3512" s="2" t="s">
        <v>89</v>
      </c>
      <c r="CF3512" s="5">
        <v>42978</v>
      </c>
      <c r="CG3512" s="2"/>
      <c r="CH3512" s="2"/>
      <c r="CI3512" s="2">
        <v>1</v>
      </c>
      <c r="CJ3512" s="2">
        <v>1</v>
      </c>
      <c r="CK3512" s="2">
        <v>21</v>
      </c>
      <c r="CL3512" s="2" t="s">
        <v>86</v>
      </c>
      <c r="CM3512" s="2"/>
    </row>
    <row r="3513" spans="1:91">
      <c r="A3513" s="2" t="s">
        <v>71</v>
      </c>
      <c r="B3513" s="2" t="s">
        <v>72</v>
      </c>
      <c r="C3513" s="2" t="s">
        <v>73</v>
      </c>
      <c r="D3513" s="2"/>
      <c r="E3513" s="2" t="str">
        <f>"FES1162572057"</f>
        <v>FES1162572057</v>
      </c>
      <c r="F3513" s="3">
        <v>42976</v>
      </c>
      <c r="G3513" s="2">
        <v>201802</v>
      </c>
      <c r="H3513" s="2" t="s">
        <v>74</v>
      </c>
      <c r="I3513" s="2" t="s">
        <v>75</v>
      </c>
      <c r="J3513" s="2" t="s">
        <v>76</v>
      </c>
      <c r="K3513" s="2" t="s">
        <v>77</v>
      </c>
      <c r="L3513" s="2" t="s">
        <v>321</v>
      </c>
      <c r="M3513" s="2" t="s">
        <v>322</v>
      </c>
      <c r="N3513" s="2" t="s">
        <v>323</v>
      </c>
      <c r="O3513" s="2" t="s">
        <v>100</v>
      </c>
      <c r="P3513" s="2" t="str">
        <f>"2170584543                    "</f>
        <v xml:space="preserve">2170584543                    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7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  <c r="BG3513" s="2">
        <v>0</v>
      </c>
      <c r="BH3513" s="2">
        <v>1</v>
      </c>
      <c r="BI3513" s="2">
        <v>3.3</v>
      </c>
      <c r="BJ3513" s="2">
        <v>2.8</v>
      </c>
      <c r="BK3513" s="2">
        <v>3.5</v>
      </c>
      <c r="BL3513" s="2">
        <v>72.52</v>
      </c>
      <c r="BM3513" s="2">
        <v>10.15</v>
      </c>
      <c r="BN3513" s="2">
        <v>82.67</v>
      </c>
      <c r="BO3513" s="2">
        <v>82.67</v>
      </c>
      <c r="BP3513" s="2"/>
      <c r="BQ3513" s="2" t="s">
        <v>83</v>
      </c>
      <c r="BR3513" s="2" t="s">
        <v>84</v>
      </c>
      <c r="BS3513" s="3">
        <v>42977</v>
      </c>
      <c r="BT3513" s="4">
        <v>0.40625</v>
      </c>
      <c r="BU3513" s="2" t="s">
        <v>324</v>
      </c>
      <c r="BV3513" s="2" t="s">
        <v>95</v>
      </c>
      <c r="BW3513" s="2"/>
      <c r="BX3513" s="2"/>
      <c r="BY3513" s="2">
        <v>14125.2</v>
      </c>
      <c r="BZ3513" s="2" t="s">
        <v>27</v>
      </c>
      <c r="CA3513" s="2" t="s">
        <v>103</v>
      </c>
      <c r="CB3513" s="2"/>
      <c r="CC3513" s="2" t="s">
        <v>322</v>
      </c>
      <c r="CD3513" s="2">
        <v>6220</v>
      </c>
      <c r="CE3513" s="2" t="s">
        <v>135</v>
      </c>
      <c r="CF3513" s="5">
        <v>42978</v>
      </c>
      <c r="CG3513" s="2"/>
      <c r="CH3513" s="2"/>
      <c r="CI3513" s="2">
        <v>1</v>
      </c>
      <c r="CJ3513" s="2">
        <v>1</v>
      </c>
      <c r="CK3513" s="2">
        <v>21</v>
      </c>
      <c r="CL3513" s="2" t="s">
        <v>86</v>
      </c>
      <c r="CM3513" s="2"/>
    </row>
    <row r="3514" spans="1:91">
      <c r="A3514" s="2" t="s">
        <v>71</v>
      </c>
      <c r="B3514" s="2" t="s">
        <v>72</v>
      </c>
      <c r="C3514" s="2" t="s">
        <v>73</v>
      </c>
      <c r="D3514" s="2"/>
      <c r="E3514" s="2" t="str">
        <f>"FES1162572016"</f>
        <v>FES1162572016</v>
      </c>
      <c r="F3514" s="3">
        <v>42976</v>
      </c>
      <c r="G3514" s="2">
        <v>201802</v>
      </c>
      <c r="H3514" s="2" t="s">
        <v>74</v>
      </c>
      <c r="I3514" s="2" t="s">
        <v>75</v>
      </c>
      <c r="J3514" s="2" t="s">
        <v>76</v>
      </c>
      <c r="K3514" s="2" t="s">
        <v>77</v>
      </c>
      <c r="L3514" s="2" t="s">
        <v>97</v>
      </c>
      <c r="M3514" s="2" t="s">
        <v>98</v>
      </c>
      <c r="N3514" s="2" t="s">
        <v>625</v>
      </c>
      <c r="O3514" s="2" t="s">
        <v>100</v>
      </c>
      <c r="P3514" s="2" t="str">
        <f>"2170582670                    "</f>
        <v xml:space="preserve">2170582670                    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6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  <c r="BG3514" s="2">
        <v>0</v>
      </c>
      <c r="BH3514" s="2">
        <v>1</v>
      </c>
      <c r="BI3514" s="2">
        <v>2.2999999999999998</v>
      </c>
      <c r="BJ3514" s="2">
        <v>2.8</v>
      </c>
      <c r="BK3514" s="2">
        <v>3</v>
      </c>
      <c r="BL3514" s="2">
        <v>62.16</v>
      </c>
      <c r="BM3514" s="2">
        <v>8.6999999999999993</v>
      </c>
      <c r="BN3514" s="2">
        <v>70.86</v>
      </c>
      <c r="BO3514" s="2">
        <v>70.86</v>
      </c>
      <c r="BP3514" s="2"/>
      <c r="BQ3514" s="2" t="s">
        <v>108</v>
      </c>
      <c r="BR3514" s="2" t="s">
        <v>84</v>
      </c>
      <c r="BS3514" s="3">
        <v>42977</v>
      </c>
      <c r="BT3514" s="4">
        <v>0.43541666666666662</v>
      </c>
      <c r="BU3514" s="2" t="s">
        <v>1299</v>
      </c>
      <c r="BV3514" s="2" t="s">
        <v>95</v>
      </c>
      <c r="BW3514" s="2"/>
      <c r="BX3514" s="2"/>
      <c r="BY3514" s="2">
        <v>14078.06</v>
      </c>
      <c r="BZ3514" s="2" t="s">
        <v>27</v>
      </c>
      <c r="CA3514" s="2" t="s">
        <v>103</v>
      </c>
      <c r="CB3514" s="2"/>
      <c r="CC3514" s="2" t="s">
        <v>98</v>
      </c>
      <c r="CD3514" s="2">
        <v>6001</v>
      </c>
      <c r="CE3514" s="2" t="s">
        <v>135</v>
      </c>
      <c r="CF3514" s="5">
        <v>42978</v>
      </c>
      <c r="CG3514" s="2"/>
      <c r="CH3514" s="2"/>
      <c r="CI3514" s="2">
        <v>1</v>
      </c>
      <c r="CJ3514" s="2">
        <v>1</v>
      </c>
      <c r="CK3514" s="2">
        <v>21</v>
      </c>
      <c r="CL3514" s="2" t="s">
        <v>86</v>
      </c>
      <c r="CM3514" s="2"/>
    </row>
    <row r="3515" spans="1:91">
      <c r="A3515" s="2" t="s">
        <v>71</v>
      </c>
      <c r="B3515" s="2" t="s">
        <v>72</v>
      </c>
      <c r="C3515" s="2" t="s">
        <v>73</v>
      </c>
      <c r="D3515" s="2"/>
      <c r="E3515" s="2" t="str">
        <f>"FES1162572022"</f>
        <v>FES1162572022</v>
      </c>
      <c r="F3515" s="3">
        <v>42976</v>
      </c>
      <c r="G3515" s="2">
        <v>201802</v>
      </c>
      <c r="H3515" s="2" t="s">
        <v>74</v>
      </c>
      <c r="I3515" s="2" t="s">
        <v>75</v>
      </c>
      <c r="J3515" s="2" t="s">
        <v>76</v>
      </c>
      <c r="K3515" s="2" t="s">
        <v>77</v>
      </c>
      <c r="L3515" s="2" t="s">
        <v>97</v>
      </c>
      <c r="M3515" s="2" t="s">
        <v>98</v>
      </c>
      <c r="N3515" s="2" t="s">
        <v>99</v>
      </c>
      <c r="O3515" s="2" t="s">
        <v>100</v>
      </c>
      <c r="P3515" s="2" t="str">
        <f>"2170583802                    "</f>
        <v xml:space="preserve">2170583802                    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8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  <c r="BG3515" s="2">
        <v>0</v>
      </c>
      <c r="BH3515" s="2">
        <v>1</v>
      </c>
      <c r="BI3515" s="2">
        <v>3</v>
      </c>
      <c r="BJ3515" s="2">
        <v>4</v>
      </c>
      <c r="BK3515" s="2">
        <v>4</v>
      </c>
      <c r="BL3515" s="2">
        <v>82.88</v>
      </c>
      <c r="BM3515" s="2">
        <v>11.6</v>
      </c>
      <c r="BN3515" s="2">
        <v>94.48</v>
      </c>
      <c r="BO3515" s="2">
        <v>94.48</v>
      </c>
      <c r="BP3515" s="2"/>
      <c r="BQ3515" s="2" t="s">
        <v>83</v>
      </c>
      <c r="BR3515" s="2" t="s">
        <v>84</v>
      </c>
      <c r="BS3515" s="3">
        <v>42977</v>
      </c>
      <c r="BT3515" s="4">
        <v>0.36874999999999997</v>
      </c>
      <c r="BU3515" s="2" t="s">
        <v>102</v>
      </c>
      <c r="BV3515" s="2" t="s">
        <v>95</v>
      </c>
      <c r="BW3515" s="2"/>
      <c r="BX3515" s="2"/>
      <c r="BY3515" s="2">
        <v>20113.919999999998</v>
      </c>
      <c r="BZ3515" s="2" t="s">
        <v>27</v>
      </c>
      <c r="CA3515" s="2" t="s">
        <v>103</v>
      </c>
      <c r="CB3515" s="2"/>
      <c r="CC3515" s="2" t="s">
        <v>98</v>
      </c>
      <c r="CD3515" s="2">
        <v>6210</v>
      </c>
      <c r="CE3515" s="2" t="s">
        <v>89</v>
      </c>
      <c r="CF3515" s="5">
        <v>42978</v>
      </c>
      <c r="CG3515" s="2"/>
      <c r="CH3515" s="2"/>
      <c r="CI3515" s="2">
        <v>1</v>
      </c>
      <c r="CJ3515" s="2">
        <v>1</v>
      </c>
      <c r="CK3515" s="2">
        <v>21</v>
      </c>
      <c r="CL3515" s="2" t="s">
        <v>86</v>
      </c>
      <c r="CM3515" s="2"/>
    </row>
    <row r="3516" spans="1:91">
      <c r="A3516" s="2" t="s">
        <v>71</v>
      </c>
      <c r="B3516" s="2" t="s">
        <v>72</v>
      </c>
      <c r="C3516" s="2" t="s">
        <v>73</v>
      </c>
      <c r="D3516" s="2"/>
      <c r="E3516" s="2" t="str">
        <f>"FES1162572056"</f>
        <v>FES1162572056</v>
      </c>
      <c r="F3516" s="3">
        <v>42976</v>
      </c>
      <c r="G3516" s="2">
        <v>201802</v>
      </c>
      <c r="H3516" s="2" t="s">
        <v>74</v>
      </c>
      <c r="I3516" s="2" t="s">
        <v>75</v>
      </c>
      <c r="J3516" s="2" t="s">
        <v>76</v>
      </c>
      <c r="K3516" s="2" t="s">
        <v>77</v>
      </c>
      <c r="L3516" s="2" t="s">
        <v>78</v>
      </c>
      <c r="M3516" s="2" t="s">
        <v>79</v>
      </c>
      <c r="N3516" s="2" t="s">
        <v>450</v>
      </c>
      <c r="O3516" s="2" t="s">
        <v>100</v>
      </c>
      <c r="P3516" s="2" t="str">
        <f>"2170582089                    "</f>
        <v xml:space="preserve">2170582089                    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10.01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  <c r="BG3516" s="2">
        <v>0</v>
      </c>
      <c r="BH3516" s="2">
        <v>1</v>
      </c>
      <c r="BI3516" s="2">
        <v>1.6</v>
      </c>
      <c r="BJ3516" s="2">
        <v>4.8</v>
      </c>
      <c r="BK3516" s="2">
        <v>5</v>
      </c>
      <c r="BL3516" s="2">
        <v>103.61</v>
      </c>
      <c r="BM3516" s="2">
        <v>14.51</v>
      </c>
      <c r="BN3516" s="2">
        <v>118.12</v>
      </c>
      <c r="BO3516" s="2">
        <v>118.12</v>
      </c>
      <c r="BP3516" s="2"/>
      <c r="BQ3516" s="2" t="s">
        <v>288</v>
      </c>
      <c r="BR3516" s="2" t="s">
        <v>84</v>
      </c>
      <c r="BS3516" s="3">
        <v>42977</v>
      </c>
      <c r="BT3516" s="4">
        <v>0.42708333333333331</v>
      </c>
      <c r="BU3516" s="2" t="s">
        <v>85</v>
      </c>
      <c r="BV3516" s="2" t="s">
        <v>95</v>
      </c>
      <c r="BW3516" s="2"/>
      <c r="BX3516" s="2"/>
      <c r="BY3516" s="2">
        <v>24172.1</v>
      </c>
      <c r="BZ3516" s="2" t="s">
        <v>27</v>
      </c>
      <c r="CA3516" s="2" t="s">
        <v>518</v>
      </c>
      <c r="CB3516" s="2"/>
      <c r="CC3516" s="2" t="s">
        <v>79</v>
      </c>
      <c r="CD3516" s="2">
        <v>9300</v>
      </c>
      <c r="CE3516" s="2" t="s">
        <v>135</v>
      </c>
      <c r="CF3516" s="5">
        <v>42978</v>
      </c>
      <c r="CG3516" s="2"/>
      <c r="CH3516" s="2"/>
      <c r="CI3516" s="2">
        <v>1</v>
      </c>
      <c r="CJ3516" s="2">
        <v>1</v>
      </c>
      <c r="CK3516" s="2">
        <v>21</v>
      </c>
      <c r="CL3516" s="2" t="s">
        <v>86</v>
      </c>
      <c r="CM3516" s="2"/>
    </row>
    <row r="3517" spans="1:91">
      <c r="A3517" s="2" t="s">
        <v>71</v>
      </c>
      <c r="B3517" s="2" t="s">
        <v>72</v>
      </c>
      <c r="C3517" s="2" t="s">
        <v>73</v>
      </c>
      <c r="D3517" s="2"/>
      <c r="E3517" s="2" t="str">
        <f>"FES1162572026"</f>
        <v>FES1162572026</v>
      </c>
      <c r="F3517" s="3">
        <v>42976</v>
      </c>
      <c r="G3517" s="2">
        <v>201802</v>
      </c>
      <c r="H3517" s="2" t="s">
        <v>74</v>
      </c>
      <c r="I3517" s="2" t="s">
        <v>75</v>
      </c>
      <c r="J3517" s="2" t="s">
        <v>76</v>
      </c>
      <c r="K3517" s="2" t="s">
        <v>77</v>
      </c>
      <c r="L3517" s="2" t="s">
        <v>97</v>
      </c>
      <c r="M3517" s="2" t="s">
        <v>98</v>
      </c>
      <c r="N3517" s="2" t="s">
        <v>99</v>
      </c>
      <c r="O3517" s="2" t="s">
        <v>100</v>
      </c>
      <c r="P3517" s="2" t="str">
        <f>"2170583817                    "</f>
        <v xml:space="preserve">2170583817                    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9.01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1</v>
      </c>
      <c r="BI3517" s="2">
        <v>3.2</v>
      </c>
      <c r="BJ3517" s="2">
        <v>4.4000000000000004</v>
      </c>
      <c r="BK3517" s="2">
        <v>4.5</v>
      </c>
      <c r="BL3517" s="2">
        <v>93.25</v>
      </c>
      <c r="BM3517" s="2">
        <v>13.06</v>
      </c>
      <c r="BN3517" s="2">
        <v>106.31</v>
      </c>
      <c r="BO3517" s="2">
        <v>106.31</v>
      </c>
      <c r="BP3517" s="2"/>
      <c r="BQ3517" s="2" t="s">
        <v>83</v>
      </c>
      <c r="BR3517" s="2" t="s">
        <v>84</v>
      </c>
      <c r="BS3517" s="3">
        <v>42977</v>
      </c>
      <c r="BT3517" s="4">
        <v>0.37291666666666662</v>
      </c>
      <c r="BU3517" s="2" t="s">
        <v>102</v>
      </c>
      <c r="BV3517" s="2" t="s">
        <v>95</v>
      </c>
      <c r="BW3517" s="2"/>
      <c r="BX3517" s="2"/>
      <c r="BY3517" s="2">
        <v>21902.17</v>
      </c>
      <c r="BZ3517" s="2" t="s">
        <v>27</v>
      </c>
      <c r="CA3517" s="2" t="s">
        <v>103</v>
      </c>
      <c r="CB3517" s="2"/>
      <c r="CC3517" s="2" t="s">
        <v>98</v>
      </c>
      <c r="CD3517" s="2">
        <v>6210</v>
      </c>
      <c r="CE3517" s="2" t="s">
        <v>135</v>
      </c>
      <c r="CF3517" s="5">
        <v>42978</v>
      </c>
      <c r="CG3517" s="2"/>
      <c r="CH3517" s="2"/>
      <c r="CI3517" s="2">
        <v>1</v>
      </c>
      <c r="CJ3517" s="2">
        <v>1</v>
      </c>
      <c r="CK3517" s="2">
        <v>21</v>
      </c>
      <c r="CL3517" s="2" t="s">
        <v>86</v>
      </c>
      <c r="CM3517" s="2"/>
    </row>
    <row r="3518" spans="1:91">
      <c r="A3518" s="2" t="s">
        <v>71</v>
      </c>
      <c r="B3518" s="2" t="s">
        <v>72</v>
      </c>
      <c r="C3518" s="2" t="s">
        <v>73</v>
      </c>
      <c r="D3518" s="2"/>
      <c r="E3518" s="2" t="str">
        <f>"FES1162572007"</f>
        <v>FES1162572007</v>
      </c>
      <c r="F3518" s="3">
        <v>42976</v>
      </c>
      <c r="G3518" s="2">
        <v>201802</v>
      </c>
      <c r="H3518" s="2" t="s">
        <v>74</v>
      </c>
      <c r="I3518" s="2" t="s">
        <v>75</v>
      </c>
      <c r="J3518" s="2" t="s">
        <v>76</v>
      </c>
      <c r="K3518" s="2" t="s">
        <v>77</v>
      </c>
      <c r="L3518" s="2" t="s">
        <v>97</v>
      </c>
      <c r="M3518" s="2" t="s">
        <v>98</v>
      </c>
      <c r="N3518" s="2" t="s">
        <v>248</v>
      </c>
      <c r="O3518" s="2" t="s">
        <v>100</v>
      </c>
      <c r="P3518" s="2" t="str">
        <f>"2170579308                    "</f>
        <v xml:space="preserve">2170579308                    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23.01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  <c r="BG3518" s="2">
        <v>0</v>
      </c>
      <c r="BH3518" s="2">
        <v>2</v>
      </c>
      <c r="BI3518" s="2">
        <v>6.1</v>
      </c>
      <c r="BJ3518" s="2">
        <v>11.3</v>
      </c>
      <c r="BK3518" s="2">
        <v>11.5</v>
      </c>
      <c r="BL3518" s="2">
        <v>238.29</v>
      </c>
      <c r="BM3518" s="2">
        <v>33.36</v>
      </c>
      <c r="BN3518" s="2">
        <v>271.64999999999998</v>
      </c>
      <c r="BO3518" s="2">
        <v>271.64999999999998</v>
      </c>
      <c r="BP3518" s="2"/>
      <c r="BQ3518" s="2" t="s">
        <v>83</v>
      </c>
      <c r="BR3518" s="2" t="s">
        <v>84</v>
      </c>
      <c r="BS3518" s="3">
        <v>42977</v>
      </c>
      <c r="BT3518" s="4">
        <v>0.33333333333333331</v>
      </c>
      <c r="BU3518" s="2" t="s">
        <v>390</v>
      </c>
      <c r="BV3518" s="2" t="s">
        <v>95</v>
      </c>
      <c r="BW3518" s="2"/>
      <c r="BX3518" s="2"/>
      <c r="BY3518" s="2">
        <v>56352.74</v>
      </c>
      <c r="BZ3518" s="2" t="s">
        <v>27</v>
      </c>
      <c r="CA3518" s="2" t="s">
        <v>294</v>
      </c>
      <c r="CB3518" s="2"/>
      <c r="CC3518" s="2" t="s">
        <v>98</v>
      </c>
      <c r="CD3518" s="2">
        <v>6001</v>
      </c>
      <c r="CE3518" s="2" t="s">
        <v>135</v>
      </c>
      <c r="CF3518" s="5">
        <v>42978</v>
      </c>
      <c r="CG3518" s="2"/>
      <c r="CH3518" s="2"/>
      <c r="CI3518" s="2">
        <v>1</v>
      </c>
      <c r="CJ3518" s="2">
        <v>1</v>
      </c>
      <c r="CK3518" s="2">
        <v>21</v>
      </c>
      <c r="CL3518" s="2" t="s">
        <v>86</v>
      </c>
      <c r="CM3518" s="2"/>
    </row>
    <row r="3519" spans="1:91">
      <c r="A3519" s="2" t="s">
        <v>71</v>
      </c>
      <c r="B3519" s="2" t="s">
        <v>72</v>
      </c>
      <c r="C3519" s="2" t="s">
        <v>73</v>
      </c>
      <c r="D3519" s="2"/>
      <c r="E3519" s="2" t="str">
        <f>"FES1162572023"</f>
        <v>FES1162572023</v>
      </c>
      <c r="F3519" s="3">
        <v>42976</v>
      </c>
      <c r="G3519" s="2">
        <v>201802</v>
      </c>
      <c r="H3519" s="2" t="s">
        <v>74</v>
      </c>
      <c r="I3519" s="2" t="s">
        <v>75</v>
      </c>
      <c r="J3519" s="2" t="s">
        <v>76</v>
      </c>
      <c r="K3519" s="2" t="s">
        <v>77</v>
      </c>
      <c r="L3519" s="2" t="s">
        <v>97</v>
      </c>
      <c r="M3519" s="2" t="s">
        <v>98</v>
      </c>
      <c r="N3519" s="2" t="s">
        <v>99</v>
      </c>
      <c r="O3519" s="2" t="s">
        <v>100</v>
      </c>
      <c r="P3519" s="2" t="str">
        <f>"2170583804                    "</f>
        <v xml:space="preserve">2170583804                    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4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  <c r="BG3519" s="2">
        <v>0</v>
      </c>
      <c r="BH3519" s="2">
        <v>1</v>
      </c>
      <c r="BI3519" s="2">
        <v>1.7</v>
      </c>
      <c r="BJ3519" s="2">
        <v>1.2</v>
      </c>
      <c r="BK3519" s="2">
        <v>2</v>
      </c>
      <c r="BL3519" s="2">
        <v>41.44</v>
      </c>
      <c r="BM3519" s="2">
        <v>5.8</v>
      </c>
      <c r="BN3519" s="2">
        <v>47.24</v>
      </c>
      <c r="BO3519" s="2">
        <v>47.24</v>
      </c>
      <c r="BP3519" s="2"/>
      <c r="BQ3519" s="2" t="s">
        <v>83</v>
      </c>
      <c r="BR3519" s="2" t="s">
        <v>84</v>
      </c>
      <c r="BS3519" s="3">
        <v>42977</v>
      </c>
      <c r="BT3519" s="4">
        <v>0.37222222222222223</v>
      </c>
      <c r="BU3519" s="2" t="s">
        <v>102</v>
      </c>
      <c r="BV3519" s="2" t="s">
        <v>95</v>
      </c>
      <c r="BW3519" s="2"/>
      <c r="BX3519" s="2"/>
      <c r="BY3519" s="2">
        <v>6127.11</v>
      </c>
      <c r="BZ3519" s="2" t="s">
        <v>27</v>
      </c>
      <c r="CA3519" s="2" t="s">
        <v>103</v>
      </c>
      <c r="CB3519" s="2"/>
      <c r="CC3519" s="2" t="s">
        <v>98</v>
      </c>
      <c r="CD3519" s="2">
        <v>6210</v>
      </c>
      <c r="CE3519" s="2" t="s">
        <v>135</v>
      </c>
      <c r="CF3519" s="5">
        <v>42978</v>
      </c>
      <c r="CG3519" s="2"/>
      <c r="CH3519" s="2"/>
      <c r="CI3519" s="2">
        <v>1</v>
      </c>
      <c r="CJ3519" s="2">
        <v>1</v>
      </c>
      <c r="CK3519" s="2">
        <v>21</v>
      </c>
      <c r="CL3519" s="2" t="s">
        <v>86</v>
      </c>
      <c r="CM3519" s="2"/>
    </row>
    <row r="3520" spans="1:91">
      <c r="A3520" s="2" t="s">
        <v>71</v>
      </c>
      <c r="B3520" s="2" t="s">
        <v>72</v>
      </c>
      <c r="C3520" s="2" t="s">
        <v>73</v>
      </c>
      <c r="D3520" s="2"/>
      <c r="E3520" s="2" t="str">
        <f>"FES1162572029"</f>
        <v>FES1162572029</v>
      </c>
      <c r="F3520" s="3">
        <v>42976</v>
      </c>
      <c r="G3520" s="2">
        <v>201802</v>
      </c>
      <c r="H3520" s="2" t="s">
        <v>74</v>
      </c>
      <c r="I3520" s="2" t="s">
        <v>75</v>
      </c>
      <c r="J3520" s="2" t="s">
        <v>76</v>
      </c>
      <c r="K3520" s="2" t="s">
        <v>77</v>
      </c>
      <c r="L3520" s="2" t="s">
        <v>97</v>
      </c>
      <c r="M3520" s="2" t="s">
        <v>98</v>
      </c>
      <c r="N3520" s="2" t="s">
        <v>229</v>
      </c>
      <c r="O3520" s="2" t="s">
        <v>100</v>
      </c>
      <c r="P3520" s="2" t="str">
        <f>"2170584003                    "</f>
        <v xml:space="preserve">2170584003                    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23.01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  <c r="BG3520" s="2">
        <v>0</v>
      </c>
      <c r="BH3520" s="2">
        <v>1</v>
      </c>
      <c r="BI3520" s="2">
        <v>11.1</v>
      </c>
      <c r="BJ3520" s="2">
        <v>3.2</v>
      </c>
      <c r="BK3520" s="2">
        <v>11.5</v>
      </c>
      <c r="BL3520" s="2">
        <v>238.29</v>
      </c>
      <c r="BM3520" s="2">
        <v>33.36</v>
      </c>
      <c r="BN3520" s="2">
        <v>271.64999999999998</v>
      </c>
      <c r="BO3520" s="2">
        <v>271.64999999999998</v>
      </c>
      <c r="BP3520" s="2"/>
      <c r="BQ3520" s="2" t="s">
        <v>108</v>
      </c>
      <c r="BR3520" s="2" t="s">
        <v>84</v>
      </c>
      <c r="BS3520" s="3">
        <v>42977</v>
      </c>
      <c r="BT3520" s="4">
        <v>0.43402777777777773</v>
      </c>
      <c r="BU3520" s="2" t="s">
        <v>1251</v>
      </c>
      <c r="BV3520" s="2" t="s">
        <v>95</v>
      </c>
      <c r="BW3520" s="2"/>
      <c r="BX3520" s="2"/>
      <c r="BY3520" s="2">
        <v>15888.4</v>
      </c>
      <c r="BZ3520" s="2" t="s">
        <v>27</v>
      </c>
      <c r="CA3520" s="2" t="s">
        <v>103</v>
      </c>
      <c r="CB3520" s="2"/>
      <c r="CC3520" s="2" t="s">
        <v>98</v>
      </c>
      <c r="CD3520" s="2">
        <v>6001</v>
      </c>
      <c r="CE3520" s="2" t="s">
        <v>135</v>
      </c>
      <c r="CF3520" s="5">
        <v>42978</v>
      </c>
      <c r="CG3520" s="2"/>
      <c r="CH3520" s="2"/>
      <c r="CI3520" s="2">
        <v>1</v>
      </c>
      <c r="CJ3520" s="2">
        <v>1</v>
      </c>
      <c r="CK3520" s="2">
        <v>21</v>
      </c>
      <c r="CL3520" s="2" t="s">
        <v>86</v>
      </c>
      <c r="CM3520" s="2"/>
    </row>
    <row r="3521" spans="1:91">
      <c r="A3521" s="2" t="s">
        <v>71</v>
      </c>
      <c r="B3521" s="2" t="s">
        <v>72</v>
      </c>
      <c r="C3521" s="2" t="s">
        <v>73</v>
      </c>
      <c r="D3521" s="2"/>
      <c r="E3521" s="2" t="str">
        <f>"FES1162572012"</f>
        <v>FES1162572012</v>
      </c>
      <c r="F3521" s="3">
        <v>42976</v>
      </c>
      <c r="G3521" s="2">
        <v>201802</v>
      </c>
      <c r="H3521" s="2" t="s">
        <v>74</v>
      </c>
      <c r="I3521" s="2" t="s">
        <v>75</v>
      </c>
      <c r="J3521" s="2" t="s">
        <v>76</v>
      </c>
      <c r="K3521" s="2" t="s">
        <v>77</v>
      </c>
      <c r="L3521" s="2" t="s">
        <v>97</v>
      </c>
      <c r="M3521" s="2" t="s">
        <v>98</v>
      </c>
      <c r="N3521" s="2" t="s">
        <v>597</v>
      </c>
      <c r="O3521" s="2" t="s">
        <v>100</v>
      </c>
      <c r="P3521" s="2" t="str">
        <f>"2170582124                    "</f>
        <v xml:space="preserve">2170582124                    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14.01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  <c r="BG3521" s="2">
        <v>0</v>
      </c>
      <c r="BH3521" s="2">
        <v>1</v>
      </c>
      <c r="BI3521" s="2">
        <v>3.1</v>
      </c>
      <c r="BJ3521" s="2">
        <v>6.8</v>
      </c>
      <c r="BK3521" s="2">
        <v>7</v>
      </c>
      <c r="BL3521" s="2">
        <v>145.05000000000001</v>
      </c>
      <c r="BM3521" s="2">
        <v>20.309999999999999</v>
      </c>
      <c r="BN3521" s="2">
        <v>165.36</v>
      </c>
      <c r="BO3521" s="2">
        <v>165.36</v>
      </c>
      <c r="BP3521" s="2"/>
      <c r="BQ3521" s="2" t="s">
        <v>288</v>
      </c>
      <c r="BR3521" s="2" t="s">
        <v>84</v>
      </c>
      <c r="BS3521" s="3">
        <v>42977</v>
      </c>
      <c r="BT3521" s="4">
        <v>0.39166666666666666</v>
      </c>
      <c r="BU3521" s="2" t="s">
        <v>599</v>
      </c>
      <c r="BV3521" s="2" t="s">
        <v>95</v>
      </c>
      <c r="BW3521" s="2"/>
      <c r="BX3521" s="2"/>
      <c r="BY3521" s="2">
        <v>33811.800000000003</v>
      </c>
      <c r="BZ3521" s="2" t="s">
        <v>27</v>
      </c>
      <c r="CA3521" s="2" t="s">
        <v>600</v>
      </c>
      <c r="CB3521" s="2"/>
      <c r="CC3521" s="2" t="s">
        <v>98</v>
      </c>
      <c r="CD3521" s="2">
        <v>6070</v>
      </c>
      <c r="CE3521" s="2" t="s">
        <v>948</v>
      </c>
      <c r="CF3521" s="5">
        <v>42978</v>
      </c>
      <c r="CG3521" s="2"/>
      <c r="CH3521" s="2"/>
      <c r="CI3521" s="2">
        <v>1</v>
      </c>
      <c r="CJ3521" s="2">
        <v>1</v>
      </c>
      <c r="CK3521" s="2">
        <v>21</v>
      </c>
      <c r="CL3521" s="2" t="s">
        <v>86</v>
      </c>
      <c r="CM3521" s="2"/>
    </row>
    <row r="3522" spans="1:91">
      <c r="A3522" s="2" t="s">
        <v>71</v>
      </c>
      <c r="B3522" s="2" t="s">
        <v>72</v>
      </c>
      <c r="C3522" s="2" t="s">
        <v>73</v>
      </c>
      <c r="D3522" s="2"/>
      <c r="E3522" s="2" t="str">
        <f>"FES1162571943"</f>
        <v>FES1162571943</v>
      </c>
      <c r="F3522" s="3">
        <v>42976</v>
      </c>
      <c r="G3522" s="2">
        <v>201802</v>
      </c>
      <c r="H3522" s="2" t="s">
        <v>74</v>
      </c>
      <c r="I3522" s="2" t="s">
        <v>75</v>
      </c>
      <c r="J3522" s="2" t="s">
        <v>76</v>
      </c>
      <c r="K3522" s="2" t="s">
        <v>77</v>
      </c>
      <c r="L3522" s="2" t="s">
        <v>362</v>
      </c>
      <c r="M3522" s="2" t="s">
        <v>363</v>
      </c>
      <c r="N3522" s="2" t="s">
        <v>1416</v>
      </c>
      <c r="O3522" s="2" t="s">
        <v>100</v>
      </c>
      <c r="P3522" s="2" t="str">
        <f>"2170587574                    "</f>
        <v xml:space="preserve">2170587574                    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12.01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0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  <c r="BG3522" s="2">
        <v>0</v>
      </c>
      <c r="BH3522" s="2">
        <v>1</v>
      </c>
      <c r="BI3522" s="2">
        <v>5.7</v>
      </c>
      <c r="BJ3522" s="2">
        <v>3.2</v>
      </c>
      <c r="BK3522" s="2">
        <v>6</v>
      </c>
      <c r="BL3522" s="2">
        <v>124.33</v>
      </c>
      <c r="BM3522" s="2">
        <v>17.41</v>
      </c>
      <c r="BN3522" s="2">
        <v>141.74</v>
      </c>
      <c r="BO3522" s="2">
        <v>141.74</v>
      </c>
      <c r="BP3522" s="2"/>
      <c r="BQ3522" s="2" t="s">
        <v>209</v>
      </c>
      <c r="BR3522" s="2" t="s">
        <v>84</v>
      </c>
      <c r="BS3522" s="3">
        <v>42977</v>
      </c>
      <c r="BT3522" s="4">
        <v>0.41319444444444442</v>
      </c>
      <c r="BU3522" s="2" t="s">
        <v>3548</v>
      </c>
      <c r="BV3522" s="2" t="s">
        <v>95</v>
      </c>
      <c r="BW3522" s="2"/>
      <c r="BX3522" s="2"/>
      <c r="BY3522" s="2">
        <v>15869.95</v>
      </c>
      <c r="BZ3522" s="2" t="s">
        <v>27</v>
      </c>
      <c r="CA3522" s="2" t="s">
        <v>2961</v>
      </c>
      <c r="CB3522" s="2"/>
      <c r="CC3522" s="2" t="s">
        <v>363</v>
      </c>
      <c r="CD3522" s="2">
        <v>3212</v>
      </c>
      <c r="CE3522" s="2" t="s">
        <v>89</v>
      </c>
      <c r="CF3522" s="5">
        <v>42978</v>
      </c>
      <c r="CG3522" s="2"/>
      <c r="CH3522" s="2"/>
      <c r="CI3522" s="2">
        <v>1</v>
      </c>
      <c r="CJ3522" s="2">
        <v>1</v>
      </c>
      <c r="CK3522" s="2">
        <v>21</v>
      </c>
      <c r="CL3522" s="2" t="s">
        <v>86</v>
      </c>
      <c r="CM3522" s="2"/>
    </row>
    <row r="3523" spans="1:91">
      <c r="A3523" s="2" t="s">
        <v>71</v>
      </c>
      <c r="B3523" s="2" t="s">
        <v>72</v>
      </c>
      <c r="C3523" s="2" t="s">
        <v>73</v>
      </c>
      <c r="D3523" s="2"/>
      <c r="E3523" s="2" t="str">
        <f>"FES1162571951"</f>
        <v>FES1162571951</v>
      </c>
      <c r="F3523" s="3">
        <v>42976</v>
      </c>
      <c r="G3523" s="2">
        <v>201802</v>
      </c>
      <c r="H3523" s="2" t="s">
        <v>74</v>
      </c>
      <c r="I3523" s="2" t="s">
        <v>75</v>
      </c>
      <c r="J3523" s="2" t="s">
        <v>76</v>
      </c>
      <c r="K3523" s="2" t="s">
        <v>77</v>
      </c>
      <c r="L3523" s="2" t="s">
        <v>97</v>
      </c>
      <c r="M3523" s="2" t="s">
        <v>98</v>
      </c>
      <c r="N3523" s="2" t="s">
        <v>214</v>
      </c>
      <c r="O3523" s="2" t="s">
        <v>100</v>
      </c>
      <c r="P3523" s="2" t="str">
        <f>"2170587591                    "</f>
        <v xml:space="preserve">2170587591                    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22.01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  <c r="BG3523" s="2">
        <v>0</v>
      </c>
      <c r="BH3523" s="2">
        <v>1</v>
      </c>
      <c r="BI3523" s="2">
        <v>10.8</v>
      </c>
      <c r="BJ3523" s="2">
        <v>3.3</v>
      </c>
      <c r="BK3523" s="2">
        <v>11</v>
      </c>
      <c r="BL3523" s="2">
        <v>227.93</v>
      </c>
      <c r="BM3523" s="2">
        <v>31.91</v>
      </c>
      <c r="BN3523" s="2">
        <v>259.83999999999997</v>
      </c>
      <c r="BO3523" s="2">
        <v>259.83999999999997</v>
      </c>
      <c r="BP3523" s="2"/>
      <c r="BQ3523" s="2" t="s">
        <v>108</v>
      </c>
      <c r="BR3523" s="2" t="s">
        <v>84</v>
      </c>
      <c r="BS3523" s="3">
        <v>42977</v>
      </c>
      <c r="BT3523" s="4">
        <v>0.33194444444444443</v>
      </c>
      <c r="BU3523" s="2" t="s">
        <v>215</v>
      </c>
      <c r="BV3523" s="2" t="s">
        <v>95</v>
      </c>
      <c r="BW3523" s="2"/>
      <c r="BX3523" s="2"/>
      <c r="BY3523" s="2">
        <v>16423.330000000002</v>
      </c>
      <c r="BZ3523" s="2" t="s">
        <v>27</v>
      </c>
      <c r="CA3523" s="2" t="s">
        <v>213</v>
      </c>
      <c r="CB3523" s="2"/>
      <c r="CC3523" s="2" t="s">
        <v>98</v>
      </c>
      <c r="CD3523" s="2">
        <v>6001</v>
      </c>
      <c r="CE3523" s="2" t="s">
        <v>89</v>
      </c>
      <c r="CF3523" s="5">
        <v>42978</v>
      </c>
      <c r="CG3523" s="2"/>
      <c r="CH3523" s="2"/>
      <c r="CI3523" s="2">
        <v>1</v>
      </c>
      <c r="CJ3523" s="2">
        <v>1</v>
      </c>
      <c r="CK3523" s="2">
        <v>21</v>
      </c>
      <c r="CL3523" s="2" t="s">
        <v>86</v>
      </c>
      <c r="CM3523" s="2"/>
    </row>
    <row r="3524" spans="1:91">
      <c r="A3524" s="2" t="s">
        <v>71</v>
      </c>
      <c r="B3524" s="2" t="s">
        <v>72</v>
      </c>
      <c r="C3524" s="2" t="s">
        <v>73</v>
      </c>
      <c r="D3524" s="2"/>
      <c r="E3524" s="2" t="str">
        <f>"FES1162571948"</f>
        <v>FES1162571948</v>
      </c>
      <c r="F3524" s="3">
        <v>42976</v>
      </c>
      <c r="G3524" s="2">
        <v>201802</v>
      </c>
      <c r="H3524" s="2" t="s">
        <v>74</v>
      </c>
      <c r="I3524" s="2" t="s">
        <v>75</v>
      </c>
      <c r="J3524" s="2" t="s">
        <v>76</v>
      </c>
      <c r="K3524" s="2" t="s">
        <v>77</v>
      </c>
      <c r="L3524" s="2" t="s">
        <v>97</v>
      </c>
      <c r="M3524" s="2" t="s">
        <v>98</v>
      </c>
      <c r="N3524" s="2" t="s">
        <v>214</v>
      </c>
      <c r="O3524" s="2" t="s">
        <v>100</v>
      </c>
      <c r="P3524" s="2" t="str">
        <f>"2170587584                    "</f>
        <v xml:space="preserve">2170587584                    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26.02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0</v>
      </c>
      <c r="BG3524" s="2">
        <v>0</v>
      </c>
      <c r="BH3524" s="2">
        <v>1</v>
      </c>
      <c r="BI3524" s="2">
        <v>12.6</v>
      </c>
      <c r="BJ3524" s="2">
        <v>3.4</v>
      </c>
      <c r="BK3524" s="2">
        <v>13</v>
      </c>
      <c r="BL3524" s="2">
        <v>269.38</v>
      </c>
      <c r="BM3524" s="2">
        <v>37.71</v>
      </c>
      <c r="BN3524" s="2">
        <v>307.08999999999997</v>
      </c>
      <c r="BO3524" s="2">
        <v>307.08999999999997</v>
      </c>
      <c r="BP3524" s="2"/>
      <c r="BQ3524" s="2" t="s">
        <v>108</v>
      </c>
      <c r="BR3524" s="2" t="s">
        <v>84</v>
      </c>
      <c r="BS3524" s="3">
        <v>42977</v>
      </c>
      <c r="BT3524" s="4">
        <v>0.33680555555555558</v>
      </c>
      <c r="BU3524" s="2" t="s">
        <v>3549</v>
      </c>
      <c r="BV3524" s="2" t="s">
        <v>95</v>
      </c>
      <c r="BW3524" s="2"/>
      <c r="BX3524" s="2"/>
      <c r="BY3524" s="2">
        <v>16923.68</v>
      </c>
      <c r="BZ3524" s="2" t="s">
        <v>27</v>
      </c>
      <c r="CA3524" s="2" t="s">
        <v>213</v>
      </c>
      <c r="CB3524" s="2"/>
      <c r="CC3524" s="2" t="s">
        <v>98</v>
      </c>
      <c r="CD3524" s="2">
        <v>6001</v>
      </c>
      <c r="CE3524" s="2" t="s">
        <v>89</v>
      </c>
      <c r="CF3524" s="5">
        <v>42978</v>
      </c>
      <c r="CG3524" s="2"/>
      <c r="CH3524" s="2"/>
      <c r="CI3524" s="2">
        <v>1</v>
      </c>
      <c r="CJ3524" s="2">
        <v>1</v>
      </c>
      <c r="CK3524" s="2">
        <v>21</v>
      </c>
      <c r="CL3524" s="2" t="s">
        <v>86</v>
      </c>
      <c r="CM3524" s="2"/>
    </row>
    <row r="3525" spans="1:91">
      <c r="A3525" s="2" t="s">
        <v>71</v>
      </c>
      <c r="B3525" s="2" t="s">
        <v>72</v>
      </c>
      <c r="C3525" s="2" t="s">
        <v>73</v>
      </c>
      <c r="D3525" s="2"/>
      <c r="E3525" s="2" t="str">
        <f>"FES1162571933"</f>
        <v>FES1162571933</v>
      </c>
      <c r="F3525" s="3">
        <v>42976</v>
      </c>
      <c r="G3525" s="2">
        <v>201802</v>
      </c>
      <c r="H3525" s="2" t="s">
        <v>74</v>
      </c>
      <c r="I3525" s="2" t="s">
        <v>75</v>
      </c>
      <c r="J3525" s="2" t="s">
        <v>76</v>
      </c>
      <c r="K3525" s="2" t="s">
        <v>77</v>
      </c>
      <c r="L3525" s="2" t="s">
        <v>97</v>
      </c>
      <c r="M3525" s="2" t="s">
        <v>98</v>
      </c>
      <c r="N3525" s="2" t="s">
        <v>500</v>
      </c>
      <c r="O3525" s="2" t="s">
        <v>100</v>
      </c>
      <c r="P3525" s="2" t="str">
        <f>"2170587517                    "</f>
        <v xml:space="preserve">2170587517                    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5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  <c r="BG3525" s="2">
        <v>0</v>
      </c>
      <c r="BH3525" s="2">
        <v>1</v>
      </c>
      <c r="BI3525" s="2">
        <v>2.2999999999999998</v>
      </c>
      <c r="BJ3525" s="2">
        <v>1.9</v>
      </c>
      <c r="BK3525" s="2">
        <v>2.5</v>
      </c>
      <c r="BL3525" s="2">
        <v>51.8</v>
      </c>
      <c r="BM3525" s="2">
        <v>7.25</v>
      </c>
      <c r="BN3525" s="2">
        <v>59.05</v>
      </c>
      <c r="BO3525" s="2">
        <v>59.05</v>
      </c>
      <c r="BP3525" s="2"/>
      <c r="BQ3525" s="2" t="s">
        <v>108</v>
      </c>
      <c r="BR3525" s="2" t="s">
        <v>84</v>
      </c>
      <c r="BS3525" s="3">
        <v>42977</v>
      </c>
      <c r="BT3525" s="4">
        <v>0.375</v>
      </c>
      <c r="BU3525" s="2" t="s">
        <v>501</v>
      </c>
      <c r="BV3525" s="2" t="s">
        <v>95</v>
      </c>
      <c r="BW3525" s="2"/>
      <c r="BX3525" s="2"/>
      <c r="BY3525" s="2">
        <v>9307.2000000000007</v>
      </c>
      <c r="BZ3525" s="2" t="s">
        <v>27</v>
      </c>
      <c r="CA3525" s="2" t="s">
        <v>294</v>
      </c>
      <c r="CB3525" s="2"/>
      <c r="CC3525" s="2" t="s">
        <v>98</v>
      </c>
      <c r="CD3525" s="2">
        <v>6001</v>
      </c>
      <c r="CE3525" s="2" t="s">
        <v>89</v>
      </c>
      <c r="CF3525" s="5">
        <v>42978</v>
      </c>
      <c r="CG3525" s="2"/>
      <c r="CH3525" s="2"/>
      <c r="CI3525" s="2">
        <v>1</v>
      </c>
      <c r="CJ3525" s="2">
        <v>1</v>
      </c>
      <c r="CK3525" s="2">
        <v>21</v>
      </c>
      <c r="CL3525" s="2" t="s">
        <v>86</v>
      </c>
      <c r="CM3525" s="2"/>
    </row>
    <row r="3526" spans="1:91">
      <c r="A3526" s="2" t="s">
        <v>71</v>
      </c>
      <c r="B3526" s="2" t="s">
        <v>72</v>
      </c>
      <c r="C3526" s="2" t="s">
        <v>73</v>
      </c>
      <c r="D3526" s="2"/>
      <c r="E3526" s="2" t="str">
        <f>"FES1162571940"</f>
        <v>FES1162571940</v>
      </c>
      <c r="F3526" s="3">
        <v>42976</v>
      </c>
      <c r="G3526" s="2">
        <v>201802</v>
      </c>
      <c r="H3526" s="2" t="s">
        <v>74</v>
      </c>
      <c r="I3526" s="2" t="s">
        <v>75</v>
      </c>
      <c r="J3526" s="2" t="s">
        <v>76</v>
      </c>
      <c r="K3526" s="2" t="s">
        <v>77</v>
      </c>
      <c r="L3526" s="2" t="s">
        <v>97</v>
      </c>
      <c r="M3526" s="2" t="s">
        <v>98</v>
      </c>
      <c r="N3526" s="2" t="s">
        <v>248</v>
      </c>
      <c r="O3526" s="2" t="s">
        <v>100</v>
      </c>
      <c r="P3526" s="2" t="str">
        <f>"2170587562                    "</f>
        <v xml:space="preserve">2170587562                    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4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  <c r="BG3526" s="2">
        <v>0</v>
      </c>
      <c r="BH3526" s="2">
        <v>1</v>
      </c>
      <c r="BI3526" s="2">
        <v>1.1000000000000001</v>
      </c>
      <c r="BJ3526" s="2">
        <v>1</v>
      </c>
      <c r="BK3526" s="2">
        <v>1.5</v>
      </c>
      <c r="BL3526" s="2">
        <v>41.44</v>
      </c>
      <c r="BM3526" s="2">
        <v>5.8</v>
      </c>
      <c r="BN3526" s="2">
        <v>47.24</v>
      </c>
      <c r="BO3526" s="2">
        <v>47.24</v>
      </c>
      <c r="BP3526" s="2"/>
      <c r="BQ3526" s="2" t="s">
        <v>83</v>
      </c>
      <c r="BR3526" s="2" t="s">
        <v>84</v>
      </c>
      <c r="BS3526" s="3">
        <v>42977</v>
      </c>
      <c r="BT3526" s="4">
        <v>0.33333333333333331</v>
      </c>
      <c r="BU3526" s="2" t="s">
        <v>390</v>
      </c>
      <c r="BV3526" s="2" t="s">
        <v>95</v>
      </c>
      <c r="BW3526" s="2"/>
      <c r="BX3526" s="2"/>
      <c r="BY3526" s="2">
        <v>5059.8900000000003</v>
      </c>
      <c r="BZ3526" s="2" t="s">
        <v>27</v>
      </c>
      <c r="CA3526" s="2" t="s">
        <v>294</v>
      </c>
      <c r="CB3526" s="2"/>
      <c r="CC3526" s="2" t="s">
        <v>98</v>
      </c>
      <c r="CD3526" s="2">
        <v>6001</v>
      </c>
      <c r="CE3526" s="2" t="s">
        <v>89</v>
      </c>
      <c r="CF3526" s="5">
        <v>42978</v>
      </c>
      <c r="CG3526" s="2"/>
      <c r="CH3526" s="2"/>
      <c r="CI3526" s="2">
        <v>1</v>
      </c>
      <c r="CJ3526" s="2">
        <v>1</v>
      </c>
      <c r="CK3526" s="2">
        <v>21</v>
      </c>
      <c r="CL3526" s="2" t="s">
        <v>86</v>
      </c>
      <c r="CM3526" s="2"/>
    </row>
    <row r="3527" spans="1:91">
      <c r="A3527" s="2" t="s">
        <v>71</v>
      </c>
      <c r="B3527" s="2" t="s">
        <v>72</v>
      </c>
      <c r="C3527" s="2" t="s">
        <v>73</v>
      </c>
      <c r="D3527" s="2"/>
      <c r="E3527" s="2" t="str">
        <f>"FES1162572052"</f>
        <v>FES1162572052</v>
      </c>
      <c r="F3527" s="3">
        <v>42976</v>
      </c>
      <c r="G3527" s="2">
        <v>201802</v>
      </c>
      <c r="H3527" s="2" t="s">
        <v>74</v>
      </c>
      <c r="I3527" s="2" t="s">
        <v>75</v>
      </c>
      <c r="J3527" s="2" t="s">
        <v>76</v>
      </c>
      <c r="K3527" s="2" t="s">
        <v>77</v>
      </c>
      <c r="L3527" s="2" t="s">
        <v>539</v>
      </c>
      <c r="M3527" s="2" t="s">
        <v>540</v>
      </c>
      <c r="N3527" s="2" t="s">
        <v>1753</v>
      </c>
      <c r="O3527" s="2" t="s">
        <v>100</v>
      </c>
      <c r="P3527" s="2" t="str">
        <f>"2170587673                    "</f>
        <v xml:space="preserve">2170587673                    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3.13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  <c r="BG3527" s="2">
        <v>0</v>
      </c>
      <c r="BH3527" s="2">
        <v>1</v>
      </c>
      <c r="BI3527" s="2">
        <v>1</v>
      </c>
      <c r="BJ3527" s="2">
        <v>0.2</v>
      </c>
      <c r="BK3527" s="2">
        <v>1</v>
      </c>
      <c r="BL3527" s="2">
        <v>32.380000000000003</v>
      </c>
      <c r="BM3527" s="2">
        <v>4.53</v>
      </c>
      <c r="BN3527" s="2">
        <v>36.909999999999997</v>
      </c>
      <c r="BO3527" s="2">
        <v>36.909999999999997</v>
      </c>
      <c r="BP3527" s="2"/>
      <c r="BQ3527" s="2" t="s">
        <v>209</v>
      </c>
      <c r="BR3527" s="2" t="s">
        <v>84</v>
      </c>
      <c r="BS3527" s="3">
        <v>42977</v>
      </c>
      <c r="BT3527" s="4">
        <v>0.4069444444444445</v>
      </c>
      <c r="BU3527" s="2" t="s">
        <v>1754</v>
      </c>
      <c r="BV3527" s="2" t="s">
        <v>95</v>
      </c>
      <c r="BW3527" s="2"/>
      <c r="BX3527" s="2"/>
      <c r="BY3527" s="2">
        <v>1200</v>
      </c>
      <c r="BZ3527" s="2" t="s">
        <v>27</v>
      </c>
      <c r="CA3527" s="2" t="s">
        <v>722</v>
      </c>
      <c r="CB3527" s="2"/>
      <c r="CC3527" s="2" t="s">
        <v>540</v>
      </c>
      <c r="CD3527" s="2">
        <v>2163</v>
      </c>
      <c r="CE3527" s="2" t="s">
        <v>104</v>
      </c>
      <c r="CF3527" s="5">
        <v>42978</v>
      </c>
      <c r="CG3527" s="2"/>
      <c r="CH3527" s="2"/>
      <c r="CI3527" s="2">
        <v>1</v>
      </c>
      <c r="CJ3527" s="2">
        <v>1</v>
      </c>
      <c r="CK3527" s="2">
        <v>22</v>
      </c>
      <c r="CL3527" s="2" t="s">
        <v>86</v>
      </c>
      <c r="CM3527" s="2"/>
    </row>
    <row r="3528" spans="1:91">
      <c r="A3528" s="2" t="s">
        <v>71</v>
      </c>
      <c r="B3528" s="2" t="s">
        <v>72</v>
      </c>
      <c r="C3528" s="2" t="s">
        <v>73</v>
      </c>
      <c r="D3528" s="2"/>
      <c r="E3528" s="2" t="str">
        <f>"FES1162572011"</f>
        <v>FES1162572011</v>
      </c>
      <c r="F3528" s="3">
        <v>42976</v>
      </c>
      <c r="G3528" s="2">
        <v>201802</v>
      </c>
      <c r="H3528" s="2" t="s">
        <v>74</v>
      </c>
      <c r="I3528" s="2" t="s">
        <v>75</v>
      </c>
      <c r="J3528" s="2" t="s">
        <v>76</v>
      </c>
      <c r="K3528" s="2" t="s">
        <v>77</v>
      </c>
      <c r="L3528" s="2" t="s">
        <v>74</v>
      </c>
      <c r="M3528" s="2" t="s">
        <v>75</v>
      </c>
      <c r="N3528" s="2" t="s">
        <v>3542</v>
      </c>
      <c r="O3528" s="2" t="s">
        <v>100</v>
      </c>
      <c r="P3528" s="2" t="str">
        <f>"21705812 40                   "</f>
        <v xml:space="preserve">21705812 40                   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3.13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  <c r="BG3528" s="2">
        <v>0</v>
      </c>
      <c r="BH3528" s="2">
        <v>1</v>
      </c>
      <c r="BI3528" s="2">
        <v>6.9</v>
      </c>
      <c r="BJ3528" s="2">
        <v>1.6</v>
      </c>
      <c r="BK3528" s="2">
        <v>7</v>
      </c>
      <c r="BL3528" s="2">
        <v>32.380000000000003</v>
      </c>
      <c r="BM3528" s="2">
        <v>4.53</v>
      </c>
      <c r="BN3528" s="2">
        <v>36.909999999999997</v>
      </c>
      <c r="BO3528" s="2">
        <v>36.909999999999997</v>
      </c>
      <c r="BP3528" s="2"/>
      <c r="BQ3528" s="2" t="s">
        <v>1321</v>
      </c>
      <c r="BR3528" s="2" t="s">
        <v>84</v>
      </c>
      <c r="BS3528" s="3">
        <v>42977</v>
      </c>
      <c r="BT3528" s="4">
        <v>0.32222222222222224</v>
      </c>
      <c r="BU3528" s="2" t="s">
        <v>3543</v>
      </c>
      <c r="BV3528" s="2" t="s">
        <v>95</v>
      </c>
      <c r="BW3528" s="2"/>
      <c r="BX3528" s="2"/>
      <c r="BY3528" s="2">
        <v>7839.83</v>
      </c>
      <c r="BZ3528" s="2" t="s">
        <v>27</v>
      </c>
      <c r="CA3528" s="2" t="s">
        <v>1448</v>
      </c>
      <c r="CB3528" s="2"/>
      <c r="CC3528" s="2" t="s">
        <v>75</v>
      </c>
      <c r="CD3528" s="2">
        <v>1609</v>
      </c>
      <c r="CE3528" s="2" t="s">
        <v>89</v>
      </c>
      <c r="CF3528" s="5">
        <v>42978</v>
      </c>
      <c r="CG3528" s="2"/>
      <c r="CH3528" s="2"/>
      <c r="CI3528" s="2">
        <v>1</v>
      </c>
      <c r="CJ3528" s="2">
        <v>1</v>
      </c>
      <c r="CK3528" s="2">
        <v>22</v>
      </c>
      <c r="CL3528" s="2" t="s">
        <v>86</v>
      </c>
      <c r="CM3528" s="2"/>
    </row>
    <row r="3529" spans="1:91">
      <c r="A3529" s="2" t="s">
        <v>71</v>
      </c>
      <c r="B3529" s="2" t="s">
        <v>72</v>
      </c>
      <c r="C3529" s="2" t="s">
        <v>73</v>
      </c>
      <c r="D3529" s="2"/>
      <c r="E3529" s="2" t="str">
        <f>"FES1162571949"</f>
        <v>FES1162571949</v>
      </c>
      <c r="F3529" s="3">
        <v>42976</v>
      </c>
      <c r="G3529" s="2">
        <v>201802</v>
      </c>
      <c r="H3529" s="2" t="s">
        <v>74</v>
      </c>
      <c r="I3529" s="2" t="s">
        <v>75</v>
      </c>
      <c r="J3529" s="2" t="s">
        <v>76</v>
      </c>
      <c r="K3529" s="2" t="s">
        <v>77</v>
      </c>
      <c r="L3529" s="2" t="s">
        <v>97</v>
      </c>
      <c r="M3529" s="2" t="s">
        <v>98</v>
      </c>
      <c r="N3529" s="2" t="s">
        <v>1214</v>
      </c>
      <c r="O3529" s="2" t="s">
        <v>100</v>
      </c>
      <c r="P3529" s="2" t="str">
        <f>"2170587585                    "</f>
        <v xml:space="preserve">2170587585                    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37.020000000000003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0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  <c r="BG3529" s="2">
        <v>0</v>
      </c>
      <c r="BH3529" s="2">
        <v>1</v>
      </c>
      <c r="BI3529" s="2">
        <v>8.1999999999999993</v>
      </c>
      <c r="BJ3529" s="2">
        <v>18.100000000000001</v>
      </c>
      <c r="BK3529" s="2">
        <v>18.5</v>
      </c>
      <c r="BL3529" s="2">
        <v>383.34</v>
      </c>
      <c r="BM3529" s="2">
        <v>53.67</v>
      </c>
      <c r="BN3529" s="2">
        <v>437.01</v>
      </c>
      <c r="BO3529" s="2">
        <v>437.01</v>
      </c>
      <c r="BP3529" s="2"/>
      <c r="BQ3529" s="2" t="s">
        <v>108</v>
      </c>
      <c r="BR3529" s="2" t="s">
        <v>84</v>
      </c>
      <c r="BS3529" s="3">
        <v>42977</v>
      </c>
      <c r="BT3529" s="4">
        <v>0.43402777777777773</v>
      </c>
      <c r="BU3529" s="2" t="s">
        <v>3550</v>
      </c>
      <c r="BV3529" s="2" t="s">
        <v>95</v>
      </c>
      <c r="BW3529" s="2"/>
      <c r="BX3529" s="2"/>
      <c r="BY3529" s="2">
        <v>90394.72</v>
      </c>
      <c r="BZ3529" s="2" t="s">
        <v>27</v>
      </c>
      <c r="CA3529" s="2" t="s">
        <v>213</v>
      </c>
      <c r="CB3529" s="2"/>
      <c r="CC3529" s="2" t="s">
        <v>98</v>
      </c>
      <c r="CD3529" s="2">
        <v>6001</v>
      </c>
      <c r="CE3529" s="2" t="s">
        <v>89</v>
      </c>
      <c r="CF3529" s="5">
        <v>42978</v>
      </c>
      <c r="CG3529" s="2"/>
      <c r="CH3529" s="2"/>
      <c r="CI3529" s="2">
        <v>1</v>
      </c>
      <c r="CJ3529" s="2">
        <v>1</v>
      </c>
      <c r="CK3529" s="2">
        <v>21</v>
      </c>
      <c r="CL3529" s="2" t="s">
        <v>86</v>
      </c>
      <c r="CM3529" s="2"/>
    </row>
    <row r="3530" spans="1:91">
      <c r="A3530" s="2" t="s">
        <v>71</v>
      </c>
      <c r="B3530" s="2" t="s">
        <v>72</v>
      </c>
      <c r="C3530" s="2" t="s">
        <v>73</v>
      </c>
      <c r="D3530" s="2"/>
      <c r="E3530" s="2" t="str">
        <f>"FES1162572032"</f>
        <v>FES1162572032</v>
      </c>
      <c r="F3530" s="3">
        <v>42976</v>
      </c>
      <c r="G3530" s="2">
        <v>201802</v>
      </c>
      <c r="H3530" s="2" t="s">
        <v>74</v>
      </c>
      <c r="I3530" s="2" t="s">
        <v>75</v>
      </c>
      <c r="J3530" s="2" t="s">
        <v>76</v>
      </c>
      <c r="K3530" s="2" t="s">
        <v>77</v>
      </c>
      <c r="L3530" s="2" t="s">
        <v>144</v>
      </c>
      <c r="M3530" s="2" t="s">
        <v>145</v>
      </c>
      <c r="N3530" s="2" t="s">
        <v>295</v>
      </c>
      <c r="O3530" s="2" t="s">
        <v>100</v>
      </c>
      <c r="P3530" s="2" t="str">
        <f>"2170584148                    "</f>
        <v xml:space="preserve">2170584148                    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3.13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  <c r="BG3530" s="2">
        <v>0</v>
      </c>
      <c r="BH3530" s="2">
        <v>1</v>
      </c>
      <c r="BI3530" s="2">
        <v>0.6</v>
      </c>
      <c r="BJ3530" s="2">
        <v>1.2</v>
      </c>
      <c r="BK3530" s="2">
        <v>2</v>
      </c>
      <c r="BL3530" s="2">
        <v>32.380000000000003</v>
      </c>
      <c r="BM3530" s="2">
        <v>4.53</v>
      </c>
      <c r="BN3530" s="2">
        <v>36.909999999999997</v>
      </c>
      <c r="BO3530" s="2">
        <v>36.909999999999997</v>
      </c>
      <c r="BP3530" s="2"/>
      <c r="BQ3530" s="2" t="s">
        <v>288</v>
      </c>
      <c r="BR3530" s="2" t="s">
        <v>84</v>
      </c>
      <c r="BS3530" s="3">
        <v>42977</v>
      </c>
      <c r="BT3530" s="4">
        <v>0.34722222222222227</v>
      </c>
      <c r="BU3530" s="2" t="s">
        <v>3551</v>
      </c>
      <c r="BV3530" s="2" t="s">
        <v>95</v>
      </c>
      <c r="BW3530" s="2"/>
      <c r="BX3530" s="2"/>
      <c r="BY3530" s="2">
        <v>6118.49</v>
      </c>
      <c r="BZ3530" s="2" t="s">
        <v>27</v>
      </c>
      <c r="CA3530" s="2" t="s">
        <v>1355</v>
      </c>
      <c r="CB3530" s="2"/>
      <c r="CC3530" s="2" t="s">
        <v>145</v>
      </c>
      <c r="CD3530" s="2">
        <v>2013</v>
      </c>
      <c r="CE3530" s="2" t="s">
        <v>948</v>
      </c>
      <c r="CF3530" s="5">
        <v>42978</v>
      </c>
      <c r="CG3530" s="2"/>
      <c r="CH3530" s="2"/>
      <c r="CI3530" s="2">
        <v>1</v>
      </c>
      <c r="CJ3530" s="2">
        <v>1</v>
      </c>
      <c r="CK3530" s="2">
        <v>22</v>
      </c>
      <c r="CL3530" s="2" t="s">
        <v>86</v>
      </c>
      <c r="CM3530" s="2"/>
    </row>
    <row r="3531" spans="1:91">
      <c r="A3531" s="2" t="s">
        <v>71</v>
      </c>
      <c r="B3531" s="2" t="s">
        <v>72</v>
      </c>
      <c r="C3531" s="2" t="s">
        <v>73</v>
      </c>
      <c r="D3531" s="2"/>
      <c r="E3531" s="2" t="str">
        <f>"FES1162572060"</f>
        <v>FES1162572060</v>
      </c>
      <c r="F3531" s="3">
        <v>42976</v>
      </c>
      <c r="G3531" s="2">
        <v>201802</v>
      </c>
      <c r="H3531" s="2" t="s">
        <v>74</v>
      </c>
      <c r="I3531" s="2" t="s">
        <v>75</v>
      </c>
      <c r="J3531" s="2" t="s">
        <v>76</v>
      </c>
      <c r="K3531" s="2" t="s">
        <v>77</v>
      </c>
      <c r="L3531" s="2" t="s">
        <v>144</v>
      </c>
      <c r="M3531" s="2" t="s">
        <v>145</v>
      </c>
      <c r="N3531" s="2" t="s">
        <v>3552</v>
      </c>
      <c r="O3531" s="2" t="s">
        <v>100</v>
      </c>
      <c r="P3531" s="2" t="str">
        <f>"2170586648                    "</f>
        <v xml:space="preserve">2170586648                    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3.13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1</v>
      </c>
      <c r="BI3531" s="2">
        <v>1.6</v>
      </c>
      <c r="BJ3531" s="2">
        <v>1.7</v>
      </c>
      <c r="BK3531" s="2">
        <v>2</v>
      </c>
      <c r="BL3531" s="2">
        <v>32.380000000000003</v>
      </c>
      <c r="BM3531" s="2">
        <v>4.53</v>
      </c>
      <c r="BN3531" s="2">
        <v>36.909999999999997</v>
      </c>
      <c r="BO3531" s="2">
        <v>36.909999999999997</v>
      </c>
      <c r="BP3531" s="2"/>
      <c r="BQ3531" s="2" t="s">
        <v>3553</v>
      </c>
      <c r="BR3531" s="2" t="s">
        <v>84</v>
      </c>
      <c r="BS3531" s="3">
        <v>42977</v>
      </c>
      <c r="BT3531" s="4">
        <v>0.48541666666666666</v>
      </c>
      <c r="BU3531" s="2" t="s">
        <v>1176</v>
      </c>
      <c r="BV3531" s="2" t="s">
        <v>86</v>
      </c>
      <c r="BW3531" s="2" t="s">
        <v>124</v>
      </c>
      <c r="BX3531" s="2" t="s">
        <v>498</v>
      </c>
      <c r="BY3531" s="2">
        <v>8384.23</v>
      </c>
      <c r="BZ3531" s="2" t="s">
        <v>27</v>
      </c>
      <c r="CA3531" s="2" t="s">
        <v>729</v>
      </c>
      <c r="CB3531" s="2"/>
      <c r="CC3531" s="2" t="s">
        <v>145</v>
      </c>
      <c r="CD3531" s="2">
        <v>2043</v>
      </c>
      <c r="CE3531" s="2" t="s">
        <v>89</v>
      </c>
      <c r="CF3531" s="5">
        <v>42978</v>
      </c>
      <c r="CG3531" s="2"/>
      <c r="CH3531" s="2"/>
      <c r="CI3531" s="2">
        <v>1</v>
      </c>
      <c r="CJ3531" s="2">
        <v>1</v>
      </c>
      <c r="CK3531" s="2">
        <v>22</v>
      </c>
      <c r="CL3531" s="2" t="s">
        <v>86</v>
      </c>
      <c r="CM3531" s="2"/>
    </row>
    <row r="3532" spans="1:91">
      <c r="A3532" s="2" t="s">
        <v>71</v>
      </c>
      <c r="B3532" s="2" t="s">
        <v>72</v>
      </c>
      <c r="C3532" s="2" t="s">
        <v>73</v>
      </c>
      <c r="D3532" s="2"/>
      <c r="E3532" s="2" t="str">
        <f>"FES1162571963"</f>
        <v>FES1162571963</v>
      </c>
      <c r="F3532" s="3">
        <v>42976</v>
      </c>
      <c r="G3532" s="2">
        <v>201802</v>
      </c>
      <c r="H3532" s="2" t="s">
        <v>74</v>
      </c>
      <c r="I3532" s="2" t="s">
        <v>75</v>
      </c>
      <c r="J3532" s="2" t="s">
        <v>76</v>
      </c>
      <c r="K3532" s="2" t="s">
        <v>77</v>
      </c>
      <c r="L3532" s="2" t="s">
        <v>144</v>
      </c>
      <c r="M3532" s="2" t="s">
        <v>145</v>
      </c>
      <c r="N3532" s="2" t="s">
        <v>282</v>
      </c>
      <c r="O3532" s="2" t="s">
        <v>100</v>
      </c>
      <c r="P3532" s="2" t="str">
        <f>"2170587604                    "</f>
        <v xml:space="preserve">2170587604                    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3.13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  <c r="BG3532" s="2">
        <v>0</v>
      </c>
      <c r="BH3532" s="2">
        <v>1</v>
      </c>
      <c r="BI3532" s="2">
        <v>5.3</v>
      </c>
      <c r="BJ3532" s="2">
        <v>3.5</v>
      </c>
      <c r="BK3532" s="2">
        <v>6</v>
      </c>
      <c r="BL3532" s="2">
        <v>32.380000000000003</v>
      </c>
      <c r="BM3532" s="2">
        <v>4.53</v>
      </c>
      <c r="BN3532" s="2">
        <v>36.909999999999997</v>
      </c>
      <c r="BO3532" s="2">
        <v>36.909999999999997</v>
      </c>
      <c r="BP3532" s="2"/>
      <c r="BQ3532" s="2" t="s">
        <v>108</v>
      </c>
      <c r="BR3532" s="2" t="s">
        <v>84</v>
      </c>
      <c r="BS3532" s="3">
        <v>42977</v>
      </c>
      <c r="BT3532" s="4">
        <v>0.31527777777777777</v>
      </c>
      <c r="BU3532" s="2" t="s">
        <v>1237</v>
      </c>
      <c r="BV3532" s="2" t="s">
        <v>95</v>
      </c>
      <c r="BW3532" s="2"/>
      <c r="BX3532" s="2"/>
      <c r="BY3532" s="2">
        <v>17346.93</v>
      </c>
      <c r="BZ3532" s="2" t="s">
        <v>27</v>
      </c>
      <c r="CA3532" s="2" t="s">
        <v>1238</v>
      </c>
      <c r="CB3532" s="2"/>
      <c r="CC3532" s="2" t="s">
        <v>145</v>
      </c>
      <c r="CD3532" s="2">
        <v>2094</v>
      </c>
      <c r="CE3532" s="2" t="s">
        <v>89</v>
      </c>
      <c r="CF3532" s="5">
        <v>42978</v>
      </c>
      <c r="CG3532" s="2"/>
      <c r="CH3532" s="2"/>
      <c r="CI3532" s="2">
        <v>1</v>
      </c>
      <c r="CJ3532" s="2">
        <v>1</v>
      </c>
      <c r="CK3532" s="2">
        <v>22</v>
      </c>
      <c r="CL3532" s="2" t="s">
        <v>86</v>
      </c>
      <c r="CM3532" s="2"/>
    </row>
    <row r="3533" spans="1:91">
      <c r="A3533" s="2" t="s">
        <v>71</v>
      </c>
      <c r="B3533" s="2" t="s">
        <v>72</v>
      </c>
      <c r="C3533" s="2" t="s">
        <v>73</v>
      </c>
      <c r="D3533" s="2"/>
      <c r="E3533" s="2" t="str">
        <f>"FES1162571939"</f>
        <v>FES1162571939</v>
      </c>
      <c r="F3533" s="3">
        <v>42976</v>
      </c>
      <c r="G3533" s="2">
        <v>201802</v>
      </c>
      <c r="H3533" s="2" t="s">
        <v>74</v>
      </c>
      <c r="I3533" s="2" t="s">
        <v>75</v>
      </c>
      <c r="J3533" s="2" t="s">
        <v>76</v>
      </c>
      <c r="K3533" s="2" t="s">
        <v>77</v>
      </c>
      <c r="L3533" s="2" t="s">
        <v>244</v>
      </c>
      <c r="M3533" s="2" t="s">
        <v>245</v>
      </c>
      <c r="N3533" s="2" t="s">
        <v>581</v>
      </c>
      <c r="O3533" s="2" t="s">
        <v>100</v>
      </c>
      <c r="P3533" s="2" t="str">
        <f>"2170587560                    "</f>
        <v xml:space="preserve">2170587560                    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3.13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0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2</v>
      </c>
      <c r="BI3533" s="2">
        <v>4.5999999999999996</v>
      </c>
      <c r="BJ3533" s="2">
        <v>1.7</v>
      </c>
      <c r="BK3533" s="2">
        <v>5</v>
      </c>
      <c r="BL3533" s="2">
        <v>32.380000000000003</v>
      </c>
      <c r="BM3533" s="2">
        <v>4.53</v>
      </c>
      <c r="BN3533" s="2">
        <v>36.909999999999997</v>
      </c>
      <c r="BO3533" s="2">
        <v>36.909999999999997</v>
      </c>
      <c r="BP3533" s="2"/>
      <c r="BQ3533" s="2" t="s">
        <v>108</v>
      </c>
      <c r="BR3533" s="2" t="s">
        <v>84</v>
      </c>
      <c r="BS3533" s="3">
        <v>42977</v>
      </c>
      <c r="BT3533" s="4">
        <v>0.33958333333333335</v>
      </c>
      <c r="BU3533" s="2" t="s">
        <v>1360</v>
      </c>
      <c r="BV3533" s="2" t="s">
        <v>95</v>
      </c>
      <c r="BW3533" s="2"/>
      <c r="BX3533" s="2"/>
      <c r="BY3533" s="2">
        <v>8572.73</v>
      </c>
      <c r="BZ3533" s="2" t="s">
        <v>27</v>
      </c>
      <c r="CA3533" s="2" t="s">
        <v>499</v>
      </c>
      <c r="CB3533" s="2"/>
      <c r="CC3533" s="2" t="s">
        <v>245</v>
      </c>
      <c r="CD3533" s="2">
        <v>1459</v>
      </c>
      <c r="CE3533" s="2" t="s">
        <v>104</v>
      </c>
      <c r="CF3533" s="5">
        <v>42978</v>
      </c>
      <c r="CG3533" s="2"/>
      <c r="CH3533" s="2"/>
      <c r="CI3533" s="2">
        <v>1</v>
      </c>
      <c r="CJ3533" s="2">
        <v>1</v>
      </c>
      <c r="CK3533" s="2">
        <v>22</v>
      </c>
      <c r="CL3533" s="2" t="s">
        <v>86</v>
      </c>
      <c r="CM3533" s="2"/>
    </row>
    <row r="3534" spans="1:91">
      <c r="A3534" s="2" t="s">
        <v>71</v>
      </c>
      <c r="B3534" s="2" t="s">
        <v>72</v>
      </c>
      <c r="C3534" s="2" t="s">
        <v>73</v>
      </c>
      <c r="D3534" s="2"/>
      <c r="E3534" s="2" t="str">
        <f>"FES1162572084"</f>
        <v>FES1162572084</v>
      </c>
      <c r="F3534" s="3">
        <v>42976</v>
      </c>
      <c r="G3534" s="2">
        <v>201802</v>
      </c>
      <c r="H3534" s="2" t="s">
        <v>74</v>
      </c>
      <c r="I3534" s="2" t="s">
        <v>75</v>
      </c>
      <c r="J3534" s="2" t="s">
        <v>76</v>
      </c>
      <c r="K3534" s="2" t="s">
        <v>77</v>
      </c>
      <c r="L3534" s="2" t="s">
        <v>144</v>
      </c>
      <c r="M3534" s="2" t="s">
        <v>145</v>
      </c>
      <c r="N3534" s="2" t="s">
        <v>146</v>
      </c>
      <c r="O3534" s="2" t="s">
        <v>100</v>
      </c>
      <c r="P3534" s="2" t="str">
        <f>"2170584393                    "</f>
        <v xml:space="preserve">2170584393                    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3.13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0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  <c r="BG3534" s="2">
        <v>0</v>
      </c>
      <c r="BH3534" s="2">
        <v>1</v>
      </c>
      <c r="BI3534" s="2">
        <v>1</v>
      </c>
      <c r="BJ3534" s="2">
        <v>0.2</v>
      </c>
      <c r="BK3534" s="2">
        <v>1</v>
      </c>
      <c r="BL3534" s="2">
        <v>32.380000000000003</v>
      </c>
      <c r="BM3534" s="2">
        <v>4.53</v>
      </c>
      <c r="BN3534" s="2">
        <v>36.909999999999997</v>
      </c>
      <c r="BO3534" s="2">
        <v>36.909999999999997</v>
      </c>
      <c r="BP3534" s="2"/>
      <c r="BQ3534" s="2" t="s">
        <v>83</v>
      </c>
      <c r="BR3534" s="2" t="s">
        <v>84</v>
      </c>
      <c r="BS3534" s="3">
        <v>42977</v>
      </c>
      <c r="BT3534" s="4">
        <v>0.3923611111111111</v>
      </c>
      <c r="BU3534" s="2" t="s">
        <v>1176</v>
      </c>
      <c r="BV3534" s="2" t="s">
        <v>95</v>
      </c>
      <c r="BW3534" s="2"/>
      <c r="BX3534" s="2"/>
      <c r="BY3534" s="2">
        <v>1200</v>
      </c>
      <c r="BZ3534" s="2" t="s">
        <v>27</v>
      </c>
      <c r="CA3534" s="2" t="s">
        <v>729</v>
      </c>
      <c r="CB3534" s="2"/>
      <c r="CC3534" s="2" t="s">
        <v>145</v>
      </c>
      <c r="CD3534" s="2">
        <v>2094</v>
      </c>
      <c r="CE3534" s="2" t="s">
        <v>104</v>
      </c>
      <c r="CF3534" s="5">
        <v>42978</v>
      </c>
      <c r="CG3534" s="2"/>
      <c r="CH3534" s="2"/>
      <c r="CI3534" s="2">
        <v>1</v>
      </c>
      <c r="CJ3534" s="2">
        <v>1</v>
      </c>
      <c r="CK3534" s="2">
        <v>22</v>
      </c>
      <c r="CL3534" s="2" t="s">
        <v>86</v>
      </c>
      <c r="CM3534" s="2"/>
    </row>
    <row r="3535" spans="1:91">
      <c r="A3535" s="2" t="s">
        <v>71</v>
      </c>
      <c r="B3535" s="2" t="s">
        <v>72</v>
      </c>
      <c r="C3535" s="2" t="s">
        <v>73</v>
      </c>
      <c r="D3535" s="2"/>
      <c r="E3535" s="2" t="str">
        <f>"FES1162571980"</f>
        <v>FES1162571980</v>
      </c>
      <c r="F3535" s="3">
        <v>42976</v>
      </c>
      <c r="G3535" s="2">
        <v>201802</v>
      </c>
      <c r="H3535" s="2" t="s">
        <v>74</v>
      </c>
      <c r="I3535" s="2" t="s">
        <v>75</v>
      </c>
      <c r="J3535" s="2" t="s">
        <v>76</v>
      </c>
      <c r="K3535" s="2" t="s">
        <v>77</v>
      </c>
      <c r="L3535" s="2" t="s">
        <v>144</v>
      </c>
      <c r="M3535" s="2" t="s">
        <v>145</v>
      </c>
      <c r="N3535" s="2" t="s">
        <v>146</v>
      </c>
      <c r="O3535" s="2" t="s">
        <v>100</v>
      </c>
      <c r="P3535" s="2" t="str">
        <f>"2170587626                    "</f>
        <v xml:space="preserve">2170587626                    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3.13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  <c r="BG3535" s="2">
        <v>0</v>
      </c>
      <c r="BH3535" s="2">
        <v>1</v>
      </c>
      <c r="BI3535" s="2">
        <v>1</v>
      </c>
      <c r="BJ3535" s="2">
        <v>0.2</v>
      </c>
      <c r="BK3535" s="2">
        <v>1</v>
      </c>
      <c r="BL3535" s="2">
        <v>32.380000000000003</v>
      </c>
      <c r="BM3535" s="2">
        <v>4.53</v>
      </c>
      <c r="BN3535" s="2">
        <v>36.909999999999997</v>
      </c>
      <c r="BO3535" s="2">
        <v>36.909999999999997</v>
      </c>
      <c r="BP3535" s="2"/>
      <c r="BQ3535" s="2" t="s">
        <v>83</v>
      </c>
      <c r="BR3535" s="2" t="s">
        <v>84</v>
      </c>
      <c r="BS3535" s="3">
        <v>42977</v>
      </c>
      <c r="BT3535" s="4">
        <v>0.3923611111111111</v>
      </c>
      <c r="BU3535" s="2" t="s">
        <v>1176</v>
      </c>
      <c r="BV3535" s="2" t="s">
        <v>95</v>
      </c>
      <c r="BW3535" s="2"/>
      <c r="BX3535" s="2"/>
      <c r="BY3535" s="2">
        <v>1200</v>
      </c>
      <c r="BZ3535" s="2" t="s">
        <v>27</v>
      </c>
      <c r="CA3535" s="2" t="s">
        <v>729</v>
      </c>
      <c r="CB3535" s="2"/>
      <c r="CC3535" s="2" t="s">
        <v>145</v>
      </c>
      <c r="CD3535" s="2">
        <v>2094</v>
      </c>
      <c r="CE3535" s="2" t="s">
        <v>104</v>
      </c>
      <c r="CF3535" s="5">
        <v>42978</v>
      </c>
      <c r="CG3535" s="2"/>
      <c r="CH3535" s="2"/>
      <c r="CI3535" s="2">
        <v>1</v>
      </c>
      <c r="CJ3535" s="2">
        <v>1</v>
      </c>
      <c r="CK3535" s="2">
        <v>22</v>
      </c>
      <c r="CL3535" s="2" t="s">
        <v>86</v>
      </c>
      <c r="CM3535" s="2"/>
    </row>
    <row r="3536" spans="1:91">
      <c r="A3536" s="2" t="s">
        <v>71</v>
      </c>
      <c r="B3536" s="2" t="s">
        <v>72</v>
      </c>
      <c r="C3536" s="2" t="s">
        <v>73</v>
      </c>
      <c r="D3536" s="2"/>
      <c r="E3536" s="2" t="str">
        <f>"FES1162572069"</f>
        <v>FES1162572069</v>
      </c>
      <c r="F3536" s="3">
        <v>42976</v>
      </c>
      <c r="G3536" s="2">
        <v>201802</v>
      </c>
      <c r="H3536" s="2" t="s">
        <v>74</v>
      </c>
      <c r="I3536" s="2" t="s">
        <v>75</v>
      </c>
      <c r="J3536" s="2" t="s">
        <v>76</v>
      </c>
      <c r="K3536" s="2" t="s">
        <v>77</v>
      </c>
      <c r="L3536" s="2" t="s">
        <v>105</v>
      </c>
      <c r="M3536" s="2" t="s">
        <v>106</v>
      </c>
      <c r="N3536" s="2" t="s">
        <v>3554</v>
      </c>
      <c r="O3536" s="2" t="s">
        <v>100</v>
      </c>
      <c r="P3536" s="2" t="str">
        <f>"2170587687                    "</f>
        <v xml:space="preserve">2170587687                    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6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  <c r="BG3536" s="2">
        <v>0</v>
      </c>
      <c r="BH3536" s="2">
        <v>1</v>
      </c>
      <c r="BI3536" s="2">
        <v>2.8</v>
      </c>
      <c r="BJ3536" s="2">
        <v>1</v>
      </c>
      <c r="BK3536" s="2">
        <v>3</v>
      </c>
      <c r="BL3536" s="2">
        <v>62.16</v>
      </c>
      <c r="BM3536" s="2">
        <v>8.6999999999999993</v>
      </c>
      <c r="BN3536" s="2">
        <v>70.86</v>
      </c>
      <c r="BO3536" s="2">
        <v>70.86</v>
      </c>
      <c r="BP3536" s="2"/>
      <c r="BQ3536" s="2" t="s">
        <v>365</v>
      </c>
      <c r="BR3536" s="2" t="s">
        <v>84</v>
      </c>
      <c r="BS3536" s="3">
        <v>42977</v>
      </c>
      <c r="BT3536" s="4">
        <v>0.3972222222222222</v>
      </c>
      <c r="BU3536" s="2" t="s">
        <v>3555</v>
      </c>
      <c r="BV3536" s="2" t="s">
        <v>95</v>
      </c>
      <c r="BW3536" s="2"/>
      <c r="BX3536" s="2"/>
      <c r="BY3536" s="2">
        <v>5241.6000000000004</v>
      </c>
      <c r="BZ3536" s="2" t="s">
        <v>27</v>
      </c>
      <c r="CA3536" s="2" t="s">
        <v>748</v>
      </c>
      <c r="CB3536" s="2"/>
      <c r="CC3536" s="2" t="s">
        <v>106</v>
      </c>
      <c r="CD3536" s="2">
        <v>7441</v>
      </c>
      <c r="CE3536" s="2" t="s">
        <v>89</v>
      </c>
      <c r="CF3536" s="5">
        <v>42978</v>
      </c>
      <c r="CG3536" s="2"/>
      <c r="CH3536" s="2"/>
      <c r="CI3536" s="2">
        <v>1</v>
      </c>
      <c r="CJ3536" s="2">
        <v>1</v>
      </c>
      <c r="CK3536" s="2">
        <v>21</v>
      </c>
      <c r="CL3536" s="2" t="s">
        <v>86</v>
      </c>
      <c r="CM3536" s="2"/>
    </row>
    <row r="3537" spans="1:91">
      <c r="A3537" s="2" t="s">
        <v>71</v>
      </c>
      <c r="B3537" s="2" t="s">
        <v>72</v>
      </c>
      <c r="C3537" s="2" t="s">
        <v>73</v>
      </c>
      <c r="D3537" s="2"/>
      <c r="E3537" s="2" t="str">
        <f>"FES1162571957"</f>
        <v>FES1162571957</v>
      </c>
      <c r="F3537" s="3">
        <v>42976</v>
      </c>
      <c r="G3537" s="2">
        <v>201802</v>
      </c>
      <c r="H3537" s="2" t="s">
        <v>74</v>
      </c>
      <c r="I3537" s="2" t="s">
        <v>75</v>
      </c>
      <c r="J3537" s="2" t="s">
        <v>76</v>
      </c>
      <c r="K3537" s="2" t="s">
        <v>77</v>
      </c>
      <c r="L3537" s="2" t="s">
        <v>137</v>
      </c>
      <c r="M3537" s="2" t="s">
        <v>138</v>
      </c>
      <c r="N3537" s="2" t="s">
        <v>1110</v>
      </c>
      <c r="O3537" s="2" t="s">
        <v>100</v>
      </c>
      <c r="P3537" s="2" t="str">
        <f>"2170587594                    "</f>
        <v xml:space="preserve">2170587594                    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4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  <c r="BG3537" s="2">
        <v>0</v>
      </c>
      <c r="BH3537" s="2">
        <v>1</v>
      </c>
      <c r="BI3537" s="2">
        <v>1</v>
      </c>
      <c r="BJ3537" s="2">
        <v>0.2</v>
      </c>
      <c r="BK3537" s="2">
        <v>1</v>
      </c>
      <c r="BL3537" s="2">
        <v>41.44</v>
      </c>
      <c r="BM3537" s="2">
        <v>5.8</v>
      </c>
      <c r="BN3537" s="2">
        <v>47.24</v>
      </c>
      <c r="BO3537" s="2">
        <v>47.24</v>
      </c>
      <c r="BP3537" s="2"/>
      <c r="BQ3537" s="2" t="s">
        <v>108</v>
      </c>
      <c r="BR3537" s="2" t="s">
        <v>84</v>
      </c>
      <c r="BS3537" s="3">
        <v>42977</v>
      </c>
      <c r="BT3537" s="4">
        <v>0.38819444444444445</v>
      </c>
      <c r="BU3537" s="2" t="s">
        <v>3556</v>
      </c>
      <c r="BV3537" s="2" t="s">
        <v>95</v>
      </c>
      <c r="BW3537" s="2"/>
      <c r="BX3537" s="2"/>
      <c r="BY3537" s="2">
        <v>1200</v>
      </c>
      <c r="BZ3537" s="2" t="s">
        <v>27</v>
      </c>
      <c r="CA3537" s="2"/>
      <c r="CB3537" s="2"/>
      <c r="CC3537" s="2" t="s">
        <v>138</v>
      </c>
      <c r="CD3537" s="2">
        <v>157</v>
      </c>
      <c r="CE3537" s="2" t="s">
        <v>104</v>
      </c>
      <c r="CF3537" s="5">
        <v>42978</v>
      </c>
      <c r="CG3537" s="2"/>
      <c r="CH3537" s="2"/>
      <c r="CI3537" s="2">
        <v>1</v>
      </c>
      <c r="CJ3537" s="2">
        <v>1</v>
      </c>
      <c r="CK3537" s="2">
        <v>21</v>
      </c>
      <c r="CL3537" s="2" t="s">
        <v>86</v>
      </c>
      <c r="CM3537" s="2"/>
    </row>
    <row r="3538" spans="1:91">
      <c r="A3538" s="2" t="s">
        <v>71</v>
      </c>
      <c r="B3538" s="2" t="s">
        <v>72</v>
      </c>
      <c r="C3538" s="2" t="s">
        <v>73</v>
      </c>
      <c r="D3538" s="2"/>
      <c r="E3538" s="2" t="str">
        <f>"FES1162571946"</f>
        <v>FES1162571946</v>
      </c>
      <c r="F3538" s="3">
        <v>42976</v>
      </c>
      <c r="G3538" s="2">
        <v>201802</v>
      </c>
      <c r="H3538" s="2" t="s">
        <v>74</v>
      </c>
      <c r="I3538" s="2" t="s">
        <v>75</v>
      </c>
      <c r="J3538" s="2" t="s">
        <v>76</v>
      </c>
      <c r="K3538" s="2" t="s">
        <v>77</v>
      </c>
      <c r="L3538" s="2" t="s">
        <v>268</v>
      </c>
      <c r="M3538" s="2" t="s">
        <v>269</v>
      </c>
      <c r="N3538" s="2" t="s">
        <v>693</v>
      </c>
      <c r="O3538" s="2" t="s">
        <v>100</v>
      </c>
      <c r="P3538" s="2" t="str">
        <f>"2170587582                    "</f>
        <v xml:space="preserve">2170587582                    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4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  <c r="BG3538" s="2">
        <v>0</v>
      </c>
      <c r="BH3538" s="2">
        <v>1</v>
      </c>
      <c r="BI3538" s="2">
        <v>1</v>
      </c>
      <c r="BJ3538" s="2">
        <v>0.2</v>
      </c>
      <c r="BK3538" s="2">
        <v>1</v>
      </c>
      <c r="BL3538" s="2">
        <v>41.44</v>
      </c>
      <c r="BM3538" s="2">
        <v>5.8</v>
      </c>
      <c r="BN3538" s="2">
        <v>47.24</v>
      </c>
      <c r="BO3538" s="2">
        <v>47.24</v>
      </c>
      <c r="BP3538" s="2"/>
      <c r="BQ3538" s="2" t="s">
        <v>108</v>
      </c>
      <c r="BR3538" s="2" t="s">
        <v>84</v>
      </c>
      <c r="BS3538" s="3">
        <v>42977</v>
      </c>
      <c r="BT3538" s="4">
        <v>0.40972222222222227</v>
      </c>
      <c r="BU3538" s="2" t="s">
        <v>721</v>
      </c>
      <c r="BV3538" s="2" t="s">
        <v>95</v>
      </c>
      <c r="BW3538" s="2"/>
      <c r="BX3538" s="2"/>
      <c r="BY3538" s="2">
        <v>1200</v>
      </c>
      <c r="BZ3538" s="2" t="s">
        <v>27</v>
      </c>
      <c r="CA3538" s="2"/>
      <c r="CB3538" s="2"/>
      <c r="CC3538" s="2" t="s">
        <v>269</v>
      </c>
      <c r="CD3538" s="2">
        <v>200</v>
      </c>
      <c r="CE3538" s="2" t="s">
        <v>104</v>
      </c>
      <c r="CF3538" s="5">
        <v>42978</v>
      </c>
      <c r="CG3538" s="2"/>
      <c r="CH3538" s="2"/>
      <c r="CI3538" s="2">
        <v>1</v>
      </c>
      <c r="CJ3538" s="2">
        <v>1</v>
      </c>
      <c r="CK3538" s="2">
        <v>21</v>
      </c>
      <c r="CL3538" s="2" t="s">
        <v>86</v>
      </c>
      <c r="CM3538" s="2"/>
    </row>
    <row r="3539" spans="1:91">
      <c r="A3539" s="2" t="s">
        <v>71</v>
      </c>
      <c r="B3539" s="2" t="s">
        <v>72</v>
      </c>
      <c r="C3539" s="2" t="s">
        <v>73</v>
      </c>
      <c r="D3539" s="2"/>
      <c r="E3539" s="2" t="str">
        <f>"FES1162572045"</f>
        <v>FES1162572045</v>
      </c>
      <c r="F3539" s="3">
        <v>42976</v>
      </c>
      <c r="G3539" s="2">
        <v>201802</v>
      </c>
      <c r="H3539" s="2" t="s">
        <v>74</v>
      </c>
      <c r="I3539" s="2" t="s">
        <v>75</v>
      </c>
      <c r="J3539" s="2" t="s">
        <v>76</v>
      </c>
      <c r="K3539" s="2" t="s">
        <v>77</v>
      </c>
      <c r="L3539" s="2" t="s">
        <v>97</v>
      </c>
      <c r="M3539" s="2" t="s">
        <v>98</v>
      </c>
      <c r="N3539" s="2" t="s">
        <v>248</v>
      </c>
      <c r="O3539" s="2" t="s">
        <v>100</v>
      </c>
      <c r="P3539" s="2" t="str">
        <f>"2170582419                    "</f>
        <v xml:space="preserve">2170582419                    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32.020000000000003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  <c r="BG3539" s="2">
        <v>0</v>
      </c>
      <c r="BH3539" s="2">
        <v>2</v>
      </c>
      <c r="BI3539" s="2">
        <v>15.9</v>
      </c>
      <c r="BJ3539" s="2">
        <v>10.5</v>
      </c>
      <c r="BK3539" s="2">
        <v>16</v>
      </c>
      <c r="BL3539" s="2">
        <v>331.54</v>
      </c>
      <c r="BM3539" s="2">
        <v>46.42</v>
      </c>
      <c r="BN3539" s="2">
        <v>377.96</v>
      </c>
      <c r="BO3539" s="2">
        <v>377.96</v>
      </c>
      <c r="BP3539" s="2"/>
      <c r="BQ3539" s="2" t="s">
        <v>83</v>
      </c>
      <c r="BR3539" s="2" t="s">
        <v>84</v>
      </c>
      <c r="BS3539" s="3">
        <v>42977</v>
      </c>
      <c r="BT3539" s="4">
        <v>0.33333333333333331</v>
      </c>
      <c r="BU3539" s="2" t="s">
        <v>390</v>
      </c>
      <c r="BV3539" s="2" t="s">
        <v>95</v>
      </c>
      <c r="BW3539" s="2"/>
      <c r="BX3539" s="2"/>
      <c r="BY3539" s="2">
        <v>52341.82</v>
      </c>
      <c r="BZ3539" s="2" t="s">
        <v>27</v>
      </c>
      <c r="CA3539" s="2" t="s">
        <v>294</v>
      </c>
      <c r="CB3539" s="2"/>
      <c r="CC3539" s="2" t="s">
        <v>98</v>
      </c>
      <c r="CD3539" s="2">
        <v>6001</v>
      </c>
      <c r="CE3539" s="2" t="s">
        <v>948</v>
      </c>
      <c r="CF3539" s="5">
        <v>42978</v>
      </c>
      <c r="CG3539" s="2"/>
      <c r="CH3539" s="2"/>
      <c r="CI3539" s="2">
        <v>1</v>
      </c>
      <c r="CJ3539" s="2">
        <v>1</v>
      </c>
      <c r="CK3539" s="2">
        <v>21</v>
      </c>
      <c r="CL3539" s="2" t="s">
        <v>86</v>
      </c>
      <c r="CM3539" s="2"/>
    </row>
    <row r="3540" spans="1:91">
      <c r="A3540" s="2" t="s">
        <v>71</v>
      </c>
      <c r="B3540" s="2" t="s">
        <v>72</v>
      </c>
      <c r="C3540" s="2" t="s">
        <v>73</v>
      </c>
      <c r="D3540" s="2"/>
      <c r="E3540" s="2" t="str">
        <f>"FES1162571913"</f>
        <v>FES1162571913</v>
      </c>
      <c r="F3540" s="3">
        <v>42976</v>
      </c>
      <c r="G3540" s="2">
        <v>201802</v>
      </c>
      <c r="H3540" s="2" t="s">
        <v>74</v>
      </c>
      <c r="I3540" s="2" t="s">
        <v>75</v>
      </c>
      <c r="J3540" s="2" t="s">
        <v>76</v>
      </c>
      <c r="K3540" s="2" t="s">
        <v>77</v>
      </c>
      <c r="L3540" s="2" t="s">
        <v>149</v>
      </c>
      <c r="M3540" s="2" t="s">
        <v>150</v>
      </c>
      <c r="N3540" s="2" t="s">
        <v>1356</v>
      </c>
      <c r="O3540" s="2" t="s">
        <v>100</v>
      </c>
      <c r="P3540" s="2" t="str">
        <f>"2170587576                    "</f>
        <v xml:space="preserve">2170587576                    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13.01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  <c r="BG3540" s="2">
        <v>0</v>
      </c>
      <c r="BH3540" s="2">
        <v>1</v>
      </c>
      <c r="BI3540" s="2">
        <v>6.3</v>
      </c>
      <c r="BJ3540" s="2">
        <v>2.2000000000000002</v>
      </c>
      <c r="BK3540" s="2">
        <v>6.5</v>
      </c>
      <c r="BL3540" s="2">
        <v>134.69</v>
      </c>
      <c r="BM3540" s="2">
        <v>18.86</v>
      </c>
      <c r="BN3540" s="2">
        <v>153.55000000000001</v>
      </c>
      <c r="BO3540" s="2">
        <v>153.55000000000001</v>
      </c>
      <c r="BP3540" s="2"/>
      <c r="BQ3540" s="2" t="s">
        <v>108</v>
      </c>
      <c r="BR3540" s="2" t="s">
        <v>84</v>
      </c>
      <c r="BS3540" s="3">
        <v>42977</v>
      </c>
      <c r="BT3540" s="4">
        <v>0.4375</v>
      </c>
      <c r="BU3540" s="2" t="s">
        <v>3491</v>
      </c>
      <c r="BV3540" s="2" t="s">
        <v>95</v>
      </c>
      <c r="BW3540" s="2"/>
      <c r="BX3540" s="2"/>
      <c r="BY3540" s="2">
        <v>10860.65</v>
      </c>
      <c r="BZ3540" s="2" t="s">
        <v>27</v>
      </c>
      <c r="CA3540" s="2" t="s">
        <v>148</v>
      </c>
      <c r="CB3540" s="2"/>
      <c r="CC3540" s="2" t="s">
        <v>150</v>
      </c>
      <c r="CD3540" s="2">
        <v>4051</v>
      </c>
      <c r="CE3540" s="2" t="s">
        <v>89</v>
      </c>
      <c r="CF3540" s="5">
        <v>42978</v>
      </c>
      <c r="CG3540" s="2"/>
      <c r="CH3540" s="2"/>
      <c r="CI3540" s="2">
        <v>1</v>
      </c>
      <c r="CJ3540" s="2">
        <v>1</v>
      </c>
      <c r="CK3540" s="2">
        <v>21</v>
      </c>
      <c r="CL3540" s="2" t="s">
        <v>86</v>
      </c>
      <c r="CM3540" s="2"/>
    </row>
    <row r="3541" spans="1:91">
      <c r="A3541" s="2" t="s">
        <v>71</v>
      </c>
      <c r="B3541" s="2" t="s">
        <v>72</v>
      </c>
      <c r="C3541" s="2" t="s">
        <v>73</v>
      </c>
      <c r="D3541" s="2"/>
      <c r="E3541" s="2" t="str">
        <f>"FES1162571942"</f>
        <v>FES1162571942</v>
      </c>
      <c r="F3541" s="3">
        <v>42976</v>
      </c>
      <c r="G3541" s="2">
        <v>201802</v>
      </c>
      <c r="H3541" s="2" t="s">
        <v>74</v>
      </c>
      <c r="I3541" s="2" t="s">
        <v>75</v>
      </c>
      <c r="J3541" s="2" t="s">
        <v>76</v>
      </c>
      <c r="K3541" s="2" t="s">
        <v>77</v>
      </c>
      <c r="L3541" s="2" t="s">
        <v>105</v>
      </c>
      <c r="M3541" s="2" t="s">
        <v>106</v>
      </c>
      <c r="N3541" s="2" t="s">
        <v>107</v>
      </c>
      <c r="O3541" s="2" t="s">
        <v>100</v>
      </c>
      <c r="P3541" s="2" t="str">
        <f>"2170587567                    "</f>
        <v xml:space="preserve">2170587567                    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4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  <c r="BG3541" s="2">
        <v>0</v>
      </c>
      <c r="BH3541" s="2">
        <v>1</v>
      </c>
      <c r="BI3541" s="2">
        <v>1</v>
      </c>
      <c r="BJ3541" s="2">
        <v>0.2</v>
      </c>
      <c r="BK3541" s="2">
        <v>1</v>
      </c>
      <c r="BL3541" s="2">
        <v>41.44</v>
      </c>
      <c r="BM3541" s="2">
        <v>5.8</v>
      </c>
      <c r="BN3541" s="2">
        <v>47.24</v>
      </c>
      <c r="BO3541" s="2">
        <v>47.24</v>
      </c>
      <c r="BP3541" s="2"/>
      <c r="BQ3541" s="2" t="s">
        <v>108</v>
      </c>
      <c r="BR3541" s="2" t="s">
        <v>84</v>
      </c>
      <c r="BS3541" s="3">
        <v>42977</v>
      </c>
      <c r="BT3541" s="4">
        <v>0.41319444444444442</v>
      </c>
      <c r="BU3541" s="2" t="s">
        <v>2632</v>
      </c>
      <c r="BV3541" s="2" t="s">
        <v>95</v>
      </c>
      <c r="BW3541" s="2"/>
      <c r="BX3541" s="2"/>
      <c r="BY3541" s="2">
        <v>1200</v>
      </c>
      <c r="BZ3541" s="2" t="s">
        <v>27</v>
      </c>
      <c r="CA3541" s="2" t="s">
        <v>112</v>
      </c>
      <c r="CB3541" s="2"/>
      <c r="CC3541" s="2" t="s">
        <v>106</v>
      </c>
      <c r="CD3541" s="2">
        <v>7405</v>
      </c>
      <c r="CE3541" s="2" t="s">
        <v>104</v>
      </c>
      <c r="CF3541" s="5">
        <v>42977</v>
      </c>
      <c r="CG3541" s="2"/>
      <c r="CH3541" s="2"/>
      <c r="CI3541" s="2">
        <v>1</v>
      </c>
      <c r="CJ3541" s="2">
        <v>1</v>
      </c>
      <c r="CK3541" s="2">
        <v>21</v>
      </c>
      <c r="CL3541" s="2" t="s">
        <v>86</v>
      </c>
      <c r="CM3541" s="2"/>
    </row>
    <row r="3542" spans="1:91">
      <c r="A3542" s="2" t="s">
        <v>71</v>
      </c>
      <c r="B3542" s="2" t="s">
        <v>72</v>
      </c>
      <c r="C3542" s="2" t="s">
        <v>73</v>
      </c>
      <c r="D3542" s="2"/>
      <c r="E3542" s="2" t="str">
        <f>"FES1162571906"</f>
        <v>FES1162571906</v>
      </c>
      <c r="F3542" s="3">
        <v>42976</v>
      </c>
      <c r="G3542" s="2">
        <v>201802</v>
      </c>
      <c r="H3542" s="2" t="s">
        <v>74</v>
      </c>
      <c r="I3542" s="2" t="s">
        <v>75</v>
      </c>
      <c r="J3542" s="2" t="s">
        <v>76</v>
      </c>
      <c r="K3542" s="2" t="s">
        <v>77</v>
      </c>
      <c r="L3542" s="2" t="s">
        <v>74</v>
      </c>
      <c r="M3542" s="2" t="s">
        <v>75</v>
      </c>
      <c r="N3542" s="2" t="s">
        <v>1370</v>
      </c>
      <c r="O3542" s="2" t="s">
        <v>100</v>
      </c>
      <c r="P3542" s="2" t="str">
        <f>"2170585422                    "</f>
        <v xml:space="preserve">2170585422                    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3.13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  <c r="BG3542" s="2">
        <v>0</v>
      </c>
      <c r="BH3542" s="2">
        <v>1</v>
      </c>
      <c r="BI3542" s="2">
        <v>1</v>
      </c>
      <c r="BJ3542" s="2">
        <v>0.2</v>
      </c>
      <c r="BK3542" s="2">
        <v>1</v>
      </c>
      <c r="BL3542" s="2">
        <v>32.380000000000003</v>
      </c>
      <c r="BM3542" s="2">
        <v>4.53</v>
      </c>
      <c r="BN3542" s="2">
        <v>36.909999999999997</v>
      </c>
      <c r="BO3542" s="2">
        <v>36.909999999999997</v>
      </c>
      <c r="BP3542" s="2"/>
      <c r="BQ3542" s="2" t="s">
        <v>108</v>
      </c>
      <c r="BR3542" s="2" t="s">
        <v>84</v>
      </c>
      <c r="BS3542" s="3">
        <v>42977</v>
      </c>
      <c r="BT3542" s="4">
        <v>0.34652777777777777</v>
      </c>
      <c r="BU3542" s="2" t="s">
        <v>1360</v>
      </c>
      <c r="BV3542" s="2" t="s">
        <v>95</v>
      </c>
      <c r="BW3542" s="2"/>
      <c r="BX3542" s="2"/>
      <c r="BY3542" s="2">
        <v>1200</v>
      </c>
      <c r="BZ3542" s="2" t="s">
        <v>27</v>
      </c>
      <c r="CA3542" s="2" t="s">
        <v>1441</v>
      </c>
      <c r="CB3542" s="2"/>
      <c r="CC3542" s="2" t="s">
        <v>75</v>
      </c>
      <c r="CD3542" s="2">
        <v>1609</v>
      </c>
      <c r="CE3542" s="2" t="s">
        <v>104</v>
      </c>
      <c r="CF3542" s="5">
        <v>42978</v>
      </c>
      <c r="CG3542" s="2"/>
      <c r="CH3542" s="2"/>
      <c r="CI3542" s="2">
        <v>1</v>
      </c>
      <c r="CJ3542" s="2">
        <v>1</v>
      </c>
      <c r="CK3542" s="2">
        <v>22</v>
      </c>
      <c r="CL3542" s="2" t="s">
        <v>86</v>
      </c>
      <c r="CM3542" s="2"/>
    </row>
    <row r="3543" spans="1:91">
      <c r="A3543" s="2" t="s">
        <v>71</v>
      </c>
      <c r="B3543" s="2" t="s">
        <v>72</v>
      </c>
      <c r="C3543" s="2" t="s">
        <v>73</v>
      </c>
      <c r="D3543" s="2"/>
      <c r="E3543" s="2" t="str">
        <f>"FES1162571997"</f>
        <v>FES1162571997</v>
      </c>
      <c r="F3543" s="3">
        <v>42976</v>
      </c>
      <c r="G3543" s="2">
        <v>201802</v>
      </c>
      <c r="H3543" s="2" t="s">
        <v>74</v>
      </c>
      <c r="I3543" s="2" t="s">
        <v>75</v>
      </c>
      <c r="J3543" s="2" t="s">
        <v>76</v>
      </c>
      <c r="K3543" s="2" t="s">
        <v>77</v>
      </c>
      <c r="L3543" s="2" t="s">
        <v>237</v>
      </c>
      <c r="M3543" s="2" t="s">
        <v>238</v>
      </c>
      <c r="N3543" s="2" t="s">
        <v>678</v>
      </c>
      <c r="O3543" s="2" t="s">
        <v>100</v>
      </c>
      <c r="P3543" s="2" t="str">
        <f>"2170587651                    "</f>
        <v xml:space="preserve">2170587651                    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4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  <c r="BG3543" s="2">
        <v>0</v>
      </c>
      <c r="BH3543" s="2">
        <v>1</v>
      </c>
      <c r="BI3543" s="2">
        <v>1</v>
      </c>
      <c r="BJ3543" s="2">
        <v>0.2</v>
      </c>
      <c r="BK3543" s="2">
        <v>1</v>
      </c>
      <c r="BL3543" s="2">
        <v>41.44</v>
      </c>
      <c r="BM3543" s="2">
        <v>5.8</v>
      </c>
      <c r="BN3543" s="2">
        <v>47.24</v>
      </c>
      <c r="BO3543" s="2">
        <v>47.24</v>
      </c>
      <c r="BP3543" s="2"/>
      <c r="BQ3543" s="2" t="s">
        <v>679</v>
      </c>
      <c r="BR3543" s="2" t="s">
        <v>84</v>
      </c>
      <c r="BS3543" s="3">
        <v>42977</v>
      </c>
      <c r="BT3543" s="4">
        <v>0.32013888888888892</v>
      </c>
      <c r="BU3543" s="2" t="s">
        <v>3557</v>
      </c>
      <c r="BV3543" s="2" t="s">
        <v>95</v>
      </c>
      <c r="BW3543" s="2"/>
      <c r="BX3543" s="2"/>
      <c r="BY3543" s="2">
        <v>1200</v>
      </c>
      <c r="BZ3543" s="2" t="s">
        <v>27</v>
      </c>
      <c r="CA3543" s="2" t="s">
        <v>672</v>
      </c>
      <c r="CB3543" s="2"/>
      <c r="CC3543" s="2" t="s">
        <v>238</v>
      </c>
      <c r="CD3543" s="2">
        <v>3610</v>
      </c>
      <c r="CE3543" s="2" t="s">
        <v>104</v>
      </c>
      <c r="CF3543" s="5">
        <v>42978</v>
      </c>
      <c r="CG3543" s="2"/>
      <c r="CH3543" s="2"/>
      <c r="CI3543" s="2">
        <v>1</v>
      </c>
      <c r="CJ3543" s="2">
        <v>1</v>
      </c>
      <c r="CK3543" s="2">
        <v>21</v>
      </c>
      <c r="CL3543" s="2" t="s">
        <v>86</v>
      </c>
      <c r="CM3543" s="2"/>
    </row>
    <row r="3544" spans="1:91">
      <c r="A3544" s="2" t="s">
        <v>71</v>
      </c>
      <c r="B3544" s="2" t="s">
        <v>72</v>
      </c>
      <c r="C3544" s="2" t="s">
        <v>73</v>
      </c>
      <c r="D3544" s="2"/>
      <c r="E3544" s="2" t="str">
        <f>"FES1162571924"</f>
        <v>FES1162571924</v>
      </c>
      <c r="F3544" s="3">
        <v>42976</v>
      </c>
      <c r="G3544" s="2">
        <v>201802</v>
      </c>
      <c r="H3544" s="2" t="s">
        <v>74</v>
      </c>
      <c r="I3544" s="2" t="s">
        <v>75</v>
      </c>
      <c r="J3544" s="2" t="s">
        <v>76</v>
      </c>
      <c r="K3544" s="2" t="s">
        <v>77</v>
      </c>
      <c r="L3544" s="2" t="s">
        <v>144</v>
      </c>
      <c r="M3544" s="2" t="s">
        <v>145</v>
      </c>
      <c r="N3544" s="2" t="s">
        <v>146</v>
      </c>
      <c r="O3544" s="2" t="s">
        <v>100</v>
      </c>
      <c r="P3544" s="2" t="str">
        <f>"2170585592                    "</f>
        <v xml:space="preserve">2170585592                    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3.13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0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  <c r="BG3544" s="2">
        <v>0</v>
      </c>
      <c r="BH3544" s="2">
        <v>1</v>
      </c>
      <c r="BI3544" s="2">
        <v>1</v>
      </c>
      <c r="BJ3544" s="2">
        <v>0.2</v>
      </c>
      <c r="BK3544" s="2">
        <v>1</v>
      </c>
      <c r="BL3544" s="2">
        <v>32.380000000000003</v>
      </c>
      <c r="BM3544" s="2">
        <v>4.53</v>
      </c>
      <c r="BN3544" s="2">
        <v>36.909999999999997</v>
      </c>
      <c r="BO3544" s="2">
        <v>36.909999999999997</v>
      </c>
      <c r="BP3544" s="2"/>
      <c r="BQ3544" s="2" t="s">
        <v>83</v>
      </c>
      <c r="BR3544" s="2" t="s">
        <v>84</v>
      </c>
      <c r="BS3544" s="3">
        <v>42977</v>
      </c>
      <c r="BT3544" s="4">
        <v>0.35486111111111113</v>
      </c>
      <c r="BU3544" s="2" t="s">
        <v>1176</v>
      </c>
      <c r="BV3544" s="2" t="s">
        <v>95</v>
      </c>
      <c r="BW3544" s="2"/>
      <c r="BX3544" s="2"/>
      <c r="BY3544" s="2">
        <v>1200</v>
      </c>
      <c r="BZ3544" s="2" t="s">
        <v>27</v>
      </c>
      <c r="CA3544" s="2" t="s">
        <v>729</v>
      </c>
      <c r="CB3544" s="2"/>
      <c r="CC3544" s="2" t="s">
        <v>145</v>
      </c>
      <c r="CD3544" s="2">
        <v>2094</v>
      </c>
      <c r="CE3544" s="2" t="s">
        <v>104</v>
      </c>
      <c r="CF3544" s="5">
        <v>42978</v>
      </c>
      <c r="CG3544" s="2"/>
      <c r="CH3544" s="2"/>
      <c r="CI3544" s="2">
        <v>1</v>
      </c>
      <c r="CJ3544" s="2">
        <v>1</v>
      </c>
      <c r="CK3544" s="2">
        <v>22</v>
      </c>
      <c r="CL3544" s="2" t="s">
        <v>86</v>
      </c>
      <c r="CM3544" s="2"/>
    </row>
    <row r="3545" spans="1:91">
      <c r="A3545" s="2" t="s">
        <v>71</v>
      </c>
      <c r="B3545" s="2" t="s">
        <v>72</v>
      </c>
      <c r="C3545" s="2" t="s">
        <v>73</v>
      </c>
      <c r="D3545" s="2"/>
      <c r="E3545" s="2" t="str">
        <f>"FES1162571918"</f>
        <v>FES1162571918</v>
      </c>
      <c r="F3545" s="3">
        <v>42976</v>
      </c>
      <c r="G3545" s="2">
        <v>201802</v>
      </c>
      <c r="H3545" s="2" t="s">
        <v>74</v>
      </c>
      <c r="I3545" s="2" t="s">
        <v>75</v>
      </c>
      <c r="J3545" s="2" t="s">
        <v>76</v>
      </c>
      <c r="K3545" s="2" t="s">
        <v>77</v>
      </c>
      <c r="L3545" s="2" t="s">
        <v>97</v>
      </c>
      <c r="M3545" s="2" t="s">
        <v>98</v>
      </c>
      <c r="N3545" s="2" t="s">
        <v>248</v>
      </c>
      <c r="O3545" s="2" t="s">
        <v>100</v>
      </c>
      <c r="P3545" s="2" t="str">
        <f>"2170581301                    "</f>
        <v xml:space="preserve">2170581301                    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5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  <c r="BG3545" s="2">
        <v>0</v>
      </c>
      <c r="BH3545" s="2">
        <v>1</v>
      </c>
      <c r="BI3545" s="2">
        <v>2.2999999999999998</v>
      </c>
      <c r="BJ3545" s="2">
        <v>1.7</v>
      </c>
      <c r="BK3545" s="2">
        <v>2.5</v>
      </c>
      <c r="BL3545" s="2">
        <v>51.8</v>
      </c>
      <c r="BM3545" s="2">
        <v>7.25</v>
      </c>
      <c r="BN3545" s="2">
        <v>59.05</v>
      </c>
      <c r="BO3545" s="2">
        <v>59.05</v>
      </c>
      <c r="BP3545" s="2"/>
      <c r="BQ3545" s="2" t="s">
        <v>83</v>
      </c>
      <c r="BR3545" s="2" t="s">
        <v>84</v>
      </c>
      <c r="BS3545" s="3">
        <v>42977</v>
      </c>
      <c r="BT3545" s="4">
        <v>0.33333333333333331</v>
      </c>
      <c r="BU3545" s="2" t="s">
        <v>390</v>
      </c>
      <c r="BV3545" s="2" t="s">
        <v>95</v>
      </c>
      <c r="BW3545" s="2"/>
      <c r="BX3545" s="2"/>
      <c r="BY3545" s="2">
        <v>8446.2800000000007</v>
      </c>
      <c r="BZ3545" s="2" t="s">
        <v>27</v>
      </c>
      <c r="CA3545" s="2" t="s">
        <v>294</v>
      </c>
      <c r="CB3545" s="2"/>
      <c r="CC3545" s="2" t="s">
        <v>98</v>
      </c>
      <c r="CD3545" s="2">
        <v>6001</v>
      </c>
      <c r="CE3545" s="2" t="s">
        <v>89</v>
      </c>
      <c r="CF3545" s="5">
        <v>42978</v>
      </c>
      <c r="CG3545" s="2"/>
      <c r="CH3545" s="2"/>
      <c r="CI3545" s="2">
        <v>1</v>
      </c>
      <c r="CJ3545" s="2">
        <v>1</v>
      </c>
      <c r="CK3545" s="2">
        <v>21</v>
      </c>
      <c r="CL3545" s="2" t="s">
        <v>86</v>
      </c>
      <c r="CM3545" s="2"/>
    </row>
    <row r="3546" spans="1:91">
      <c r="A3546" s="2" t="s">
        <v>71</v>
      </c>
      <c r="B3546" s="2" t="s">
        <v>72</v>
      </c>
      <c r="C3546" s="2" t="s">
        <v>73</v>
      </c>
      <c r="D3546" s="2"/>
      <c r="E3546" s="2" t="str">
        <f>"FES1162571956"</f>
        <v>FES1162571956</v>
      </c>
      <c r="F3546" s="3">
        <v>42976</v>
      </c>
      <c r="G3546" s="2">
        <v>201802</v>
      </c>
      <c r="H3546" s="2" t="s">
        <v>74</v>
      </c>
      <c r="I3546" s="2" t="s">
        <v>75</v>
      </c>
      <c r="J3546" s="2" t="s">
        <v>76</v>
      </c>
      <c r="K3546" s="2" t="s">
        <v>77</v>
      </c>
      <c r="L3546" s="2" t="s">
        <v>237</v>
      </c>
      <c r="M3546" s="2" t="s">
        <v>238</v>
      </c>
      <c r="N3546" s="2" t="s">
        <v>388</v>
      </c>
      <c r="O3546" s="2" t="s">
        <v>100</v>
      </c>
      <c r="P3546" s="2" t="str">
        <f>"2170587573                    "</f>
        <v xml:space="preserve">2170587573                    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4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0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  <c r="BG3546" s="2">
        <v>0</v>
      </c>
      <c r="BH3546" s="2">
        <v>1</v>
      </c>
      <c r="BI3546" s="2">
        <v>1</v>
      </c>
      <c r="BJ3546" s="2">
        <v>0.2</v>
      </c>
      <c r="BK3546" s="2">
        <v>1</v>
      </c>
      <c r="BL3546" s="2">
        <v>41.44</v>
      </c>
      <c r="BM3546" s="2">
        <v>5.8</v>
      </c>
      <c r="BN3546" s="2">
        <v>47.24</v>
      </c>
      <c r="BO3546" s="2">
        <v>47.24</v>
      </c>
      <c r="BP3546" s="2"/>
      <c r="BQ3546" s="2"/>
      <c r="BR3546" s="2" t="s">
        <v>84</v>
      </c>
      <c r="BS3546" s="3">
        <v>42977</v>
      </c>
      <c r="BT3546" s="4">
        <v>0.40277777777777773</v>
      </c>
      <c r="BU3546" s="2" t="s">
        <v>855</v>
      </c>
      <c r="BV3546" s="2" t="s">
        <v>95</v>
      </c>
      <c r="BW3546" s="2"/>
      <c r="BX3546" s="2"/>
      <c r="BY3546" s="2">
        <v>1200</v>
      </c>
      <c r="BZ3546" s="2" t="s">
        <v>27</v>
      </c>
      <c r="CA3546" s="2" t="s">
        <v>1454</v>
      </c>
      <c r="CB3546" s="2"/>
      <c r="CC3546" s="2" t="s">
        <v>238</v>
      </c>
      <c r="CD3546" s="2">
        <v>3610</v>
      </c>
      <c r="CE3546" s="2" t="s">
        <v>104</v>
      </c>
      <c r="CF3546" s="5">
        <v>42978</v>
      </c>
      <c r="CG3546" s="2"/>
      <c r="CH3546" s="2"/>
      <c r="CI3546" s="2">
        <v>1</v>
      </c>
      <c r="CJ3546" s="2">
        <v>1</v>
      </c>
      <c r="CK3546" s="2">
        <v>21</v>
      </c>
      <c r="CL3546" s="2" t="s">
        <v>86</v>
      </c>
      <c r="CM3546" s="2"/>
    </row>
    <row r="3547" spans="1:91">
      <c r="A3547" s="2" t="s">
        <v>71</v>
      </c>
      <c r="B3547" s="2" t="s">
        <v>72</v>
      </c>
      <c r="C3547" s="2" t="s">
        <v>73</v>
      </c>
      <c r="D3547" s="2"/>
      <c r="E3547" s="2" t="str">
        <f>"FES1162571929"</f>
        <v>FES1162571929</v>
      </c>
      <c r="F3547" s="3">
        <v>42976</v>
      </c>
      <c r="G3547" s="2">
        <v>201802</v>
      </c>
      <c r="H3547" s="2" t="s">
        <v>74</v>
      </c>
      <c r="I3547" s="2" t="s">
        <v>75</v>
      </c>
      <c r="J3547" s="2" t="s">
        <v>76</v>
      </c>
      <c r="K3547" s="2" t="s">
        <v>77</v>
      </c>
      <c r="L3547" s="2" t="s">
        <v>221</v>
      </c>
      <c r="M3547" s="2" t="s">
        <v>222</v>
      </c>
      <c r="N3547" s="2" t="s">
        <v>415</v>
      </c>
      <c r="O3547" s="2" t="s">
        <v>100</v>
      </c>
      <c r="P3547" s="2" t="str">
        <f>"2170586529                    "</f>
        <v xml:space="preserve">2170586529                    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4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  <c r="BG3547" s="2">
        <v>0</v>
      </c>
      <c r="BH3547" s="2">
        <v>1</v>
      </c>
      <c r="BI3547" s="2">
        <v>1</v>
      </c>
      <c r="BJ3547" s="2">
        <v>0.2</v>
      </c>
      <c r="BK3547" s="2">
        <v>1</v>
      </c>
      <c r="BL3547" s="2">
        <v>41.44</v>
      </c>
      <c r="BM3547" s="2">
        <v>5.8</v>
      </c>
      <c r="BN3547" s="2">
        <v>47.24</v>
      </c>
      <c r="BO3547" s="2">
        <v>47.24</v>
      </c>
      <c r="BP3547" s="2"/>
      <c r="BQ3547" s="2" t="s">
        <v>108</v>
      </c>
      <c r="BR3547" s="2" t="s">
        <v>84</v>
      </c>
      <c r="BS3547" s="3">
        <v>42977</v>
      </c>
      <c r="BT3547" s="4">
        <v>0.40416666666666662</v>
      </c>
      <c r="BU3547" s="2" t="s">
        <v>416</v>
      </c>
      <c r="BV3547" s="2" t="s">
        <v>95</v>
      </c>
      <c r="BW3547" s="2"/>
      <c r="BX3547" s="2"/>
      <c r="BY3547" s="2">
        <v>1200</v>
      </c>
      <c r="BZ3547" s="2" t="s">
        <v>27</v>
      </c>
      <c r="CA3547" s="2" t="s">
        <v>934</v>
      </c>
      <c r="CB3547" s="2"/>
      <c r="CC3547" s="2" t="s">
        <v>222</v>
      </c>
      <c r="CD3547" s="2">
        <v>4302</v>
      </c>
      <c r="CE3547" s="2" t="s">
        <v>104</v>
      </c>
      <c r="CF3547" s="5">
        <v>42978</v>
      </c>
      <c r="CG3547" s="2"/>
      <c r="CH3547" s="2"/>
      <c r="CI3547" s="2">
        <v>1</v>
      </c>
      <c r="CJ3547" s="2">
        <v>1</v>
      </c>
      <c r="CK3547" s="2">
        <v>21</v>
      </c>
      <c r="CL3547" s="2" t="s">
        <v>86</v>
      </c>
      <c r="CM3547" s="2"/>
    </row>
    <row r="3548" spans="1:91">
      <c r="A3548" s="2" t="s">
        <v>71</v>
      </c>
      <c r="B3548" s="2" t="s">
        <v>72</v>
      </c>
      <c r="C3548" s="2" t="s">
        <v>73</v>
      </c>
      <c r="D3548" s="2"/>
      <c r="E3548" s="2" t="str">
        <f>"FES1162571938"</f>
        <v>FES1162571938</v>
      </c>
      <c r="F3548" s="3">
        <v>42976</v>
      </c>
      <c r="G3548" s="2">
        <v>201802</v>
      </c>
      <c r="H3548" s="2" t="s">
        <v>74</v>
      </c>
      <c r="I3548" s="2" t="s">
        <v>75</v>
      </c>
      <c r="J3548" s="2" t="s">
        <v>76</v>
      </c>
      <c r="K3548" s="2" t="s">
        <v>77</v>
      </c>
      <c r="L3548" s="2" t="s">
        <v>237</v>
      </c>
      <c r="M3548" s="2" t="s">
        <v>238</v>
      </c>
      <c r="N3548" s="2" t="s">
        <v>3056</v>
      </c>
      <c r="O3548" s="2" t="s">
        <v>100</v>
      </c>
      <c r="P3548" s="2" t="str">
        <f>"2170587554                    "</f>
        <v xml:space="preserve">2170587554                    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4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  <c r="BG3548" s="2">
        <v>0</v>
      </c>
      <c r="BH3548" s="2">
        <v>1</v>
      </c>
      <c r="BI3548" s="2">
        <v>1</v>
      </c>
      <c r="BJ3548" s="2">
        <v>0.2</v>
      </c>
      <c r="BK3548" s="2">
        <v>1</v>
      </c>
      <c r="BL3548" s="2">
        <v>41.44</v>
      </c>
      <c r="BM3548" s="2">
        <v>5.8</v>
      </c>
      <c r="BN3548" s="2">
        <v>47.24</v>
      </c>
      <c r="BO3548" s="2">
        <v>47.24</v>
      </c>
      <c r="BP3548" s="2"/>
      <c r="BQ3548" s="2" t="s">
        <v>108</v>
      </c>
      <c r="BR3548" s="2" t="s">
        <v>84</v>
      </c>
      <c r="BS3548" s="3">
        <v>42977</v>
      </c>
      <c r="BT3548" s="4">
        <v>0.38750000000000001</v>
      </c>
      <c r="BU3548" s="2" t="s">
        <v>3558</v>
      </c>
      <c r="BV3548" s="2" t="s">
        <v>95</v>
      </c>
      <c r="BW3548" s="2"/>
      <c r="BX3548" s="2"/>
      <c r="BY3548" s="2">
        <v>1200</v>
      </c>
      <c r="BZ3548" s="2" t="s">
        <v>27</v>
      </c>
      <c r="CA3548" s="2" t="s">
        <v>672</v>
      </c>
      <c r="CB3548" s="2"/>
      <c r="CC3548" s="2" t="s">
        <v>238</v>
      </c>
      <c r="CD3548" s="2">
        <v>3610</v>
      </c>
      <c r="CE3548" s="2" t="s">
        <v>104</v>
      </c>
      <c r="CF3548" s="5">
        <v>42978</v>
      </c>
      <c r="CG3548" s="2"/>
      <c r="CH3548" s="2"/>
      <c r="CI3548" s="2">
        <v>1</v>
      </c>
      <c r="CJ3548" s="2">
        <v>1</v>
      </c>
      <c r="CK3548" s="2">
        <v>21</v>
      </c>
      <c r="CL3548" s="2" t="s">
        <v>86</v>
      </c>
      <c r="CM3548" s="2"/>
    </row>
    <row r="3549" spans="1:91">
      <c r="A3549" s="2" t="s">
        <v>71</v>
      </c>
      <c r="B3549" s="2" t="s">
        <v>72</v>
      </c>
      <c r="C3549" s="2" t="s">
        <v>73</v>
      </c>
      <c r="D3549" s="2"/>
      <c r="E3549" s="2" t="str">
        <f>"FES1162571941"</f>
        <v>FES1162571941</v>
      </c>
      <c r="F3549" s="3">
        <v>42976</v>
      </c>
      <c r="G3549" s="2">
        <v>201802</v>
      </c>
      <c r="H3549" s="2" t="s">
        <v>74</v>
      </c>
      <c r="I3549" s="2" t="s">
        <v>75</v>
      </c>
      <c r="J3549" s="2" t="s">
        <v>76</v>
      </c>
      <c r="K3549" s="2" t="s">
        <v>77</v>
      </c>
      <c r="L3549" s="2" t="s">
        <v>715</v>
      </c>
      <c r="M3549" s="2" t="s">
        <v>716</v>
      </c>
      <c r="N3549" s="2" t="s">
        <v>717</v>
      </c>
      <c r="O3549" s="2" t="s">
        <v>100</v>
      </c>
      <c r="P3549" s="2" t="str">
        <f>"2170587563                    "</f>
        <v xml:space="preserve">2170587563                    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4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0</v>
      </c>
      <c r="BH3549" s="2">
        <v>1</v>
      </c>
      <c r="BI3549" s="2">
        <v>1</v>
      </c>
      <c r="BJ3549" s="2">
        <v>0.2</v>
      </c>
      <c r="BK3549" s="2">
        <v>1</v>
      </c>
      <c r="BL3549" s="2">
        <v>41.44</v>
      </c>
      <c r="BM3549" s="2">
        <v>5.8</v>
      </c>
      <c r="BN3549" s="2">
        <v>47.24</v>
      </c>
      <c r="BO3549" s="2">
        <v>47.24</v>
      </c>
      <c r="BP3549" s="2"/>
      <c r="BQ3549" s="2" t="s">
        <v>108</v>
      </c>
      <c r="BR3549" s="2" t="s">
        <v>84</v>
      </c>
      <c r="BS3549" s="3">
        <v>42977</v>
      </c>
      <c r="BT3549" s="4">
        <v>0.44097222222222227</v>
      </c>
      <c r="BU3549" s="2" t="s">
        <v>2560</v>
      </c>
      <c r="BV3549" s="2" t="s">
        <v>95</v>
      </c>
      <c r="BW3549" s="2"/>
      <c r="BX3549" s="2"/>
      <c r="BY3549" s="2">
        <v>1200</v>
      </c>
      <c r="BZ3549" s="2" t="s">
        <v>27</v>
      </c>
      <c r="CA3549" s="2" t="s">
        <v>566</v>
      </c>
      <c r="CB3549" s="2"/>
      <c r="CC3549" s="2" t="s">
        <v>716</v>
      </c>
      <c r="CD3549" s="2">
        <v>3290</v>
      </c>
      <c r="CE3549" s="2" t="s">
        <v>104</v>
      </c>
      <c r="CF3549" s="5">
        <v>42978</v>
      </c>
      <c r="CG3549" s="2"/>
      <c r="CH3549" s="2"/>
      <c r="CI3549" s="2">
        <v>1</v>
      </c>
      <c r="CJ3549" s="2">
        <v>1</v>
      </c>
      <c r="CK3549" s="2">
        <v>21</v>
      </c>
      <c r="CL3549" s="2" t="s">
        <v>86</v>
      </c>
      <c r="CM3549" s="2"/>
    </row>
    <row r="3550" spans="1:91">
      <c r="A3550" s="2" t="s">
        <v>71</v>
      </c>
      <c r="B3550" s="2" t="s">
        <v>72</v>
      </c>
      <c r="C3550" s="2" t="s">
        <v>73</v>
      </c>
      <c r="D3550" s="2"/>
      <c r="E3550" s="2" t="str">
        <f>"FES1162571976"</f>
        <v>FES1162571976</v>
      </c>
      <c r="F3550" s="3">
        <v>42976</v>
      </c>
      <c r="G3550" s="2">
        <v>201802</v>
      </c>
      <c r="H3550" s="2" t="s">
        <v>74</v>
      </c>
      <c r="I3550" s="2" t="s">
        <v>75</v>
      </c>
      <c r="J3550" s="2" t="s">
        <v>76</v>
      </c>
      <c r="K3550" s="2" t="s">
        <v>77</v>
      </c>
      <c r="L3550" s="2" t="s">
        <v>105</v>
      </c>
      <c r="M3550" s="2" t="s">
        <v>106</v>
      </c>
      <c r="N3550" s="2" t="s">
        <v>2141</v>
      </c>
      <c r="O3550" s="2" t="s">
        <v>100</v>
      </c>
      <c r="P3550" s="2" t="str">
        <f>"2170586806                    "</f>
        <v xml:space="preserve">2170586806                    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4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  <c r="BG3550" s="2">
        <v>0</v>
      </c>
      <c r="BH3550" s="2">
        <v>1</v>
      </c>
      <c r="BI3550" s="2">
        <v>1</v>
      </c>
      <c r="BJ3550" s="2">
        <v>0.2</v>
      </c>
      <c r="BK3550" s="2">
        <v>1</v>
      </c>
      <c r="BL3550" s="2">
        <v>41.44</v>
      </c>
      <c r="BM3550" s="2">
        <v>5.8</v>
      </c>
      <c r="BN3550" s="2">
        <v>47.24</v>
      </c>
      <c r="BO3550" s="2">
        <v>47.24</v>
      </c>
      <c r="BP3550" s="2"/>
      <c r="BQ3550" s="2" t="s">
        <v>108</v>
      </c>
      <c r="BR3550" s="2" t="s">
        <v>84</v>
      </c>
      <c r="BS3550" s="3">
        <v>42977</v>
      </c>
      <c r="BT3550" s="4">
        <v>0.38611111111111113</v>
      </c>
      <c r="BU3550" s="2" t="s">
        <v>3559</v>
      </c>
      <c r="BV3550" s="2" t="s">
        <v>95</v>
      </c>
      <c r="BW3550" s="2"/>
      <c r="BX3550" s="2"/>
      <c r="BY3550" s="2">
        <v>1200</v>
      </c>
      <c r="BZ3550" s="2" t="s">
        <v>27</v>
      </c>
      <c r="CA3550" s="2" t="s">
        <v>302</v>
      </c>
      <c r="CB3550" s="2"/>
      <c r="CC3550" s="2" t="s">
        <v>106</v>
      </c>
      <c r="CD3550" s="2">
        <v>7530</v>
      </c>
      <c r="CE3550" s="2" t="s">
        <v>104</v>
      </c>
      <c r="CF3550" s="5">
        <v>42978</v>
      </c>
      <c r="CG3550" s="2"/>
      <c r="CH3550" s="2"/>
      <c r="CI3550" s="2">
        <v>1</v>
      </c>
      <c r="CJ3550" s="2">
        <v>1</v>
      </c>
      <c r="CK3550" s="2">
        <v>21</v>
      </c>
      <c r="CL3550" s="2" t="s">
        <v>86</v>
      </c>
      <c r="CM3550" s="2"/>
    </row>
    <row r="3551" spans="1:91">
      <c r="A3551" s="2" t="s">
        <v>71</v>
      </c>
      <c r="B3551" s="2" t="s">
        <v>72</v>
      </c>
      <c r="C3551" s="2" t="s">
        <v>73</v>
      </c>
      <c r="D3551" s="2"/>
      <c r="E3551" s="2" t="str">
        <f>"FES1162571983"</f>
        <v>FES1162571983</v>
      </c>
      <c r="F3551" s="3">
        <v>42976</v>
      </c>
      <c r="G3551" s="2">
        <v>201802</v>
      </c>
      <c r="H3551" s="2" t="s">
        <v>74</v>
      </c>
      <c r="I3551" s="2" t="s">
        <v>75</v>
      </c>
      <c r="J3551" s="2" t="s">
        <v>76</v>
      </c>
      <c r="K3551" s="2" t="s">
        <v>77</v>
      </c>
      <c r="L3551" s="2" t="s">
        <v>216</v>
      </c>
      <c r="M3551" s="2" t="s">
        <v>217</v>
      </c>
      <c r="N3551" s="2" t="s">
        <v>1722</v>
      </c>
      <c r="O3551" s="2" t="s">
        <v>100</v>
      </c>
      <c r="P3551" s="2" t="str">
        <f>"2170587629                    "</f>
        <v xml:space="preserve">2170587629                    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3.13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  <c r="BG3551" s="2">
        <v>0</v>
      </c>
      <c r="BH3551" s="2">
        <v>1</v>
      </c>
      <c r="BI3551" s="2">
        <v>2.2999999999999998</v>
      </c>
      <c r="BJ3551" s="2">
        <v>1</v>
      </c>
      <c r="BK3551" s="2">
        <v>3</v>
      </c>
      <c r="BL3551" s="2">
        <v>32.380000000000003</v>
      </c>
      <c r="BM3551" s="2">
        <v>4.53</v>
      </c>
      <c r="BN3551" s="2">
        <v>36.909999999999997</v>
      </c>
      <c r="BO3551" s="2">
        <v>36.909999999999997</v>
      </c>
      <c r="BP3551" s="2"/>
      <c r="BQ3551" s="2" t="s">
        <v>3560</v>
      </c>
      <c r="BR3551" s="2" t="s">
        <v>84</v>
      </c>
      <c r="BS3551" s="3">
        <v>42977</v>
      </c>
      <c r="BT3551" s="4">
        <v>0.41319444444444442</v>
      </c>
      <c r="BU3551" s="2" t="s">
        <v>1723</v>
      </c>
      <c r="BV3551" s="2" t="s">
        <v>95</v>
      </c>
      <c r="BW3551" s="2"/>
      <c r="BX3551" s="2"/>
      <c r="BY3551" s="2">
        <v>4996.6000000000004</v>
      </c>
      <c r="BZ3551" s="2" t="s">
        <v>27</v>
      </c>
      <c r="CA3551" s="2" t="s">
        <v>220</v>
      </c>
      <c r="CB3551" s="2"/>
      <c r="CC3551" s="2" t="s">
        <v>217</v>
      </c>
      <c r="CD3551" s="2">
        <v>1451</v>
      </c>
      <c r="CE3551" s="2" t="s">
        <v>1623</v>
      </c>
      <c r="CF3551" s="5">
        <v>42978</v>
      </c>
      <c r="CG3551" s="2"/>
      <c r="CH3551" s="2"/>
      <c r="CI3551" s="2">
        <v>1</v>
      </c>
      <c r="CJ3551" s="2">
        <v>1</v>
      </c>
      <c r="CK3551" s="2">
        <v>22</v>
      </c>
      <c r="CL3551" s="2" t="s">
        <v>86</v>
      </c>
      <c r="CM3551" s="2"/>
    </row>
    <row r="3552" spans="1:91">
      <c r="A3552" s="2" t="s">
        <v>71</v>
      </c>
      <c r="B3552" s="2" t="s">
        <v>72</v>
      </c>
      <c r="C3552" s="2" t="s">
        <v>73</v>
      </c>
      <c r="D3552" s="2"/>
      <c r="E3552" s="2" t="str">
        <f>"FES1162571979"</f>
        <v>FES1162571979</v>
      </c>
      <c r="F3552" s="3">
        <v>42976</v>
      </c>
      <c r="G3552" s="2">
        <v>201802</v>
      </c>
      <c r="H3552" s="2" t="s">
        <v>74</v>
      </c>
      <c r="I3552" s="2" t="s">
        <v>75</v>
      </c>
      <c r="J3552" s="2" t="s">
        <v>76</v>
      </c>
      <c r="K3552" s="2" t="s">
        <v>77</v>
      </c>
      <c r="L3552" s="2" t="s">
        <v>74</v>
      </c>
      <c r="M3552" s="2" t="s">
        <v>75</v>
      </c>
      <c r="N3552" s="2" t="s">
        <v>1370</v>
      </c>
      <c r="O3552" s="2" t="s">
        <v>100</v>
      </c>
      <c r="P3552" s="2" t="str">
        <f>"2170587625                    "</f>
        <v xml:space="preserve">2170587625                    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3.13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  <c r="BG3552" s="2">
        <v>0</v>
      </c>
      <c r="BH3552" s="2">
        <v>1</v>
      </c>
      <c r="BI3552" s="2">
        <v>1</v>
      </c>
      <c r="BJ3552" s="2">
        <v>0.2</v>
      </c>
      <c r="BK3552" s="2">
        <v>1</v>
      </c>
      <c r="BL3552" s="2">
        <v>32.380000000000003</v>
      </c>
      <c r="BM3552" s="2">
        <v>4.53</v>
      </c>
      <c r="BN3552" s="2">
        <v>36.909999999999997</v>
      </c>
      <c r="BO3552" s="2">
        <v>36.909999999999997</v>
      </c>
      <c r="BP3552" s="2"/>
      <c r="BQ3552" s="2" t="s">
        <v>108</v>
      </c>
      <c r="BR3552" s="2" t="s">
        <v>84</v>
      </c>
      <c r="BS3552" s="3">
        <v>42977</v>
      </c>
      <c r="BT3552" s="4">
        <v>0.3972222222222222</v>
      </c>
      <c r="BU3552" s="2" t="s">
        <v>1360</v>
      </c>
      <c r="BV3552" s="2" t="s">
        <v>95</v>
      </c>
      <c r="BW3552" s="2"/>
      <c r="BX3552" s="2"/>
      <c r="BY3552" s="2">
        <v>1200</v>
      </c>
      <c r="BZ3552" s="2" t="s">
        <v>27</v>
      </c>
      <c r="CA3552" s="2" t="s">
        <v>1441</v>
      </c>
      <c r="CB3552" s="2"/>
      <c r="CC3552" s="2" t="s">
        <v>75</v>
      </c>
      <c r="CD3552" s="2">
        <v>1609</v>
      </c>
      <c r="CE3552" s="2" t="s">
        <v>104</v>
      </c>
      <c r="CF3552" s="5">
        <v>42978</v>
      </c>
      <c r="CG3552" s="2"/>
      <c r="CH3552" s="2"/>
      <c r="CI3552" s="2">
        <v>1</v>
      </c>
      <c r="CJ3552" s="2">
        <v>1</v>
      </c>
      <c r="CK3552" s="2">
        <v>22</v>
      </c>
      <c r="CL3552" s="2" t="s">
        <v>86</v>
      </c>
      <c r="CM3552" s="2"/>
    </row>
    <row r="3553" spans="1:91">
      <c r="A3553" s="2" t="s">
        <v>71</v>
      </c>
      <c r="B3553" s="2" t="s">
        <v>72</v>
      </c>
      <c r="C3553" s="2" t="s">
        <v>73</v>
      </c>
      <c r="D3553" s="2"/>
      <c r="E3553" s="2" t="str">
        <f>"FES1162571930"</f>
        <v>FES1162571930</v>
      </c>
      <c r="F3553" s="3">
        <v>42976</v>
      </c>
      <c r="G3553" s="2">
        <v>201802</v>
      </c>
      <c r="H3553" s="2" t="s">
        <v>74</v>
      </c>
      <c r="I3553" s="2" t="s">
        <v>75</v>
      </c>
      <c r="J3553" s="2" t="s">
        <v>76</v>
      </c>
      <c r="K3553" s="2" t="s">
        <v>77</v>
      </c>
      <c r="L3553" s="2" t="s">
        <v>321</v>
      </c>
      <c r="M3553" s="2" t="s">
        <v>322</v>
      </c>
      <c r="N3553" s="2" t="s">
        <v>323</v>
      </c>
      <c r="O3553" s="2" t="s">
        <v>100</v>
      </c>
      <c r="P3553" s="2" t="str">
        <f>"2170586636                    "</f>
        <v xml:space="preserve">2170586636                    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6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0</v>
      </c>
      <c r="BH3553" s="2">
        <v>1</v>
      </c>
      <c r="BI3553" s="2">
        <v>3</v>
      </c>
      <c r="BJ3553" s="2">
        <v>0.2</v>
      </c>
      <c r="BK3553" s="2">
        <v>3</v>
      </c>
      <c r="BL3553" s="2">
        <v>62.16</v>
      </c>
      <c r="BM3553" s="2">
        <v>8.6999999999999993</v>
      </c>
      <c r="BN3553" s="2">
        <v>70.86</v>
      </c>
      <c r="BO3553" s="2">
        <v>70.86</v>
      </c>
      <c r="BP3553" s="2"/>
      <c r="BQ3553" s="2" t="s">
        <v>83</v>
      </c>
      <c r="BR3553" s="2" t="s">
        <v>84</v>
      </c>
      <c r="BS3553" s="3">
        <v>42977</v>
      </c>
      <c r="BT3553" s="4">
        <v>0.40625</v>
      </c>
      <c r="BU3553" s="2" t="s">
        <v>324</v>
      </c>
      <c r="BV3553" s="2" t="s">
        <v>95</v>
      </c>
      <c r="BW3553" s="2"/>
      <c r="BX3553" s="2"/>
      <c r="BY3553" s="2">
        <v>1200</v>
      </c>
      <c r="BZ3553" s="2" t="s">
        <v>27</v>
      </c>
      <c r="CA3553" s="2" t="s">
        <v>103</v>
      </c>
      <c r="CB3553" s="2"/>
      <c r="CC3553" s="2" t="s">
        <v>322</v>
      </c>
      <c r="CD3553" s="2">
        <v>6220</v>
      </c>
      <c r="CE3553" s="2" t="s">
        <v>104</v>
      </c>
      <c r="CF3553" s="5">
        <v>42978</v>
      </c>
      <c r="CG3553" s="2"/>
      <c r="CH3553" s="2"/>
      <c r="CI3553" s="2">
        <v>1</v>
      </c>
      <c r="CJ3553" s="2">
        <v>1</v>
      </c>
      <c r="CK3553" s="2">
        <v>21</v>
      </c>
      <c r="CL3553" s="2" t="s">
        <v>86</v>
      </c>
      <c r="CM3553" s="2"/>
    </row>
    <row r="3554" spans="1:91">
      <c r="A3554" s="2" t="s">
        <v>71</v>
      </c>
      <c r="B3554" s="2" t="s">
        <v>72</v>
      </c>
      <c r="C3554" s="2" t="s">
        <v>73</v>
      </c>
      <c r="D3554" s="2"/>
      <c r="E3554" s="2" t="str">
        <f>"FES1162571947"</f>
        <v>FES1162571947</v>
      </c>
      <c r="F3554" s="3">
        <v>42976</v>
      </c>
      <c r="G3554" s="2">
        <v>201802</v>
      </c>
      <c r="H3554" s="2" t="s">
        <v>74</v>
      </c>
      <c r="I3554" s="2" t="s">
        <v>75</v>
      </c>
      <c r="J3554" s="2" t="s">
        <v>76</v>
      </c>
      <c r="K3554" s="2" t="s">
        <v>77</v>
      </c>
      <c r="L3554" s="2" t="s">
        <v>470</v>
      </c>
      <c r="M3554" s="2" t="s">
        <v>471</v>
      </c>
      <c r="N3554" s="2" t="s">
        <v>2209</v>
      </c>
      <c r="O3554" s="2" t="s">
        <v>100</v>
      </c>
      <c r="P3554" s="2" t="str">
        <f>"2170587583                    "</f>
        <v xml:space="preserve">2170587583                    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4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0</v>
      </c>
      <c r="BD3554" s="2">
        <v>0</v>
      </c>
      <c r="BE3554" s="2">
        <v>0</v>
      </c>
      <c r="BF3554" s="2">
        <v>0</v>
      </c>
      <c r="BG3554" s="2">
        <v>0</v>
      </c>
      <c r="BH3554" s="2">
        <v>1</v>
      </c>
      <c r="BI3554" s="2">
        <v>1</v>
      </c>
      <c r="BJ3554" s="2">
        <v>0.2</v>
      </c>
      <c r="BK3554" s="2">
        <v>1</v>
      </c>
      <c r="BL3554" s="2">
        <v>41.44</v>
      </c>
      <c r="BM3554" s="2">
        <v>5.8</v>
      </c>
      <c r="BN3554" s="2">
        <v>47.24</v>
      </c>
      <c r="BO3554" s="2">
        <v>47.24</v>
      </c>
      <c r="BP3554" s="2"/>
      <c r="BQ3554" s="2" t="s">
        <v>108</v>
      </c>
      <c r="BR3554" s="2" t="s">
        <v>84</v>
      </c>
      <c r="BS3554" s="3">
        <v>42977</v>
      </c>
      <c r="BT3554" s="4">
        <v>0.35000000000000003</v>
      </c>
      <c r="BU3554" s="2" t="s">
        <v>3561</v>
      </c>
      <c r="BV3554" s="2" t="s">
        <v>95</v>
      </c>
      <c r="BW3554" s="2"/>
      <c r="BX3554" s="2"/>
      <c r="BY3554" s="2">
        <v>1200</v>
      </c>
      <c r="BZ3554" s="2" t="s">
        <v>27</v>
      </c>
      <c r="CA3554" s="2" t="s">
        <v>703</v>
      </c>
      <c r="CB3554" s="2"/>
      <c r="CC3554" s="2" t="s">
        <v>471</v>
      </c>
      <c r="CD3554" s="2">
        <v>1900</v>
      </c>
      <c r="CE3554" s="2" t="s">
        <v>104</v>
      </c>
      <c r="CF3554" s="5">
        <v>42978</v>
      </c>
      <c r="CG3554" s="2"/>
      <c r="CH3554" s="2"/>
      <c r="CI3554" s="2">
        <v>1</v>
      </c>
      <c r="CJ3554" s="2">
        <v>1</v>
      </c>
      <c r="CK3554" s="2">
        <v>21</v>
      </c>
      <c r="CL3554" s="2" t="s">
        <v>86</v>
      </c>
      <c r="CM3554" s="2"/>
    </row>
    <row r="3555" spans="1:91">
      <c r="A3555" s="2" t="s">
        <v>71</v>
      </c>
      <c r="B3555" s="2" t="s">
        <v>72</v>
      </c>
      <c r="C3555" s="2" t="s">
        <v>73</v>
      </c>
      <c r="D3555" s="2"/>
      <c r="E3555" s="2" t="str">
        <f>"FES1162571950"</f>
        <v>FES1162571950</v>
      </c>
      <c r="F3555" s="3">
        <v>42976</v>
      </c>
      <c r="G3555" s="2">
        <v>201802</v>
      </c>
      <c r="H3555" s="2" t="s">
        <v>74</v>
      </c>
      <c r="I3555" s="2" t="s">
        <v>75</v>
      </c>
      <c r="J3555" s="2" t="s">
        <v>76</v>
      </c>
      <c r="K3555" s="2" t="s">
        <v>77</v>
      </c>
      <c r="L3555" s="2" t="s">
        <v>237</v>
      </c>
      <c r="M3555" s="2" t="s">
        <v>238</v>
      </c>
      <c r="N3555" s="2" t="s">
        <v>239</v>
      </c>
      <c r="O3555" s="2" t="s">
        <v>100</v>
      </c>
      <c r="P3555" s="2" t="str">
        <f>"2170587589                    "</f>
        <v xml:space="preserve">2170587589                    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6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0</v>
      </c>
      <c r="BH3555" s="2">
        <v>1</v>
      </c>
      <c r="BI3555" s="2">
        <v>3</v>
      </c>
      <c r="BJ3555" s="2">
        <v>1.5</v>
      </c>
      <c r="BK3555" s="2">
        <v>3</v>
      </c>
      <c r="BL3555" s="2">
        <v>62.16</v>
      </c>
      <c r="BM3555" s="2">
        <v>8.6999999999999993</v>
      </c>
      <c r="BN3555" s="2">
        <v>70.86</v>
      </c>
      <c r="BO3555" s="2">
        <v>70.86</v>
      </c>
      <c r="BP3555" s="2"/>
      <c r="BQ3555" s="2" t="s">
        <v>83</v>
      </c>
      <c r="BR3555" s="2" t="s">
        <v>84</v>
      </c>
      <c r="BS3555" s="3">
        <v>42977</v>
      </c>
      <c r="BT3555" s="4">
        <v>0.41041666666666665</v>
      </c>
      <c r="BU3555" s="2" t="s">
        <v>825</v>
      </c>
      <c r="BV3555" s="2" t="s">
        <v>95</v>
      </c>
      <c r="BW3555" s="2"/>
      <c r="BX3555" s="2"/>
      <c r="BY3555" s="2">
        <v>7540</v>
      </c>
      <c r="BZ3555" s="2" t="s">
        <v>27</v>
      </c>
      <c r="CA3555" s="2" t="s">
        <v>672</v>
      </c>
      <c r="CB3555" s="2"/>
      <c r="CC3555" s="2" t="s">
        <v>238</v>
      </c>
      <c r="CD3555" s="2">
        <v>3610</v>
      </c>
      <c r="CE3555" s="2" t="s">
        <v>89</v>
      </c>
      <c r="CF3555" s="5">
        <v>42978</v>
      </c>
      <c r="CG3555" s="2"/>
      <c r="CH3555" s="2"/>
      <c r="CI3555" s="2">
        <v>1</v>
      </c>
      <c r="CJ3555" s="2">
        <v>1</v>
      </c>
      <c r="CK3555" s="2">
        <v>21</v>
      </c>
      <c r="CL3555" s="2" t="s">
        <v>86</v>
      </c>
      <c r="CM3555" s="2"/>
    </row>
    <row r="3556" spans="1:91">
      <c r="A3556" s="2" t="s">
        <v>71</v>
      </c>
      <c r="B3556" s="2" t="s">
        <v>72</v>
      </c>
      <c r="C3556" s="2" t="s">
        <v>73</v>
      </c>
      <c r="D3556" s="2"/>
      <c r="E3556" s="2" t="str">
        <f>"080001716304"</f>
        <v>080001716304</v>
      </c>
      <c r="F3556" s="3">
        <v>42971</v>
      </c>
      <c r="G3556" s="2">
        <v>201802</v>
      </c>
      <c r="H3556" s="2" t="s">
        <v>510</v>
      </c>
      <c r="I3556" s="2" t="s">
        <v>511</v>
      </c>
      <c r="J3556" s="2" t="s">
        <v>3562</v>
      </c>
      <c r="K3556" s="2" t="s">
        <v>77</v>
      </c>
      <c r="L3556" s="2" t="s">
        <v>74</v>
      </c>
      <c r="M3556" s="2" t="s">
        <v>75</v>
      </c>
      <c r="N3556" s="2" t="s">
        <v>118</v>
      </c>
      <c r="O3556" s="2" t="s">
        <v>81</v>
      </c>
      <c r="P3556" s="2" t="str">
        <f>"ZA1000660774                  "</f>
        <v xml:space="preserve">ZA1000660774                  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8.19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  <c r="BG3556" s="2">
        <v>0</v>
      </c>
      <c r="BH3556" s="2">
        <v>1</v>
      </c>
      <c r="BI3556" s="2">
        <v>7.1</v>
      </c>
      <c r="BJ3556" s="2">
        <v>11.5</v>
      </c>
      <c r="BK3556" s="2">
        <v>12</v>
      </c>
      <c r="BL3556" s="2">
        <v>89.83</v>
      </c>
      <c r="BM3556" s="2">
        <v>12.58</v>
      </c>
      <c r="BN3556" s="2">
        <v>102.41</v>
      </c>
      <c r="BO3556" s="2">
        <v>102.41</v>
      </c>
      <c r="BP3556" s="2" t="s">
        <v>2986</v>
      </c>
      <c r="BQ3556" s="2" t="s">
        <v>241</v>
      </c>
      <c r="BR3556" s="2" t="s">
        <v>3563</v>
      </c>
      <c r="BS3556" s="3">
        <v>42976</v>
      </c>
      <c r="BT3556" s="4">
        <v>0.46388888888888885</v>
      </c>
      <c r="BU3556" s="2" t="s">
        <v>802</v>
      </c>
      <c r="BV3556" s="2" t="s">
        <v>86</v>
      </c>
      <c r="BW3556" s="2" t="s">
        <v>1007</v>
      </c>
      <c r="BX3556" s="2" t="s">
        <v>1113</v>
      </c>
      <c r="BY3556" s="2">
        <v>57456</v>
      </c>
      <c r="BZ3556" s="2"/>
      <c r="CA3556" s="2" t="s">
        <v>158</v>
      </c>
      <c r="CB3556" s="2"/>
      <c r="CC3556" s="2" t="s">
        <v>75</v>
      </c>
      <c r="CD3556" s="2">
        <v>1600</v>
      </c>
      <c r="CE3556" s="2" t="s">
        <v>89</v>
      </c>
      <c r="CF3556" s="5">
        <v>42977</v>
      </c>
      <c r="CG3556" s="2"/>
      <c r="CH3556" s="2"/>
      <c r="CI3556" s="2">
        <v>2</v>
      </c>
      <c r="CJ3556" s="2">
        <v>3</v>
      </c>
      <c r="CK3556" s="2" t="s">
        <v>136</v>
      </c>
      <c r="CL3556" s="2" t="s">
        <v>86</v>
      </c>
      <c r="CM3556" s="2"/>
    </row>
    <row r="3557" spans="1:91">
      <c r="A3557" s="2" t="s">
        <v>71</v>
      </c>
      <c r="B3557" s="2" t="s">
        <v>72</v>
      </c>
      <c r="C3557" s="2" t="s">
        <v>73</v>
      </c>
      <c r="D3557" s="2"/>
      <c r="E3557" s="2" t="str">
        <f>"080001721877"</f>
        <v>080001721877</v>
      </c>
      <c r="F3557" s="3">
        <v>42976</v>
      </c>
      <c r="G3557" s="2">
        <v>201802</v>
      </c>
      <c r="H3557" s="2" t="s">
        <v>417</v>
      </c>
      <c r="I3557" s="2" t="s">
        <v>417</v>
      </c>
      <c r="J3557" s="2" t="s">
        <v>3116</v>
      </c>
      <c r="K3557" s="2" t="s">
        <v>77</v>
      </c>
      <c r="L3557" s="2" t="s">
        <v>74</v>
      </c>
      <c r="M3557" s="2" t="s">
        <v>75</v>
      </c>
      <c r="N3557" s="2" t="s">
        <v>118</v>
      </c>
      <c r="O3557" s="2" t="s">
        <v>81</v>
      </c>
      <c r="P3557" s="2" t="str">
        <f>"ZA1000660838                  "</f>
        <v xml:space="preserve">ZA1000660838                  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8.19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  <c r="BG3557" s="2">
        <v>0</v>
      </c>
      <c r="BH3557" s="2">
        <v>1</v>
      </c>
      <c r="BI3557" s="2">
        <v>1</v>
      </c>
      <c r="BJ3557" s="2">
        <v>0.2</v>
      </c>
      <c r="BK3557" s="2">
        <v>1</v>
      </c>
      <c r="BL3557" s="2">
        <v>89.83</v>
      </c>
      <c r="BM3557" s="2">
        <v>12.58</v>
      </c>
      <c r="BN3557" s="2">
        <v>102.41</v>
      </c>
      <c r="BO3557" s="2">
        <v>102.41</v>
      </c>
      <c r="BP3557" s="2" t="s">
        <v>3564</v>
      </c>
      <c r="BQ3557" s="2" t="s">
        <v>241</v>
      </c>
      <c r="BR3557" s="2" t="s">
        <v>3565</v>
      </c>
      <c r="BS3557" s="3">
        <v>42978</v>
      </c>
      <c r="BT3557" s="4">
        <v>0.41666666666666669</v>
      </c>
      <c r="BU3557" s="2" t="s">
        <v>85</v>
      </c>
      <c r="BV3557" s="2" t="s">
        <v>95</v>
      </c>
      <c r="BW3557" s="2"/>
      <c r="BX3557" s="2"/>
      <c r="BY3557" s="2">
        <v>1200</v>
      </c>
      <c r="BZ3557" s="2"/>
      <c r="CA3557" s="2"/>
      <c r="CB3557" s="2"/>
      <c r="CC3557" s="2" t="s">
        <v>75</v>
      </c>
      <c r="CD3557" s="2">
        <v>1600</v>
      </c>
      <c r="CE3557" s="2" t="s">
        <v>89</v>
      </c>
      <c r="CF3557" s="2"/>
      <c r="CG3557" s="2"/>
      <c r="CH3557" s="2"/>
      <c r="CI3557" s="2">
        <v>2</v>
      </c>
      <c r="CJ3557" s="2">
        <v>2</v>
      </c>
      <c r="CK3557" s="2" t="s">
        <v>136</v>
      </c>
      <c r="CL3557" s="2" t="s">
        <v>86</v>
      </c>
      <c r="CM3557" s="2"/>
    </row>
    <row r="3558" spans="1:91">
      <c r="A3558" s="2" t="s">
        <v>71</v>
      </c>
      <c r="B3558" s="2" t="s">
        <v>72</v>
      </c>
      <c r="C3558" s="2" t="s">
        <v>73</v>
      </c>
      <c r="D3558" s="2"/>
      <c r="E3558" s="2" t="str">
        <f>"FES1162572101"</f>
        <v>FES1162572101</v>
      </c>
      <c r="F3558" s="3">
        <v>42976</v>
      </c>
      <c r="G3558" s="2">
        <v>201802</v>
      </c>
      <c r="H3558" s="2" t="s">
        <v>74</v>
      </c>
      <c r="I3558" s="2" t="s">
        <v>75</v>
      </c>
      <c r="J3558" s="2" t="s">
        <v>76</v>
      </c>
      <c r="K3558" s="2" t="s">
        <v>77</v>
      </c>
      <c r="L3558" s="2" t="s">
        <v>97</v>
      </c>
      <c r="M3558" s="2" t="s">
        <v>98</v>
      </c>
      <c r="N3558" s="2" t="s">
        <v>214</v>
      </c>
      <c r="O3558" s="2" t="s">
        <v>81</v>
      </c>
      <c r="P3558" s="2" t="str">
        <f>"2170581374                    "</f>
        <v xml:space="preserve">2170581374                    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26.43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  <c r="BG3558" s="2">
        <v>0</v>
      </c>
      <c r="BH3558" s="2">
        <v>1</v>
      </c>
      <c r="BI3558" s="2">
        <v>67</v>
      </c>
      <c r="BJ3558" s="2">
        <v>44.2</v>
      </c>
      <c r="BK3558" s="2">
        <v>67</v>
      </c>
      <c r="BL3558" s="2">
        <v>278.63</v>
      </c>
      <c r="BM3558" s="2">
        <v>39.01</v>
      </c>
      <c r="BN3558" s="2">
        <v>317.64</v>
      </c>
      <c r="BO3558" s="2">
        <v>317.64</v>
      </c>
      <c r="BP3558" s="2"/>
      <c r="BQ3558" s="2" t="s">
        <v>3566</v>
      </c>
      <c r="BR3558" s="2" t="s">
        <v>84</v>
      </c>
      <c r="BS3558" s="3">
        <v>42978</v>
      </c>
      <c r="BT3558" s="4">
        <v>0.34375</v>
      </c>
      <c r="BU3558" s="2" t="s">
        <v>3567</v>
      </c>
      <c r="BV3558" s="2" t="s">
        <v>95</v>
      </c>
      <c r="BW3558" s="2"/>
      <c r="BX3558" s="2"/>
      <c r="BY3558" s="2">
        <v>221184</v>
      </c>
      <c r="BZ3558" s="2"/>
      <c r="CA3558" s="2" t="s">
        <v>134</v>
      </c>
      <c r="CB3558" s="2"/>
      <c r="CC3558" s="2" t="s">
        <v>98</v>
      </c>
      <c r="CD3558" s="2">
        <v>6001</v>
      </c>
      <c r="CE3558" s="2" t="s">
        <v>948</v>
      </c>
      <c r="CF3558" s="5">
        <v>42978</v>
      </c>
      <c r="CG3558" s="2"/>
      <c r="CH3558" s="2"/>
      <c r="CI3558" s="2">
        <v>2</v>
      </c>
      <c r="CJ3558" s="2">
        <v>2</v>
      </c>
      <c r="CK3558" s="2" t="s">
        <v>136</v>
      </c>
      <c r="CL3558" s="2" t="s">
        <v>86</v>
      </c>
      <c r="CM3558" s="2"/>
    </row>
    <row r="3559" spans="1:91">
      <c r="A3559" s="2" t="s">
        <v>71</v>
      </c>
      <c r="B3559" s="2" t="s">
        <v>72</v>
      </c>
      <c r="C3559" s="2" t="s">
        <v>73</v>
      </c>
      <c r="D3559" s="2"/>
      <c r="E3559" s="2" t="str">
        <f>"FES1162572035"</f>
        <v>FES1162572035</v>
      </c>
      <c r="F3559" s="3">
        <v>42976</v>
      </c>
      <c r="G3559" s="2">
        <v>201802</v>
      </c>
      <c r="H3559" s="2" t="s">
        <v>74</v>
      </c>
      <c r="I3559" s="2" t="s">
        <v>75</v>
      </c>
      <c r="J3559" s="2" t="s">
        <v>76</v>
      </c>
      <c r="K3559" s="2" t="s">
        <v>77</v>
      </c>
      <c r="L3559" s="2" t="s">
        <v>939</v>
      </c>
      <c r="M3559" s="2" t="s">
        <v>940</v>
      </c>
      <c r="N3559" s="2" t="s">
        <v>941</v>
      </c>
      <c r="O3559" s="2" t="s">
        <v>81</v>
      </c>
      <c r="P3559" s="2" t="str">
        <f>"2170584646                    "</f>
        <v xml:space="preserve">2170584646                    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7.5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0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  <c r="BG3559" s="2">
        <v>0</v>
      </c>
      <c r="BH3559" s="2">
        <v>1</v>
      </c>
      <c r="BI3559" s="2">
        <v>6.1</v>
      </c>
      <c r="BJ3559" s="2">
        <v>8.5</v>
      </c>
      <c r="BK3559" s="2">
        <v>9</v>
      </c>
      <c r="BL3559" s="2">
        <v>82.7</v>
      </c>
      <c r="BM3559" s="2">
        <v>11.58</v>
      </c>
      <c r="BN3559" s="2">
        <v>94.28</v>
      </c>
      <c r="BO3559" s="2">
        <v>94.28</v>
      </c>
      <c r="BP3559" s="2"/>
      <c r="BQ3559" s="2" t="s">
        <v>108</v>
      </c>
      <c r="BR3559" s="2" t="s">
        <v>84</v>
      </c>
      <c r="BS3559" s="3">
        <v>42977</v>
      </c>
      <c r="BT3559" s="4">
        <v>0.60416666666666663</v>
      </c>
      <c r="BU3559" s="2" t="s">
        <v>3516</v>
      </c>
      <c r="BV3559" s="2" t="s">
        <v>95</v>
      </c>
      <c r="BW3559" s="2"/>
      <c r="BX3559" s="2"/>
      <c r="BY3559" s="2">
        <v>42357.599999999999</v>
      </c>
      <c r="BZ3559" s="2"/>
      <c r="CA3559" s="2" t="s">
        <v>943</v>
      </c>
      <c r="CB3559" s="2"/>
      <c r="CC3559" s="2" t="s">
        <v>940</v>
      </c>
      <c r="CD3559" s="2">
        <v>1028</v>
      </c>
      <c r="CE3559" s="2" t="s">
        <v>948</v>
      </c>
      <c r="CF3559" s="5">
        <v>42978</v>
      </c>
      <c r="CG3559" s="2"/>
      <c r="CH3559" s="2"/>
      <c r="CI3559" s="2">
        <v>2</v>
      </c>
      <c r="CJ3559" s="2">
        <v>1</v>
      </c>
      <c r="CK3559" s="2" t="s">
        <v>163</v>
      </c>
      <c r="CL3559" s="2" t="s">
        <v>86</v>
      </c>
      <c r="CM3559" s="2"/>
    </row>
    <row r="3560" spans="1:91">
      <c r="A3560" s="2" t="s">
        <v>71</v>
      </c>
      <c r="B3560" s="2" t="s">
        <v>72</v>
      </c>
      <c r="C3560" s="2" t="s">
        <v>73</v>
      </c>
      <c r="D3560" s="2"/>
      <c r="E3560" s="2" t="str">
        <f>"FES1162572167"</f>
        <v>FES1162572167</v>
      </c>
      <c r="F3560" s="3">
        <v>42976</v>
      </c>
      <c r="G3560" s="2">
        <v>201802</v>
      </c>
      <c r="H3560" s="2" t="s">
        <v>74</v>
      </c>
      <c r="I3560" s="2" t="s">
        <v>75</v>
      </c>
      <c r="J3560" s="2" t="s">
        <v>76</v>
      </c>
      <c r="K3560" s="2" t="s">
        <v>77</v>
      </c>
      <c r="L3560" s="2" t="s">
        <v>362</v>
      </c>
      <c r="M3560" s="2" t="s">
        <v>363</v>
      </c>
      <c r="N3560" s="2" t="s">
        <v>1168</v>
      </c>
      <c r="O3560" s="2" t="s">
        <v>81</v>
      </c>
      <c r="P3560" s="2" t="str">
        <f>"2170587784                    "</f>
        <v xml:space="preserve">2170587784                    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10.08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0</v>
      </c>
      <c r="AV3560" s="2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  <c r="BG3560" s="2">
        <v>0</v>
      </c>
      <c r="BH3560" s="2">
        <v>1</v>
      </c>
      <c r="BI3560" s="2">
        <v>20.7</v>
      </c>
      <c r="BJ3560" s="2">
        <v>17.8</v>
      </c>
      <c r="BK3560" s="2">
        <v>21</v>
      </c>
      <c r="BL3560" s="2">
        <v>109.37</v>
      </c>
      <c r="BM3560" s="2">
        <v>15.31</v>
      </c>
      <c r="BN3560" s="2">
        <v>124.68</v>
      </c>
      <c r="BO3560" s="2">
        <v>124.68</v>
      </c>
      <c r="BP3560" s="2"/>
      <c r="BQ3560" s="2" t="s">
        <v>83</v>
      </c>
      <c r="BR3560" s="2" t="s">
        <v>84</v>
      </c>
      <c r="BS3560" s="3">
        <v>42977</v>
      </c>
      <c r="BT3560" s="4">
        <v>0.34166666666666662</v>
      </c>
      <c r="BU3560" s="2" t="s">
        <v>2747</v>
      </c>
      <c r="BV3560" s="2" t="s">
        <v>95</v>
      </c>
      <c r="BW3560" s="2"/>
      <c r="BX3560" s="2"/>
      <c r="BY3560" s="2">
        <v>89136.28</v>
      </c>
      <c r="BZ3560" s="2"/>
      <c r="CA3560" s="2" t="s">
        <v>1170</v>
      </c>
      <c r="CB3560" s="2"/>
      <c r="CC3560" s="2" t="s">
        <v>363</v>
      </c>
      <c r="CD3560" s="2">
        <v>3201</v>
      </c>
      <c r="CE3560" s="2" t="s">
        <v>89</v>
      </c>
      <c r="CF3560" s="5">
        <v>42978</v>
      </c>
      <c r="CG3560" s="2"/>
      <c r="CH3560" s="2"/>
      <c r="CI3560" s="2">
        <v>1</v>
      </c>
      <c r="CJ3560" s="2">
        <v>1</v>
      </c>
      <c r="CK3560" s="2" t="s">
        <v>624</v>
      </c>
      <c r="CL3560" s="2" t="s">
        <v>86</v>
      </c>
      <c r="CM3560" s="2"/>
    </row>
    <row r="3561" spans="1:91">
      <c r="A3561" s="2" t="s">
        <v>71</v>
      </c>
      <c r="B3561" s="2" t="s">
        <v>72</v>
      </c>
      <c r="C3561" s="2" t="s">
        <v>73</v>
      </c>
      <c r="D3561" s="2"/>
      <c r="E3561" s="2" t="str">
        <f>"FES1162572161"</f>
        <v>FES1162572161</v>
      </c>
      <c r="F3561" s="3">
        <v>42976</v>
      </c>
      <c r="G3561" s="2">
        <v>201802</v>
      </c>
      <c r="H3561" s="2" t="s">
        <v>74</v>
      </c>
      <c r="I3561" s="2" t="s">
        <v>75</v>
      </c>
      <c r="J3561" s="2" t="s">
        <v>76</v>
      </c>
      <c r="K3561" s="2" t="s">
        <v>77</v>
      </c>
      <c r="L3561" s="2" t="s">
        <v>306</v>
      </c>
      <c r="M3561" s="2" t="s">
        <v>307</v>
      </c>
      <c r="N3561" s="2" t="s">
        <v>2533</v>
      </c>
      <c r="O3561" s="2" t="s">
        <v>81</v>
      </c>
      <c r="P3561" s="2" t="str">
        <f>"2170585543                    "</f>
        <v xml:space="preserve">2170585543                    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6.88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  <c r="BG3561" s="2">
        <v>0</v>
      </c>
      <c r="BH3561" s="2">
        <v>1</v>
      </c>
      <c r="BI3561" s="2">
        <v>4.5999999999999996</v>
      </c>
      <c r="BJ3561" s="2">
        <v>2.2000000000000002</v>
      </c>
      <c r="BK3561" s="2">
        <v>5</v>
      </c>
      <c r="BL3561" s="2">
        <v>76.23</v>
      </c>
      <c r="BM3561" s="2">
        <v>10.67</v>
      </c>
      <c r="BN3561" s="2">
        <v>86.9</v>
      </c>
      <c r="BO3561" s="2">
        <v>86.9</v>
      </c>
      <c r="BP3561" s="2"/>
      <c r="BQ3561" s="2" t="s">
        <v>83</v>
      </c>
      <c r="BR3561" s="2" t="s">
        <v>84</v>
      </c>
      <c r="BS3561" s="3">
        <v>42977</v>
      </c>
      <c r="BT3561" s="4">
        <v>0.44513888888888892</v>
      </c>
      <c r="BU3561" s="2" t="s">
        <v>3568</v>
      </c>
      <c r="BV3561" s="2" t="s">
        <v>95</v>
      </c>
      <c r="BW3561" s="2"/>
      <c r="BX3561" s="2"/>
      <c r="BY3561" s="2">
        <v>10850.83</v>
      </c>
      <c r="BZ3561" s="2"/>
      <c r="CA3561" s="2" t="s">
        <v>951</v>
      </c>
      <c r="CB3561" s="2"/>
      <c r="CC3561" s="2" t="s">
        <v>307</v>
      </c>
      <c r="CD3561" s="2">
        <v>1961</v>
      </c>
      <c r="CE3561" s="2" t="s">
        <v>948</v>
      </c>
      <c r="CF3561" s="5">
        <v>42978</v>
      </c>
      <c r="CG3561" s="2"/>
      <c r="CH3561" s="2"/>
      <c r="CI3561" s="2">
        <v>1</v>
      </c>
      <c r="CJ3561" s="2">
        <v>1</v>
      </c>
      <c r="CK3561" s="2" t="s">
        <v>143</v>
      </c>
      <c r="CL3561" s="2" t="s">
        <v>86</v>
      </c>
      <c r="CM3561" s="2"/>
    </row>
    <row r="3562" spans="1:91">
      <c r="A3562" s="2" t="s">
        <v>71</v>
      </c>
      <c r="B3562" s="2" t="s">
        <v>72</v>
      </c>
      <c r="C3562" s="2" t="s">
        <v>73</v>
      </c>
      <c r="D3562" s="2"/>
      <c r="E3562" s="2" t="str">
        <f>"FES1162571882"</f>
        <v>FES1162571882</v>
      </c>
      <c r="F3562" s="3">
        <v>42976</v>
      </c>
      <c r="G3562" s="2">
        <v>201802</v>
      </c>
      <c r="H3562" s="2" t="s">
        <v>74</v>
      </c>
      <c r="I3562" s="2" t="s">
        <v>75</v>
      </c>
      <c r="J3562" s="2" t="s">
        <v>76</v>
      </c>
      <c r="K3562" s="2" t="s">
        <v>77</v>
      </c>
      <c r="L3562" s="2" t="s">
        <v>632</v>
      </c>
      <c r="M3562" s="2" t="s">
        <v>269</v>
      </c>
      <c r="N3562" s="2" t="s">
        <v>1233</v>
      </c>
      <c r="O3562" s="2" t="s">
        <v>81</v>
      </c>
      <c r="P3562" s="2" t="str">
        <f>"2170587530                    "</f>
        <v xml:space="preserve">2170587530                    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7.52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  <c r="BG3562" s="2">
        <v>0</v>
      </c>
      <c r="BH3562" s="2">
        <v>1</v>
      </c>
      <c r="BI3562" s="2">
        <v>9</v>
      </c>
      <c r="BJ3562" s="2">
        <v>17.7</v>
      </c>
      <c r="BK3562" s="2">
        <v>18</v>
      </c>
      <c r="BL3562" s="2">
        <v>82.84</v>
      </c>
      <c r="BM3562" s="2">
        <v>11.6</v>
      </c>
      <c r="BN3562" s="2">
        <v>94.44</v>
      </c>
      <c r="BO3562" s="2">
        <v>94.44</v>
      </c>
      <c r="BP3562" s="2"/>
      <c r="BQ3562" s="2" t="s">
        <v>3569</v>
      </c>
      <c r="BR3562" s="2" t="s">
        <v>84</v>
      </c>
      <c r="BS3562" s="3">
        <v>42977</v>
      </c>
      <c r="BT3562" s="4">
        <v>0.4375</v>
      </c>
      <c r="BU3562" s="2" t="s">
        <v>3475</v>
      </c>
      <c r="BV3562" s="2"/>
      <c r="BW3562" s="2"/>
      <c r="BX3562" s="2"/>
      <c r="BY3562" s="2">
        <v>88571.49</v>
      </c>
      <c r="BZ3562" s="2"/>
      <c r="CA3562" s="2" t="s">
        <v>3476</v>
      </c>
      <c r="CB3562" s="2"/>
      <c r="CC3562" s="2" t="s">
        <v>269</v>
      </c>
      <c r="CD3562" s="2">
        <v>40</v>
      </c>
      <c r="CE3562" s="2" t="s">
        <v>89</v>
      </c>
      <c r="CF3562" s="5">
        <v>42978</v>
      </c>
      <c r="CG3562" s="2"/>
      <c r="CH3562" s="2"/>
      <c r="CI3562" s="2">
        <v>0</v>
      </c>
      <c r="CJ3562" s="2">
        <v>0</v>
      </c>
      <c r="CK3562" s="2" t="s">
        <v>143</v>
      </c>
      <c r="CL3562" s="2" t="s">
        <v>86</v>
      </c>
      <c r="CM3562" s="2"/>
    </row>
    <row r="3563" spans="1:91">
      <c r="A3563" s="2" t="s">
        <v>71</v>
      </c>
      <c r="B3563" s="2" t="s">
        <v>72</v>
      </c>
      <c r="C3563" s="2" t="s">
        <v>73</v>
      </c>
      <c r="D3563" s="2"/>
      <c r="E3563" s="2" t="str">
        <f>"FES1162572066"</f>
        <v>FES1162572066</v>
      </c>
      <c r="F3563" s="3">
        <v>42976</v>
      </c>
      <c r="G3563" s="2">
        <v>201802</v>
      </c>
      <c r="H3563" s="2" t="s">
        <v>74</v>
      </c>
      <c r="I3563" s="2" t="s">
        <v>75</v>
      </c>
      <c r="J3563" s="2" t="s">
        <v>76</v>
      </c>
      <c r="K3563" s="2" t="s">
        <v>77</v>
      </c>
      <c r="L3563" s="2" t="s">
        <v>170</v>
      </c>
      <c r="M3563" s="2" t="s">
        <v>171</v>
      </c>
      <c r="N3563" s="2" t="s">
        <v>821</v>
      </c>
      <c r="O3563" s="2" t="s">
        <v>81</v>
      </c>
      <c r="P3563" s="2" t="str">
        <f>"2170587307                    "</f>
        <v xml:space="preserve">2170587307                    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7.13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0</v>
      </c>
      <c r="BE3563" s="2">
        <v>0</v>
      </c>
      <c r="BF3563" s="2">
        <v>0</v>
      </c>
      <c r="BG3563" s="2">
        <v>0</v>
      </c>
      <c r="BH3563" s="2">
        <v>1</v>
      </c>
      <c r="BI3563" s="2">
        <v>23</v>
      </c>
      <c r="BJ3563" s="2">
        <v>8.9</v>
      </c>
      <c r="BK3563" s="2">
        <v>23</v>
      </c>
      <c r="BL3563" s="2">
        <v>78.86</v>
      </c>
      <c r="BM3563" s="2">
        <v>11.04</v>
      </c>
      <c r="BN3563" s="2">
        <v>89.9</v>
      </c>
      <c r="BO3563" s="2">
        <v>89.9</v>
      </c>
      <c r="BP3563" s="2"/>
      <c r="BQ3563" s="2" t="s">
        <v>1216</v>
      </c>
      <c r="BR3563" s="2" t="s">
        <v>84</v>
      </c>
      <c r="BS3563" s="3">
        <v>42978</v>
      </c>
      <c r="BT3563" s="4">
        <v>0.45763888888888887</v>
      </c>
      <c r="BU3563" s="2" t="s">
        <v>3570</v>
      </c>
      <c r="BV3563" s="2" t="s">
        <v>86</v>
      </c>
      <c r="BW3563" s="2" t="s">
        <v>1007</v>
      </c>
      <c r="BX3563" s="2" t="s">
        <v>1113</v>
      </c>
      <c r="BY3563" s="2">
        <v>44387.85</v>
      </c>
      <c r="BZ3563" s="2"/>
      <c r="CA3563" s="2"/>
      <c r="CB3563" s="2"/>
      <c r="CC3563" s="2" t="s">
        <v>171</v>
      </c>
      <c r="CD3563" s="2">
        <v>1422</v>
      </c>
      <c r="CE3563" s="2" t="s">
        <v>89</v>
      </c>
      <c r="CF3563" s="2"/>
      <c r="CG3563" s="2"/>
      <c r="CH3563" s="2"/>
      <c r="CI3563" s="2">
        <v>1</v>
      </c>
      <c r="CJ3563" s="2">
        <v>2</v>
      </c>
      <c r="CK3563" s="2" t="s">
        <v>132</v>
      </c>
      <c r="CL3563" s="2" t="s">
        <v>86</v>
      </c>
      <c r="CM3563" s="2"/>
    </row>
    <row r="3564" spans="1:91">
      <c r="A3564" s="2" t="s">
        <v>71</v>
      </c>
      <c r="B3564" s="2" t="s">
        <v>72</v>
      </c>
      <c r="C3564" s="2" t="s">
        <v>73</v>
      </c>
      <c r="D3564" s="2"/>
      <c r="E3564" s="2" t="str">
        <f>"FES1162572070"</f>
        <v>FES1162572070</v>
      </c>
      <c r="F3564" s="3">
        <v>42976</v>
      </c>
      <c r="G3564" s="2">
        <v>201802</v>
      </c>
      <c r="H3564" s="2" t="s">
        <v>74</v>
      </c>
      <c r="I3564" s="2" t="s">
        <v>75</v>
      </c>
      <c r="J3564" s="2" t="s">
        <v>76</v>
      </c>
      <c r="K3564" s="2" t="s">
        <v>77</v>
      </c>
      <c r="L3564" s="2" t="s">
        <v>244</v>
      </c>
      <c r="M3564" s="2" t="s">
        <v>245</v>
      </c>
      <c r="N3564" s="2" t="s">
        <v>918</v>
      </c>
      <c r="O3564" s="2" t="s">
        <v>81</v>
      </c>
      <c r="P3564" s="2" t="str">
        <f>"2170580582                    "</f>
        <v xml:space="preserve">2170580582                    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9.1999999999999993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0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  <c r="BG3564" s="2">
        <v>0</v>
      </c>
      <c r="BH3564" s="2">
        <v>1</v>
      </c>
      <c r="BI3564" s="2">
        <v>34</v>
      </c>
      <c r="BJ3564" s="2">
        <v>14.9</v>
      </c>
      <c r="BK3564" s="2">
        <v>34</v>
      </c>
      <c r="BL3564" s="2">
        <v>100.29</v>
      </c>
      <c r="BM3564" s="2">
        <v>14.04</v>
      </c>
      <c r="BN3564" s="2">
        <v>114.33</v>
      </c>
      <c r="BO3564" s="2">
        <v>114.33</v>
      </c>
      <c r="BP3564" s="2"/>
      <c r="BQ3564" s="2" t="s">
        <v>288</v>
      </c>
      <c r="BR3564" s="2" t="s">
        <v>84</v>
      </c>
      <c r="BS3564" s="3">
        <v>42978</v>
      </c>
      <c r="BT3564" s="4">
        <v>0.5444444444444444</v>
      </c>
      <c r="BU3564" s="2" t="s">
        <v>3571</v>
      </c>
      <c r="BV3564" s="2" t="s">
        <v>86</v>
      </c>
      <c r="BW3564" s="2" t="s">
        <v>124</v>
      </c>
      <c r="BX3564" s="2" t="s">
        <v>1008</v>
      </c>
      <c r="BY3564" s="2">
        <v>74646</v>
      </c>
      <c r="BZ3564" s="2"/>
      <c r="CA3564" s="2" t="s">
        <v>795</v>
      </c>
      <c r="CB3564" s="2"/>
      <c r="CC3564" s="2" t="s">
        <v>245</v>
      </c>
      <c r="CD3564" s="2">
        <v>1459</v>
      </c>
      <c r="CE3564" s="2" t="s">
        <v>135</v>
      </c>
      <c r="CF3564" s="5">
        <v>42978</v>
      </c>
      <c r="CG3564" s="2"/>
      <c r="CH3564" s="2"/>
      <c r="CI3564" s="2">
        <v>1</v>
      </c>
      <c r="CJ3564" s="2">
        <v>2</v>
      </c>
      <c r="CK3564" s="2" t="s">
        <v>132</v>
      </c>
      <c r="CL3564" s="2" t="s">
        <v>86</v>
      </c>
      <c r="CM3564" s="2"/>
    </row>
    <row r="3565" spans="1:91">
      <c r="A3565" s="2" t="s">
        <v>71</v>
      </c>
      <c r="B3565" s="2" t="s">
        <v>72</v>
      </c>
      <c r="C3565" s="2" t="s">
        <v>73</v>
      </c>
      <c r="D3565" s="2"/>
      <c r="E3565" s="2" t="str">
        <f>"FES1162572055"</f>
        <v>FES1162572055</v>
      </c>
      <c r="F3565" s="3">
        <v>42976</v>
      </c>
      <c r="G3565" s="2">
        <v>201802</v>
      </c>
      <c r="H3565" s="2" t="s">
        <v>74</v>
      </c>
      <c r="I3565" s="2" t="s">
        <v>75</v>
      </c>
      <c r="J3565" s="2" t="s">
        <v>76</v>
      </c>
      <c r="K3565" s="2" t="s">
        <v>77</v>
      </c>
      <c r="L3565" s="2" t="s">
        <v>362</v>
      </c>
      <c r="M3565" s="2" t="s">
        <v>363</v>
      </c>
      <c r="N3565" s="2" t="s">
        <v>1344</v>
      </c>
      <c r="O3565" s="2" t="s">
        <v>81</v>
      </c>
      <c r="P3565" s="2" t="str">
        <f>"2170583656                    "</f>
        <v xml:space="preserve">2170583656                    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79.62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  <c r="BG3565" s="2">
        <v>0</v>
      </c>
      <c r="BH3565" s="2">
        <v>1</v>
      </c>
      <c r="BI3565" s="2">
        <v>109</v>
      </c>
      <c r="BJ3565" s="2">
        <v>235</v>
      </c>
      <c r="BK3565" s="2">
        <v>235</v>
      </c>
      <c r="BL3565" s="2">
        <v>829.47</v>
      </c>
      <c r="BM3565" s="2">
        <v>116.13</v>
      </c>
      <c r="BN3565" s="2">
        <v>945.6</v>
      </c>
      <c r="BO3565" s="2">
        <v>945.6</v>
      </c>
      <c r="BP3565" s="2" t="s">
        <v>3572</v>
      </c>
      <c r="BQ3565" s="2" t="s">
        <v>1345</v>
      </c>
      <c r="BR3565" s="2" t="s">
        <v>84</v>
      </c>
      <c r="BS3565" s="3">
        <v>42977</v>
      </c>
      <c r="BT3565" s="4">
        <v>0.44375000000000003</v>
      </c>
      <c r="BU3565" s="2" t="s">
        <v>3573</v>
      </c>
      <c r="BV3565" s="2" t="s">
        <v>95</v>
      </c>
      <c r="BW3565" s="2"/>
      <c r="BX3565" s="2"/>
      <c r="BY3565" s="2">
        <v>1174824</v>
      </c>
      <c r="BZ3565" s="2"/>
      <c r="CA3565" s="2" t="s">
        <v>3574</v>
      </c>
      <c r="CB3565" s="2"/>
      <c r="CC3565" s="2" t="s">
        <v>363</v>
      </c>
      <c r="CD3565" s="2">
        <v>3201</v>
      </c>
      <c r="CE3565" s="2" t="s">
        <v>3575</v>
      </c>
      <c r="CF3565" s="5">
        <v>42978</v>
      </c>
      <c r="CG3565" s="2"/>
      <c r="CH3565" s="2"/>
      <c r="CI3565" s="2">
        <v>1</v>
      </c>
      <c r="CJ3565" s="2">
        <v>1</v>
      </c>
      <c r="CK3565" s="2" t="s">
        <v>624</v>
      </c>
      <c r="CL3565" s="2" t="s">
        <v>86</v>
      </c>
      <c r="CM3565" s="2"/>
    </row>
    <row r="3566" spans="1:91">
      <c r="A3566" s="2" t="s">
        <v>71</v>
      </c>
      <c r="B3566" s="2" t="s">
        <v>72</v>
      </c>
      <c r="C3566" s="2" t="s">
        <v>73</v>
      </c>
      <c r="D3566" s="2"/>
      <c r="E3566" s="2" t="str">
        <f>"FES1162572002"</f>
        <v>FES1162572002</v>
      </c>
      <c r="F3566" s="3">
        <v>42976</v>
      </c>
      <c r="G3566" s="2">
        <v>201802</v>
      </c>
      <c r="H3566" s="2" t="s">
        <v>74</v>
      </c>
      <c r="I3566" s="2" t="s">
        <v>75</v>
      </c>
      <c r="J3566" s="2" t="s">
        <v>76</v>
      </c>
      <c r="K3566" s="2" t="s">
        <v>77</v>
      </c>
      <c r="L3566" s="2" t="s">
        <v>632</v>
      </c>
      <c r="M3566" s="2" t="s">
        <v>269</v>
      </c>
      <c r="N3566" s="2" t="s">
        <v>3506</v>
      </c>
      <c r="O3566" s="2" t="s">
        <v>81</v>
      </c>
      <c r="P3566" s="2" t="str">
        <f>"2170587655                    "</f>
        <v xml:space="preserve">2170587655                    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6.88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0</v>
      </c>
      <c r="BF3566" s="2">
        <v>0</v>
      </c>
      <c r="BG3566" s="2">
        <v>0</v>
      </c>
      <c r="BH3566" s="2">
        <v>1</v>
      </c>
      <c r="BI3566" s="2">
        <v>10</v>
      </c>
      <c r="BJ3566" s="2">
        <v>3.2</v>
      </c>
      <c r="BK3566" s="2">
        <v>10</v>
      </c>
      <c r="BL3566" s="2">
        <v>76.23</v>
      </c>
      <c r="BM3566" s="2">
        <v>10.67</v>
      </c>
      <c r="BN3566" s="2">
        <v>86.9</v>
      </c>
      <c r="BO3566" s="2">
        <v>86.9</v>
      </c>
      <c r="BP3566" s="2"/>
      <c r="BQ3566" s="2"/>
      <c r="BR3566" s="2" t="s">
        <v>84</v>
      </c>
      <c r="BS3566" s="3">
        <v>42977</v>
      </c>
      <c r="BT3566" s="4">
        <v>0.45833333333333331</v>
      </c>
      <c r="BU3566" s="2" t="s">
        <v>3507</v>
      </c>
      <c r="BV3566" s="2"/>
      <c r="BW3566" s="2"/>
      <c r="BX3566" s="2"/>
      <c r="BY3566" s="2">
        <v>15890.55</v>
      </c>
      <c r="BZ3566" s="2"/>
      <c r="CA3566" s="2" t="s">
        <v>638</v>
      </c>
      <c r="CB3566" s="2"/>
      <c r="CC3566" s="2" t="s">
        <v>269</v>
      </c>
      <c r="CD3566" s="2">
        <v>184</v>
      </c>
      <c r="CE3566" s="2" t="s">
        <v>89</v>
      </c>
      <c r="CF3566" s="5">
        <v>42978</v>
      </c>
      <c r="CG3566" s="2"/>
      <c r="CH3566" s="2"/>
      <c r="CI3566" s="2">
        <v>0</v>
      </c>
      <c r="CJ3566" s="2">
        <v>0</v>
      </c>
      <c r="CK3566" s="2" t="s">
        <v>143</v>
      </c>
      <c r="CL3566" s="2" t="s">
        <v>86</v>
      </c>
      <c r="CM3566" s="2"/>
    </row>
    <row r="3567" spans="1:91">
      <c r="A3567" s="2" t="s">
        <v>71</v>
      </c>
      <c r="B3567" s="2" t="s">
        <v>72</v>
      </c>
      <c r="C3567" s="2" t="s">
        <v>73</v>
      </c>
      <c r="D3567" s="2"/>
      <c r="E3567" s="2" t="str">
        <f>"FES1162572021"</f>
        <v>FES1162572021</v>
      </c>
      <c r="F3567" s="3">
        <v>42976</v>
      </c>
      <c r="G3567" s="2">
        <v>201802</v>
      </c>
      <c r="H3567" s="2" t="s">
        <v>74</v>
      </c>
      <c r="I3567" s="2" t="s">
        <v>75</v>
      </c>
      <c r="J3567" s="2" t="s">
        <v>76</v>
      </c>
      <c r="K3567" s="2" t="s">
        <v>77</v>
      </c>
      <c r="L3567" s="2" t="s">
        <v>97</v>
      </c>
      <c r="M3567" s="2" t="s">
        <v>98</v>
      </c>
      <c r="N3567" s="2" t="s">
        <v>248</v>
      </c>
      <c r="O3567" s="2" t="s">
        <v>81</v>
      </c>
      <c r="P3567" s="2" t="str">
        <f>"2170583517                    "</f>
        <v xml:space="preserve">2170583517                    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17.309999999999999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1</v>
      </c>
      <c r="BI3567" s="2">
        <v>41</v>
      </c>
      <c r="BJ3567" s="2">
        <v>18.2</v>
      </c>
      <c r="BK3567" s="2">
        <v>41</v>
      </c>
      <c r="BL3567" s="2">
        <v>184.23</v>
      </c>
      <c r="BM3567" s="2">
        <v>25.79</v>
      </c>
      <c r="BN3567" s="2">
        <v>210.02</v>
      </c>
      <c r="BO3567" s="2">
        <v>210.02</v>
      </c>
      <c r="BP3567" s="2"/>
      <c r="BQ3567" s="2" t="s">
        <v>83</v>
      </c>
      <c r="BR3567" s="2" t="s">
        <v>84</v>
      </c>
      <c r="BS3567" s="3">
        <v>42978</v>
      </c>
      <c r="BT3567" s="4">
        <v>0.39930555555555558</v>
      </c>
      <c r="BU3567" s="2" t="s">
        <v>1208</v>
      </c>
      <c r="BV3567" s="2" t="s">
        <v>95</v>
      </c>
      <c r="BW3567" s="2"/>
      <c r="BX3567" s="2"/>
      <c r="BY3567" s="2">
        <v>91200</v>
      </c>
      <c r="BZ3567" s="2"/>
      <c r="CA3567" s="2" t="s">
        <v>134</v>
      </c>
      <c r="CB3567" s="2"/>
      <c r="CC3567" s="2" t="s">
        <v>98</v>
      </c>
      <c r="CD3567" s="2">
        <v>6001</v>
      </c>
      <c r="CE3567" s="2" t="s">
        <v>3575</v>
      </c>
      <c r="CF3567" s="5">
        <v>42978</v>
      </c>
      <c r="CG3567" s="2"/>
      <c r="CH3567" s="2"/>
      <c r="CI3567" s="2">
        <v>2</v>
      </c>
      <c r="CJ3567" s="2">
        <v>2</v>
      </c>
      <c r="CK3567" s="2" t="s">
        <v>136</v>
      </c>
      <c r="CL3567" s="2" t="s">
        <v>86</v>
      </c>
      <c r="CM3567" s="2"/>
    </row>
    <row r="3568" spans="1:91">
      <c r="A3568" s="2" t="s">
        <v>71</v>
      </c>
      <c r="B3568" s="2" t="s">
        <v>72</v>
      </c>
      <c r="C3568" s="2" t="s">
        <v>73</v>
      </c>
      <c r="D3568" s="2"/>
      <c r="E3568" s="2" t="str">
        <f>"FES1162571968"</f>
        <v>FES1162571968</v>
      </c>
      <c r="F3568" s="3">
        <v>42976</v>
      </c>
      <c r="G3568" s="2">
        <v>201802</v>
      </c>
      <c r="H3568" s="2" t="s">
        <v>74</v>
      </c>
      <c r="I3568" s="2" t="s">
        <v>75</v>
      </c>
      <c r="J3568" s="2" t="s">
        <v>76</v>
      </c>
      <c r="K3568" s="2" t="s">
        <v>77</v>
      </c>
      <c r="L3568" s="2" t="s">
        <v>170</v>
      </c>
      <c r="M3568" s="2" t="s">
        <v>171</v>
      </c>
      <c r="N3568" s="2" t="s">
        <v>3576</v>
      </c>
      <c r="O3568" s="2" t="s">
        <v>81</v>
      </c>
      <c r="P3568" s="2" t="str">
        <f>"2170587609                    "</f>
        <v xml:space="preserve">2170587609                    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5.63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1</v>
      </c>
      <c r="BI3568" s="2">
        <v>11.3</v>
      </c>
      <c r="BJ3568" s="2">
        <v>5.0999999999999996</v>
      </c>
      <c r="BK3568" s="2">
        <v>12</v>
      </c>
      <c r="BL3568" s="2">
        <v>63.28</v>
      </c>
      <c r="BM3568" s="2">
        <v>8.86</v>
      </c>
      <c r="BN3568" s="2">
        <v>72.14</v>
      </c>
      <c r="BO3568" s="2">
        <v>72.14</v>
      </c>
      <c r="BP3568" s="2"/>
      <c r="BQ3568" s="2" t="s">
        <v>3577</v>
      </c>
      <c r="BR3568" s="2" t="s">
        <v>84</v>
      </c>
      <c r="BS3568" s="3">
        <v>42977</v>
      </c>
      <c r="BT3568" s="4">
        <v>0.57708333333333328</v>
      </c>
      <c r="BU3568" s="2" t="s">
        <v>3578</v>
      </c>
      <c r="BV3568" s="2" t="s">
        <v>95</v>
      </c>
      <c r="BW3568" s="2"/>
      <c r="BX3568" s="2"/>
      <c r="BY3568" s="2">
        <v>25742.69</v>
      </c>
      <c r="BZ3568" s="2"/>
      <c r="CA3568" s="2" t="s">
        <v>3579</v>
      </c>
      <c r="CB3568" s="2"/>
      <c r="CC3568" s="2" t="s">
        <v>171</v>
      </c>
      <c r="CD3568" s="2">
        <v>1401</v>
      </c>
      <c r="CE3568" s="2" t="s">
        <v>1623</v>
      </c>
      <c r="CF3568" s="5">
        <v>42978</v>
      </c>
      <c r="CG3568" s="2"/>
      <c r="CH3568" s="2"/>
      <c r="CI3568" s="2">
        <v>1</v>
      </c>
      <c r="CJ3568" s="2">
        <v>1</v>
      </c>
      <c r="CK3568" s="2" t="s">
        <v>132</v>
      </c>
      <c r="CL3568" s="2" t="s">
        <v>86</v>
      </c>
      <c r="CM3568" s="2"/>
    </row>
    <row r="3569" spans="1:91">
      <c r="A3569" s="2" t="s">
        <v>71</v>
      </c>
      <c r="B3569" s="2" t="s">
        <v>72</v>
      </c>
      <c r="C3569" s="2" t="s">
        <v>73</v>
      </c>
      <c r="D3569" s="2"/>
      <c r="E3569" s="2" t="str">
        <f>"FES1162572042"</f>
        <v>FES1162572042</v>
      </c>
      <c r="F3569" s="3">
        <v>42976</v>
      </c>
      <c r="G3569" s="2">
        <v>201802</v>
      </c>
      <c r="H3569" s="2" t="s">
        <v>74</v>
      </c>
      <c r="I3569" s="2" t="s">
        <v>75</v>
      </c>
      <c r="J3569" s="2" t="s">
        <v>76</v>
      </c>
      <c r="K3569" s="2" t="s">
        <v>77</v>
      </c>
      <c r="L3569" s="2" t="s">
        <v>174</v>
      </c>
      <c r="M3569" s="2" t="s">
        <v>175</v>
      </c>
      <c r="N3569" s="2" t="s">
        <v>2492</v>
      </c>
      <c r="O3569" s="2" t="s">
        <v>100</v>
      </c>
      <c r="P3569" s="2" t="str">
        <f>"2170587666                    "</f>
        <v xml:space="preserve">2170587666                    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35.020000000000003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  <c r="BG3569" s="2">
        <v>0</v>
      </c>
      <c r="BH3569" s="2">
        <v>1</v>
      </c>
      <c r="BI3569" s="2">
        <v>7.7</v>
      </c>
      <c r="BJ3569" s="2">
        <v>17.3</v>
      </c>
      <c r="BK3569" s="2">
        <v>17.5</v>
      </c>
      <c r="BL3569" s="2">
        <v>362.62</v>
      </c>
      <c r="BM3569" s="2">
        <v>50.77</v>
      </c>
      <c r="BN3569" s="2">
        <v>413.39</v>
      </c>
      <c r="BO3569" s="2">
        <v>413.39</v>
      </c>
      <c r="BP3569" s="2"/>
      <c r="BQ3569" s="2" t="s">
        <v>209</v>
      </c>
      <c r="BR3569" s="2" t="s">
        <v>84</v>
      </c>
      <c r="BS3569" s="3">
        <v>42977</v>
      </c>
      <c r="BT3569" s="4">
        <v>0.40277777777777773</v>
      </c>
      <c r="BU3569" s="2" t="s">
        <v>2493</v>
      </c>
      <c r="BV3569" s="2" t="s">
        <v>95</v>
      </c>
      <c r="BW3569" s="2"/>
      <c r="BX3569" s="2"/>
      <c r="BY3569" s="2">
        <v>86653.41</v>
      </c>
      <c r="BZ3569" s="2"/>
      <c r="CA3569" s="2" t="s">
        <v>1420</v>
      </c>
      <c r="CB3569" s="2"/>
      <c r="CC3569" s="2" t="s">
        <v>175</v>
      </c>
      <c r="CD3569" s="2">
        <v>5201</v>
      </c>
      <c r="CE3569" s="2" t="s">
        <v>89</v>
      </c>
      <c r="CF3569" s="5">
        <v>42978</v>
      </c>
      <c r="CG3569" s="2"/>
      <c r="CH3569" s="2"/>
      <c r="CI3569" s="2">
        <v>1</v>
      </c>
      <c r="CJ3569" s="2">
        <v>1</v>
      </c>
      <c r="CK3569" s="2">
        <v>21</v>
      </c>
      <c r="CL3569" s="2" t="s">
        <v>86</v>
      </c>
      <c r="CM3569" s="2"/>
    </row>
    <row r="3570" spans="1:91">
      <c r="A3570" s="2" t="s">
        <v>71</v>
      </c>
      <c r="B3570" s="2" t="s">
        <v>72</v>
      </c>
      <c r="C3570" s="2" t="s">
        <v>73</v>
      </c>
      <c r="D3570" s="2"/>
      <c r="E3570" s="2" t="str">
        <f>"FES1162572443"</f>
        <v>FES1162572443</v>
      </c>
      <c r="F3570" s="3">
        <v>42977</v>
      </c>
      <c r="G3570" s="2">
        <v>201802</v>
      </c>
      <c r="H3570" s="2" t="s">
        <v>74</v>
      </c>
      <c r="I3570" s="2" t="s">
        <v>75</v>
      </c>
      <c r="J3570" s="2" t="s">
        <v>76</v>
      </c>
      <c r="K3570" s="2" t="s">
        <v>77</v>
      </c>
      <c r="L3570" s="2" t="s">
        <v>510</v>
      </c>
      <c r="M3570" s="2" t="s">
        <v>511</v>
      </c>
      <c r="N3570" s="2" t="s">
        <v>1504</v>
      </c>
      <c r="O3570" s="2" t="s">
        <v>81</v>
      </c>
      <c r="P3570" s="2" t="str">
        <f>"2170587973                    "</f>
        <v xml:space="preserve">2170587973                    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8.19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1</v>
      </c>
      <c r="BI3570" s="2">
        <v>2.7</v>
      </c>
      <c r="BJ3570" s="2">
        <v>1.9</v>
      </c>
      <c r="BK3570" s="2">
        <v>3</v>
      </c>
      <c r="BL3570" s="2">
        <v>89.83</v>
      </c>
      <c r="BM3570" s="2">
        <v>12.58</v>
      </c>
      <c r="BN3570" s="2">
        <v>102.41</v>
      </c>
      <c r="BO3570" s="2">
        <v>102.41</v>
      </c>
      <c r="BP3570" s="2" t="s">
        <v>82</v>
      </c>
      <c r="BQ3570" s="2" t="s">
        <v>108</v>
      </c>
      <c r="BR3570" s="2" t="s">
        <v>84</v>
      </c>
      <c r="BS3570" s="3">
        <v>42978</v>
      </c>
      <c r="BT3570" s="4">
        <v>0.33333333333333331</v>
      </c>
      <c r="BU3570" s="2" t="s">
        <v>1605</v>
      </c>
      <c r="BV3570" s="2" t="s">
        <v>95</v>
      </c>
      <c r="BW3570" s="2"/>
      <c r="BX3570" s="2"/>
      <c r="BY3570" s="2">
        <v>9583.84</v>
      </c>
      <c r="BZ3570" s="2"/>
      <c r="CA3570" s="2" t="s">
        <v>2705</v>
      </c>
      <c r="CB3570" s="2"/>
      <c r="CC3570" s="2" t="s">
        <v>511</v>
      </c>
      <c r="CD3570" s="2">
        <v>6230</v>
      </c>
      <c r="CE3570" s="2" t="s">
        <v>135</v>
      </c>
      <c r="CF3570" s="5">
        <v>42978</v>
      </c>
      <c r="CG3570" s="2"/>
      <c r="CH3570" s="2"/>
      <c r="CI3570" s="2">
        <v>2</v>
      </c>
      <c r="CJ3570" s="2">
        <v>1</v>
      </c>
      <c r="CK3570" s="2" t="s">
        <v>136</v>
      </c>
      <c r="CL3570" s="2" t="s">
        <v>86</v>
      </c>
      <c r="CM3570" s="2"/>
    </row>
    <row r="3571" spans="1:91">
      <c r="A3571" s="2" t="s">
        <v>71</v>
      </c>
      <c r="B3571" s="2" t="s">
        <v>72</v>
      </c>
      <c r="C3571" s="2" t="s">
        <v>73</v>
      </c>
      <c r="D3571" s="2"/>
      <c r="E3571" s="2" t="str">
        <f>"080001723796"</f>
        <v>080001723796</v>
      </c>
      <c r="F3571" s="3">
        <v>42977</v>
      </c>
      <c r="G3571" s="2">
        <v>201802</v>
      </c>
      <c r="H3571" s="2" t="s">
        <v>78</v>
      </c>
      <c r="I3571" s="2" t="s">
        <v>79</v>
      </c>
      <c r="J3571" s="2" t="s">
        <v>3580</v>
      </c>
      <c r="K3571" s="2" t="s">
        <v>77</v>
      </c>
      <c r="L3571" s="2" t="s">
        <v>74</v>
      </c>
      <c r="M3571" s="2" t="s">
        <v>75</v>
      </c>
      <c r="N3571" s="2" t="s">
        <v>118</v>
      </c>
      <c r="O3571" s="2" t="s">
        <v>81</v>
      </c>
      <c r="P3571" s="2" t="str">
        <f>"ZA1000661114                  "</f>
        <v xml:space="preserve">ZA1000661114                  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33.6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0</v>
      </c>
      <c r="BH3571" s="2">
        <v>7</v>
      </c>
      <c r="BI3571" s="2">
        <v>110</v>
      </c>
      <c r="BJ3571" s="2">
        <v>89.5</v>
      </c>
      <c r="BK3571" s="2">
        <v>110</v>
      </c>
      <c r="BL3571" s="2">
        <v>352.95</v>
      </c>
      <c r="BM3571" s="2">
        <v>49.41</v>
      </c>
      <c r="BN3571" s="2">
        <v>402.36</v>
      </c>
      <c r="BO3571" s="2">
        <v>402.36</v>
      </c>
      <c r="BP3571" s="2" t="s">
        <v>3581</v>
      </c>
      <c r="BQ3571" s="2" t="s">
        <v>1053</v>
      </c>
      <c r="BR3571" s="2" t="s">
        <v>3582</v>
      </c>
      <c r="BS3571" s="3">
        <v>42978</v>
      </c>
      <c r="BT3571" s="4">
        <v>0.47569444444444442</v>
      </c>
      <c r="BU3571" s="2" t="s">
        <v>3583</v>
      </c>
      <c r="BV3571" s="2"/>
      <c r="BW3571" s="2"/>
      <c r="BX3571" s="2"/>
      <c r="BY3571" s="2">
        <v>447360</v>
      </c>
      <c r="BZ3571" s="2"/>
      <c r="CA3571" s="2" t="s">
        <v>3584</v>
      </c>
      <c r="CB3571" s="2"/>
      <c r="CC3571" s="2" t="s">
        <v>75</v>
      </c>
      <c r="CD3571" s="2">
        <v>1600</v>
      </c>
      <c r="CE3571" s="2" t="s">
        <v>89</v>
      </c>
      <c r="CF3571" s="2"/>
      <c r="CG3571" s="2"/>
      <c r="CH3571" s="2"/>
      <c r="CI3571" s="2">
        <v>1</v>
      </c>
      <c r="CJ3571" s="2">
        <v>1</v>
      </c>
      <c r="CK3571" s="2" t="s">
        <v>163</v>
      </c>
      <c r="CL3571" s="2" t="s">
        <v>86</v>
      </c>
      <c r="CM3571" s="2"/>
    </row>
    <row r="3572" spans="1:91">
      <c r="A3572" s="2" t="s">
        <v>71</v>
      </c>
      <c r="B3572" s="2" t="s">
        <v>72</v>
      </c>
      <c r="C3572" s="2" t="s">
        <v>73</v>
      </c>
      <c r="D3572" s="2"/>
      <c r="E3572" s="2" t="str">
        <f>"080001721897"</f>
        <v>080001721897</v>
      </c>
      <c r="F3572" s="3">
        <v>42976</v>
      </c>
      <c r="G3572" s="2">
        <v>201802</v>
      </c>
      <c r="H3572" s="2" t="s">
        <v>244</v>
      </c>
      <c r="I3572" s="2" t="s">
        <v>245</v>
      </c>
      <c r="J3572" s="2" t="s">
        <v>3585</v>
      </c>
      <c r="K3572" s="2" t="s">
        <v>77</v>
      </c>
      <c r="L3572" s="2" t="s">
        <v>74</v>
      </c>
      <c r="M3572" s="2" t="s">
        <v>75</v>
      </c>
      <c r="N3572" s="2" t="s">
        <v>118</v>
      </c>
      <c r="O3572" s="2" t="s">
        <v>81</v>
      </c>
      <c r="P3572" s="2" t="str">
        <f>"ZA1000661867                  "</f>
        <v xml:space="preserve">ZA1000661867                  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5.63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  <c r="BG3572" s="2">
        <v>0</v>
      </c>
      <c r="BH3572" s="2">
        <v>2</v>
      </c>
      <c r="BI3572" s="2">
        <v>5.2</v>
      </c>
      <c r="BJ3572" s="2">
        <v>5.8</v>
      </c>
      <c r="BK3572" s="2">
        <v>6</v>
      </c>
      <c r="BL3572" s="2">
        <v>63.28</v>
      </c>
      <c r="BM3572" s="2">
        <v>8.86</v>
      </c>
      <c r="BN3572" s="2">
        <v>72.14</v>
      </c>
      <c r="BO3572" s="2">
        <v>72.14</v>
      </c>
      <c r="BP3572" s="2" t="s">
        <v>2986</v>
      </c>
      <c r="BQ3572" s="2" t="s">
        <v>241</v>
      </c>
      <c r="BR3572" s="2" t="s">
        <v>502</v>
      </c>
      <c r="BS3572" s="3">
        <v>42978</v>
      </c>
      <c r="BT3572" s="4">
        <v>0.41666666666666669</v>
      </c>
      <c r="BU3572" s="2" t="s">
        <v>85</v>
      </c>
      <c r="BV3572" s="2" t="s">
        <v>95</v>
      </c>
      <c r="BW3572" s="2"/>
      <c r="BX3572" s="2"/>
      <c r="BY3572" s="2">
        <v>29066.42</v>
      </c>
      <c r="BZ3572" s="2"/>
      <c r="CA3572" s="2"/>
      <c r="CB3572" s="2"/>
      <c r="CC3572" s="2" t="s">
        <v>75</v>
      </c>
      <c r="CD3572" s="2">
        <v>1600</v>
      </c>
      <c r="CE3572" s="2" t="s">
        <v>89</v>
      </c>
      <c r="CF3572" s="2"/>
      <c r="CG3572" s="2"/>
      <c r="CH3572" s="2"/>
      <c r="CI3572" s="2">
        <v>1</v>
      </c>
      <c r="CJ3572" s="2">
        <v>1</v>
      </c>
      <c r="CK3572" s="2" t="s">
        <v>132</v>
      </c>
      <c r="CL3572" s="2" t="s">
        <v>86</v>
      </c>
      <c r="CM3572" s="2"/>
    </row>
    <row r="3573" spans="1:91">
      <c r="A3573" s="2" t="s">
        <v>71</v>
      </c>
      <c r="B3573" s="2" t="s">
        <v>72</v>
      </c>
      <c r="C3573" s="2" t="s">
        <v>73</v>
      </c>
      <c r="D3573" s="2"/>
      <c r="E3573" s="2" t="str">
        <f>"FES1162572195"</f>
        <v>FES1162572195</v>
      </c>
      <c r="F3573" s="3">
        <v>42977</v>
      </c>
      <c r="G3573" s="2">
        <v>201802</v>
      </c>
      <c r="H3573" s="2" t="s">
        <v>74</v>
      </c>
      <c r="I3573" s="2" t="s">
        <v>75</v>
      </c>
      <c r="J3573" s="2" t="s">
        <v>76</v>
      </c>
      <c r="K3573" s="2" t="s">
        <v>77</v>
      </c>
      <c r="L3573" s="2" t="s">
        <v>105</v>
      </c>
      <c r="M3573" s="2" t="s">
        <v>106</v>
      </c>
      <c r="N3573" s="2" t="s">
        <v>1395</v>
      </c>
      <c r="O3573" s="2" t="s">
        <v>100</v>
      </c>
      <c r="P3573" s="2" t="str">
        <f>"2170587750                    "</f>
        <v xml:space="preserve">2170587750                    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4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0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1</v>
      </c>
      <c r="BI3573" s="2">
        <v>1</v>
      </c>
      <c r="BJ3573" s="2">
        <v>0.2</v>
      </c>
      <c r="BK3573" s="2">
        <v>1</v>
      </c>
      <c r="BL3573" s="2">
        <v>41.44</v>
      </c>
      <c r="BM3573" s="2">
        <v>5.8</v>
      </c>
      <c r="BN3573" s="2">
        <v>47.24</v>
      </c>
      <c r="BO3573" s="2">
        <v>47.24</v>
      </c>
      <c r="BP3573" s="2"/>
      <c r="BQ3573" s="2"/>
      <c r="BR3573" s="2" t="s">
        <v>84</v>
      </c>
      <c r="BS3573" s="3">
        <v>42978</v>
      </c>
      <c r="BT3573" s="4">
        <v>0.47638888888888892</v>
      </c>
      <c r="BU3573" s="2" t="s">
        <v>2993</v>
      </c>
      <c r="BV3573" s="2" t="s">
        <v>86</v>
      </c>
      <c r="BW3573" s="2" t="s">
        <v>110</v>
      </c>
      <c r="BX3573" s="2" t="s">
        <v>1314</v>
      </c>
      <c r="BY3573" s="2">
        <v>1200</v>
      </c>
      <c r="BZ3573" s="2"/>
      <c r="CA3573" s="2" t="s">
        <v>1324</v>
      </c>
      <c r="CB3573" s="2"/>
      <c r="CC3573" s="2" t="s">
        <v>106</v>
      </c>
      <c r="CD3573" s="2">
        <v>7925</v>
      </c>
      <c r="CE3573" s="2" t="s">
        <v>104</v>
      </c>
      <c r="CF3573" s="5">
        <v>42978</v>
      </c>
      <c r="CG3573" s="2"/>
      <c r="CH3573" s="2"/>
      <c r="CI3573" s="2">
        <v>1</v>
      </c>
      <c r="CJ3573" s="2">
        <v>1</v>
      </c>
      <c r="CK3573" s="2">
        <v>21</v>
      </c>
      <c r="CL3573" s="2" t="s">
        <v>86</v>
      </c>
      <c r="CM3573" s="2"/>
    </row>
    <row r="3574" spans="1:91">
      <c r="A3574" s="2" t="s">
        <v>71</v>
      </c>
      <c r="B3574" s="2" t="s">
        <v>72</v>
      </c>
      <c r="C3574" s="2" t="s">
        <v>73</v>
      </c>
      <c r="D3574" s="2"/>
      <c r="E3574" s="2" t="str">
        <f>"FES1162572243"</f>
        <v>FES1162572243</v>
      </c>
      <c r="F3574" s="3">
        <v>42977</v>
      </c>
      <c r="G3574" s="2">
        <v>201802</v>
      </c>
      <c r="H3574" s="2" t="s">
        <v>74</v>
      </c>
      <c r="I3574" s="2" t="s">
        <v>75</v>
      </c>
      <c r="J3574" s="2" t="s">
        <v>76</v>
      </c>
      <c r="K3574" s="2" t="s">
        <v>77</v>
      </c>
      <c r="L3574" s="2" t="s">
        <v>105</v>
      </c>
      <c r="M3574" s="2" t="s">
        <v>106</v>
      </c>
      <c r="N3574" s="2" t="s">
        <v>253</v>
      </c>
      <c r="O3574" s="2" t="s">
        <v>100</v>
      </c>
      <c r="P3574" s="2" t="str">
        <f>"2170580173                    "</f>
        <v xml:space="preserve">2170580173                    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4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1</v>
      </c>
      <c r="BI3574" s="2">
        <v>1</v>
      </c>
      <c r="BJ3574" s="2">
        <v>0.2</v>
      </c>
      <c r="BK3574" s="2">
        <v>1</v>
      </c>
      <c r="BL3574" s="2">
        <v>41.44</v>
      </c>
      <c r="BM3574" s="2">
        <v>5.8</v>
      </c>
      <c r="BN3574" s="2">
        <v>47.24</v>
      </c>
      <c r="BO3574" s="2">
        <v>47.24</v>
      </c>
      <c r="BP3574" s="2"/>
      <c r="BQ3574" s="2" t="s">
        <v>108</v>
      </c>
      <c r="BR3574" s="2" t="s">
        <v>84</v>
      </c>
      <c r="BS3574" s="3">
        <v>42978</v>
      </c>
      <c r="BT3574" s="4">
        <v>0.36944444444444446</v>
      </c>
      <c r="BU3574" s="2" t="s">
        <v>1074</v>
      </c>
      <c r="BV3574" s="2" t="s">
        <v>95</v>
      </c>
      <c r="BW3574" s="2"/>
      <c r="BX3574" s="2"/>
      <c r="BY3574" s="2">
        <v>1200</v>
      </c>
      <c r="BZ3574" s="2"/>
      <c r="CA3574" s="2" t="s">
        <v>654</v>
      </c>
      <c r="CB3574" s="2"/>
      <c r="CC3574" s="2" t="s">
        <v>106</v>
      </c>
      <c r="CD3574" s="2">
        <v>7490</v>
      </c>
      <c r="CE3574" s="2" t="s">
        <v>104</v>
      </c>
      <c r="CF3574" s="5">
        <v>42978</v>
      </c>
      <c r="CG3574" s="2"/>
      <c r="CH3574" s="2"/>
      <c r="CI3574" s="2">
        <v>1</v>
      </c>
      <c r="CJ3574" s="2">
        <v>1</v>
      </c>
      <c r="CK3574" s="2">
        <v>21</v>
      </c>
      <c r="CL3574" s="2" t="s">
        <v>86</v>
      </c>
      <c r="CM3574" s="2"/>
    </row>
    <row r="3575" spans="1:91">
      <c r="A3575" s="2" t="s">
        <v>71</v>
      </c>
      <c r="B3575" s="2" t="s">
        <v>72</v>
      </c>
      <c r="C3575" s="2" t="s">
        <v>73</v>
      </c>
      <c r="D3575" s="2"/>
      <c r="E3575" s="2" t="str">
        <f>"FES1162572311"</f>
        <v>FES1162572311</v>
      </c>
      <c r="F3575" s="3">
        <v>42977</v>
      </c>
      <c r="G3575" s="2">
        <v>201802</v>
      </c>
      <c r="H3575" s="2" t="s">
        <v>74</v>
      </c>
      <c r="I3575" s="2" t="s">
        <v>75</v>
      </c>
      <c r="J3575" s="2" t="s">
        <v>76</v>
      </c>
      <c r="K3575" s="2" t="s">
        <v>77</v>
      </c>
      <c r="L3575" s="2" t="s">
        <v>105</v>
      </c>
      <c r="M3575" s="2" t="s">
        <v>106</v>
      </c>
      <c r="N3575" s="2" t="s">
        <v>641</v>
      </c>
      <c r="O3575" s="2" t="s">
        <v>100</v>
      </c>
      <c r="P3575" s="2" t="str">
        <f>"2170586423                    "</f>
        <v xml:space="preserve">2170586423                    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4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  <c r="BG3575" s="2">
        <v>0</v>
      </c>
      <c r="BH3575" s="2">
        <v>1</v>
      </c>
      <c r="BI3575" s="2">
        <v>1</v>
      </c>
      <c r="BJ3575" s="2">
        <v>0.2</v>
      </c>
      <c r="BK3575" s="2">
        <v>1</v>
      </c>
      <c r="BL3575" s="2">
        <v>41.44</v>
      </c>
      <c r="BM3575" s="2">
        <v>5.8</v>
      </c>
      <c r="BN3575" s="2">
        <v>47.24</v>
      </c>
      <c r="BO3575" s="2">
        <v>47.24</v>
      </c>
      <c r="BP3575" s="2"/>
      <c r="BQ3575" s="2"/>
      <c r="BR3575" s="2" t="s">
        <v>84</v>
      </c>
      <c r="BS3575" s="3">
        <v>42978</v>
      </c>
      <c r="BT3575" s="4">
        <v>0.60416666666666663</v>
      </c>
      <c r="BU3575" s="2" t="s">
        <v>3586</v>
      </c>
      <c r="BV3575" s="2" t="s">
        <v>86</v>
      </c>
      <c r="BW3575" s="2" t="s">
        <v>110</v>
      </c>
      <c r="BX3575" s="2" t="s">
        <v>1314</v>
      </c>
      <c r="BY3575" s="2">
        <v>1200</v>
      </c>
      <c r="BZ3575" s="2"/>
      <c r="CA3575" s="2" t="s">
        <v>1324</v>
      </c>
      <c r="CB3575" s="2"/>
      <c r="CC3575" s="2" t="s">
        <v>106</v>
      </c>
      <c r="CD3575" s="2">
        <v>7915</v>
      </c>
      <c r="CE3575" s="2" t="s">
        <v>104</v>
      </c>
      <c r="CF3575" s="2"/>
      <c r="CG3575" s="2"/>
      <c r="CH3575" s="2"/>
      <c r="CI3575" s="2">
        <v>1</v>
      </c>
      <c r="CJ3575" s="2">
        <v>1</v>
      </c>
      <c r="CK3575" s="2">
        <v>21</v>
      </c>
      <c r="CL3575" s="2" t="s">
        <v>86</v>
      </c>
      <c r="CM3575" s="2"/>
    </row>
    <row r="3576" spans="1:91">
      <c r="A3576" s="2" t="s">
        <v>71</v>
      </c>
      <c r="B3576" s="2" t="s">
        <v>72</v>
      </c>
      <c r="C3576" s="2" t="s">
        <v>73</v>
      </c>
      <c r="D3576" s="2"/>
      <c r="E3576" s="2" t="str">
        <f>"FES1162572189"</f>
        <v>FES1162572189</v>
      </c>
      <c r="F3576" s="3">
        <v>42977</v>
      </c>
      <c r="G3576" s="2">
        <v>201802</v>
      </c>
      <c r="H3576" s="2" t="s">
        <v>74</v>
      </c>
      <c r="I3576" s="2" t="s">
        <v>75</v>
      </c>
      <c r="J3576" s="2" t="s">
        <v>76</v>
      </c>
      <c r="K3576" s="2" t="s">
        <v>77</v>
      </c>
      <c r="L3576" s="2" t="s">
        <v>105</v>
      </c>
      <c r="M3576" s="2" t="s">
        <v>106</v>
      </c>
      <c r="N3576" s="2" t="s">
        <v>893</v>
      </c>
      <c r="O3576" s="2" t="s">
        <v>100</v>
      </c>
      <c r="P3576" s="2" t="str">
        <f>"2170586640                    "</f>
        <v xml:space="preserve">2170586640                    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4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  <c r="BG3576" s="2">
        <v>0</v>
      </c>
      <c r="BH3576" s="2">
        <v>1</v>
      </c>
      <c r="BI3576" s="2">
        <v>1</v>
      </c>
      <c r="BJ3576" s="2">
        <v>0.2</v>
      </c>
      <c r="BK3576" s="2">
        <v>1</v>
      </c>
      <c r="BL3576" s="2">
        <v>41.44</v>
      </c>
      <c r="BM3576" s="2">
        <v>5.8</v>
      </c>
      <c r="BN3576" s="2">
        <v>47.24</v>
      </c>
      <c r="BO3576" s="2">
        <v>47.24</v>
      </c>
      <c r="BP3576" s="2"/>
      <c r="BQ3576" s="2" t="s">
        <v>227</v>
      </c>
      <c r="BR3576" s="2" t="s">
        <v>84</v>
      </c>
      <c r="BS3576" s="3">
        <v>42978</v>
      </c>
      <c r="BT3576" s="4">
        <v>0.41666666666666669</v>
      </c>
      <c r="BU3576" s="2" t="s">
        <v>3587</v>
      </c>
      <c r="BV3576" s="2" t="s">
        <v>95</v>
      </c>
      <c r="BW3576" s="2"/>
      <c r="BX3576" s="2"/>
      <c r="BY3576" s="2">
        <v>1200</v>
      </c>
      <c r="BZ3576" s="2"/>
      <c r="CA3576" s="2"/>
      <c r="CB3576" s="2"/>
      <c r="CC3576" s="2" t="s">
        <v>106</v>
      </c>
      <c r="CD3576" s="2">
        <v>7460</v>
      </c>
      <c r="CE3576" s="2" t="s">
        <v>104</v>
      </c>
      <c r="CF3576" s="2"/>
      <c r="CG3576" s="2"/>
      <c r="CH3576" s="2"/>
      <c r="CI3576" s="2">
        <v>1</v>
      </c>
      <c r="CJ3576" s="2">
        <v>1</v>
      </c>
      <c r="CK3576" s="2">
        <v>21</v>
      </c>
      <c r="CL3576" s="2" t="s">
        <v>86</v>
      </c>
      <c r="CM3576" s="2"/>
    </row>
    <row r="3577" spans="1:91">
      <c r="A3577" s="2" t="s">
        <v>71</v>
      </c>
      <c r="B3577" s="2" t="s">
        <v>72</v>
      </c>
      <c r="C3577" s="2" t="s">
        <v>73</v>
      </c>
      <c r="D3577" s="2"/>
      <c r="E3577" s="2" t="str">
        <f>"FES1162572356"</f>
        <v>FES1162572356</v>
      </c>
      <c r="F3577" s="3">
        <v>42977</v>
      </c>
      <c r="G3577" s="2">
        <v>201802</v>
      </c>
      <c r="H3577" s="2" t="s">
        <v>74</v>
      </c>
      <c r="I3577" s="2" t="s">
        <v>75</v>
      </c>
      <c r="J3577" s="2" t="s">
        <v>76</v>
      </c>
      <c r="K3577" s="2" t="s">
        <v>77</v>
      </c>
      <c r="L3577" s="2" t="s">
        <v>105</v>
      </c>
      <c r="M3577" s="2" t="s">
        <v>106</v>
      </c>
      <c r="N3577" s="2" t="s">
        <v>534</v>
      </c>
      <c r="O3577" s="2" t="s">
        <v>100</v>
      </c>
      <c r="P3577" s="2" t="str">
        <f>"2170587907                    "</f>
        <v xml:space="preserve">2170587907                    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14.01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  <c r="BG3577" s="2">
        <v>0</v>
      </c>
      <c r="BH3577" s="2">
        <v>2</v>
      </c>
      <c r="BI3577" s="2">
        <v>6.6</v>
      </c>
      <c r="BJ3577" s="2">
        <v>3.3</v>
      </c>
      <c r="BK3577" s="2">
        <v>7</v>
      </c>
      <c r="BL3577" s="2">
        <v>145.05000000000001</v>
      </c>
      <c r="BM3577" s="2">
        <v>20.309999999999999</v>
      </c>
      <c r="BN3577" s="2">
        <v>165.36</v>
      </c>
      <c r="BO3577" s="2">
        <v>165.36</v>
      </c>
      <c r="BP3577" s="2"/>
      <c r="BQ3577" s="2" t="s">
        <v>2535</v>
      </c>
      <c r="BR3577" s="2" t="s">
        <v>84</v>
      </c>
      <c r="BS3577" s="3">
        <v>42978</v>
      </c>
      <c r="BT3577" s="4">
        <v>0.59305555555555556</v>
      </c>
      <c r="BU3577" s="2" t="s">
        <v>3588</v>
      </c>
      <c r="BV3577" s="2" t="s">
        <v>86</v>
      </c>
      <c r="BW3577" s="2" t="s">
        <v>110</v>
      </c>
      <c r="BX3577" s="2" t="s">
        <v>111</v>
      </c>
      <c r="BY3577" s="2">
        <v>16421.650000000001</v>
      </c>
      <c r="BZ3577" s="2"/>
      <c r="CA3577" s="2" t="s">
        <v>112</v>
      </c>
      <c r="CB3577" s="2"/>
      <c r="CC3577" s="2" t="s">
        <v>106</v>
      </c>
      <c r="CD3577" s="2">
        <v>7405</v>
      </c>
      <c r="CE3577" s="2" t="s">
        <v>89</v>
      </c>
      <c r="CF3577" s="5">
        <v>42978</v>
      </c>
      <c r="CG3577" s="2"/>
      <c r="CH3577" s="2"/>
      <c r="CI3577" s="2">
        <v>1</v>
      </c>
      <c r="CJ3577" s="2">
        <v>1</v>
      </c>
      <c r="CK3577" s="2">
        <v>21</v>
      </c>
      <c r="CL3577" s="2" t="s">
        <v>86</v>
      </c>
      <c r="CM3577" s="2"/>
    </row>
    <row r="3578" spans="1:91">
      <c r="A3578" s="2" t="s">
        <v>71</v>
      </c>
      <c r="B3578" s="2" t="s">
        <v>72</v>
      </c>
      <c r="C3578" s="2" t="s">
        <v>73</v>
      </c>
      <c r="D3578" s="2"/>
      <c r="E3578" s="2" t="str">
        <f>"FES1162572373"</f>
        <v>FES1162572373</v>
      </c>
      <c r="F3578" s="3">
        <v>42977</v>
      </c>
      <c r="G3578" s="2">
        <v>201802</v>
      </c>
      <c r="H3578" s="2" t="s">
        <v>74</v>
      </c>
      <c r="I3578" s="2" t="s">
        <v>75</v>
      </c>
      <c r="J3578" s="2" t="s">
        <v>76</v>
      </c>
      <c r="K3578" s="2" t="s">
        <v>77</v>
      </c>
      <c r="L3578" s="2" t="s">
        <v>105</v>
      </c>
      <c r="M3578" s="2" t="s">
        <v>106</v>
      </c>
      <c r="N3578" s="2" t="s">
        <v>1093</v>
      </c>
      <c r="O3578" s="2" t="s">
        <v>100</v>
      </c>
      <c r="P3578" s="2" t="str">
        <f>"2170587920                    "</f>
        <v xml:space="preserve">2170587920                    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4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  <c r="BG3578" s="2">
        <v>0</v>
      </c>
      <c r="BH3578" s="2">
        <v>1</v>
      </c>
      <c r="BI3578" s="2">
        <v>1</v>
      </c>
      <c r="BJ3578" s="2">
        <v>0.2</v>
      </c>
      <c r="BK3578" s="2">
        <v>1</v>
      </c>
      <c r="BL3578" s="2">
        <v>41.44</v>
      </c>
      <c r="BM3578" s="2">
        <v>5.8</v>
      </c>
      <c r="BN3578" s="2">
        <v>47.24</v>
      </c>
      <c r="BO3578" s="2">
        <v>47.24</v>
      </c>
      <c r="BP3578" s="2"/>
      <c r="BQ3578" s="2" t="s">
        <v>83</v>
      </c>
      <c r="BR3578" s="2" t="s">
        <v>84</v>
      </c>
      <c r="BS3578" s="3">
        <v>42978</v>
      </c>
      <c r="BT3578" s="4">
        <v>0.38194444444444442</v>
      </c>
      <c r="BU3578" s="2" t="s">
        <v>3589</v>
      </c>
      <c r="BV3578" s="2" t="s">
        <v>95</v>
      </c>
      <c r="BW3578" s="2"/>
      <c r="BX3578" s="2"/>
      <c r="BY3578" s="2">
        <v>1200</v>
      </c>
      <c r="BZ3578" s="2"/>
      <c r="CA3578" s="2" t="s">
        <v>1694</v>
      </c>
      <c r="CB3578" s="2"/>
      <c r="CC3578" s="2" t="s">
        <v>106</v>
      </c>
      <c r="CD3578" s="2">
        <v>7975</v>
      </c>
      <c r="CE3578" s="2" t="s">
        <v>104</v>
      </c>
      <c r="CF3578" s="5">
        <v>42978</v>
      </c>
      <c r="CG3578" s="2"/>
      <c r="CH3578" s="2"/>
      <c r="CI3578" s="2">
        <v>1</v>
      </c>
      <c r="CJ3578" s="2">
        <v>1</v>
      </c>
      <c r="CK3578" s="2">
        <v>21</v>
      </c>
      <c r="CL3578" s="2" t="s">
        <v>86</v>
      </c>
      <c r="CM3578" s="2"/>
    </row>
    <row r="3579" spans="1:91">
      <c r="A3579" s="2" t="s">
        <v>71</v>
      </c>
      <c r="B3579" s="2" t="s">
        <v>72</v>
      </c>
      <c r="C3579" s="2" t="s">
        <v>73</v>
      </c>
      <c r="D3579" s="2"/>
      <c r="E3579" s="2" t="str">
        <f>"FES1162572638"</f>
        <v>FES1162572638</v>
      </c>
      <c r="F3579" s="3">
        <v>42978</v>
      </c>
      <c r="G3579" s="2">
        <v>201802</v>
      </c>
      <c r="H3579" s="2" t="s">
        <v>74</v>
      </c>
      <c r="I3579" s="2" t="s">
        <v>75</v>
      </c>
      <c r="J3579" s="2" t="s">
        <v>76</v>
      </c>
      <c r="K3579" s="2" t="s">
        <v>77</v>
      </c>
      <c r="L3579" s="2" t="s">
        <v>417</v>
      </c>
      <c r="M3579" s="2" t="s">
        <v>417</v>
      </c>
      <c r="N3579" s="2" t="s">
        <v>475</v>
      </c>
      <c r="O3579" s="2" t="s">
        <v>100</v>
      </c>
      <c r="P3579" s="2" t="str">
        <f>"2170588174                    "</f>
        <v xml:space="preserve">2170588174                    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8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1</v>
      </c>
      <c r="BI3579" s="2">
        <v>4</v>
      </c>
      <c r="BJ3579" s="2">
        <v>1.8</v>
      </c>
      <c r="BK3579" s="2">
        <v>4</v>
      </c>
      <c r="BL3579" s="2">
        <v>82.88</v>
      </c>
      <c r="BM3579" s="2">
        <v>11.6</v>
      </c>
      <c r="BN3579" s="2">
        <v>94.48</v>
      </c>
      <c r="BO3579" s="2">
        <v>94.48</v>
      </c>
      <c r="BP3579" s="2"/>
      <c r="BQ3579" s="2" t="s">
        <v>108</v>
      </c>
      <c r="BR3579" s="2" t="s">
        <v>84</v>
      </c>
      <c r="BS3579" s="1" t="s">
        <v>1200</v>
      </c>
      <c r="BT3579" s="2"/>
      <c r="BU3579" s="2"/>
      <c r="BV3579" s="2"/>
      <c r="BW3579" s="2"/>
      <c r="BX3579" s="2"/>
      <c r="BY3579" s="2">
        <v>9104.59</v>
      </c>
      <c r="BZ3579" s="2"/>
      <c r="CA3579" s="2"/>
      <c r="CB3579" s="2"/>
      <c r="CC3579" s="2" t="s">
        <v>417</v>
      </c>
      <c r="CD3579" s="2">
        <v>7646</v>
      </c>
      <c r="CE3579" s="2" t="s">
        <v>89</v>
      </c>
      <c r="CF3579" s="2"/>
      <c r="CG3579" s="2"/>
      <c r="CH3579" s="2"/>
      <c r="CI3579" s="2">
        <v>1</v>
      </c>
      <c r="CJ3579" s="2" t="s">
        <v>1200</v>
      </c>
      <c r="CK3579" s="2">
        <v>21</v>
      </c>
      <c r="CL3579" s="2" t="s">
        <v>86</v>
      </c>
      <c r="CM3579" s="2"/>
    </row>
    <row r="3580" spans="1:91">
      <c r="A3580" s="2" t="s">
        <v>71</v>
      </c>
      <c r="B3580" s="2" t="s">
        <v>72</v>
      </c>
      <c r="C3580" s="2" t="s">
        <v>73</v>
      </c>
      <c r="D3580" s="2"/>
      <c r="E3580" s="2" t="str">
        <f>"FES1162572588"</f>
        <v>FES1162572588</v>
      </c>
      <c r="F3580" s="3">
        <v>42978</v>
      </c>
      <c r="G3580" s="2">
        <v>201802</v>
      </c>
      <c r="H3580" s="2" t="s">
        <v>74</v>
      </c>
      <c r="I3580" s="2" t="s">
        <v>75</v>
      </c>
      <c r="J3580" s="2" t="s">
        <v>76</v>
      </c>
      <c r="K3580" s="2" t="s">
        <v>77</v>
      </c>
      <c r="L3580" s="2" t="s">
        <v>723</v>
      </c>
      <c r="M3580" s="2" t="s">
        <v>724</v>
      </c>
      <c r="N3580" s="2" t="s">
        <v>2327</v>
      </c>
      <c r="O3580" s="2" t="s">
        <v>100</v>
      </c>
      <c r="P3580" s="2" t="str">
        <f>"2170588101                    "</f>
        <v xml:space="preserve">2170588101                    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5.63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  <c r="BG3580" s="2">
        <v>0</v>
      </c>
      <c r="BH3580" s="2">
        <v>1</v>
      </c>
      <c r="BI3580" s="2">
        <v>1</v>
      </c>
      <c r="BJ3580" s="2">
        <v>0.2</v>
      </c>
      <c r="BK3580" s="2">
        <v>1</v>
      </c>
      <c r="BL3580" s="2">
        <v>58.28</v>
      </c>
      <c r="BM3580" s="2">
        <v>8.16</v>
      </c>
      <c r="BN3580" s="2">
        <v>66.44</v>
      </c>
      <c r="BO3580" s="2">
        <v>66.44</v>
      </c>
      <c r="BP3580" s="2"/>
      <c r="BQ3580" s="2" t="s">
        <v>108</v>
      </c>
      <c r="BR3580" s="2" t="s">
        <v>84</v>
      </c>
      <c r="BS3580" s="1" t="s">
        <v>1200</v>
      </c>
      <c r="BT3580" s="2"/>
      <c r="BU3580" s="2"/>
      <c r="BV3580" s="2"/>
      <c r="BW3580" s="2"/>
      <c r="BX3580" s="2"/>
      <c r="BY3580" s="2">
        <v>1200</v>
      </c>
      <c r="BZ3580" s="2"/>
      <c r="CA3580" s="2"/>
      <c r="CB3580" s="2"/>
      <c r="CC3580" s="2" t="s">
        <v>724</v>
      </c>
      <c r="CD3580" s="2">
        <v>1739</v>
      </c>
      <c r="CE3580" s="2" t="s">
        <v>104</v>
      </c>
      <c r="CF3580" s="2"/>
      <c r="CG3580" s="2"/>
      <c r="CH3580" s="2"/>
      <c r="CI3580" s="2">
        <v>1</v>
      </c>
      <c r="CJ3580" s="2" t="s">
        <v>1200</v>
      </c>
      <c r="CK3580" s="2">
        <v>24</v>
      </c>
      <c r="CL3580" s="2" t="s">
        <v>86</v>
      </c>
      <c r="CM3580" s="2"/>
    </row>
    <row r="3581" spans="1:91">
      <c r="A3581" s="2" t="s">
        <v>71</v>
      </c>
      <c r="B3581" s="2" t="s">
        <v>72</v>
      </c>
      <c r="C3581" s="2" t="s">
        <v>73</v>
      </c>
      <c r="D3581" s="2"/>
      <c r="E3581" s="2" t="str">
        <f>"FES1162572611"</f>
        <v>FES1162572611</v>
      </c>
      <c r="F3581" s="3">
        <v>42978</v>
      </c>
      <c r="G3581" s="2">
        <v>201802</v>
      </c>
      <c r="H3581" s="2" t="s">
        <v>74</v>
      </c>
      <c r="I3581" s="2" t="s">
        <v>75</v>
      </c>
      <c r="J3581" s="2" t="s">
        <v>76</v>
      </c>
      <c r="K3581" s="2" t="s">
        <v>77</v>
      </c>
      <c r="L3581" s="2" t="s">
        <v>539</v>
      </c>
      <c r="M3581" s="2" t="s">
        <v>540</v>
      </c>
      <c r="N3581" s="2" t="s">
        <v>3590</v>
      </c>
      <c r="O3581" s="2" t="s">
        <v>100</v>
      </c>
      <c r="P3581" s="2" t="str">
        <f>"21705873857385                "</f>
        <v xml:space="preserve">21705873857385                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3.13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1</v>
      </c>
      <c r="BI3581" s="2">
        <v>1</v>
      </c>
      <c r="BJ3581" s="2">
        <v>0.2</v>
      </c>
      <c r="BK3581" s="2">
        <v>1</v>
      </c>
      <c r="BL3581" s="2">
        <v>32.380000000000003</v>
      </c>
      <c r="BM3581" s="2">
        <v>4.53</v>
      </c>
      <c r="BN3581" s="2">
        <v>36.909999999999997</v>
      </c>
      <c r="BO3581" s="2">
        <v>36.909999999999997</v>
      </c>
      <c r="BP3581" s="2"/>
      <c r="BQ3581" s="2"/>
      <c r="BR3581" s="2" t="s">
        <v>84</v>
      </c>
      <c r="BS3581" s="1" t="s">
        <v>1200</v>
      </c>
      <c r="BT3581" s="2"/>
      <c r="BU3581" s="2"/>
      <c r="BV3581" s="2"/>
      <c r="BW3581" s="2"/>
      <c r="BX3581" s="2"/>
      <c r="BY3581" s="2">
        <v>1200</v>
      </c>
      <c r="BZ3581" s="2"/>
      <c r="CA3581" s="2"/>
      <c r="CB3581" s="2"/>
      <c r="CC3581" s="2" t="s">
        <v>540</v>
      </c>
      <c r="CD3581" s="2">
        <v>2163</v>
      </c>
      <c r="CE3581" s="2" t="s">
        <v>104</v>
      </c>
      <c r="CF3581" s="2"/>
      <c r="CG3581" s="2"/>
      <c r="CH3581" s="2"/>
      <c r="CI3581" s="2">
        <v>1</v>
      </c>
      <c r="CJ3581" s="2" t="s">
        <v>1200</v>
      </c>
      <c r="CK3581" s="2">
        <v>22</v>
      </c>
      <c r="CL3581" s="2" t="s">
        <v>86</v>
      </c>
      <c r="CM3581" s="2"/>
    </row>
    <row r="3582" spans="1:91">
      <c r="A3582" s="2" t="s">
        <v>71</v>
      </c>
      <c r="B3582" s="2" t="s">
        <v>72</v>
      </c>
      <c r="C3582" s="2" t="s">
        <v>73</v>
      </c>
      <c r="D3582" s="2"/>
      <c r="E3582" s="2" t="str">
        <f>"FES1162572626"</f>
        <v>FES1162572626</v>
      </c>
      <c r="F3582" s="3">
        <v>42978</v>
      </c>
      <c r="G3582" s="2">
        <v>201802</v>
      </c>
      <c r="H3582" s="2" t="s">
        <v>74</v>
      </c>
      <c r="I3582" s="2" t="s">
        <v>75</v>
      </c>
      <c r="J3582" s="2" t="s">
        <v>76</v>
      </c>
      <c r="K3582" s="2" t="s">
        <v>77</v>
      </c>
      <c r="L3582" s="2" t="s">
        <v>128</v>
      </c>
      <c r="M3582" s="2" t="s">
        <v>129</v>
      </c>
      <c r="N3582" s="2" t="s">
        <v>857</v>
      </c>
      <c r="O3582" s="2" t="s">
        <v>100</v>
      </c>
      <c r="P3582" s="2" t="str">
        <f>"2170588157                    "</f>
        <v xml:space="preserve">2170588157                    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3.13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2">
        <v>0</v>
      </c>
      <c r="BD3582" s="2">
        <v>0</v>
      </c>
      <c r="BE3582" s="2">
        <v>0</v>
      </c>
      <c r="BF3582" s="2">
        <v>0</v>
      </c>
      <c r="BG3582" s="2">
        <v>0</v>
      </c>
      <c r="BH3582" s="2">
        <v>1</v>
      </c>
      <c r="BI3582" s="2">
        <v>1</v>
      </c>
      <c r="BJ3582" s="2">
        <v>0.2</v>
      </c>
      <c r="BK3582" s="2">
        <v>1</v>
      </c>
      <c r="BL3582" s="2">
        <v>32.380000000000003</v>
      </c>
      <c r="BM3582" s="2">
        <v>4.53</v>
      </c>
      <c r="BN3582" s="2">
        <v>36.909999999999997</v>
      </c>
      <c r="BO3582" s="2">
        <v>36.909999999999997</v>
      </c>
      <c r="BP3582" s="2"/>
      <c r="BQ3582" s="2" t="s">
        <v>288</v>
      </c>
      <c r="BR3582" s="2" t="s">
        <v>84</v>
      </c>
      <c r="BS3582" s="1" t="s">
        <v>1200</v>
      </c>
      <c r="BT3582" s="2"/>
      <c r="BU3582" s="2"/>
      <c r="BV3582" s="2"/>
      <c r="BW3582" s="2"/>
      <c r="BX3582" s="2"/>
      <c r="BY3582" s="2">
        <v>1200</v>
      </c>
      <c r="BZ3582" s="2"/>
      <c r="CA3582" s="2"/>
      <c r="CB3582" s="2"/>
      <c r="CC3582" s="2" t="s">
        <v>129</v>
      </c>
      <c r="CD3582" s="2">
        <v>1709</v>
      </c>
      <c r="CE3582" s="2" t="s">
        <v>104</v>
      </c>
      <c r="CF3582" s="2"/>
      <c r="CG3582" s="2"/>
      <c r="CH3582" s="2"/>
      <c r="CI3582" s="2">
        <v>1</v>
      </c>
      <c r="CJ3582" s="2" t="s">
        <v>1200</v>
      </c>
      <c r="CK3582" s="2">
        <v>22</v>
      </c>
      <c r="CL3582" s="2" t="s">
        <v>86</v>
      </c>
      <c r="CM3582" s="2"/>
    </row>
    <row r="3583" spans="1:91">
      <c r="A3583" s="2" t="s">
        <v>71</v>
      </c>
      <c r="B3583" s="2" t="s">
        <v>72</v>
      </c>
      <c r="C3583" s="2" t="s">
        <v>73</v>
      </c>
      <c r="D3583" s="2"/>
      <c r="E3583" s="2" t="str">
        <f>"FES1162572628"</f>
        <v>FES1162572628</v>
      </c>
      <c r="F3583" s="3">
        <v>42978</v>
      </c>
      <c r="G3583" s="2">
        <v>201802</v>
      </c>
      <c r="H3583" s="2" t="s">
        <v>74</v>
      </c>
      <c r="I3583" s="2" t="s">
        <v>75</v>
      </c>
      <c r="J3583" s="2" t="s">
        <v>76</v>
      </c>
      <c r="K3583" s="2" t="s">
        <v>77</v>
      </c>
      <c r="L3583" s="2" t="s">
        <v>105</v>
      </c>
      <c r="M3583" s="2" t="s">
        <v>106</v>
      </c>
      <c r="N3583" s="2" t="s">
        <v>107</v>
      </c>
      <c r="O3583" s="2" t="s">
        <v>100</v>
      </c>
      <c r="P3583" s="2" t="str">
        <f>"2170588159                    "</f>
        <v xml:space="preserve">2170588159                    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4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0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  <c r="BG3583" s="2">
        <v>0</v>
      </c>
      <c r="BH3583" s="2">
        <v>1</v>
      </c>
      <c r="BI3583" s="2">
        <v>1</v>
      </c>
      <c r="BJ3583" s="2">
        <v>0.2</v>
      </c>
      <c r="BK3583" s="2">
        <v>1</v>
      </c>
      <c r="BL3583" s="2">
        <v>41.44</v>
      </c>
      <c r="BM3583" s="2">
        <v>5.8</v>
      </c>
      <c r="BN3583" s="2">
        <v>47.24</v>
      </c>
      <c r="BO3583" s="2">
        <v>47.24</v>
      </c>
      <c r="BP3583" s="2"/>
      <c r="BQ3583" s="2" t="s">
        <v>108</v>
      </c>
      <c r="BR3583" s="2" t="s">
        <v>84</v>
      </c>
      <c r="BS3583" s="3">
        <v>42979</v>
      </c>
      <c r="BT3583" s="4">
        <v>0.33263888888888887</v>
      </c>
      <c r="BU3583" s="2" t="s">
        <v>1207</v>
      </c>
      <c r="BV3583" s="2" t="s">
        <v>95</v>
      </c>
      <c r="BW3583" s="2"/>
      <c r="BX3583" s="2"/>
      <c r="BY3583" s="2">
        <v>1200</v>
      </c>
      <c r="BZ3583" s="2"/>
      <c r="CA3583" s="2" t="s">
        <v>112</v>
      </c>
      <c r="CB3583" s="2"/>
      <c r="CC3583" s="2" t="s">
        <v>106</v>
      </c>
      <c r="CD3583" s="2">
        <v>7405</v>
      </c>
      <c r="CE3583" s="2" t="s">
        <v>104</v>
      </c>
      <c r="CF3583" s="2"/>
      <c r="CG3583" s="2"/>
      <c r="CH3583" s="2"/>
      <c r="CI3583" s="2">
        <v>1</v>
      </c>
      <c r="CJ3583" s="2">
        <v>1</v>
      </c>
      <c r="CK3583" s="2">
        <v>21</v>
      </c>
      <c r="CL3583" s="2" t="s">
        <v>86</v>
      </c>
      <c r="CM3583" s="2"/>
    </row>
    <row r="3584" spans="1:91">
      <c r="A3584" s="2" t="s">
        <v>71</v>
      </c>
      <c r="B3584" s="2" t="s">
        <v>72</v>
      </c>
      <c r="C3584" s="2" t="s">
        <v>73</v>
      </c>
      <c r="D3584" s="2"/>
      <c r="E3584" s="2" t="str">
        <f>"FES1162572639"</f>
        <v>FES1162572639</v>
      </c>
      <c r="F3584" s="3">
        <v>42978</v>
      </c>
      <c r="G3584" s="2">
        <v>201802</v>
      </c>
      <c r="H3584" s="2" t="s">
        <v>74</v>
      </c>
      <c r="I3584" s="2" t="s">
        <v>75</v>
      </c>
      <c r="J3584" s="2" t="s">
        <v>76</v>
      </c>
      <c r="K3584" s="2" t="s">
        <v>77</v>
      </c>
      <c r="L3584" s="2" t="s">
        <v>105</v>
      </c>
      <c r="M3584" s="2" t="s">
        <v>106</v>
      </c>
      <c r="N3584" s="2" t="s">
        <v>253</v>
      </c>
      <c r="O3584" s="2" t="s">
        <v>100</v>
      </c>
      <c r="P3584" s="2" t="str">
        <f>"2170588175                    "</f>
        <v xml:space="preserve">2170588175                    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4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1</v>
      </c>
      <c r="BI3584" s="2">
        <v>1</v>
      </c>
      <c r="BJ3584" s="2">
        <v>0.2</v>
      </c>
      <c r="BK3584" s="2">
        <v>1</v>
      </c>
      <c r="BL3584" s="2">
        <v>41.44</v>
      </c>
      <c r="BM3584" s="2">
        <v>5.8</v>
      </c>
      <c r="BN3584" s="2">
        <v>47.24</v>
      </c>
      <c r="BO3584" s="2">
        <v>47.24</v>
      </c>
      <c r="BP3584" s="2"/>
      <c r="BQ3584" s="2" t="s">
        <v>108</v>
      </c>
      <c r="BR3584" s="2" t="s">
        <v>84</v>
      </c>
      <c r="BS3584" s="1" t="s">
        <v>1200</v>
      </c>
      <c r="BT3584" s="2"/>
      <c r="BU3584" s="2"/>
      <c r="BV3584" s="2"/>
      <c r="BW3584" s="2"/>
      <c r="BX3584" s="2"/>
      <c r="BY3584" s="2">
        <v>1200</v>
      </c>
      <c r="BZ3584" s="2"/>
      <c r="CA3584" s="2"/>
      <c r="CB3584" s="2"/>
      <c r="CC3584" s="2" t="s">
        <v>106</v>
      </c>
      <c r="CD3584" s="2">
        <v>7490</v>
      </c>
      <c r="CE3584" s="2" t="s">
        <v>104</v>
      </c>
      <c r="CF3584" s="2"/>
      <c r="CG3584" s="2"/>
      <c r="CH3584" s="2"/>
      <c r="CI3584" s="2">
        <v>1</v>
      </c>
      <c r="CJ3584" s="2" t="s">
        <v>1200</v>
      </c>
      <c r="CK3584" s="2">
        <v>21</v>
      </c>
      <c r="CL3584" s="2" t="s">
        <v>86</v>
      </c>
      <c r="CM3584" s="2"/>
    </row>
    <row r="3585" spans="1:91">
      <c r="A3585" s="2" t="s">
        <v>71</v>
      </c>
      <c r="B3585" s="2" t="s">
        <v>72</v>
      </c>
      <c r="C3585" s="2" t="s">
        <v>73</v>
      </c>
      <c r="D3585" s="2"/>
      <c r="E3585" s="2" t="str">
        <f>"FES1162572640"</f>
        <v>FES1162572640</v>
      </c>
      <c r="F3585" s="3">
        <v>42978</v>
      </c>
      <c r="G3585" s="2">
        <v>201802</v>
      </c>
      <c r="H3585" s="2" t="s">
        <v>74</v>
      </c>
      <c r="I3585" s="2" t="s">
        <v>75</v>
      </c>
      <c r="J3585" s="2" t="s">
        <v>76</v>
      </c>
      <c r="K3585" s="2" t="s">
        <v>77</v>
      </c>
      <c r="L3585" s="2" t="s">
        <v>105</v>
      </c>
      <c r="M3585" s="2" t="s">
        <v>106</v>
      </c>
      <c r="N3585" s="2" t="s">
        <v>2145</v>
      </c>
      <c r="O3585" s="2" t="s">
        <v>100</v>
      </c>
      <c r="P3585" s="2" t="str">
        <f>"2170588176                    "</f>
        <v xml:space="preserve">2170588176                    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4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  <c r="BG3585" s="2">
        <v>0</v>
      </c>
      <c r="BH3585" s="2">
        <v>1</v>
      </c>
      <c r="BI3585" s="2">
        <v>1</v>
      </c>
      <c r="BJ3585" s="2">
        <v>0.2</v>
      </c>
      <c r="BK3585" s="2">
        <v>1</v>
      </c>
      <c r="BL3585" s="2">
        <v>41.44</v>
      </c>
      <c r="BM3585" s="2">
        <v>5.8</v>
      </c>
      <c r="BN3585" s="2">
        <v>47.24</v>
      </c>
      <c r="BO3585" s="2">
        <v>47.24</v>
      </c>
      <c r="BP3585" s="2"/>
      <c r="BQ3585" s="2" t="s">
        <v>83</v>
      </c>
      <c r="BR3585" s="2" t="s">
        <v>84</v>
      </c>
      <c r="BS3585" s="1" t="s">
        <v>1200</v>
      </c>
      <c r="BT3585" s="2"/>
      <c r="BU3585" s="2"/>
      <c r="BV3585" s="2"/>
      <c r="BW3585" s="2"/>
      <c r="BX3585" s="2"/>
      <c r="BY3585" s="2">
        <v>1200</v>
      </c>
      <c r="BZ3585" s="2"/>
      <c r="CA3585" s="2"/>
      <c r="CB3585" s="2"/>
      <c r="CC3585" s="2" t="s">
        <v>106</v>
      </c>
      <c r="CD3585" s="2">
        <v>7460</v>
      </c>
      <c r="CE3585" s="2" t="s">
        <v>104</v>
      </c>
      <c r="CF3585" s="2"/>
      <c r="CG3585" s="2"/>
      <c r="CH3585" s="2"/>
      <c r="CI3585" s="2">
        <v>1</v>
      </c>
      <c r="CJ3585" s="2" t="s">
        <v>1200</v>
      </c>
      <c r="CK3585" s="2">
        <v>21</v>
      </c>
      <c r="CL3585" s="2" t="s">
        <v>86</v>
      </c>
      <c r="CM3585" s="2"/>
    </row>
    <row r="3586" spans="1:91">
      <c r="A3586" s="2" t="s">
        <v>71</v>
      </c>
      <c r="B3586" s="2" t="s">
        <v>72</v>
      </c>
      <c r="C3586" s="2" t="s">
        <v>73</v>
      </c>
      <c r="D3586" s="2"/>
      <c r="E3586" s="2" t="str">
        <f>"FES1162572644"</f>
        <v>FES1162572644</v>
      </c>
      <c r="F3586" s="3">
        <v>42978</v>
      </c>
      <c r="G3586" s="2">
        <v>201802</v>
      </c>
      <c r="H3586" s="2" t="s">
        <v>74</v>
      </c>
      <c r="I3586" s="2" t="s">
        <v>75</v>
      </c>
      <c r="J3586" s="2" t="s">
        <v>76</v>
      </c>
      <c r="K3586" s="2" t="s">
        <v>77</v>
      </c>
      <c r="L3586" s="2" t="s">
        <v>174</v>
      </c>
      <c r="M3586" s="2" t="s">
        <v>175</v>
      </c>
      <c r="N3586" s="2" t="s">
        <v>930</v>
      </c>
      <c r="O3586" s="2" t="s">
        <v>100</v>
      </c>
      <c r="P3586" s="2" t="str">
        <f>"2170588178                    "</f>
        <v xml:space="preserve">2170588178                    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4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  <c r="BG3586" s="2">
        <v>0</v>
      </c>
      <c r="BH3586" s="2">
        <v>1</v>
      </c>
      <c r="BI3586" s="2">
        <v>1</v>
      </c>
      <c r="BJ3586" s="2">
        <v>0.2</v>
      </c>
      <c r="BK3586" s="2">
        <v>1</v>
      </c>
      <c r="BL3586" s="2">
        <v>41.44</v>
      </c>
      <c r="BM3586" s="2">
        <v>5.8</v>
      </c>
      <c r="BN3586" s="2">
        <v>47.24</v>
      </c>
      <c r="BO3586" s="2">
        <v>47.24</v>
      </c>
      <c r="BP3586" s="2"/>
      <c r="BQ3586" s="2" t="s">
        <v>83</v>
      </c>
      <c r="BR3586" s="2" t="s">
        <v>84</v>
      </c>
      <c r="BS3586" s="1" t="s">
        <v>1200</v>
      </c>
      <c r="BT3586" s="2"/>
      <c r="BU3586" s="2"/>
      <c r="BV3586" s="2"/>
      <c r="BW3586" s="2"/>
      <c r="BX3586" s="2"/>
      <c r="BY3586" s="2">
        <v>1200</v>
      </c>
      <c r="BZ3586" s="2"/>
      <c r="CA3586" s="2"/>
      <c r="CB3586" s="2"/>
      <c r="CC3586" s="2" t="s">
        <v>175</v>
      </c>
      <c r="CD3586" s="2">
        <v>5201</v>
      </c>
      <c r="CE3586" s="2" t="s">
        <v>104</v>
      </c>
      <c r="CF3586" s="2"/>
      <c r="CG3586" s="2"/>
      <c r="CH3586" s="2"/>
      <c r="CI3586" s="2">
        <v>1</v>
      </c>
      <c r="CJ3586" s="2" t="s">
        <v>1200</v>
      </c>
      <c r="CK3586" s="2">
        <v>21</v>
      </c>
      <c r="CL3586" s="2" t="s">
        <v>86</v>
      </c>
      <c r="CM3586" s="2"/>
    </row>
    <row r="3587" spans="1:91">
      <c r="A3587" s="2" t="s">
        <v>71</v>
      </c>
      <c r="B3587" s="2" t="s">
        <v>72</v>
      </c>
      <c r="C3587" s="2" t="s">
        <v>73</v>
      </c>
      <c r="D3587" s="2"/>
      <c r="E3587" s="2" t="str">
        <f>"FES1162570725"</f>
        <v>FES1162570725</v>
      </c>
      <c r="F3587" s="3">
        <v>42978</v>
      </c>
      <c r="G3587" s="2">
        <v>201802</v>
      </c>
      <c r="H3587" s="2" t="s">
        <v>74</v>
      </c>
      <c r="I3587" s="2" t="s">
        <v>75</v>
      </c>
      <c r="J3587" s="2" t="s">
        <v>76</v>
      </c>
      <c r="K3587" s="2" t="s">
        <v>77</v>
      </c>
      <c r="L3587" s="2" t="s">
        <v>74</v>
      </c>
      <c r="M3587" s="2" t="s">
        <v>75</v>
      </c>
      <c r="N3587" s="2" t="s">
        <v>3542</v>
      </c>
      <c r="O3587" s="2" t="s">
        <v>100</v>
      </c>
      <c r="P3587" s="2" t="str">
        <f>"2170581232                    "</f>
        <v xml:space="preserve">2170581232                    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3.13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  <c r="BG3587" s="2">
        <v>0</v>
      </c>
      <c r="BH3587" s="2">
        <v>1</v>
      </c>
      <c r="BI3587" s="2">
        <v>2.5</v>
      </c>
      <c r="BJ3587" s="2">
        <v>1.4</v>
      </c>
      <c r="BK3587" s="2">
        <v>3</v>
      </c>
      <c r="BL3587" s="2">
        <v>32.380000000000003</v>
      </c>
      <c r="BM3587" s="2">
        <v>4.53</v>
      </c>
      <c r="BN3587" s="2">
        <v>36.909999999999997</v>
      </c>
      <c r="BO3587" s="2">
        <v>36.909999999999997</v>
      </c>
      <c r="BP3587" s="2"/>
      <c r="BQ3587" s="2" t="s">
        <v>83</v>
      </c>
      <c r="BR3587" s="2" t="s">
        <v>84</v>
      </c>
      <c r="BS3587" s="1" t="s">
        <v>1200</v>
      </c>
      <c r="BT3587" s="2"/>
      <c r="BU3587" s="2"/>
      <c r="BV3587" s="2"/>
      <c r="BW3587" s="2"/>
      <c r="BX3587" s="2"/>
      <c r="BY3587" s="2">
        <v>7112.7</v>
      </c>
      <c r="BZ3587" s="2"/>
      <c r="CA3587" s="2"/>
      <c r="CB3587" s="2"/>
      <c r="CC3587" s="2" t="s">
        <v>75</v>
      </c>
      <c r="CD3587" s="2">
        <v>1609</v>
      </c>
      <c r="CE3587" s="2" t="s">
        <v>89</v>
      </c>
      <c r="CF3587" s="2"/>
      <c r="CG3587" s="2"/>
      <c r="CH3587" s="2"/>
      <c r="CI3587" s="2">
        <v>1</v>
      </c>
      <c r="CJ3587" s="2" t="s">
        <v>1200</v>
      </c>
      <c r="CK3587" s="2">
        <v>22</v>
      </c>
      <c r="CL3587" s="2" t="s">
        <v>86</v>
      </c>
      <c r="CM3587" s="2"/>
    </row>
    <row r="3588" spans="1:91">
      <c r="A3588" s="2" t="s">
        <v>71</v>
      </c>
      <c r="B3588" s="2" t="s">
        <v>72</v>
      </c>
      <c r="C3588" s="2" t="s">
        <v>73</v>
      </c>
      <c r="D3588" s="2"/>
      <c r="E3588" s="2" t="str">
        <f>"FES1162572635"</f>
        <v>FES1162572635</v>
      </c>
      <c r="F3588" s="3">
        <v>42978</v>
      </c>
      <c r="G3588" s="2">
        <v>201802</v>
      </c>
      <c r="H3588" s="2" t="s">
        <v>74</v>
      </c>
      <c r="I3588" s="2" t="s">
        <v>75</v>
      </c>
      <c r="J3588" s="2" t="s">
        <v>76</v>
      </c>
      <c r="K3588" s="2" t="s">
        <v>77</v>
      </c>
      <c r="L3588" s="2" t="s">
        <v>105</v>
      </c>
      <c r="M3588" s="2" t="s">
        <v>106</v>
      </c>
      <c r="N3588" s="2" t="s">
        <v>253</v>
      </c>
      <c r="O3588" s="2" t="s">
        <v>100</v>
      </c>
      <c r="P3588" s="2" t="str">
        <f>"2170588164                    "</f>
        <v xml:space="preserve">2170588164                    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4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1</v>
      </c>
      <c r="BI3588" s="2">
        <v>1</v>
      </c>
      <c r="BJ3588" s="2">
        <v>0.2</v>
      </c>
      <c r="BK3588" s="2">
        <v>1</v>
      </c>
      <c r="BL3588" s="2">
        <v>41.44</v>
      </c>
      <c r="BM3588" s="2">
        <v>5.8</v>
      </c>
      <c r="BN3588" s="2">
        <v>47.24</v>
      </c>
      <c r="BO3588" s="2">
        <v>47.24</v>
      </c>
      <c r="BP3588" s="2"/>
      <c r="BQ3588" s="2" t="s">
        <v>108</v>
      </c>
      <c r="BR3588" s="2" t="s">
        <v>84</v>
      </c>
      <c r="BS3588" s="1" t="s">
        <v>1200</v>
      </c>
      <c r="BT3588" s="2"/>
      <c r="BU3588" s="2"/>
      <c r="BV3588" s="2"/>
      <c r="BW3588" s="2"/>
      <c r="BX3588" s="2"/>
      <c r="BY3588" s="2">
        <v>1200</v>
      </c>
      <c r="BZ3588" s="2"/>
      <c r="CA3588" s="2"/>
      <c r="CB3588" s="2"/>
      <c r="CC3588" s="2" t="s">
        <v>106</v>
      </c>
      <c r="CD3588" s="2">
        <v>7490</v>
      </c>
      <c r="CE3588" s="2" t="s">
        <v>104</v>
      </c>
      <c r="CF3588" s="2"/>
      <c r="CG3588" s="2"/>
      <c r="CH3588" s="2"/>
      <c r="CI3588" s="2">
        <v>1</v>
      </c>
      <c r="CJ3588" s="2" t="s">
        <v>1200</v>
      </c>
      <c r="CK3588" s="2">
        <v>21</v>
      </c>
      <c r="CL3588" s="2" t="s">
        <v>86</v>
      </c>
      <c r="CM3588" s="2"/>
    </row>
    <row r="3589" spans="1:91">
      <c r="A3589" s="2" t="s">
        <v>71</v>
      </c>
      <c r="B3589" s="2" t="s">
        <v>72</v>
      </c>
      <c r="C3589" s="2" t="s">
        <v>73</v>
      </c>
      <c r="D3589" s="2"/>
      <c r="E3589" s="2" t="str">
        <f>"FES1162572525"</f>
        <v>FES1162572525</v>
      </c>
      <c r="F3589" s="3">
        <v>42978</v>
      </c>
      <c r="G3589" s="2">
        <v>201802</v>
      </c>
      <c r="H3589" s="2" t="s">
        <v>74</v>
      </c>
      <c r="I3589" s="2" t="s">
        <v>75</v>
      </c>
      <c r="J3589" s="2" t="s">
        <v>76</v>
      </c>
      <c r="K3589" s="2" t="s">
        <v>77</v>
      </c>
      <c r="L3589" s="2" t="s">
        <v>97</v>
      </c>
      <c r="M3589" s="2" t="s">
        <v>98</v>
      </c>
      <c r="N3589" s="2" t="s">
        <v>1210</v>
      </c>
      <c r="O3589" s="2" t="s">
        <v>100</v>
      </c>
      <c r="P3589" s="2" t="str">
        <f>"2170585226                    "</f>
        <v xml:space="preserve">2170585226                    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4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  <c r="BG3589" s="2">
        <v>0</v>
      </c>
      <c r="BH3589" s="2">
        <v>1</v>
      </c>
      <c r="BI3589" s="2">
        <v>1</v>
      </c>
      <c r="BJ3589" s="2">
        <v>0.2</v>
      </c>
      <c r="BK3589" s="2">
        <v>1</v>
      </c>
      <c r="BL3589" s="2">
        <v>41.44</v>
      </c>
      <c r="BM3589" s="2">
        <v>5.8</v>
      </c>
      <c r="BN3589" s="2">
        <v>47.24</v>
      </c>
      <c r="BO3589" s="2">
        <v>47.24</v>
      </c>
      <c r="BP3589" s="2"/>
      <c r="BQ3589" s="2" t="s">
        <v>108</v>
      </c>
      <c r="BR3589" s="2" t="s">
        <v>84</v>
      </c>
      <c r="BS3589" s="1" t="s">
        <v>1200</v>
      </c>
      <c r="BT3589" s="2"/>
      <c r="BU3589" s="2"/>
      <c r="BV3589" s="2"/>
      <c r="BW3589" s="2"/>
      <c r="BX3589" s="2"/>
      <c r="BY3589" s="2">
        <v>1200</v>
      </c>
      <c r="BZ3589" s="2"/>
      <c r="CA3589" s="2"/>
      <c r="CB3589" s="2"/>
      <c r="CC3589" s="2" t="s">
        <v>98</v>
      </c>
      <c r="CD3589" s="2">
        <v>6012</v>
      </c>
      <c r="CE3589" s="2" t="s">
        <v>104</v>
      </c>
      <c r="CF3589" s="2"/>
      <c r="CG3589" s="2"/>
      <c r="CH3589" s="2"/>
      <c r="CI3589" s="2">
        <v>1</v>
      </c>
      <c r="CJ3589" s="2" t="s">
        <v>1200</v>
      </c>
      <c r="CK3589" s="2">
        <v>21</v>
      </c>
      <c r="CL3589" s="2" t="s">
        <v>86</v>
      </c>
      <c r="CM3589" s="2"/>
    </row>
    <row r="3590" spans="1:91">
      <c r="A3590" s="2" t="s">
        <v>71</v>
      </c>
      <c r="B3590" s="2" t="s">
        <v>72</v>
      </c>
      <c r="C3590" s="2" t="s">
        <v>73</v>
      </c>
      <c r="D3590" s="2"/>
      <c r="E3590" s="2" t="str">
        <f>"FES1162572621"</f>
        <v>FES1162572621</v>
      </c>
      <c r="F3590" s="3">
        <v>42978</v>
      </c>
      <c r="G3590" s="2">
        <v>201802</v>
      </c>
      <c r="H3590" s="2" t="s">
        <v>74</v>
      </c>
      <c r="I3590" s="2" t="s">
        <v>75</v>
      </c>
      <c r="J3590" s="2" t="s">
        <v>76</v>
      </c>
      <c r="K3590" s="2" t="s">
        <v>77</v>
      </c>
      <c r="L3590" s="2" t="s">
        <v>144</v>
      </c>
      <c r="M3590" s="2" t="s">
        <v>145</v>
      </c>
      <c r="N3590" s="2" t="s">
        <v>450</v>
      </c>
      <c r="O3590" s="2" t="s">
        <v>100</v>
      </c>
      <c r="P3590" s="2" t="str">
        <f>"2170588150                    "</f>
        <v xml:space="preserve">2170588150                    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3.13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  <c r="BG3590" s="2">
        <v>0</v>
      </c>
      <c r="BH3590" s="2">
        <v>1</v>
      </c>
      <c r="BI3590" s="2">
        <v>1</v>
      </c>
      <c r="BJ3590" s="2">
        <v>0.2</v>
      </c>
      <c r="BK3590" s="2">
        <v>1</v>
      </c>
      <c r="BL3590" s="2">
        <v>32.380000000000003</v>
      </c>
      <c r="BM3590" s="2">
        <v>4.53</v>
      </c>
      <c r="BN3590" s="2">
        <v>36.909999999999997</v>
      </c>
      <c r="BO3590" s="2">
        <v>36.909999999999997</v>
      </c>
      <c r="BP3590" s="2"/>
      <c r="BQ3590" s="2" t="s">
        <v>108</v>
      </c>
      <c r="BR3590" s="2" t="s">
        <v>84</v>
      </c>
      <c r="BS3590" s="1" t="s">
        <v>1200</v>
      </c>
      <c r="BT3590" s="2"/>
      <c r="BU3590" s="2"/>
      <c r="BV3590" s="2"/>
      <c r="BW3590" s="2"/>
      <c r="BX3590" s="2"/>
      <c r="BY3590" s="2">
        <v>1200</v>
      </c>
      <c r="BZ3590" s="2"/>
      <c r="CA3590" s="2"/>
      <c r="CB3590" s="2"/>
      <c r="CC3590" s="2" t="s">
        <v>145</v>
      </c>
      <c r="CD3590" s="2">
        <v>2011</v>
      </c>
      <c r="CE3590" s="2" t="s">
        <v>104</v>
      </c>
      <c r="CF3590" s="2"/>
      <c r="CG3590" s="2"/>
      <c r="CH3590" s="2"/>
      <c r="CI3590" s="2">
        <v>1</v>
      </c>
      <c r="CJ3590" s="2" t="s">
        <v>1200</v>
      </c>
      <c r="CK3590" s="2">
        <v>22</v>
      </c>
      <c r="CL3590" s="2" t="s">
        <v>86</v>
      </c>
      <c r="CM3590" s="2"/>
    </row>
    <row r="3591" spans="1:91">
      <c r="A3591" s="2" t="s">
        <v>71</v>
      </c>
      <c r="B3591" s="2" t="s">
        <v>72</v>
      </c>
      <c r="C3591" s="2" t="s">
        <v>73</v>
      </c>
      <c r="D3591" s="2"/>
      <c r="E3591" s="2" t="str">
        <f>"FES1162572648"</f>
        <v>FES1162572648</v>
      </c>
      <c r="F3591" s="3">
        <v>42978</v>
      </c>
      <c r="G3591" s="2">
        <v>201802</v>
      </c>
      <c r="H3591" s="2" t="s">
        <v>74</v>
      </c>
      <c r="I3591" s="2" t="s">
        <v>75</v>
      </c>
      <c r="J3591" s="2" t="s">
        <v>76</v>
      </c>
      <c r="K3591" s="2" t="s">
        <v>77</v>
      </c>
      <c r="L3591" s="2" t="s">
        <v>144</v>
      </c>
      <c r="M3591" s="2" t="s">
        <v>145</v>
      </c>
      <c r="N3591" s="2" t="s">
        <v>197</v>
      </c>
      <c r="O3591" s="2" t="s">
        <v>100</v>
      </c>
      <c r="P3591" s="2" t="str">
        <f>"2170584168                    "</f>
        <v xml:space="preserve">2170584168                    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3.5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0</v>
      </c>
      <c r="BD3591" s="2">
        <v>0</v>
      </c>
      <c r="BE3591" s="2">
        <v>0</v>
      </c>
      <c r="BF3591" s="2">
        <v>0</v>
      </c>
      <c r="BG3591" s="2">
        <v>0</v>
      </c>
      <c r="BH3591" s="2">
        <v>1</v>
      </c>
      <c r="BI3591" s="2">
        <v>8.3000000000000007</v>
      </c>
      <c r="BJ3591" s="2">
        <v>3.3</v>
      </c>
      <c r="BK3591" s="2">
        <v>9</v>
      </c>
      <c r="BL3591" s="2">
        <v>36.26</v>
      </c>
      <c r="BM3591" s="2">
        <v>5.08</v>
      </c>
      <c r="BN3591" s="2">
        <v>41.34</v>
      </c>
      <c r="BO3591" s="2">
        <v>41.34</v>
      </c>
      <c r="BP3591" s="2"/>
      <c r="BQ3591" s="2" t="s">
        <v>108</v>
      </c>
      <c r="BR3591" s="2" t="s">
        <v>84</v>
      </c>
      <c r="BS3591" s="1" t="s">
        <v>1200</v>
      </c>
      <c r="BT3591" s="2"/>
      <c r="BU3591" s="2"/>
      <c r="BV3591" s="2"/>
      <c r="BW3591" s="2"/>
      <c r="BX3591" s="2"/>
      <c r="BY3591" s="2">
        <v>16395.439999999999</v>
      </c>
      <c r="BZ3591" s="2"/>
      <c r="CA3591" s="2"/>
      <c r="CB3591" s="2"/>
      <c r="CC3591" s="2" t="s">
        <v>145</v>
      </c>
      <c r="CD3591" s="2">
        <v>2040</v>
      </c>
      <c r="CE3591" s="2" t="s">
        <v>89</v>
      </c>
      <c r="CF3591" s="2"/>
      <c r="CG3591" s="2"/>
      <c r="CH3591" s="2"/>
      <c r="CI3591" s="2">
        <v>1</v>
      </c>
      <c r="CJ3591" s="2" t="s">
        <v>1200</v>
      </c>
      <c r="CK3591" s="2">
        <v>22</v>
      </c>
      <c r="CL3591" s="2" t="s">
        <v>86</v>
      </c>
      <c r="CM3591" s="2"/>
    </row>
    <row r="3592" spans="1:91">
      <c r="A3592" s="2" t="s">
        <v>71</v>
      </c>
      <c r="B3592" s="2" t="s">
        <v>72</v>
      </c>
      <c r="C3592" s="2" t="s">
        <v>73</v>
      </c>
      <c r="D3592" s="2"/>
      <c r="E3592" s="2" t="str">
        <f>"FES1162572484"</f>
        <v>FES1162572484</v>
      </c>
      <c r="F3592" s="3">
        <v>42978</v>
      </c>
      <c r="G3592" s="2">
        <v>201802</v>
      </c>
      <c r="H3592" s="2" t="s">
        <v>74</v>
      </c>
      <c r="I3592" s="2" t="s">
        <v>75</v>
      </c>
      <c r="J3592" s="2" t="s">
        <v>76</v>
      </c>
      <c r="K3592" s="2" t="s">
        <v>77</v>
      </c>
      <c r="L3592" s="2" t="s">
        <v>74</v>
      </c>
      <c r="M3592" s="2" t="s">
        <v>75</v>
      </c>
      <c r="N3592" s="2" t="s">
        <v>2324</v>
      </c>
      <c r="O3592" s="2" t="s">
        <v>100</v>
      </c>
      <c r="P3592" s="2" t="str">
        <f>"2170588034                    "</f>
        <v xml:space="preserve">2170588034                    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3.13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1</v>
      </c>
      <c r="BI3592" s="2">
        <v>1</v>
      </c>
      <c r="BJ3592" s="2">
        <v>0.2</v>
      </c>
      <c r="BK3592" s="2">
        <v>1</v>
      </c>
      <c r="BL3592" s="2">
        <v>32.380000000000003</v>
      </c>
      <c r="BM3592" s="2">
        <v>4.53</v>
      </c>
      <c r="BN3592" s="2">
        <v>36.909999999999997</v>
      </c>
      <c r="BO3592" s="2">
        <v>36.909999999999997</v>
      </c>
      <c r="BP3592" s="2"/>
      <c r="BQ3592" s="2" t="s">
        <v>108</v>
      </c>
      <c r="BR3592" s="2" t="s">
        <v>84</v>
      </c>
      <c r="BS3592" s="1" t="s">
        <v>1200</v>
      </c>
      <c r="BT3592" s="2"/>
      <c r="BU3592" s="2"/>
      <c r="BV3592" s="2"/>
      <c r="BW3592" s="2"/>
      <c r="BX3592" s="2"/>
      <c r="BY3592" s="2">
        <v>1200</v>
      </c>
      <c r="BZ3592" s="2"/>
      <c r="CA3592" s="2"/>
      <c r="CB3592" s="2"/>
      <c r="CC3592" s="2" t="s">
        <v>75</v>
      </c>
      <c r="CD3592" s="2">
        <v>1600</v>
      </c>
      <c r="CE3592" s="2" t="s">
        <v>104</v>
      </c>
      <c r="CF3592" s="2"/>
      <c r="CG3592" s="2"/>
      <c r="CH3592" s="2"/>
      <c r="CI3592" s="2">
        <v>1</v>
      </c>
      <c r="CJ3592" s="2" t="s">
        <v>1200</v>
      </c>
      <c r="CK3592" s="2">
        <v>22</v>
      </c>
      <c r="CL3592" s="2" t="s">
        <v>86</v>
      </c>
      <c r="CM3592" s="2"/>
    </row>
    <row r="3593" spans="1:91">
      <c r="A3593" s="2" t="s">
        <v>71</v>
      </c>
      <c r="B3593" s="2" t="s">
        <v>72</v>
      </c>
      <c r="C3593" s="2" t="s">
        <v>73</v>
      </c>
      <c r="D3593" s="2"/>
      <c r="E3593" s="2" t="str">
        <f>"FES1162572458"</f>
        <v>FES1162572458</v>
      </c>
      <c r="F3593" s="3">
        <v>42978</v>
      </c>
      <c r="G3593" s="2">
        <v>201802</v>
      </c>
      <c r="H3593" s="2" t="s">
        <v>74</v>
      </c>
      <c r="I3593" s="2" t="s">
        <v>75</v>
      </c>
      <c r="J3593" s="2" t="s">
        <v>76</v>
      </c>
      <c r="K3593" s="2" t="s">
        <v>77</v>
      </c>
      <c r="L3593" s="2" t="s">
        <v>144</v>
      </c>
      <c r="M3593" s="2" t="s">
        <v>145</v>
      </c>
      <c r="N3593" s="2" t="s">
        <v>146</v>
      </c>
      <c r="O3593" s="2" t="s">
        <v>100</v>
      </c>
      <c r="P3593" s="2" t="str">
        <f>"2170586173                    "</f>
        <v xml:space="preserve">2170586173                    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3.13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1</v>
      </c>
      <c r="BI3593" s="2">
        <v>1</v>
      </c>
      <c r="BJ3593" s="2">
        <v>0.2</v>
      </c>
      <c r="BK3593" s="2">
        <v>1</v>
      </c>
      <c r="BL3593" s="2">
        <v>32.380000000000003</v>
      </c>
      <c r="BM3593" s="2">
        <v>4.53</v>
      </c>
      <c r="BN3593" s="2">
        <v>36.909999999999997</v>
      </c>
      <c r="BO3593" s="2">
        <v>36.909999999999997</v>
      </c>
      <c r="BP3593" s="2"/>
      <c r="BQ3593" s="2" t="s">
        <v>83</v>
      </c>
      <c r="BR3593" s="2" t="s">
        <v>84</v>
      </c>
      <c r="BS3593" s="1" t="s">
        <v>1200</v>
      </c>
      <c r="BT3593" s="2"/>
      <c r="BU3593" s="2"/>
      <c r="BV3593" s="2"/>
      <c r="BW3593" s="2"/>
      <c r="BX3593" s="2"/>
      <c r="BY3593" s="2">
        <v>1200</v>
      </c>
      <c r="BZ3593" s="2"/>
      <c r="CA3593" s="2"/>
      <c r="CB3593" s="2"/>
      <c r="CC3593" s="2" t="s">
        <v>145</v>
      </c>
      <c r="CD3593" s="2">
        <v>2094</v>
      </c>
      <c r="CE3593" s="2" t="s">
        <v>104</v>
      </c>
      <c r="CF3593" s="2"/>
      <c r="CG3593" s="2"/>
      <c r="CH3593" s="2"/>
      <c r="CI3593" s="2">
        <v>1</v>
      </c>
      <c r="CJ3593" s="2" t="s">
        <v>1200</v>
      </c>
      <c r="CK3593" s="2">
        <v>22</v>
      </c>
      <c r="CL3593" s="2" t="s">
        <v>86</v>
      </c>
      <c r="CM3593" s="2"/>
    </row>
    <row r="3594" spans="1:91">
      <c r="A3594" s="2" t="s">
        <v>71</v>
      </c>
      <c r="B3594" s="2" t="s">
        <v>72</v>
      </c>
      <c r="C3594" s="2" t="s">
        <v>73</v>
      </c>
      <c r="D3594" s="2"/>
      <c r="E3594" s="2" t="str">
        <f>"FES1162572490"</f>
        <v>FES1162572490</v>
      </c>
      <c r="F3594" s="3">
        <v>42978</v>
      </c>
      <c r="G3594" s="2">
        <v>201802</v>
      </c>
      <c r="H3594" s="2" t="s">
        <v>74</v>
      </c>
      <c r="I3594" s="2" t="s">
        <v>75</v>
      </c>
      <c r="J3594" s="2" t="s">
        <v>76</v>
      </c>
      <c r="K3594" s="2" t="s">
        <v>77</v>
      </c>
      <c r="L3594" s="2" t="s">
        <v>144</v>
      </c>
      <c r="M3594" s="2" t="s">
        <v>145</v>
      </c>
      <c r="N3594" s="2" t="s">
        <v>775</v>
      </c>
      <c r="O3594" s="2" t="s">
        <v>100</v>
      </c>
      <c r="P3594" s="2" t="str">
        <f>"2170588043                    "</f>
        <v xml:space="preserve">2170588043                    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3.13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1</v>
      </c>
      <c r="BI3594" s="2">
        <v>1.8</v>
      </c>
      <c r="BJ3594" s="2">
        <v>3</v>
      </c>
      <c r="BK3594" s="2">
        <v>3</v>
      </c>
      <c r="BL3594" s="2">
        <v>32.380000000000003</v>
      </c>
      <c r="BM3594" s="2">
        <v>4.53</v>
      </c>
      <c r="BN3594" s="2">
        <v>36.909999999999997</v>
      </c>
      <c r="BO3594" s="2">
        <v>36.909999999999997</v>
      </c>
      <c r="BP3594" s="2"/>
      <c r="BQ3594" s="2" t="s">
        <v>108</v>
      </c>
      <c r="BR3594" s="2" t="s">
        <v>84</v>
      </c>
      <c r="BS3594" s="1" t="s">
        <v>1200</v>
      </c>
      <c r="BT3594" s="2"/>
      <c r="BU3594" s="2"/>
      <c r="BV3594" s="2"/>
      <c r="BW3594" s="2"/>
      <c r="BX3594" s="2"/>
      <c r="BY3594" s="2">
        <v>15237.04</v>
      </c>
      <c r="BZ3594" s="2"/>
      <c r="CA3594" s="2"/>
      <c r="CB3594" s="2"/>
      <c r="CC3594" s="2" t="s">
        <v>145</v>
      </c>
      <c r="CD3594" s="2">
        <v>2113</v>
      </c>
      <c r="CE3594" s="2" t="s">
        <v>135</v>
      </c>
      <c r="CF3594" s="2"/>
      <c r="CG3594" s="2"/>
      <c r="CH3594" s="2"/>
      <c r="CI3594" s="2">
        <v>1</v>
      </c>
      <c r="CJ3594" s="2" t="s">
        <v>1200</v>
      </c>
      <c r="CK3594" s="2">
        <v>22</v>
      </c>
      <c r="CL3594" s="2" t="s">
        <v>86</v>
      </c>
      <c r="CM3594" s="2"/>
    </row>
    <row r="3595" spans="1:91">
      <c r="A3595" s="2" t="s">
        <v>71</v>
      </c>
      <c r="B3595" s="2" t="s">
        <v>72</v>
      </c>
      <c r="C3595" s="2" t="s">
        <v>73</v>
      </c>
      <c r="D3595" s="2"/>
      <c r="E3595" s="2" t="str">
        <f>"FES1162572489"</f>
        <v>FES1162572489</v>
      </c>
      <c r="F3595" s="3">
        <v>42978</v>
      </c>
      <c r="G3595" s="2">
        <v>201802</v>
      </c>
      <c r="H3595" s="2" t="s">
        <v>74</v>
      </c>
      <c r="I3595" s="2" t="s">
        <v>75</v>
      </c>
      <c r="J3595" s="2" t="s">
        <v>76</v>
      </c>
      <c r="K3595" s="2" t="s">
        <v>77</v>
      </c>
      <c r="L3595" s="2" t="s">
        <v>144</v>
      </c>
      <c r="M3595" s="2" t="s">
        <v>145</v>
      </c>
      <c r="N3595" s="2" t="s">
        <v>260</v>
      </c>
      <c r="O3595" s="2" t="s">
        <v>100</v>
      </c>
      <c r="P3595" s="2" t="str">
        <f>"2170588040                    "</f>
        <v xml:space="preserve">2170588040                    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3.13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  <c r="BG3595" s="2">
        <v>0</v>
      </c>
      <c r="BH3595" s="2">
        <v>1</v>
      </c>
      <c r="BI3595" s="2">
        <v>3.8</v>
      </c>
      <c r="BJ3595" s="2">
        <v>3.3</v>
      </c>
      <c r="BK3595" s="2">
        <v>4</v>
      </c>
      <c r="BL3595" s="2">
        <v>32.380000000000003</v>
      </c>
      <c r="BM3595" s="2">
        <v>4.53</v>
      </c>
      <c r="BN3595" s="2">
        <v>36.909999999999997</v>
      </c>
      <c r="BO3595" s="2">
        <v>36.909999999999997</v>
      </c>
      <c r="BP3595" s="2"/>
      <c r="BQ3595" s="2" t="s">
        <v>108</v>
      </c>
      <c r="BR3595" s="2" t="s">
        <v>84</v>
      </c>
      <c r="BS3595" s="1" t="s">
        <v>1200</v>
      </c>
      <c r="BT3595" s="2"/>
      <c r="BU3595" s="2"/>
      <c r="BV3595" s="2"/>
      <c r="BW3595" s="2"/>
      <c r="BX3595" s="2"/>
      <c r="BY3595" s="2">
        <v>16563.689999999999</v>
      </c>
      <c r="BZ3595" s="2"/>
      <c r="CA3595" s="2"/>
      <c r="CB3595" s="2"/>
      <c r="CC3595" s="2" t="s">
        <v>145</v>
      </c>
      <c r="CD3595" s="2">
        <v>2091</v>
      </c>
      <c r="CE3595" s="2" t="s">
        <v>89</v>
      </c>
      <c r="CF3595" s="2"/>
      <c r="CG3595" s="2"/>
      <c r="CH3595" s="2"/>
      <c r="CI3595" s="2">
        <v>1</v>
      </c>
      <c r="CJ3595" s="2" t="s">
        <v>1200</v>
      </c>
      <c r="CK3595" s="2">
        <v>22</v>
      </c>
      <c r="CL3595" s="2" t="s">
        <v>86</v>
      </c>
      <c r="CM3595" s="2"/>
    </row>
    <row r="3596" spans="1:91">
      <c r="A3596" s="2" t="s">
        <v>71</v>
      </c>
      <c r="B3596" s="2" t="s">
        <v>72</v>
      </c>
      <c r="C3596" s="2" t="s">
        <v>73</v>
      </c>
      <c r="D3596" s="2"/>
      <c r="E3596" s="2" t="str">
        <f>"FES1162572478"</f>
        <v>FES1162572478</v>
      </c>
      <c r="F3596" s="3">
        <v>42978</v>
      </c>
      <c r="G3596" s="2">
        <v>201802</v>
      </c>
      <c r="H3596" s="2" t="s">
        <v>74</v>
      </c>
      <c r="I3596" s="2" t="s">
        <v>75</v>
      </c>
      <c r="J3596" s="2" t="s">
        <v>76</v>
      </c>
      <c r="K3596" s="2" t="s">
        <v>77</v>
      </c>
      <c r="L3596" s="2" t="s">
        <v>74</v>
      </c>
      <c r="M3596" s="2" t="s">
        <v>75</v>
      </c>
      <c r="N3596" s="2" t="s">
        <v>2324</v>
      </c>
      <c r="O3596" s="2" t="s">
        <v>100</v>
      </c>
      <c r="P3596" s="2" t="str">
        <f>"2170588033                    "</f>
        <v xml:space="preserve">2170588033                    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3.13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0</v>
      </c>
      <c r="BF3596" s="2">
        <v>0</v>
      </c>
      <c r="BG3596" s="2">
        <v>0</v>
      </c>
      <c r="BH3596" s="2">
        <v>1</v>
      </c>
      <c r="BI3596" s="2">
        <v>0.8</v>
      </c>
      <c r="BJ3596" s="2">
        <v>3.2</v>
      </c>
      <c r="BK3596" s="2">
        <v>4</v>
      </c>
      <c r="BL3596" s="2">
        <v>32.380000000000003</v>
      </c>
      <c r="BM3596" s="2">
        <v>4.53</v>
      </c>
      <c r="BN3596" s="2">
        <v>36.909999999999997</v>
      </c>
      <c r="BO3596" s="2">
        <v>36.909999999999997</v>
      </c>
      <c r="BP3596" s="2"/>
      <c r="BQ3596" s="2" t="s">
        <v>108</v>
      </c>
      <c r="BR3596" s="2" t="s">
        <v>84</v>
      </c>
      <c r="BS3596" s="1" t="s">
        <v>1200</v>
      </c>
      <c r="BT3596" s="2"/>
      <c r="BU3596" s="2"/>
      <c r="BV3596" s="2"/>
      <c r="BW3596" s="2"/>
      <c r="BX3596" s="2"/>
      <c r="BY3596" s="2">
        <v>16094.24</v>
      </c>
      <c r="BZ3596" s="2"/>
      <c r="CA3596" s="2"/>
      <c r="CB3596" s="2"/>
      <c r="CC3596" s="2" t="s">
        <v>75</v>
      </c>
      <c r="CD3596" s="2">
        <v>1600</v>
      </c>
      <c r="CE3596" s="2" t="s">
        <v>89</v>
      </c>
      <c r="CF3596" s="2"/>
      <c r="CG3596" s="2"/>
      <c r="CH3596" s="2"/>
      <c r="CI3596" s="2">
        <v>1</v>
      </c>
      <c r="CJ3596" s="2" t="s">
        <v>1200</v>
      </c>
      <c r="CK3596" s="2">
        <v>22</v>
      </c>
      <c r="CL3596" s="2" t="s">
        <v>86</v>
      </c>
      <c r="CM3596" s="2"/>
    </row>
    <row r="3597" spans="1:91">
      <c r="A3597" s="2" t="s">
        <v>71</v>
      </c>
      <c r="B3597" s="2" t="s">
        <v>72</v>
      </c>
      <c r="C3597" s="2" t="s">
        <v>73</v>
      </c>
      <c r="D3597" s="2"/>
      <c r="E3597" s="2" t="str">
        <f>"FES1162572456"</f>
        <v>FES1162572456</v>
      </c>
      <c r="F3597" s="3">
        <v>42978</v>
      </c>
      <c r="G3597" s="2">
        <v>201802</v>
      </c>
      <c r="H3597" s="2" t="s">
        <v>74</v>
      </c>
      <c r="I3597" s="2" t="s">
        <v>75</v>
      </c>
      <c r="J3597" s="2" t="s">
        <v>76</v>
      </c>
      <c r="K3597" s="2" t="s">
        <v>77</v>
      </c>
      <c r="L3597" s="2" t="s">
        <v>144</v>
      </c>
      <c r="M3597" s="2" t="s">
        <v>145</v>
      </c>
      <c r="N3597" s="2" t="s">
        <v>146</v>
      </c>
      <c r="O3597" s="2" t="s">
        <v>358</v>
      </c>
      <c r="P3597" s="2" t="str">
        <f>"2170586018                    "</f>
        <v xml:space="preserve">2170586018                    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6.63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  <c r="BG3597" s="2">
        <v>0</v>
      </c>
      <c r="BH3597" s="2">
        <v>1</v>
      </c>
      <c r="BI3597" s="2">
        <v>17.899999999999999</v>
      </c>
      <c r="BJ3597" s="2">
        <v>17.5</v>
      </c>
      <c r="BK3597" s="2">
        <v>18</v>
      </c>
      <c r="BL3597" s="2">
        <v>68.680000000000007</v>
      </c>
      <c r="BM3597" s="2">
        <v>9.6199999999999992</v>
      </c>
      <c r="BN3597" s="2">
        <v>78.3</v>
      </c>
      <c r="BO3597" s="2">
        <v>78.3</v>
      </c>
      <c r="BP3597" s="2"/>
      <c r="BQ3597" s="2" t="s">
        <v>83</v>
      </c>
      <c r="BR3597" s="2" t="s">
        <v>84</v>
      </c>
      <c r="BS3597" s="1" t="s">
        <v>1200</v>
      </c>
      <c r="BT3597" s="2"/>
      <c r="BU3597" s="2"/>
      <c r="BV3597" s="2"/>
      <c r="BW3597" s="2"/>
      <c r="BX3597" s="2"/>
      <c r="BY3597" s="2">
        <v>87438</v>
      </c>
      <c r="BZ3597" s="2"/>
      <c r="CA3597" s="2"/>
      <c r="CB3597" s="2"/>
      <c r="CC3597" s="2" t="s">
        <v>145</v>
      </c>
      <c r="CD3597" s="2">
        <v>2094</v>
      </c>
      <c r="CE3597" s="2" t="s">
        <v>89</v>
      </c>
      <c r="CF3597" s="2"/>
      <c r="CG3597" s="2"/>
      <c r="CH3597" s="2"/>
      <c r="CI3597" s="2">
        <v>1</v>
      </c>
      <c r="CJ3597" s="2" t="s">
        <v>1200</v>
      </c>
      <c r="CK3597" s="2">
        <v>32</v>
      </c>
      <c r="CL3597" s="2" t="s">
        <v>86</v>
      </c>
      <c r="CM3597" s="2"/>
    </row>
    <row r="3598" spans="1:91">
      <c r="A3598" s="2" t="s">
        <v>71</v>
      </c>
      <c r="B3598" s="2" t="s">
        <v>72</v>
      </c>
      <c r="C3598" s="2" t="s">
        <v>73</v>
      </c>
      <c r="D3598" s="2"/>
      <c r="E3598" s="2" t="str">
        <f>"FES1162572469"</f>
        <v>FES1162572469</v>
      </c>
      <c r="F3598" s="3">
        <v>42978</v>
      </c>
      <c r="G3598" s="2">
        <v>201802</v>
      </c>
      <c r="H3598" s="2" t="s">
        <v>74</v>
      </c>
      <c r="I3598" s="2" t="s">
        <v>75</v>
      </c>
      <c r="J3598" s="2" t="s">
        <v>76</v>
      </c>
      <c r="K3598" s="2" t="s">
        <v>77</v>
      </c>
      <c r="L3598" s="2" t="s">
        <v>97</v>
      </c>
      <c r="M3598" s="2" t="s">
        <v>98</v>
      </c>
      <c r="N3598" s="2" t="s">
        <v>214</v>
      </c>
      <c r="O3598" s="2" t="s">
        <v>100</v>
      </c>
      <c r="P3598" s="2" t="str">
        <f>"2170588016                    "</f>
        <v xml:space="preserve">2170588016                    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7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0</v>
      </c>
      <c r="BD3598" s="2">
        <v>0</v>
      </c>
      <c r="BE3598" s="2">
        <v>0</v>
      </c>
      <c r="BF3598" s="2">
        <v>0</v>
      </c>
      <c r="BG3598" s="2">
        <v>0</v>
      </c>
      <c r="BH3598" s="2">
        <v>1</v>
      </c>
      <c r="BI3598" s="2">
        <v>2.9</v>
      </c>
      <c r="BJ3598" s="2">
        <v>3.2</v>
      </c>
      <c r="BK3598" s="2">
        <v>3.5</v>
      </c>
      <c r="BL3598" s="2">
        <v>72.52</v>
      </c>
      <c r="BM3598" s="2">
        <v>10.15</v>
      </c>
      <c r="BN3598" s="2">
        <v>82.67</v>
      </c>
      <c r="BO3598" s="2">
        <v>82.67</v>
      </c>
      <c r="BP3598" s="2"/>
      <c r="BQ3598" s="2" t="s">
        <v>108</v>
      </c>
      <c r="BR3598" s="2" t="s">
        <v>84</v>
      </c>
      <c r="BS3598" s="1" t="s">
        <v>1200</v>
      </c>
      <c r="BT3598" s="2"/>
      <c r="BU3598" s="2"/>
      <c r="BV3598" s="2"/>
      <c r="BW3598" s="2"/>
      <c r="BX3598" s="2"/>
      <c r="BY3598" s="2">
        <v>16045.12</v>
      </c>
      <c r="BZ3598" s="2"/>
      <c r="CA3598" s="2"/>
      <c r="CB3598" s="2"/>
      <c r="CC3598" s="2" t="s">
        <v>98</v>
      </c>
      <c r="CD3598" s="2">
        <v>6001</v>
      </c>
      <c r="CE3598" s="2" t="s">
        <v>89</v>
      </c>
      <c r="CF3598" s="2"/>
      <c r="CG3598" s="2"/>
      <c r="CH3598" s="2"/>
      <c r="CI3598" s="2">
        <v>1</v>
      </c>
      <c r="CJ3598" s="2" t="s">
        <v>1200</v>
      </c>
      <c r="CK3598" s="2">
        <v>21</v>
      </c>
      <c r="CL3598" s="2" t="s">
        <v>86</v>
      </c>
      <c r="CM3598" s="2"/>
    </row>
    <row r="3599" spans="1:91">
      <c r="A3599" s="2" t="s">
        <v>71</v>
      </c>
      <c r="B3599" s="2" t="s">
        <v>72</v>
      </c>
      <c r="C3599" s="2" t="s">
        <v>73</v>
      </c>
      <c r="D3599" s="2"/>
      <c r="E3599" s="2" t="str">
        <f>"FES1162572467"</f>
        <v>FES1162572467</v>
      </c>
      <c r="F3599" s="3">
        <v>42978</v>
      </c>
      <c r="G3599" s="2">
        <v>201802</v>
      </c>
      <c r="H3599" s="2" t="s">
        <v>74</v>
      </c>
      <c r="I3599" s="2" t="s">
        <v>75</v>
      </c>
      <c r="J3599" s="2" t="s">
        <v>76</v>
      </c>
      <c r="K3599" s="2" t="s">
        <v>77</v>
      </c>
      <c r="L3599" s="2" t="s">
        <v>174</v>
      </c>
      <c r="M3599" s="2" t="s">
        <v>175</v>
      </c>
      <c r="N3599" s="2" t="s">
        <v>920</v>
      </c>
      <c r="O3599" s="2" t="s">
        <v>100</v>
      </c>
      <c r="P3599" s="2" t="str">
        <f>"2170588010                    "</f>
        <v xml:space="preserve">2170588010                    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13.01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1</v>
      </c>
      <c r="BI3599" s="2">
        <v>6.5</v>
      </c>
      <c r="BJ3599" s="2">
        <v>3.5</v>
      </c>
      <c r="BK3599" s="2">
        <v>6.5</v>
      </c>
      <c r="BL3599" s="2">
        <v>134.69</v>
      </c>
      <c r="BM3599" s="2">
        <v>18.86</v>
      </c>
      <c r="BN3599" s="2">
        <v>153.55000000000001</v>
      </c>
      <c r="BO3599" s="2">
        <v>153.55000000000001</v>
      </c>
      <c r="BP3599" s="2"/>
      <c r="BQ3599" s="2" t="s">
        <v>108</v>
      </c>
      <c r="BR3599" s="2" t="s">
        <v>84</v>
      </c>
      <c r="BS3599" s="1" t="s">
        <v>1200</v>
      </c>
      <c r="BT3599" s="2"/>
      <c r="BU3599" s="2"/>
      <c r="BV3599" s="2"/>
      <c r="BW3599" s="2"/>
      <c r="BX3599" s="2"/>
      <c r="BY3599" s="2">
        <v>17694.939999999999</v>
      </c>
      <c r="BZ3599" s="2"/>
      <c r="CA3599" s="2"/>
      <c r="CB3599" s="2"/>
      <c r="CC3599" s="2" t="s">
        <v>175</v>
      </c>
      <c r="CD3599" s="2">
        <v>5201</v>
      </c>
      <c r="CE3599" s="2" t="s">
        <v>89</v>
      </c>
      <c r="CF3599" s="2"/>
      <c r="CG3599" s="2"/>
      <c r="CH3599" s="2"/>
      <c r="CI3599" s="2">
        <v>1</v>
      </c>
      <c r="CJ3599" s="2" t="s">
        <v>1200</v>
      </c>
      <c r="CK3599" s="2">
        <v>21</v>
      </c>
      <c r="CL3599" s="2" t="s">
        <v>86</v>
      </c>
      <c r="CM3599" s="2"/>
    </row>
    <row r="3600" spans="1:91">
      <c r="A3600" s="2" t="s">
        <v>71</v>
      </c>
      <c r="B3600" s="2" t="s">
        <v>72</v>
      </c>
      <c r="C3600" s="2" t="s">
        <v>73</v>
      </c>
      <c r="D3600" s="2"/>
      <c r="E3600" s="2" t="str">
        <f>"FES1162572558"</f>
        <v>FES1162572558</v>
      </c>
      <c r="F3600" s="3">
        <v>42978</v>
      </c>
      <c r="G3600" s="2">
        <v>201802</v>
      </c>
      <c r="H3600" s="2" t="s">
        <v>74</v>
      </c>
      <c r="I3600" s="2" t="s">
        <v>75</v>
      </c>
      <c r="J3600" s="2" t="s">
        <v>76</v>
      </c>
      <c r="K3600" s="2" t="s">
        <v>77</v>
      </c>
      <c r="L3600" s="2" t="s">
        <v>237</v>
      </c>
      <c r="M3600" s="2" t="s">
        <v>238</v>
      </c>
      <c r="N3600" s="2" t="s">
        <v>673</v>
      </c>
      <c r="O3600" s="2" t="s">
        <v>100</v>
      </c>
      <c r="P3600" s="2" t="str">
        <f>"2170585840                    "</f>
        <v xml:space="preserve">2170585840                    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4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0</v>
      </c>
      <c r="BF3600" s="2">
        <v>0</v>
      </c>
      <c r="BG3600" s="2">
        <v>0</v>
      </c>
      <c r="BH3600" s="2">
        <v>1</v>
      </c>
      <c r="BI3600" s="2">
        <v>1</v>
      </c>
      <c r="BJ3600" s="2">
        <v>0.2</v>
      </c>
      <c r="BK3600" s="2">
        <v>1</v>
      </c>
      <c r="BL3600" s="2">
        <v>41.44</v>
      </c>
      <c r="BM3600" s="2">
        <v>5.8</v>
      </c>
      <c r="BN3600" s="2">
        <v>47.24</v>
      </c>
      <c r="BO3600" s="2">
        <v>47.24</v>
      </c>
      <c r="BP3600" s="2"/>
      <c r="BQ3600" s="2" t="s">
        <v>83</v>
      </c>
      <c r="BR3600" s="2" t="s">
        <v>84</v>
      </c>
      <c r="BS3600" s="1" t="s">
        <v>1200</v>
      </c>
      <c r="BT3600" s="2"/>
      <c r="BU3600" s="2"/>
      <c r="BV3600" s="2"/>
      <c r="BW3600" s="2"/>
      <c r="BX3600" s="2"/>
      <c r="BY3600" s="2">
        <v>1200</v>
      </c>
      <c r="BZ3600" s="2"/>
      <c r="CA3600" s="2"/>
      <c r="CB3600" s="2"/>
      <c r="CC3600" s="2" t="s">
        <v>238</v>
      </c>
      <c r="CD3600" s="2">
        <v>3610</v>
      </c>
      <c r="CE3600" s="2" t="s">
        <v>104</v>
      </c>
      <c r="CF3600" s="2"/>
      <c r="CG3600" s="2"/>
      <c r="CH3600" s="2"/>
      <c r="CI3600" s="2">
        <v>1</v>
      </c>
      <c r="CJ3600" s="2" t="s">
        <v>1200</v>
      </c>
      <c r="CK3600" s="2">
        <v>21</v>
      </c>
      <c r="CL3600" s="2" t="s">
        <v>86</v>
      </c>
      <c r="CM3600" s="2"/>
    </row>
    <row r="3601" spans="1:91">
      <c r="A3601" s="2" t="s">
        <v>71</v>
      </c>
      <c r="B3601" s="2" t="s">
        <v>72</v>
      </c>
      <c r="C3601" s="2" t="s">
        <v>73</v>
      </c>
      <c r="D3601" s="2"/>
      <c r="E3601" s="2" t="str">
        <f>"FES1162572557"</f>
        <v>FES1162572557</v>
      </c>
      <c r="F3601" s="3">
        <v>42978</v>
      </c>
      <c r="G3601" s="2">
        <v>201802</v>
      </c>
      <c r="H3601" s="2" t="s">
        <v>74</v>
      </c>
      <c r="I3601" s="2" t="s">
        <v>75</v>
      </c>
      <c r="J3601" s="2" t="s">
        <v>76</v>
      </c>
      <c r="K3601" s="2" t="s">
        <v>77</v>
      </c>
      <c r="L3601" s="2" t="s">
        <v>149</v>
      </c>
      <c r="M3601" s="2" t="s">
        <v>150</v>
      </c>
      <c r="N3601" s="2" t="s">
        <v>503</v>
      </c>
      <c r="O3601" s="2" t="s">
        <v>100</v>
      </c>
      <c r="P3601" s="2" t="str">
        <f>"2170585831                    "</f>
        <v xml:space="preserve">2170585831                    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4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  <c r="BG3601" s="2">
        <v>0</v>
      </c>
      <c r="BH3601" s="2">
        <v>1</v>
      </c>
      <c r="BI3601" s="2">
        <v>1</v>
      </c>
      <c r="BJ3601" s="2">
        <v>0.2</v>
      </c>
      <c r="BK3601" s="2">
        <v>1</v>
      </c>
      <c r="BL3601" s="2">
        <v>41.44</v>
      </c>
      <c r="BM3601" s="2">
        <v>5.8</v>
      </c>
      <c r="BN3601" s="2">
        <v>47.24</v>
      </c>
      <c r="BO3601" s="2">
        <v>47.24</v>
      </c>
      <c r="BP3601" s="2"/>
      <c r="BQ3601" s="2" t="s">
        <v>108</v>
      </c>
      <c r="BR3601" s="2" t="s">
        <v>84</v>
      </c>
      <c r="BS3601" s="1" t="s">
        <v>1200</v>
      </c>
      <c r="BT3601" s="2"/>
      <c r="BU3601" s="2"/>
      <c r="BV3601" s="2"/>
      <c r="BW3601" s="2"/>
      <c r="BX3601" s="2"/>
      <c r="BY3601" s="2">
        <v>1200</v>
      </c>
      <c r="BZ3601" s="2"/>
      <c r="CA3601" s="2"/>
      <c r="CB3601" s="2"/>
      <c r="CC3601" s="2" t="s">
        <v>150</v>
      </c>
      <c r="CD3601" s="2">
        <v>4001</v>
      </c>
      <c r="CE3601" s="2" t="s">
        <v>104</v>
      </c>
      <c r="CF3601" s="2"/>
      <c r="CG3601" s="2"/>
      <c r="CH3601" s="2"/>
      <c r="CI3601" s="2">
        <v>1</v>
      </c>
      <c r="CJ3601" s="2" t="s">
        <v>1200</v>
      </c>
      <c r="CK3601" s="2">
        <v>21</v>
      </c>
      <c r="CL3601" s="2" t="s">
        <v>86</v>
      </c>
      <c r="CM3601" s="2"/>
    </row>
    <row r="3602" spans="1:91">
      <c r="A3602" s="2" t="s">
        <v>71</v>
      </c>
      <c r="B3602" s="2" t="s">
        <v>72</v>
      </c>
      <c r="C3602" s="2" t="s">
        <v>73</v>
      </c>
      <c r="D3602" s="2"/>
      <c r="E3602" s="2" t="str">
        <f>"FES1162572568"</f>
        <v>FES1162572568</v>
      </c>
      <c r="F3602" s="3">
        <v>42978</v>
      </c>
      <c r="G3602" s="2">
        <v>201802</v>
      </c>
      <c r="H3602" s="2" t="s">
        <v>74</v>
      </c>
      <c r="I3602" s="2" t="s">
        <v>75</v>
      </c>
      <c r="J3602" s="2" t="s">
        <v>76</v>
      </c>
      <c r="K3602" s="2" t="s">
        <v>77</v>
      </c>
      <c r="L3602" s="2" t="s">
        <v>231</v>
      </c>
      <c r="M3602" s="2" t="s">
        <v>232</v>
      </c>
      <c r="N3602" s="2" t="s">
        <v>233</v>
      </c>
      <c r="O3602" s="2" t="s">
        <v>100</v>
      </c>
      <c r="P3602" s="2" t="str">
        <f>"2170587314                    "</f>
        <v xml:space="preserve">2170587314                    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4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2">
        <v>0</v>
      </c>
      <c r="BD3602" s="2">
        <v>0</v>
      </c>
      <c r="BE3602" s="2">
        <v>0</v>
      </c>
      <c r="BF3602" s="2">
        <v>0</v>
      </c>
      <c r="BG3602" s="2">
        <v>0</v>
      </c>
      <c r="BH3602" s="2">
        <v>1</v>
      </c>
      <c r="BI3602" s="2">
        <v>1</v>
      </c>
      <c r="BJ3602" s="2">
        <v>0.2</v>
      </c>
      <c r="BK3602" s="2">
        <v>1</v>
      </c>
      <c r="BL3602" s="2">
        <v>41.44</v>
      </c>
      <c r="BM3602" s="2">
        <v>5.8</v>
      </c>
      <c r="BN3602" s="2">
        <v>47.24</v>
      </c>
      <c r="BO3602" s="2">
        <v>47.24</v>
      </c>
      <c r="BP3602" s="2"/>
      <c r="BQ3602" s="2" t="s">
        <v>83</v>
      </c>
      <c r="BR3602" s="2" t="s">
        <v>84</v>
      </c>
      <c r="BS3602" s="1" t="s">
        <v>1200</v>
      </c>
      <c r="BT3602" s="2"/>
      <c r="BU3602" s="2"/>
      <c r="BV3602" s="2"/>
      <c r="BW3602" s="2"/>
      <c r="BX3602" s="2"/>
      <c r="BY3602" s="2">
        <v>1200</v>
      </c>
      <c r="BZ3602" s="2"/>
      <c r="CA3602" s="2"/>
      <c r="CB3602" s="2"/>
      <c r="CC3602" s="2" t="s">
        <v>232</v>
      </c>
      <c r="CD3602" s="2">
        <v>4026</v>
      </c>
      <c r="CE3602" s="2" t="s">
        <v>104</v>
      </c>
      <c r="CF3602" s="2"/>
      <c r="CG3602" s="2"/>
      <c r="CH3602" s="2"/>
      <c r="CI3602" s="2">
        <v>1</v>
      </c>
      <c r="CJ3602" s="2" t="s">
        <v>1200</v>
      </c>
      <c r="CK3602" s="2">
        <v>21</v>
      </c>
      <c r="CL3602" s="2" t="s">
        <v>86</v>
      </c>
      <c r="CM3602" s="2"/>
    </row>
    <row r="3603" spans="1:91">
      <c r="A3603" s="2" t="s">
        <v>71</v>
      </c>
      <c r="B3603" s="2" t="s">
        <v>72</v>
      </c>
      <c r="C3603" s="2" t="s">
        <v>73</v>
      </c>
      <c r="D3603" s="2"/>
      <c r="E3603" s="2" t="str">
        <f>"FES1162572504"</f>
        <v>FES1162572504</v>
      </c>
      <c r="F3603" s="3">
        <v>42978</v>
      </c>
      <c r="G3603" s="2">
        <v>201802</v>
      </c>
      <c r="H3603" s="2" t="s">
        <v>74</v>
      </c>
      <c r="I3603" s="2" t="s">
        <v>75</v>
      </c>
      <c r="J3603" s="2" t="s">
        <v>76</v>
      </c>
      <c r="K3603" s="2" t="s">
        <v>77</v>
      </c>
      <c r="L3603" s="2" t="s">
        <v>105</v>
      </c>
      <c r="M3603" s="2" t="s">
        <v>106</v>
      </c>
      <c r="N3603" s="2" t="s">
        <v>884</v>
      </c>
      <c r="O3603" s="2" t="s">
        <v>100</v>
      </c>
      <c r="P3603" s="2" t="str">
        <f>"2170588071                    "</f>
        <v xml:space="preserve">2170588071                    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4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  <c r="BG3603" s="2">
        <v>0</v>
      </c>
      <c r="BH3603" s="2">
        <v>1</v>
      </c>
      <c r="BI3603" s="2">
        <v>1</v>
      </c>
      <c r="BJ3603" s="2">
        <v>0.2</v>
      </c>
      <c r="BK3603" s="2">
        <v>1</v>
      </c>
      <c r="BL3603" s="2">
        <v>41.44</v>
      </c>
      <c r="BM3603" s="2">
        <v>5.8</v>
      </c>
      <c r="BN3603" s="2">
        <v>47.24</v>
      </c>
      <c r="BO3603" s="2">
        <v>47.24</v>
      </c>
      <c r="BP3603" s="2"/>
      <c r="BQ3603" s="2" t="s">
        <v>288</v>
      </c>
      <c r="BR3603" s="2" t="s">
        <v>84</v>
      </c>
      <c r="BS3603" s="1" t="s">
        <v>1200</v>
      </c>
      <c r="BT3603" s="2"/>
      <c r="BU3603" s="2"/>
      <c r="BV3603" s="2"/>
      <c r="BW3603" s="2"/>
      <c r="BX3603" s="2"/>
      <c r="BY3603" s="2">
        <v>1200</v>
      </c>
      <c r="BZ3603" s="2"/>
      <c r="CA3603" s="2"/>
      <c r="CB3603" s="2"/>
      <c r="CC3603" s="2" t="s">
        <v>106</v>
      </c>
      <c r="CD3603" s="2">
        <v>7570</v>
      </c>
      <c r="CE3603" s="2" t="s">
        <v>104</v>
      </c>
      <c r="CF3603" s="2"/>
      <c r="CG3603" s="2"/>
      <c r="CH3603" s="2"/>
      <c r="CI3603" s="2">
        <v>1</v>
      </c>
      <c r="CJ3603" s="2" t="s">
        <v>1200</v>
      </c>
      <c r="CK3603" s="2">
        <v>21</v>
      </c>
      <c r="CL3603" s="2" t="s">
        <v>86</v>
      </c>
      <c r="CM3603" s="2"/>
    </row>
    <row r="3604" spans="1:91">
      <c r="A3604" s="2" t="s">
        <v>71</v>
      </c>
      <c r="B3604" s="2" t="s">
        <v>72</v>
      </c>
      <c r="C3604" s="2" t="s">
        <v>73</v>
      </c>
      <c r="D3604" s="2"/>
      <c r="E3604" s="2" t="str">
        <f>"FES1162572462"</f>
        <v>FES1162572462</v>
      </c>
      <c r="F3604" s="3">
        <v>42978</v>
      </c>
      <c r="G3604" s="2">
        <v>201802</v>
      </c>
      <c r="H3604" s="2" t="s">
        <v>74</v>
      </c>
      <c r="I3604" s="2" t="s">
        <v>75</v>
      </c>
      <c r="J3604" s="2" t="s">
        <v>76</v>
      </c>
      <c r="K3604" s="2" t="s">
        <v>77</v>
      </c>
      <c r="L3604" s="2" t="s">
        <v>105</v>
      </c>
      <c r="M3604" s="2" t="s">
        <v>106</v>
      </c>
      <c r="N3604" s="2" t="s">
        <v>1306</v>
      </c>
      <c r="O3604" s="2" t="s">
        <v>100</v>
      </c>
      <c r="P3604" s="2" t="str">
        <f>"2170587868                    "</f>
        <v xml:space="preserve">2170587868                    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4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  <c r="BG3604" s="2">
        <v>0</v>
      </c>
      <c r="BH3604" s="2">
        <v>1</v>
      </c>
      <c r="BI3604" s="2">
        <v>1</v>
      </c>
      <c r="BJ3604" s="2">
        <v>0.2</v>
      </c>
      <c r="BK3604" s="2">
        <v>1</v>
      </c>
      <c r="BL3604" s="2">
        <v>41.44</v>
      </c>
      <c r="BM3604" s="2">
        <v>5.8</v>
      </c>
      <c r="BN3604" s="2">
        <v>47.24</v>
      </c>
      <c r="BO3604" s="2">
        <v>47.24</v>
      </c>
      <c r="BP3604" s="2"/>
      <c r="BQ3604" s="2" t="s">
        <v>209</v>
      </c>
      <c r="BR3604" s="2" t="s">
        <v>84</v>
      </c>
      <c r="BS3604" s="1" t="s">
        <v>1200</v>
      </c>
      <c r="BT3604" s="2"/>
      <c r="BU3604" s="2"/>
      <c r="BV3604" s="2"/>
      <c r="BW3604" s="2"/>
      <c r="BX3604" s="2"/>
      <c r="BY3604" s="2">
        <v>1200</v>
      </c>
      <c r="BZ3604" s="2"/>
      <c r="CA3604" s="2"/>
      <c r="CB3604" s="2"/>
      <c r="CC3604" s="2" t="s">
        <v>106</v>
      </c>
      <c r="CD3604" s="2">
        <v>7441</v>
      </c>
      <c r="CE3604" s="2" t="s">
        <v>104</v>
      </c>
      <c r="CF3604" s="2"/>
      <c r="CG3604" s="2"/>
      <c r="CH3604" s="2"/>
      <c r="CI3604" s="2">
        <v>1</v>
      </c>
      <c r="CJ3604" s="2" t="s">
        <v>1200</v>
      </c>
      <c r="CK3604" s="2">
        <v>21</v>
      </c>
      <c r="CL3604" s="2" t="s">
        <v>86</v>
      </c>
      <c r="CM3604" s="2"/>
    </row>
    <row r="3605" spans="1:91">
      <c r="A3605" s="2" t="s">
        <v>71</v>
      </c>
      <c r="B3605" s="2" t="s">
        <v>72</v>
      </c>
      <c r="C3605" s="2" t="s">
        <v>73</v>
      </c>
      <c r="D3605" s="2"/>
      <c r="E3605" s="2" t="str">
        <f>"FES1162572482"</f>
        <v>FES1162572482</v>
      </c>
      <c r="F3605" s="3">
        <v>42978</v>
      </c>
      <c r="G3605" s="2">
        <v>201802</v>
      </c>
      <c r="H3605" s="2" t="s">
        <v>74</v>
      </c>
      <c r="I3605" s="2" t="s">
        <v>75</v>
      </c>
      <c r="J3605" s="2" t="s">
        <v>76</v>
      </c>
      <c r="K3605" s="2" t="s">
        <v>77</v>
      </c>
      <c r="L3605" s="2" t="s">
        <v>105</v>
      </c>
      <c r="M3605" s="2" t="s">
        <v>106</v>
      </c>
      <c r="N3605" s="2" t="s">
        <v>870</v>
      </c>
      <c r="O3605" s="2" t="s">
        <v>100</v>
      </c>
      <c r="P3605" s="2" t="str">
        <f>"2170585824                    "</f>
        <v xml:space="preserve">2170585824                    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4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1</v>
      </c>
      <c r="BI3605" s="2">
        <v>1</v>
      </c>
      <c r="BJ3605" s="2">
        <v>0.2</v>
      </c>
      <c r="BK3605" s="2">
        <v>1</v>
      </c>
      <c r="BL3605" s="2">
        <v>41.44</v>
      </c>
      <c r="BM3605" s="2">
        <v>5.8</v>
      </c>
      <c r="BN3605" s="2">
        <v>47.24</v>
      </c>
      <c r="BO3605" s="2">
        <v>47.24</v>
      </c>
      <c r="BP3605" s="2"/>
      <c r="BQ3605" s="2" t="s">
        <v>3591</v>
      </c>
      <c r="BR3605" s="2" t="s">
        <v>84</v>
      </c>
      <c r="BS3605" s="1" t="s">
        <v>1200</v>
      </c>
      <c r="BT3605" s="2"/>
      <c r="BU3605" s="2"/>
      <c r="BV3605" s="2"/>
      <c r="BW3605" s="2"/>
      <c r="BX3605" s="2"/>
      <c r="BY3605" s="2">
        <v>1200</v>
      </c>
      <c r="BZ3605" s="2"/>
      <c r="CA3605" s="2"/>
      <c r="CB3605" s="2"/>
      <c r="CC3605" s="2" t="s">
        <v>106</v>
      </c>
      <c r="CD3605" s="2">
        <v>8000</v>
      </c>
      <c r="CE3605" s="2" t="s">
        <v>104</v>
      </c>
      <c r="CF3605" s="2"/>
      <c r="CG3605" s="2"/>
      <c r="CH3605" s="2"/>
      <c r="CI3605" s="2">
        <v>1</v>
      </c>
      <c r="CJ3605" s="2" t="s">
        <v>1200</v>
      </c>
      <c r="CK3605" s="2">
        <v>21</v>
      </c>
      <c r="CL3605" s="2" t="s">
        <v>86</v>
      </c>
      <c r="CM3605" s="2"/>
    </row>
    <row r="3606" spans="1:91">
      <c r="A3606" s="2" t="s">
        <v>71</v>
      </c>
      <c r="B3606" s="2" t="s">
        <v>72</v>
      </c>
      <c r="C3606" s="2" t="s">
        <v>73</v>
      </c>
      <c r="D3606" s="2"/>
      <c r="E3606" s="2" t="str">
        <f>"FES1162572543"</f>
        <v>FES1162572543</v>
      </c>
      <c r="F3606" s="3">
        <v>42978</v>
      </c>
      <c r="G3606" s="2">
        <v>201802</v>
      </c>
      <c r="H3606" s="2" t="s">
        <v>74</v>
      </c>
      <c r="I3606" s="2" t="s">
        <v>75</v>
      </c>
      <c r="J3606" s="2" t="s">
        <v>76</v>
      </c>
      <c r="K3606" s="2" t="s">
        <v>77</v>
      </c>
      <c r="L3606" s="2" t="s">
        <v>353</v>
      </c>
      <c r="M3606" s="2" t="s">
        <v>354</v>
      </c>
      <c r="N3606" s="2" t="s">
        <v>2932</v>
      </c>
      <c r="O3606" s="2" t="s">
        <v>100</v>
      </c>
      <c r="P3606" s="2" t="str">
        <f>"2170585638                    "</f>
        <v xml:space="preserve">2170585638                    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4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  <c r="BG3606" s="2">
        <v>0</v>
      </c>
      <c r="BH3606" s="2">
        <v>1</v>
      </c>
      <c r="BI3606" s="2">
        <v>1</v>
      </c>
      <c r="BJ3606" s="2">
        <v>0.2</v>
      </c>
      <c r="BK3606" s="2">
        <v>1</v>
      </c>
      <c r="BL3606" s="2">
        <v>41.44</v>
      </c>
      <c r="BM3606" s="2">
        <v>5.8</v>
      </c>
      <c r="BN3606" s="2">
        <v>47.24</v>
      </c>
      <c r="BO3606" s="2">
        <v>47.24</v>
      </c>
      <c r="BP3606" s="2"/>
      <c r="BQ3606" s="2" t="s">
        <v>108</v>
      </c>
      <c r="BR3606" s="2" t="s">
        <v>84</v>
      </c>
      <c r="BS3606" s="1" t="s">
        <v>1200</v>
      </c>
      <c r="BT3606" s="2"/>
      <c r="BU3606" s="2"/>
      <c r="BV3606" s="2"/>
      <c r="BW3606" s="2"/>
      <c r="BX3606" s="2"/>
      <c r="BY3606" s="2">
        <v>1200</v>
      </c>
      <c r="BZ3606" s="2"/>
      <c r="CA3606" s="2"/>
      <c r="CB3606" s="2"/>
      <c r="CC3606" s="2" t="s">
        <v>354</v>
      </c>
      <c r="CD3606" s="2">
        <v>3699</v>
      </c>
      <c r="CE3606" s="2" t="s">
        <v>104</v>
      </c>
      <c r="CF3606" s="2"/>
      <c r="CG3606" s="2"/>
      <c r="CH3606" s="2"/>
      <c r="CI3606" s="2">
        <v>1</v>
      </c>
      <c r="CJ3606" s="2" t="s">
        <v>1200</v>
      </c>
      <c r="CK3606" s="2">
        <v>21</v>
      </c>
      <c r="CL3606" s="2" t="s">
        <v>86</v>
      </c>
      <c r="CM3606" s="2"/>
    </row>
    <row r="3607" spans="1:91">
      <c r="A3607" s="2" t="s">
        <v>71</v>
      </c>
      <c r="B3607" s="2" t="s">
        <v>72</v>
      </c>
      <c r="C3607" s="2" t="s">
        <v>73</v>
      </c>
      <c r="D3607" s="2"/>
      <c r="E3607" s="2" t="str">
        <f>"FES1162572562"</f>
        <v>FES1162572562</v>
      </c>
      <c r="F3607" s="3">
        <v>42978</v>
      </c>
      <c r="G3607" s="2">
        <v>201802</v>
      </c>
      <c r="H3607" s="2" t="s">
        <v>74</v>
      </c>
      <c r="I3607" s="2" t="s">
        <v>75</v>
      </c>
      <c r="J3607" s="2" t="s">
        <v>76</v>
      </c>
      <c r="K3607" s="2" t="s">
        <v>77</v>
      </c>
      <c r="L3607" s="2" t="s">
        <v>244</v>
      </c>
      <c r="M3607" s="2" t="s">
        <v>245</v>
      </c>
      <c r="N3607" s="2" t="s">
        <v>246</v>
      </c>
      <c r="O3607" s="2" t="s">
        <v>100</v>
      </c>
      <c r="P3607" s="2" t="str">
        <f>"2170585973                    "</f>
        <v xml:space="preserve">2170585973                    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3.13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  <c r="BG3607" s="2">
        <v>0</v>
      </c>
      <c r="BH3607" s="2">
        <v>1</v>
      </c>
      <c r="BI3607" s="2">
        <v>1</v>
      </c>
      <c r="BJ3607" s="2">
        <v>0.2</v>
      </c>
      <c r="BK3607" s="2">
        <v>1</v>
      </c>
      <c r="BL3607" s="2">
        <v>32.380000000000003</v>
      </c>
      <c r="BM3607" s="2">
        <v>4.53</v>
      </c>
      <c r="BN3607" s="2">
        <v>36.909999999999997</v>
      </c>
      <c r="BO3607" s="2">
        <v>36.909999999999997</v>
      </c>
      <c r="BP3607" s="2"/>
      <c r="BQ3607" s="2" t="s">
        <v>108</v>
      </c>
      <c r="BR3607" s="2" t="s">
        <v>84</v>
      </c>
      <c r="BS3607" s="1" t="s">
        <v>1200</v>
      </c>
      <c r="BT3607" s="2"/>
      <c r="BU3607" s="2"/>
      <c r="BV3607" s="2"/>
      <c r="BW3607" s="2"/>
      <c r="BX3607" s="2"/>
      <c r="BY3607" s="2">
        <v>1200</v>
      </c>
      <c r="BZ3607" s="2"/>
      <c r="CA3607" s="2"/>
      <c r="CB3607" s="2"/>
      <c r="CC3607" s="2" t="s">
        <v>245</v>
      </c>
      <c r="CD3607" s="2">
        <v>1459</v>
      </c>
      <c r="CE3607" s="2" t="s">
        <v>104</v>
      </c>
      <c r="CF3607" s="2"/>
      <c r="CG3607" s="2"/>
      <c r="CH3607" s="2"/>
      <c r="CI3607" s="2">
        <v>1</v>
      </c>
      <c r="CJ3607" s="2" t="s">
        <v>1200</v>
      </c>
      <c r="CK3607" s="2">
        <v>22</v>
      </c>
      <c r="CL3607" s="2" t="s">
        <v>86</v>
      </c>
      <c r="CM3607" s="2"/>
    </row>
    <row r="3608" spans="1:91">
      <c r="A3608" s="2" t="s">
        <v>71</v>
      </c>
      <c r="B3608" s="2" t="s">
        <v>72</v>
      </c>
      <c r="C3608" s="2" t="s">
        <v>73</v>
      </c>
      <c r="D3608" s="2"/>
      <c r="E3608" s="2" t="str">
        <f>"FES1162572547"</f>
        <v>FES1162572547</v>
      </c>
      <c r="F3608" s="3">
        <v>42978</v>
      </c>
      <c r="G3608" s="2">
        <v>201802</v>
      </c>
      <c r="H3608" s="2" t="s">
        <v>74</v>
      </c>
      <c r="I3608" s="2" t="s">
        <v>75</v>
      </c>
      <c r="J3608" s="2" t="s">
        <v>76</v>
      </c>
      <c r="K3608" s="2" t="s">
        <v>77</v>
      </c>
      <c r="L3608" s="2" t="s">
        <v>332</v>
      </c>
      <c r="M3608" s="2" t="s">
        <v>333</v>
      </c>
      <c r="N3608" s="2" t="s">
        <v>334</v>
      </c>
      <c r="O3608" s="2" t="s">
        <v>100</v>
      </c>
      <c r="P3608" s="2" t="str">
        <f>"2170585704                    "</f>
        <v xml:space="preserve">2170585704                    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7.75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  <c r="BG3608" s="2">
        <v>0</v>
      </c>
      <c r="BH3608" s="2">
        <v>1</v>
      </c>
      <c r="BI3608" s="2">
        <v>1</v>
      </c>
      <c r="BJ3608" s="2">
        <v>0.2</v>
      </c>
      <c r="BK3608" s="2">
        <v>1</v>
      </c>
      <c r="BL3608" s="2">
        <v>80.290000000000006</v>
      </c>
      <c r="BM3608" s="2">
        <v>11.24</v>
      </c>
      <c r="BN3608" s="2">
        <v>91.53</v>
      </c>
      <c r="BO3608" s="2">
        <v>91.53</v>
      </c>
      <c r="BP3608" s="2"/>
      <c r="BQ3608" s="2" t="s">
        <v>108</v>
      </c>
      <c r="BR3608" s="2" t="s">
        <v>84</v>
      </c>
      <c r="BS3608" s="1" t="s">
        <v>1200</v>
      </c>
      <c r="BT3608" s="2"/>
      <c r="BU3608" s="2"/>
      <c r="BV3608" s="2"/>
      <c r="BW3608" s="2"/>
      <c r="BX3608" s="2"/>
      <c r="BY3608" s="2">
        <v>1200</v>
      </c>
      <c r="BZ3608" s="2"/>
      <c r="CA3608" s="2"/>
      <c r="CB3608" s="2"/>
      <c r="CC3608" s="2" t="s">
        <v>333</v>
      </c>
      <c r="CD3608" s="2">
        <v>4450</v>
      </c>
      <c r="CE3608" s="2" t="s">
        <v>104</v>
      </c>
      <c r="CF3608" s="2"/>
      <c r="CG3608" s="2"/>
      <c r="CH3608" s="2"/>
      <c r="CI3608" s="2">
        <v>1</v>
      </c>
      <c r="CJ3608" s="2" t="s">
        <v>1200</v>
      </c>
      <c r="CK3608" s="2">
        <v>23</v>
      </c>
      <c r="CL3608" s="2" t="s">
        <v>86</v>
      </c>
      <c r="CM3608" s="2"/>
    </row>
    <row r="3609" spans="1:91">
      <c r="A3609" s="2" t="s">
        <v>71</v>
      </c>
      <c r="B3609" s="2" t="s">
        <v>72</v>
      </c>
      <c r="C3609" s="2" t="s">
        <v>73</v>
      </c>
      <c r="D3609" s="2"/>
      <c r="E3609" s="2" t="str">
        <f>"FES1162572536"</f>
        <v>FES1162572536</v>
      </c>
      <c r="F3609" s="3">
        <v>42978</v>
      </c>
      <c r="G3609" s="2">
        <v>201802</v>
      </c>
      <c r="H3609" s="2" t="s">
        <v>74</v>
      </c>
      <c r="I3609" s="2" t="s">
        <v>75</v>
      </c>
      <c r="J3609" s="2" t="s">
        <v>76</v>
      </c>
      <c r="K3609" s="2" t="s">
        <v>77</v>
      </c>
      <c r="L3609" s="2" t="s">
        <v>170</v>
      </c>
      <c r="M3609" s="2" t="s">
        <v>171</v>
      </c>
      <c r="N3609" s="2" t="s">
        <v>2528</v>
      </c>
      <c r="O3609" s="2" t="s">
        <v>100</v>
      </c>
      <c r="P3609" s="2" t="str">
        <f>"2170585518                    "</f>
        <v xml:space="preserve">2170585518                    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3.13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0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1</v>
      </c>
      <c r="BI3609" s="2">
        <v>2</v>
      </c>
      <c r="BJ3609" s="2">
        <v>3.2</v>
      </c>
      <c r="BK3609" s="2">
        <v>4</v>
      </c>
      <c r="BL3609" s="2">
        <v>32.380000000000003</v>
      </c>
      <c r="BM3609" s="2">
        <v>4.53</v>
      </c>
      <c r="BN3609" s="2">
        <v>36.909999999999997</v>
      </c>
      <c r="BO3609" s="2">
        <v>36.909999999999997</v>
      </c>
      <c r="BP3609" s="2"/>
      <c r="BQ3609" s="2" t="s">
        <v>288</v>
      </c>
      <c r="BR3609" s="2" t="s">
        <v>84</v>
      </c>
      <c r="BS3609" s="1" t="s">
        <v>1200</v>
      </c>
      <c r="BT3609" s="2"/>
      <c r="BU3609" s="2"/>
      <c r="BV3609" s="2"/>
      <c r="BW3609" s="2"/>
      <c r="BX3609" s="2"/>
      <c r="BY3609" s="2">
        <v>16022.16</v>
      </c>
      <c r="BZ3609" s="2"/>
      <c r="CA3609" s="2"/>
      <c r="CB3609" s="2"/>
      <c r="CC3609" s="2" t="s">
        <v>171</v>
      </c>
      <c r="CD3609" s="2">
        <v>1401</v>
      </c>
      <c r="CE3609" s="2" t="s">
        <v>89</v>
      </c>
      <c r="CF3609" s="2"/>
      <c r="CG3609" s="2"/>
      <c r="CH3609" s="2"/>
      <c r="CI3609" s="2">
        <v>1</v>
      </c>
      <c r="CJ3609" s="2" t="s">
        <v>1200</v>
      </c>
      <c r="CK3609" s="2">
        <v>22</v>
      </c>
      <c r="CL3609" s="2" t="s">
        <v>86</v>
      </c>
      <c r="CM3609" s="2"/>
    </row>
    <row r="3610" spans="1:91">
      <c r="A3610" s="2" t="s">
        <v>71</v>
      </c>
      <c r="B3610" s="2" t="s">
        <v>72</v>
      </c>
      <c r="C3610" s="2" t="s">
        <v>73</v>
      </c>
      <c r="D3610" s="2"/>
      <c r="E3610" s="2" t="str">
        <f>"FES1162572513"</f>
        <v>FES1162572513</v>
      </c>
      <c r="F3610" s="3">
        <v>42978</v>
      </c>
      <c r="G3610" s="2">
        <v>201802</v>
      </c>
      <c r="H3610" s="2" t="s">
        <v>74</v>
      </c>
      <c r="I3610" s="2" t="s">
        <v>75</v>
      </c>
      <c r="J3610" s="2" t="s">
        <v>76</v>
      </c>
      <c r="K3610" s="2" t="s">
        <v>77</v>
      </c>
      <c r="L3610" s="2" t="s">
        <v>74</v>
      </c>
      <c r="M3610" s="2" t="s">
        <v>75</v>
      </c>
      <c r="N3610" s="2" t="s">
        <v>3542</v>
      </c>
      <c r="O3610" s="2" t="s">
        <v>100</v>
      </c>
      <c r="P3610" s="2" t="str">
        <f>"2170581177                    "</f>
        <v xml:space="preserve">2170581177                    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3.13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0</v>
      </c>
      <c r="BD3610" s="2">
        <v>0</v>
      </c>
      <c r="BE3610" s="2">
        <v>0</v>
      </c>
      <c r="BF3610" s="2">
        <v>0</v>
      </c>
      <c r="BG3610" s="2">
        <v>0</v>
      </c>
      <c r="BH3610" s="2">
        <v>1</v>
      </c>
      <c r="BI3610" s="2">
        <v>1</v>
      </c>
      <c r="BJ3610" s="2">
        <v>0.2</v>
      </c>
      <c r="BK3610" s="2">
        <v>1</v>
      </c>
      <c r="BL3610" s="2">
        <v>32.380000000000003</v>
      </c>
      <c r="BM3610" s="2">
        <v>4.53</v>
      </c>
      <c r="BN3610" s="2">
        <v>36.909999999999997</v>
      </c>
      <c r="BO3610" s="2">
        <v>36.909999999999997</v>
      </c>
      <c r="BP3610" s="2"/>
      <c r="BQ3610" s="2"/>
      <c r="BR3610" s="2" t="s">
        <v>84</v>
      </c>
      <c r="BS3610" s="1" t="s">
        <v>1200</v>
      </c>
      <c r="BT3610" s="2"/>
      <c r="BU3610" s="2"/>
      <c r="BV3610" s="2"/>
      <c r="BW3610" s="2"/>
      <c r="BX3610" s="2"/>
      <c r="BY3610" s="2">
        <v>1200</v>
      </c>
      <c r="BZ3610" s="2"/>
      <c r="CA3610" s="2"/>
      <c r="CB3610" s="2"/>
      <c r="CC3610" s="2" t="s">
        <v>75</v>
      </c>
      <c r="CD3610" s="2">
        <v>1609</v>
      </c>
      <c r="CE3610" s="2" t="s">
        <v>104</v>
      </c>
      <c r="CF3610" s="2"/>
      <c r="CG3610" s="2"/>
      <c r="CH3610" s="2"/>
      <c r="CI3610" s="2">
        <v>1</v>
      </c>
      <c r="CJ3610" s="2" t="s">
        <v>1200</v>
      </c>
      <c r="CK3610" s="2">
        <v>22</v>
      </c>
      <c r="CL3610" s="2" t="s">
        <v>86</v>
      </c>
      <c r="CM3610" s="2"/>
    </row>
    <row r="3611" spans="1:91">
      <c r="A3611" s="2" t="s">
        <v>71</v>
      </c>
      <c r="B3611" s="2" t="s">
        <v>72</v>
      </c>
      <c r="C3611" s="2" t="s">
        <v>73</v>
      </c>
      <c r="D3611" s="2"/>
      <c r="E3611" s="2" t="str">
        <f>"FES1162572551"</f>
        <v>FES1162572551</v>
      </c>
      <c r="F3611" s="3">
        <v>42978</v>
      </c>
      <c r="G3611" s="2">
        <v>201802</v>
      </c>
      <c r="H3611" s="2" t="s">
        <v>74</v>
      </c>
      <c r="I3611" s="2" t="s">
        <v>75</v>
      </c>
      <c r="J3611" s="2" t="s">
        <v>76</v>
      </c>
      <c r="K3611" s="2" t="s">
        <v>77</v>
      </c>
      <c r="L3611" s="2" t="s">
        <v>74</v>
      </c>
      <c r="M3611" s="2" t="s">
        <v>75</v>
      </c>
      <c r="N3611" s="2" t="s">
        <v>2617</v>
      </c>
      <c r="O3611" s="2" t="s">
        <v>100</v>
      </c>
      <c r="P3611" s="2" t="str">
        <f>"2170585752                    "</f>
        <v xml:space="preserve">2170585752                    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3.13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  <c r="BG3611" s="2">
        <v>0</v>
      </c>
      <c r="BH3611" s="2">
        <v>1</v>
      </c>
      <c r="BI3611" s="2">
        <v>1</v>
      </c>
      <c r="BJ3611" s="2">
        <v>0.2</v>
      </c>
      <c r="BK3611" s="2">
        <v>1</v>
      </c>
      <c r="BL3611" s="2">
        <v>32.380000000000003</v>
      </c>
      <c r="BM3611" s="2">
        <v>4.53</v>
      </c>
      <c r="BN3611" s="2">
        <v>36.909999999999997</v>
      </c>
      <c r="BO3611" s="2">
        <v>36.909999999999997</v>
      </c>
      <c r="BP3611" s="2"/>
      <c r="BQ3611" s="2" t="s">
        <v>209</v>
      </c>
      <c r="BR3611" s="2" t="s">
        <v>84</v>
      </c>
      <c r="BS3611" s="1" t="s">
        <v>1200</v>
      </c>
      <c r="BT3611" s="2"/>
      <c r="BU3611" s="2"/>
      <c r="BV3611" s="2"/>
      <c r="BW3611" s="2"/>
      <c r="BX3611" s="2"/>
      <c r="BY3611" s="2">
        <v>1200</v>
      </c>
      <c r="BZ3611" s="2"/>
      <c r="CA3611" s="2"/>
      <c r="CB3611" s="2"/>
      <c r="CC3611" s="2" t="s">
        <v>75</v>
      </c>
      <c r="CD3611" s="2">
        <v>1624</v>
      </c>
      <c r="CE3611" s="2" t="s">
        <v>104</v>
      </c>
      <c r="CF3611" s="2"/>
      <c r="CG3611" s="2"/>
      <c r="CH3611" s="2"/>
      <c r="CI3611" s="2">
        <v>1</v>
      </c>
      <c r="CJ3611" s="2" t="s">
        <v>1200</v>
      </c>
      <c r="CK3611" s="2">
        <v>22</v>
      </c>
      <c r="CL3611" s="2" t="s">
        <v>86</v>
      </c>
      <c r="CM3611" s="2"/>
    </row>
    <row r="3612" spans="1:91">
      <c r="A3612" s="2" t="s">
        <v>71</v>
      </c>
      <c r="B3612" s="2" t="s">
        <v>72</v>
      </c>
      <c r="C3612" s="2" t="s">
        <v>73</v>
      </c>
      <c r="D3612" s="2"/>
      <c r="E3612" s="2" t="str">
        <f>"FES1162572576"</f>
        <v>FES1162572576</v>
      </c>
      <c r="F3612" s="3">
        <v>42978</v>
      </c>
      <c r="G3612" s="2">
        <v>201802</v>
      </c>
      <c r="H3612" s="2" t="s">
        <v>74</v>
      </c>
      <c r="I3612" s="2" t="s">
        <v>75</v>
      </c>
      <c r="J3612" s="2" t="s">
        <v>76</v>
      </c>
      <c r="K3612" s="2" t="s">
        <v>77</v>
      </c>
      <c r="L3612" s="2" t="s">
        <v>105</v>
      </c>
      <c r="M3612" s="2" t="s">
        <v>106</v>
      </c>
      <c r="N3612" s="2" t="s">
        <v>3592</v>
      </c>
      <c r="O3612" s="2" t="s">
        <v>100</v>
      </c>
      <c r="P3612" s="2" t="str">
        <f>"21705888082                   "</f>
        <v xml:space="preserve">21705888082                   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4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0</v>
      </c>
      <c r="BF3612" s="2">
        <v>0</v>
      </c>
      <c r="BG3612" s="2">
        <v>0</v>
      </c>
      <c r="BH3612" s="2">
        <v>1</v>
      </c>
      <c r="BI3612" s="2">
        <v>1</v>
      </c>
      <c r="BJ3612" s="2">
        <v>0.2</v>
      </c>
      <c r="BK3612" s="2">
        <v>1</v>
      </c>
      <c r="BL3612" s="2">
        <v>41.44</v>
      </c>
      <c r="BM3612" s="2">
        <v>5.8</v>
      </c>
      <c r="BN3612" s="2">
        <v>47.24</v>
      </c>
      <c r="BO3612" s="2">
        <v>47.24</v>
      </c>
      <c r="BP3612" s="2"/>
      <c r="BQ3612" s="2"/>
      <c r="BR3612" s="2" t="s">
        <v>84</v>
      </c>
      <c r="BS3612" s="1" t="s">
        <v>1200</v>
      </c>
      <c r="BT3612" s="2"/>
      <c r="BU3612" s="2"/>
      <c r="BV3612" s="2"/>
      <c r="BW3612" s="2"/>
      <c r="BX3612" s="2"/>
      <c r="BY3612" s="2">
        <v>1200</v>
      </c>
      <c r="BZ3612" s="2"/>
      <c r="CA3612" s="2"/>
      <c r="CB3612" s="2"/>
      <c r="CC3612" s="2" t="s">
        <v>106</v>
      </c>
      <c r="CD3612" s="2">
        <v>7460</v>
      </c>
      <c r="CE3612" s="2" t="s">
        <v>104</v>
      </c>
      <c r="CF3612" s="2"/>
      <c r="CG3612" s="2"/>
      <c r="CH3612" s="2"/>
      <c r="CI3612" s="2">
        <v>1</v>
      </c>
      <c r="CJ3612" s="2" t="s">
        <v>1200</v>
      </c>
      <c r="CK3612" s="2">
        <v>21</v>
      </c>
      <c r="CL3612" s="2" t="s">
        <v>86</v>
      </c>
      <c r="CM3612" s="2"/>
    </row>
    <row r="3613" spans="1:91">
      <c r="A3613" s="2" t="s">
        <v>71</v>
      </c>
      <c r="B3613" s="2" t="s">
        <v>72</v>
      </c>
      <c r="C3613" s="2" t="s">
        <v>73</v>
      </c>
      <c r="D3613" s="2"/>
      <c r="E3613" s="2" t="str">
        <f>"FES1162572567"</f>
        <v>FES1162572567</v>
      </c>
      <c r="F3613" s="3">
        <v>42978</v>
      </c>
      <c r="G3613" s="2">
        <v>201802</v>
      </c>
      <c r="H3613" s="2" t="s">
        <v>74</v>
      </c>
      <c r="I3613" s="2" t="s">
        <v>75</v>
      </c>
      <c r="J3613" s="2" t="s">
        <v>76</v>
      </c>
      <c r="K3613" s="2" t="s">
        <v>77</v>
      </c>
      <c r="L3613" s="2" t="s">
        <v>144</v>
      </c>
      <c r="M3613" s="2" t="s">
        <v>145</v>
      </c>
      <c r="N3613" s="2" t="s">
        <v>1578</v>
      </c>
      <c r="O3613" s="2" t="s">
        <v>100</v>
      </c>
      <c r="P3613" s="2" t="str">
        <f>"2170587228                    "</f>
        <v xml:space="preserve">2170587228                    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3.13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  <c r="BG3613" s="2">
        <v>0</v>
      </c>
      <c r="BH3613" s="2">
        <v>1</v>
      </c>
      <c r="BI3613" s="2">
        <v>1</v>
      </c>
      <c r="BJ3613" s="2">
        <v>0.2</v>
      </c>
      <c r="BK3613" s="2">
        <v>1</v>
      </c>
      <c r="BL3613" s="2">
        <v>32.380000000000003</v>
      </c>
      <c r="BM3613" s="2">
        <v>4.53</v>
      </c>
      <c r="BN3613" s="2">
        <v>36.909999999999997</v>
      </c>
      <c r="BO3613" s="2">
        <v>36.909999999999997</v>
      </c>
      <c r="BP3613" s="2"/>
      <c r="BQ3613" s="2" t="s">
        <v>108</v>
      </c>
      <c r="BR3613" s="2" t="s">
        <v>84</v>
      </c>
      <c r="BS3613" s="1" t="s">
        <v>1200</v>
      </c>
      <c r="BT3613" s="2"/>
      <c r="BU3613" s="2"/>
      <c r="BV3613" s="2"/>
      <c r="BW3613" s="2"/>
      <c r="BX3613" s="2"/>
      <c r="BY3613" s="2">
        <v>1200</v>
      </c>
      <c r="BZ3613" s="2"/>
      <c r="CA3613" s="2"/>
      <c r="CB3613" s="2"/>
      <c r="CC3613" s="2" t="s">
        <v>145</v>
      </c>
      <c r="CD3613" s="2">
        <v>2197</v>
      </c>
      <c r="CE3613" s="2" t="s">
        <v>104</v>
      </c>
      <c r="CF3613" s="2"/>
      <c r="CG3613" s="2"/>
      <c r="CH3613" s="2"/>
      <c r="CI3613" s="2">
        <v>1</v>
      </c>
      <c r="CJ3613" s="2" t="s">
        <v>1200</v>
      </c>
      <c r="CK3613" s="2">
        <v>22</v>
      </c>
      <c r="CL3613" s="2" t="s">
        <v>86</v>
      </c>
      <c r="CM3613" s="2"/>
    </row>
    <row r="3614" spans="1:91">
      <c r="A3614" s="2" t="s">
        <v>71</v>
      </c>
      <c r="B3614" s="2" t="s">
        <v>72</v>
      </c>
      <c r="C3614" s="2" t="s">
        <v>73</v>
      </c>
      <c r="D3614" s="2"/>
      <c r="E3614" s="2" t="str">
        <f>"FES1162572541"</f>
        <v>FES1162572541</v>
      </c>
      <c r="F3614" s="3">
        <v>42978</v>
      </c>
      <c r="G3614" s="2">
        <v>201802</v>
      </c>
      <c r="H3614" s="2" t="s">
        <v>74</v>
      </c>
      <c r="I3614" s="2" t="s">
        <v>75</v>
      </c>
      <c r="J3614" s="2" t="s">
        <v>76</v>
      </c>
      <c r="K3614" s="2" t="s">
        <v>77</v>
      </c>
      <c r="L3614" s="2" t="s">
        <v>144</v>
      </c>
      <c r="M3614" s="2" t="s">
        <v>145</v>
      </c>
      <c r="N3614" s="2" t="s">
        <v>450</v>
      </c>
      <c r="O3614" s="2" t="s">
        <v>100</v>
      </c>
      <c r="P3614" s="2" t="str">
        <f>"2170585598                    "</f>
        <v xml:space="preserve">2170585598                    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3.13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1</v>
      </c>
      <c r="BI3614" s="2">
        <v>1</v>
      </c>
      <c r="BJ3614" s="2">
        <v>0.2</v>
      </c>
      <c r="BK3614" s="2">
        <v>1</v>
      </c>
      <c r="BL3614" s="2">
        <v>32.380000000000003</v>
      </c>
      <c r="BM3614" s="2">
        <v>4.53</v>
      </c>
      <c r="BN3614" s="2">
        <v>36.909999999999997</v>
      </c>
      <c r="BO3614" s="2">
        <v>36.909999999999997</v>
      </c>
      <c r="BP3614" s="2"/>
      <c r="BQ3614" s="2" t="s">
        <v>108</v>
      </c>
      <c r="BR3614" s="2" t="s">
        <v>84</v>
      </c>
      <c r="BS3614" s="1" t="s">
        <v>1200</v>
      </c>
      <c r="BT3614" s="2"/>
      <c r="BU3614" s="2"/>
      <c r="BV3614" s="2"/>
      <c r="BW3614" s="2"/>
      <c r="BX3614" s="2"/>
      <c r="BY3614" s="2">
        <v>1200</v>
      </c>
      <c r="BZ3614" s="2"/>
      <c r="CA3614" s="2"/>
      <c r="CB3614" s="2"/>
      <c r="CC3614" s="2" t="s">
        <v>145</v>
      </c>
      <c r="CD3614" s="2">
        <v>2011</v>
      </c>
      <c r="CE3614" s="2" t="s">
        <v>104</v>
      </c>
      <c r="CF3614" s="2"/>
      <c r="CG3614" s="2"/>
      <c r="CH3614" s="2"/>
      <c r="CI3614" s="2">
        <v>1</v>
      </c>
      <c r="CJ3614" s="2" t="s">
        <v>1200</v>
      </c>
      <c r="CK3614" s="2">
        <v>22</v>
      </c>
      <c r="CL3614" s="2" t="s">
        <v>86</v>
      </c>
      <c r="CM3614" s="2"/>
    </row>
    <row r="3615" spans="1:91">
      <c r="A3615" s="2" t="s">
        <v>71</v>
      </c>
      <c r="B3615" s="2" t="s">
        <v>72</v>
      </c>
      <c r="C3615" s="2" t="s">
        <v>73</v>
      </c>
      <c r="D3615" s="2"/>
      <c r="E3615" s="2" t="str">
        <f>"FES1162572546"</f>
        <v>FES1162572546</v>
      </c>
      <c r="F3615" s="3">
        <v>42978</v>
      </c>
      <c r="G3615" s="2">
        <v>201802</v>
      </c>
      <c r="H3615" s="2" t="s">
        <v>74</v>
      </c>
      <c r="I3615" s="2" t="s">
        <v>75</v>
      </c>
      <c r="J3615" s="2" t="s">
        <v>76</v>
      </c>
      <c r="K3615" s="2" t="s">
        <v>77</v>
      </c>
      <c r="L3615" s="2" t="s">
        <v>144</v>
      </c>
      <c r="M3615" s="2" t="s">
        <v>145</v>
      </c>
      <c r="N3615" s="2" t="s">
        <v>295</v>
      </c>
      <c r="O3615" s="2" t="s">
        <v>100</v>
      </c>
      <c r="P3615" s="2" t="str">
        <f>"2170585678                    "</f>
        <v xml:space="preserve">2170585678                    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3.13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  <c r="BG3615" s="2">
        <v>0</v>
      </c>
      <c r="BH3615" s="2">
        <v>1</v>
      </c>
      <c r="BI3615" s="2">
        <v>1</v>
      </c>
      <c r="BJ3615" s="2">
        <v>0.2</v>
      </c>
      <c r="BK3615" s="2">
        <v>1</v>
      </c>
      <c r="BL3615" s="2">
        <v>32.380000000000003</v>
      </c>
      <c r="BM3615" s="2">
        <v>4.53</v>
      </c>
      <c r="BN3615" s="2">
        <v>36.909999999999997</v>
      </c>
      <c r="BO3615" s="2">
        <v>36.909999999999997</v>
      </c>
      <c r="BP3615" s="2"/>
      <c r="BQ3615" s="2" t="s">
        <v>288</v>
      </c>
      <c r="BR3615" s="2" t="s">
        <v>84</v>
      </c>
      <c r="BS3615" s="1" t="s">
        <v>1200</v>
      </c>
      <c r="BT3615" s="2"/>
      <c r="BU3615" s="2"/>
      <c r="BV3615" s="2"/>
      <c r="BW3615" s="2"/>
      <c r="BX3615" s="2"/>
      <c r="BY3615" s="2">
        <v>1200</v>
      </c>
      <c r="BZ3615" s="2"/>
      <c r="CA3615" s="2"/>
      <c r="CB3615" s="2"/>
      <c r="CC3615" s="2" t="s">
        <v>145</v>
      </c>
      <c r="CD3615" s="2">
        <v>2013</v>
      </c>
      <c r="CE3615" s="2" t="s">
        <v>104</v>
      </c>
      <c r="CF3615" s="2"/>
      <c r="CG3615" s="2"/>
      <c r="CH3615" s="2"/>
      <c r="CI3615" s="2">
        <v>1</v>
      </c>
      <c r="CJ3615" s="2" t="s">
        <v>1200</v>
      </c>
      <c r="CK3615" s="2">
        <v>22</v>
      </c>
      <c r="CL3615" s="2" t="s">
        <v>86</v>
      </c>
      <c r="CM3615" s="2"/>
    </row>
    <row r="3616" spans="1:91">
      <c r="A3616" s="2" t="s">
        <v>71</v>
      </c>
      <c r="B3616" s="2" t="s">
        <v>72</v>
      </c>
      <c r="C3616" s="2" t="s">
        <v>73</v>
      </c>
      <c r="D3616" s="2"/>
      <c r="E3616" s="2" t="str">
        <f>"FES1162572571"</f>
        <v>FES1162572571</v>
      </c>
      <c r="F3616" s="3">
        <v>42978</v>
      </c>
      <c r="G3616" s="2">
        <v>201802</v>
      </c>
      <c r="H3616" s="2" t="s">
        <v>74</v>
      </c>
      <c r="I3616" s="2" t="s">
        <v>75</v>
      </c>
      <c r="J3616" s="2" t="s">
        <v>76</v>
      </c>
      <c r="K3616" s="2" t="s">
        <v>77</v>
      </c>
      <c r="L3616" s="2" t="s">
        <v>144</v>
      </c>
      <c r="M3616" s="2" t="s">
        <v>145</v>
      </c>
      <c r="N3616" s="2" t="s">
        <v>260</v>
      </c>
      <c r="O3616" s="2" t="s">
        <v>100</v>
      </c>
      <c r="P3616" s="2" t="str">
        <f>"2170588040                    "</f>
        <v xml:space="preserve">2170588040                    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3.13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  <c r="BG3616" s="2">
        <v>0</v>
      </c>
      <c r="BH3616" s="2">
        <v>1</v>
      </c>
      <c r="BI3616" s="2">
        <v>1</v>
      </c>
      <c r="BJ3616" s="2">
        <v>0.2</v>
      </c>
      <c r="BK3616" s="2">
        <v>1</v>
      </c>
      <c r="BL3616" s="2">
        <v>32.380000000000003</v>
      </c>
      <c r="BM3616" s="2">
        <v>4.53</v>
      </c>
      <c r="BN3616" s="2">
        <v>36.909999999999997</v>
      </c>
      <c r="BO3616" s="2">
        <v>36.909999999999997</v>
      </c>
      <c r="BP3616" s="2"/>
      <c r="BQ3616" s="2" t="s">
        <v>108</v>
      </c>
      <c r="BR3616" s="2" t="s">
        <v>84</v>
      </c>
      <c r="BS3616" s="1" t="s">
        <v>1200</v>
      </c>
      <c r="BT3616" s="2"/>
      <c r="BU3616" s="2"/>
      <c r="BV3616" s="2"/>
      <c r="BW3616" s="2"/>
      <c r="BX3616" s="2"/>
      <c r="BY3616" s="2">
        <v>1200</v>
      </c>
      <c r="BZ3616" s="2"/>
      <c r="CA3616" s="2"/>
      <c r="CB3616" s="2"/>
      <c r="CC3616" s="2" t="s">
        <v>145</v>
      </c>
      <c r="CD3616" s="2">
        <v>2091</v>
      </c>
      <c r="CE3616" s="2" t="s">
        <v>104</v>
      </c>
      <c r="CF3616" s="2"/>
      <c r="CG3616" s="2"/>
      <c r="CH3616" s="2"/>
      <c r="CI3616" s="2">
        <v>1</v>
      </c>
      <c r="CJ3616" s="2" t="s">
        <v>1200</v>
      </c>
      <c r="CK3616" s="2">
        <v>22</v>
      </c>
      <c r="CL3616" s="2" t="s">
        <v>86</v>
      </c>
      <c r="CM3616" s="2"/>
    </row>
    <row r="3617" spans="1:91">
      <c r="A3617" s="2" t="s">
        <v>71</v>
      </c>
      <c r="B3617" s="2" t="s">
        <v>72</v>
      </c>
      <c r="C3617" s="2" t="s">
        <v>73</v>
      </c>
      <c r="D3617" s="2"/>
      <c r="E3617" s="2" t="str">
        <f>"FES1162572563"</f>
        <v>FES1162572563</v>
      </c>
      <c r="F3617" s="3">
        <v>42978</v>
      </c>
      <c r="G3617" s="2">
        <v>201802</v>
      </c>
      <c r="H3617" s="2" t="s">
        <v>74</v>
      </c>
      <c r="I3617" s="2" t="s">
        <v>75</v>
      </c>
      <c r="J3617" s="2" t="s">
        <v>76</v>
      </c>
      <c r="K3617" s="2" t="s">
        <v>77</v>
      </c>
      <c r="L3617" s="2" t="s">
        <v>105</v>
      </c>
      <c r="M3617" s="2" t="s">
        <v>106</v>
      </c>
      <c r="N3617" s="2" t="s">
        <v>873</v>
      </c>
      <c r="O3617" s="2" t="s">
        <v>100</v>
      </c>
      <c r="P3617" s="2" t="str">
        <f>"2170585996                    "</f>
        <v xml:space="preserve">2170585996                    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4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  <c r="BG3617" s="2">
        <v>0</v>
      </c>
      <c r="BH3617" s="2">
        <v>1</v>
      </c>
      <c r="BI3617" s="2">
        <v>1</v>
      </c>
      <c r="BJ3617" s="2">
        <v>0.2</v>
      </c>
      <c r="BK3617" s="2">
        <v>1</v>
      </c>
      <c r="BL3617" s="2">
        <v>41.44</v>
      </c>
      <c r="BM3617" s="2">
        <v>5.8</v>
      </c>
      <c r="BN3617" s="2">
        <v>47.24</v>
      </c>
      <c r="BO3617" s="2">
        <v>47.24</v>
      </c>
      <c r="BP3617" s="2"/>
      <c r="BQ3617" s="2" t="s">
        <v>83</v>
      </c>
      <c r="BR3617" s="2" t="s">
        <v>84</v>
      </c>
      <c r="BS3617" s="1" t="s">
        <v>1200</v>
      </c>
      <c r="BT3617" s="2"/>
      <c r="BU3617" s="2"/>
      <c r="BV3617" s="2"/>
      <c r="BW3617" s="2"/>
      <c r="BX3617" s="2"/>
      <c r="BY3617" s="2">
        <v>1200</v>
      </c>
      <c r="BZ3617" s="2"/>
      <c r="CA3617" s="2"/>
      <c r="CB3617" s="2"/>
      <c r="CC3617" s="2" t="s">
        <v>106</v>
      </c>
      <c r="CD3617" s="2">
        <v>7460</v>
      </c>
      <c r="CE3617" s="2" t="s">
        <v>104</v>
      </c>
      <c r="CF3617" s="2"/>
      <c r="CG3617" s="2"/>
      <c r="CH3617" s="2"/>
      <c r="CI3617" s="2">
        <v>1</v>
      </c>
      <c r="CJ3617" s="2" t="s">
        <v>1200</v>
      </c>
      <c r="CK3617" s="2">
        <v>21</v>
      </c>
      <c r="CL3617" s="2" t="s">
        <v>86</v>
      </c>
      <c r="CM3617" s="2"/>
    </row>
    <row r="3618" spans="1:91">
      <c r="A3618" s="2" t="s">
        <v>71</v>
      </c>
      <c r="B3618" s="2" t="s">
        <v>72</v>
      </c>
      <c r="C3618" s="2" t="s">
        <v>73</v>
      </c>
      <c r="D3618" s="2"/>
      <c r="E3618" s="2" t="str">
        <f>"FES1162572528"</f>
        <v>FES1162572528</v>
      </c>
      <c r="F3618" s="3">
        <v>42978</v>
      </c>
      <c r="G3618" s="2">
        <v>201802</v>
      </c>
      <c r="H3618" s="2" t="s">
        <v>74</v>
      </c>
      <c r="I3618" s="2" t="s">
        <v>75</v>
      </c>
      <c r="J3618" s="2" t="s">
        <v>76</v>
      </c>
      <c r="K3618" s="2" t="s">
        <v>77</v>
      </c>
      <c r="L3618" s="2" t="s">
        <v>105</v>
      </c>
      <c r="M3618" s="2" t="s">
        <v>106</v>
      </c>
      <c r="N3618" s="2" t="s">
        <v>253</v>
      </c>
      <c r="O3618" s="2" t="s">
        <v>100</v>
      </c>
      <c r="P3618" s="2" t="str">
        <f>"2170585440                    "</f>
        <v xml:space="preserve">2170585440                    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4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  <c r="BG3618" s="2">
        <v>0</v>
      </c>
      <c r="BH3618" s="2">
        <v>1</v>
      </c>
      <c r="BI3618" s="2">
        <v>1</v>
      </c>
      <c r="BJ3618" s="2">
        <v>0.2</v>
      </c>
      <c r="BK3618" s="2">
        <v>1</v>
      </c>
      <c r="BL3618" s="2">
        <v>41.44</v>
      </c>
      <c r="BM3618" s="2">
        <v>5.8</v>
      </c>
      <c r="BN3618" s="2">
        <v>47.24</v>
      </c>
      <c r="BO3618" s="2">
        <v>47.24</v>
      </c>
      <c r="BP3618" s="2"/>
      <c r="BQ3618" s="2" t="s">
        <v>108</v>
      </c>
      <c r="BR3618" s="2" t="s">
        <v>84</v>
      </c>
      <c r="BS3618" s="1" t="s">
        <v>1200</v>
      </c>
      <c r="BT3618" s="2"/>
      <c r="BU3618" s="2"/>
      <c r="BV3618" s="2"/>
      <c r="BW3618" s="2"/>
      <c r="BX3618" s="2"/>
      <c r="BY3618" s="2">
        <v>1200</v>
      </c>
      <c r="BZ3618" s="2"/>
      <c r="CA3618" s="2"/>
      <c r="CB3618" s="2"/>
      <c r="CC3618" s="2" t="s">
        <v>106</v>
      </c>
      <c r="CD3618" s="2">
        <v>7490</v>
      </c>
      <c r="CE3618" s="2" t="s">
        <v>104</v>
      </c>
      <c r="CF3618" s="2"/>
      <c r="CG3618" s="2"/>
      <c r="CH3618" s="2"/>
      <c r="CI3618" s="2">
        <v>1</v>
      </c>
      <c r="CJ3618" s="2" t="s">
        <v>1200</v>
      </c>
      <c r="CK3618" s="2">
        <v>21</v>
      </c>
      <c r="CL3618" s="2" t="s">
        <v>86</v>
      </c>
      <c r="CM3618" s="2"/>
    </row>
    <row r="3619" spans="1:91">
      <c r="A3619" s="2" t="s">
        <v>71</v>
      </c>
      <c r="B3619" s="2" t="s">
        <v>72</v>
      </c>
      <c r="C3619" s="2" t="s">
        <v>73</v>
      </c>
      <c r="D3619" s="2"/>
      <c r="E3619" s="2" t="str">
        <f>"FES1162572466"</f>
        <v>FES1162572466</v>
      </c>
      <c r="F3619" s="3">
        <v>42978</v>
      </c>
      <c r="G3619" s="2">
        <v>201802</v>
      </c>
      <c r="H3619" s="2" t="s">
        <v>74</v>
      </c>
      <c r="I3619" s="2" t="s">
        <v>75</v>
      </c>
      <c r="J3619" s="2" t="s">
        <v>76</v>
      </c>
      <c r="K3619" s="2" t="s">
        <v>77</v>
      </c>
      <c r="L3619" s="2" t="s">
        <v>1853</v>
      </c>
      <c r="M3619" s="2" t="s">
        <v>1854</v>
      </c>
      <c r="N3619" s="2" t="s">
        <v>1855</v>
      </c>
      <c r="O3619" s="2" t="s">
        <v>100</v>
      </c>
      <c r="P3619" s="2" t="str">
        <f>"2170588007                    "</f>
        <v xml:space="preserve">2170588007                    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4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1</v>
      </c>
      <c r="BI3619" s="2">
        <v>1</v>
      </c>
      <c r="BJ3619" s="2">
        <v>0.2</v>
      </c>
      <c r="BK3619" s="2">
        <v>1</v>
      </c>
      <c r="BL3619" s="2">
        <v>41.44</v>
      </c>
      <c r="BM3619" s="2">
        <v>5.8</v>
      </c>
      <c r="BN3619" s="2">
        <v>47.24</v>
      </c>
      <c r="BO3619" s="2">
        <v>47.24</v>
      </c>
      <c r="BP3619" s="2"/>
      <c r="BQ3619" s="2" t="s">
        <v>209</v>
      </c>
      <c r="BR3619" s="2" t="s">
        <v>84</v>
      </c>
      <c r="BS3619" s="1" t="s">
        <v>1200</v>
      </c>
      <c r="BT3619" s="2"/>
      <c r="BU3619" s="2"/>
      <c r="BV3619" s="2"/>
      <c r="BW3619" s="2"/>
      <c r="BX3619" s="2"/>
      <c r="BY3619" s="2">
        <v>1200</v>
      </c>
      <c r="BZ3619" s="2"/>
      <c r="CA3619" s="2"/>
      <c r="CB3619" s="2"/>
      <c r="CC3619" s="2" t="s">
        <v>1854</v>
      </c>
      <c r="CD3619" s="2">
        <v>7139</v>
      </c>
      <c r="CE3619" s="2" t="s">
        <v>104</v>
      </c>
      <c r="CF3619" s="2"/>
      <c r="CG3619" s="2"/>
      <c r="CH3619" s="2"/>
      <c r="CI3619" s="2">
        <v>1</v>
      </c>
      <c r="CJ3619" s="2" t="s">
        <v>1200</v>
      </c>
      <c r="CK3619" s="2">
        <v>21</v>
      </c>
      <c r="CL3619" s="2" t="s">
        <v>86</v>
      </c>
      <c r="CM3619" s="2"/>
    </row>
    <row r="3620" spans="1:91">
      <c r="A3620" s="2" t="s">
        <v>71</v>
      </c>
      <c r="B3620" s="2" t="s">
        <v>72</v>
      </c>
      <c r="C3620" s="2" t="s">
        <v>73</v>
      </c>
      <c r="D3620" s="2"/>
      <c r="E3620" s="2" t="str">
        <f>"FES1162572566"</f>
        <v>FES1162572566</v>
      </c>
      <c r="F3620" s="3">
        <v>42978</v>
      </c>
      <c r="G3620" s="2">
        <v>201802</v>
      </c>
      <c r="H3620" s="2" t="s">
        <v>74</v>
      </c>
      <c r="I3620" s="2" t="s">
        <v>75</v>
      </c>
      <c r="J3620" s="2" t="s">
        <v>76</v>
      </c>
      <c r="K3620" s="2" t="s">
        <v>77</v>
      </c>
      <c r="L3620" s="2" t="s">
        <v>105</v>
      </c>
      <c r="M3620" s="2" t="s">
        <v>106</v>
      </c>
      <c r="N3620" s="2" t="s">
        <v>1306</v>
      </c>
      <c r="O3620" s="2" t="s">
        <v>100</v>
      </c>
      <c r="P3620" s="2" t="str">
        <f>"2170586654                    "</f>
        <v xml:space="preserve">2170586654                    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4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1</v>
      </c>
      <c r="BI3620" s="2">
        <v>1</v>
      </c>
      <c r="BJ3620" s="2">
        <v>0.2</v>
      </c>
      <c r="BK3620" s="2">
        <v>1</v>
      </c>
      <c r="BL3620" s="2">
        <v>41.44</v>
      </c>
      <c r="BM3620" s="2">
        <v>5.8</v>
      </c>
      <c r="BN3620" s="2">
        <v>47.24</v>
      </c>
      <c r="BO3620" s="2">
        <v>47.24</v>
      </c>
      <c r="BP3620" s="2"/>
      <c r="BQ3620" s="2" t="s">
        <v>209</v>
      </c>
      <c r="BR3620" s="2" t="s">
        <v>84</v>
      </c>
      <c r="BS3620" s="1" t="s">
        <v>1200</v>
      </c>
      <c r="BT3620" s="2"/>
      <c r="BU3620" s="2"/>
      <c r="BV3620" s="2"/>
      <c r="BW3620" s="2"/>
      <c r="BX3620" s="2"/>
      <c r="BY3620" s="2">
        <v>1200</v>
      </c>
      <c r="BZ3620" s="2"/>
      <c r="CA3620" s="2"/>
      <c r="CB3620" s="2"/>
      <c r="CC3620" s="2" t="s">
        <v>106</v>
      </c>
      <c r="CD3620" s="2">
        <v>7441</v>
      </c>
      <c r="CE3620" s="2" t="s">
        <v>104</v>
      </c>
      <c r="CF3620" s="2"/>
      <c r="CG3620" s="2"/>
      <c r="CH3620" s="2"/>
      <c r="CI3620" s="2">
        <v>1</v>
      </c>
      <c r="CJ3620" s="2" t="s">
        <v>1200</v>
      </c>
      <c r="CK3620" s="2">
        <v>21</v>
      </c>
      <c r="CL3620" s="2" t="s">
        <v>86</v>
      </c>
      <c r="CM3620" s="2"/>
    </row>
    <row r="3621" spans="1:91">
      <c r="A3621" s="2" t="s">
        <v>71</v>
      </c>
      <c r="B3621" s="2" t="s">
        <v>72</v>
      </c>
      <c r="C3621" s="2" t="s">
        <v>73</v>
      </c>
      <c r="D3621" s="2"/>
      <c r="E3621" s="2" t="str">
        <f>"FES1162572553"</f>
        <v>FES1162572553</v>
      </c>
      <c r="F3621" s="3">
        <v>42978</v>
      </c>
      <c r="G3621" s="2">
        <v>201802</v>
      </c>
      <c r="H3621" s="2" t="s">
        <v>74</v>
      </c>
      <c r="I3621" s="2" t="s">
        <v>75</v>
      </c>
      <c r="J3621" s="2" t="s">
        <v>76</v>
      </c>
      <c r="K3621" s="2" t="s">
        <v>77</v>
      </c>
      <c r="L3621" s="2" t="s">
        <v>924</v>
      </c>
      <c r="M3621" s="2" t="s">
        <v>925</v>
      </c>
      <c r="N3621" s="2" t="s">
        <v>2673</v>
      </c>
      <c r="O3621" s="2" t="s">
        <v>100</v>
      </c>
      <c r="P3621" s="2" t="str">
        <f>"2170585769                    "</f>
        <v xml:space="preserve">2170585769                    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4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2">
        <v>0</v>
      </c>
      <c r="BD3621" s="2">
        <v>0</v>
      </c>
      <c r="BE3621" s="2">
        <v>0</v>
      </c>
      <c r="BF3621" s="2">
        <v>0</v>
      </c>
      <c r="BG3621" s="2">
        <v>0</v>
      </c>
      <c r="BH3621" s="2">
        <v>1</v>
      </c>
      <c r="BI3621" s="2">
        <v>1</v>
      </c>
      <c r="BJ3621" s="2">
        <v>0.2</v>
      </c>
      <c r="BK3621" s="2">
        <v>1</v>
      </c>
      <c r="BL3621" s="2">
        <v>41.44</v>
      </c>
      <c r="BM3621" s="2">
        <v>5.8</v>
      </c>
      <c r="BN3621" s="2">
        <v>47.24</v>
      </c>
      <c r="BO3621" s="2">
        <v>47.24</v>
      </c>
      <c r="BP3621" s="2"/>
      <c r="BQ3621" s="2"/>
      <c r="BR3621" s="2" t="s">
        <v>84</v>
      </c>
      <c r="BS3621" s="1" t="s">
        <v>1200</v>
      </c>
      <c r="BT3621" s="2"/>
      <c r="BU3621" s="2"/>
      <c r="BV3621" s="2"/>
      <c r="BW3621" s="2"/>
      <c r="BX3621" s="2"/>
      <c r="BY3621" s="2">
        <v>1200</v>
      </c>
      <c r="BZ3621" s="2"/>
      <c r="CA3621" s="2"/>
      <c r="CB3621" s="2"/>
      <c r="CC3621" s="2" t="s">
        <v>925</v>
      </c>
      <c r="CD3621" s="2">
        <v>7600</v>
      </c>
      <c r="CE3621" s="2" t="s">
        <v>104</v>
      </c>
      <c r="CF3621" s="2"/>
      <c r="CG3621" s="2"/>
      <c r="CH3621" s="2"/>
      <c r="CI3621" s="2">
        <v>1</v>
      </c>
      <c r="CJ3621" s="2" t="s">
        <v>1200</v>
      </c>
      <c r="CK3621" s="2">
        <v>21</v>
      </c>
      <c r="CL3621" s="2" t="s">
        <v>86</v>
      </c>
      <c r="CM3621" s="2"/>
    </row>
    <row r="3622" spans="1:91">
      <c r="A3622" s="2" t="s">
        <v>71</v>
      </c>
      <c r="B3622" s="2" t="s">
        <v>72</v>
      </c>
      <c r="C3622" s="2" t="s">
        <v>73</v>
      </c>
      <c r="D3622" s="2"/>
      <c r="E3622" s="2" t="str">
        <f>"FES1162572510"</f>
        <v>FES1162572510</v>
      </c>
      <c r="F3622" s="3">
        <v>42978</v>
      </c>
      <c r="G3622" s="2">
        <v>201802</v>
      </c>
      <c r="H3622" s="2" t="s">
        <v>74</v>
      </c>
      <c r="I3622" s="2" t="s">
        <v>75</v>
      </c>
      <c r="J3622" s="2" t="s">
        <v>76</v>
      </c>
      <c r="K3622" s="2" t="s">
        <v>77</v>
      </c>
      <c r="L3622" s="2" t="s">
        <v>105</v>
      </c>
      <c r="M3622" s="2" t="s">
        <v>106</v>
      </c>
      <c r="N3622" s="2" t="s">
        <v>1083</v>
      </c>
      <c r="O3622" s="2" t="s">
        <v>100</v>
      </c>
      <c r="P3622" s="2" t="str">
        <f>"2170584488                    "</f>
        <v xml:space="preserve">2170584488                    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4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0</v>
      </c>
      <c r="BD3622" s="2">
        <v>0</v>
      </c>
      <c r="BE3622" s="2">
        <v>0</v>
      </c>
      <c r="BF3622" s="2">
        <v>0</v>
      </c>
      <c r="BG3622" s="2">
        <v>0</v>
      </c>
      <c r="BH3622" s="2">
        <v>1</v>
      </c>
      <c r="BI3622" s="2">
        <v>1</v>
      </c>
      <c r="BJ3622" s="2">
        <v>0.2</v>
      </c>
      <c r="BK3622" s="2">
        <v>1</v>
      </c>
      <c r="BL3622" s="2">
        <v>41.44</v>
      </c>
      <c r="BM3622" s="2">
        <v>5.8</v>
      </c>
      <c r="BN3622" s="2">
        <v>47.24</v>
      </c>
      <c r="BO3622" s="2">
        <v>47.24</v>
      </c>
      <c r="BP3622" s="2"/>
      <c r="BQ3622" s="2" t="s">
        <v>83</v>
      </c>
      <c r="BR3622" s="2" t="s">
        <v>84</v>
      </c>
      <c r="BS3622" s="1" t="s">
        <v>1200</v>
      </c>
      <c r="BT3622" s="2"/>
      <c r="BU3622" s="2"/>
      <c r="BV3622" s="2"/>
      <c r="BW3622" s="2"/>
      <c r="BX3622" s="2"/>
      <c r="BY3622" s="2">
        <v>1200</v>
      </c>
      <c r="BZ3622" s="2"/>
      <c r="CA3622" s="2"/>
      <c r="CB3622" s="2"/>
      <c r="CC3622" s="2" t="s">
        <v>106</v>
      </c>
      <c r="CD3622" s="2">
        <v>7460</v>
      </c>
      <c r="CE3622" s="2" t="s">
        <v>104</v>
      </c>
      <c r="CF3622" s="2"/>
      <c r="CG3622" s="2"/>
      <c r="CH3622" s="2"/>
      <c r="CI3622" s="2">
        <v>1</v>
      </c>
      <c r="CJ3622" s="2" t="s">
        <v>1200</v>
      </c>
      <c r="CK3622" s="2">
        <v>21</v>
      </c>
      <c r="CL3622" s="2" t="s">
        <v>86</v>
      </c>
      <c r="CM3622" s="2"/>
    </row>
    <row r="3623" spans="1:91">
      <c r="A3623" s="2" t="s">
        <v>71</v>
      </c>
      <c r="B3623" s="2" t="s">
        <v>72</v>
      </c>
      <c r="C3623" s="2" t="s">
        <v>73</v>
      </c>
      <c r="D3623" s="2"/>
      <c r="E3623" s="2" t="str">
        <f>"FES1162572516"</f>
        <v>FES1162572516</v>
      </c>
      <c r="F3623" s="3">
        <v>42978</v>
      </c>
      <c r="G3623" s="2">
        <v>201802</v>
      </c>
      <c r="H3623" s="2" t="s">
        <v>74</v>
      </c>
      <c r="I3623" s="2" t="s">
        <v>75</v>
      </c>
      <c r="J3623" s="2" t="s">
        <v>76</v>
      </c>
      <c r="K3623" s="2" t="s">
        <v>77</v>
      </c>
      <c r="L3623" s="2" t="s">
        <v>97</v>
      </c>
      <c r="M3623" s="2" t="s">
        <v>98</v>
      </c>
      <c r="N3623" s="2" t="s">
        <v>625</v>
      </c>
      <c r="O3623" s="2" t="s">
        <v>100</v>
      </c>
      <c r="P3623" s="2" t="str">
        <f>"2170582426                    "</f>
        <v xml:space="preserve">2170582426                    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4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0</v>
      </c>
      <c r="BD3623" s="2">
        <v>0</v>
      </c>
      <c r="BE3623" s="2">
        <v>0</v>
      </c>
      <c r="BF3623" s="2">
        <v>0</v>
      </c>
      <c r="BG3623" s="2">
        <v>0</v>
      </c>
      <c r="BH3623" s="2">
        <v>1</v>
      </c>
      <c r="BI3623" s="2">
        <v>1</v>
      </c>
      <c r="BJ3623" s="2">
        <v>0.2</v>
      </c>
      <c r="BK3623" s="2">
        <v>1</v>
      </c>
      <c r="BL3623" s="2">
        <v>41.44</v>
      </c>
      <c r="BM3623" s="2">
        <v>5.8</v>
      </c>
      <c r="BN3623" s="2">
        <v>47.24</v>
      </c>
      <c r="BO3623" s="2">
        <v>47.24</v>
      </c>
      <c r="BP3623" s="2"/>
      <c r="BQ3623" s="2" t="s">
        <v>108</v>
      </c>
      <c r="BR3623" s="2" t="s">
        <v>84</v>
      </c>
      <c r="BS3623" s="1" t="s">
        <v>1200</v>
      </c>
      <c r="BT3623" s="2"/>
      <c r="BU3623" s="2"/>
      <c r="BV3623" s="2"/>
      <c r="BW3623" s="2"/>
      <c r="BX3623" s="2"/>
      <c r="BY3623" s="2">
        <v>1200</v>
      </c>
      <c r="BZ3623" s="2"/>
      <c r="CA3623" s="2"/>
      <c r="CB3623" s="2"/>
      <c r="CC3623" s="2" t="s">
        <v>98</v>
      </c>
      <c r="CD3623" s="2">
        <v>6001</v>
      </c>
      <c r="CE3623" s="2" t="s">
        <v>104</v>
      </c>
      <c r="CF3623" s="2"/>
      <c r="CG3623" s="2"/>
      <c r="CH3623" s="2"/>
      <c r="CI3623" s="2">
        <v>1</v>
      </c>
      <c r="CJ3623" s="2" t="s">
        <v>1200</v>
      </c>
      <c r="CK3623" s="2">
        <v>21</v>
      </c>
      <c r="CL3623" s="2" t="s">
        <v>86</v>
      </c>
      <c r="CM3623" s="2"/>
    </row>
    <row r="3624" spans="1:91">
      <c r="A3624" s="2" t="s">
        <v>71</v>
      </c>
      <c r="B3624" s="2" t="s">
        <v>72</v>
      </c>
      <c r="C3624" s="2" t="s">
        <v>73</v>
      </c>
      <c r="D3624" s="2"/>
      <c r="E3624" s="2" t="str">
        <f>"FES1162572517"</f>
        <v>FES1162572517</v>
      </c>
      <c r="F3624" s="3">
        <v>42978</v>
      </c>
      <c r="G3624" s="2">
        <v>201802</v>
      </c>
      <c r="H3624" s="2" t="s">
        <v>74</v>
      </c>
      <c r="I3624" s="2" t="s">
        <v>75</v>
      </c>
      <c r="J3624" s="2" t="s">
        <v>76</v>
      </c>
      <c r="K3624" s="2" t="s">
        <v>77</v>
      </c>
      <c r="L3624" s="2" t="s">
        <v>97</v>
      </c>
      <c r="M3624" s="2" t="s">
        <v>98</v>
      </c>
      <c r="N3624" s="2" t="s">
        <v>248</v>
      </c>
      <c r="O3624" s="2" t="s">
        <v>100</v>
      </c>
      <c r="P3624" s="2" t="str">
        <f>"2170583650                    "</f>
        <v xml:space="preserve">2170583650                    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4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0</v>
      </c>
      <c r="BD3624" s="2">
        <v>0</v>
      </c>
      <c r="BE3624" s="2">
        <v>0</v>
      </c>
      <c r="BF3624" s="2">
        <v>0</v>
      </c>
      <c r="BG3624" s="2">
        <v>0</v>
      </c>
      <c r="BH3624" s="2">
        <v>1</v>
      </c>
      <c r="BI3624" s="2">
        <v>1</v>
      </c>
      <c r="BJ3624" s="2">
        <v>0.2</v>
      </c>
      <c r="BK3624" s="2">
        <v>1</v>
      </c>
      <c r="BL3624" s="2">
        <v>41.44</v>
      </c>
      <c r="BM3624" s="2">
        <v>5.8</v>
      </c>
      <c r="BN3624" s="2">
        <v>47.24</v>
      </c>
      <c r="BO3624" s="2">
        <v>47.24</v>
      </c>
      <c r="BP3624" s="2"/>
      <c r="BQ3624" s="2" t="s">
        <v>83</v>
      </c>
      <c r="BR3624" s="2" t="s">
        <v>84</v>
      </c>
      <c r="BS3624" s="1" t="s">
        <v>1200</v>
      </c>
      <c r="BT3624" s="2"/>
      <c r="BU3624" s="2"/>
      <c r="BV3624" s="2"/>
      <c r="BW3624" s="2"/>
      <c r="BX3624" s="2"/>
      <c r="BY3624" s="2">
        <v>1200</v>
      </c>
      <c r="BZ3624" s="2"/>
      <c r="CA3624" s="2"/>
      <c r="CB3624" s="2"/>
      <c r="CC3624" s="2" t="s">
        <v>98</v>
      </c>
      <c r="CD3624" s="2">
        <v>6001</v>
      </c>
      <c r="CE3624" s="2" t="s">
        <v>104</v>
      </c>
      <c r="CF3624" s="2"/>
      <c r="CG3624" s="2"/>
      <c r="CH3624" s="2"/>
      <c r="CI3624" s="2">
        <v>1</v>
      </c>
      <c r="CJ3624" s="2" t="s">
        <v>1200</v>
      </c>
      <c r="CK3624" s="2">
        <v>21</v>
      </c>
      <c r="CL3624" s="2" t="s">
        <v>86</v>
      </c>
      <c r="CM3624" s="2"/>
    </row>
    <row r="3625" spans="1:91">
      <c r="A3625" s="2" t="s">
        <v>71</v>
      </c>
      <c r="B3625" s="2" t="s">
        <v>72</v>
      </c>
      <c r="C3625" s="2" t="s">
        <v>73</v>
      </c>
      <c r="D3625" s="2"/>
      <c r="E3625" s="2" t="str">
        <f>"FES1162572555"</f>
        <v>FES1162572555</v>
      </c>
      <c r="F3625" s="3">
        <v>42978</v>
      </c>
      <c r="G3625" s="2">
        <v>201802</v>
      </c>
      <c r="H3625" s="2" t="s">
        <v>74</v>
      </c>
      <c r="I3625" s="2" t="s">
        <v>75</v>
      </c>
      <c r="J3625" s="2" t="s">
        <v>76</v>
      </c>
      <c r="K3625" s="2" t="s">
        <v>77</v>
      </c>
      <c r="L3625" s="2" t="s">
        <v>417</v>
      </c>
      <c r="M3625" s="2" t="s">
        <v>417</v>
      </c>
      <c r="N3625" s="2" t="s">
        <v>475</v>
      </c>
      <c r="O3625" s="2" t="s">
        <v>100</v>
      </c>
      <c r="P3625" s="2" t="str">
        <f>"2170585808                    "</f>
        <v xml:space="preserve">2170585808                    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4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0</v>
      </c>
      <c r="BD3625" s="2">
        <v>0</v>
      </c>
      <c r="BE3625" s="2">
        <v>0</v>
      </c>
      <c r="BF3625" s="2">
        <v>0</v>
      </c>
      <c r="BG3625" s="2">
        <v>0</v>
      </c>
      <c r="BH3625" s="2">
        <v>1</v>
      </c>
      <c r="BI3625" s="2">
        <v>1</v>
      </c>
      <c r="BJ3625" s="2">
        <v>0.2</v>
      </c>
      <c r="BK3625" s="2">
        <v>1</v>
      </c>
      <c r="BL3625" s="2">
        <v>41.44</v>
      </c>
      <c r="BM3625" s="2">
        <v>5.8</v>
      </c>
      <c r="BN3625" s="2">
        <v>47.24</v>
      </c>
      <c r="BO3625" s="2">
        <v>47.24</v>
      </c>
      <c r="BP3625" s="2"/>
      <c r="BQ3625" s="2" t="s">
        <v>108</v>
      </c>
      <c r="BR3625" s="2" t="s">
        <v>84</v>
      </c>
      <c r="BS3625" s="1" t="s">
        <v>1200</v>
      </c>
      <c r="BT3625" s="2"/>
      <c r="BU3625" s="2"/>
      <c r="BV3625" s="2"/>
      <c r="BW3625" s="2"/>
      <c r="BX3625" s="2"/>
      <c r="BY3625" s="2">
        <v>1200</v>
      </c>
      <c r="BZ3625" s="2"/>
      <c r="CA3625" s="2"/>
      <c r="CB3625" s="2"/>
      <c r="CC3625" s="2" t="s">
        <v>417</v>
      </c>
      <c r="CD3625" s="2">
        <v>7646</v>
      </c>
      <c r="CE3625" s="2" t="s">
        <v>104</v>
      </c>
      <c r="CF3625" s="2"/>
      <c r="CG3625" s="2"/>
      <c r="CH3625" s="2"/>
      <c r="CI3625" s="2">
        <v>1</v>
      </c>
      <c r="CJ3625" s="2" t="s">
        <v>1200</v>
      </c>
      <c r="CK3625" s="2">
        <v>21</v>
      </c>
      <c r="CL3625" s="2" t="s">
        <v>86</v>
      </c>
      <c r="CM3625" s="2"/>
    </row>
    <row r="3626" spans="1:91">
      <c r="A3626" s="2" t="s">
        <v>71</v>
      </c>
      <c r="B3626" s="2" t="s">
        <v>72</v>
      </c>
      <c r="C3626" s="2" t="s">
        <v>73</v>
      </c>
      <c r="D3626" s="2"/>
      <c r="E3626" s="2" t="str">
        <f>"FES1162572550"</f>
        <v>FES1162572550</v>
      </c>
      <c r="F3626" s="3">
        <v>42978</v>
      </c>
      <c r="G3626" s="2">
        <v>201802</v>
      </c>
      <c r="H3626" s="2" t="s">
        <v>74</v>
      </c>
      <c r="I3626" s="2" t="s">
        <v>75</v>
      </c>
      <c r="J3626" s="2" t="s">
        <v>76</v>
      </c>
      <c r="K3626" s="2" t="s">
        <v>77</v>
      </c>
      <c r="L3626" s="2" t="s">
        <v>174</v>
      </c>
      <c r="M3626" s="2" t="s">
        <v>175</v>
      </c>
      <c r="N3626" s="2" t="s">
        <v>1266</v>
      </c>
      <c r="O3626" s="2" t="s">
        <v>100</v>
      </c>
      <c r="P3626" s="2" t="str">
        <f>"2170585741                    "</f>
        <v xml:space="preserve">2170585741                    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4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0</v>
      </c>
      <c r="BD3626" s="2">
        <v>0</v>
      </c>
      <c r="BE3626" s="2">
        <v>0</v>
      </c>
      <c r="BF3626" s="2">
        <v>0</v>
      </c>
      <c r="BG3626" s="2">
        <v>0</v>
      </c>
      <c r="BH3626" s="2">
        <v>1</v>
      </c>
      <c r="BI3626" s="2">
        <v>1</v>
      </c>
      <c r="BJ3626" s="2">
        <v>0.2</v>
      </c>
      <c r="BK3626" s="2">
        <v>1</v>
      </c>
      <c r="BL3626" s="2">
        <v>41.44</v>
      </c>
      <c r="BM3626" s="2">
        <v>5.8</v>
      </c>
      <c r="BN3626" s="2">
        <v>47.24</v>
      </c>
      <c r="BO3626" s="2">
        <v>47.24</v>
      </c>
      <c r="BP3626" s="2"/>
      <c r="BQ3626" s="2"/>
      <c r="BR3626" s="2" t="s">
        <v>84</v>
      </c>
      <c r="BS3626" s="1" t="s">
        <v>1200</v>
      </c>
      <c r="BT3626" s="2"/>
      <c r="BU3626" s="2"/>
      <c r="BV3626" s="2"/>
      <c r="BW3626" s="2"/>
      <c r="BX3626" s="2"/>
      <c r="BY3626" s="2">
        <v>1200</v>
      </c>
      <c r="BZ3626" s="2"/>
      <c r="CA3626" s="2"/>
      <c r="CB3626" s="2"/>
      <c r="CC3626" s="2" t="s">
        <v>175</v>
      </c>
      <c r="CD3626" s="2">
        <v>5200</v>
      </c>
      <c r="CE3626" s="2" t="s">
        <v>104</v>
      </c>
      <c r="CF3626" s="2"/>
      <c r="CG3626" s="2"/>
      <c r="CH3626" s="2"/>
      <c r="CI3626" s="2">
        <v>1</v>
      </c>
      <c r="CJ3626" s="2" t="s">
        <v>1200</v>
      </c>
      <c r="CK3626" s="2">
        <v>21</v>
      </c>
      <c r="CL3626" s="2" t="s">
        <v>86</v>
      </c>
      <c r="CM3626" s="2"/>
    </row>
    <row r="3627" spans="1:91">
      <c r="A3627" s="2" t="s">
        <v>71</v>
      </c>
      <c r="B3627" s="2" t="s">
        <v>72</v>
      </c>
      <c r="C3627" s="2" t="s">
        <v>73</v>
      </c>
      <c r="D3627" s="2"/>
      <c r="E3627" s="2" t="str">
        <f>"FES1162572509"</f>
        <v>FES1162572509</v>
      </c>
      <c r="F3627" s="3">
        <v>42978</v>
      </c>
      <c r="G3627" s="2">
        <v>201802</v>
      </c>
      <c r="H3627" s="2" t="s">
        <v>74</v>
      </c>
      <c r="I3627" s="2" t="s">
        <v>75</v>
      </c>
      <c r="J3627" s="2" t="s">
        <v>76</v>
      </c>
      <c r="K3627" s="2" t="s">
        <v>77</v>
      </c>
      <c r="L3627" s="2" t="s">
        <v>97</v>
      </c>
      <c r="M3627" s="2" t="s">
        <v>98</v>
      </c>
      <c r="N3627" s="2" t="s">
        <v>119</v>
      </c>
      <c r="O3627" s="2" t="s">
        <v>100</v>
      </c>
      <c r="P3627" s="2" t="str">
        <f>"2170588704                    "</f>
        <v xml:space="preserve">2170588704                    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4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1</v>
      </c>
      <c r="BI3627" s="2">
        <v>1</v>
      </c>
      <c r="BJ3627" s="2">
        <v>0.2</v>
      </c>
      <c r="BK3627" s="2">
        <v>1</v>
      </c>
      <c r="BL3627" s="2">
        <v>41.44</v>
      </c>
      <c r="BM3627" s="2">
        <v>5.8</v>
      </c>
      <c r="BN3627" s="2">
        <v>47.24</v>
      </c>
      <c r="BO3627" s="2">
        <v>47.24</v>
      </c>
      <c r="BP3627" s="2"/>
      <c r="BQ3627" s="2" t="s">
        <v>108</v>
      </c>
      <c r="BR3627" s="2" t="s">
        <v>84</v>
      </c>
      <c r="BS3627" s="1" t="s">
        <v>1200</v>
      </c>
      <c r="BT3627" s="2"/>
      <c r="BU3627" s="2"/>
      <c r="BV3627" s="2"/>
      <c r="BW3627" s="2"/>
      <c r="BX3627" s="2"/>
      <c r="BY3627" s="2">
        <v>1200</v>
      </c>
      <c r="BZ3627" s="2"/>
      <c r="CA3627" s="2"/>
      <c r="CB3627" s="2"/>
      <c r="CC3627" s="2" t="s">
        <v>98</v>
      </c>
      <c r="CD3627" s="2">
        <v>6001</v>
      </c>
      <c r="CE3627" s="2" t="s">
        <v>104</v>
      </c>
      <c r="CF3627" s="2"/>
      <c r="CG3627" s="2"/>
      <c r="CH3627" s="2"/>
      <c r="CI3627" s="2">
        <v>1</v>
      </c>
      <c r="CJ3627" s="2" t="s">
        <v>1200</v>
      </c>
      <c r="CK3627" s="2">
        <v>21</v>
      </c>
      <c r="CL3627" s="2" t="s">
        <v>86</v>
      </c>
      <c r="CM3627" s="2"/>
    </row>
    <row r="3628" spans="1:91">
      <c r="A3628" s="2" t="s">
        <v>71</v>
      </c>
      <c r="B3628" s="2" t="s">
        <v>72</v>
      </c>
      <c r="C3628" s="2" t="s">
        <v>73</v>
      </c>
      <c r="D3628" s="2"/>
      <c r="E3628" s="2" t="str">
        <f>"FES1162572540"</f>
        <v>FES1162572540</v>
      </c>
      <c r="F3628" s="3">
        <v>42978</v>
      </c>
      <c r="G3628" s="2">
        <v>201802</v>
      </c>
      <c r="H3628" s="2" t="s">
        <v>74</v>
      </c>
      <c r="I3628" s="2" t="s">
        <v>75</v>
      </c>
      <c r="J3628" s="2" t="s">
        <v>76</v>
      </c>
      <c r="K3628" s="2" t="s">
        <v>77</v>
      </c>
      <c r="L3628" s="2" t="s">
        <v>105</v>
      </c>
      <c r="M3628" s="2" t="s">
        <v>106</v>
      </c>
      <c r="N3628" s="2" t="s">
        <v>348</v>
      </c>
      <c r="O3628" s="2" t="s">
        <v>100</v>
      </c>
      <c r="P3628" s="2" t="str">
        <f>"2170585570                    "</f>
        <v xml:space="preserve">2170585570                    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4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0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0</v>
      </c>
      <c r="BD3628" s="2">
        <v>0</v>
      </c>
      <c r="BE3628" s="2">
        <v>0</v>
      </c>
      <c r="BF3628" s="2">
        <v>0</v>
      </c>
      <c r="BG3628" s="2">
        <v>0</v>
      </c>
      <c r="BH3628" s="2">
        <v>1</v>
      </c>
      <c r="BI3628" s="2">
        <v>1</v>
      </c>
      <c r="BJ3628" s="2">
        <v>0.2</v>
      </c>
      <c r="BK3628" s="2">
        <v>1</v>
      </c>
      <c r="BL3628" s="2">
        <v>41.44</v>
      </c>
      <c r="BM3628" s="2">
        <v>5.8</v>
      </c>
      <c r="BN3628" s="2">
        <v>47.24</v>
      </c>
      <c r="BO3628" s="2">
        <v>47.24</v>
      </c>
      <c r="BP3628" s="2"/>
      <c r="BQ3628" s="2" t="s">
        <v>108</v>
      </c>
      <c r="BR3628" s="2" t="s">
        <v>84</v>
      </c>
      <c r="BS3628" s="1" t="s">
        <v>1200</v>
      </c>
      <c r="BT3628" s="2"/>
      <c r="BU3628" s="2"/>
      <c r="BV3628" s="2"/>
      <c r="BW3628" s="2"/>
      <c r="BX3628" s="2"/>
      <c r="BY3628" s="2">
        <v>1200</v>
      </c>
      <c r="BZ3628" s="2"/>
      <c r="CA3628" s="2"/>
      <c r="CB3628" s="2"/>
      <c r="CC3628" s="2" t="s">
        <v>106</v>
      </c>
      <c r="CD3628" s="2">
        <v>7945</v>
      </c>
      <c r="CE3628" s="2" t="s">
        <v>104</v>
      </c>
      <c r="CF3628" s="2"/>
      <c r="CG3628" s="2"/>
      <c r="CH3628" s="2"/>
      <c r="CI3628" s="2">
        <v>1</v>
      </c>
      <c r="CJ3628" s="2" t="s">
        <v>1200</v>
      </c>
      <c r="CK3628" s="2">
        <v>21</v>
      </c>
      <c r="CL3628" s="2" t="s">
        <v>86</v>
      </c>
      <c r="CM3628" s="2"/>
    </row>
    <row r="3629" spans="1:91">
      <c r="A3629" s="2" t="s">
        <v>71</v>
      </c>
      <c r="B3629" s="2" t="s">
        <v>72</v>
      </c>
      <c r="C3629" s="2" t="s">
        <v>73</v>
      </c>
      <c r="D3629" s="2"/>
      <c r="E3629" s="2" t="str">
        <f>"FES1162572572"</f>
        <v>FES1162572572</v>
      </c>
      <c r="F3629" s="3">
        <v>42978</v>
      </c>
      <c r="G3629" s="2">
        <v>201802</v>
      </c>
      <c r="H3629" s="2" t="s">
        <v>74</v>
      </c>
      <c r="I3629" s="2" t="s">
        <v>75</v>
      </c>
      <c r="J3629" s="2" t="s">
        <v>76</v>
      </c>
      <c r="K3629" s="2" t="s">
        <v>77</v>
      </c>
      <c r="L3629" s="2" t="s">
        <v>353</v>
      </c>
      <c r="M3629" s="2" t="s">
        <v>354</v>
      </c>
      <c r="N3629" s="2" t="s">
        <v>665</v>
      </c>
      <c r="O3629" s="2" t="s">
        <v>100</v>
      </c>
      <c r="P3629" s="2" t="str">
        <f>"2170588077                    "</f>
        <v xml:space="preserve">2170588077                    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4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0</v>
      </c>
      <c r="BD3629" s="2">
        <v>0</v>
      </c>
      <c r="BE3629" s="2">
        <v>0</v>
      </c>
      <c r="BF3629" s="2">
        <v>0</v>
      </c>
      <c r="BG3629" s="2">
        <v>0</v>
      </c>
      <c r="BH3629" s="2">
        <v>1</v>
      </c>
      <c r="BI3629" s="2">
        <v>1</v>
      </c>
      <c r="BJ3629" s="2">
        <v>0.2</v>
      </c>
      <c r="BK3629" s="2">
        <v>1</v>
      </c>
      <c r="BL3629" s="2">
        <v>41.44</v>
      </c>
      <c r="BM3629" s="2">
        <v>5.8</v>
      </c>
      <c r="BN3629" s="2">
        <v>47.24</v>
      </c>
      <c r="BO3629" s="2">
        <v>47.24</v>
      </c>
      <c r="BP3629" s="2"/>
      <c r="BQ3629" s="2" t="s">
        <v>666</v>
      </c>
      <c r="BR3629" s="2" t="s">
        <v>84</v>
      </c>
      <c r="BS3629" s="1" t="s">
        <v>1200</v>
      </c>
      <c r="BT3629" s="2"/>
      <c r="BU3629" s="2"/>
      <c r="BV3629" s="2"/>
      <c r="BW3629" s="2"/>
      <c r="BX3629" s="2"/>
      <c r="BY3629" s="2">
        <v>1200</v>
      </c>
      <c r="BZ3629" s="2"/>
      <c r="CA3629" s="2"/>
      <c r="CB3629" s="2"/>
      <c r="CC3629" s="2" t="s">
        <v>354</v>
      </c>
      <c r="CD3629" s="2">
        <v>3699</v>
      </c>
      <c r="CE3629" s="2" t="s">
        <v>104</v>
      </c>
      <c r="CF3629" s="2"/>
      <c r="CG3629" s="2"/>
      <c r="CH3629" s="2"/>
      <c r="CI3629" s="2">
        <v>1</v>
      </c>
      <c r="CJ3629" s="2" t="s">
        <v>1200</v>
      </c>
      <c r="CK3629" s="2">
        <v>21</v>
      </c>
      <c r="CL3629" s="2" t="s">
        <v>86</v>
      </c>
      <c r="CM3629" s="2"/>
    </row>
    <row r="3630" spans="1:91">
      <c r="A3630" s="2" t="s">
        <v>71</v>
      </c>
      <c r="B3630" s="2" t="s">
        <v>72</v>
      </c>
      <c r="C3630" s="2" t="s">
        <v>73</v>
      </c>
      <c r="D3630" s="2"/>
      <c r="E3630" s="2" t="str">
        <f>"FES1162572577"</f>
        <v>FES1162572577</v>
      </c>
      <c r="F3630" s="3">
        <v>42978</v>
      </c>
      <c r="G3630" s="2">
        <v>201802</v>
      </c>
      <c r="H3630" s="2" t="s">
        <v>74</v>
      </c>
      <c r="I3630" s="2" t="s">
        <v>75</v>
      </c>
      <c r="J3630" s="2" t="s">
        <v>76</v>
      </c>
      <c r="K3630" s="2" t="s">
        <v>77</v>
      </c>
      <c r="L3630" s="2" t="s">
        <v>149</v>
      </c>
      <c r="M3630" s="2" t="s">
        <v>150</v>
      </c>
      <c r="N3630" s="2" t="s">
        <v>3593</v>
      </c>
      <c r="O3630" s="2" t="s">
        <v>100</v>
      </c>
      <c r="P3630" s="2" t="str">
        <f>"2170588084                    "</f>
        <v xml:space="preserve">2170588084                    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4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0</v>
      </c>
      <c r="BD3630" s="2">
        <v>0</v>
      </c>
      <c r="BE3630" s="2">
        <v>0</v>
      </c>
      <c r="BF3630" s="2">
        <v>0</v>
      </c>
      <c r="BG3630" s="2">
        <v>0</v>
      </c>
      <c r="BH3630" s="2">
        <v>1</v>
      </c>
      <c r="BI3630" s="2">
        <v>1</v>
      </c>
      <c r="BJ3630" s="2">
        <v>0.2</v>
      </c>
      <c r="BK3630" s="2">
        <v>1</v>
      </c>
      <c r="BL3630" s="2">
        <v>41.44</v>
      </c>
      <c r="BM3630" s="2">
        <v>5.8</v>
      </c>
      <c r="BN3630" s="2">
        <v>47.24</v>
      </c>
      <c r="BO3630" s="2">
        <v>47.24</v>
      </c>
      <c r="BP3630" s="2"/>
      <c r="BQ3630" s="2" t="s">
        <v>227</v>
      </c>
      <c r="BR3630" s="2" t="s">
        <v>84</v>
      </c>
      <c r="BS3630" s="1" t="s">
        <v>1200</v>
      </c>
      <c r="BT3630" s="2"/>
      <c r="BU3630" s="2"/>
      <c r="BV3630" s="2"/>
      <c r="BW3630" s="2"/>
      <c r="BX3630" s="2"/>
      <c r="BY3630" s="2">
        <v>1200</v>
      </c>
      <c r="BZ3630" s="2"/>
      <c r="CA3630" s="2"/>
      <c r="CB3630" s="2"/>
      <c r="CC3630" s="2" t="s">
        <v>150</v>
      </c>
      <c r="CD3630" s="2">
        <v>4068</v>
      </c>
      <c r="CE3630" s="2" t="s">
        <v>104</v>
      </c>
      <c r="CF3630" s="2"/>
      <c r="CG3630" s="2"/>
      <c r="CH3630" s="2"/>
      <c r="CI3630" s="2">
        <v>1</v>
      </c>
      <c r="CJ3630" s="2" t="s">
        <v>1200</v>
      </c>
      <c r="CK3630" s="2">
        <v>21</v>
      </c>
      <c r="CL3630" s="2" t="s">
        <v>86</v>
      </c>
      <c r="CM3630" s="2"/>
    </row>
    <row r="3631" spans="1:91">
      <c r="A3631" s="2" t="s">
        <v>71</v>
      </c>
      <c r="B3631" s="2" t="s">
        <v>72</v>
      </c>
      <c r="C3631" s="2" t="s">
        <v>73</v>
      </c>
      <c r="D3631" s="2"/>
      <c r="E3631" s="2" t="str">
        <f>"FES1162572495"</f>
        <v>FES1162572495</v>
      </c>
      <c r="F3631" s="3">
        <v>42978</v>
      </c>
      <c r="G3631" s="2">
        <v>201802</v>
      </c>
      <c r="H3631" s="2" t="s">
        <v>74</v>
      </c>
      <c r="I3631" s="2" t="s">
        <v>75</v>
      </c>
      <c r="J3631" s="2" t="s">
        <v>76</v>
      </c>
      <c r="K3631" s="2" t="s">
        <v>77</v>
      </c>
      <c r="L3631" s="2" t="s">
        <v>237</v>
      </c>
      <c r="M3631" s="2" t="s">
        <v>238</v>
      </c>
      <c r="N3631" s="2" t="s">
        <v>571</v>
      </c>
      <c r="O3631" s="2" t="s">
        <v>100</v>
      </c>
      <c r="P3631" s="2" t="str">
        <f>"2170588058                    "</f>
        <v xml:space="preserve">2170588058                    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4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0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0</v>
      </c>
      <c r="BD3631" s="2">
        <v>0</v>
      </c>
      <c r="BE3631" s="2">
        <v>0</v>
      </c>
      <c r="BF3631" s="2">
        <v>0</v>
      </c>
      <c r="BG3631" s="2">
        <v>0</v>
      </c>
      <c r="BH3631" s="2">
        <v>1</v>
      </c>
      <c r="BI3631" s="2">
        <v>1</v>
      </c>
      <c r="BJ3631" s="2">
        <v>0.2</v>
      </c>
      <c r="BK3631" s="2">
        <v>1</v>
      </c>
      <c r="BL3631" s="2">
        <v>41.44</v>
      </c>
      <c r="BM3631" s="2">
        <v>5.8</v>
      </c>
      <c r="BN3631" s="2">
        <v>47.24</v>
      </c>
      <c r="BO3631" s="2">
        <v>47.24</v>
      </c>
      <c r="BP3631" s="2"/>
      <c r="BQ3631" s="2" t="s">
        <v>572</v>
      </c>
      <c r="BR3631" s="2" t="s">
        <v>84</v>
      </c>
      <c r="BS3631" s="1" t="s">
        <v>1200</v>
      </c>
      <c r="BT3631" s="2"/>
      <c r="BU3631" s="2"/>
      <c r="BV3631" s="2"/>
      <c r="BW3631" s="2"/>
      <c r="BX3631" s="2"/>
      <c r="BY3631" s="2">
        <v>1200</v>
      </c>
      <c r="BZ3631" s="2"/>
      <c r="CA3631" s="2"/>
      <c r="CB3631" s="2"/>
      <c r="CC3631" s="2" t="s">
        <v>238</v>
      </c>
      <c r="CD3631" s="2">
        <v>3610</v>
      </c>
      <c r="CE3631" s="2" t="s">
        <v>104</v>
      </c>
      <c r="CF3631" s="2"/>
      <c r="CG3631" s="2"/>
      <c r="CH3631" s="2"/>
      <c r="CI3631" s="2">
        <v>1</v>
      </c>
      <c r="CJ3631" s="2" t="s">
        <v>1200</v>
      </c>
      <c r="CK3631" s="2">
        <v>21</v>
      </c>
      <c r="CL3631" s="2" t="s">
        <v>86</v>
      </c>
      <c r="CM3631" s="2"/>
    </row>
    <row r="3632" spans="1:91">
      <c r="A3632" s="2" t="s">
        <v>71</v>
      </c>
      <c r="B3632" s="2" t="s">
        <v>72</v>
      </c>
      <c r="C3632" s="2" t="s">
        <v>73</v>
      </c>
      <c r="D3632" s="2"/>
      <c r="E3632" s="2" t="str">
        <f>"FES1162572471"</f>
        <v>FES1162572471</v>
      </c>
      <c r="F3632" s="3">
        <v>42978</v>
      </c>
      <c r="G3632" s="2">
        <v>201802</v>
      </c>
      <c r="H3632" s="2" t="s">
        <v>74</v>
      </c>
      <c r="I3632" s="2" t="s">
        <v>75</v>
      </c>
      <c r="J3632" s="2" t="s">
        <v>76</v>
      </c>
      <c r="K3632" s="2" t="s">
        <v>77</v>
      </c>
      <c r="L3632" s="2" t="s">
        <v>715</v>
      </c>
      <c r="M3632" s="2" t="s">
        <v>716</v>
      </c>
      <c r="N3632" s="2" t="s">
        <v>717</v>
      </c>
      <c r="O3632" s="2" t="s">
        <v>100</v>
      </c>
      <c r="P3632" s="2" t="str">
        <f>"2170588018                    "</f>
        <v xml:space="preserve">2170588018                    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4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1</v>
      </c>
      <c r="BI3632" s="2">
        <v>1</v>
      </c>
      <c r="BJ3632" s="2">
        <v>0.2</v>
      </c>
      <c r="BK3632" s="2">
        <v>1</v>
      </c>
      <c r="BL3632" s="2">
        <v>41.44</v>
      </c>
      <c r="BM3632" s="2">
        <v>5.8</v>
      </c>
      <c r="BN3632" s="2">
        <v>47.24</v>
      </c>
      <c r="BO3632" s="2">
        <v>47.24</v>
      </c>
      <c r="BP3632" s="2"/>
      <c r="BQ3632" s="2" t="s">
        <v>108</v>
      </c>
      <c r="BR3632" s="2" t="s">
        <v>84</v>
      </c>
      <c r="BS3632" s="1" t="s">
        <v>1200</v>
      </c>
      <c r="BT3632" s="2"/>
      <c r="BU3632" s="2"/>
      <c r="BV3632" s="2"/>
      <c r="BW3632" s="2"/>
      <c r="BX3632" s="2"/>
      <c r="BY3632" s="2">
        <v>1200</v>
      </c>
      <c r="BZ3632" s="2"/>
      <c r="CA3632" s="2"/>
      <c r="CB3632" s="2"/>
      <c r="CC3632" s="2" t="s">
        <v>716</v>
      </c>
      <c r="CD3632" s="2">
        <v>3290</v>
      </c>
      <c r="CE3632" s="2" t="s">
        <v>104</v>
      </c>
      <c r="CF3632" s="2"/>
      <c r="CG3632" s="2"/>
      <c r="CH3632" s="2"/>
      <c r="CI3632" s="2">
        <v>1</v>
      </c>
      <c r="CJ3632" s="2" t="s">
        <v>1200</v>
      </c>
      <c r="CK3632" s="2">
        <v>21</v>
      </c>
      <c r="CL3632" s="2" t="s">
        <v>86</v>
      </c>
      <c r="CM3632" s="2"/>
    </row>
    <row r="3633" spans="1:91">
      <c r="A3633" s="2" t="s">
        <v>71</v>
      </c>
      <c r="B3633" s="2" t="s">
        <v>72</v>
      </c>
      <c r="C3633" s="2" t="s">
        <v>73</v>
      </c>
      <c r="D3633" s="2"/>
      <c r="E3633" s="2" t="str">
        <f>"FES1162572582"</f>
        <v>FES1162572582</v>
      </c>
      <c r="F3633" s="3">
        <v>42978</v>
      </c>
      <c r="G3633" s="2">
        <v>201802</v>
      </c>
      <c r="H3633" s="2" t="s">
        <v>74</v>
      </c>
      <c r="I3633" s="2" t="s">
        <v>75</v>
      </c>
      <c r="J3633" s="2" t="s">
        <v>76</v>
      </c>
      <c r="K3633" s="2" t="s">
        <v>77</v>
      </c>
      <c r="L3633" s="2" t="s">
        <v>237</v>
      </c>
      <c r="M3633" s="2" t="s">
        <v>238</v>
      </c>
      <c r="N3633" s="2" t="s">
        <v>1766</v>
      </c>
      <c r="O3633" s="2" t="s">
        <v>100</v>
      </c>
      <c r="P3633" s="2" t="str">
        <f>"2170588095                    "</f>
        <v xml:space="preserve">2170588095                    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7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0</v>
      </c>
      <c r="BD3633" s="2">
        <v>0</v>
      </c>
      <c r="BE3633" s="2">
        <v>0</v>
      </c>
      <c r="BF3633" s="2">
        <v>0</v>
      </c>
      <c r="BG3633" s="2">
        <v>0</v>
      </c>
      <c r="BH3633" s="2">
        <v>1</v>
      </c>
      <c r="BI3633" s="2">
        <v>3.1</v>
      </c>
      <c r="BJ3633" s="2">
        <v>1</v>
      </c>
      <c r="BK3633" s="2">
        <v>3.5</v>
      </c>
      <c r="BL3633" s="2">
        <v>72.52</v>
      </c>
      <c r="BM3633" s="2">
        <v>10.15</v>
      </c>
      <c r="BN3633" s="2">
        <v>82.67</v>
      </c>
      <c r="BO3633" s="2">
        <v>82.67</v>
      </c>
      <c r="BP3633" s="2"/>
      <c r="BQ3633" s="2" t="s">
        <v>108</v>
      </c>
      <c r="BR3633" s="2" t="s">
        <v>84</v>
      </c>
      <c r="BS3633" s="1" t="s">
        <v>1200</v>
      </c>
      <c r="BT3633" s="2"/>
      <c r="BU3633" s="2"/>
      <c r="BV3633" s="2"/>
      <c r="BW3633" s="2"/>
      <c r="BX3633" s="2"/>
      <c r="BY3633" s="2">
        <v>5190.62</v>
      </c>
      <c r="BZ3633" s="2"/>
      <c r="CA3633" s="2"/>
      <c r="CB3633" s="2"/>
      <c r="CC3633" s="2" t="s">
        <v>238</v>
      </c>
      <c r="CD3633" s="2">
        <v>3620</v>
      </c>
      <c r="CE3633" s="2" t="s">
        <v>89</v>
      </c>
      <c r="CF3633" s="2"/>
      <c r="CG3633" s="2"/>
      <c r="CH3633" s="2"/>
      <c r="CI3633" s="2">
        <v>1</v>
      </c>
      <c r="CJ3633" s="2" t="s">
        <v>1200</v>
      </c>
      <c r="CK3633" s="2">
        <v>21</v>
      </c>
      <c r="CL3633" s="2" t="s">
        <v>86</v>
      </c>
      <c r="CM3633" s="2"/>
    </row>
    <row r="3634" spans="1:91">
      <c r="A3634" s="2" t="s">
        <v>71</v>
      </c>
      <c r="B3634" s="2" t="s">
        <v>72</v>
      </c>
      <c r="C3634" s="2" t="s">
        <v>73</v>
      </c>
      <c r="D3634" s="2"/>
      <c r="E3634" s="2" t="str">
        <f>"FES1162572570"</f>
        <v>FES1162572570</v>
      </c>
      <c r="F3634" s="3">
        <v>42978</v>
      </c>
      <c r="G3634" s="2">
        <v>201802</v>
      </c>
      <c r="H3634" s="2" t="s">
        <v>74</v>
      </c>
      <c r="I3634" s="2" t="s">
        <v>75</v>
      </c>
      <c r="J3634" s="2" t="s">
        <v>76</v>
      </c>
      <c r="K3634" s="2" t="s">
        <v>77</v>
      </c>
      <c r="L3634" s="2" t="s">
        <v>362</v>
      </c>
      <c r="M3634" s="2" t="s">
        <v>363</v>
      </c>
      <c r="N3634" s="2" t="s">
        <v>1168</v>
      </c>
      <c r="O3634" s="2" t="s">
        <v>100</v>
      </c>
      <c r="P3634" s="2" t="str">
        <f>"2170587905                    "</f>
        <v xml:space="preserve">2170587905                    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5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0</v>
      </c>
      <c r="BD3634" s="2">
        <v>0</v>
      </c>
      <c r="BE3634" s="2">
        <v>0</v>
      </c>
      <c r="BF3634" s="2">
        <v>0</v>
      </c>
      <c r="BG3634" s="2">
        <v>0</v>
      </c>
      <c r="BH3634" s="2">
        <v>1</v>
      </c>
      <c r="BI3634" s="2">
        <v>2.4</v>
      </c>
      <c r="BJ3634" s="2">
        <v>1</v>
      </c>
      <c r="BK3634" s="2">
        <v>2.5</v>
      </c>
      <c r="BL3634" s="2">
        <v>51.8</v>
      </c>
      <c r="BM3634" s="2">
        <v>7.25</v>
      </c>
      <c r="BN3634" s="2">
        <v>59.05</v>
      </c>
      <c r="BO3634" s="2">
        <v>59.05</v>
      </c>
      <c r="BP3634" s="2"/>
      <c r="BQ3634" s="2" t="s">
        <v>83</v>
      </c>
      <c r="BR3634" s="2" t="s">
        <v>84</v>
      </c>
      <c r="BS3634" s="1" t="s">
        <v>1200</v>
      </c>
      <c r="BT3634" s="2"/>
      <c r="BU3634" s="2"/>
      <c r="BV3634" s="2"/>
      <c r="BW3634" s="2"/>
      <c r="BX3634" s="2"/>
      <c r="BY3634" s="2">
        <v>4970.09</v>
      </c>
      <c r="BZ3634" s="2"/>
      <c r="CA3634" s="2"/>
      <c r="CB3634" s="2"/>
      <c r="CC3634" s="2" t="s">
        <v>363</v>
      </c>
      <c r="CD3634" s="2">
        <v>3201</v>
      </c>
      <c r="CE3634" s="2" t="s">
        <v>89</v>
      </c>
      <c r="CF3634" s="2"/>
      <c r="CG3634" s="2"/>
      <c r="CH3634" s="2"/>
      <c r="CI3634" s="2">
        <v>1</v>
      </c>
      <c r="CJ3634" s="2" t="s">
        <v>1200</v>
      </c>
      <c r="CK3634" s="2">
        <v>21</v>
      </c>
      <c r="CL3634" s="2" t="s">
        <v>86</v>
      </c>
      <c r="CM3634" s="2"/>
    </row>
    <row r="3635" spans="1:91">
      <c r="A3635" s="2" t="s">
        <v>71</v>
      </c>
      <c r="B3635" s="2" t="s">
        <v>72</v>
      </c>
      <c r="C3635" s="2" t="s">
        <v>73</v>
      </c>
      <c r="D3635" s="2"/>
      <c r="E3635" s="2" t="str">
        <f>"FES1162572521"</f>
        <v>FES1162572521</v>
      </c>
      <c r="F3635" s="3">
        <v>42978</v>
      </c>
      <c r="G3635" s="2">
        <v>201802</v>
      </c>
      <c r="H3635" s="2" t="s">
        <v>74</v>
      </c>
      <c r="I3635" s="2" t="s">
        <v>75</v>
      </c>
      <c r="J3635" s="2" t="s">
        <v>76</v>
      </c>
      <c r="K3635" s="2" t="s">
        <v>77</v>
      </c>
      <c r="L3635" s="2" t="s">
        <v>149</v>
      </c>
      <c r="M3635" s="2" t="s">
        <v>150</v>
      </c>
      <c r="N3635" s="2" t="s">
        <v>183</v>
      </c>
      <c r="O3635" s="2" t="s">
        <v>100</v>
      </c>
      <c r="P3635" s="2" t="str">
        <f>"2170584357                    "</f>
        <v xml:space="preserve">2170584357                    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19.010000000000002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1</v>
      </c>
      <c r="BI3635" s="2">
        <v>9.5</v>
      </c>
      <c r="BJ3635" s="2">
        <v>3.3</v>
      </c>
      <c r="BK3635" s="2">
        <v>9.5</v>
      </c>
      <c r="BL3635" s="2">
        <v>196.85</v>
      </c>
      <c r="BM3635" s="2">
        <v>27.56</v>
      </c>
      <c r="BN3635" s="2">
        <v>224.41</v>
      </c>
      <c r="BO3635" s="2">
        <v>224.41</v>
      </c>
      <c r="BP3635" s="2"/>
      <c r="BQ3635" s="2" t="s">
        <v>1284</v>
      </c>
      <c r="BR3635" s="2" t="s">
        <v>84</v>
      </c>
      <c r="BS3635" s="1" t="s">
        <v>1200</v>
      </c>
      <c r="BT3635" s="2"/>
      <c r="BU3635" s="2"/>
      <c r="BV3635" s="2"/>
      <c r="BW3635" s="2"/>
      <c r="BX3635" s="2"/>
      <c r="BY3635" s="2">
        <v>16501.5</v>
      </c>
      <c r="BZ3635" s="2"/>
      <c r="CA3635" s="2"/>
      <c r="CB3635" s="2"/>
      <c r="CC3635" s="2" t="s">
        <v>150</v>
      </c>
      <c r="CD3635" s="2">
        <v>4001</v>
      </c>
      <c r="CE3635" s="2" t="s">
        <v>89</v>
      </c>
      <c r="CF3635" s="2"/>
      <c r="CG3635" s="2"/>
      <c r="CH3635" s="2"/>
      <c r="CI3635" s="2">
        <v>1</v>
      </c>
      <c r="CJ3635" s="2" t="s">
        <v>1200</v>
      </c>
      <c r="CK3635" s="2">
        <v>21</v>
      </c>
      <c r="CL3635" s="2" t="s">
        <v>86</v>
      </c>
      <c r="CM3635" s="2"/>
    </row>
    <row r="3636" spans="1:91">
      <c r="A3636" s="2" t="s">
        <v>71</v>
      </c>
      <c r="B3636" s="2" t="s">
        <v>72</v>
      </c>
      <c r="C3636" s="2" t="s">
        <v>73</v>
      </c>
      <c r="D3636" s="2"/>
      <c r="E3636" s="2" t="str">
        <f>"FES1162572523"</f>
        <v>FES1162572523</v>
      </c>
      <c r="F3636" s="3">
        <v>42978</v>
      </c>
      <c r="G3636" s="2">
        <v>201802</v>
      </c>
      <c r="H3636" s="2" t="s">
        <v>74</v>
      </c>
      <c r="I3636" s="2" t="s">
        <v>75</v>
      </c>
      <c r="J3636" s="2" t="s">
        <v>76</v>
      </c>
      <c r="K3636" s="2" t="s">
        <v>77</v>
      </c>
      <c r="L3636" s="2" t="s">
        <v>221</v>
      </c>
      <c r="M3636" s="2" t="s">
        <v>222</v>
      </c>
      <c r="N3636" s="2" t="s">
        <v>415</v>
      </c>
      <c r="O3636" s="2" t="s">
        <v>100</v>
      </c>
      <c r="P3636" s="2" t="str">
        <f>"2170584716                    "</f>
        <v xml:space="preserve">2170584716                    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4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0</v>
      </c>
      <c r="BD3636" s="2">
        <v>0</v>
      </c>
      <c r="BE3636" s="2">
        <v>0</v>
      </c>
      <c r="BF3636" s="2">
        <v>0</v>
      </c>
      <c r="BG3636" s="2">
        <v>0</v>
      </c>
      <c r="BH3636" s="2">
        <v>1</v>
      </c>
      <c r="BI3636" s="2">
        <v>1</v>
      </c>
      <c r="BJ3636" s="2">
        <v>0.2</v>
      </c>
      <c r="BK3636" s="2">
        <v>1</v>
      </c>
      <c r="BL3636" s="2">
        <v>41.44</v>
      </c>
      <c r="BM3636" s="2">
        <v>5.8</v>
      </c>
      <c r="BN3636" s="2">
        <v>47.24</v>
      </c>
      <c r="BO3636" s="2">
        <v>47.24</v>
      </c>
      <c r="BP3636" s="2"/>
      <c r="BQ3636" s="2" t="s">
        <v>108</v>
      </c>
      <c r="BR3636" s="2" t="s">
        <v>84</v>
      </c>
      <c r="BS3636" s="1" t="s">
        <v>1200</v>
      </c>
      <c r="BT3636" s="2"/>
      <c r="BU3636" s="2"/>
      <c r="BV3636" s="2"/>
      <c r="BW3636" s="2"/>
      <c r="BX3636" s="2"/>
      <c r="BY3636" s="2">
        <v>1200</v>
      </c>
      <c r="BZ3636" s="2"/>
      <c r="CA3636" s="2"/>
      <c r="CB3636" s="2"/>
      <c r="CC3636" s="2" t="s">
        <v>222</v>
      </c>
      <c r="CD3636" s="2">
        <v>4302</v>
      </c>
      <c r="CE3636" s="2" t="s">
        <v>104</v>
      </c>
      <c r="CF3636" s="2"/>
      <c r="CG3636" s="2"/>
      <c r="CH3636" s="2"/>
      <c r="CI3636" s="2">
        <v>1</v>
      </c>
      <c r="CJ3636" s="2" t="s">
        <v>1200</v>
      </c>
      <c r="CK3636" s="2">
        <v>21</v>
      </c>
      <c r="CL3636" s="2" t="s">
        <v>86</v>
      </c>
      <c r="CM3636" s="2"/>
    </row>
    <row r="3637" spans="1:91">
      <c r="A3637" s="2" t="s">
        <v>71</v>
      </c>
      <c r="B3637" s="2" t="s">
        <v>72</v>
      </c>
      <c r="C3637" s="2" t="s">
        <v>73</v>
      </c>
      <c r="D3637" s="2"/>
      <c r="E3637" s="2" t="str">
        <f>"FES1162572529"</f>
        <v>FES1162572529</v>
      </c>
      <c r="F3637" s="3">
        <v>42978</v>
      </c>
      <c r="G3637" s="2">
        <v>201802</v>
      </c>
      <c r="H3637" s="2" t="s">
        <v>74</v>
      </c>
      <c r="I3637" s="2" t="s">
        <v>75</v>
      </c>
      <c r="J3637" s="2" t="s">
        <v>76</v>
      </c>
      <c r="K3637" s="2" t="s">
        <v>77</v>
      </c>
      <c r="L3637" s="2" t="s">
        <v>343</v>
      </c>
      <c r="M3637" s="2" t="s">
        <v>344</v>
      </c>
      <c r="N3637" s="2" t="s">
        <v>1225</v>
      </c>
      <c r="O3637" s="2" t="s">
        <v>100</v>
      </c>
      <c r="P3637" s="2" t="str">
        <f>"2170585446                    "</f>
        <v xml:space="preserve">2170585446                    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4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1</v>
      </c>
      <c r="BI3637" s="2">
        <v>1</v>
      </c>
      <c r="BJ3637" s="2">
        <v>0.2</v>
      </c>
      <c r="BK3637" s="2">
        <v>1</v>
      </c>
      <c r="BL3637" s="2">
        <v>41.44</v>
      </c>
      <c r="BM3637" s="2">
        <v>5.8</v>
      </c>
      <c r="BN3637" s="2">
        <v>47.24</v>
      </c>
      <c r="BO3637" s="2">
        <v>47.24</v>
      </c>
      <c r="BP3637" s="2"/>
      <c r="BQ3637" s="2" t="s">
        <v>288</v>
      </c>
      <c r="BR3637" s="2" t="s">
        <v>84</v>
      </c>
      <c r="BS3637" s="1" t="s">
        <v>1200</v>
      </c>
      <c r="BT3637" s="2"/>
      <c r="BU3637" s="2"/>
      <c r="BV3637" s="2"/>
      <c r="BW3637" s="2"/>
      <c r="BX3637" s="2"/>
      <c r="BY3637" s="2">
        <v>1200</v>
      </c>
      <c r="BZ3637" s="2"/>
      <c r="CA3637" s="2"/>
      <c r="CB3637" s="2"/>
      <c r="CC3637" s="2" t="s">
        <v>344</v>
      </c>
      <c r="CD3637" s="2">
        <v>4133</v>
      </c>
      <c r="CE3637" s="2" t="s">
        <v>104</v>
      </c>
      <c r="CF3637" s="2"/>
      <c r="CG3637" s="2"/>
      <c r="CH3637" s="2"/>
      <c r="CI3637" s="2">
        <v>1</v>
      </c>
      <c r="CJ3637" s="2" t="s">
        <v>1200</v>
      </c>
      <c r="CK3637" s="2">
        <v>21</v>
      </c>
      <c r="CL3637" s="2" t="s">
        <v>86</v>
      </c>
      <c r="CM3637" s="2"/>
    </row>
    <row r="3638" spans="1:91">
      <c r="A3638" s="2" t="s">
        <v>71</v>
      </c>
      <c r="B3638" s="2" t="s">
        <v>72</v>
      </c>
      <c r="C3638" s="2" t="s">
        <v>73</v>
      </c>
      <c r="D3638" s="2"/>
      <c r="E3638" s="2" t="str">
        <f>"FES1162572497"</f>
        <v>FES1162572497</v>
      </c>
      <c r="F3638" s="3">
        <v>42978</v>
      </c>
      <c r="G3638" s="2">
        <v>201802</v>
      </c>
      <c r="H3638" s="2" t="s">
        <v>74</v>
      </c>
      <c r="I3638" s="2" t="s">
        <v>75</v>
      </c>
      <c r="J3638" s="2" t="s">
        <v>76</v>
      </c>
      <c r="K3638" s="2" t="s">
        <v>77</v>
      </c>
      <c r="L3638" s="2" t="s">
        <v>231</v>
      </c>
      <c r="M3638" s="2" t="s">
        <v>232</v>
      </c>
      <c r="N3638" s="2" t="s">
        <v>233</v>
      </c>
      <c r="O3638" s="2" t="s">
        <v>100</v>
      </c>
      <c r="P3638" s="2" t="str">
        <f>"2170588055                    "</f>
        <v xml:space="preserve">2170588055                    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4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0</v>
      </c>
      <c r="BD3638" s="2">
        <v>0</v>
      </c>
      <c r="BE3638" s="2">
        <v>0</v>
      </c>
      <c r="BF3638" s="2">
        <v>0</v>
      </c>
      <c r="BG3638" s="2">
        <v>0</v>
      </c>
      <c r="BH3638" s="2">
        <v>1</v>
      </c>
      <c r="BI3638" s="2">
        <v>1</v>
      </c>
      <c r="BJ3638" s="2">
        <v>0.2</v>
      </c>
      <c r="BK3638" s="2">
        <v>1</v>
      </c>
      <c r="BL3638" s="2">
        <v>41.44</v>
      </c>
      <c r="BM3638" s="2">
        <v>5.8</v>
      </c>
      <c r="BN3638" s="2">
        <v>47.24</v>
      </c>
      <c r="BO3638" s="2">
        <v>47.24</v>
      </c>
      <c r="BP3638" s="2"/>
      <c r="BQ3638" s="2" t="s">
        <v>83</v>
      </c>
      <c r="BR3638" s="2" t="s">
        <v>84</v>
      </c>
      <c r="BS3638" s="1" t="s">
        <v>1200</v>
      </c>
      <c r="BT3638" s="2"/>
      <c r="BU3638" s="2"/>
      <c r="BV3638" s="2"/>
      <c r="BW3638" s="2"/>
      <c r="BX3638" s="2"/>
      <c r="BY3638" s="2">
        <v>1200</v>
      </c>
      <c r="BZ3638" s="2"/>
      <c r="CA3638" s="2"/>
      <c r="CB3638" s="2"/>
      <c r="CC3638" s="2" t="s">
        <v>232</v>
      </c>
      <c r="CD3638" s="2">
        <v>4026</v>
      </c>
      <c r="CE3638" s="2" t="s">
        <v>104</v>
      </c>
      <c r="CF3638" s="2"/>
      <c r="CG3638" s="2"/>
      <c r="CH3638" s="2"/>
      <c r="CI3638" s="2">
        <v>1</v>
      </c>
      <c r="CJ3638" s="2" t="s">
        <v>1200</v>
      </c>
      <c r="CK3638" s="2">
        <v>21</v>
      </c>
      <c r="CL3638" s="2" t="s">
        <v>86</v>
      </c>
      <c r="CM3638" s="2"/>
    </row>
    <row r="3639" spans="1:91">
      <c r="A3639" s="2" t="s">
        <v>71</v>
      </c>
      <c r="B3639" s="2" t="s">
        <v>72</v>
      </c>
      <c r="C3639" s="2" t="s">
        <v>73</v>
      </c>
      <c r="D3639" s="2"/>
      <c r="E3639" s="2" t="str">
        <f>"FES1162572498"</f>
        <v>FES1162572498</v>
      </c>
      <c r="F3639" s="3">
        <v>42978</v>
      </c>
      <c r="G3639" s="2">
        <v>201802</v>
      </c>
      <c r="H3639" s="2" t="s">
        <v>74</v>
      </c>
      <c r="I3639" s="2" t="s">
        <v>75</v>
      </c>
      <c r="J3639" s="2" t="s">
        <v>76</v>
      </c>
      <c r="K3639" s="2" t="s">
        <v>77</v>
      </c>
      <c r="L3639" s="2" t="s">
        <v>221</v>
      </c>
      <c r="M3639" s="2" t="s">
        <v>222</v>
      </c>
      <c r="N3639" s="2" t="s">
        <v>1275</v>
      </c>
      <c r="O3639" s="2" t="s">
        <v>100</v>
      </c>
      <c r="P3639" s="2" t="str">
        <f>"2170588060                    "</f>
        <v xml:space="preserve">2170588060                    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4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0</v>
      </c>
      <c r="BD3639" s="2">
        <v>0</v>
      </c>
      <c r="BE3639" s="2">
        <v>0</v>
      </c>
      <c r="BF3639" s="2">
        <v>0</v>
      </c>
      <c r="BG3639" s="2">
        <v>0</v>
      </c>
      <c r="BH3639" s="2">
        <v>1</v>
      </c>
      <c r="BI3639" s="2">
        <v>1</v>
      </c>
      <c r="BJ3639" s="2">
        <v>0.2</v>
      </c>
      <c r="BK3639" s="2">
        <v>1</v>
      </c>
      <c r="BL3639" s="2">
        <v>41.44</v>
      </c>
      <c r="BM3639" s="2">
        <v>5.8</v>
      </c>
      <c r="BN3639" s="2">
        <v>47.24</v>
      </c>
      <c r="BO3639" s="2">
        <v>47.24</v>
      </c>
      <c r="BP3639" s="2"/>
      <c r="BQ3639" s="2" t="s">
        <v>227</v>
      </c>
      <c r="BR3639" s="2" t="s">
        <v>84</v>
      </c>
      <c r="BS3639" s="1" t="s">
        <v>1200</v>
      </c>
      <c r="BT3639" s="2"/>
      <c r="BU3639" s="2"/>
      <c r="BV3639" s="2"/>
      <c r="BW3639" s="2"/>
      <c r="BX3639" s="2"/>
      <c r="BY3639" s="2">
        <v>1200</v>
      </c>
      <c r="BZ3639" s="2"/>
      <c r="CA3639" s="2"/>
      <c r="CB3639" s="2"/>
      <c r="CC3639" s="2" t="s">
        <v>222</v>
      </c>
      <c r="CD3639" s="2">
        <v>4300</v>
      </c>
      <c r="CE3639" s="2" t="s">
        <v>104</v>
      </c>
      <c r="CF3639" s="2"/>
      <c r="CG3639" s="2"/>
      <c r="CH3639" s="2"/>
      <c r="CI3639" s="2">
        <v>1</v>
      </c>
      <c r="CJ3639" s="2" t="s">
        <v>1200</v>
      </c>
      <c r="CK3639" s="2">
        <v>21</v>
      </c>
      <c r="CL3639" s="2" t="s">
        <v>86</v>
      </c>
      <c r="CM3639" s="2"/>
    </row>
    <row r="3640" spans="1:91">
      <c r="A3640" s="2" t="s">
        <v>71</v>
      </c>
      <c r="B3640" s="2" t="s">
        <v>72</v>
      </c>
      <c r="C3640" s="2" t="s">
        <v>73</v>
      </c>
      <c r="D3640" s="2"/>
      <c r="E3640" s="2" t="str">
        <f>"FES1162572526"</f>
        <v>FES1162572526</v>
      </c>
      <c r="F3640" s="3">
        <v>42978</v>
      </c>
      <c r="G3640" s="2">
        <v>201802</v>
      </c>
      <c r="H3640" s="2" t="s">
        <v>74</v>
      </c>
      <c r="I3640" s="2" t="s">
        <v>75</v>
      </c>
      <c r="J3640" s="2" t="s">
        <v>76</v>
      </c>
      <c r="K3640" s="2" t="s">
        <v>77</v>
      </c>
      <c r="L3640" s="2" t="s">
        <v>105</v>
      </c>
      <c r="M3640" s="2" t="s">
        <v>106</v>
      </c>
      <c r="N3640" s="2" t="s">
        <v>2476</v>
      </c>
      <c r="O3640" s="2" t="s">
        <v>100</v>
      </c>
      <c r="P3640" s="2" t="str">
        <f>"2170585236                    "</f>
        <v xml:space="preserve">2170585236                    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4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1</v>
      </c>
      <c r="BI3640" s="2">
        <v>1</v>
      </c>
      <c r="BJ3640" s="2">
        <v>0.2</v>
      </c>
      <c r="BK3640" s="2">
        <v>1</v>
      </c>
      <c r="BL3640" s="2">
        <v>41.44</v>
      </c>
      <c r="BM3640" s="2">
        <v>5.8</v>
      </c>
      <c r="BN3640" s="2">
        <v>47.24</v>
      </c>
      <c r="BO3640" s="2">
        <v>47.24</v>
      </c>
      <c r="BP3640" s="2"/>
      <c r="BQ3640" s="2" t="s">
        <v>83</v>
      </c>
      <c r="BR3640" s="2" t="s">
        <v>84</v>
      </c>
      <c r="BS3640" s="1" t="s">
        <v>1200</v>
      </c>
      <c r="BT3640" s="2"/>
      <c r="BU3640" s="2"/>
      <c r="BV3640" s="2"/>
      <c r="BW3640" s="2"/>
      <c r="BX3640" s="2"/>
      <c r="BY3640" s="2">
        <v>1200</v>
      </c>
      <c r="BZ3640" s="2"/>
      <c r="CA3640" s="2"/>
      <c r="CB3640" s="2"/>
      <c r="CC3640" s="2" t="s">
        <v>106</v>
      </c>
      <c r="CD3640" s="2">
        <v>7441</v>
      </c>
      <c r="CE3640" s="2" t="s">
        <v>104</v>
      </c>
      <c r="CF3640" s="2"/>
      <c r="CG3640" s="2"/>
      <c r="CH3640" s="2"/>
      <c r="CI3640" s="2">
        <v>1</v>
      </c>
      <c r="CJ3640" s="2" t="s">
        <v>1200</v>
      </c>
      <c r="CK3640" s="2">
        <v>21</v>
      </c>
      <c r="CL3640" s="2" t="s">
        <v>86</v>
      </c>
      <c r="CM3640" s="2"/>
    </row>
    <row r="3641" spans="1:91">
      <c r="A3641" s="2" t="s">
        <v>71</v>
      </c>
      <c r="B3641" s="2" t="s">
        <v>72</v>
      </c>
      <c r="C3641" s="2" t="s">
        <v>73</v>
      </c>
      <c r="D3641" s="2"/>
      <c r="E3641" s="2" t="str">
        <f>"FES1162572573"</f>
        <v>FES1162572573</v>
      </c>
      <c r="F3641" s="3">
        <v>42978</v>
      </c>
      <c r="G3641" s="2">
        <v>201802</v>
      </c>
      <c r="H3641" s="2" t="s">
        <v>74</v>
      </c>
      <c r="I3641" s="2" t="s">
        <v>75</v>
      </c>
      <c r="J3641" s="2" t="s">
        <v>76</v>
      </c>
      <c r="K3641" s="2" t="s">
        <v>77</v>
      </c>
      <c r="L3641" s="2" t="s">
        <v>105</v>
      </c>
      <c r="M3641" s="2" t="s">
        <v>106</v>
      </c>
      <c r="N3641" s="2" t="s">
        <v>746</v>
      </c>
      <c r="O3641" s="2" t="s">
        <v>100</v>
      </c>
      <c r="P3641" s="2" t="str">
        <f>"2170588078                    "</f>
        <v xml:space="preserve">2170588078                    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4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0</v>
      </c>
      <c r="BD3641" s="2">
        <v>0</v>
      </c>
      <c r="BE3641" s="2">
        <v>0</v>
      </c>
      <c r="BF3641" s="2">
        <v>0</v>
      </c>
      <c r="BG3641" s="2">
        <v>0</v>
      </c>
      <c r="BH3641" s="2">
        <v>1</v>
      </c>
      <c r="BI3641" s="2">
        <v>1</v>
      </c>
      <c r="BJ3641" s="2">
        <v>0.2</v>
      </c>
      <c r="BK3641" s="2">
        <v>1</v>
      </c>
      <c r="BL3641" s="2">
        <v>41.44</v>
      </c>
      <c r="BM3641" s="2">
        <v>5.8</v>
      </c>
      <c r="BN3641" s="2">
        <v>47.24</v>
      </c>
      <c r="BO3641" s="2">
        <v>47.24</v>
      </c>
      <c r="BP3641" s="2"/>
      <c r="BQ3641" s="2" t="s">
        <v>108</v>
      </c>
      <c r="BR3641" s="2" t="s">
        <v>84</v>
      </c>
      <c r="BS3641" s="1" t="s">
        <v>1200</v>
      </c>
      <c r="BT3641" s="2"/>
      <c r="BU3641" s="2"/>
      <c r="BV3641" s="2"/>
      <c r="BW3641" s="2"/>
      <c r="BX3641" s="2"/>
      <c r="BY3641" s="2">
        <v>1200</v>
      </c>
      <c r="BZ3641" s="2"/>
      <c r="CA3641" s="2"/>
      <c r="CB3641" s="2"/>
      <c r="CC3641" s="2" t="s">
        <v>106</v>
      </c>
      <c r="CD3641" s="2">
        <v>7441</v>
      </c>
      <c r="CE3641" s="2" t="s">
        <v>104</v>
      </c>
      <c r="CF3641" s="2"/>
      <c r="CG3641" s="2"/>
      <c r="CH3641" s="2"/>
      <c r="CI3641" s="2">
        <v>1</v>
      </c>
      <c r="CJ3641" s="2" t="s">
        <v>1200</v>
      </c>
      <c r="CK3641" s="2">
        <v>21</v>
      </c>
      <c r="CL3641" s="2" t="s">
        <v>86</v>
      </c>
      <c r="CM3641" s="2"/>
    </row>
    <row r="3642" spans="1:91">
      <c r="A3642" s="2" t="s">
        <v>71</v>
      </c>
      <c r="B3642" s="2" t="s">
        <v>72</v>
      </c>
      <c r="C3642" s="2" t="s">
        <v>73</v>
      </c>
      <c r="D3642" s="2"/>
      <c r="E3642" s="2" t="str">
        <f>"FES1162572561"</f>
        <v>FES1162572561</v>
      </c>
      <c r="F3642" s="3">
        <v>42978</v>
      </c>
      <c r="G3642" s="2">
        <v>201802</v>
      </c>
      <c r="H3642" s="2" t="s">
        <v>74</v>
      </c>
      <c r="I3642" s="2" t="s">
        <v>75</v>
      </c>
      <c r="J3642" s="2" t="s">
        <v>76</v>
      </c>
      <c r="K3642" s="2" t="s">
        <v>77</v>
      </c>
      <c r="L3642" s="2" t="s">
        <v>164</v>
      </c>
      <c r="M3642" s="2" t="s">
        <v>165</v>
      </c>
      <c r="N3642" s="2" t="s">
        <v>3594</v>
      </c>
      <c r="O3642" s="2" t="s">
        <v>100</v>
      </c>
      <c r="P3642" s="2" t="str">
        <f>"2170585953                    "</f>
        <v xml:space="preserve">2170585953                    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4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0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0</v>
      </c>
      <c r="BD3642" s="2">
        <v>0</v>
      </c>
      <c r="BE3642" s="2">
        <v>0</v>
      </c>
      <c r="BF3642" s="2">
        <v>0</v>
      </c>
      <c r="BG3642" s="2">
        <v>0</v>
      </c>
      <c r="BH3642" s="2">
        <v>1</v>
      </c>
      <c r="BI3642" s="2">
        <v>1</v>
      </c>
      <c r="BJ3642" s="2">
        <v>0.2</v>
      </c>
      <c r="BK3642" s="2">
        <v>1</v>
      </c>
      <c r="BL3642" s="2">
        <v>41.44</v>
      </c>
      <c r="BM3642" s="2">
        <v>5.8</v>
      </c>
      <c r="BN3642" s="2">
        <v>47.24</v>
      </c>
      <c r="BO3642" s="2">
        <v>47.24</v>
      </c>
      <c r="BP3642" s="2"/>
      <c r="BQ3642" s="2" t="s">
        <v>3595</v>
      </c>
      <c r="BR3642" s="2" t="s">
        <v>84</v>
      </c>
      <c r="BS3642" s="1" t="s">
        <v>1200</v>
      </c>
      <c r="BT3642" s="2"/>
      <c r="BU3642" s="2"/>
      <c r="BV3642" s="2"/>
      <c r="BW3642" s="2"/>
      <c r="BX3642" s="2"/>
      <c r="BY3642" s="2">
        <v>1200</v>
      </c>
      <c r="BZ3642" s="2"/>
      <c r="CA3642" s="2"/>
      <c r="CB3642" s="2"/>
      <c r="CC3642" s="2" t="s">
        <v>165</v>
      </c>
      <c r="CD3642" s="2">
        <v>6850</v>
      </c>
      <c r="CE3642" s="2" t="s">
        <v>104</v>
      </c>
      <c r="CF3642" s="2"/>
      <c r="CG3642" s="2"/>
      <c r="CH3642" s="2"/>
      <c r="CI3642" s="2">
        <v>3</v>
      </c>
      <c r="CJ3642" s="2" t="s">
        <v>1200</v>
      </c>
      <c r="CK3642" s="2">
        <v>21</v>
      </c>
      <c r="CL3642" s="2" t="s">
        <v>86</v>
      </c>
      <c r="CM3642" s="2"/>
    </row>
    <row r="3643" spans="1:91">
      <c r="A3643" s="2" t="s">
        <v>71</v>
      </c>
      <c r="B3643" s="2" t="s">
        <v>72</v>
      </c>
      <c r="C3643" s="2" t="s">
        <v>73</v>
      </c>
      <c r="D3643" s="2"/>
      <c r="E3643" s="2" t="str">
        <f>"FES1162572519"</f>
        <v>FES1162572519</v>
      </c>
      <c r="F3643" s="3">
        <v>42978</v>
      </c>
      <c r="G3643" s="2">
        <v>201802</v>
      </c>
      <c r="H3643" s="2" t="s">
        <v>74</v>
      </c>
      <c r="I3643" s="2" t="s">
        <v>75</v>
      </c>
      <c r="J3643" s="2" t="s">
        <v>76</v>
      </c>
      <c r="K3643" s="2" t="s">
        <v>77</v>
      </c>
      <c r="L3643" s="2" t="s">
        <v>417</v>
      </c>
      <c r="M3643" s="2" t="s">
        <v>417</v>
      </c>
      <c r="N3643" s="2" t="s">
        <v>475</v>
      </c>
      <c r="O3643" s="2" t="s">
        <v>100</v>
      </c>
      <c r="P3643" s="2" t="str">
        <f>"2170584283                    "</f>
        <v xml:space="preserve">2170584283                    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4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0</v>
      </c>
      <c r="BG3643" s="2">
        <v>0</v>
      </c>
      <c r="BH3643" s="2">
        <v>1</v>
      </c>
      <c r="BI3643" s="2">
        <v>1</v>
      </c>
      <c r="BJ3643" s="2">
        <v>0.2</v>
      </c>
      <c r="BK3643" s="2">
        <v>1</v>
      </c>
      <c r="BL3643" s="2">
        <v>41.44</v>
      </c>
      <c r="BM3643" s="2">
        <v>5.8</v>
      </c>
      <c r="BN3643" s="2">
        <v>47.24</v>
      </c>
      <c r="BO3643" s="2">
        <v>47.24</v>
      </c>
      <c r="BP3643" s="2"/>
      <c r="BQ3643" s="2" t="s">
        <v>108</v>
      </c>
      <c r="BR3643" s="2" t="s">
        <v>84</v>
      </c>
      <c r="BS3643" s="1" t="s">
        <v>1200</v>
      </c>
      <c r="BT3643" s="2"/>
      <c r="BU3643" s="2"/>
      <c r="BV3643" s="2"/>
      <c r="BW3643" s="2"/>
      <c r="BX3643" s="2"/>
      <c r="BY3643" s="2">
        <v>1200</v>
      </c>
      <c r="BZ3643" s="2"/>
      <c r="CA3643" s="2"/>
      <c r="CB3643" s="2"/>
      <c r="CC3643" s="2" t="s">
        <v>417</v>
      </c>
      <c r="CD3643" s="2">
        <v>7646</v>
      </c>
      <c r="CE3643" s="2" t="s">
        <v>104</v>
      </c>
      <c r="CF3643" s="2"/>
      <c r="CG3643" s="2"/>
      <c r="CH3643" s="2"/>
      <c r="CI3643" s="2">
        <v>1</v>
      </c>
      <c r="CJ3643" s="2" t="s">
        <v>1200</v>
      </c>
      <c r="CK3643" s="2">
        <v>21</v>
      </c>
      <c r="CL3643" s="2" t="s">
        <v>86</v>
      </c>
      <c r="CM3643" s="2"/>
    </row>
    <row r="3644" spans="1:91">
      <c r="A3644" s="2" t="s">
        <v>71</v>
      </c>
      <c r="B3644" s="2" t="s">
        <v>72</v>
      </c>
      <c r="C3644" s="2" t="s">
        <v>73</v>
      </c>
      <c r="D3644" s="2"/>
      <c r="E3644" s="2" t="str">
        <f>"FES1162572548"</f>
        <v>FES1162572548</v>
      </c>
      <c r="F3644" s="3">
        <v>42978</v>
      </c>
      <c r="G3644" s="2">
        <v>201802</v>
      </c>
      <c r="H3644" s="2" t="s">
        <v>74</v>
      </c>
      <c r="I3644" s="2" t="s">
        <v>75</v>
      </c>
      <c r="J3644" s="2" t="s">
        <v>76</v>
      </c>
      <c r="K3644" s="2" t="s">
        <v>77</v>
      </c>
      <c r="L3644" s="2" t="s">
        <v>105</v>
      </c>
      <c r="M3644" s="2" t="s">
        <v>106</v>
      </c>
      <c r="N3644" s="2" t="s">
        <v>1306</v>
      </c>
      <c r="O3644" s="2" t="s">
        <v>100</v>
      </c>
      <c r="P3644" s="2" t="str">
        <f>"2170585707                    "</f>
        <v xml:space="preserve">2170585707                    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4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1</v>
      </c>
      <c r="BI3644" s="2">
        <v>1</v>
      </c>
      <c r="BJ3644" s="2">
        <v>0.2</v>
      </c>
      <c r="BK3644" s="2">
        <v>1</v>
      </c>
      <c r="BL3644" s="2">
        <v>41.44</v>
      </c>
      <c r="BM3644" s="2">
        <v>5.8</v>
      </c>
      <c r="BN3644" s="2">
        <v>47.24</v>
      </c>
      <c r="BO3644" s="2">
        <v>47.24</v>
      </c>
      <c r="BP3644" s="2"/>
      <c r="BQ3644" s="2" t="s">
        <v>209</v>
      </c>
      <c r="BR3644" s="2" t="s">
        <v>84</v>
      </c>
      <c r="BS3644" s="1" t="s">
        <v>1200</v>
      </c>
      <c r="BT3644" s="2"/>
      <c r="BU3644" s="2"/>
      <c r="BV3644" s="2"/>
      <c r="BW3644" s="2"/>
      <c r="BX3644" s="2"/>
      <c r="BY3644" s="2">
        <v>1200</v>
      </c>
      <c r="BZ3644" s="2"/>
      <c r="CA3644" s="2"/>
      <c r="CB3644" s="2"/>
      <c r="CC3644" s="2" t="s">
        <v>106</v>
      </c>
      <c r="CD3644" s="2">
        <v>7441</v>
      </c>
      <c r="CE3644" s="2" t="s">
        <v>104</v>
      </c>
      <c r="CF3644" s="2"/>
      <c r="CG3644" s="2"/>
      <c r="CH3644" s="2"/>
      <c r="CI3644" s="2">
        <v>1</v>
      </c>
      <c r="CJ3644" s="2" t="s">
        <v>1200</v>
      </c>
      <c r="CK3644" s="2">
        <v>21</v>
      </c>
      <c r="CL3644" s="2" t="s">
        <v>86</v>
      </c>
      <c r="CM3644" s="2"/>
    </row>
    <row r="3645" spans="1:91">
      <c r="A3645" s="2" t="s">
        <v>71</v>
      </c>
      <c r="B3645" s="2" t="s">
        <v>72</v>
      </c>
      <c r="C3645" s="2" t="s">
        <v>73</v>
      </c>
      <c r="D3645" s="2"/>
      <c r="E3645" s="2" t="str">
        <f>"FES1162572580"</f>
        <v>FES1162572580</v>
      </c>
      <c r="F3645" s="3">
        <v>42978</v>
      </c>
      <c r="G3645" s="2">
        <v>201802</v>
      </c>
      <c r="H3645" s="2" t="s">
        <v>74</v>
      </c>
      <c r="I3645" s="2" t="s">
        <v>75</v>
      </c>
      <c r="J3645" s="2" t="s">
        <v>76</v>
      </c>
      <c r="K3645" s="2" t="s">
        <v>77</v>
      </c>
      <c r="L3645" s="2" t="s">
        <v>105</v>
      </c>
      <c r="M3645" s="2" t="s">
        <v>106</v>
      </c>
      <c r="N3645" s="2" t="s">
        <v>2517</v>
      </c>
      <c r="O3645" s="2" t="s">
        <v>100</v>
      </c>
      <c r="P3645" s="2" t="str">
        <f>"2170588090                    "</f>
        <v xml:space="preserve">2170588090                    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4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0</v>
      </c>
      <c r="BD3645" s="2">
        <v>0</v>
      </c>
      <c r="BE3645" s="2">
        <v>0</v>
      </c>
      <c r="BF3645" s="2">
        <v>0</v>
      </c>
      <c r="BG3645" s="2">
        <v>0</v>
      </c>
      <c r="BH3645" s="2">
        <v>1</v>
      </c>
      <c r="BI3645" s="2">
        <v>1</v>
      </c>
      <c r="BJ3645" s="2">
        <v>0.2</v>
      </c>
      <c r="BK3645" s="2">
        <v>1</v>
      </c>
      <c r="BL3645" s="2">
        <v>41.44</v>
      </c>
      <c r="BM3645" s="2">
        <v>5.8</v>
      </c>
      <c r="BN3645" s="2">
        <v>47.24</v>
      </c>
      <c r="BO3645" s="2">
        <v>47.24</v>
      </c>
      <c r="BP3645" s="2"/>
      <c r="BQ3645" s="2" t="s">
        <v>3596</v>
      </c>
      <c r="BR3645" s="2" t="s">
        <v>84</v>
      </c>
      <c r="BS3645" s="1" t="s">
        <v>1200</v>
      </c>
      <c r="BT3645" s="2"/>
      <c r="BU3645" s="2"/>
      <c r="BV3645" s="2"/>
      <c r="BW3645" s="2"/>
      <c r="BX3645" s="2"/>
      <c r="BY3645" s="2">
        <v>1200</v>
      </c>
      <c r="BZ3645" s="2"/>
      <c r="CA3645" s="2"/>
      <c r="CB3645" s="2"/>
      <c r="CC3645" s="2" t="s">
        <v>106</v>
      </c>
      <c r="CD3645" s="2">
        <v>7405</v>
      </c>
      <c r="CE3645" s="2" t="s">
        <v>104</v>
      </c>
      <c r="CF3645" s="2"/>
      <c r="CG3645" s="2"/>
      <c r="CH3645" s="2"/>
      <c r="CI3645" s="2">
        <v>1</v>
      </c>
      <c r="CJ3645" s="2" t="s">
        <v>1200</v>
      </c>
      <c r="CK3645" s="2">
        <v>21</v>
      </c>
      <c r="CL3645" s="2" t="s">
        <v>86</v>
      </c>
      <c r="CM3645" s="2"/>
    </row>
    <row r="3646" spans="1:91">
      <c r="A3646" s="2" t="s">
        <v>71</v>
      </c>
      <c r="B3646" s="2" t="s">
        <v>72</v>
      </c>
      <c r="C3646" s="2" t="s">
        <v>73</v>
      </c>
      <c r="D3646" s="2"/>
      <c r="E3646" s="2" t="str">
        <f>"FES1162572459"</f>
        <v>FES1162572459</v>
      </c>
      <c r="F3646" s="3">
        <v>42978</v>
      </c>
      <c r="G3646" s="2">
        <v>201802</v>
      </c>
      <c r="H3646" s="2" t="s">
        <v>74</v>
      </c>
      <c r="I3646" s="2" t="s">
        <v>75</v>
      </c>
      <c r="J3646" s="2" t="s">
        <v>76</v>
      </c>
      <c r="K3646" s="2" t="s">
        <v>77</v>
      </c>
      <c r="L3646" s="2" t="s">
        <v>105</v>
      </c>
      <c r="M3646" s="2" t="s">
        <v>106</v>
      </c>
      <c r="N3646" s="2" t="s">
        <v>2474</v>
      </c>
      <c r="O3646" s="2" t="s">
        <v>100</v>
      </c>
      <c r="P3646" s="2" t="str">
        <f>"2170587603                    "</f>
        <v xml:space="preserve">2170587603                    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4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0</v>
      </c>
      <c r="BD3646" s="2">
        <v>0</v>
      </c>
      <c r="BE3646" s="2">
        <v>0</v>
      </c>
      <c r="BF3646" s="2">
        <v>0</v>
      </c>
      <c r="BG3646" s="2">
        <v>0</v>
      </c>
      <c r="BH3646" s="2">
        <v>1</v>
      </c>
      <c r="BI3646" s="2">
        <v>1</v>
      </c>
      <c r="BJ3646" s="2">
        <v>0.2</v>
      </c>
      <c r="BK3646" s="2">
        <v>1</v>
      </c>
      <c r="BL3646" s="2">
        <v>41.44</v>
      </c>
      <c r="BM3646" s="2">
        <v>5.8</v>
      </c>
      <c r="BN3646" s="2">
        <v>47.24</v>
      </c>
      <c r="BO3646" s="2">
        <v>47.24</v>
      </c>
      <c r="BP3646" s="2"/>
      <c r="BQ3646" s="2"/>
      <c r="BR3646" s="2" t="s">
        <v>84</v>
      </c>
      <c r="BS3646" s="1" t="s">
        <v>1200</v>
      </c>
      <c r="BT3646" s="2"/>
      <c r="BU3646" s="2"/>
      <c r="BV3646" s="2"/>
      <c r="BW3646" s="2"/>
      <c r="BX3646" s="2"/>
      <c r="BY3646" s="2">
        <v>1200</v>
      </c>
      <c r="BZ3646" s="2"/>
      <c r="CA3646" s="2"/>
      <c r="CB3646" s="2"/>
      <c r="CC3646" s="2" t="s">
        <v>106</v>
      </c>
      <c r="CD3646" s="2">
        <v>7560</v>
      </c>
      <c r="CE3646" s="2" t="s">
        <v>104</v>
      </c>
      <c r="CF3646" s="2"/>
      <c r="CG3646" s="2"/>
      <c r="CH3646" s="2"/>
      <c r="CI3646" s="2">
        <v>1</v>
      </c>
      <c r="CJ3646" s="2" t="s">
        <v>1200</v>
      </c>
      <c r="CK3646" s="2">
        <v>21</v>
      </c>
      <c r="CL3646" s="2" t="s">
        <v>86</v>
      </c>
      <c r="CM3646" s="2"/>
    </row>
    <row r="3647" spans="1:91">
      <c r="A3647" s="2" t="s">
        <v>71</v>
      </c>
      <c r="B3647" s="2" t="s">
        <v>72</v>
      </c>
      <c r="C3647" s="2" t="s">
        <v>73</v>
      </c>
      <c r="D3647" s="2"/>
      <c r="E3647" s="2" t="str">
        <f>"FES1162572472"</f>
        <v>FES1162572472</v>
      </c>
      <c r="F3647" s="3">
        <v>42978</v>
      </c>
      <c r="G3647" s="2">
        <v>201802</v>
      </c>
      <c r="H3647" s="2" t="s">
        <v>74</v>
      </c>
      <c r="I3647" s="2" t="s">
        <v>75</v>
      </c>
      <c r="J3647" s="2" t="s">
        <v>76</v>
      </c>
      <c r="K3647" s="2" t="s">
        <v>77</v>
      </c>
      <c r="L3647" s="2" t="s">
        <v>417</v>
      </c>
      <c r="M3647" s="2" t="s">
        <v>417</v>
      </c>
      <c r="N3647" s="2" t="s">
        <v>458</v>
      </c>
      <c r="O3647" s="2" t="s">
        <v>100</v>
      </c>
      <c r="P3647" s="2" t="str">
        <f>"2170588024                    "</f>
        <v xml:space="preserve">2170588024                    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5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1</v>
      </c>
      <c r="BI3647" s="2">
        <v>1.2</v>
      </c>
      <c r="BJ3647" s="2">
        <v>2.2000000000000002</v>
      </c>
      <c r="BK3647" s="2">
        <v>2.5</v>
      </c>
      <c r="BL3647" s="2">
        <v>51.8</v>
      </c>
      <c r="BM3647" s="2">
        <v>7.25</v>
      </c>
      <c r="BN3647" s="2">
        <v>59.05</v>
      </c>
      <c r="BO3647" s="2">
        <v>59.05</v>
      </c>
      <c r="BP3647" s="2"/>
      <c r="BQ3647" s="2" t="s">
        <v>83</v>
      </c>
      <c r="BR3647" s="2" t="s">
        <v>84</v>
      </c>
      <c r="BS3647" s="1" t="s">
        <v>1200</v>
      </c>
      <c r="BT3647" s="2"/>
      <c r="BU3647" s="2"/>
      <c r="BV3647" s="2"/>
      <c r="BW3647" s="2"/>
      <c r="BX3647" s="2"/>
      <c r="BY3647" s="2">
        <v>10935.41</v>
      </c>
      <c r="BZ3647" s="2"/>
      <c r="CA3647" s="2"/>
      <c r="CB3647" s="2"/>
      <c r="CC3647" s="2" t="s">
        <v>417</v>
      </c>
      <c r="CD3647" s="2">
        <v>7646</v>
      </c>
      <c r="CE3647" s="2" t="s">
        <v>948</v>
      </c>
      <c r="CF3647" s="2"/>
      <c r="CG3647" s="2"/>
      <c r="CH3647" s="2"/>
      <c r="CI3647" s="2">
        <v>1</v>
      </c>
      <c r="CJ3647" s="2" t="s">
        <v>1200</v>
      </c>
      <c r="CK3647" s="2">
        <v>21</v>
      </c>
      <c r="CL3647" s="2" t="s">
        <v>86</v>
      </c>
      <c r="CM3647" s="2"/>
    </row>
    <row r="3648" spans="1:91">
      <c r="A3648" s="2" t="s">
        <v>71</v>
      </c>
      <c r="B3648" s="2" t="s">
        <v>72</v>
      </c>
      <c r="C3648" s="2" t="s">
        <v>73</v>
      </c>
      <c r="D3648" s="2"/>
      <c r="E3648" s="2" t="str">
        <f>"FES1162572520"</f>
        <v>FES1162572520</v>
      </c>
      <c r="F3648" s="3">
        <v>42978</v>
      </c>
      <c r="G3648" s="2">
        <v>201802</v>
      </c>
      <c r="H3648" s="2" t="s">
        <v>74</v>
      </c>
      <c r="I3648" s="2" t="s">
        <v>75</v>
      </c>
      <c r="J3648" s="2" t="s">
        <v>76</v>
      </c>
      <c r="K3648" s="2" t="s">
        <v>77</v>
      </c>
      <c r="L3648" s="2" t="s">
        <v>353</v>
      </c>
      <c r="M3648" s="2" t="s">
        <v>354</v>
      </c>
      <c r="N3648" s="2" t="s">
        <v>686</v>
      </c>
      <c r="O3648" s="2" t="s">
        <v>100</v>
      </c>
      <c r="P3648" s="2" t="str">
        <f>"2170584293                    "</f>
        <v xml:space="preserve">2170584293                    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4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0</v>
      </c>
      <c r="BD3648" s="2">
        <v>0</v>
      </c>
      <c r="BE3648" s="2">
        <v>0</v>
      </c>
      <c r="BF3648" s="2">
        <v>0</v>
      </c>
      <c r="BG3648" s="2">
        <v>0</v>
      </c>
      <c r="BH3648" s="2">
        <v>1</v>
      </c>
      <c r="BI3648" s="2">
        <v>1</v>
      </c>
      <c r="BJ3648" s="2">
        <v>0.2</v>
      </c>
      <c r="BK3648" s="2">
        <v>1</v>
      </c>
      <c r="BL3648" s="2">
        <v>41.44</v>
      </c>
      <c r="BM3648" s="2">
        <v>5.8</v>
      </c>
      <c r="BN3648" s="2">
        <v>47.24</v>
      </c>
      <c r="BO3648" s="2">
        <v>47.24</v>
      </c>
      <c r="BP3648" s="2"/>
      <c r="BQ3648" s="2" t="s">
        <v>108</v>
      </c>
      <c r="BR3648" s="2" t="s">
        <v>84</v>
      </c>
      <c r="BS3648" s="1" t="s">
        <v>1200</v>
      </c>
      <c r="BT3648" s="2"/>
      <c r="BU3648" s="2"/>
      <c r="BV3648" s="2"/>
      <c r="BW3648" s="2"/>
      <c r="BX3648" s="2"/>
      <c r="BY3648" s="2">
        <v>1200</v>
      </c>
      <c r="BZ3648" s="2"/>
      <c r="CA3648" s="2"/>
      <c r="CB3648" s="2"/>
      <c r="CC3648" s="2" t="s">
        <v>354</v>
      </c>
      <c r="CD3648" s="2">
        <v>3699</v>
      </c>
      <c r="CE3648" s="2" t="s">
        <v>104</v>
      </c>
      <c r="CF3648" s="2"/>
      <c r="CG3648" s="2"/>
      <c r="CH3648" s="2"/>
      <c r="CI3648" s="2">
        <v>1</v>
      </c>
      <c r="CJ3648" s="2" t="s">
        <v>1200</v>
      </c>
      <c r="CK3648" s="2">
        <v>21</v>
      </c>
      <c r="CL3648" s="2" t="s">
        <v>86</v>
      </c>
      <c r="CM3648" s="2"/>
    </row>
    <row r="3649" spans="1:91">
      <c r="A3649" s="2" t="s">
        <v>71</v>
      </c>
      <c r="B3649" s="2" t="s">
        <v>72</v>
      </c>
      <c r="C3649" s="2" t="s">
        <v>73</v>
      </c>
      <c r="D3649" s="2"/>
      <c r="E3649" s="2" t="str">
        <f>"FES1162572556"</f>
        <v>FES1162572556</v>
      </c>
      <c r="F3649" s="3">
        <v>42978</v>
      </c>
      <c r="G3649" s="2">
        <v>201802</v>
      </c>
      <c r="H3649" s="2" t="s">
        <v>74</v>
      </c>
      <c r="I3649" s="2" t="s">
        <v>75</v>
      </c>
      <c r="J3649" s="2" t="s">
        <v>76</v>
      </c>
      <c r="K3649" s="2" t="s">
        <v>77</v>
      </c>
      <c r="L3649" s="2" t="s">
        <v>105</v>
      </c>
      <c r="M3649" s="2" t="s">
        <v>106</v>
      </c>
      <c r="N3649" s="2" t="s">
        <v>870</v>
      </c>
      <c r="O3649" s="2" t="s">
        <v>100</v>
      </c>
      <c r="P3649" s="2" t="str">
        <f>"2170585824                    "</f>
        <v xml:space="preserve">2170585824                    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12.01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0</v>
      </c>
      <c r="BD3649" s="2">
        <v>0</v>
      </c>
      <c r="BE3649" s="2">
        <v>0</v>
      </c>
      <c r="BF3649" s="2">
        <v>0</v>
      </c>
      <c r="BG3649" s="2">
        <v>0</v>
      </c>
      <c r="BH3649" s="2">
        <v>1</v>
      </c>
      <c r="BI3649" s="2">
        <v>5.6</v>
      </c>
      <c r="BJ3649" s="2">
        <v>1.7</v>
      </c>
      <c r="BK3649" s="2">
        <v>6</v>
      </c>
      <c r="BL3649" s="2">
        <v>124.33</v>
      </c>
      <c r="BM3649" s="2">
        <v>17.41</v>
      </c>
      <c r="BN3649" s="2">
        <v>141.74</v>
      </c>
      <c r="BO3649" s="2">
        <v>141.74</v>
      </c>
      <c r="BP3649" s="2"/>
      <c r="BQ3649" s="2" t="s">
        <v>83</v>
      </c>
      <c r="BR3649" s="2" t="s">
        <v>84</v>
      </c>
      <c r="BS3649" s="1" t="s">
        <v>1200</v>
      </c>
      <c r="BT3649" s="2"/>
      <c r="BU3649" s="2"/>
      <c r="BV3649" s="2"/>
      <c r="BW3649" s="2"/>
      <c r="BX3649" s="2"/>
      <c r="BY3649" s="2">
        <v>8450.6</v>
      </c>
      <c r="BZ3649" s="2"/>
      <c r="CA3649" s="2"/>
      <c r="CB3649" s="2"/>
      <c r="CC3649" s="2" t="s">
        <v>106</v>
      </c>
      <c r="CD3649" s="2">
        <v>8001</v>
      </c>
      <c r="CE3649" s="2" t="s">
        <v>948</v>
      </c>
      <c r="CF3649" s="2"/>
      <c r="CG3649" s="2"/>
      <c r="CH3649" s="2"/>
      <c r="CI3649" s="2">
        <v>1</v>
      </c>
      <c r="CJ3649" s="2" t="s">
        <v>1200</v>
      </c>
      <c r="CK3649" s="2">
        <v>21</v>
      </c>
      <c r="CL3649" s="2" t="s">
        <v>86</v>
      </c>
      <c r="CM3649" s="2"/>
    </row>
    <row r="3650" spans="1:91">
      <c r="A3650" s="2" t="s">
        <v>71</v>
      </c>
      <c r="B3650" s="2" t="s">
        <v>72</v>
      </c>
      <c r="C3650" s="2" t="s">
        <v>73</v>
      </c>
      <c r="D3650" s="2"/>
      <c r="E3650" s="2" t="str">
        <f>"FES1162572508"</f>
        <v>FES1162572508</v>
      </c>
      <c r="F3650" s="3">
        <v>42978</v>
      </c>
      <c r="G3650" s="2">
        <v>201802</v>
      </c>
      <c r="H3650" s="2" t="s">
        <v>74</v>
      </c>
      <c r="I3650" s="2" t="s">
        <v>75</v>
      </c>
      <c r="J3650" s="2" t="s">
        <v>76</v>
      </c>
      <c r="K3650" s="2" t="s">
        <v>77</v>
      </c>
      <c r="L3650" s="2" t="s">
        <v>723</v>
      </c>
      <c r="M3650" s="2" t="s">
        <v>724</v>
      </c>
      <c r="N3650" s="2" t="s">
        <v>2327</v>
      </c>
      <c r="O3650" s="2" t="s">
        <v>100</v>
      </c>
      <c r="P3650" s="2" t="str">
        <f>"2170588073                    "</f>
        <v xml:space="preserve">2170588073                    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5.63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1</v>
      </c>
      <c r="BI3650" s="2">
        <v>1</v>
      </c>
      <c r="BJ3650" s="2">
        <v>0.2</v>
      </c>
      <c r="BK3650" s="2">
        <v>1</v>
      </c>
      <c r="BL3650" s="2">
        <v>58.28</v>
      </c>
      <c r="BM3650" s="2">
        <v>8.16</v>
      </c>
      <c r="BN3650" s="2">
        <v>66.44</v>
      </c>
      <c r="BO3650" s="2">
        <v>66.44</v>
      </c>
      <c r="BP3650" s="2"/>
      <c r="BQ3650" s="2" t="s">
        <v>108</v>
      </c>
      <c r="BR3650" s="2" t="s">
        <v>84</v>
      </c>
      <c r="BS3650" s="1" t="s">
        <v>1200</v>
      </c>
      <c r="BT3650" s="2"/>
      <c r="BU3650" s="2"/>
      <c r="BV3650" s="2"/>
      <c r="BW3650" s="2"/>
      <c r="BX3650" s="2"/>
      <c r="BY3650" s="2">
        <v>1200</v>
      </c>
      <c r="BZ3650" s="2"/>
      <c r="CA3650" s="2"/>
      <c r="CB3650" s="2"/>
      <c r="CC3650" s="2" t="s">
        <v>724</v>
      </c>
      <c r="CD3650" s="2">
        <v>1739</v>
      </c>
      <c r="CE3650" s="2" t="s">
        <v>104</v>
      </c>
      <c r="CF3650" s="2"/>
      <c r="CG3650" s="2"/>
      <c r="CH3650" s="2"/>
      <c r="CI3650" s="2">
        <v>1</v>
      </c>
      <c r="CJ3650" s="2" t="s">
        <v>1200</v>
      </c>
      <c r="CK3650" s="2">
        <v>24</v>
      </c>
      <c r="CL3650" s="2" t="s">
        <v>86</v>
      </c>
      <c r="CM3650" s="2"/>
    </row>
    <row r="3651" spans="1:91">
      <c r="A3651" s="2" t="s">
        <v>71</v>
      </c>
      <c r="B3651" s="2" t="s">
        <v>72</v>
      </c>
      <c r="C3651" s="2" t="s">
        <v>73</v>
      </c>
      <c r="D3651" s="2"/>
      <c r="E3651" s="2" t="str">
        <f>"FES1162572503"</f>
        <v>FES1162572503</v>
      </c>
      <c r="F3651" s="3">
        <v>42978</v>
      </c>
      <c r="G3651" s="2">
        <v>201802</v>
      </c>
      <c r="H3651" s="2" t="s">
        <v>74</v>
      </c>
      <c r="I3651" s="2" t="s">
        <v>75</v>
      </c>
      <c r="J3651" s="2" t="s">
        <v>76</v>
      </c>
      <c r="K3651" s="2" t="s">
        <v>77</v>
      </c>
      <c r="L3651" s="2" t="s">
        <v>128</v>
      </c>
      <c r="M3651" s="2" t="s">
        <v>129</v>
      </c>
      <c r="N3651" s="2" t="s">
        <v>2298</v>
      </c>
      <c r="O3651" s="2" t="s">
        <v>100</v>
      </c>
      <c r="P3651" s="2" t="str">
        <f>"2170588067                    "</f>
        <v xml:space="preserve">2170588067                    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3.13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0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0</v>
      </c>
      <c r="BD3651" s="2">
        <v>0</v>
      </c>
      <c r="BE3651" s="2">
        <v>0</v>
      </c>
      <c r="BF3651" s="2">
        <v>0</v>
      </c>
      <c r="BG3651" s="2">
        <v>0</v>
      </c>
      <c r="BH3651" s="2">
        <v>1</v>
      </c>
      <c r="BI3651" s="2">
        <v>1</v>
      </c>
      <c r="BJ3651" s="2">
        <v>0.2</v>
      </c>
      <c r="BK3651" s="2">
        <v>1</v>
      </c>
      <c r="BL3651" s="2">
        <v>32.380000000000003</v>
      </c>
      <c r="BM3651" s="2">
        <v>4.53</v>
      </c>
      <c r="BN3651" s="2">
        <v>36.909999999999997</v>
      </c>
      <c r="BO3651" s="2">
        <v>36.909999999999997</v>
      </c>
      <c r="BP3651" s="2"/>
      <c r="BQ3651" s="2" t="s">
        <v>83</v>
      </c>
      <c r="BR3651" s="2" t="s">
        <v>84</v>
      </c>
      <c r="BS3651" s="1" t="s">
        <v>1200</v>
      </c>
      <c r="BT3651" s="2"/>
      <c r="BU3651" s="2"/>
      <c r="BV3651" s="2"/>
      <c r="BW3651" s="2"/>
      <c r="BX3651" s="2"/>
      <c r="BY3651" s="2">
        <v>1200</v>
      </c>
      <c r="BZ3651" s="2"/>
      <c r="CA3651" s="2"/>
      <c r="CB3651" s="2"/>
      <c r="CC3651" s="2" t="s">
        <v>129</v>
      </c>
      <c r="CD3651" s="2">
        <v>1709</v>
      </c>
      <c r="CE3651" s="2" t="s">
        <v>104</v>
      </c>
      <c r="CF3651" s="2"/>
      <c r="CG3651" s="2"/>
      <c r="CH3651" s="2"/>
      <c r="CI3651" s="2">
        <v>1</v>
      </c>
      <c r="CJ3651" s="2" t="s">
        <v>1200</v>
      </c>
      <c r="CK3651" s="2">
        <v>22</v>
      </c>
      <c r="CL3651" s="2" t="s">
        <v>86</v>
      </c>
      <c r="CM3651" s="2"/>
    </row>
    <row r="3652" spans="1:91">
      <c r="A3652" s="2" t="s">
        <v>71</v>
      </c>
      <c r="B3652" s="2" t="s">
        <v>72</v>
      </c>
      <c r="C3652" s="2" t="s">
        <v>73</v>
      </c>
      <c r="D3652" s="2"/>
      <c r="E3652" s="2" t="str">
        <f>"FES1162572581"</f>
        <v>FES1162572581</v>
      </c>
      <c r="F3652" s="3">
        <v>42978</v>
      </c>
      <c r="G3652" s="2">
        <v>201802</v>
      </c>
      <c r="H3652" s="2" t="s">
        <v>74</v>
      </c>
      <c r="I3652" s="2" t="s">
        <v>75</v>
      </c>
      <c r="J3652" s="2" t="s">
        <v>76</v>
      </c>
      <c r="K3652" s="2" t="s">
        <v>77</v>
      </c>
      <c r="L3652" s="2" t="s">
        <v>97</v>
      </c>
      <c r="M3652" s="2" t="s">
        <v>98</v>
      </c>
      <c r="N3652" s="2" t="s">
        <v>2022</v>
      </c>
      <c r="O3652" s="2" t="s">
        <v>100</v>
      </c>
      <c r="P3652" s="2" t="str">
        <f>"2170588093                    "</f>
        <v xml:space="preserve">2170588093                    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4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0</v>
      </c>
      <c r="BD3652" s="2">
        <v>0</v>
      </c>
      <c r="BE3652" s="2">
        <v>0</v>
      </c>
      <c r="BF3652" s="2">
        <v>0</v>
      </c>
      <c r="BG3652" s="2">
        <v>0</v>
      </c>
      <c r="BH3652" s="2">
        <v>1</v>
      </c>
      <c r="BI3652" s="2">
        <v>1.6</v>
      </c>
      <c r="BJ3652" s="2">
        <v>1.7</v>
      </c>
      <c r="BK3652" s="2">
        <v>2</v>
      </c>
      <c r="BL3652" s="2">
        <v>41.44</v>
      </c>
      <c r="BM3652" s="2">
        <v>5.8</v>
      </c>
      <c r="BN3652" s="2">
        <v>47.24</v>
      </c>
      <c r="BO3652" s="2">
        <v>47.24</v>
      </c>
      <c r="BP3652" s="2"/>
      <c r="BQ3652" s="2" t="s">
        <v>108</v>
      </c>
      <c r="BR3652" s="2" t="s">
        <v>84</v>
      </c>
      <c r="BS3652" s="1" t="s">
        <v>1200</v>
      </c>
      <c r="BT3652" s="2"/>
      <c r="BU3652" s="2"/>
      <c r="BV3652" s="2"/>
      <c r="BW3652" s="2"/>
      <c r="BX3652" s="2"/>
      <c r="BY3652" s="2">
        <v>8693.1200000000008</v>
      </c>
      <c r="BZ3652" s="2"/>
      <c r="CA3652" s="2"/>
      <c r="CB3652" s="2"/>
      <c r="CC3652" s="2" t="s">
        <v>98</v>
      </c>
      <c r="CD3652" s="2">
        <v>6001</v>
      </c>
      <c r="CE3652" s="2" t="s">
        <v>89</v>
      </c>
      <c r="CF3652" s="2"/>
      <c r="CG3652" s="2"/>
      <c r="CH3652" s="2"/>
      <c r="CI3652" s="2">
        <v>1</v>
      </c>
      <c r="CJ3652" s="2" t="s">
        <v>1200</v>
      </c>
      <c r="CK3652" s="2">
        <v>21</v>
      </c>
      <c r="CL3652" s="2" t="s">
        <v>86</v>
      </c>
      <c r="CM3652" s="2"/>
    </row>
    <row r="3653" spans="1:91">
      <c r="A3653" s="2" t="s">
        <v>71</v>
      </c>
      <c r="B3653" s="2" t="s">
        <v>72</v>
      </c>
      <c r="C3653" s="2" t="s">
        <v>73</v>
      </c>
      <c r="D3653" s="2"/>
      <c r="E3653" s="2" t="str">
        <f>"FES1162572507"</f>
        <v>FES1162572507</v>
      </c>
      <c r="F3653" s="3">
        <v>42978</v>
      </c>
      <c r="G3653" s="2">
        <v>201802</v>
      </c>
      <c r="H3653" s="2" t="s">
        <v>74</v>
      </c>
      <c r="I3653" s="2" t="s">
        <v>75</v>
      </c>
      <c r="J3653" s="2" t="s">
        <v>76</v>
      </c>
      <c r="K3653" s="2" t="s">
        <v>77</v>
      </c>
      <c r="L3653" s="2" t="s">
        <v>321</v>
      </c>
      <c r="M3653" s="2" t="s">
        <v>322</v>
      </c>
      <c r="N3653" s="2" t="s">
        <v>780</v>
      </c>
      <c r="O3653" s="2" t="s">
        <v>100</v>
      </c>
      <c r="P3653" s="2" t="str">
        <f>"2170588072                    "</f>
        <v xml:space="preserve">2170588072                    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4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0</v>
      </c>
      <c r="BD3653" s="2">
        <v>0</v>
      </c>
      <c r="BE3653" s="2">
        <v>0</v>
      </c>
      <c r="BF3653" s="2">
        <v>0</v>
      </c>
      <c r="BG3653" s="2">
        <v>0</v>
      </c>
      <c r="BH3653" s="2">
        <v>1</v>
      </c>
      <c r="BI3653" s="2">
        <v>1</v>
      </c>
      <c r="BJ3653" s="2">
        <v>0.2</v>
      </c>
      <c r="BK3653" s="2">
        <v>1</v>
      </c>
      <c r="BL3653" s="2">
        <v>41.44</v>
      </c>
      <c r="BM3653" s="2">
        <v>5.8</v>
      </c>
      <c r="BN3653" s="2">
        <v>47.24</v>
      </c>
      <c r="BO3653" s="2">
        <v>47.24</v>
      </c>
      <c r="BP3653" s="2"/>
      <c r="BQ3653" s="2" t="s">
        <v>288</v>
      </c>
      <c r="BR3653" s="2" t="s">
        <v>84</v>
      </c>
      <c r="BS3653" s="1" t="s">
        <v>1200</v>
      </c>
      <c r="BT3653" s="2"/>
      <c r="BU3653" s="2"/>
      <c r="BV3653" s="2"/>
      <c r="BW3653" s="2"/>
      <c r="BX3653" s="2"/>
      <c r="BY3653" s="2">
        <v>1200</v>
      </c>
      <c r="BZ3653" s="2"/>
      <c r="CA3653" s="2"/>
      <c r="CB3653" s="2"/>
      <c r="CC3653" s="2" t="s">
        <v>322</v>
      </c>
      <c r="CD3653" s="2">
        <v>6220</v>
      </c>
      <c r="CE3653" s="2" t="s">
        <v>104</v>
      </c>
      <c r="CF3653" s="2"/>
      <c r="CG3653" s="2"/>
      <c r="CH3653" s="2"/>
      <c r="CI3653" s="2">
        <v>1</v>
      </c>
      <c r="CJ3653" s="2" t="s">
        <v>1200</v>
      </c>
      <c r="CK3653" s="2">
        <v>21</v>
      </c>
      <c r="CL3653" s="2" t="s">
        <v>86</v>
      </c>
      <c r="CM3653" s="2"/>
    </row>
    <row r="3654" spans="1:91">
      <c r="A3654" s="2" t="s">
        <v>71</v>
      </c>
      <c r="B3654" s="2" t="s">
        <v>72</v>
      </c>
      <c r="C3654" s="2" t="s">
        <v>73</v>
      </c>
      <c r="D3654" s="2"/>
      <c r="E3654" s="2" t="str">
        <f>"FES1162572549"</f>
        <v>FES1162572549</v>
      </c>
      <c r="F3654" s="3">
        <v>42978</v>
      </c>
      <c r="G3654" s="2">
        <v>201802</v>
      </c>
      <c r="H3654" s="2" t="s">
        <v>74</v>
      </c>
      <c r="I3654" s="2" t="s">
        <v>75</v>
      </c>
      <c r="J3654" s="2" t="s">
        <v>76</v>
      </c>
      <c r="K3654" s="2" t="s">
        <v>77</v>
      </c>
      <c r="L3654" s="2" t="s">
        <v>97</v>
      </c>
      <c r="M3654" s="2" t="s">
        <v>98</v>
      </c>
      <c r="N3654" s="2" t="s">
        <v>597</v>
      </c>
      <c r="O3654" s="2" t="s">
        <v>100</v>
      </c>
      <c r="P3654" s="2" t="str">
        <f>"21705858721                   "</f>
        <v xml:space="preserve">21705858721                   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4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0</v>
      </c>
      <c r="BD3654" s="2">
        <v>0</v>
      </c>
      <c r="BE3654" s="2">
        <v>0</v>
      </c>
      <c r="BF3654" s="2">
        <v>0</v>
      </c>
      <c r="BG3654" s="2">
        <v>0</v>
      </c>
      <c r="BH3654" s="2">
        <v>1</v>
      </c>
      <c r="BI3654" s="2">
        <v>1</v>
      </c>
      <c r="BJ3654" s="2">
        <v>0.2</v>
      </c>
      <c r="BK3654" s="2">
        <v>1</v>
      </c>
      <c r="BL3654" s="2">
        <v>41.44</v>
      </c>
      <c r="BM3654" s="2">
        <v>5.8</v>
      </c>
      <c r="BN3654" s="2">
        <v>47.24</v>
      </c>
      <c r="BO3654" s="2">
        <v>47.24</v>
      </c>
      <c r="BP3654" s="2"/>
      <c r="BQ3654" s="2" t="s">
        <v>288</v>
      </c>
      <c r="BR3654" s="2" t="s">
        <v>84</v>
      </c>
      <c r="BS3654" s="1" t="s">
        <v>1200</v>
      </c>
      <c r="BT3654" s="2"/>
      <c r="BU3654" s="2"/>
      <c r="BV3654" s="2"/>
      <c r="BW3654" s="2"/>
      <c r="BX3654" s="2"/>
      <c r="BY3654" s="2">
        <v>1200</v>
      </c>
      <c r="BZ3654" s="2"/>
      <c r="CA3654" s="2"/>
      <c r="CB3654" s="2"/>
      <c r="CC3654" s="2" t="s">
        <v>98</v>
      </c>
      <c r="CD3654" s="2">
        <v>6070</v>
      </c>
      <c r="CE3654" s="2" t="s">
        <v>104</v>
      </c>
      <c r="CF3654" s="2"/>
      <c r="CG3654" s="2"/>
      <c r="CH3654" s="2"/>
      <c r="CI3654" s="2">
        <v>1</v>
      </c>
      <c r="CJ3654" s="2" t="s">
        <v>1200</v>
      </c>
      <c r="CK3654" s="2">
        <v>21</v>
      </c>
      <c r="CL3654" s="2" t="s">
        <v>86</v>
      </c>
      <c r="CM3654" s="2"/>
    </row>
    <row r="3655" spans="1:91">
      <c r="A3655" s="2" t="s">
        <v>71</v>
      </c>
      <c r="B3655" s="2" t="s">
        <v>72</v>
      </c>
      <c r="C3655" s="2" t="s">
        <v>73</v>
      </c>
      <c r="D3655" s="2"/>
      <c r="E3655" s="2" t="str">
        <f>"FES1162572559"</f>
        <v>FES1162572559</v>
      </c>
      <c r="F3655" s="3">
        <v>42978</v>
      </c>
      <c r="G3655" s="2">
        <v>201802</v>
      </c>
      <c r="H3655" s="2" t="s">
        <v>74</v>
      </c>
      <c r="I3655" s="2" t="s">
        <v>75</v>
      </c>
      <c r="J3655" s="2" t="s">
        <v>76</v>
      </c>
      <c r="K3655" s="2" t="s">
        <v>77</v>
      </c>
      <c r="L3655" s="2" t="s">
        <v>74</v>
      </c>
      <c r="M3655" s="2" t="s">
        <v>75</v>
      </c>
      <c r="N3655" s="2" t="s">
        <v>3597</v>
      </c>
      <c r="O3655" s="2" t="s">
        <v>100</v>
      </c>
      <c r="P3655" s="2" t="str">
        <f>"2170585892                    "</f>
        <v xml:space="preserve">2170585892                    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3.13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0</v>
      </c>
      <c r="BD3655" s="2">
        <v>0</v>
      </c>
      <c r="BE3655" s="2">
        <v>0</v>
      </c>
      <c r="BF3655" s="2">
        <v>0</v>
      </c>
      <c r="BG3655" s="2">
        <v>0</v>
      </c>
      <c r="BH3655" s="2">
        <v>1</v>
      </c>
      <c r="BI3655" s="2">
        <v>1.9</v>
      </c>
      <c r="BJ3655" s="2">
        <v>3.1</v>
      </c>
      <c r="BK3655" s="2">
        <v>4</v>
      </c>
      <c r="BL3655" s="2">
        <v>32.380000000000003</v>
      </c>
      <c r="BM3655" s="2">
        <v>4.53</v>
      </c>
      <c r="BN3655" s="2">
        <v>36.909999999999997</v>
      </c>
      <c r="BO3655" s="2">
        <v>36.909999999999997</v>
      </c>
      <c r="BP3655" s="2"/>
      <c r="BQ3655" s="2" t="s">
        <v>108</v>
      </c>
      <c r="BR3655" s="2" t="s">
        <v>84</v>
      </c>
      <c r="BS3655" s="1" t="s">
        <v>1200</v>
      </c>
      <c r="BT3655" s="2"/>
      <c r="BU3655" s="2"/>
      <c r="BV3655" s="2"/>
      <c r="BW3655" s="2"/>
      <c r="BX3655" s="2"/>
      <c r="BY3655" s="2">
        <v>15651.9</v>
      </c>
      <c r="BZ3655" s="2"/>
      <c r="CA3655" s="2"/>
      <c r="CB3655" s="2"/>
      <c r="CC3655" s="2" t="s">
        <v>75</v>
      </c>
      <c r="CD3655" s="2">
        <v>1666</v>
      </c>
      <c r="CE3655" s="2" t="s">
        <v>135</v>
      </c>
      <c r="CF3655" s="2"/>
      <c r="CG3655" s="2"/>
      <c r="CH3655" s="2"/>
      <c r="CI3655" s="2">
        <v>1</v>
      </c>
      <c r="CJ3655" s="2" t="s">
        <v>1200</v>
      </c>
      <c r="CK3655" s="2">
        <v>22</v>
      </c>
      <c r="CL3655" s="2" t="s">
        <v>86</v>
      </c>
      <c r="CM3655" s="2"/>
    </row>
    <row r="3656" spans="1:91">
      <c r="A3656" s="2" t="s">
        <v>71</v>
      </c>
      <c r="B3656" s="2" t="s">
        <v>72</v>
      </c>
      <c r="C3656" s="2" t="s">
        <v>73</v>
      </c>
      <c r="D3656" s="2"/>
      <c r="E3656" s="2" t="str">
        <f>"FES1162572579"</f>
        <v>FES1162572579</v>
      </c>
      <c r="F3656" s="3">
        <v>42978</v>
      </c>
      <c r="G3656" s="2">
        <v>201802</v>
      </c>
      <c r="H3656" s="2" t="s">
        <v>74</v>
      </c>
      <c r="I3656" s="2" t="s">
        <v>75</v>
      </c>
      <c r="J3656" s="2" t="s">
        <v>76</v>
      </c>
      <c r="K3656" s="2" t="s">
        <v>77</v>
      </c>
      <c r="L3656" s="2" t="s">
        <v>74</v>
      </c>
      <c r="M3656" s="2" t="s">
        <v>75</v>
      </c>
      <c r="N3656" s="2" t="s">
        <v>407</v>
      </c>
      <c r="O3656" s="2" t="s">
        <v>100</v>
      </c>
      <c r="P3656" s="2" t="str">
        <f>"2170588086                    "</f>
        <v xml:space="preserve">2170588086                    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3.13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0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1</v>
      </c>
      <c r="BI3656" s="2">
        <v>1</v>
      </c>
      <c r="BJ3656" s="2">
        <v>0.2</v>
      </c>
      <c r="BK3656" s="2">
        <v>1</v>
      </c>
      <c r="BL3656" s="2">
        <v>32.380000000000003</v>
      </c>
      <c r="BM3656" s="2">
        <v>4.53</v>
      </c>
      <c r="BN3656" s="2">
        <v>36.909999999999997</v>
      </c>
      <c r="BO3656" s="2">
        <v>36.909999999999997</v>
      </c>
      <c r="BP3656" s="2"/>
      <c r="BQ3656" s="2"/>
      <c r="BR3656" s="2" t="s">
        <v>84</v>
      </c>
      <c r="BS3656" s="1" t="s">
        <v>1200</v>
      </c>
      <c r="BT3656" s="2"/>
      <c r="BU3656" s="2"/>
      <c r="BV3656" s="2"/>
      <c r="BW3656" s="2"/>
      <c r="BX3656" s="2"/>
      <c r="BY3656" s="2">
        <v>1200</v>
      </c>
      <c r="BZ3656" s="2"/>
      <c r="CA3656" s="2"/>
      <c r="CB3656" s="2"/>
      <c r="CC3656" s="2" t="s">
        <v>75</v>
      </c>
      <c r="CD3656" s="2">
        <v>1645</v>
      </c>
      <c r="CE3656" s="2" t="s">
        <v>104</v>
      </c>
      <c r="CF3656" s="2"/>
      <c r="CG3656" s="2"/>
      <c r="CH3656" s="2"/>
      <c r="CI3656" s="2">
        <v>1</v>
      </c>
      <c r="CJ3656" s="2" t="s">
        <v>1200</v>
      </c>
      <c r="CK3656" s="2">
        <v>22</v>
      </c>
      <c r="CL3656" s="2" t="s">
        <v>86</v>
      </c>
      <c r="CM3656" s="2"/>
    </row>
    <row r="3657" spans="1:91">
      <c r="A3657" s="2" t="s">
        <v>71</v>
      </c>
      <c r="B3657" s="2" t="s">
        <v>72</v>
      </c>
      <c r="C3657" s="2" t="s">
        <v>73</v>
      </c>
      <c r="D3657" s="2"/>
      <c r="E3657" s="2" t="str">
        <f>"FES1162572589"</f>
        <v>FES1162572589</v>
      </c>
      <c r="F3657" s="3">
        <v>42978</v>
      </c>
      <c r="G3657" s="2">
        <v>201802</v>
      </c>
      <c r="H3657" s="2" t="s">
        <v>74</v>
      </c>
      <c r="I3657" s="2" t="s">
        <v>75</v>
      </c>
      <c r="J3657" s="2" t="s">
        <v>76</v>
      </c>
      <c r="K3657" s="2" t="s">
        <v>77</v>
      </c>
      <c r="L3657" s="2" t="s">
        <v>170</v>
      </c>
      <c r="M3657" s="2" t="s">
        <v>171</v>
      </c>
      <c r="N3657" s="2" t="s">
        <v>3598</v>
      </c>
      <c r="O3657" s="2" t="s">
        <v>100</v>
      </c>
      <c r="P3657" s="2" t="str">
        <f>"2170588103                    "</f>
        <v xml:space="preserve">2170588103                    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3.13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0</v>
      </c>
      <c r="AV3657" s="2">
        <v>0</v>
      </c>
      <c r="AW3657" s="2">
        <v>0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0</v>
      </c>
      <c r="BD3657" s="2">
        <v>0</v>
      </c>
      <c r="BE3657" s="2">
        <v>0</v>
      </c>
      <c r="BF3657" s="2">
        <v>0</v>
      </c>
      <c r="BG3657" s="2">
        <v>0</v>
      </c>
      <c r="BH3657" s="2">
        <v>1</v>
      </c>
      <c r="BI3657" s="2">
        <v>1</v>
      </c>
      <c r="BJ3657" s="2">
        <v>0.2</v>
      </c>
      <c r="BK3657" s="2">
        <v>1</v>
      </c>
      <c r="BL3657" s="2">
        <v>32.380000000000003</v>
      </c>
      <c r="BM3657" s="2">
        <v>4.53</v>
      </c>
      <c r="BN3657" s="2">
        <v>36.909999999999997</v>
      </c>
      <c r="BO3657" s="2">
        <v>36.909999999999997</v>
      </c>
      <c r="BP3657" s="2"/>
      <c r="BQ3657" s="2" t="s">
        <v>3599</v>
      </c>
      <c r="BR3657" s="2" t="s">
        <v>84</v>
      </c>
      <c r="BS3657" s="1" t="s">
        <v>1200</v>
      </c>
      <c r="BT3657" s="2"/>
      <c r="BU3657" s="2"/>
      <c r="BV3657" s="2"/>
      <c r="BW3657" s="2"/>
      <c r="BX3657" s="2"/>
      <c r="BY3657" s="2">
        <v>1200</v>
      </c>
      <c r="BZ3657" s="2"/>
      <c r="CA3657" s="2"/>
      <c r="CB3657" s="2"/>
      <c r="CC3657" s="2" t="s">
        <v>171</v>
      </c>
      <c r="CD3657" s="2">
        <v>1401</v>
      </c>
      <c r="CE3657" s="2" t="s">
        <v>104</v>
      </c>
      <c r="CF3657" s="2"/>
      <c r="CG3657" s="2"/>
      <c r="CH3657" s="2"/>
      <c r="CI3657" s="2">
        <v>1</v>
      </c>
      <c r="CJ3657" s="2" t="s">
        <v>1200</v>
      </c>
      <c r="CK3657" s="2">
        <v>22</v>
      </c>
      <c r="CL3657" s="2" t="s">
        <v>86</v>
      </c>
      <c r="CM3657" s="2"/>
    </row>
    <row r="3658" spans="1:91">
      <c r="A3658" s="2" t="s">
        <v>71</v>
      </c>
      <c r="B3658" s="2" t="s">
        <v>72</v>
      </c>
      <c r="C3658" s="2" t="s">
        <v>73</v>
      </c>
      <c r="D3658" s="2"/>
      <c r="E3658" s="2" t="str">
        <f>"FES1162572542"</f>
        <v>FES1162572542</v>
      </c>
      <c r="F3658" s="3">
        <v>42978</v>
      </c>
      <c r="G3658" s="2">
        <v>201802</v>
      </c>
      <c r="H3658" s="2" t="s">
        <v>74</v>
      </c>
      <c r="I3658" s="2" t="s">
        <v>75</v>
      </c>
      <c r="J3658" s="2" t="s">
        <v>76</v>
      </c>
      <c r="K3658" s="2" t="s">
        <v>77</v>
      </c>
      <c r="L3658" s="2" t="s">
        <v>174</v>
      </c>
      <c r="M3658" s="2" t="s">
        <v>175</v>
      </c>
      <c r="N3658" s="2" t="s">
        <v>208</v>
      </c>
      <c r="O3658" s="2" t="s">
        <v>100</v>
      </c>
      <c r="P3658" s="2" t="str">
        <f>"2170585599                    "</f>
        <v xml:space="preserve">2170585599                    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4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0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0</v>
      </c>
      <c r="BD3658" s="2">
        <v>0</v>
      </c>
      <c r="BE3658" s="2">
        <v>0</v>
      </c>
      <c r="BF3658" s="2">
        <v>0</v>
      </c>
      <c r="BG3658" s="2">
        <v>0</v>
      </c>
      <c r="BH3658" s="2">
        <v>1</v>
      </c>
      <c r="BI3658" s="2">
        <v>1</v>
      </c>
      <c r="BJ3658" s="2">
        <v>0.2</v>
      </c>
      <c r="BK3658" s="2">
        <v>1</v>
      </c>
      <c r="BL3658" s="2">
        <v>41.44</v>
      </c>
      <c r="BM3658" s="2">
        <v>5.8</v>
      </c>
      <c r="BN3658" s="2">
        <v>47.24</v>
      </c>
      <c r="BO3658" s="2">
        <v>47.24</v>
      </c>
      <c r="BP3658" s="2"/>
      <c r="BQ3658" s="2" t="s">
        <v>108</v>
      </c>
      <c r="BR3658" s="2" t="s">
        <v>84</v>
      </c>
      <c r="BS3658" s="1" t="s">
        <v>1200</v>
      </c>
      <c r="BT3658" s="2"/>
      <c r="BU3658" s="2"/>
      <c r="BV3658" s="2"/>
      <c r="BW3658" s="2"/>
      <c r="BX3658" s="2"/>
      <c r="BY3658" s="2">
        <v>1200</v>
      </c>
      <c r="BZ3658" s="2"/>
      <c r="CA3658" s="2"/>
      <c r="CB3658" s="2"/>
      <c r="CC3658" s="2" t="s">
        <v>175</v>
      </c>
      <c r="CD3658" s="2">
        <v>5201</v>
      </c>
      <c r="CE3658" s="2" t="s">
        <v>104</v>
      </c>
      <c r="CF3658" s="2"/>
      <c r="CG3658" s="2"/>
      <c r="CH3658" s="2"/>
      <c r="CI3658" s="2">
        <v>1</v>
      </c>
      <c r="CJ3658" s="2" t="s">
        <v>1200</v>
      </c>
      <c r="CK3658" s="2">
        <v>21</v>
      </c>
      <c r="CL3658" s="2" t="s">
        <v>86</v>
      </c>
      <c r="CM3658" s="2"/>
    </row>
    <row r="3659" spans="1:91">
      <c r="A3659" s="2" t="s">
        <v>71</v>
      </c>
      <c r="B3659" s="2" t="s">
        <v>72</v>
      </c>
      <c r="C3659" s="2" t="s">
        <v>73</v>
      </c>
      <c r="D3659" s="2"/>
      <c r="E3659" s="2" t="str">
        <f>"FES1162572485"</f>
        <v>FES1162572485</v>
      </c>
      <c r="F3659" s="3">
        <v>42978</v>
      </c>
      <c r="G3659" s="2">
        <v>201802</v>
      </c>
      <c r="H3659" s="2" t="s">
        <v>74</v>
      </c>
      <c r="I3659" s="2" t="s">
        <v>75</v>
      </c>
      <c r="J3659" s="2" t="s">
        <v>76</v>
      </c>
      <c r="K3659" s="2" t="s">
        <v>77</v>
      </c>
      <c r="L3659" s="2" t="s">
        <v>510</v>
      </c>
      <c r="M3659" s="2" t="s">
        <v>511</v>
      </c>
      <c r="N3659" s="2" t="s">
        <v>2102</v>
      </c>
      <c r="O3659" s="2" t="s">
        <v>100</v>
      </c>
      <c r="P3659" s="2" t="str">
        <f>"2170588036                    "</f>
        <v xml:space="preserve">2170588036                    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33.020000000000003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0</v>
      </c>
      <c r="BD3659" s="2">
        <v>0</v>
      </c>
      <c r="BE3659" s="2">
        <v>0</v>
      </c>
      <c r="BF3659" s="2">
        <v>0</v>
      </c>
      <c r="BG3659" s="2">
        <v>0</v>
      </c>
      <c r="BH3659" s="2">
        <v>1</v>
      </c>
      <c r="BI3659" s="2">
        <v>16.5</v>
      </c>
      <c r="BJ3659" s="2">
        <v>6.8</v>
      </c>
      <c r="BK3659" s="2">
        <v>16.5</v>
      </c>
      <c r="BL3659" s="2">
        <v>341.9</v>
      </c>
      <c r="BM3659" s="2">
        <v>47.87</v>
      </c>
      <c r="BN3659" s="2">
        <v>389.77</v>
      </c>
      <c r="BO3659" s="2">
        <v>389.77</v>
      </c>
      <c r="BP3659" s="2"/>
      <c r="BQ3659" s="2" t="s">
        <v>3600</v>
      </c>
      <c r="BR3659" s="2" t="s">
        <v>84</v>
      </c>
      <c r="BS3659" s="1" t="s">
        <v>1200</v>
      </c>
      <c r="BT3659" s="2"/>
      <c r="BU3659" s="2"/>
      <c r="BV3659" s="2"/>
      <c r="BW3659" s="2"/>
      <c r="BX3659" s="2"/>
      <c r="BY3659" s="2">
        <v>33818.400000000001</v>
      </c>
      <c r="BZ3659" s="2"/>
      <c r="CA3659" s="2"/>
      <c r="CB3659" s="2"/>
      <c r="CC3659" s="2" t="s">
        <v>511</v>
      </c>
      <c r="CD3659" s="2">
        <v>6229</v>
      </c>
      <c r="CE3659" s="2" t="s">
        <v>948</v>
      </c>
      <c r="CF3659" s="2"/>
      <c r="CG3659" s="2"/>
      <c r="CH3659" s="2"/>
      <c r="CI3659" s="2">
        <v>1</v>
      </c>
      <c r="CJ3659" s="2" t="s">
        <v>1200</v>
      </c>
      <c r="CK3659" s="2">
        <v>21</v>
      </c>
      <c r="CL3659" s="2" t="s">
        <v>86</v>
      </c>
      <c r="CM3659" s="2"/>
    </row>
    <row r="3660" spans="1:91">
      <c r="A3660" s="2" t="s">
        <v>71</v>
      </c>
      <c r="B3660" s="2" t="s">
        <v>72</v>
      </c>
      <c r="C3660" s="2" t="s">
        <v>73</v>
      </c>
      <c r="D3660" s="2"/>
      <c r="E3660" s="2" t="str">
        <f>"FES1162572479"</f>
        <v>FES1162572479</v>
      </c>
      <c r="F3660" s="3">
        <v>42978</v>
      </c>
      <c r="G3660" s="2">
        <v>201802</v>
      </c>
      <c r="H3660" s="2" t="s">
        <v>74</v>
      </c>
      <c r="I3660" s="2" t="s">
        <v>75</v>
      </c>
      <c r="J3660" s="2" t="s">
        <v>76</v>
      </c>
      <c r="K3660" s="2" t="s">
        <v>77</v>
      </c>
      <c r="L3660" s="2" t="s">
        <v>97</v>
      </c>
      <c r="M3660" s="2" t="s">
        <v>98</v>
      </c>
      <c r="N3660" s="2" t="s">
        <v>2205</v>
      </c>
      <c r="O3660" s="2" t="s">
        <v>100</v>
      </c>
      <c r="P3660" s="2" t="str">
        <f>"2170582001                    "</f>
        <v xml:space="preserve">2170582001                    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15.01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0</v>
      </c>
      <c r="BD3660" s="2">
        <v>0</v>
      </c>
      <c r="BE3660" s="2">
        <v>0</v>
      </c>
      <c r="BF3660" s="2">
        <v>0</v>
      </c>
      <c r="BG3660" s="2">
        <v>0</v>
      </c>
      <c r="BH3660" s="2">
        <v>1</v>
      </c>
      <c r="BI3660" s="2">
        <v>7.2</v>
      </c>
      <c r="BJ3660" s="2">
        <v>2.9</v>
      </c>
      <c r="BK3660" s="2">
        <v>7.5</v>
      </c>
      <c r="BL3660" s="2">
        <v>155.41</v>
      </c>
      <c r="BM3660" s="2">
        <v>21.76</v>
      </c>
      <c r="BN3660" s="2">
        <v>177.17</v>
      </c>
      <c r="BO3660" s="2">
        <v>177.17</v>
      </c>
      <c r="BP3660" s="2"/>
      <c r="BQ3660" s="2" t="s">
        <v>108</v>
      </c>
      <c r="BR3660" s="2" t="s">
        <v>84</v>
      </c>
      <c r="BS3660" s="1" t="s">
        <v>1200</v>
      </c>
      <c r="BT3660" s="2"/>
      <c r="BU3660" s="2"/>
      <c r="BV3660" s="2"/>
      <c r="BW3660" s="2"/>
      <c r="BX3660" s="2"/>
      <c r="BY3660" s="2">
        <v>14483.17</v>
      </c>
      <c r="BZ3660" s="2"/>
      <c r="CA3660" s="2"/>
      <c r="CB3660" s="2"/>
      <c r="CC3660" s="2" t="s">
        <v>98</v>
      </c>
      <c r="CD3660" s="2">
        <v>6001</v>
      </c>
      <c r="CE3660" s="2" t="s">
        <v>135</v>
      </c>
      <c r="CF3660" s="2"/>
      <c r="CG3660" s="2"/>
      <c r="CH3660" s="2"/>
      <c r="CI3660" s="2">
        <v>1</v>
      </c>
      <c r="CJ3660" s="2" t="s">
        <v>1200</v>
      </c>
      <c r="CK3660" s="2">
        <v>21</v>
      </c>
      <c r="CL3660" s="2" t="s">
        <v>86</v>
      </c>
      <c r="CM3660" s="2"/>
    </row>
    <row r="3661" spans="1:91">
      <c r="A3661" s="2" t="s">
        <v>71</v>
      </c>
      <c r="B3661" s="2" t="s">
        <v>72</v>
      </c>
      <c r="C3661" s="2" t="s">
        <v>73</v>
      </c>
      <c r="D3661" s="2"/>
      <c r="E3661" s="2" t="str">
        <f>"FES1162572511"</f>
        <v>FES1162572511</v>
      </c>
      <c r="F3661" s="3">
        <v>42978</v>
      </c>
      <c r="G3661" s="2">
        <v>201802</v>
      </c>
      <c r="H3661" s="2" t="s">
        <v>74</v>
      </c>
      <c r="I3661" s="2" t="s">
        <v>75</v>
      </c>
      <c r="J3661" s="2" t="s">
        <v>76</v>
      </c>
      <c r="K3661" s="2" t="s">
        <v>77</v>
      </c>
      <c r="L3661" s="2" t="s">
        <v>97</v>
      </c>
      <c r="M3661" s="2" t="s">
        <v>98</v>
      </c>
      <c r="N3661" s="2" t="s">
        <v>2597</v>
      </c>
      <c r="O3661" s="2" t="s">
        <v>100</v>
      </c>
      <c r="P3661" s="2" t="str">
        <f>"2170576918                    "</f>
        <v xml:space="preserve">2170576918                    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4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0</v>
      </c>
      <c r="BD3661" s="2">
        <v>0</v>
      </c>
      <c r="BE3661" s="2">
        <v>0</v>
      </c>
      <c r="BF3661" s="2">
        <v>0</v>
      </c>
      <c r="BG3661" s="2">
        <v>0</v>
      </c>
      <c r="BH3661" s="2">
        <v>1</v>
      </c>
      <c r="BI3661" s="2">
        <v>1.9</v>
      </c>
      <c r="BJ3661" s="2">
        <v>1.6</v>
      </c>
      <c r="BK3661" s="2">
        <v>2</v>
      </c>
      <c r="BL3661" s="2">
        <v>41.44</v>
      </c>
      <c r="BM3661" s="2">
        <v>5.8</v>
      </c>
      <c r="BN3661" s="2">
        <v>47.24</v>
      </c>
      <c r="BO3661" s="2">
        <v>47.24</v>
      </c>
      <c r="BP3661" s="2"/>
      <c r="BQ3661" s="2" t="s">
        <v>288</v>
      </c>
      <c r="BR3661" s="2" t="s">
        <v>84</v>
      </c>
      <c r="BS3661" s="1" t="s">
        <v>1200</v>
      </c>
      <c r="BT3661" s="2"/>
      <c r="BU3661" s="2"/>
      <c r="BV3661" s="2"/>
      <c r="BW3661" s="2"/>
      <c r="BX3661" s="2"/>
      <c r="BY3661" s="2">
        <v>8183.51</v>
      </c>
      <c r="BZ3661" s="2"/>
      <c r="CA3661" s="2"/>
      <c r="CB3661" s="2"/>
      <c r="CC3661" s="2" t="s">
        <v>98</v>
      </c>
      <c r="CD3661" s="2">
        <v>6012</v>
      </c>
      <c r="CE3661" s="2" t="s">
        <v>89</v>
      </c>
      <c r="CF3661" s="2"/>
      <c r="CG3661" s="2"/>
      <c r="CH3661" s="2"/>
      <c r="CI3661" s="2">
        <v>1</v>
      </c>
      <c r="CJ3661" s="2" t="s">
        <v>1200</v>
      </c>
      <c r="CK3661" s="2">
        <v>21</v>
      </c>
      <c r="CL3661" s="2" t="s">
        <v>86</v>
      </c>
      <c r="CM3661" s="2"/>
    </row>
    <row r="3662" spans="1:91">
      <c r="A3662" s="2" t="s">
        <v>71</v>
      </c>
      <c r="B3662" s="2" t="s">
        <v>72</v>
      </c>
      <c r="C3662" s="2" t="s">
        <v>73</v>
      </c>
      <c r="D3662" s="2"/>
      <c r="E3662" s="2" t="str">
        <f>"FES1162572530"</f>
        <v>FES1162572530</v>
      </c>
      <c r="F3662" s="3">
        <v>42978</v>
      </c>
      <c r="G3662" s="2">
        <v>201802</v>
      </c>
      <c r="H3662" s="2" t="s">
        <v>74</v>
      </c>
      <c r="I3662" s="2" t="s">
        <v>75</v>
      </c>
      <c r="J3662" s="2" t="s">
        <v>76</v>
      </c>
      <c r="K3662" s="2" t="s">
        <v>77</v>
      </c>
      <c r="L3662" s="2" t="s">
        <v>97</v>
      </c>
      <c r="M3662" s="2" t="s">
        <v>98</v>
      </c>
      <c r="N3662" s="2" t="s">
        <v>2895</v>
      </c>
      <c r="O3662" s="2" t="s">
        <v>100</v>
      </c>
      <c r="P3662" s="2" t="str">
        <f>"2170585447                    "</f>
        <v xml:space="preserve">2170585447                    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7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0</v>
      </c>
      <c r="AV3662" s="2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1</v>
      </c>
      <c r="BI3662" s="2">
        <v>1.1000000000000001</v>
      </c>
      <c r="BJ3662" s="2">
        <v>3.1</v>
      </c>
      <c r="BK3662" s="2">
        <v>3.5</v>
      </c>
      <c r="BL3662" s="2">
        <v>72.52</v>
      </c>
      <c r="BM3662" s="2">
        <v>10.15</v>
      </c>
      <c r="BN3662" s="2">
        <v>82.67</v>
      </c>
      <c r="BO3662" s="2">
        <v>82.67</v>
      </c>
      <c r="BP3662" s="2"/>
      <c r="BQ3662" s="2" t="s">
        <v>83</v>
      </c>
      <c r="BR3662" s="2" t="s">
        <v>84</v>
      </c>
      <c r="BS3662" s="1" t="s">
        <v>1200</v>
      </c>
      <c r="BT3662" s="2"/>
      <c r="BU3662" s="2"/>
      <c r="BV3662" s="2"/>
      <c r="BW3662" s="2"/>
      <c r="BX3662" s="2"/>
      <c r="BY3662" s="2">
        <v>15700.2</v>
      </c>
      <c r="BZ3662" s="2"/>
      <c r="CA3662" s="2"/>
      <c r="CB3662" s="2"/>
      <c r="CC3662" s="2" t="s">
        <v>98</v>
      </c>
      <c r="CD3662" s="2">
        <v>6001</v>
      </c>
      <c r="CE3662" s="2" t="s">
        <v>89</v>
      </c>
      <c r="CF3662" s="2"/>
      <c r="CG3662" s="2"/>
      <c r="CH3662" s="2"/>
      <c r="CI3662" s="2">
        <v>1</v>
      </c>
      <c r="CJ3662" s="2" t="s">
        <v>1200</v>
      </c>
      <c r="CK3662" s="2">
        <v>21</v>
      </c>
      <c r="CL3662" s="2" t="s">
        <v>86</v>
      </c>
      <c r="CM3662" s="2"/>
    </row>
    <row r="3663" spans="1:91">
      <c r="A3663" s="2" t="s">
        <v>71</v>
      </c>
      <c r="B3663" s="2" t="s">
        <v>72</v>
      </c>
      <c r="C3663" s="2" t="s">
        <v>73</v>
      </c>
      <c r="D3663" s="2"/>
      <c r="E3663" s="2" t="str">
        <f>"FES1162572564"</f>
        <v>FES1162572564</v>
      </c>
      <c r="F3663" s="3">
        <v>42978</v>
      </c>
      <c r="G3663" s="2">
        <v>201802</v>
      </c>
      <c r="H3663" s="2" t="s">
        <v>74</v>
      </c>
      <c r="I3663" s="2" t="s">
        <v>75</v>
      </c>
      <c r="J3663" s="2" t="s">
        <v>76</v>
      </c>
      <c r="K3663" s="2" t="s">
        <v>77</v>
      </c>
      <c r="L3663" s="2" t="s">
        <v>144</v>
      </c>
      <c r="M3663" s="2" t="s">
        <v>145</v>
      </c>
      <c r="N3663" s="2" t="s">
        <v>146</v>
      </c>
      <c r="O3663" s="2" t="s">
        <v>358</v>
      </c>
      <c r="P3663" s="2" t="str">
        <f>"217058                        "</f>
        <v xml:space="preserve">217058                        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6.63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0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1</v>
      </c>
      <c r="BI3663" s="2">
        <v>17.600000000000001</v>
      </c>
      <c r="BJ3663" s="2">
        <v>17.8</v>
      </c>
      <c r="BK3663" s="2">
        <v>18</v>
      </c>
      <c r="BL3663" s="2">
        <v>68.680000000000007</v>
      </c>
      <c r="BM3663" s="2">
        <v>9.6199999999999992</v>
      </c>
      <c r="BN3663" s="2">
        <v>78.3</v>
      </c>
      <c r="BO3663" s="2">
        <v>78.3</v>
      </c>
      <c r="BP3663" s="2"/>
      <c r="BQ3663" s="2" t="s">
        <v>83</v>
      </c>
      <c r="BR3663" s="2" t="s">
        <v>84</v>
      </c>
      <c r="BS3663" s="1" t="s">
        <v>1200</v>
      </c>
      <c r="BT3663" s="2"/>
      <c r="BU3663" s="2"/>
      <c r="BV3663" s="2"/>
      <c r="BW3663" s="2"/>
      <c r="BX3663" s="2"/>
      <c r="BY3663" s="2">
        <v>88999.42</v>
      </c>
      <c r="BZ3663" s="2"/>
      <c r="CA3663" s="2"/>
      <c r="CB3663" s="2"/>
      <c r="CC3663" s="2" t="s">
        <v>145</v>
      </c>
      <c r="CD3663" s="2">
        <v>2094</v>
      </c>
      <c r="CE3663" s="2" t="s">
        <v>89</v>
      </c>
      <c r="CF3663" s="2"/>
      <c r="CG3663" s="2"/>
      <c r="CH3663" s="2"/>
      <c r="CI3663" s="2">
        <v>1</v>
      </c>
      <c r="CJ3663" s="2" t="s">
        <v>1200</v>
      </c>
      <c r="CK3663" s="2">
        <v>32</v>
      </c>
      <c r="CL3663" s="2" t="s">
        <v>86</v>
      </c>
      <c r="CM3663" s="2"/>
    </row>
    <row r="3664" spans="1:91">
      <c r="A3664" s="2" t="s">
        <v>71</v>
      </c>
      <c r="B3664" s="2" t="s">
        <v>72</v>
      </c>
      <c r="C3664" s="2" t="s">
        <v>73</v>
      </c>
      <c r="D3664" s="2"/>
      <c r="E3664" s="2" t="str">
        <f>"FES1162572501"</f>
        <v>FES1162572501</v>
      </c>
      <c r="F3664" s="3">
        <v>42978</v>
      </c>
      <c r="G3664" s="2">
        <v>201802</v>
      </c>
      <c r="H3664" s="2" t="s">
        <v>74</v>
      </c>
      <c r="I3664" s="2" t="s">
        <v>75</v>
      </c>
      <c r="J3664" s="2" t="s">
        <v>76</v>
      </c>
      <c r="K3664" s="2" t="s">
        <v>77</v>
      </c>
      <c r="L3664" s="2" t="s">
        <v>311</v>
      </c>
      <c r="M3664" s="2" t="s">
        <v>312</v>
      </c>
      <c r="N3664" s="2" t="s">
        <v>3601</v>
      </c>
      <c r="O3664" s="2" t="s">
        <v>100</v>
      </c>
      <c r="P3664" s="2" t="str">
        <f>"2170588063                    "</f>
        <v xml:space="preserve">2170588063                    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3.13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0</v>
      </c>
      <c r="BD3664" s="2">
        <v>0</v>
      </c>
      <c r="BE3664" s="2">
        <v>0</v>
      </c>
      <c r="BF3664" s="2">
        <v>0</v>
      </c>
      <c r="BG3664" s="2">
        <v>0</v>
      </c>
      <c r="BH3664" s="2">
        <v>1</v>
      </c>
      <c r="BI3664" s="2">
        <v>2</v>
      </c>
      <c r="BJ3664" s="2">
        <v>0.8</v>
      </c>
      <c r="BK3664" s="2">
        <v>2</v>
      </c>
      <c r="BL3664" s="2">
        <v>32.380000000000003</v>
      </c>
      <c r="BM3664" s="2">
        <v>4.53</v>
      </c>
      <c r="BN3664" s="2">
        <v>36.909999999999997</v>
      </c>
      <c r="BO3664" s="2">
        <v>36.909999999999997</v>
      </c>
      <c r="BP3664" s="2"/>
      <c r="BQ3664" s="2" t="s">
        <v>108</v>
      </c>
      <c r="BR3664" s="2" t="s">
        <v>84</v>
      </c>
      <c r="BS3664" s="1" t="s">
        <v>1200</v>
      </c>
      <c r="BT3664" s="2"/>
      <c r="BU3664" s="2"/>
      <c r="BV3664" s="2"/>
      <c r="BW3664" s="2"/>
      <c r="BX3664" s="2"/>
      <c r="BY3664" s="2">
        <v>4000</v>
      </c>
      <c r="BZ3664" s="2"/>
      <c r="CA3664" s="2"/>
      <c r="CB3664" s="2"/>
      <c r="CC3664" s="2" t="s">
        <v>312</v>
      </c>
      <c r="CD3664" s="2">
        <v>1559</v>
      </c>
      <c r="CE3664" s="2" t="s">
        <v>135</v>
      </c>
      <c r="CF3664" s="2"/>
      <c r="CG3664" s="2"/>
      <c r="CH3664" s="2"/>
      <c r="CI3664" s="2">
        <v>1</v>
      </c>
      <c r="CJ3664" s="2" t="s">
        <v>1200</v>
      </c>
      <c r="CK3664" s="2">
        <v>22</v>
      </c>
      <c r="CL3664" s="2" t="s">
        <v>86</v>
      </c>
      <c r="CM3664" s="2"/>
    </row>
    <row r="3665" spans="1:91">
      <c r="A3665" s="2" t="s">
        <v>71</v>
      </c>
      <c r="B3665" s="2" t="s">
        <v>72</v>
      </c>
      <c r="C3665" s="2" t="s">
        <v>73</v>
      </c>
      <c r="D3665" s="2"/>
      <c r="E3665" s="2" t="str">
        <f>"FES1162572535"</f>
        <v>FES1162572535</v>
      </c>
      <c r="F3665" s="3">
        <v>42978</v>
      </c>
      <c r="G3665" s="2">
        <v>201802</v>
      </c>
      <c r="H3665" s="2" t="s">
        <v>74</v>
      </c>
      <c r="I3665" s="2" t="s">
        <v>75</v>
      </c>
      <c r="J3665" s="2" t="s">
        <v>76</v>
      </c>
      <c r="K3665" s="2" t="s">
        <v>77</v>
      </c>
      <c r="L3665" s="2" t="s">
        <v>128</v>
      </c>
      <c r="M3665" s="2" t="s">
        <v>129</v>
      </c>
      <c r="N3665" s="2" t="s">
        <v>1331</v>
      </c>
      <c r="O3665" s="2" t="s">
        <v>100</v>
      </c>
      <c r="P3665" s="2" t="str">
        <f>"2170585513                    "</f>
        <v xml:space="preserve">2170585513                    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3.13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0</v>
      </c>
      <c r="BD3665" s="2">
        <v>0</v>
      </c>
      <c r="BE3665" s="2">
        <v>0</v>
      </c>
      <c r="BF3665" s="2">
        <v>0</v>
      </c>
      <c r="BG3665" s="2">
        <v>0</v>
      </c>
      <c r="BH3665" s="2">
        <v>1</v>
      </c>
      <c r="BI3665" s="2">
        <v>1</v>
      </c>
      <c r="BJ3665" s="2">
        <v>0.2</v>
      </c>
      <c r="BK3665" s="2">
        <v>1</v>
      </c>
      <c r="BL3665" s="2">
        <v>32.380000000000003</v>
      </c>
      <c r="BM3665" s="2">
        <v>4.53</v>
      </c>
      <c r="BN3665" s="2">
        <v>36.909999999999997</v>
      </c>
      <c r="BO3665" s="2">
        <v>36.909999999999997</v>
      </c>
      <c r="BP3665" s="2"/>
      <c r="BQ3665" s="2" t="s">
        <v>288</v>
      </c>
      <c r="BR3665" s="2" t="s">
        <v>84</v>
      </c>
      <c r="BS3665" s="1" t="s">
        <v>1200</v>
      </c>
      <c r="BT3665" s="2"/>
      <c r="BU3665" s="2"/>
      <c r="BV3665" s="2"/>
      <c r="BW3665" s="2"/>
      <c r="BX3665" s="2"/>
      <c r="BY3665" s="2">
        <v>1200</v>
      </c>
      <c r="BZ3665" s="2"/>
      <c r="CA3665" s="2"/>
      <c r="CB3665" s="2"/>
      <c r="CC3665" s="2" t="s">
        <v>129</v>
      </c>
      <c r="CD3665" s="2">
        <v>1724</v>
      </c>
      <c r="CE3665" s="2" t="s">
        <v>104</v>
      </c>
      <c r="CF3665" s="2"/>
      <c r="CG3665" s="2"/>
      <c r="CH3665" s="2"/>
      <c r="CI3665" s="2">
        <v>1</v>
      </c>
      <c r="CJ3665" s="2" t="s">
        <v>1200</v>
      </c>
      <c r="CK3665" s="2">
        <v>22</v>
      </c>
      <c r="CL3665" s="2" t="s">
        <v>86</v>
      </c>
      <c r="CM3665" s="2"/>
    </row>
    <row r="3666" spans="1:91">
      <c r="A3666" s="2" t="s">
        <v>71</v>
      </c>
      <c r="B3666" s="2" t="s">
        <v>72</v>
      </c>
      <c r="C3666" s="2" t="s">
        <v>73</v>
      </c>
      <c r="D3666" s="2"/>
      <c r="E3666" s="2" t="str">
        <f>"FES1162572599"</f>
        <v>FES1162572599</v>
      </c>
      <c r="F3666" s="3">
        <v>42978</v>
      </c>
      <c r="G3666" s="2">
        <v>201802</v>
      </c>
      <c r="H3666" s="2" t="s">
        <v>74</v>
      </c>
      <c r="I3666" s="2" t="s">
        <v>75</v>
      </c>
      <c r="J3666" s="2" t="s">
        <v>76</v>
      </c>
      <c r="K3666" s="2" t="s">
        <v>77</v>
      </c>
      <c r="L3666" s="2" t="s">
        <v>170</v>
      </c>
      <c r="M3666" s="2" t="s">
        <v>171</v>
      </c>
      <c r="N3666" s="2" t="s">
        <v>2592</v>
      </c>
      <c r="O3666" s="2" t="s">
        <v>100</v>
      </c>
      <c r="P3666" s="2" t="str">
        <f>"2170579900                    "</f>
        <v xml:space="preserve">2170579900                    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3.13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0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0</v>
      </c>
      <c r="BD3666" s="2">
        <v>0</v>
      </c>
      <c r="BE3666" s="2">
        <v>0</v>
      </c>
      <c r="BF3666" s="2">
        <v>0</v>
      </c>
      <c r="BG3666" s="2">
        <v>0</v>
      </c>
      <c r="BH3666" s="2">
        <v>1</v>
      </c>
      <c r="BI3666" s="2">
        <v>1</v>
      </c>
      <c r="BJ3666" s="2">
        <v>0.2</v>
      </c>
      <c r="BK3666" s="2">
        <v>1</v>
      </c>
      <c r="BL3666" s="2">
        <v>32.380000000000003</v>
      </c>
      <c r="BM3666" s="2">
        <v>4.53</v>
      </c>
      <c r="BN3666" s="2">
        <v>36.909999999999997</v>
      </c>
      <c r="BO3666" s="2">
        <v>36.909999999999997</v>
      </c>
      <c r="BP3666" s="2"/>
      <c r="BQ3666" s="2" t="s">
        <v>288</v>
      </c>
      <c r="BR3666" s="2" t="s">
        <v>84</v>
      </c>
      <c r="BS3666" s="1" t="s">
        <v>1200</v>
      </c>
      <c r="BT3666" s="2"/>
      <c r="BU3666" s="2"/>
      <c r="BV3666" s="2"/>
      <c r="BW3666" s="2"/>
      <c r="BX3666" s="2"/>
      <c r="BY3666" s="2">
        <v>1200</v>
      </c>
      <c r="BZ3666" s="2"/>
      <c r="CA3666" s="2"/>
      <c r="CB3666" s="2"/>
      <c r="CC3666" s="2" t="s">
        <v>171</v>
      </c>
      <c r="CD3666" s="2">
        <v>1401</v>
      </c>
      <c r="CE3666" s="2" t="s">
        <v>104</v>
      </c>
      <c r="CF3666" s="2"/>
      <c r="CG3666" s="2"/>
      <c r="CH3666" s="2"/>
      <c r="CI3666" s="2">
        <v>1</v>
      </c>
      <c r="CJ3666" s="2" t="s">
        <v>1200</v>
      </c>
      <c r="CK3666" s="2">
        <v>22</v>
      </c>
      <c r="CL3666" s="2" t="s">
        <v>86</v>
      </c>
      <c r="CM3666" s="2"/>
    </row>
    <row r="3667" spans="1:91">
      <c r="A3667" s="2" t="s">
        <v>71</v>
      </c>
      <c r="B3667" s="2" t="s">
        <v>72</v>
      </c>
      <c r="C3667" s="2" t="s">
        <v>73</v>
      </c>
      <c r="D3667" s="2"/>
      <c r="E3667" s="2" t="str">
        <f>"FES1162572500"</f>
        <v>FES1162572500</v>
      </c>
      <c r="F3667" s="3">
        <v>42978</v>
      </c>
      <c r="G3667" s="2">
        <v>201802</v>
      </c>
      <c r="H3667" s="2" t="s">
        <v>74</v>
      </c>
      <c r="I3667" s="2" t="s">
        <v>75</v>
      </c>
      <c r="J3667" s="2" t="s">
        <v>76</v>
      </c>
      <c r="K3667" s="2" t="s">
        <v>77</v>
      </c>
      <c r="L3667" s="2" t="s">
        <v>723</v>
      </c>
      <c r="M3667" s="2" t="s">
        <v>724</v>
      </c>
      <c r="N3667" s="2" t="s">
        <v>2327</v>
      </c>
      <c r="O3667" s="2" t="s">
        <v>100</v>
      </c>
      <c r="P3667" s="2" t="str">
        <f>"2170588062                    "</f>
        <v xml:space="preserve">2170588062                    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24.81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2">
        <v>0</v>
      </c>
      <c r="BD3667" s="2">
        <v>0</v>
      </c>
      <c r="BE3667" s="2">
        <v>0</v>
      </c>
      <c r="BF3667" s="2">
        <v>0</v>
      </c>
      <c r="BG3667" s="2">
        <v>0</v>
      </c>
      <c r="BH3667" s="2">
        <v>1</v>
      </c>
      <c r="BI3667" s="2">
        <v>5</v>
      </c>
      <c r="BJ3667" s="2">
        <v>8.6999999999999993</v>
      </c>
      <c r="BK3667" s="2">
        <v>9</v>
      </c>
      <c r="BL3667" s="2">
        <v>256.94</v>
      </c>
      <c r="BM3667" s="2">
        <v>35.97</v>
      </c>
      <c r="BN3667" s="2">
        <v>292.91000000000003</v>
      </c>
      <c r="BO3667" s="2">
        <v>292.91000000000003</v>
      </c>
      <c r="BP3667" s="2"/>
      <c r="BQ3667" s="2" t="s">
        <v>108</v>
      </c>
      <c r="BR3667" s="2" t="s">
        <v>84</v>
      </c>
      <c r="BS3667" s="1" t="s">
        <v>1200</v>
      </c>
      <c r="BT3667" s="2"/>
      <c r="BU3667" s="2"/>
      <c r="BV3667" s="2"/>
      <c r="BW3667" s="2"/>
      <c r="BX3667" s="2"/>
      <c r="BY3667" s="2">
        <v>43689.279999999999</v>
      </c>
      <c r="BZ3667" s="2"/>
      <c r="CA3667" s="2"/>
      <c r="CB3667" s="2"/>
      <c r="CC3667" s="2" t="s">
        <v>724</v>
      </c>
      <c r="CD3667" s="2">
        <v>1739</v>
      </c>
      <c r="CE3667" s="2" t="s">
        <v>89</v>
      </c>
      <c r="CF3667" s="2"/>
      <c r="CG3667" s="2"/>
      <c r="CH3667" s="2"/>
      <c r="CI3667" s="2">
        <v>1</v>
      </c>
      <c r="CJ3667" s="2" t="s">
        <v>1200</v>
      </c>
      <c r="CK3667" s="2">
        <v>24</v>
      </c>
      <c r="CL3667" s="2" t="s">
        <v>86</v>
      </c>
      <c r="CM3667" s="2"/>
    </row>
    <row r="3668" spans="1:91">
      <c r="A3668" s="2" t="s">
        <v>71</v>
      </c>
      <c r="B3668" s="2" t="s">
        <v>72</v>
      </c>
      <c r="C3668" s="2" t="s">
        <v>73</v>
      </c>
      <c r="D3668" s="2"/>
      <c r="E3668" s="2" t="str">
        <f>"FES1162572601"</f>
        <v>FES1162572601</v>
      </c>
      <c r="F3668" s="3">
        <v>42978</v>
      </c>
      <c r="G3668" s="2">
        <v>201802</v>
      </c>
      <c r="H3668" s="2" t="s">
        <v>74</v>
      </c>
      <c r="I3668" s="2" t="s">
        <v>75</v>
      </c>
      <c r="J3668" s="2" t="s">
        <v>76</v>
      </c>
      <c r="K3668" s="2" t="s">
        <v>77</v>
      </c>
      <c r="L3668" s="2" t="s">
        <v>74</v>
      </c>
      <c r="M3668" s="2" t="s">
        <v>75</v>
      </c>
      <c r="N3668" s="2" t="s">
        <v>3602</v>
      </c>
      <c r="O3668" s="2" t="s">
        <v>100</v>
      </c>
      <c r="P3668" s="2" t="str">
        <f>"2170588098                    "</f>
        <v xml:space="preserve">2170588098                    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3.13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0</v>
      </c>
      <c r="BD3668" s="2">
        <v>0</v>
      </c>
      <c r="BE3668" s="2">
        <v>0</v>
      </c>
      <c r="BF3668" s="2">
        <v>0</v>
      </c>
      <c r="BG3668" s="2">
        <v>0</v>
      </c>
      <c r="BH3668" s="2">
        <v>1</v>
      </c>
      <c r="BI3668" s="2">
        <v>3.2</v>
      </c>
      <c r="BJ3668" s="2">
        <v>3.4</v>
      </c>
      <c r="BK3668" s="2">
        <v>4</v>
      </c>
      <c r="BL3668" s="2">
        <v>32.380000000000003</v>
      </c>
      <c r="BM3668" s="2">
        <v>4.53</v>
      </c>
      <c r="BN3668" s="2">
        <v>36.909999999999997</v>
      </c>
      <c r="BO3668" s="2">
        <v>36.909999999999997</v>
      </c>
      <c r="BP3668" s="2"/>
      <c r="BQ3668" s="2" t="s">
        <v>108</v>
      </c>
      <c r="BR3668" s="2" t="s">
        <v>84</v>
      </c>
      <c r="BS3668" s="1" t="s">
        <v>1200</v>
      </c>
      <c r="BT3668" s="2"/>
      <c r="BU3668" s="2"/>
      <c r="BV3668" s="2"/>
      <c r="BW3668" s="2"/>
      <c r="BX3668" s="2"/>
      <c r="BY3668" s="2">
        <v>16947.7</v>
      </c>
      <c r="BZ3668" s="2"/>
      <c r="CA3668" s="2"/>
      <c r="CB3668" s="2"/>
      <c r="CC3668" s="2" t="s">
        <v>75</v>
      </c>
      <c r="CD3668" s="2">
        <v>1601</v>
      </c>
      <c r="CE3668" s="2" t="s">
        <v>89</v>
      </c>
      <c r="CF3668" s="2"/>
      <c r="CG3668" s="2"/>
      <c r="CH3668" s="2"/>
      <c r="CI3668" s="2">
        <v>1</v>
      </c>
      <c r="CJ3668" s="2" t="s">
        <v>1200</v>
      </c>
      <c r="CK3668" s="2">
        <v>22</v>
      </c>
      <c r="CL3668" s="2" t="s">
        <v>86</v>
      </c>
      <c r="CM3668" s="2"/>
    </row>
    <row r="3669" spans="1:91">
      <c r="A3669" s="2" t="s">
        <v>71</v>
      </c>
      <c r="B3669" s="2" t="s">
        <v>72</v>
      </c>
      <c r="C3669" s="2" t="s">
        <v>73</v>
      </c>
      <c r="D3669" s="2"/>
      <c r="E3669" s="2" t="str">
        <f>"FES1162572487"</f>
        <v>FES1162572487</v>
      </c>
      <c r="F3669" s="3">
        <v>42978</v>
      </c>
      <c r="G3669" s="2">
        <v>201802</v>
      </c>
      <c r="H3669" s="2" t="s">
        <v>74</v>
      </c>
      <c r="I3669" s="2" t="s">
        <v>75</v>
      </c>
      <c r="J3669" s="2" t="s">
        <v>76</v>
      </c>
      <c r="K3669" s="2" t="s">
        <v>77</v>
      </c>
      <c r="L3669" s="2" t="s">
        <v>353</v>
      </c>
      <c r="M3669" s="2" t="s">
        <v>354</v>
      </c>
      <c r="N3669" s="2" t="s">
        <v>3603</v>
      </c>
      <c r="O3669" s="2" t="s">
        <v>100</v>
      </c>
      <c r="P3669" s="2" t="str">
        <f>"2170586133                    "</f>
        <v xml:space="preserve">2170586133                    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4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0</v>
      </c>
      <c r="BD3669" s="2">
        <v>0</v>
      </c>
      <c r="BE3669" s="2">
        <v>0</v>
      </c>
      <c r="BF3669" s="2">
        <v>0</v>
      </c>
      <c r="BG3669" s="2">
        <v>0</v>
      </c>
      <c r="BH3669" s="2">
        <v>1</v>
      </c>
      <c r="BI3669" s="2">
        <v>1</v>
      </c>
      <c r="BJ3669" s="2">
        <v>0.2</v>
      </c>
      <c r="BK3669" s="2">
        <v>1</v>
      </c>
      <c r="BL3669" s="2">
        <v>41.44</v>
      </c>
      <c r="BM3669" s="2">
        <v>5.8</v>
      </c>
      <c r="BN3669" s="2">
        <v>47.24</v>
      </c>
      <c r="BO3669" s="2">
        <v>47.24</v>
      </c>
      <c r="BP3669" s="2"/>
      <c r="BQ3669" s="2" t="s">
        <v>3604</v>
      </c>
      <c r="BR3669" s="2" t="s">
        <v>84</v>
      </c>
      <c r="BS3669" s="1" t="s">
        <v>1200</v>
      </c>
      <c r="BT3669" s="2"/>
      <c r="BU3669" s="2"/>
      <c r="BV3669" s="2"/>
      <c r="BW3669" s="2"/>
      <c r="BX3669" s="2"/>
      <c r="BY3669" s="2">
        <v>1200</v>
      </c>
      <c r="BZ3669" s="2"/>
      <c r="CA3669" s="2"/>
      <c r="CB3669" s="2"/>
      <c r="CC3669" s="2" t="s">
        <v>354</v>
      </c>
      <c r="CD3669" s="2">
        <v>3699</v>
      </c>
      <c r="CE3669" s="2" t="s">
        <v>104</v>
      </c>
      <c r="CF3669" s="2"/>
      <c r="CG3669" s="2"/>
      <c r="CH3669" s="2"/>
      <c r="CI3669" s="2">
        <v>1</v>
      </c>
      <c r="CJ3669" s="2" t="s">
        <v>1200</v>
      </c>
      <c r="CK3669" s="2">
        <v>21</v>
      </c>
      <c r="CL3669" s="2" t="s">
        <v>86</v>
      </c>
      <c r="CM3669" s="2"/>
    </row>
    <row r="3670" spans="1:91">
      <c r="A3670" s="2" t="s">
        <v>71</v>
      </c>
      <c r="B3670" s="2" t="s">
        <v>72</v>
      </c>
      <c r="C3670" s="2" t="s">
        <v>73</v>
      </c>
      <c r="D3670" s="2"/>
      <c r="E3670" s="2" t="str">
        <f>"FES1162572476"</f>
        <v>FES1162572476</v>
      </c>
      <c r="F3670" s="3">
        <v>42978</v>
      </c>
      <c r="G3670" s="2">
        <v>201802</v>
      </c>
      <c r="H3670" s="2" t="s">
        <v>74</v>
      </c>
      <c r="I3670" s="2" t="s">
        <v>75</v>
      </c>
      <c r="J3670" s="2" t="s">
        <v>76</v>
      </c>
      <c r="K3670" s="2" t="s">
        <v>77</v>
      </c>
      <c r="L3670" s="2" t="s">
        <v>237</v>
      </c>
      <c r="M3670" s="2" t="s">
        <v>238</v>
      </c>
      <c r="N3670" s="2" t="s">
        <v>1547</v>
      </c>
      <c r="O3670" s="2" t="s">
        <v>100</v>
      </c>
      <c r="P3670" s="2" t="str">
        <f>"2170588029                    "</f>
        <v xml:space="preserve">2170588029                    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4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0</v>
      </c>
      <c r="BD3670" s="2">
        <v>0</v>
      </c>
      <c r="BE3670" s="2">
        <v>0</v>
      </c>
      <c r="BF3670" s="2">
        <v>0</v>
      </c>
      <c r="BG3670" s="2">
        <v>0</v>
      </c>
      <c r="BH3670" s="2">
        <v>1</v>
      </c>
      <c r="BI3670" s="2">
        <v>1.3</v>
      </c>
      <c r="BJ3670" s="2">
        <v>0.2</v>
      </c>
      <c r="BK3670" s="2">
        <v>1.5</v>
      </c>
      <c r="BL3670" s="2">
        <v>41.44</v>
      </c>
      <c r="BM3670" s="2">
        <v>5.8</v>
      </c>
      <c r="BN3670" s="2">
        <v>47.24</v>
      </c>
      <c r="BO3670" s="2">
        <v>47.24</v>
      </c>
      <c r="BP3670" s="2"/>
      <c r="BQ3670" s="2" t="s">
        <v>1548</v>
      </c>
      <c r="BR3670" s="2" t="s">
        <v>84</v>
      </c>
      <c r="BS3670" s="1" t="s">
        <v>1200</v>
      </c>
      <c r="BT3670" s="2"/>
      <c r="BU3670" s="2"/>
      <c r="BV3670" s="2"/>
      <c r="BW3670" s="2"/>
      <c r="BX3670" s="2"/>
      <c r="BY3670" s="2">
        <v>1200</v>
      </c>
      <c r="BZ3670" s="2"/>
      <c r="CA3670" s="2"/>
      <c r="CB3670" s="2"/>
      <c r="CC3670" s="2" t="s">
        <v>238</v>
      </c>
      <c r="CD3670" s="2">
        <v>3610</v>
      </c>
      <c r="CE3670" s="2" t="s">
        <v>104</v>
      </c>
      <c r="CF3670" s="2"/>
      <c r="CG3670" s="2"/>
      <c r="CH3670" s="2"/>
      <c r="CI3670" s="2">
        <v>1</v>
      </c>
      <c r="CJ3670" s="2" t="s">
        <v>1200</v>
      </c>
      <c r="CK3670" s="2">
        <v>21</v>
      </c>
      <c r="CL3670" s="2" t="s">
        <v>86</v>
      </c>
      <c r="CM3670" s="2"/>
    </row>
    <row r="3671" spans="1:91">
      <c r="A3671" s="2" t="s">
        <v>71</v>
      </c>
      <c r="B3671" s="2" t="s">
        <v>72</v>
      </c>
      <c r="C3671" s="2" t="s">
        <v>73</v>
      </c>
      <c r="D3671" s="2"/>
      <c r="E3671" s="2" t="str">
        <f>"FES1162572499"</f>
        <v>FES1162572499</v>
      </c>
      <c r="F3671" s="3">
        <v>42978</v>
      </c>
      <c r="G3671" s="2">
        <v>201802</v>
      </c>
      <c r="H3671" s="2" t="s">
        <v>74</v>
      </c>
      <c r="I3671" s="2" t="s">
        <v>75</v>
      </c>
      <c r="J3671" s="2" t="s">
        <v>76</v>
      </c>
      <c r="K3671" s="2" t="s">
        <v>77</v>
      </c>
      <c r="L3671" s="2" t="s">
        <v>343</v>
      </c>
      <c r="M3671" s="2" t="s">
        <v>344</v>
      </c>
      <c r="N3671" s="2" t="s">
        <v>345</v>
      </c>
      <c r="O3671" s="2" t="s">
        <v>100</v>
      </c>
      <c r="P3671" s="2" t="str">
        <f>"2170588061                    "</f>
        <v xml:space="preserve">2170588061                    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4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0</v>
      </c>
      <c r="BD3671" s="2">
        <v>0</v>
      </c>
      <c r="BE3671" s="2">
        <v>0</v>
      </c>
      <c r="BF3671" s="2">
        <v>0</v>
      </c>
      <c r="BG3671" s="2">
        <v>0</v>
      </c>
      <c r="BH3671" s="2">
        <v>1</v>
      </c>
      <c r="BI3671" s="2">
        <v>1</v>
      </c>
      <c r="BJ3671" s="2">
        <v>0.2</v>
      </c>
      <c r="BK3671" s="2">
        <v>1</v>
      </c>
      <c r="BL3671" s="2">
        <v>41.44</v>
      </c>
      <c r="BM3671" s="2">
        <v>5.8</v>
      </c>
      <c r="BN3671" s="2">
        <v>47.24</v>
      </c>
      <c r="BO3671" s="2">
        <v>47.24</v>
      </c>
      <c r="BP3671" s="2"/>
      <c r="BQ3671" s="2" t="s">
        <v>3000</v>
      </c>
      <c r="BR3671" s="2" t="s">
        <v>84</v>
      </c>
      <c r="BS3671" s="1" t="s">
        <v>1200</v>
      </c>
      <c r="BT3671" s="2"/>
      <c r="BU3671" s="2"/>
      <c r="BV3671" s="2"/>
      <c r="BW3671" s="2"/>
      <c r="BX3671" s="2"/>
      <c r="BY3671" s="2">
        <v>1200</v>
      </c>
      <c r="BZ3671" s="2"/>
      <c r="CA3671" s="2"/>
      <c r="CB3671" s="2"/>
      <c r="CC3671" s="2" t="s">
        <v>344</v>
      </c>
      <c r="CD3671" s="2">
        <v>4133</v>
      </c>
      <c r="CE3671" s="2" t="s">
        <v>104</v>
      </c>
      <c r="CF3671" s="2"/>
      <c r="CG3671" s="2"/>
      <c r="CH3671" s="2"/>
      <c r="CI3671" s="2">
        <v>1</v>
      </c>
      <c r="CJ3671" s="2" t="s">
        <v>1200</v>
      </c>
      <c r="CK3671" s="2">
        <v>21</v>
      </c>
      <c r="CL3671" s="2" t="s">
        <v>86</v>
      </c>
      <c r="CM3671" s="2"/>
    </row>
    <row r="3672" spans="1:91">
      <c r="A3672" s="2" t="s">
        <v>71</v>
      </c>
      <c r="B3672" s="2" t="s">
        <v>72</v>
      </c>
      <c r="C3672" s="2" t="s">
        <v>73</v>
      </c>
      <c r="D3672" s="2"/>
      <c r="E3672" s="2" t="str">
        <f>"FES1162572595"</f>
        <v>FES1162572595</v>
      </c>
      <c r="F3672" s="3">
        <v>42978</v>
      </c>
      <c r="G3672" s="2">
        <v>201802</v>
      </c>
      <c r="H3672" s="2" t="s">
        <v>74</v>
      </c>
      <c r="I3672" s="2" t="s">
        <v>75</v>
      </c>
      <c r="J3672" s="2" t="s">
        <v>76</v>
      </c>
      <c r="K3672" s="2" t="s">
        <v>77</v>
      </c>
      <c r="L3672" s="2" t="s">
        <v>105</v>
      </c>
      <c r="M3672" s="2" t="s">
        <v>106</v>
      </c>
      <c r="N3672" s="2" t="s">
        <v>397</v>
      </c>
      <c r="O3672" s="2" t="s">
        <v>100</v>
      </c>
      <c r="P3672" s="2" t="str">
        <f>"2170588122                    "</f>
        <v xml:space="preserve">2170588122                    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4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0</v>
      </c>
      <c r="BE3672" s="2">
        <v>0</v>
      </c>
      <c r="BF3672" s="2">
        <v>0</v>
      </c>
      <c r="BG3672" s="2">
        <v>0</v>
      </c>
      <c r="BH3672" s="2">
        <v>1</v>
      </c>
      <c r="BI3672" s="2">
        <v>1</v>
      </c>
      <c r="BJ3672" s="2">
        <v>0.2</v>
      </c>
      <c r="BK3672" s="2">
        <v>1</v>
      </c>
      <c r="BL3672" s="2">
        <v>41.44</v>
      </c>
      <c r="BM3672" s="2">
        <v>5.8</v>
      </c>
      <c r="BN3672" s="2">
        <v>47.24</v>
      </c>
      <c r="BO3672" s="2">
        <v>47.24</v>
      </c>
      <c r="BP3672" s="2"/>
      <c r="BQ3672" s="2" t="s">
        <v>83</v>
      </c>
      <c r="BR3672" s="2" t="s">
        <v>84</v>
      </c>
      <c r="BS3672" s="3">
        <v>42979</v>
      </c>
      <c r="BT3672" s="4">
        <v>0.31597222222222221</v>
      </c>
      <c r="BU3672" s="2" t="s">
        <v>408</v>
      </c>
      <c r="BV3672" s="2" t="s">
        <v>95</v>
      </c>
      <c r="BW3672" s="2"/>
      <c r="BX3672" s="2"/>
      <c r="BY3672" s="2">
        <v>1200</v>
      </c>
      <c r="BZ3672" s="2"/>
      <c r="CA3672" s="2" t="s">
        <v>112</v>
      </c>
      <c r="CB3672" s="2"/>
      <c r="CC3672" s="2" t="s">
        <v>106</v>
      </c>
      <c r="CD3672" s="2">
        <v>7405</v>
      </c>
      <c r="CE3672" s="2" t="s">
        <v>104</v>
      </c>
      <c r="CF3672" s="2"/>
      <c r="CG3672" s="2"/>
      <c r="CH3672" s="2"/>
      <c r="CI3672" s="2">
        <v>1</v>
      </c>
      <c r="CJ3672" s="2">
        <v>1</v>
      </c>
      <c r="CK3672" s="2">
        <v>21</v>
      </c>
      <c r="CL3672" s="2" t="s">
        <v>86</v>
      </c>
      <c r="CM3672" s="2"/>
    </row>
    <row r="3673" spans="1:91">
      <c r="A3673" s="2" t="s">
        <v>71</v>
      </c>
      <c r="B3673" s="2" t="s">
        <v>72</v>
      </c>
      <c r="C3673" s="2" t="s">
        <v>73</v>
      </c>
      <c r="D3673" s="2"/>
      <c r="E3673" s="2" t="str">
        <f>"FES1162572603"</f>
        <v>FES1162572603</v>
      </c>
      <c r="F3673" s="3">
        <v>42978</v>
      </c>
      <c r="G3673" s="2">
        <v>201802</v>
      </c>
      <c r="H3673" s="2" t="s">
        <v>74</v>
      </c>
      <c r="I3673" s="2" t="s">
        <v>75</v>
      </c>
      <c r="J3673" s="2" t="s">
        <v>76</v>
      </c>
      <c r="K3673" s="2" t="s">
        <v>77</v>
      </c>
      <c r="L3673" s="2" t="s">
        <v>437</v>
      </c>
      <c r="M3673" s="2" t="s">
        <v>438</v>
      </c>
      <c r="N3673" s="2" t="s">
        <v>749</v>
      </c>
      <c r="O3673" s="2" t="s">
        <v>100</v>
      </c>
      <c r="P3673" s="2" t="str">
        <f>"2170588129                    "</f>
        <v xml:space="preserve">2170588129                    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5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0</v>
      </c>
      <c r="BD3673" s="2">
        <v>0</v>
      </c>
      <c r="BE3673" s="2">
        <v>0</v>
      </c>
      <c r="BF3673" s="2">
        <v>0</v>
      </c>
      <c r="BG3673" s="2">
        <v>0</v>
      </c>
      <c r="BH3673" s="2">
        <v>1</v>
      </c>
      <c r="BI3673" s="2">
        <v>2.2999999999999998</v>
      </c>
      <c r="BJ3673" s="2">
        <v>1.7</v>
      </c>
      <c r="BK3673" s="2">
        <v>2.5</v>
      </c>
      <c r="BL3673" s="2">
        <v>51.8</v>
      </c>
      <c r="BM3673" s="2">
        <v>7.25</v>
      </c>
      <c r="BN3673" s="2">
        <v>59.05</v>
      </c>
      <c r="BO3673" s="2">
        <v>59.05</v>
      </c>
      <c r="BP3673" s="2"/>
      <c r="BQ3673" s="2" t="s">
        <v>108</v>
      </c>
      <c r="BR3673" s="2" t="s">
        <v>84</v>
      </c>
      <c r="BS3673" s="1" t="s">
        <v>1200</v>
      </c>
      <c r="BT3673" s="2"/>
      <c r="BU3673" s="2"/>
      <c r="BV3673" s="2"/>
      <c r="BW3673" s="2"/>
      <c r="BX3673" s="2"/>
      <c r="BY3673" s="2">
        <v>8537.76</v>
      </c>
      <c r="BZ3673" s="2"/>
      <c r="CA3673" s="2"/>
      <c r="CB3673" s="2"/>
      <c r="CC3673" s="2" t="s">
        <v>438</v>
      </c>
      <c r="CD3673" s="2">
        <v>6536</v>
      </c>
      <c r="CE3673" s="2" t="s">
        <v>89</v>
      </c>
      <c r="CF3673" s="2"/>
      <c r="CG3673" s="2"/>
      <c r="CH3673" s="2"/>
      <c r="CI3673" s="2">
        <v>1</v>
      </c>
      <c r="CJ3673" s="2" t="s">
        <v>1200</v>
      </c>
      <c r="CK3673" s="2">
        <v>21</v>
      </c>
      <c r="CL3673" s="2" t="s">
        <v>86</v>
      </c>
      <c r="CM3673" s="2"/>
    </row>
    <row r="3674" spans="1:91">
      <c r="A3674" s="2" t="s">
        <v>71</v>
      </c>
      <c r="B3674" s="2" t="s">
        <v>72</v>
      </c>
      <c r="C3674" s="2" t="s">
        <v>73</v>
      </c>
      <c r="D3674" s="2"/>
      <c r="E3674" s="2" t="str">
        <f>"FES1162572593"</f>
        <v>FES1162572593</v>
      </c>
      <c r="F3674" s="3">
        <v>42978</v>
      </c>
      <c r="G3674" s="2">
        <v>201802</v>
      </c>
      <c r="H3674" s="2" t="s">
        <v>74</v>
      </c>
      <c r="I3674" s="2" t="s">
        <v>75</v>
      </c>
      <c r="J3674" s="2" t="s">
        <v>76</v>
      </c>
      <c r="K3674" s="2" t="s">
        <v>77</v>
      </c>
      <c r="L3674" s="2" t="s">
        <v>105</v>
      </c>
      <c r="M3674" s="2" t="s">
        <v>106</v>
      </c>
      <c r="N3674" s="2" t="s">
        <v>397</v>
      </c>
      <c r="O3674" s="2" t="s">
        <v>100</v>
      </c>
      <c r="P3674" s="2" t="str">
        <f>"2170588119                    "</f>
        <v xml:space="preserve">2170588119                    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7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1</v>
      </c>
      <c r="BI3674" s="2">
        <v>3.1</v>
      </c>
      <c r="BJ3674" s="2">
        <v>1.4</v>
      </c>
      <c r="BK3674" s="2">
        <v>3.5</v>
      </c>
      <c r="BL3674" s="2">
        <v>72.52</v>
      </c>
      <c r="BM3674" s="2">
        <v>10.15</v>
      </c>
      <c r="BN3674" s="2">
        <v>82.67</v>
      </c>
      <c r="BO3674" s="2">
        <v>82.67</v>
      </c>
      <c r="BP3674" s="2"/>
      <c r="BQ3674" s="2" t="s">
        <v>83</v>
      </c>
      <c r="BR3674" s="2" t="s">
        <v>84</v>
      </c>
      <c r="BS3674" s="3">
        <v>42979</v>
      </c>
      <c r="BT3674" s="4">
        <v>0.31597222222222221</v>
      </c>
      <c r="BU3674" s="2" t="s">
        <v>408</v>
      </c>
      <c r="BV3674" s="2" t="s">
        <v>95</v>
      </c>
      <c r="BW3674" s="2"/>
      <c r="BX3674" s="2"/>
      <c r="BY3674" s="2">
        <v>6947.97</v>
      </c>
      <c r="BZ3674" s="2"/>
      <c r="CA3674" s="2" t="s">
        <v>112</v>
      </c>
      <c r="CB3674" s="2"/>
      <c r="CC3674" s="2" t="s">
        <v>106</v>
      </c>
      <c r="CD3674" s="2">
        <v>7405</v>
      </c>
      <c r="CE3674" s="2" t="s">
        <v>89</v>
      </c>
      <c r="CF3674" s="2"/>
      <c r="CG3674" s="2"/>
      <c r="CH3674" s="2"/>
      <c r="CI3674" s="2">
        <v>1</v>
      </c>
      <c r="CJ3674" s="2">
        <v>1</v>
      </c>
      <c r="CK3674" s="2">
        <v>21</v>
      </c>
      <c r="CL3674" s="2" t="s">
        <v>86</v>
      </c>
      <c r="CM3674" s="2"/>
    </row>
    <row r="3675" spans="1:91">
      <c r="A3675" s="2" t="s">
        <v>71</v>
      </c>
      <c r="B3675" s="2" t="s">
        <v>72</v>
      </c>
      <c r="C3675" s="2" t="s">
        <v>73</v>
      </c>
      <c r="D3675" s="2"/>
      <c r="E3675" s="2" t="str">
        <f>"FES1162572460"</f>
        <v>FES1162572460</v>
      </c>
      <c r="F3675" s="3">
        <v>42978</v>
      </c>
      <c r="G3675" s="2">
        <v>201802</v>
      </c>
      <c r="H3675" s="2" t="s">
        <v>74</v>
      </c>
      <c r="I3675" s="2" t="s">
        <v>75</v>
      </c>
      <c r="J3675" s="2" t="s">
        <v>76</v>
      </c>
      <c r="K3675" s="2" t="s">
        <v>77</v>
      </c>
      <c r="L3675" s="2" t="s">
        <v>604</v>
      </c>
      <c r="M3675" s="2" t="s">
        <v>605</v>
      </c>
      <c r="N3675" s="2" t="s">
        <v>391</v>
      </c>
      <c r="O3675" s="2" t="s">
        <v>100</v>
      </c>
      <c r="P3675" s="2" t="str">
        <f>"2170587812                    "</f>
        <v xml:space="preserve">2170587812                    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31.02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0</v>
      </c>
      <c r="BD3675" s="2">
        <v>0</v>
      </c>
      <c r="BE3675" s="2">
        <v>0</v>
      </c>
      <c r="BF3675" s="2">
        <v>0</v>
      </c>
      <c r="BG3675" s="2">
        <v>0</v>
      </c>
      <c r="BH3675" s="2">
        <v>1</v>
      </c>
      <c r="BI3675" s="2">
        <v>15.3</v>
      </c>
      <c r="BJ3675" s="2">
        <v>7</v>
      </c>
      <c r="BK3675" s="2">
        <v>15.5</v>
      </c>
      <c r="BL3675" s="2">
        <v>321.18</v>
      </c>
      <c r="BM3675" s="2">
        <v>44.97</v>
      </c>
      <c r="BN3675" s="2">
        <v>366.15</v>
      </c>
      <c r="BO3675" s="2">
        <v>366.15</v>
      </c>
      <c r="BP3675" s="2"/>
      <c r="BQ3675" s="2" t="s">
        <v>288</v>
      </c>
      <c r="BR3675" s="2" t="s">
        <v>84</v>
      </c>
      <c r="BS3675" s="1" t="s">
        <v>1200</v>
      </c>
      <c r="BT3675" s="2"/>
      <c r="BU3675" s="2"/>
      <c r="BV3675" s="2"/>
      <c r="BW3675" s="2"/>
      <c r="BX3675" s="2"/>
      <c r="BY3675" s="2">
        <v>35163.519999999997</v>
      </c>
      <c r="BZ3675" s="2"/>
      <c r="CA3675" s="2"/>
      <c r="CB3675" s="2"/>
      <c r="CC3675" s="2" t="s">
        <v>605</v>
      </c>
      <c r="CD3675" s="2">
        <v>4126</v>
      </c>
      <c r="CE3675" s="2" t="s">
        <v>948</v>
      </c>
      <c r="CF3675" s="2"/>
      <c r="CG3675" s="2"/>
      <c r="CH3675" s="2"/>
      <c r="CI3675" s="2">
        <v>1</v>
      </c>
      <c r="CJ3675" s="2" t="s">
        <v>1200</v>
      </c>
      <c r="CK3675" s="2">
        <v>21</v>
      </c>
      <c r="CL3675" s="2" t="s">
        <v>86</v>
      </c>
      <c r="CM3675" s="2"/>
    </row>
    <row r="3676" spans="1:91">
      <c r="A3676" s="2" t="s">
        <v>71</v>
      </c>
      <c r="B3676" s="2" t="s">
        <v>72</v>
      </c>
      <c r="C3676" s="2" t="s">
        <v>73</v>
      </c>
      <c r="D3676" s="2"/>
      <c r="E3676" s="2" t="str">
        <f>"FES1162572594"</f>
        <v>FES1162572594</v>
      </c>
      <c r="F3676" s="3">
        <v>42978</v>
      </c>
      <c r="G3676" s="2">
        <v>201802</v>
      </c>
      <c r="H3676" s="2" t="s">
        <v>74</v>
      </c>
      <c r="I3676" s="2" t="s">
        <v>75</v>
      </c>
      <c r="J3676" s="2" t="s">
        <v>76</v>
      </c>
      <c r="K3676" s="2" t="s">
        <v>77</v>
      </c>
      <c r="L3676" s="2" t="s">
        <v>723</v>
      </c>
      <c r="M3676" s="2" t="s">
        <v>724</v>
      </c>
      <c r="N3676" s="2" t="s">
        <v>2327</v>
      </c>
      <c r="O3676" s="2" t="s">
        <v>100</v>
      </c>
      <c r="P3676" s="2" t="str">
        <f>"2170588120                    "</f>
        <v xml:space="preserve">2170588120                    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8.3699999999999992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0</v>
      </c>
      <c r="BD3676" s="2">
        <v>0</v>
      </c>
      <c r="BE3676" s="2">
        <v>0</v>
      </c>
      <c r="BF3676" s="2">
        <v>0</v>
      </c>
      <c r="BG3676" s="2">
        <v>0</v>
      </c>
      <c r="BH3676" s="2">
        <v>1</v>
      </c>
      <c r="BI3676" s="2">
        <v>3</v>
      </c>
      <c r="BJ3676" s="2">
        <v>1.1000000000000001</v>
      </c>
      <c r="BK3676" s="2">
        <v>3</v>
      </c>
      <c r="BL3676" s="2">
        <v>86.66</v>
      </c>
      <c r="BM3676" s="2">
        <v>12.13</v>
      </c>
      <c r="BN3676" s="2">
        <v>98.79</v>
      </c>
      <c r="BO3676" s="2">
        <v>98.79</v>
      </c>
      <c r="BP3676" s="2"/>
      <c r="BQ3676" s="2" t="s">
        <v>108</v>
      </c>
      <c r="BR3676" s="2" t="s">
        <v>84</v>
      </c>
      <c r="BS3676" s="1" t="s">
        <v>1200</v>
      </c>
      <c r="BT3676" s="2"/>
      <c r="BU3676" s="2"/>
      <c r="BV3676" s="2"/>
      <c r="BW3676" s="2"/>
      <c r="BX3676" s="2"/>
      <c r="BY3676" s="2">
        <v>5324</v>
      </c>
      <c r="BZ3676" s="2"/>
      <c r="CA3676" s="2"/>
      <c r="CB3676" s="2"/>
      <c r="CC3676" s="2" t="s">
        <v>724</v>
      </c>
      <c r="CD3676" s="2">
        <v>1739</v>
      </c>
      <c r="CE3676" s="2" t="s">
        <v>135</v>
      </c>
      <c r="CF3676" s="2"/>
      <c r="CG3676" s="2"/>
      <c r="CH3676" s="2"/>
      <c r="CI3676" s="2">
        <v>1</v>
      </c>
      <c r="CJ3676" s="2" t="s">
        <v>1200</v>
      </c>
      <c r="CK3676" s="2">
        <v>24</v>
      </c>
      <c r="CL3676" s="2" t="s">
        <v>86</v>
      </c>
      <c r="CM3676" s="2"/>
    </row>
    <row r="3677" spans="1:91">
      <c r="A3677" s="2" t="s">
        <v>71</v>
      </c>
      <c r="B3677" s="2" t="s">
        <v>72</v>
      </c>
      <c r="C3677" s="2" t="s">
        <v>73</v>
      </c>
      <c r="D3677" s="2"/>
      <c r="E3677" s="2" t="str">
        <f>"FES1162572590"</f>
        <v>FES1162572590</v>
      </c>
      <c r="F3677" s="3">
        <v>42978</v>
      </c>
      <c r="G3677" s="2">
        <v>201802</v>
      </c>
      <c r="H3677" s="2" t="s">
        <v>74</v>
      </c>
      <c r="I3677" s="2" t="s">
        <v>75</v>
      </c>
      <c r="J3677" s="2" t="s">
        <v>76</v>
      </c>
      <c r="K3677" s="2" t="s">
        <v>77</v>
      </c>
      <c r="L3677" s="2" t="s">
        <v>723</v>
      </c>
      <c r="M3677" s="2" t="s">
        <v>724</v>
      </c>
      <c r="N3677" s="2" t="s">
        <v>2327</v>
      </c>
      <c r="O3677" s="2" t="s">
        <v>100</v>
      </c>
      <c r="P3677" s="2" t="str">
        <f>"2170588108                    "</f>
        <v xml:space="preserve">2170588108                    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9.74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0</v>
      </c>
      <c r="BD3677" s="2">
        <v>0</v>
      </c>
      <c r="BE3677" s="2">
        <v>0</v>
      </c>
      <c r="BF3677" s="2">
        <v>0</v>
      </c>
      <c r="BG3677" s="2">
        <v>0</v>
      </c>
      <c r="BH3677" s="2">
        <v>1</v>
      </c>
      <c r="BI3677" s="2">
        <v>2.4</v>
      </c>
      <c r="BJ3677" s="2">
        <v>3.4</v>
      </c>
      <c r="BK3677" s="2">
        <v>3.5</v>
      </c>
      <c r="BL3677" s="2">
        <v>100.85</v>
      </c>
      <c r="BM3677" s="2">
        <v>14.12</v>
      </c>
      <c r="BN3677" s="2">
        <v>114.97</v>
      </c>
      <c r="BO3677" s="2">
        <v>114.97</v>
      </c>
      <c r="BP3677" s="2"/>
      <c r="BQ3677" s="2" t="s">
        <v>108</v>
      </c>
      <c r="BR3677" s="2" t="s">
        <v>84</v>
      </c>
      <c r="BS3677" s="1" t="s">
        <v>1200</v>
      </c>
      <c r="BT3677" s="2"/>
      <c r="BU3677" s="2"/>
      <c r="BV3677" s="2"/>
      <c r="BW3677" s="2"/>
      <c r="BX3677" s="2"/>
      <c r="BY3677" s="2">
        <v>16968.59</v>
      </c>
      <c r="BZ3677" s="2"/>
      <c r="CA3677" s="2"/>
      <c r="CB3677" s="2"/>
      <c r="CC3677" s="2" t="s">
        <v>724</v>
      </c>
      <c r="CD3677" s="2">
        <v>1739</v>
      </c>
      <c r="CE3677" s="2" t="s">
        <v>89</v>
      </c>
      <c r="CF3677" s="2"/>
      <c r="CG3677" s="2"/>
      <c r="CH3677" s="2"/>
      <c r="CI3677" s="2">
        <v>1</v>
      </c>
      <c r="CJ3677" s="2" t="s">
        <v>1200</v>
      </c>
      <c r="CK3677" s="2">
        <v>24</v>
      </c>
      <c r="CL3677" s="2" t="s">
        <v>86</v>
      </c>
      <c r="CM3677" s="2"/>
    </row>
    <row r="3678" spans="1:91">
      <c r="A3678" s="2" t="s">
        <v>71</v>
      </c>
      <c r="B3678" s="2" t="s">
        <v>72</v>
      </c>
      <c r="C3678" s="2" t="s">
        <v>73</v>
      </c>
      <c r="D3678" s="2"/>
      <c r="E3678" s="2" t="str">
        <f>"FES1162572537"</f>
        <v>FES1162572537</v>
      </c>
      <c r="F3678" s="3">
        <v>42978</v>
      </c>
      <c r="G3678" s="2">
        <v>201802</v>
      </c>
      <c r="H3678" s="2" t="s">
        <v>74</v>
      </c>
      <c r="I3678" s="2" t="s">
        <v>75</v>
      </c>
      <c r="J3678" s="2" t="s">
        <v>76</v>
      </c>
      <c r="K3678" s="2" t="s">
        <v>77</v>
      </c>
      <c r="L3678" s="2" t="s">
        <v>174</v>
      </c>
      <c r="M3678" s="2" t="s">
        <v>175</v>
      </c>
      <c r="N3678" s="2" t="s">
        <v>920</v>
      </c>
      <c r="O3678" s="2" t="s">
        <v>100</v>
      </c>
      <c r="P3678" s="2" t="str">
        <f>"2170585539                    "</f>
        <v xml:space="preserve">2170585539                    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36.020000000000003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1</v>
      </c>
      <c r="BI3678" s="2">
        <v>4.5999999999999996</v>
      </c>
      <c r="BJ3678" s="2">
        <v>17.8</v>
      </c>
      <c r="BK3678" s="2">
        <v>18</v>
      </c>
      <c r="BL3678" s="2">
        <v>372.98</v>
      </c>
      <c r="BM3678" s="2">
        <v>52.22</v>
      </c>
      <c r="BN3678" s="2">
        <v>425.2</v>
      </c>
      <c r="BO3678" s="2">
        <v>425.2</v>
      </c>
      <c r="BP3678" s="2"/>
      <c r="BQ3678" s="2" t="s">
        <v>108</v>
      </c>
      <c r="BR3678" s="2" t="s">
        <v>84</v>
      </c>
      <c r="BS3678" s="1" t="s">
        <v>1200</v>
      </c>
      <c r="BT3678" s="2"/>
      <c r="BU3678" s="2"/>
      <c r="BV3678" s="2"/>
      <c r="BW3678" s="2"/>
      <c r="BX3678" s="2"/>
      <c r="BY3678" s="2">
        <v>89091.48</v>
      </c>
      <c r="BZ3678" s="2"/>
      <c r="CA3678" s="2"/>
      <c r="CB3678" s="2"/>
      <c r="CC3678" s="2" t="s">
        <v>175</v>
      </c>
      <c r="CD3678" s="2">
        <v>5201</v>
      </c>
      <c r="CE3678" s="2" t="s">
        <v>89</v>
      </c>
      <c r="CF3678" s="2"/>
      <c r="CG3678" s="2"/>
      <c r="CH3678" s="2"/>
      <c r="CI3678" s="2">
        <v>1</v>
      </c>
      <c r="CJ3678" s="2" t="s">
        <v>1200</v>
      </c>
      <c r="CK3678" s="2">
        <v>21</v>
      </c>
      <c r="CL3678" s="2" t="s">
        <v>86</v>
      </c>
      <c r="CM3678" s="2"/>
    </row>
    <row r="3679" spans="1:91">
      <c r="A3679" s="2" t="s">
        <v>71</v>
      </c>
      <c r="B3679" s="2" t="s">
        <v>72</v>
      </c>
      <c r="C3679" s="2" t="s">
        <v>73</v>
      </c>
      <c r="D3679" s="2"/>
      <c r="E3679" s="2" t="str">
        <f>"FES1162572606"</f>
        <v>FES1162572606</v>
      </c>
      <c r="F3679" s="3">
        <v>42978</v>
      </c>
      <c r="G3679" s="2">
        <v>201802</v>
      </c>
      <c r="H3679" s="2" t="s">
        <v>74</v>
      </c>
      <c r="I3679" s="2" t="s">
        <v>75</v>
      </c>
      <c r="J3679" s="2" t="s">
        <v>76</v>
      </c>
      <c r="K3679" s="2" t="s">
        <v>77</v>
      </c>
      <c r="L3679" s="2" t="s">
        <v>105</v>
      </c>
      <c r="M3679" s="2" t="s">
        <v>106</v>
      </c>
      <c r="N3679" s="2" t="s">
        <v>2429</v>
      </c>
      <c r="O3679" s="2" t="s">
        <v>100</v>
      </c>
      <c r="P3679" s="2" t="str">
        <f>"2170587889                    "</f>
        <v xml:space="preserve">2170587889                    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13.01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2">
        <v>0</v>
      </c>
      <c r="BD3679" s="2">
        <v>0</v>
      </c>
      <c r="BE3679" s="2">
        <v>0</v>
      </c>
      <c r="BF3679" s="2">
        <v>0</v>
      </c>
      <c r="BG3679" s="2">
        <v>0</v>
      </c>
      <c r="BH3679" s="2">
        <v>1</v>
      </c>
      <c r="BI3679" s="2">
        <v>2.8</v>
      </c>
      <c r="BJ3679" s="2">
        <v>6.1</v>
      </c>
      <c r="BK3679" s="2">
        <v>6.5</v>
      </c>
      <c r="BL3679" s="2">
        <v>134.69</v>
      </c>
      <c r="BM3679" s="2">
        <v>18.86</v>
      </c>
      <c r="BN3679" s="2">
        <v>153.55000000000001</v>
      </c>
      <c r="BO3679" s="2">
        <v>153.55000000000001</v>
      </c>
      <c r="BP3679" s="2"/>
      <c r="BQ3679" s="2" t="s">
        <v>108</v>
      </c>
      <c r="BR3679" s="2" t="s">
        <v>84</v>
      </c>
      <c r="BS3679" s="1" t="s">
        <v>1200</v>
      </c>
      <c r="BT3679" s="2"/>
      <c r="BU3679" s="2"/>
      <c r="BV3679" s="2"/>
      <c r="BW3679" s="2"/>
      <c r="BX3679" s="2"/>
      <c r="BY3679" s="2">
        <v>30310.560000000001</v>
      </c>
      <c r="BZ3679" s="2"/>
      <c r="CA3679" s="2"/>
      <c r="CB3679" s="2"/>
      <c r="CC3679" s="2" t="s">
        <v>106</v>
      </c>
      <c r="CD3679" s="2">
        <v>7530</v>
      </c>
      <c r="CE3679" s="2" t="s">
        <v>948</v>
      </c>
      <c r="CF3679" s="2"/>
      <c r="CG3679" s="2"/>
      <c r="CH3679" s="2"/>
      <c r="CI3679" s="2">
        <v>1</v>
      </c>
      <c r="CJ3679" s="2" t="s">
        <v>1200</v>
      </c>
      <c r="CK3679" s="2">
        <v>21</v>
      </c>
      <c r="CL3679" s="2" t="s">
        <v>86</v>
      </c>
      <c r="CM3679" s="2"/>
    </row>
    <row r="3680" spans="1:91">
      <c r="A3680" s="2" t="s">
        <v>71</v>
      </c>
      <c r="B3680" s="2" t="s">
        <v>72</v>
      </c>
      <c r="C3680" s="2" t="s">
        <v>73</v>
      </c>
      <c r="D3680" s="2"/>
      <c r="E3680" s="2" t="str">
        <f>"FES1162572623"</f>
        <v>FES1162572623</v>
      </c>
      <c r="F3680" s="3">
        <v>42978</v>
      </c>
      <c r="G3680" s="2">
        <v>201802</v>
      </c>
      <c r="H3680" s="2" t="s">
        <v>74</v>
      </c>
      <c r="I3680" s="2" t="s">
        <v>75</v>
      </c>
      <c r="J3680" s="2" t="s">
        <v>76</v>
      </c>
      <c r="K3680" s="2" t="s">
        <v>77</v>
      </c>
      <c r="L3680" s="2" t="s">
        <v>417</v>
      </c>
      <c r="M3680" s="2" t="s">
        <v>417</v>
      </c>
      <c r="N3680" s="2" t="s">
        <v>475</v>
      </c>
      <c r="O3680" s="2" t="s">
        <v>100</v>
      </c>
      <c r="P3680" s="2" t="str">
        <f>"2170587990                    "</f>
        <v xml:space="preserve">2170587990                    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4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0</v>
      </c>
      <c r="BD3680" s="2">
        <v>0</v>
      </c>
      <c r="BE3680" s="2">
        <v>0</v>
      </c>
      <c r="BF3680" s="2">
        <v>0</v>
      </c>
      <c r="BG3680" s="2">
        <v>0</v>
      </c>
      <c r="BH3680" s="2">
        <v>1</v>
      </c>
      <c r="BI3680" s="2">
        <v>1.5</v>
      </c>
      <c r="BJ3680" s="2">
        <v>1.5</v>
      </c>
      <c r="BK3680" s="2">
        <v>1.5</v>
      </c>
      <c r="BL3680" s="2">
        <v>41.44</v>
      </c>
      <c r="BM3680" s="2">
        <v>5.8</v>
      </c>
      <c r="BN3680" s="2">
        <v>47.24</v>
      </c>
      <c r="BO3680" s="2">
        <v>47.24</v>
      </c>
      <c r="BP3680" s="2"/>
      <c r="BQ3680" s="2" t="s">
        <v>108</v>
      </c>
      <c r="BR3680" s="2" t="s">
        <v>84</v>
      </c>
      <c r="BS3680" s="1" t="s">
        <v>1200</v>
      </c>
      <c r="BT3680" s="2"/>
      <c r="BU3680" s="2"/>
      <c r="BV3680" s="2"/>
      <c r="BW3680" s="2"/>
      <c r="BX3680" s="2"/>
      <c r="BY3680" s="2">
        <v>7522.73</v>
      </c>
      <c r="BZ3680" s="2"/>
      <c r="CA3680" s="2"/>
      <c r="CB3680" s="2"/>
      <c r="CC3680" s="2" t="s">
        <v>417</v>
      </c>
      <c r="CD3680" s="2">
        <v>7646</v>
      </c>
      <c r="CE3680" s="2" t="s">
        <v>89</v>
      </c>
      <c r="CF3680" s="2"/>
      <c r="CG3680" s="2"/>
      <c r="CH3680" s="2"/>
      <c r="CI3680" s="2">
        <v>1</v>
      </c>
      <c r="CJ3680" s="2" t="s">
        <v>1200</v>
      </c>
      <c r="CK3680" s="2">
        <v>21</v>
      </c>
      <c r="CL3680" s="2" t="s">
        <v>86</v>
      </c>
      <c r="CM3680" s="2"/>
    </row>
    <row r="3681" spans="1:91">
      <c r="A3681" s="2" t="s">
        <v>71</v>
      </c>
      <c r="B3681" s="2" t="s">
        <v>72</v>
      </c>
      <c r="C3681" s="2" t="s">
        <v>73</v>
      </c>
      <c r="D3681" s="2"/>
      <c r="E3681" s="2" t="str">
        <f>"FES1162572629"</f>
        <v>FES1162572629</v>
      </c>
      <c r="F3681" s="3">
        <v>42978</v>
      </c>
      <c r="G3681" s="2">
        <v>201802</v>
      </c>
      <c r="H3681" s="2" t="s">
        <v>74</v>
      </c>
      <c r="I3681" s="2" t="s">
        <v>75</v>
      </c>
      <c r="J3681" s="2" t="s">
        <v>76</v>
      </c>
      <c r="K3681" s="2" t="s">
        <v>77</v>
      </c>
      <c r="L3681" s="2" t="s">
        <v>97</v>
      </c>
      <c r="M3681" s="2" t="s">
        <v>98</v>
      </c>
      <c r="N3681" s="2" t="s">
        <v>214</v>
      </c>
      <c r="O3681" s="2" t="s">
        <v>100</v>
      </c>
      <c r="P3681" s="2" t="str">
        <f>"2170588161                    "</f>
        <v xml:space="preserve">2170588161                    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4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0</v>
      </c>
      <c r="BD3681" s="2">
        <v>0</v>
      </c>
      <c r="BE3681" s="2">
        <v>0</v>
      </c>
      <c r="BF3681" s="2">
        <v>0</v>
      </c>
      <c r="BG3681" s="2">
        <v>0</v>
      </c>
      <c r="BH3681" s="2">
        <v>1</v>
      </c>
      <c r="BI3681" s="2">
        <v>1</v>
      </c>
      <c r="BJ3681" s="2">
        <v>0.2</v>
      </c>
      <c r="BK3681" s="2">
        <v>1</v>
      </c>
      <c r="BL3681" s="2">
        <v>41.44</v>
      </c>
      <c r="BM3681" s="2">
        <v>5.8</v>
      </c>
      <c r="BN3681" s="2">
        <v>47.24</v>
      </c>
      <c r="BO3681" s="2">
        <v>47.24</v>
      </c>
      <c r="BP3681" s="2"/>
      <c r="BQ3681" s="2" t="s">
        <v>108</v>
      </c>
      <c r="BR3681" s="2" t="s">
        <v>84</v>
      </c>
      <c r="BS3681" s="1" t="s">
        <v>1200</v>
      </c>
      <c r="BT3681" s="2"/>
      <c r="BU3681" s="2"/>
      <c r="BV3681" s="2"/>
      <c r="BW3681" s="2"/>
      <c r="BX3681" s="2"/>
      <c r="BY3681" s="2">
        <v>1200</v>
      </c>
      <c r="BZ3681" s="2"/>
      <c r="CA3681" s="2"/>
      <c r="CB3681" s="2"/>
      <c r="CC3681" s="2" t="s">
        <v>98</v>
      </c>
      <c r="CD3681" s="2">
        <v>6001</v>
      </c>
      <c r="CE3681" s="2" t="s">
        <v>104</v>
      </c>
      <c r="CF3681" s="2"/>
      <c r="CG3681" s="2"/>
      <c r="CH3681" s="2"/>
      <c r="CI3681" s="2">
        <v>1</v>
      </c>
      <c r="CJ3681" s="2" t="s">
        <v>1200</v>
      </c>
      <c r="CK3681" s="2">
        <v>21</v>
      </c>
      <c r="CL3681" s="2" t="s">
        <v>86</v>
      </c>
      <c r="CM3681" s="2"/>
    </row>
    <row r="3682" spans="1:91">
      <c r="A3682" s="2" t="s">
        <v>71</v>
      </c>
      <c r="B3682" s="2" t="s">
        <v>72</v>
      </c>
      <c r="C3682" s="2" t="s">
        <v>73</v>
      </c>
      <c r="D3682" s="2"/>
      <c r="E3682" s="2" t="str">
        <f>"FES1162572624"</f>
        <v>FES1162572624</v>
      </c>
      <c r="F3682" s="3">
        <v>42978</v>
      </c>
      <c r="G3682" s="2">
        <v>201802</v>
      </c>
      <c r="H3682" s="2" t="s">
        <v>74</v>
      </c>
      <c r="I3682" s="2" t="s">
        <v>75</v>
      </c>
      <c r="J3682" s="2" t="s">
        <v>76</v>
      </c>
      <c r="K3682" s="2" t="s">
        <v>77</v>
      </c>
      <c r="L3682" s="2" t="s">
        <v>417</v>
      </c>
      <c r="M3682" s="2" t="s">
        <v>417</v>
      </c>
      <c r="N3682" s="2" t="s">
        <v>475</v>
      </c>
      <c r="O3682" s="2" t="s">
        <v>100</v>
      </c>
      <c r="P3682" s="2" t="str">
        <f>"2170587986                    "</f>
        <v xml:space="preserve">2170587986                    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4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1</v>
      </c>
      <c r="BI3682" s="2">
        <v>1.5</v>
      </c>
      <c r="BJ3682" s="2">
        <v>1.6</v>
      </c>
      <c r="BK3682" s="2">
        <v>2</v>
      </c>
      <c r="BL3682" s="2">
        <v>41.44</v>
      </c>
      <c r="BM3682" s="2">
        <v>5.8</v>
      </c>
      <c r="BN3682" s="2">
        <v>47.24</v>
      </c>
      <c r="BO3682" s="2">
        <v>47.24</v>
      </c>
      <c r="BP3682" s="2"/>
      <c r="BQ3682" s="2" t="s">
        <v>108</v>
      </c>
      <c r="BR3682" s="2" t="s">
        <v>84</v>
      </c>
      <c r="BS3682" s="1" t="s">
        <v>1200</v>
      </c>
      <c r="BT3682" s="2"/>
      <c r="BU3682" s="2"/>
      <c r="BV3682" s="2"/>
      <c r="BW3682" s="2"/>
      <c r="BX3682" s="2"/>
      <c r="BY3682" s="2">
        <v>7803.09</v>
      </c>
      <c r="BZ3682" s="2"/>
      <c r="CA3682" s="2"/>
      <c r="CB3682" s="2"/>
      <c r="CC3682" s="2" t="s">
        <v>417</v>
      </c>
      <c r="CD3682" s="2">
        <v>7646</v>
      </c>
      <c r="CE3682" s="2" t="s">
        <v>89</v>
      </c>
      <c r="CF3682" s="2"/>
      <c r="CG3682" s="2"/>
      <c r="CH3682" s="2"/>
      <c r="CI3682" s="2">
        <v>1</v>
      </c>
      <c r="CJ3682" s="2" t="s">
        <v>1200</v>
      </c>
      <c r="CK3682" s="2">
        <v>21</v>
      </c>
      <c r="CL3682" s="2" t="s">
        <v>86</v>
      </c>
      <c r="CM3682" s="2"/>
    </row>
    <row r="3683" spans="1:91">
      <c r="A3683" s="2" t="s">
        <v>71</v>
      </c>
      <c r="B3683" s="2" t="s">
        <v>72</v>
      </c>
      <c r="C3683" s="2" t="s">
        <v>73</v>
      </c>
      <c r="D3683" s="2"/>
      <c r="E3683" s="2" t="str">
        <f>"FES1162572613"</f>
        <v>FES1162572613</v>
      </c>
      <c r="F3683" s="3">
        <v>42978</v>
      </c>
      <c r="G3683" s="2">
        <v>201802</v>
      </c>
      <c r="H3683" s="2" t="s">
        <v>74</v>
      </c>
      <c r="I3683" s="2" t="s">
        <v>75</v>
      </c>
      <c r="J3683" s="2" t="s">
        <v>76</v>
      </c>
      <c r="K3683" s="2" t="s">
        <v>77</v>
      </c>
      <c r="L3683" s="2" t="s">
        <v>231</v>
      </c>
      <c r="M3683" s="2" t="s">
        <v>232</v>
      </c>
      <c r="N3683" s="2" t="s">
        <v>233</v>
      </c>
      <c r="O3683" s="2" t="s">
        <v>100</v>
      </c>
      <c r="P3683" s="2" t="str">
        <f>"2170588141                    "</f>
        <v xml:space="preserve">2170588141                    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4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0</v>
      </c>
      <c r="BD3683" s="2">
        <v>0</v>
      </c>
      <c r="BE3683" s="2">
        <v>0</v>
      </c>
      <c r="BF3683" s="2">
        <v>0</v>
      </c>
      <c r="BG3683" s="2">
        <v>0</v>
      </c>
      <c r="BH3683" s="2">
        <v>1</v>
      </c>
      <c r="BI3683" s="2">
        <v>1</v>
      </c>
      <c r="BJ3683" s="2">
        <v>0.2</v>
      </c>
      <c r="BK3683" s="2">
        <v>1</v>
      </c>
      <c r="BL3683" s="2">
        <v>41.44</v>
      </c>
      <c r="BM3683" s="2">
        <v>5.8</v>
      </c>
      <c r="BN3683" s="2">
        <v>47.24</v>
      </c>
      <c r="BO3683" s="2">
        <v>47.24</v>
      </c>
      <c r="BP3683" s="2"/>
      <c r="BQ3683" s="2" t="s">
        <v>83</v>
      </c>
      <c r="BR3683" s="2" t="s">
        <v>84</v>
      </c>
      <c r="BS3683" s="1" t="s">
        <v>1200</v>
      </c>
      <c r="BT3683" s="2"/>
      <c r="BU3683" s="2"/>
      <c r="BV3683" s="2"/>
      <c r="BW3683" s="2"/>
      <c r="BX3683" s="2"/>
      <c r="BY3683" s="2">
        <v>1200</v>
      </c>
      <c r="BZ3683" s="2"/>
      <c r="CA3683" s="2"/>
      <c r="CB3683" s="2"/>
      <c r="CC3683" s="2" t="s">
        <v>232</v>
      </c>
      <c r="CD3683" s="2">
        <v>4026</v>
      </c>
      <c r="CE3683" s="2" t="s">
        <v>104</v>
      </c>
      <c r="CF3683" s="2"/>
      <c r="CG3683" s="2"/>
      <c r="CH3683" s="2"/>
      <c r="CI3683" s="2">
        <v>1</v>
      </c>
      <c r="CJ3683" s="2" t="s">
        <v>1200</v>
      </c>
      <c r="CK3683" s="2">
        <v>21</v>
      </c>
      <c r="CL3683" s="2" t="s">
        <v>86</v>
      </c>
      <c r="CM3683" s="2"/>
    </row>
    <row r="3684" spans="1:91">
      <c r="A3684" s="2" t="s">
        <v>71</v>
      </c>
      <c r="B3684" s="2" t="s">
        <v>72</v>
      </c>
      <c r="C3684" s="2" t="s">
        <v>73</v>
      </c>
      <c r="D3684" s="2"/>
      <c r="E3684" s="2" t="str">
        <f>"FES1162572483"</f>
        <v>FES1162572483</v>
      </c>
      <c r="F3684" s="3">
        <v>42978</v>
      </c>
      <c r="G3684" s="2">
        <v>201802</v>
      </c>
      <c r="H3684" s="2" t="s">
        <v>74</v>
      </c>
      <c r="I3684" s="2" t="s">
        <v>75</v>
      </c>
      <c r="J3684" s="2" t="s">
        <v>76</v>
      </c>
      <c r="K3684" s="2" t="s">
        <v>77</v>
      </c>
      <c r="L3684" s="2" t="s">
        <v>539</v>
      </c>
      <c r="M3684" s="2" t="s">
        <v>540</v>
      </c>
      <c r="N3684" s="2" t="s">
        <v>1633</v>
      </c>
      <c r="O3684" s="2" t="s">
        <v>100</v>
      </c>
      <c r="P3684" s="2" t="str">
        <f>"2170586369                    "</f>
        <v xml:space="preserve">2170586369                    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3.13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0</v>
      </c>
      <c r="BD3684" s="2">
        <v>0</v>
      </c>
      <c r="BE3684" s="2">
        <v>0</v>
      </c>
      <c r="BF3684" s="2">
        <v>0</v>
      </c>
      <c r="BG3684" s="2">
        <v>0</v>
      </c>
      <c r="BH3684" s="2">
        <v>1</v>
      </c>
      <c r="BI3684" s="2">
        <v>1</v>
      </c>
      <c r="BJ3684" s="2">
        <v>0.2</v>
      </c>
      <c r="BK3684" s="2">
        <v>1</v>
      </c>
      <c r="BL3684" s="2">
        <v>32.380000000000003</v>
      </c>
      <c r="BM3684" s="2">
        <v>4.53</v>
      </c>
      <c r="BN3684" s="2">
        <v>36.909999999999997</v>
      </c>
      <c r="BO3684" s="2">
        <v>36.909999999999997</v>
      </c>
      <c r="BP3684" s="2"/>
      <c r="BQ3684" s="2" t="s">
        <v>3605</v>
      </c>
      <c r="BR3684" s="2" t="s">
        <v>84</v>
      </c>
      <c r="BS3684" s="1" t="s">
        <v>1200</v>
      </c>
      <c r="BT3684" s="2"/>
      <c r="BU3684" s="2"/>
      <c r="BV3684" s="2"/>
      <c r="BW3684" s="2"/>
      <c r="BX3684" s="2"/>
      <c r="BY3684" s="2">
        <v>1200</v>
      </c>
      <c r="BZ3684" s="2"/>
      <c r="CA3684" s="2"/>
      <c r="CB3684" s="2"/>
      <c r="CC3684" s="2" t="s">
        <v>540</v>
      </c>
      <c r="CD3684" s="2">
        <v>2170</v>
      </c>
      <c r="CE3684" s="2" t="s">
        <v>104</v>
      </c>
      <c r="CF3684" s="2"/>
      <c r="CG3684" s="2"/>
      <c r="CH3684" s="2"/>
      <c r="CI3684" s="2">
        <v>1</v>
      </c>
      <c r="CJ3684" s="2" t="s">
        <v>1200</v>
      </c>
      <c r="CK3684" s="2">
        <v>22</v>
      </c>
      <c r="CL3684" s="2" t="s">
        <v>86</v>
      </c>
      <c r="CM3684" s="2"/>
    </row>
    <row r="3685" spans="1:91">
      <c r="A3685" s="2" t="s">
        <v>71</v>
      </c>
      <c r="B3685" s="2" t="s">
        <v>72</v>
      </c>
      <c r="C3685" s="2" t="s">
        <v>73</v>
      </c>
      <c r="D3685" s="2"/>
      <c r="E3685" s="2" t="str">
        <f>"FES1162572552"</f>
        <v>FES1162572552</v>
      </c>
      <c r="F3685" s="3">
        <v>42978</v>
      </c>
      <c r="G3685" s="2">
        <v>201802</v>
      </c>
      <c r="H3685" s="2" t="s">
        <v>74</v>
      </c>
      <c r="I3685" s="2" t="s">
        <v>75</v>
      </c>
      <c r="J3685" s="2" t="s">
        <v>76</v>
      </c>
      <c r="K3685" s="2" t="s">
        <v>77</v>
      </c>
      <c r="L3685" s="2" t="s">
        <v>216</v>
      </c>
      <c r="M3685" s="2" t="s">
        <v>217</v>
      </c>
      <c r="N3685" s="2" t="s">
        <v>351</v>
      </c>
      <c r="O3685" s="2" t="s">
        <v>100</v>
      </c>
      <c r="P3685" s="2" t="str">
        <f>"2170585759                    "</f>
        <v xml:space="preserve">2170585759                    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3.13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2">
        <v>0</v>
      </c>
      <c r="BD3685" s="2">
        <v>0</v>
      </c>
      <c r="BE3685" s="2">
        <v>0</v>
      </c>
      <c r="BF3685" s="2">
        <v>0</v>
      </c>
      <c r="BG3685" s="2">
        <v>0</v>
      </c>
      <c r="BH3685" s="2">
        <v>1</v>
      </c>
      <c r="BI3685" s="2">
        <v>1</v>
      </c>
      <c r="BJ3685" s="2">
        <v>0.2</v>
      </c>
      <c r="BK3685" s="2">
        <v>1</v>
      </c>
      <c r="BL3685" s="2">
        <v>32.380000000000003</v>
      </c>
      <c r="BM3685" s="2">
        <v>4.53</v>
      </c>
      <c r="BN3685" s="2">
        <v>36.909999999999997</v>
      </c>
      <c r="BO3685" s="2">
        <v>36.909999999999997</v>
      </c>
      <c r="BP3685" s="2"/>
      <c r="BQ3685" s="2"/>
      <c r="BR3685" s="2" t="s">
        <v>84</v>
      </c>
      <c r="BS3685" s="1" t="s">
        <v>1200</v>
      </c>
      <c r="BT3685" s="2"/>
      <c r="BU3685" s="2"/>
      <c r="BV3685" s="2"/>
      <c r="BW3685" s="2"/>
      <c r="BX3685" s="2"/>
      <c r="BY3685" s="2">
        <v>1200</v>
      </c>
      <c r="BZ3685" s="2"/>
      <c r="CA3685" s="2"/>
      <c r="CB3685" s="2"/>
      <c r="CC3685" s="2" t="s">
        <v>217</v>
      </c>
      <c r="CD3685" s="2">
        <v>1451</v>
      </c>
      <c r="CE3685" s="2" t="s">
        <v>104</v>
      </c>
      <c r="CF3685" s="2"/>
      <c r="CG3685" s="2"/>
      <c r="CH3685" s="2"/>
      <c r="CI3685" s="2">
        <v>1</v>
      </c>
      <c r="CJ3685" s="2" t="s">
        <v>1200</v>
      </c>
      <c r="CK3685" s="2">
        <v>22</v>
      </c>
      <c r="CL3685" s="2" t="s">
        <v>86</v>
      </c>
      <c r="CM3685" s="2"/>
    </row>
    <row r="3686" spans="1:91">
      <c r="A3686" s="2" t="s">
        <v>71</v>
      </c>
      <c r="B3686" s="2" t="s">
        <v>72</v>
      </c>
      <c r="C3686" s="2" t="s">
        <v>73</v>
      </c>
      <c r="D3686" s="2"/>
      <c r="E3686" s="2" t="str">
        <f>"FES1162572586"</f>
        <v>FES1162572586</v>
      </c>
      <c r="F3686" s="3">
        <v>42978</v>
      </c>
      <c r="G3686" s="2">
        <v>201802</v>
      </c>
      <c r="H3686" s="2" t="s">
        <v>74</v>
      </c>
      <c r="I3686" s="2" t="s">
        <v>75</v>
      </c>
      <c r="J3686" s="2" t="s">
        <v>76</v>
      </c>
      <c r="K3686" s="2" t="s">
        <v>77</v>
      </c>
      <c r="L3686" s="2" t="s">
        <v>510</v>
      </c>
      <c r="M3686" s="2" t="s">
        <v>511</v>
      </c>
      <c r="N3686" s="2" t="s">
        <v>2342</v>
      </c>
      <c r="O3686" s="2" t="s">
        <v>100</v>
      </c>
      <c r="P3686" s="2" t="str">
        <f>"2170587859                    "</f>
        <v xml:space="preserve">2170587859                    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7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0</v>
      </c>
      <c r="BD3686" s="2">
        <v>0</v>
      </c>
      <c r="BE3686" s="2">
        <v>0</v>
      </c>
      <c r="BF3686" s="2">
        <v>0</v>
      </c>
      <c r="BG3686" s="2">
        <v>0</v>
      </c>
      <c r="BH3686" s="2">
        <v>1</v>
      </c>
      <c r="BI3686" s="2">
        <v>3.4</v>
      </c>
      <c r="BJ3686" s="2">
        <v>1.2</v>
      </c>
      <c r="BK3686" s="2">
        <v>3.5</v>
      </c>
      <c r="BL3686" s="2">
        <v>72.52</v>
      </c>
      <c r="BM3686" s="2">
        <v>10.15</v>
      </c>
      <c r="BN3686" s="2">
        <v>82.67</v>
      </c>
      <c r="BO3686" s="2">
        <v>82.67</v>
      </c>
      <c r="BP3686" s="2"/>
      <c r="BQ3686" s="2"/>
      <c r="BR3686" s="2" t="s">
        <v>84</v>
      </c>
      <c r="BS3686" s="1" t="s">
        <v>1200</v>
      </c>
      <c r="BT3686" s="2"/>
      <c r="BU3686" s="2"/>
      <c r="BV3686" s="2"/>
      <c r="BW3686" s="2"/>
      <c r="BX3686" s="2"/>
      <c r="BY3686" s="2">
        <v>5797.69</v>
      </c>
      <c r="BZ3686" s="2"/>
      <c r="CA3686" s="2"/>
      <c r="CB3686" s="2"/>
      <c r="CC3686" s="2" t="s">
        <v>511</v>
      </c>
      <c r="CD3686" s="2">
        <v>6229</v>
      </c>
      <c r="CE3686" s="2" t="s">
        <v>948</v>
      </c>
      <c r="CF3686" s="2"/>
      <c r="CG3686" s="2"/>
      <c r="CH3686" s="2"/>
      <c r="CI3686" s="2">
        <v>1</v>
      </c>
      <c r="CJ3686" s="2" t="s">
        <v>1200</v>
      </c>
      <c r="CK3686" s="2">
        <v>21</v>
      </c>
      <c r="CL3686" s="2" t="s">
        <v>86</v>
      </c>
      <c r="CM3686" s="2"/>
    </row>
    <row r="3687" spans="1:91">
      <c r="A3687" s="2" t="s">
        <v>71</v>
      </c>
      <c r="B3687" s="2" t="s">
        <v>72</v>
      </c>
      <c r="C3687" s="2" t="s">
        <v>73</v>
      </c>
      <c r="D3687" s="2"/>
      <c r="E3687" s="2" t="str">
        <f>"FES1162572645"</f>
        <v>FES1162572645</v>
      </c>
      <c r="F3687" s="3">
        <v>42978</v>
      </c>
      <c r="G3687" s="2">
        <v>201802</v>
      </c>
      <c r="H3687" s="2" t="s">
        <v>74</v>
      </c>
      <c r="I3687" s="2" t="s">
        <v>75</v>
      </c>
      <c r="J3687" s="2" t="s">
        <v>76</v>
      </c>
      <c r="K3687" s="2" t="s">
        <v>77</v>
      </c>
      <c r="L3687" s="2" t="s">
        <v>97</v>
      </c>
      <c r="M3687" s="2" t="s">
        <v>98</v>
      </c>
      <c r="N3687" s="2" t="s">
        <v>1033</v>
      </c>
      <c r="O3687" s="2" t="s">
        <v>100</v>
      </c>
      <c r="P3687" s="2" t="str">
        <f>"2170588181                    "</f>
        <v xml:space="preserve">2170588181                    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8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0</v>
      </c>
      <c r="BD3687" s="2">
        <v>0</v>
      </c>
      <c r="BE3687" s="2">
        <v>0</v>
      </c>
      <c r="BF3687" s="2">
        <v>0</v>
      </c>
      <c r="BG3687" s="2">
        <v>0</v>
      </c>
      <c r="BH3687" s="2">
        <v>1</v>
      </c>
      <c r="BI3687" s="2">
        <v>3.9</v>
      </c>
      <c r="BJ3687" s="2">
        <v>1.8</v>
      </c>
      <c r="BK3687" s="2">
        <v>4</v>
      </c>
      <c r="BL3687" s="2">
        <v>82.88</v>
      </c>
      <c r="BM3687" s="2">
        <v>11.6</v>
      </c>
      <c r="BN3687" s="2">
        <v>94.48</v>
      </c>
      <c r="BO3687" s="2">
        <v>94.48</v>
      </c>
      <c r="BP3687" s="2"/>
      <c r="BQ3687" s="2" t="s">
        <v>83</v>
      </c>
      <c r="BR3687" s="2" t="s">
        <v>84</v>
      </c>
      <c r="BS3687" s="1" t="s">
        <v>1200</v>
      </c>
      <c r="BT3687" s="2"/>
      <c r="BU3687" s="2"/>
      <c r="BV3687" s="2"/>
      <c r="BW3687" s="2"/>
      <c r="BX3687" s="2"/>
      <c r="BY3687" s="2">
        <v>8779.86</v>
      </c>
      <c r="BZ3687" s="2"/>
      <c r="CA3687" s="2"/>
      <c r="CB3687" s="2"/>
      <c r="CC3687" s="2" t="s">
        <v>98</v>
      </c>
      <c r="CD3687" s="2">
        <v>6012</v>
      </c>
      <c r="CE3687" s="2" t="s">
        <v>89</v>
      </c>
      <c r="CF3687" s="2"/>
      <c r="CG3687" s="2"/>
      <c r="CH3687" s="2"/>
      <c r="CI3687" s="2">
        <v>1</v>
      </c>
      <c r="CJ3687" s="2" t="s">
        <v>1200</v>
      </c>
      <c r="CK3687" s="2">
        <v>21</v>
      </c>
      <c r="CL3687" s="2" t="s">
        <v>86</v>
      </c>
      <c r="CM3687" s="2"/>
    </row>
    <row r="3688" spans="1:91">
      <c r="A3688" s="2" t="s">
        <v>71</v>
      </c>
      <c r="B3688" s="2" t="s">
        <v>72</v>
      </c>
      <c r="C3688" s="2" t="s">
        <v>73</v>
      </c>
      <c r="D3688" s="2"/>
      <c r="E3688" s="2" t="str">
        <f>"FES1162572608"</f>
        <v>FES1162572608</v>
      </c>
      <c r="F3688" s="3">
        <v>42978</v>
      </c>
      <c r="G3688" s="2">
        <v>201802</v>
      </c>
      <c r="H3688" s="2" t="s">
        <v>74</v>
      </c>
      <c r="I3688" s="2" t="s">
        <v>75</v>
      </c>
      <c r="J3688" s="2" t="s">
        <v>76</v>
      </c>
      <c r="K3688" s="2" t="s">
        <v>77</v>
      </c>
      <c r="L3688" s="2" t="s">
        <v>437</v>
      </c>
      <c r="M3688" s="2" t="s">
        <v>438</v>
      </c>
      <c r="N3688" s="2" t="s">
        <v>749</v>
      </c>
      <c r="O3688" s="2" t="s">
        <v>100</v>
      </c>
      <c r="P3688" s="2" t="str">
        <f>"2170587268                    "</f>
        <v xml:space="preserve">2170587268                    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4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1</v>
      </c>
      <c r="BI3688" s="2">
        <v>1</v>
      </c>
      <c r="BJ3688" s="2">
        <v>0.2</v>
      </c>
      <c r="BK3688" s="2">
        <v>1</v>
      </c>
      <c r="BL3688" s="2">
        <v>41.44</v>
      </c>
      <c r="BM3688" s="2">
        <v>5.8</v>
      </c>
      <c r="BN3688" s="2">
        <v>47.24</v>
      </c>
      <c r="BO3688" s="2">
        <v>47.24</v>
      </c>
      <c r="BP3688" s="2"/>
      <c r="BQ3688" s="2" t="s">
        <v>108</v>
      </c>
      <c r="BR3688" s="2" t="s">
        <v>84</v>
      </c>
      <c r="BS3688" s="1" t="s">
        <v>1200</v>
      </c>
      <c r="BT3688" s="2"/>
      <c r="BU3688" s="2"/>
      <c r="BV3688" s="2"/>
      <c r="BW3688" s="2"/>
      <c r="BX3688" s="2"/>
      <c r="BY3688" s="2">
        <v>1200</v>
      </c>
      <c r="BZ3688" s="2"/>
      <c r="CA3688" s="2"/>
      <c r="CB3688" s="2"/>
      <c r="CC3688" s="2" t="s">
        <v>438</v>
      </c>
      <c r="CD3688" s="2">
        <v>6536</v>
      </c>
      <c r="CE3688" s="2" t="s">
        <v>104</v>
      </c>
      <c r="CF3688" s="2"/>
      <c r="CG3688" s="2"/>
      <c r="CH3688" s="2"/>
      <c r="CI3688" s="2">
        <v>1</v>
      </c>
      <c r="CJ3688" s="2" t="s">
        <v>1200</v>
      </c>
      <c r="CK3688" s="2">
        <v>21</v>
      </c>
      <c r="CL3688" s="2" t="s">
        <v>86</v>
      </c>
      <c r="CM3688" s="2"/>
    </row>
    <row r="3689" spans="1:91">
      <c r="A3689" s="2" t="s">
        <v>71</v>
      </c>
      <c r="B3689" s="2" t="s">
        <v>72</v>
      </c>
      <c r="C3689" s="2" t="s">
        <v>73</v>
      </c>
      <c r="D3689" s="2"/>
      <c r="E3689" s="2" t="str">
        <f>"FES1162572669"</f>
        <v>FES1162572669</v>
      </c>
      <c r="F3689" s="3">
        <v>42978</v>
      </c>
      <c r="G3689" s="2">
        <v>201802</v>
      </c>
      <c r="H3689" s="2" t="s">
        <v>74</v>
      </c>
      <c r="I3689" s="2" t="s">
        <v>75</v>
      </c>
      <c r="J3689" s="2" t="s">
        <v>76</v>
      </c>
      <c r="K3689" s="2" t="s">
        <v>77</v>
      </c>
      <c r="L3689" s="2" t="s">
        <v>105</v>
      </c>
      <c r="M3689" s="2" t="s">
        <v>106</v>
      </c>
      <c r="N3689" s="2" t="s">
        <v>253</v>
      </c>
      <c r="O3689" s="2" t="s">
        <v>100</v>
      </c>
      <c r="P3689" s="2" t="str">
        <f>"2170588208                    "</f>
        <v xml:space="preserve">2170588208                    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5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0</v>
      </c>
      <c r="BD3689" s="2">
        <v>0</v>
      </c>
      <c r="BE3689" s="2">
        <v>0</v>
      </c>
      <c r="BF3689" s="2">
        <v>0</v>
      </c>
      <c r="BG3689" s="2">
        <v>0</v>
      </c>
      <c r="BH3689" s="2">
        <v>1</v>
      </c>
      <c r="BI3689" s="2">
        <v>1.9</v>
      </c>
      <c r="BJ3689" s="2">
        <v>2.1</v>
      </c>
      <c r="BK3689" s="2">
        <v>2.5</v>
      </c>
      <c r="BL3689" s="2">
        <v>51.8</v>
      </c>
      <c r="BM3689" s="2">
        <v>7.25</v>
      </c>
      <c r="BN3689" s="2">
        <v>59.05</v>
      </c>
      <c r="BO3689" s="2">
        <v>59.05</v>
      </c>
      <c r="BP3689" s="2"/>
      <c r="BQ3689" s="2" t="s">
        <v>108</v>
      </c>
      <c r="BR3689" s="2" t="s">
        <v>84</v>
      </c>
      <c r="BS3689" s="1" t="s">
        <v>1200</v>
      </c>
      <c r="BT3689" s="2"/>
      <c r="BU3689" s="2"/>
      <c r="BV3689" s="2"/>
      <c r="BW3689" s="2"/>
      <c r="BX3689" s="2"/>
      <c r="BY3689" s="2">
        <v>10322.4</v>
      </c>
      <c r="BZ3689" s="2"/>
      <c r="CA3689" s="2"/>
      <c r="CB3689" s="2"/>
      <c r="CC3689" s="2" t="s">
        <v>106</v>
      </c>
      <c r="CD3689" s="2">
        <v>7490</v>
      </c>
      <c r="CE3689" s="2" t="s">
        <v>104</v>
      </c>
      <c r="CF3689" s="2"/>
      <c r="CG3689" s="2"/>
      <c r="CH3689" s="2"/>
      <c r="CI3689" s="2">
        <v>1</v>
      </c>
      <c r="CJ3689" s="2" t="s">
        <v>1200</v>
      </c>
      <c r="CK3689" s="2">
        <v>21</v>
      </c>
      <c r="CL3689" s="2" t="s">
        <v>86</v>
      </c>
      <c r="CM3689" s="2"/>
    </row>
    <row r="3690" spans="1:91">
      <c r="A3690" s="2" t="s">
        <v>71</v>
      </c>
      <c r="B3690" s="2" t="s">
        <v>72</v>
      </c>
      <c r="C3690" s="2" t="s">
        <v>73</v>
      </c>
      <c r="D3690" s="2"/>
      <c r="E3690" s="2" t="str">
        <f>"FES1162572656"</f>
        <v>FES1162572656</v>
      </c>
      <c r="F3690" s="3">
        <v>42978</v>
      </c>
      <c r="G3690" s="2">
        <v>201802</v>
      </c>
      <c r="H3690" s="2" t="s">
        <v>74</v>
      </c>
      <c r="I3690" s="2" t="s">
        <v>75</v>
      </c>
      <c r="J3690" s="2" t="s">
        <v>76</v>
      </c>
      <c r="K3690" s="2" t="s">
        <v>77</v>
      </c>
      <c r="L3690" s="2" t="s">
        <v>1202</v>
      </c>
      <c r="M3690" s="2" t="s">
        <v>1203</v>
      </c>
      <c r="N3690" s="2" t="s">
        <v>1204</v>
      </c>
      <c r="O3690" s="2" t="s">
        <v>100</v>
      </c>
      <c r="P3690" s="2" t="str">
        <f>"2170586534                    "</f>
        <v xml:space="preserve">2170586534                    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3.13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0</v>
      </c>
      <c r="BD3690" s="2">
        <v>0</v>
      </c>
      <c r="BE3690" s="2">
        <v>0</v>
      </c>
      <c r="BF3690" s="2">
        <v>0</v>
      </c>
      <c r="BG3690" s="2">
        <v>0</v>
      </c>
      <c r="BH3690" s="2">
        <v>1</v>
      </c>
      <c r="BI3690" s="2">
        <v>1.3</v>
      </c>
      <c r="BJ3690" s="2">
        <v>1.1000000000000001</v>
      </c>
      <c r="BK3690" s="2">
        <v>2</v>
      </c>
      <c r="BL3690" s="2">
        <v>32.380000000000003</v>
      </c>
      <c r="BM3690" s="2">
        <v>4.53</v>
      </c>
      <c r="BN3690" s="2">
        <v>36.909999999999997</v>
      </c>
      <c r="BO3690" s="2">
        <v>36.909999999999997</v>
      </c>
      <c r="BP3690" s="2"/>
      <c r="BQ3690" s="2"/>
      <c r="BR3690" s="2" t="s">
        <v>84</v>
      </c>
      <c r="BS3690" s="1" t="s">
        <v>1200</v>
      </c>
      <c r="BT3690" s="2"/>
      <c r="BU3690" s="2"/>
      <c r="BV3690" s="2"/>
      <c r="BW3690" s="2"/>
      <c r="BX3690" s="2"/>
      <c r="BY3690" s="2">
        <v>5287.47</v>
      </c>
      <c r="BZ3690" s="2"/>
      <c r="CA3690" s="2"/>
      <c r="CB3690" s="2"/>
      <c r="CC3690" s="2" t="s">
        <v>1203</v>
      </c>
      <c r="CD3690" s="2">
        <v>1501</v>
      </c>
      <c r="CE3690" s="2" t="s">
        <v>1623</v>
      </c>
      <c r="CF3690" s="2"/>
      <c r="CG3690" s="2"/>
      <c r="CH3690" s="2"/>
      <c r="CI3690" s="2">
        <v>1</v>
      </c>
      <c r="CJ3690" s="2" t="s">
        <v>1200</v>
      </c>
      <c r="CK3690" s="2">
        <v>22</v>
      </c>
      <c r="CL3690" s="2" t="s">
        <v>86</v>
      </c>
      <c r="CM3690" s="2"/>
    </row>
    <row r="3691" spans="1:91">
      <c r="A3691" s="2" t="s">
        <v>71</v>
      </c>
      <c r="B3691" s="2" t="s">
        <v>72</v>
      </c>
      <c r="C3691" s="2" t="s">
        <v>73</v>
      </c>
      <c r="D3691" s="2"/>
      <c r="E3691" s="2" t="str">
        <f>"FES1162572671"</f>
        <v>FES1162572671</v>
      </c>
      <c r="F3691" s="3">
        <v>42978</v>
      </c>
      <c r="G3691" s="2">
        <v>201802</v>
      </c>
      <c r="H3691" s="2" t="s">
        <v>74</v>
      </c>
      <c r="I3691" s="2" t="s">
        <v>75</v>
      </c>
      <c r="J3691" s="2" t="s">
        <v>76</v>
      </c>
      <c r="K3691" s="2" t="s">
        <v>77</v>
      </c>
      <c r="L3691" s="2" t="s">
        <v>105</v>
      </c>
      <c r="M3691" s="2" t="s">
        <v>106</v>
      </c>
      <c r="N3691" s="2" t="s">
        <v>2145</v>
      </c>
      <c r="O3691" s="2" t="s">
        <v>100</v>
      </c>
      <c r="P3691" s="2" t="str">
        <f>"2170588137                    "</f>
        <v xml:space="preserve">2170588137                    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4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0</v>
      </c>
      <c r="AV3691" s="2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1</v>
      </c>
      <c r="BI3691" s="2">
        <v>1.2</v>
      </c>
      <c r="BJ3691" s="2">
        <v>1</v>
      </c>
      <c r="BK3691" s="2">
        <v>1.5</v>
      </c>
      <c r="BL3691" s="2">
        <v>41.44</v>
      </c>
      <c r="BM3691" s="2">
        <v>5.8</v>
      </c>
      <c r="BN3691" s="2">
        <v>47.24</v>
      </c>
      <c r="BO3691" s="2">
        <v>47.24</v>
      </c>
      <c r="BP3691" s="2"/>
      <c r="BQ3691" s="2" t="s">
        <v>83</v>
      </c>
      <c r="BR3691" s="2" t="s">
        <v>84</v>
      </c>
      <c r="BS3691" s="1" t="s">
        <v>1200</v>
      </c>
      <c r="BT3691" s="2"/>
      <c r="BU3691" s="2"/>
      <c r="BV3691" s="2"/>
      <c r="BW3691" s="2"/>
      <c r="BX3691" s="2"/>
      <c r="BY3691" s="2">
        <v>5036.25</v>
      </c>
      <c r="BZ3691" s="2"/>
      <c r="CA3691" s="2"/>
      <c r="CB3691" s="2"/>
      <c r="CC3691" s="2" t="s">
        <v>106</v>
      </c>
      <c r="CD3691" s="2">
        <v>7460</v>
      </c>
      <c r="CE3691" s="2" t="s">
        <v>135</v>
      </c>
      <c r="CF3691" s="2"/>
      <c r="CG3691" s="2"/>
      <c r="CH3691" s="2"/>
      <c r="CI3691" s="2">
        <v>1</v>
      </c>
      <c r="CJ3691" s="2" t="s">
        <v>1200</v>
      </c>
      <c r="CK3691" s="2">
        <v>21</v>
      </c>
      <c r="CL3691" s="2" t="s">
        <v>86</v>
      </c>
      <c r="CM3691" s="2"/>
    </row>
    <row r="3692" spans="1:91">
      <c r="A3692" s="2" t="s">
        <v>71</v>
      </c>
      <c r="B3692" s="2" t="s">
        <v>72</v>
      </c>
      <c r="C3692" s="2" t="s">
        <v>73</v>
      </c>
      <c r="D3692" s="2"/>
      <c r="E3692" s="2" t="str">
        <f>"FES1162572662"</f>
        <v>FES1162572662</v>
      </c>
      <c r="F3692" s="3">
        <v>42978</v>
      </c>
      <c r="G3692" s="2">
        <v>201802</v>
      </c>
      <c r="H3692" s="2" t="s">
        <v>74</v>
      </c>
      <c r="I3692" s="2" t="s">
        <v>75</v>
      </c>
      <c r="J3692" s="2" t="s">
        <v>76</v>
      </c>
      <c r="K3692" s="2" t="s">
        <v>77</v>
      </c>
      <c r="L3692" s="2" t="s">
        <v>244</v>
      </c>
      <c r="M3692" s="2" t="s">
        <v>245</v>
      </c>
      <c r="N3692" s="2" t="s">
        <v>918</v>
      </c>
      <c r="O3692" s="2" t="s">
        <v>100</v>
      </c>
      <c r="P3692" s="2" t="str">
        <f>"2170588199                    "</f>
        <v xml:space="preserve">2170588199                    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3.13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2">
        <v>0</v>
      </c>
      <c r="BD3692" s="2">
        <v>0</v>
      </c>
      <c r="BE3692" s="2">
        <v>0</v>
      </c>
      <c r="BF3692" s="2">
        <v>0</v>
      </c>
      <c r="BG3692" s="2">
        <v>0</v>
      </c>
      <c r="BH3692" s="2">
        <v>1</v>
      </c>
      <c r="BI3692" s="2">
        <v>2</v>
      </c>
      <c r="BJ3692" s="2">
        <v>0.2</v>
      </c>
      <c r="BK3692" s="2">
        <v>2</v>
      </c>
      <c r="BL3692" s="2">
        <v>32.380000000000003</v>
      </c>
      <c r="BM3692" s="2">
        <v>4.53</v>
      </c>
      <c r="BN3692" s="2">
        <v>36.909999999999997</v>
      </c>
      <c r="BO3692" s="2">
        <v>36.909999999999997</v>
      </c>
      <c r="BP3692" s="2"/>
      <c r="BQ3692" s="2" t="s">
        <v>288</v>
      </c>
      <c r="BR3692" s="2" t="s">
        <v>84</v>
      </c>
      <c r="BS3692" s="1" t="s">
        <v>1200</v>
      </c>
      <c r="BT3692" s="2"/>
      <c r="BU3692" s="2"/>
      <c r="BV3692" s="2"/>
      <c r="BW3692" s="2"/>
      <c r="BX3692" s="2"/>
      <c r="BY3692" s="2">
        <v>1200</v>
      </c>
      <c r="BZ3692" s="2"/>
      <c r="CA3692" s="2"/>
      <c r="CB3692" s="2"/>
      <c r="CC3692" s="2" t="s">
        <v>245</v>
      </c>
      <c r="CD3692" s="2">
        <v>1459</v>
      </c>
      <c r="CE3692" s="2" t="s">
        <v>104</v>
      </c>
      <c r="CF3692" s="2"/>
      <c r="CG3692" s="2"/>
      <c r="CH3692" s="2"/>
      <c r="CI3692" s="2">
        <v>1</v>
      </c>
      <c r="CJ3692" s="2" t="s">
        <v>1200</v>
      </c>
      <c r="CK3692" s="2">
        <v>22</v>
      </c>
      <c r="CL3692" s="2" t="s">
        <v>86</v>
      </c>
      <c r="CM3692" s="2"/>
    </row>
    <row r="3693" spans="1:91">
      <c r="A3693" s="2" t="s">
        <v>71</v>
      </c>
      <c r="B3693" s="2" t="s">
        <v>72</v>
      </c>
      <c r="C3693" s="2" t="s">
        <v>73</v>
      </c>
      <c r="D3693" s="2"/>
      <c r="E3693" s="2" t="str">
        <f>"FES1162572668"</f>
        <v>FES1162572668</v>
      </c>
      <c r="F3693" s="3">
        <v>42978</v>
      </c>
      <c r="G3693" s="2">
        <v>201802</v>
      </c>
      <c r="H3693" s="2" t="s">
        <v>74</v>
      </c>
      <c r="I3693" s="2" t="s">
        <v>75</v>
      </c>
      <c r="J3693" s="2" t="s">
        <v>76</v>
      </c>
      <c r="K3693" s="2" t="s">
        <v>77</v>
      </c>
      <c r="L3693" s="2" t="s">
        <v>144</v>
      </c>
      <c r="M3693" s="2" t="s">
        <v>145</v>
      </c>
      <c r="N3693" s="2" t="s">
        <v>146</v>
      </c>
      <c r="O3693" s="2" t="s">
        <v>100</v>
      </c>
      <c r="P3693" s="2" t="str">
        <f>"2170588205                    "</f>
        <v xml:space="preserve">2170588205                    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3.13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0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0</v>
      </c>
      <c r="BD3693" s="2">
        <v>0</v>
      </c>
      <c r="BE3693" s="2">
        <v>0</v>
      </c>
      <c r="BF3693" s="2">
        <v>0</v>
      </c>
      <c r="BG3693" s="2">
        <v>0</v>
      </c>
      <c r="BH3693" s="2">
        <v>1</v>
      </c>
      <c r="BI3693" s="2">
        <v>1</v>
      </c>
      <c r="BJ3693" s="2">
        <v>0.2</v>
      </c>
      <c r="BK3693" s="2">
        <v>1</v>
      </c>
      <c r="BL3693" s="2">
        <v>32.380000000000003</v>
      </c>
      <c r="BM3693" s="2">
        <v>4.53</v>
      </c>
      <c r="BN3693" s="2">
        <v>36.909999999999997</v>
      </c>
      <c r="BO3693" s="2">
        <v>36.909999999999997</v>
      </c>
      <c r="BP3693" s="2"/>
      <c r="BQ3693" s="2" t="s">
        <v>83</v>
      </c>
      <c r="BR3693" s="2" t="s">
        <v>84</v>
      </c>
      <c r="BS3693" s="1" t="s">
        <v>1200</v>
      </c>
      <c r="BT3693" s="2"/>
      <c r="BU3693" s="2"/>
      <c r="BV3693" s="2"/>
      <c r="BW3693" s="2"/>
      <c r="BX3693" s="2"/>
      <c r="BY3693" s="2">
        <v>1200</v>
      </c>
      <c r="BZ3693" s="2"/>
      <c r="CA3693" s="2"/>
      <c r="CB3693" s="2"/>
      <c r="CC3693" s="2" t="s">
        <v>145</v>
      </c>
      <c r="CD3693" s="2">
        <v>2094</v>
      </c>
      <c r="CE3693" s="2" t="s">
        <v>104</v>
      </c>
      <c r="CF3693" s="2"/>
      <c r="CG3693" s="2"/>
      <c r="CH3693" s="2"/>
      <c r="CI3693" s="2">
        <v>1</v>
      </c>
      <c r="CJ3693" s="2" t="s">
        <v>1200</v>
      </c>
      <c r="CK3693" s="2">
        <v>22</v>
      </c>
      <c r="CL3693" s="2" t="s">
        <v>86</v>
      </c>
      <c r="CM3693" s="2"/>
    </row>
    <row r="3694" spans="1:91">
      <c r="A3694" s="2" t="s">
        <v>71</v>
      </c>
      <c r="B3694" s="2" t="s">
        <v>72</v>
      </c>
      <c r="C3694" s="2" t="s">
        <v>73</v>
      </c>
      <c r="D3694" s="2"/>
      <c r="E3694" s="2" t="str">
        <f>"FES1162572610"</f>
        <v>FES1162572610</v>
      </c>
      <c r="F3694" s="3">
        <v>42978</v>
      </c>
      <c r="G3694" s="2">
        <v>201802</v>
      </c>
      <c r="H3694" s="2" t="s">
        <v>74</v>
      </c>
      <c r="I3694" s="2" t="s">
        <v>75</v>
      </c>
      <c r="J3694" s="2" t="s">
        <v>76</v>
      </c>
      <c r="K3694" s="2" t="s">
        <v>77</v>
      </c>
      <c r="L3694" s="2" t="s">
        <v>237</v>
      </c>
      <c r="M3694" s="2" t="s">
        <v>238</v>
      </c>
      <c r="N3694" s="2" t="s">
        <v>1595</v>
      </c>
      <c r="O3694" s="2" t="s">
        <v>100</v>
      </c>
      <c r="P3694" s="2" t="str">
        <f>"2170587502                    "</f>
        <v xml:space="preserve">2170587502                    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4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0</v>
      </c>
      <c r="BF3694" s="2">
        <v>0</v>
      </c>
      <c r="BG3694" s="2">
        <v>0</v>
      </c>
      <c r="BH3694" s="2">
        <v>1</v>
      </c>
      <c r="BI3694" s="2">
        <v>0.7</v>
      </c>
      <c r="BJ3694" s="2">
        <v>1</v>
      </c>
      <c r="BK3694" s="2">
        <v>1</v>
      </c>
      <c r="BL3694" s="2">
        <v>41.44</v>
      </c>
      <c r="BM3694" s="2">
        <v>5.8</v>
      </c>
      <c r="BN3694" s="2">
        <v>47.24</v>
      </c>
      <c r="BO3694" s="2">
        <v>47.24</v>
      </c>
      <c r="BP3694" s="2"/>
      <c r="BQ3694" s="2" t="s">
        <v>83</v>
      </c>
      <c r="BR3694" s="2" t="s">
        <v>84</v>
      </c>
      <c r="BS3694" s="1" t="s">
        <v>1200</v>
      </c>
      <c r="BT3694" s="2"/>
      <c r="BU3694" s="2"/>
      <c r="BV3694" s="2"/>
      <c r="BW3694" s="2"/>
      <c r="BX3694" s="2"/>
      <c r="BY3694" s="2">
        <v>4968.74</v>
      </c>
      <c r="BZ3694" s="2"/>
      <c r="CA3694" s="2"/>
      <c r="CB3694" s="2"/>
      <c r="CC3694" s="2" t="s">
        <v>238</v>
      </c>
      <c r="CD3694" s="2">
        <v>3610</v>
      </c>
      <c r="CE3694" s="2" t="s">
        <v>89</v>
      </c>
      <c r="CF3694" s="2"/>
      <c r="CG3694" s="2"/>
      <c r="CH3694" s="2"/>
      <c r="CI3694" s="2">
        <v>1</v>
      </c>
      <c r="CJ3694" s="2" t="s">
        <v>1200</v>
      </c>
      <c r="CK3694" s="2">
        <v>21</v>
      </c>
      <c r="CL3694" s="2" t="s">
        <v>86</v>
      </c>
      <c r="CM3694" s="2"/>
    </row>
    <row r="3695" spans="1:91">
      <c r="A3695" s="2" t="s">
        <v>71</v>
      </c>
      <c r="B3695" s="2" t="s">
        <v>72</v>
      </c>
      <c r="C3695" s="2" t="s">
        <v>73</v>
      </c>
      <c r="D3695" s="2"/>
      <c r="E3695" s="2" t="str">
        <f>"FES1162572650"</f>
        <v>FES1162572650</v>
      </c>
      <c r="F3695" s="3">
        <v>42978</v>
      </c>
      <c r="G3695" s="2">
        <v>201802</v>
      </c>
      <c r="H3695" s="2" t="s">
        <v>74</v>
      </c>
      <c r="I3695" s="2" t="s">
        <v>75</v>
      </c>
      <c r="J3695" s="2" t="s">
        <v>76</v>
      </c>
      <c r="K3695" s="2" t="s">
        <v>77</v>
      </c>
      <c r="L3695" s="2" t="s">
        <v>105</v>
      </c>
      <c r="M3695" s="2" t="s">
        <v>106</v>
      </c>
      <c r="N3695" s="2" t="s">
        <v>113</v>
      </c>
      <c r="O3695" s="2" t="s">
        <v>100</v>
      </c>
      <c r="P3695" s="2" t="str">
        <f>"2170588185                    "</f>
        <v xml:space="preserve">2170588185                    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9.01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2">
        <v>0</v>
      </c>
      <c r="BD3695" s="2">
        <v>0</v>
      </c>
      <c r="BE3695" s="2">
        <v>0</v>
      </c>
      <c r="BF3695" s="2">
        <v>0</v>
      </c>
      <c r="BG3695" s="2">
        <v>0</v>
      </c>
      <c r="BH3695" s="2">
        <v>1</v>
      </c>
      <c r="BI3695" s="2">
        <v>4.0999999999999996</v>
      </c>
      <c r="BJ3695" s="2">
        <v>3.3</v>
      </c>
      <c r="BK3695" s="2">
        <v>4.5</v>
      </c>
      <c r="BL3695" s="2">
        <v>93.25</v>
      </c>
      <c r="BM3695" s="2">
        <v>13.06</v>
      </c>
      <c r="BN3695" s="2">
        <v>106.31</v>
      </c>
      <c r="BO3695" s="2">
        <v>106.31</v>
      </c>
      <c r="BP3695" s="2"/>
      <c r="BQ3695" s="2" t="s">
        <v>83</v>
      </c>
      <c r="BR3695" s="2" t="s">
        <v>84</v>
      </c>
      <c r="BS3695" s="1" t="s">
        <v>1200</v>
      </c>
      <c r="BT3695" s="2"/>
      <c r="BU3695" s="2"/>
      <c r="BV3695" s="2"/>
      <c r="BW3695" s="2"/>
      <c r="BX3695" s="2"/>
      <c r="BY3695" s="2">
        <v>16600.400000000001</v>
      </c>
      <c r="BZ3695" s="2"/>
      <c r="CA3695" s="2"/>
      <c r="CB3695" s="2"/>
      <c r="CC3695" s="2" t="s">
        <v>106</v>
      </c>
      <c r="CD3695" s="2">
        <v>7405</v>
      </c>
      <c r="CE3695" s="2" t="s">
        <v>89</v>
      </c>
      <c r="CF3695" s="2"/>
      <c r="CG3695" s="2"/>
      <c r="CH3695" s="2"/>
      <c r="CI3695" s="2">
        <v>1</v>
      </c>
      <c r="CJ3695" s="2" t="s">
        <v>1200</v>
      </c>
      <c r="CK3695" s="2">
        <v>21</v>
      </c>
      <c r="CL3695" s="2" t="s">
        <v>86</v>
      </c>
      <c r="CM3695" s="2"/>
    </row>
    <row r="3696" spans="1:91">
      <c r="A3696" s="2" t="s">
        <v>71</v>
      </c>
      <c r="B3696" s="2" t="s">
        <v>72</v>
      </c>
      <c r="C3696" s="2" t="s">
        <v>73</v>
      </c>
      <c r="D3696" s="2"/>
      <c r="E3696" s="2" t="str">
        <f>"FES1162572612"</f>
        <v>FES1162572612</v>
      </c>
      <c r="F3696" s="3">
        <v>42978</v>
      </c>
      <c r="G3696" s="2">
        <v>201802</v>
      </c>
      <c r="H3696" s="2" t="s">
        <v>74</v>
      </c>
      <c r="I3696" s="2" t="s">
        <v>75</v>
      </c>
      <c r="J3696" s="2" t="s">
        <v>76</v>
      </c>
      <c r="K3696" s="2" t="s">
        <v>77</v>
      </c>
      <c r="L3696" s="2" t="s">
        <v>237</v>
      </c>
      <c r="M3696" s="2" t="s">
        <v>238</v>
      </c>
      <c r="N3696" s="2" t="s">
        <v>571</v>
      </c>
      <c r="O3696" s="2" t="s">
        <v>100</v>
      </c>
      <c r="P3696" s="2" t="str">
        <f>"2170588047                    "</f>
        <v xml:space="preserve">2170588047                    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10.01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1</v>
      </c>
      <c r="BI3696" s="2">
        <v>4.8</v>
      </c>
      <c r="BJ3696" s="2">
        <v>2</v>
      </c>
      <c r="BK3696" s="2">
        <v>5</v>
      </c>
      <c r="BL3696" s="2">
        <v>103.61</v>
      </c>
      <c r="BM3696" s="2">
        <v>14.51</v>
      </c>
      <c r="BN3696" s="2">
        <v>118.12</v>
      </c>
      <c r="BO3696" s="2">
        <v>118.12</v>
      </c>
      <c r="BP3696" s="2"/>
      <c r="BQ3696" s="2" t="s">
        <v>572</v>
      </c>
      <c r="BR3696" s="2" t="s">
        <v>84</v>
      </c>
      <c r="BS3696" s="1" t="s">
        <v>1200</v>
      </c>
      <c r="BT3696" s="2"/>
      <c r="BU3696" s="2"/>
      <c r="BV3696" s="2"/>
      <c r="BW3696" s="2"/>
      <c r="BX3696" s="2"/>
      <c r="BY3696" s="2">
        <v>9990.98</v>
      </c>
      <c r="BZ3696" s="2"/>
      <c r="CA3696" s="2"/>
      <c r="CB3696" s="2"/>
      <c r="CC3696" s="2" t="s">
        <v>238</v>
      </c>
      <c r="CD3696" s="2">
        <v>3610</v>
      </c>
      <c r="CE3696" s="2" t="s">
        <v>948</v>
      </c>
      <c r="CF3696" s="2"/>
      <c r="CG3696" s="2"/>
      <c r="CH3696" s="2"/>
      <c r="CI3696" s="2">
        <v>1</v>
      </c>
      <c r="CJ3696" s="2" t="s">
        <v>1200</v>
      </c>
      <c r="CK3696" s="2">
        <v>21</v>
      </c>
      <c r="CL3696" s="2" t="s">
        <v>86</v>
      </c>
      <c r="CM3696" s="2"/>
    </row>
    <row r="3697" spans="1:91">
      <c r="A3697" s="2" t="s">
        <v>71</v>
      </c>
      <c r="B3697" s="2" t="s">
        <v>72</v>
      </c>
      <c r="C3697" s="2" t="s">
        <v>73</v>
      </c>
      <c r="D3697" s="2"/>
      <c r="E3697" s="2" t="str">
        <f>"FES1162572674"</f>
        <v>FES1162572674</v>
      </c>
      <c r="F3697" s="3">
        <v>42978</v>
      </c>
      <c r="G3697" s="2">
        <v>201802</v>
      </c>
      <c r="H3697" s="2" t="s">
        <v>74</v>
      </c>
      <c r="I3697" s="2" t="s">
        <v>75</v>
      </c>
      <c r="J3697" s="2" t="s">
        <v>76</v>
      </c>
      <c r="K3697" s="2" t="s">
        <v>77</v>
      </c>
      <c r="L3697" s="2" t="s">
        <v>105</v>
      </c>
      <c r="M3697" s="2" t="s">
        <v>106</v>
      </c>
      <c r="N3697" s="2" t="s">
        <v>397</v>
      </c>
      <c r="O3697" s="2" t="s">
        <v>100</v>
      </c>
      <c r="P3697" s="2" t="str">
        <f>"2170588218                    "</f>
        <v xml:space="preserve">2170588218                    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4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0</v>
      </c>
      <c r="BD3697" s="2">
        <v>0</v>
      </c>
      <c r="BE3697" s="2">
        <v>0</v>
      </c>
      <c r="BF3697" s="2">
        <v>0</v>
      </c>
      <c r="BG3697" s="2">
        <v>0</v>
      </c>
      <c r="BH3697" s="2">
        <v>1</v>
      </c>
      <c r="BI3697" s="2">
        <v>1</v>
      </c>
      <c r="BJ3697" s="2">
        <v>0.2</v>
      </c>
      <c r="BK3697" s="2">
        <v>1</v>
      </c>
      <c r="BL3697" s="2">
        <v>41.44</v>
      </c>
      <c r="BM3697" s="2">
        <v>5.8</v>
      </c>
      <c r="BN3697" s="2">
        <v>47.24</v>
      </c>
      <c r="BO3697" s="2">
        <v>47.24</v>
      </c>
      <c r="BP3697" s="2"/>
      <c r="BQ3697" s="2" t="s">
        <v>83</v>
      </c>
      <c r="BR3697" s="2" t="s">
        <v>84</v>
      </c>
      <c r="BS3697" s="3">
        <v>42979</v>
      </c>
      <c r="BT3697" s="4">
        <v>0.31666666666666665</v>
      </c>
      <c r="BU3697" s="2" t="s">
        <v>408</v>
      </c>
      <c r="BV3697" s="2" t="s">
        <v>95</v>
      </c>
      <c r="BW3697" s="2"/>
      <c r="BX3697" s="2"/>
      <c r="BY3697" s="2">
        <v>1200</v>
      </c>
      <c r="BZ3697" s="2"/>
      <c r="CA3697" s="2" t="s">
        <v>112</v>
      </c>
      <c r="CB3697" s="2"/>
      <c r="CC3697" s="2" t="s">
        <v>106</v>
      </c>
      <c r="CD3697" s="2">
        <v>7405</v>
      </c>
      <c r="CE3697" s="2" t="s">
        <v>104</v>
      </c>
      <c r="CF3697" s="2"/>
      <c r="CG3697" s="2"/>
      <c r="CH3697" s="2"/>
      <c r="CI3697" s="2">
        <v>1</v>
      </c>
      <c r="CJ3697" s="2">
        <v>1</v>
      </c>
      <c r="CK3697" s="2">
        <v>21</v>
      </c>
      <c r="CL3697" s="2" t="s">
        <v>86</v>
      </c>
      <c r="CM3697" s="2"/>
    </row>
    <row r="3698" spans="1:91">
      <c r="A3698" s="2" t="s">
        <v>71</v>
      </c>
      <c r="B3698" s="2" t="s">
        <v>72</v>
      </c>
      <c r="C3698" s="2" t="s">
        <v>73</v>
      </c>
      <c r="D3698" s="2"/>
      <c r="E3698" s="2" t="str">
        <f>"FES1162572663"</f>
        <v>FES1162572663</v>
      </c>
      <c r="F3698" s="3">
        <v>42978</v>
      </c>
      <c r="G3698" s="2">
        <v>201802</v>
      </c>
      <c r="H3698" s="2" t="s">
        <v>74</v>
      </c>
      <c r="I3698" s="2" t="s">
        <v>75</v>
      </c>
      <c r="J3698" s="2" t="s">
        <v>76</v>
      </c>
      <c r="K3698" s="2" t="s">
        <v>77</v>
      </c>
      <c r="L3698" s="2" t="s">
        <v>2417</v>
      </c>
      <c r="M3698" s="2" t="s">
        <v>2418</v>
      </c>
      <c r="N3698" s="2" t="s">
        <v>2419</v>
      </c>
      <c r="O3698" s="2" t="s">
        <v>100</v>
      </c>
      <c r="P3698" s="2" t="str">
        <f>"2170588200                    "</f>
        <v xml:space="preserve">2170588200                    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25.26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0</v>
      </c>
      <c r="BD3698" s="2">
        <v>0</v>
      </c>
      <c r="BE3698" s="2">
        <v>0</v>
      </c>
      <c r="BF3698" s="2">
        <v>0</v>
      </c>
      <c r="BG3698" s="2">
        <v>0</v>
      </c>
      <c r="BH3698" s="2">
        <v>1</v>
      </c>
      <c r="BI3698" s="2">
        <v>4.5</v>
      </c>
      <c r="BJ3698" s="2">
        <v>7</v>
      </c>
      <c r="BK3698" s="2">
        <v>7</v>
      </c>
      <c r="BL3698" s="2">
        <v>261.60000000000002</v>
      </c>
      <c r="BM3698" s="2">
        <v>36.619999999999997</v>
      </c>
      <c r="BN3698" s="2">
        <v>298.22000000000003</v>
      </c>
      <c r="BO3698" s="2">
        <v>298.22000000000003</v>
      </c>
      <c r="BP3698" s="2"/>
      <c r="BQ3698" s="2" t="s">
        <v>108</v>
      </c>
      <c r="BR3698" s="2" t="s">
        <v>84</v>
      </c>
      <c r="BS3698" s="1" t="s">
        <v>1200</v>
      </c>
      <c r="BT3698" s="2"/>
      <c r="BU3698" s="2"/>
      <c r="BV3698" s="2"/>
      <c r="BW3698" s="2"/>
      <c r="BX3698" s="2"/>
      <c r="BY3698" s="2">
        <v>34819.5</v>
      </c>
      <c r="BZ3698" s="2"/>
      <c r="CA3698" s="2"/>
      <c r="CB3698" s="2"/>
      <c r="CC3698" s="2" t="s">
        <v>2418</v>
      </c>
      <c r="CD3698" s="2">
        <v>4930</v>
      </c>
      <c r="CE3698" s="2" t="s">
        <v>135</v>
      </c>
      <c r="CF3698" s="2"/>
      <c r="CG3698" s="2"/>
      <c r="CH3698" s="2"/>
      <c r="CI3698" s="2">
        <v>3</v>
      </c>
      <c r="CJ3698" s="2" t="s">
        <v>1200</v>
      </c>
      <c r="CK3698" s="2">
        <v>23</v>
      </c>
      <c r="CL3698" s="2" t="s">
        <v>86</v>
      </c>
      <c r="CM3698" s="2"/>
    </row>
    <row r="3699" spans="1:91">
      <c r="A3699" s="2" t="s">
        <v>71</v>
      </c>
      <c r="B3699" s="2" t="s">
        <v>72</v>
      </c>
      <c r="C3699" s="2" t="s">
        <v>73</v>
      </c>
      <c r="D3699" s="2"/>
      <c r="E3699" s="2" t="str">
        <f>"FES1162572534"</f>
        <v>FES1162572534</v>
      </c>
      <c r="F3699" s="3">
        <v>42978</v>
      </c>
      <c r="G3699" s="2">
        <v>201802</v>
      </c>
      <c r="H3699" s="2" t="s">
        <v>74</v>
      </c>
      <c r="I3699" s="2" t="s">
        <v>75</v>
      </c>
      <c r="J3699" s="2" t="s">
        <v>76</v>
      </c>
      <c r="K3699" s="2" t="s">
        <v>77</v>
      </c>
      <c r="L3699" s="2" t="s">
        <v>137</v>
      </c>
      <c r="M3699" s="2" t="s">
        <v>138</v>
      </c>
      <c r="N3699" s="2" t="s">
        <v>2584</v>
      </c>
      <c r="O3699" s="2" t="s">
        <v>100</v>
      </c>
      <c r="P3699" s="2" t="str">
        <f>"2170585501                    "</f>
        <v xml:space="preserve">2170585501                    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7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0</v>
      </c>
      <c r="BD3699" s="2">
        <v>0</v>
      </c>
      <c r="BE3699" s="2">
        <v>0</v>
      </c>
      <c r="BF3699" s="2">
        <v>0</v>
      </c>
      <c r="BG3699" s="2">
        <v>0</v>
      </c>
      <c r="BH3699" s="2">
        <v>1</v>
      </c>
      <c r="BI3699" s="2">
        <v>1.5</v>
      </c>
      <c r="BJ3699" s="2">
        <v>3.5</v>
      </c>
      <c r="BK3699" s="2">
        <v>3.5</v>
      </c>
      <c r="BL3699" s="2">
        <v>72.52</v>
      </c>
      <c r="BM3699" s="2">
        <v>10.15</v>
      </c>
      <c r="BN3699" s="2">
        <v>82.67</v>
      </c>
      <c r="BO3699" s="2">
        <v>82.67</v>
      </c>
      <c r="BP3699" s="2"/>
      <c r="BQ3699" s="2" t="s">
        <v>288</v>
      </c>
      <c r="BR3699" s="2" t="s">
        <v>84</v>
      </c>
      <c r="BS3699" s="1" t="s">
        <v>1200</v>
      </c>
      <c r="BT3699" s="2"/>
      <c r="BU3699" s="2"/>
      <c r="BV3699" s="2"/>
      <c r="BW3699" s="2"/>
      <c r="BX3699" s="2"/>
      <c r="BY3699" s="2">
        <v>17322.169999999998</v>
      </c>
      <c r="BZ3699" s="2"/>
      <c r="CA3699" s="2"/>
      <c r="CB3699" s="2"/>
      <c r="CC3699" s="2" t="s">
        <v>138</v>
      </c>
      <c r="CD3699" s="2">
        <v>157</v>
      </c>
      <c r="CE3699" s="2" t="s">
        <v>104</v>
      </c>
      <c r="CF3699" s="2"/>
      <c r="CG3699" s="2"/>
      <c r="CH3699" s="2"/>
      <c r="CI3699" s="2">
        <v>1</v>
      </c>
      <c r="CJ3699" s="2" t="s">
        <v>1200</v>
      </c>
      <c r="CK3699" s="2">
        <v>21</v>
      </c>
      <c r="CL3699" s="2" t="s">
        <v>86</v>
      </c>
      <c r="CM3699" s="2"/>
    </row>
    <row r="3700" spans="1:91">
      <c r="A3700" s="2" t="s">
        <v>71</v>
      </c>
      <c r="B3700" s="2" t="s">
        <v>72</v>
      </c>
      <c r="C3700" s="2" t="s">
        <v>73</v>
      </c>
      <c r="D3700" s="2"/>
      <c r="E3700" s="2" t="str">
        <f>"FES1162572560"</f>
        <v>FES1162572560</v>
      </c>
      <c r="F3700" s="3">
        <v>42978</v>
      </c>
      <c r="G3700" s="2">
        <v>201802</v>
      </c>
      <c r="H3700" s="2" t="s">
        <v>74</v>
      </c>
      <c r="I3700" s="2" t="s">
        <v>75</v>
      </c>
      <c r="J3700" s="2" t="s">
        <v>76</v>
      </c>
      <c r="K3700" s="2" t="s">
        <v>77</v>
      </c>
      <c r="L3700" s="2" t="s">
        <v>268</v>
      </c>
      <c r="M3700" s="2" t="s">
        <v>269</v>
      </c>
      <c r="N3700" s="2" t="s">
        <v>3049</v>
      </c>
      <c r="O3700" s="2" t="s">
        <v>100</v>
      </c>
      <c r="P3700" s="2" t="str">
        <f>"2170585938                    "</f>
        <v xml:space="preserve">2170585938                    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4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0</v>
      </c>
      <c r="BD3700" s="2">
        <v>0</v>
      </c>
      <c r="BE3700" s="2">
        <v>0</v>
      </c>
      <c r="BF3700" s="2">
        <v>0</v>
      </c>
      <c r="BG3700" s="2">
        <v>0</v>
      </c>
      <c r="BH3700" s="2">
        <v>1</v>
      </c>
      <c r="BI3700" s="2">
        <v>1</v>
      </c>
      <c r="BJ3700" s="2">
        <v>0.2</v>
      </c>
      <c r="BK3700" s="2">
        <v>1</v>
      </c>
      <c r="BL3700" s="2">
        <v>41.44</v>
      </c>
      <c r="BM3700" s="2">
        <v>5.8</v>
      </c>
      <c r="BN3700" s="2">
        <v>47.24</v>
      </c>
      <c r="BO3700" s="2">
        <v>47.24</v>
      </c>
      <c r="BP3700" s="2"/>
      <c r="BQ3700" s="2" t="s">
        <v>108</v>
      </c>
      <c r="BR3700" s="2" t="s">
        <v>84</v>
      </c>
      <c r="BS3700" s="1" t="s">
        <v>1200</v>
      </c>
      <c r="BT3700" s="2"/>
      <c r="BU3700" s="2"/>
      <c r="BV3700" s="2"/>
      <c r="BW3700" s="2"/>
      <c r="BX3700" s="2"/>
      <c r="BY3700" s="2">
        <v>1200</v>
      </c>
      <c r="BZ3700" s="2"/>
      <c r="CA3700" s="2"/>
      <c r="CB3700" s="2"/>
      <c r="CC3700" s="2" t="s">
        <v>269</v>
      </c>
      <c r="CD3700" s="2">
        <v>1</v>
      </c>
      <c r="CE3700" s="2" t="s">
        <v>104</v>
      </c>
      <c r="CF3700" s="2"/>
      <c r="CG3700" s="2"/>
      <c r="CH3700" s="2"/>
      <c r="CI3700" s="2">
        <v>1</v>
      </c>
      <c r="CJ3700" s="2" t="s">
        <v>1200</v>
      </c>
      <c r="CK3700" s="2">
        <v>21</v>
      </c>
      <c r="CL3700" s="2" t="s">
        <v>86</v>
      </c>
      <c r="CM3700" s="2"/>
    </row>
    <row r="3701" spans="1:91">
      <c r="A3701" s="2" t="s">
        <v>71</v>
      </c>
      <c r="B3701" s="2" t="s">
        <v>72</v>
      </c>
      <c r="C3701" s="2" t="s">
        <v>73</v>
      </c>
      <c r="D3701" s="2"/>
      <c r="E3701" s="2" t="str">
        <f>"FES1162572538"</f>
        <v>FES1162572538</v>
      </c>
      <c r="F3701" s="3">
        <v>42978</v>
      </c>
      <c r="G3701" s="2">
        <v>201802</v>
      </c>
      <c r="H3701" s="2" t="s">
        <v>74</v>
      </c>
      <c r="I3701" s="2" t="s">
        <v>75</v>
      </c>
      <c r="J3701" s="2" t="s">
        <v>76</v>
      </c>
      <c r="K3701" s="2" t="s">
        <v>77</v>
      </c>
      <c r="L3701" s="2" t="s">
        <v>137</v>
      </c>
      <c r="M3701" s="2" t="s">
        <v>138</v>
      </c>
      <c r="N3701" s="2" t="s">
        <v>1250</v>
      </c>
      <c r="O3701" s="2" t="s">
        <v>100</v>
      </c>
      <c r="P3701" s="2" t="str">
        <f>"2170585540                    "</f>
        <v xml:space="preserve">2170585540                    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4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0</v>
      </c>
      <c r="BD3701" s="2">
        <v>0</v>
      </c>
      <c r="BE3701" s="2">
        <v>0</v>
      </c>
      <c r="BF3701" s="2">
        <v>0</v>
      </c>
      <c r="BG3701" s="2">
        <v>0</v>
      </c>
      <c r="BH3701" s="2">
        <v>1</v>
      </c>
      <c r="BI3701" s="2">
        <v>1</v>
      </c>
      <c r="BJ3701" s="2">
        <v>0.2</v>
      </c>
      <c r="BK3701" s="2">
        <v>1</v>
      </c>
      <c r="BL3701" s="2">
        <v>41.44</v>
      </c>
      <c r="BM3701" s="2">
        <v>5.8</v>
      </c>
      <c r="BN3701" s="2">
        <v>47.24</v>
      </c>
      <c r="BO3701" s="2">
        <v>47.24</v>
      </c>
      <c r="BP3701" s="2"/>
      <c r="BQ3701" s="2" t="s">
        <v>108</v>
      </c>
      <c r="BR3701" s="2" t="s">
        <v>84</v>
      </c>
      <c r="BS3701" s="1" t="s">
        <v>1200</v>
      </c>
      <c r="BT3701" s="2"/>
      <c r="BU3701" s="2"/>
      <c r="BV3701" s="2"/>
      <c r="BW3701" s="2"/>
      <c r="BX3701" s="2"/>
      <c r="BY3701" s="2">
        <v>1200</v>
      </c>
      <c r="BZ3701" s="2"/>
      <c r="CA3701" s="2"/>
      <c r="CB3701" s="2"/>
      <c r="CC3701" s="2" t="s">
        <v>138</v>
      </c>
      <c r="CD3701" s="2">
        <v>157</v>
      </c>
      <c r="CE3701" s="2" t="s">
        <v>104</v>
      </c>
      <c r="CF3701" s="2"/>
      <c r="CG3701" s="2"/>
      <c r="CH3701" s="2"/>
      <c r="CI3701" s="2">
        <v>1</v>
      </c>
      <c r="CJ3701" s="2" t="s">
        <v>1200</v>
      </c>
      <c r="CK3701" s="2">
        <v>21</v>
      </c>
      <c r="CL3701" s="2" t="s">
        <v>86</v>
      </c>
      <c r="CM3701" s="2"/>
    </row>
    <row r="3702" spans="1:91">
      <c r="A3702" s="2" t="s">
        <v>71</v>
      </c>
      <c r="B3702" s="2" t="s">
        <v>72</v>
      </c>
      <c r="C3702" s="2" t="s">
        <v>73</v>
      </c>
      <c r="D3702" s="2"/>
      <c r="E3702" s="2" t="str">
        <f>"FES1162572545"</f>
        <v>FES1162572545</v>
      </c>
      <c r="F3702" s="3">
        <v>42978</v>
      </c>
      <c r="G3702" s="2">
        <v>201802</v>
      </c>
      <c r="H3702" s="2" t="s">
        <v>74</v>
      </c>
      <c r="I3702" s="2" t="s">
        <v>75</v>
      </c>
      <c r="J3702" s="2" t="s">
        <v>76</v>
      </c>
      <c r="K3702" s="2" t="s">
        <v>77</v>
      </c>
      <c r="L3702" s="2" t="s">
        <v>446</v>
      </c>
      <c r="M3702" s="2" t="s">
        <v>447</v>
      </c>
      <c r="N3702" s="2" t="s">
        <v>961</v>
      </c>
      <c r="O3702" s="2" t="s">
        <v>100</v>
      </c>
      <c r="P3702" s="2" t="str">
        <f>"2170585653                    "</f>
        <v xml:space="preserve">2170585653                    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5.63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0</v>
      </c>
      <c r="BE3702" s="2">
        <v>0</v>
      </c>
      <c r="BF3702" s="2">
        <v>0</v>
      </c>
      <c r="BG3702" s="2">
        <v>0</v>
      </c>
      <c r="BH3702" s="2">
        <v>1</v>
      </c>
      <c r="BI3702" s="2">
        <v>1</v>
      </c>
      <c r="BJ3702" s="2">
        <v>0.2</v>
      </c>
      <c r="BK3702" s="2">
        <v>1</v>
      </c>
      <c r="BL3702" s="2">
        <v>58.28</v>
      </c>
      <c r="BM3702" s="2">
        <v>8.16</v>
      </c>
      <c r="BN3702" s="2">
        <v>66.44</v>
      </c>
      <c r="BO3702" s="2">
        <v>66.44</v>
      </c>
      <c r="BP3702" s="2"/>
      <c r="BQ3702" s="2" t="s">
        <v>108</v>
      </c>
      <c r="BR3702" s="2" t="s">
        <v>84</v>
      </c>
      <c r="BS3702" s="1" t="s">
        <v>1200</v>
      </c>
      <c r="BT3702" s="2"/>
      <c r="BU3702" s="2"/>
      <c r="BV3702" s="2"/>
      <c r="BW3702" s="2"/>
      <c r="BX3702" s="2"/>
      <c r="BY3702" s="2">
        <v>1200</v>
      </c>
      <c r="BZ3702" s="2"/>
      <c r="CA3702" s="2"/>
      <c r="CB3702" s="2"/>
      <c r="CC3702" s="2" t="s">
        <v>447</v>
      </c>
      <c r="CD3702" s="2">
        <v>1759</v>
      </c>
      <c r="CE3702" s="2" t="s">
        <v>104</v>
      </c>
      <c r="CF3702" s="2"/>
      <c r="CG3702" s="2"/>
      <c r="CH3702" s="2"/>
      <c r="CI3702" s="2">
        <v>1</v>
      </c>
      <c r="CJ3702" s="2" t="s">
        <v>1200</v>
      </c>
      <c r="CK3702" s="2">
        <v>24</v>
      </c>
      <c r="CL3702" s="2" t="s">
        <v>86</v>
      </c>
      <c r="CM3702" s="2"/>
    </row>
    <row r="3703" spans="1:91">
      <c r="A3703" s="2" t="s">
        <v>71</v>
      </c>
      <c r="B3703" s="2" t="s">
        <v>72</v>
      </c>
      <c r="C3703" s="2" t="s">
        <v>73</v>
      </c>
      <c r="D3703" s="2"/>
      <c r="E3703" s="2" t="str">
        <f>"FES1162572672"</f>
        <v>FES1162572672</v>
      </c>
      <c r="F3703" s="3">
        <v>42978</v>
      </c>
      <c r="G3703" s="2">
        <v>201802</v>
      </c>
      <c r="H3703" s="2" t="s">
        <v>74</v>
      </c>
      <c r="I3703" s="2" t="s">
        <v>75</v>
      </c>
      <c r="J3703" s="2" t="s">
        <v>76</v>
      </c>
      <c r="K3703" s="2" t="s">
        <v>77</v>
      </c>
      <c r="L3703" s="2" t="s">
        <v>97</v>
      </c>
      <c r="M3703" s="2" t="s">
        <v>98</v>
      </c>
      <c r="N3703" s="2" t="s">
        <v>214</v>
      </c>
      <c r="O3703" s="2" t="s">
        <v>100</v>
      </c>
      <c r="P3703" s="2" t="str">
        <f>"2170588215                    "</f>
        <v xml:space="preserve">2170588215                    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5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0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0</v>
      </c>
      <c r="BF3703" s="2">
        <v>0</v>
      </c>
      <c r="BG3703" s="2">
        <v>0</v>
      </c>
      <c r="BH3703" s="2">
        <v>1</v>
      </c>
      <c r="BI3703" s="2">
        <v>1.3</v>
      </c>
      <c r="BJ3703" s="2">
        <v>2.4</v>
      </c>
      <c r="BK3703" s="2">
        <v>2.5</v>
      </c>
      <c r="BL3703" s="2">
        <v>51.8</v>
      </c>
      <c r="BM3703" s="2">
        <v>7.25</v>
      </c>
      <c r="BN3703" s="2">
        <v>59.05</v>
      </c>
      <c r="BO3703" s="2">
        <v>59.05</v>
      </c>
      <c r="BP3703" s="2"/>
      <c r="BQ3703" s="2" t="s">
        <v>3606</v>
      </c>
      <c r="BR3703" s="2" t="s">
        <v>84</v>
      </c>
      <c r="BS3703" s="1" t="s">
        <v>1200</v>
      </c>
      <c r="BT3703" s="2"/>
      <c r="BU3703" s="2"/>
      <c r="BV3703" s="2"/>
      <c r="BW3703" s="2"/>
      <c r="BX3703" s="2"/>
      <c r="BY3703" s="2">
        <v>11968.74</v>
      </c>
      <c r="BZ3703" s="2"/>
      <c r="CA3703" s="2"/>
      <c r="CB3703" s="2"/>
      <c r="CC3703" s="2" t="s">
        <v>98</v>
      </c>
      <c r="CD3703" s="2">
        <v>6001</v>
      </c>
      <c r="CE3703" s="2" t="s">
        <v>948</v>
      </c>
      <c r="CF3703" s="2"/>
      <c r="CG3703" s="2"/>
      <c r="CH3703" s="2"/>
      <c r="CI3703" s="2">
        <v>1</v>
      </c>
      <c r="CJ3703" s="2" t="s">
        <v>1200</v>
      </c>
      <c r="CK3703" s="2">
        <v>21</v>
      </c>
      <c r="CL3703" s="2" t="s">
        <v>86</v>
      </c>
      <c r="CM3703" s="2"/>
    </row>
    <row r="3704" spans="1:91">
      <c r="A3704" s="2" t="s">
        <v>71</v>
      </c>
      <c r="B3704" s="2" t="s">
        <v>72</v>
      </c>
      <c r="C3704" s="2" t="s">
        <v>73</v>
      </c>
      <c r="D3704" s="2"/>
      <c r="E3704" s="2" t="str">
        <f>"FES1162572496"</f>
        <v>FES1162572496</v>
      </c>
      <c r="F3704" s="3">
        <v>42978</v>
      </c>
      <c r="G3704" s="2">
        <v>201802</v>
      </c>
      <c r="H3704" s="2" t="s">
        <v>74</v>
      </c>
      <c r="I3704" s="2" t="s">
        <v>75</v>
      </c>
      <c r="J3704" s="2" t="s">
        <v>76</v>
      </c>
      <c r="K3704" s="2" t="s">
        <v>77</v>
      </c>
      <c r="L3704" s="2" t="s">
        <v>383</v>
      </c>
      <c r="M3704" s="2" t="s">
        <v>384</v>
      </c>
      <c r="N3704" s="2" t="s">
        <v>385</v>
      </c>
      <c r="O3704" s="2" t="s">
        <v>100</v>
      </c>
      <c r="P3704" s="2" t="str">
        <f>"2170587899                    "</f>
        <v xml:space="preserve">2170587899                    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13.85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1</v>
      </c>
      <c r="BI3704" s="2">
        <v>4.7</v>
      </c>
      <c r="BJ3704" s="2">
        <v>1.2</v>
      </c>
      <c r="BK3704" s="2">
        <v>5</v>
      </c>
      <c r="BL3704" s="2">
        <v>143.41999999999999</v>
      </c>
      <c r="BM3704" s="2">
        <v>20.079999999999998</v>
      </c>
      <c r="BN3704" s="2">
        <v>163.5</v>
      </c>
      <c r="BO3704" s="2">
        <v>163.5</v>
      </c>
      <c r="BP3704" s="2"/>
      <c r="BQ3704" s="2" t="s">
        <v>108</v>
      </c>
      <c r="BR3704" s="2" t="s">
        <v>84</v>
      </c>
      <c r="BS3704" s="1" t="s">
        <v>1200</v>
      </c>
      <c r="BT3704" s="2"/>
      <c r="BU3704" s="2"/>
      <c r="BV3704" s="2"/>
      <c r="BW3704" s="2"/>
      <c r="BX3704" s="2"/>
      <c r="BY3704" s="2">
        <v>5916</v>
      </c>
      <c r="BZ3704" s="2"/>
      <c r="CA3704" s="2"/>
      <c r="CB3704" s="2"/>
      <c r="CC3704" s="2" t="s">
        <v>384</v>
      </c>
      <c r="CD3704" s="2">
        <v>2210</v>
      </c>
      <c r="CE3704" s="2" t="s">
        <v>948</v>
      </c>
      <c r="CF3704" s="2"/>
      <c r="CG3704" s="2"/>
      <c r="CH3704" s="2"/>
      <c r="CI3704" s="2">
        <v>1</v>
      </c>
      <c r="CJ3704" s="2" t="s">
        <v>1200</v>
      </c>
      <c r="CK3704" s="2">
        <v>24</v>
      </c>
      <c r="CL3704" s="2" t="s">
        <v>86</v>
      </c>
      <c r="CM3704" s="2"/>
    </row>
    <row r="3705" spans="1:91">
      <c r="A3705" s="2" t="s">
        <v>71</v>
      </c>
      <c r="B3705" s="2" t="s">
        <v>72</v>
      </c>
      <c r="C3705" s="2" t="s">
        <v>73</v>
      </c>
      <c r="D3705" s="2"/>
      <c r="E3705" s="2" t="str">
        <f>"FES1162572524"</f>
        <v>FES1162572524</v>
      </c>
      <c r="F3705" s="3">
        <v>42978</v>
      </c>
      <c r="G3705" s="2">
        <v>201802</v>
      </c>
      <c r="H3705" s="2" t="s">
        <v>74</v>
      </c>
      <c r="I3705" s="2" t="s">
        <v>75</v>
      </c>
      <c r="J3705" s="2" t="s">
        <v>76</v>
      </c>
      <c r="K3705" s="2" t="s">
        <v>77</v>
      </c>
      <c r="L3705" s="2" t="s">
        <v>306</v>
      </c>
      <c r="M3705" s="2" t="s">
        <v>307</v>
      </c>
      <c r="N3705" s="2" t="s">
        <v>316</v>
      </c>
      <c r="O3705" s="2" t="s">
        <v>100</v>
      </c>
      <c r="P3705" s="2" t="str">
        <f>"2170585121                    "</f>
        <v xml:space="preserve">2170585121                    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4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0</v>
      </c>
      <c r="BD3705" s="2">
        <v>0</v>
      </c>
      <c r="BE3705" s="2">
        <v>0</v>
      </c>
      <c r="BF3705" s="2">
        <v>0</v>
      </c>
      <c r="BG3705" s="2">
        <v>0</v>
      </c>
      <c r="BH3705" s="2">
        <v>1</v>
      </c>
      <c r="BI3705" s="2">
        <v>1</v>
      </c>
      <c r="BJ3705" s="2">
        <v>0.2</v>
      </c>
      <c r="BK3705" s="2">
        <v>1</v>
      </c>
      <c r="BL3705" s="2">
        <v>41.44</v>
      </c>
      <c r="BM3705" s="2">
        <v>5.8</v>
      </c>
      <c r="BN3705" s="2">
        <v>47.24</v>
      </c>
      <c r="BO3705" s="2">
        <v>47.24</v>
      </c>
      <c r="BP3705" s="2"/>
      <c r="BQ3705" s="2" t="s">
        <v>108</v>
      </c>
      <c r="BR3705" s="2" t="s">
        <v>84</v>
      </c>
      <c r="BS3705" s="1" t="s">
        <v>1200</v>
      </c>
      <c r="BT3705" s="2"/>
      <c r="BU3705" s="2"/>
      <c r="BV3705" s="2"/>
      <c r="BW3705" s="2"/>
      <c r="BX3705" s="2"/>
      <c r="BY3705" s="2">
        <v>1200</v>
      </c>
      <c r="BZ3705" s="2"/>
      <c r="CA3705" s="2"/>
      <c r="CB3705" s="2"/>
      <c r="CC3705" s="2" t="s">
        <v>307</v>
      </c>
      <c r="CD3705" s="2">
        <v>1873</v>
      </c>
      <c r="CE3705" s="2" t="s">
        <v>104</v>
      </c>
      <c r="CF3705" s="2"/>
      <c r="CG3705" s="2"/>
      <c r="CH3705" s="2"/>
      <c r="CI3705" s="2">
        <v>1</v>
      </c>
      <c r="CJ3705" s="2" t="s">
        <v>1200</v>
      </c>
      <c r="CK3705" s="2">
        <v>21</v>
      </c>
      <c r="CL3705" s="2" t="s">
        <v>86</v>
      </c>
      <c r="CM3705" s="2"/>
    </row>
    <row r="3706" spans="1:91">
      <c r="A3706" s="2" t="s">
        <v>71</v>
      </c>
      <c r="B3706" s="2" t="s">
        <v>72</v>
      </c>
      <c r="C3706" s="2" t="s">
        <v>73</v>
      </c>
      <c r="D3706" s="2"/>
      <c r="E3706" s="2" t="str">
        <f>"FES1162572625"</f>
        <v>FES1162572625</v>
      </c>
      <c r="F3706" s="3">
        <v>42978</v>
      </c>
      <c r="G3706" s="2">
        <v>201802</v>
      </c>
      <c r="H3706" s="2" t="s">
        <v>74</v>
      </c>
      <c r="I3706" s="2" t="s">
        <v>75</v>
      </c>
      <c r="J3706" s="2" t="s">
        <v>76</v>
      </c>
      <c r="K3706" s="2" t="s">
        <v>77</v>
      </c>
      <c r="L3706" s="2" t="s">
        <v>268</v>
      </c>
      <c r="M3706" s="2" t="s">
        <v>269</v>
      </c>
      <c r="N3706" s="2" t="s">
        <v>279</v>
      </c>
      <c r="O3706" s="2" t="s">
        <v>100</v>
      </c>
      <c r="P3706" s="2" t="str">
        <f>"2170588138                    "</f>
        <v xml:space="preserve">2170588138                    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9.01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0</v>
      </c>
      <c r="BD3706" s="2">
        <v>0</v>
      </c>
      <c r="BE3706" s="2">
        <v>0</v>
      </c>
      <c r="BF3706" s="2">
        <v>0</v>
      </c>
      <c r="BG3706" s="2">
        <v>0</v>
      </c>
      <c r="BH3706" s="2">
        <v>1</v>
      </c>
      <c r="BI3706" s="2">
        <v>4.3</v>
      </c>
      <c r="BJ3706" s="2">
        <v>1.4</v>
      </c>
      <c r="BK3706" s="2">
        <v>4.5</v>
      </c>
      <c r="BL3706" s="2">
        <v>93.25</v>
      </c>
      <c r="BM3706" s="2">
        <v>13.06</v>
      </c>
      <c r="BN3706" s="2">
        <v>106.31</v>
      </c>
      <c r="BO3706" s="2">
        <v>106.31</v>
      </c>
      <c r="BP3706" s="2"/>
      <c r="BQ3706" s="2" t="s">
        <v>108</v>
      </c>
      <c r="BR3706" s="2" t="s">
        <v>84</v>
      </c>
      <c r="BS3706" s="1" t="s">
        <v>1200</v>
      </c>
      <c r="BT3706" s="2"/>
      <c r="BU3706" s="2"/>
      <c r="BV3706" s="2"/>
      <c r="BW3706" s="2"/>
      <c r="BX3706" s="2"/>
      <c r="BY3706" s="2">
        <v>7197.12</v>
      </c>
      <c r="BZ3706" s="2"/>
      <c r="CA3706" s="2"/>
      <c r="CB3706" s="2"/>
      <c r="CC3706" s="2" t="s">
        <v>269</v>
      </c>
      <c r="CD3706" s="2">
        <v>117</v>
      </c>
      <c r="CE3706" s="2" t="s">
        <v>89</v>
      </c>
      <c r="CF3706" s="2"/>
      <c r="CG3706" s="2"/>
      <c r="CH3706" s="2"/>
      <c r="CI3706" s="2">
        <v>1</v>
      </c>
      <c r="CJ3706" s="2" t="s">
        <v>1200</v>
      </c>
      <c r="CK3706" s="2">
        <v>21</v>
      </c>
      <c r="CL3706" s="2" t="s">
        <v>86</v>
      </c>
      <c r="CM3706" s="2"/>
    </row>
    <row r="3707" spans="1:91">
      <c r="A3707" s="2" t="s">
        <v>71</v>
      </c>
      <c r="B3707" s="2" t="s">
        <v>72</v>
      </c>
      <c r="C3707" s="2" t="s">
        <v>73</v>
      </c>
      <c r="D3707" s="2"/>
      <c r="E3707" s="2" t="str">
        <f>"FES1162572505"</f>
        <v>FES1162572505</v>
      </c>
      <c r="F3707" s="3">
        <v>42978</v>
      </c>
      <c r="G3707" s="2">
        <v>201802</v>
      </c>
      <c r="H3707" s="2" t="s">
        <v>74</v>
      </c>
      <c r="I3707" s="2" t="s">
        <v>75</v>
      </c>
      <c r="J3707" s="2" t="s">
        <v>76</v>
      </c>
      <c r="K3707" s="2" t="s">
        <v>77</v>
      </c>
      <c r="L3707" s="2" t="s">
        <v>206</v>
      </c>
      <c r="M3707" s="2" t="s">
        <v>207</v>
      </c>
      <c r="N3707" s="2" t="s">
        <v>3607</v>
      </c>
      <c r="O3707" s="2" t="s">
        <v>100</v>
      </c>
      <c r="P3707" s="2" t="str">
        <f>"2170587902                    "</f>
        <v xml:space="preserve">2170587902                    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8.3699999999999992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1</v>
      </c>
      <c r="BI3707" s="2">
        <v>3</v>
      </c>
      <c r="BJ3707" s="2">
        <v>1</v>
      </c>
      <c r="BK3707" s="2">
        <v>3</v>
      </c>
      <c r="BL3707" s="2">
        <v>86.66</v>
      </c>
      <c r="BM3707" s="2">
        <v>12.13</v>
      </c>
      <c r="BN3707" s="2">
        <v>98.79</v>
      </c>
      <c r="BO3707" s="2">
        <v>98.79</v>
      </c>
      <c r="BP3707" s="2"/>
      <c r="BQ3707" s="2" t="s">
        <v>108</v>
      </c>
      <c r="BR3707" s="2" t="s">
        <v>84</v>
      </c>
      <c r="BS3707" s="1" t="s">
        <v>1200</v>
      </c>
      <c r="BT3707" s="2"/>
      <c r="BU3707" s="2"/>
      <c r="BV3707" s="2"/>
      <c r="BW3707" s="2"/>
      <c r="BX3707" s="2"/>
      <c r="BY3707" s="2">
        <v>5021.32</v>
      </c>
      <c r="BZ3707" s="2"/>
      <c r="CA3707" s="2"/>
      <c r="CB3707" s="2"/>
      <c r="CC3707" s="2" t="s">
        <v>207</v>
      </c>
      <c r="CD3707" s="2">
        <v>257</v>
      </c>
      <c r="CE3707" s="2" t="s">
        <v>89</v>
      </c>
      <c r="CF3707" s="2"/>
      <c r="CG3707" s="2"/>
      <c r="CH3707" s="2"/>
      <c r="CI3707" s="2">
        <v>1</v>
      </c>
      <c r="CJ3707" s="2" t="s">
        <v>1200</v>
      </c>
      <c r="CK3707" s="2">
        <v>24</v>
      </c>
      <c r="CL3707" s="2" t="s">
        <v>86</v>
      </c>
      <c r="CM3707" s="2"/>
    </row>
    <row r="3708" spans="1:91">
      <c r="A3708" s="2" t="s">
        <v>71</v>
      </c>
      <c r="B3708" s="2" t="s">
        <v>72</v>
      </c>
      <c r="C3708" s="2" t="s">
        <v>73</v>
      </c>
      <c r="D3708" s="2"/>
      <c r="E3708" s="2" t="str">
        <f>"FES1162572694"</f>
        <v>FES1162572694</v>
      </c>
      <c r="F3708" s="3">
        <v>42978</v>
      </c>
      <c r="G3708" s="2">
        <v>201802</v>
      </c>
      <c r="H3708" s="2" t="s">
        <v>74</v>
      </c>
      <c r="I3708" s="2" t="s">
        <v>75</v>
      </c>
      <c r="J3708" s="2" t="s">
        <v>76</v>
      </c>
      <c r="K3708" s="2" t="s">
        <v>77</v>
      </c>
      <c r="L3708" s="2" t="s">
        <v>2741</v>
      </c>
      <c r="M3708" s="2" t="s">
        <v>2742</v>
      </c>
      <c r="N3708" s="2" t="s">
        <v>3608</v>
      </c>
      <c r="O3708" s="2" t="s">
        <v>100</v>
      </c>
      <c r="P3708" s="2" t="str">
        <f>"2170588248                    "</f>
        <v xml:space="preserve">2170588248                    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4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0</v>
      </c>
      <c r="BD3708" s="2">
        <v>0</v>
      </c>
      <c r="BE3708" s="2">
        <v>0</v>
      </c>
      <c r="BF3708" s="2">
        <v>0</v>
      </c>
      <c r="BG3708" s="2">
        <v>0</v>
      </c>
      <c r="BH3708" s="2">
        <v>1</v>
      </c>
      <c r="BI3708" s="2">
        <v>2</v>
      </c>
      <c r="BJ3708" s="2">
        <v>0.2</v>
      </c>
      <c r="BK3708" s="2">
        <v>2</v>
      </c>
      <c r="BL3708" s="2">
        <v>41.44</v>
      </c>
      <c r="BM3708" s="2">
        <v>5.8</v>
      </c>
      <c r="BN3708" s="2">
        <v>47.24</v>
      </c>
      <c r="BO3708" s="2">
        <v>47.24</v>
      </c>
      <c r="BP3708" s="2"/>
      <c r="BQ3708" s="2" t="s">
        <v>108</v>
      </c>
      <c r="BR3708" s="2" t="s">
        <v>84</v>
      </c>
      <c r="BS3708" s="1" t="s">
        <v>1200</v>
      </c>
      <c r="BT3708" s="2"/>
      <c r="BU3708" s="2"/>
      <c r="BV3708" s="2"/>
      <c r="BW3708" s="2"/>
      <c r="BX3708" s="2"/>
      <c r="BY3708" s="2">
        <v>1200</v>
      </c>
      <c r="BZ3708" s="2"/>
      <c r="CA3708" s="2"/>
      <c r="CB3708" s="2"/>
      <c r="CC3708" s="2" t="s">
        <v>2742</v>
      </c>
      <c r="CD3708" s="2">
        <v>6740</v>
      </c>
      <c r="CE3708" s="2" t="s">
        <v>104</v>
      </c>
      <c r="CF3708" s="2"/>
      <c r="CG3708" s="2"/>
      <c r="CH3708" s="2"/>
      <c r="CI3708" s="2">
        <v>3</v>
      </c>
      <c r="CJ3708" s="2" t="s">
        <v>1200</v>
      </c>
      <c r="CK3708" s="2">
        <v>21</v>
      </c>
      <c r="CL3708" s="2" t="s">
        <v>86</v>
      </c>
      <c r="CM3708" s="2"/>
    </row>
    <row r="3709" spans="1:91">
      <c r="A3709" s="2" t="s">
        <v>71</v>
      </c>
      <c r="B3709" s="2" t="s">
        <v>72</v>
      </c>
      <c r="C3709" s="2" t="s">
        <v>73</v>
      </c>
      <c r="D3709" s="2"/>
      <c r="E3709" s="2" t="str">
        <f>"FES1162572692"</f>
        <v>FES1162572692</v>
      </c>
      <c r="F3709" s="3">
        <v>42978</v>
      </c>
      <c r="G3709" s="2">
        <v>201802</v>
      </c>
      <c r="H3709" s="2" t="s">
        <v>74</v>
      </c>
      <c r="I3709" s="2" t="s">
        <v>75</v>
      </c>
      <c r="J3709" s="2" t="s">
        <v>76</v>
      </c>
      <c r="K3709" s="2" t="s">
        <v>77</v>
      </c>
      <c r="L3709" s="2" t="s">
        <v>105</v>
      </c>
      <c r="M3709" s="2" t="s">
        <v>106</v>
      </c>
      <c r="N3709" s="2" t="s">
        <v>397</v>
      </c>
      <c r="O3709" s="2" t="s">
        <v>100</v>
      </c>
      <c r="P3709" s="2" t="str">
        <f>"2170588241                    "</f>
        <v xml:space="preserve">2170588241                    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4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1</v>
      </c>
      <c r="BI3709" s="2">
        <v>1</v>
      </c>
      <c r="BJ3709" s="2">
        <v>0.2</v>
      </c>
      <c r="BK3709" s="2">
        <v>1</v>
      </c>
      <c r="BL3709" s="2">
        <v>41.44</v>
      </c>
      <c r="BM3709" s="2">
        <v>5.8</v>
      </c>
      <c r="BN3709" s="2">
        <v>47.24</v>
      </c>
      <c r="BO3709" s="2">
        <v>47.24</v>
      </c>
      <c r="BP3709" s="2"/>
      <c r="BQ3709" s="2" t="s">
        <v>108</v>
      </c>
      <c r="BR3709" s="2" t="s">
        <v>84</v>
      </c>
      <c r="BS3709" s="1" t="s">
        <v>1200</v>
      </c>
      <c r="BT3709" s="2"/>
      <c r="BU3709" s="2"/>
      <c r="BV3709" s="2"/>
      <c r="BW3709" s="2"/>
      <c r="BX3709" s="2"/>
      <c r="BY3709" s="2">
        <v>1200</v>
      </c>
      <c r="BZ3709" s="2"/>
      <c r="CA3709" s="2"/>
      <c r="CB3709" s="2"/>
      <c r="CC3709" s="2" t="s">
        <v>106</v>
      </c>
      <c r="CD3709" s="2">
        <v>7530</v>
      </c>
      <c r="CE3709" s="2" t="s">
        <v>104</v>
      </c>
      <c r="CF3709" s="2"/>
      <c r="CG3709" s="2"/>
      <c r="CH3709" s="2"/>
      <c r="CI3709" s="2">
        <v>1</v>
      </c>
      <c r="CJ3709" s="2" t="s">
        <v>1200</v>
      </c>
      <c r="CK3709" s="2">
        <v>21</v>
      </c>
      <c r="CL3709" s="2" t="s">
        <v>86</v>
      </c>
      <c r="CM3709" s="2"/>
    </row>
    <row r="3710" spans="1:91">
      <c r="A3710" s="2" t="s">
        <v>71</v>
      </c>
      <c r="B3710" s="2" t="s">
        <v>72</v>
      </c>
      <c r="C3710" s="2" t="s">
        <v>73</v>
      </c>
      <c r="D3710" s="2"/>
      <c r="E3710" s="2" t="str">
        <f>"FES1162572690"</f>
        <v>FES1162572690</v>
      </c>
      <c r="F3710" s="3">
        <v>42978</v>
      </c>
      <c r="G3710" s="2">
        <v>201802</v>
      </c>
      <c r="H3710" s="2" t="s">
        <v>74</v>
      </c>
      <c r="I3710" s="2" t="s">
        <v>75</v>
      </c>
      <c r="J3710" s="2" t="s">
        <v>76</v>
      </c>
      <c r="K3710" s="2" t="s">
        <v>77</v>
      </c>
      <c r="L3710" s="2" t="s">
        <v>105</v>
      </c>
      <c r="M3710" s="2" t="s">
        <v>106</v>
      </c>
      <c r="N3710" s="2" t="s">
        <v>660</v>
      </c>
      <c r="O3710" s="2" t="s">
        <v>100</v>
      </c>
      <c r="P3710" s="2" t="str">
        <f>"2170588237                    "</f>
        <v xml:space="preserve">2170588237                    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4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1</v>
      </c>
      <c r="BI3710" s="2">
        <v>1</v>
      </c>
      <c r="BJ3710" s="2">
        <v>0.2</v>
      </c>
      <c r="BK3710" s="2">
        <v>1</v>
      </c>
      <c r="BL3710" s="2">
        <v>41.44</v>
      </c>
      <c r="BM3710" s="2">
        <v>5.8</v>
      </c>
      <c r="BN3710" s="2">
        <v>47.24</v>
      </c>
      <c r="BO3710" s="2">
        <v>47.24</v>
      </c>
      <c r="BP3710" s="2"/>
      <c r="BQ3710" s="2" t="s">
        <v>108</v>
      </c>
      <c r="BR3710" s="2" t="s">
        <v>84</v>
      </c>
      <c r="BS3710" s="1" t="s">
        <v>1200</v>
      </c>
      <c r="BT3710" s="2"/>
      <c r="BU3710" s="2"/>
      <c r="BV3710" s="2"/>
      <c r="BW3710" s="2"/>
      <c r="BX3710" s="2"/>
      <c r="BY3710" s="2">
        <v>1200</v>
      </c>
      <c r="BZ3710" s="2"/>
      <c r="CA3710" s="2"/>
      <c r="CB3710" s="2"/>
      <c r="CC3710" s="2" t="s">
        <v>106</v>
      </c>
      <c r="CD3710" s="2">
        <v>7500</v>
      </c>
      <c r="CE3710" s="2" t="s">
        <v>104</v>
      </c>
      <c r="CF3710" s="2"/>
      <c r="CG3710" s="2"/>
      <c r="CH3710" s="2"/>
      <c r="CI3710" s="2">
        <v>1</v>
      </c>
      <c r="CJ3710" s="2" t="s">
        <v>1200</v>
      </c>
      <c r="CK3710" s="2">
        <v>21</v>
      </c>
      <c r="CL3710" s="2" t="s">
        <v>86</v>
      </c>
      <c r="CM3710" s="2"/>
    </row>
    <row r="3711" spans="1:91">
      <c r="A3711" s="2" t="s">
        <v>71</v>
      </c>
      <c r="B3711" s="2" t="s">
        <v>72</v>
      </c>
      <c r="C3711" s="2" t="s">
        <v>73</v>
      </c>
      <c r="D3711" s="2"/>
      <c r="E3711" s="2" t="str">
        <f>"FES1162572667"</f>
        <v>FES1162572667</v>
      </c>
      <c r="F3711" s="3">
        <v>42978</v>
      </c>
      <c r="G3711" s="2">
        <v>201802</v>
      </c>
      <c r="H3711" s="2" t="s">
        <v>74</v>
      </c>
      <c r="I3711" s="2" t="s">
        <v>75</v>
      </c>
      <c r="J3711" s="2" t="s">
        <v>76</v>
      </c>
      <c r="K3711" s="2" t="s">
        <v>77</v>
      </c>
      <c r="L3711" s="2" t="s">
        <v>170</v>
      </c>
      <c r="M3711" s="2" t="s">
        <v>171</v>
      </c>
      <c r="N3711" s="2" t="s">
        <v>3609</v>
      </c>
      <c r="O3711" s="2" t="s">
        <v>100</v>
      </c>
      <c r="P3711" s="2" t="str">
        <f>"2170588203                    "</f>
        <v xml:space="preserve">2170588203                    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3.13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0</v>
      </c>
      <c r="BD3711" s="2">
        <v>0</v>
      </c>
      <c r="BE3711" s="2">
        <v>0</v>
      </c>
      <c r="BF3711" s="2">
        <v>0</v>
      </c>
      <c r="BG3711" s="2">
        <v>0</v>
      </c>
      <c r="BH3711" s="2">
        <v>1</v>
      </c>
      <c r="BI3711" s="2">
        <v>1</v>
      </c>
      <c r="BJ3711" s="2">
        <v>0.2</v>
      </c>
      <c r="BK3711" s="2">
        <v>1</v>
      </c>
      <c r="BL3711" s="2">
        <v>32.380000000000003</v>
      </c>
      <c r="BM3711" s="2">
        <v>4.53</v>
      </c>
      <c r="BN3711" s="2">
        <v>36.909999999999997</v>
      </c>
      <c r="BO3711" s="2">
        <v>36.909999999999997</v>
      </c>
      <c r="BP3711" s="2"/>
      <c r="BQ3711" s="2"/>
      <c r="BR3711" s="2" t="s">
        <v>84</v>
      </c>
      <c r="BS3711" s="1" t="s">
        <v>1200</v>
      </c>
      <c r="BT3711" s="2"/>
      <c r="BU3711" s="2"/>
      <c r="BV3711" s="2"/>
      <c r="BW3711" s="2"/>
      <c r="BX3711" s="2"/>
      <c r="BY3711" s="2">
        <v>1200</v>
      </c>
      <c r="BZ3711" s="2"/>
      <c r="CA3711" s="2"/>
      <c r="CB3711" s="2"/>
      <c r="CC3711" s="2" t="s">
        <v>171</v>
      </c>
      <c r="CD3711" s="2">
        <v>1406</v>
      </c>
      <c r="CE3711" s="2" t="s">
        <v>104</v>
      </c>
      <c r="CF3711" s="2"/>
      <c r="CG3711" s="2"/>
      <c r="CH3711" s="2"/>
      <c r="CI3711" s="2">
        <v>1</v>
      </c>
      <c r="CJ3711" s="2" t="s">
        <v>1200</v>
      </c>
      <c r="CK3711" s="2">
        <v>22</v>
      </c>
      <c r="CL3711" s="2" t="s">
        <v>86</v>
      </c>
      <c r="CM3711" s="2"/>
    </row>
    <row r="3712" spans="1:91">
      <c r="A3712" s="2" t="s">
        <v>71</v>
      </c>
      <c r="B3712" s="2" t="s">
        <v>72</v>
      </c>
      <c r="C3712" s="2" t="s">
        <v>73</v>
      </c>
      <c r="D3712" s="2"/>
      <c r="E3712" s="2" t="str">
        <f>"FES1162572661"</f>
        <v>FES1162572661</v>
      </c>
      <c r="F3712" s="3">
        <v>42978</v>
      </c>
      <c r="G3712" s="2">
        <v>201802</v>
      </c>
      <c r="H3712" s="2" t="s">
        <v>74</v>
      </c>
      <c r="I3712" s="2" t="s">
        <v>75</v>
      </c>
      <c r="J3712" s="2" t="s">
        <v>76</v>
      </c>
      <c r="K3712" s="2" t="s">
        <v>77</v>
      </c>
      <c r="L3712" s="2" t="s">
        <v>105</v>
      </c>
      <c r="M3712" s="2" t="s">
        <v>106</v>
      </c>
      <c r="N3712" s="2" t="s">
        <v>641</v>
      </c>
      <c r="O3712" s="2" t="s">
        <v>100</v>
      </c>
      <c r="P3712" s="2" t="str">
        <f>"2170588198                    "</f>
        <v xml:space="preserve">2170588198                    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4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1</v>
      </c>
      <c r="BI3712" s="2">
        <v>1</v>
      </c>
      <c r="BJ3712" s="2">
        <v>0.2</v>
      </c>
      <c r="BK3712" s="2">
        <v>1</v>
      </c>
      <c r="BL3712" s="2">
        <v>41.44</v>
      </c>
      <c r="BM3712" s="2">
        <v>5.8</v>
      </c>
      <c r="BN3712" s="2">
        <v>47.24</v>
      </c>
      <c r="BO3712" s="2">
        <v>47.24</v>
      </c>
      <c r="BP3712" s="2"/>
      <c r="BQ3712" s="2"/>
      <c r="BR3712" s="2" t="s">
        <v>84</v>
      </c>
      <c r="BS3712" s="1" t="s">
        <v>1200</v>
      </c>
      <c r="BT3712" s="2"/>
      <c r="BU3712" s="2"/>
      <c r="BV3712" s="2"/>
      <c r="BW3712" s="2"/>
      <c r="BX3712" s="2"/>
      <c r="BY3712" s="2">
        <v>1200</v>
      </c>
      <c r="BZ3712" s="2"/>
      <c r="CA3712" s="2"/>
      <c r="CB3712" s="2"/>
      <c r="CC3712" s="2" t="s">
        <v>106</v>
      </c>
      <c r="CD3712" s="2">
        <v>7915</v>
      </c>
      <c r="CE3712" s="2" t="s">
        <v>104</v>
      </c>
      <c r="CF3712" s="2"/>
      <c r="CG3712" s="2"/>
      <c r="CH3712" s="2"/>
      <c r="CI3712" s="2">
        <v>1</v>
      </c>
      <c r="CJ3712" s="2" t="s">
        <v>1200</v>
      </c>
      <c r="CK3712" s="2">
        <v>21</v>
      </c>
      <c r="CL3712" s="2" t="s">
        <v>86</v>
      </c>
      <c r="CM3712" s="2"/>
    </row>
    <row r="3713" spans="1:91">
      <c r="A3713" s="2" t="s">
        <v>71</v>
      </c>
      <c r="B3713" s="2" t="s">
        <v>72</v>
      </c>
      <c r="C3713" s="2" t="s">
        <v>73</v>
      </c>
      <c r="D3713" s="2"/>
      <c r="E3713" s="2" t="str">
        <f>"FES1162572631"</f>
        <v>FES1162572631</v>
      </c>
      <c r="F3713" s="3">
        <v>42978</v>
      </c>
      <c r="G3713" s="2">
        <v>201802</v>
      </c>
      <c r="H3713" s="2" t="s">
        <v>74</v>
      </c>
      <c r="I3713" s="2" t="s">
        <v>75</v>
      </c>
      <c r="J3713" s="2" t="s">
        <v>76</v>
      </c>
      <c r="K3713" s="2" t="s">
        <v>77</v>
      </c>
      <c r="L3713" s="2" t="s">
        <v>105</v>
      </c>
      <c r="M3713" s="2" t="s">
        <v>106</v>
      </c>
      <c r="N3713" s="2" t="s">
        <v>2970</v>
      </c>
      <c r="O3713" s="2" t="s">
        <v>100</v>
      </c>
      <c r="P3713" s="2" t="str">
        <f>"2170582026                    "</f>
        <v xml:space="preserve">2170582026                    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4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0</v>
      </c>
      <c r="BE3713" s="2">
        <v>0</v>
      </c>
      <c r="BF3713" s="2">
        <v>0</v>
      </c>
      <c r="BG3713" s="2">
        <v>0</v>
      </c>
      <c r="BH3713" s="2">
        <v>1</v>
      </c>
      <c r="BI3713" s="2">
        <v>1</v>
      </c>
      <c r="BJ3713" s="2">
        <v>0.2</v>
      </c>
      <c r="BK3713" s="2">
        <v>1</v>
      </c>
      <c r="BL3713" s="2">
        <v>41.44</v>
      </c>
      <c r="BM3713" s="2">
        <v>5.8</v>
      </c>
      <c r="BN3713" s="2">
        <v>47.24</v>
      </c>
      <c r="BO3713" s="2">
        <v>47.24</v>
      </c>
      <c r="BP3713" s="2"/>
      <c r="BQ3713" s="2" t="s">
        <v>83</v>
      </c>
      <c r="BR3713" s="2" t="s">
        <v>84</v>
      </c>
      <c r="BS3713" s="1" t="s">
        <v>1200</v>
      </c>
      <c r="BT3713" s="2"/>
      <c r="BU3713" s="2"/>
      <c r="BV3713" s="2"/>
      <c r="BW3713" s="2"/>
      <c r="BX3713" s="2"/>
      <c r="BY3713" s="2">
        <v>1200</v>
      </c>
      <c r="BZ3713" s="2"/>
      <c r="CA3713" s="2"/>
      <c r="CB3713" s="2"/>
      <c r="CC3713" s="2" t="s">
        <v>106</v>
      </c>
      <c r="CD3713" s="2">
        <v>7493</v>
      </c>
      <c r="CE3713" s="2" t="s">
        <v>104</v>
      </c>
      <c r="CF3713" s="2"/>
      <c r="CG3713" s="2"/>
      <c r="CH3713" s="2"/>
      <c r="CI3713" s="2">
        <v>1</v>
      </c>
      <c r="CJ3713" s="2" t="s">
        <v>1200</v>
      </c>
      <c r="CK3713" s="2">
        <v>21</v>
      </c>
      <c r="CL3713" s="2" t="s">
        <v>86</v>
      </c>
      <c r="CM3713" s="2"/>
    </row>
    <row r="3714" spans="1:91">
      <c r="A3714" s="2" t="s">
        <v>71</v>
      </c>
      <c r="B3714" s="2" t="s">
        <v>72</v>
      </c>
      <c r="C3714" s="2" t="s">
        <v>73</v>
      </c>
      <c r="D3714" s="2"/>
      <c r="E3714" s="2" t="str">
        <f>"FES1162572659"</f>
        <v>FES1162572659</v>
      </c>
      <c r="F3714" s="3">
        <v>42978</v>
      </c>
      <c r="G3714" s="2">
        <v>201802</v>
      </c>
      <c r="H3714" s="2" t="s">
        <v>74</v>
      </c>
      <c r="I3714" s="2" t="s">
        <v>75</v>
      </c>
      <c r="J3714" s="2" t="s">
        <v>76</v>
      </c>
      <c r="K3714" s="2" t="s">
        <v>77</v>
      </c>
      <c r="L3714" s="2" t="s">
        <v>149</v>
      </c>
      <c r="M3714" s="2" t="s">
        <v>150</v>
      </c>
      <c r="N3714" s="2" t="s">
        <v>482</v>
      </c>
      <c r="O3714" s="2" t="s">
        <v>100</v>
      </c>
      <c r="P3714" s="2" t="str">
        <f>"2170588192                    "</f>
        <v xml:space="preserve">2170588192                    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4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0</v>
      </c>
      <c r="BD3714" s="2">
        <v>0</v>
      </c>
      <c r="BE3714" s="2">
        <v>0</v>
      </c>
      <c r="BF3714" s="2">
        <v>0</v>
      </c>
      <c r="BG3714" s="2">
        <v>0</v>
      </c>
      <c r="BH3714" s="2">
        <v>1</v>
      </c>
      <c r="BI3714" s="2">
        <v>1</v>
      </c>
      <c r="BJ3714" s="2">
        <v>0.2</v>
      </c>
      <c r="BK3714" s="2">
        <v>1</v>
      </c>
      <c r="BL3714" s="2">
        <v>41.44</v>
      </c>
      <c r="BM3714" s="2">
        <v>5.8</v>
      </c>
      <c r="BN3714" s="2">
        <v>47.24</v>
      </c>
      <c r="BO3714" s="2">
        <v>47.24</v>
      </c>
      <c r="BP3714" s="2"/>
      <c r="BQ3714" s="2" t="s">
        <v>83</v>
      </c>
      <c r="BR3714" s="2" t="s">
        <v>84</v>
      </c>
      <c r="BS3714" s="1" t="s">
        <v>1200</v>
      </c>
      <c r="BT3714" s="2"/>
      <c r="BU3714" s="2"/>
      <c r="BV3714" s="2"/>
      <c r="BW3714" s="2"/>
      <c r="BX3714" s="2"/>
      <c r="BY3714" s="2">
        <v>1200</v>
      </c>
      <c r="BZ3714" s="2"/>
      <c r="CA3714" s="2"/>
      <c r="CB3714" s="2"/>
      <c r="CC3714" s="2" t="s">
        <v>150</v>
      </c>
      <c r="CD3714" s="2">
        <v>4001</v>
      </c>
      <c r="CE3714" s="2" t="s">
        <v>104</v>
      </c>
      <c r="CF3714" s="2"/>
      <c r="CG3714" s="2"/>
      <c r="CH3714" s="2"/>
      <c r="CI3714" s="2">
        <v>1</v>
      </c>
      <c r="CJ3714" s="2" t="s">
        <v>1200</v>
      </c>
      <c r="CK3714" s="2">
        <v>21</v>
      </c>
      <c r="CL3714" s="2" t="s">
        <v>86</v>
      </c>
      <c r="CM3714" s="2"/>
    </row>
    <row r="3715" spans="1:91">
      <c r="A3715" s="2" t="s">
        <v>71</v>
      </c>
      <c r="B3715" s="2" t="s">
        <v>72</v>
      </c>
      <c r="C3715" s="2" t="s">
        <v>73</v>
      </c>
      <c r="D3715" s="2"/>
      <c r="E3715" s="2" t="str">
        <f>"FES1162572660"</f>
        <v>FES1162572660</v>
      </c>
      <c r="F3715" s="3">
        <v>42978</v>
      </c>
      <c r="G3715" s="2">
        <v>201802</v>
      </c>
      <c r="H3715" s="2" t="s">
        <v>74</v>
      </c>
      <c r="I3715" s="2" t="s">
        <v>75</v>
      </c>
      <c r="J3715" s="2" t="s">
        <v>76</v>
      </c>
      <c r="K3715" s="2" t="s">
        <v>77</v>
      </c>
      <c r="L3715" s="2" t="s">
        <v>362</v>
      </c>
      <c r="M3715" s="2" t="s">
        <v>363</v>
      </c>
      <c r="N3715" s="2" t="s">
        <v>1168</v>
      </c>
      <c r="O3715" s="2" t="s">
        <v>100</v>
      </c>
      <c r="P3715" s="2" t="str">
        <f>"2170588195                    "</f>
        <v xml:space="preserve">2170588195                    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4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0</v>
      </c>
      <c r="BD3715" s="2">
        <v>0</v>
      </c>
      <c r="BE3715" s="2">
        <v>0</v>
      </c>
      <c r="BF3715" s="2">
        <v>0</v>
      </c>
      <c r="BG3715" s="2">
        <v>0</v>
      </c>
      <c r="BH3715" s="2">
        <v>1</v>
      </c>
      <c r="BI3715" s="2">
        <v>1</v>
      </c>
      <c r="BJ3715" s="2">
        <v>0.2</v>
      </c>
      <c r="BK3715" s="2">
        <v>1</v>
      </c>
      <c r="BL3715" s="2">
        <v>41.44</v>
      </c>
      <c r="BM3715" s="2">
        <v>5.8</v>
      </c>
      <c r="BN3715" s="2">
        <v>47.24</v>
      </c>
      <c r="BO3715" s="2">
        <v>47.24</v>
      </c>
      <c r="BP3715" s="2"/>
      <c r="BQ3715" s="2" t="s">
        <v>83</v>
      </c>
      <c r="BR3715" s="2" t="s">
        <v>84</v>
      </c>
      <c r="BS3715" s="1" t="s">
        <v>1200</v>
      </c>
      <c r="BT3715" s="2"/>
      <c r="BU3715" s="2"/>
      <c r="BV3715" s="2"/>
      <c r="BW3715" s="2"/>
      <c r="BX3715" s="2"/>
      <c r="BY3715" s="2">
        <v>1200</v>
      </c>
      <c r="BZ3715" s="2"/>
      <c r="CA3715" s="2"/>
      <c r="CB3715" s="2"/>
      <c r="CC3715" s="2" t="s">
        <v>363</v>
      </c>
      <c r="CD3715" s="2">
        <v>3201</v>
      </c>
      <c r="CE3715" s="2" t="s">
        <v>104</v>
      </c>
      <c r="CF3715" s="2"/>
      <c r="CG3715" s="2"/>
      <c r="CH3715" s="2"/>
      <c r="CI3715" s="2">
        <v>1</v>
      </c>
      <c r="CJ3715" s="2" t="s">
        <v>1200</v>
      </c>
      <c r="CK3715" s="2">
        <v>21</v>
      </c>
      <c r="CL3715" s="2" t="s">
        <v>86</v>
      </c>
      <c r="CM3715" s="2"/>
    </row>
    <row r="3716" spans="1:91">
      <c r="A3716" s="2" t="s">
        <v>71</v>
      </c>
      <c r="B3716" s="2" t="s">
        <v>72</v>
      </c>
      <c r="C3716" s="2" t="s">
        <v>73</v>
      </c>
      <c r="D3716" s="2"/>
      <c r="E3716" s="2" t="str">
        <f>"FES1162572634"</f>
        <v>FES1162572634</v>
      </c>
      <c r="F3716" s="3">
        <v>42978</v>
      </c>
      <c r="G3716" s="2">
        <v>201802</v>
      </c>
      <c r="H3716" s="2" t="s">
        <v>74</v>
      </c>
      <c r="I3716" s="2" t="s">
        <v>75</v>
      </c>
      <c r="J3716" s="2" t="s">
        <v>76</v>
      </c>
      <c r="K3716" s="2" t="s">
        <v>77</v>
      </c>
      <c r="L3716" s="2" t="s">
        <v>1229</v>
      </c>
      <c r="M3716" s="2" t="s">
        <v>1230</v>
      </c>
      <c r="N3716" s="2" t="s">
        <v>1231</v>
      </c>
      <c r="O3716" s="2" t="s">
        <v>100</v>
      </c>
      <c r="P3716" s="2" t="str">
        <f>"2170588146                    "</f>
        <v xml:space="preserve">2170588146                    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3.13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0</v>
      </c>
      <c r="BD3716" s="2">
        <v>0</v>
      </c>
      <c r="BE3716" s="2">
        <v>0</v>
      </c>
      <c r="BF3716" s="2">
        <v>0</v>
      </c>
      <c r="BG3716" s="2">
        <v>0</v>
      </c>
      <c r="BH3716" s="2">
        <v>1</v>
      </c>
      <c r="BI3716" s="2">
        <v>1</v>
      </c>
      <c r="BJ3716" s="2">
        <v>0.2</v>
      </c>
      <c r="BK3716" s="2">
        <v>1</v>
      </c>
      <c r="BL3716" s="2">
        <v>32.380000000000003</v>
      </c>
      <c r="BM3716" s="2">
        <v>4.53</v>
      </c>
      <c r="BN3716" s="2">
        <v>36.909999999999997</v>
      </c>
      <c r="BO3716" s="2">
        <v>36.909999999999997</v>
      </c>
      <c r="BP3716" s="2"/>
      <c r="BQ3716" s="2" t="s">
        <v>1232</v>
      </c>
      <c r="BR3716" s="2" t="s">
        <v>84</v>
      </c>
      <c r="BS3716" s="1" t="s">
        <v>1200</v>
      </c>
      <c r="BT3716" s="2"/>
      <c r="BU3716" s="2"/>
      <c r="BV3716" s="2"/>
      <c r="BW3716" s="2"/>
      <c r="BX3716" s="2"/>
      <c r="BY3716" s="2">
        <v>1200</v>
      </c>
      <c r="BZ3716" s="2"/>
      <c r="CA3716" s="2"/>
      <c r="CB3716" s="2"/>
      <c r="CC3716" s="2" t="s">
        <v>1230</v>
      </c>
      <c r="CD3716" s="2">
        <v>1449</v>
      </c>
      <c r="CE3716" s="2" t="s">
        <v>104</v>
      </c>
      <c r="CF3716" s="2"/>
      <c r="CG3716" s="2"/>
      <c r="CH3716" s="2"/>
      <c r="CI3716" s="2">
        <v>1</v>
      </c>
      <c r="CJ3716" s="2" t="s">
        <v>1200</v>
      </c>
      <c r="CK3716" s="2">
        <v>22</v>
      </c>
      <c r="CL3716" s="2" t="s">
        <v>86</v>
      </c>
      <c r="CM3716" s="2"/>
    </row>
    <row r="3717" spans="1:91">
      <c r="A3717" s="2" t="s">
        <v>71</v>
      </c>
      <c r="B3717" s="2" t="s">
        <v>72</v>
      </c>
      <c r="C3717" s="2" t="s">
        <v>73</v>
      </c>
      <c r="D3717" s="2"/>
      <c r="E3717" s="2" t="str">
        <f>"FES1162572617"</f>
        <v>FES1162572617</v>
      </c>
      <c r="F3717" s="3">
        <v>42978</v>
      </c>
      <c r="G3717" s="2">
        <v>201802</v>
      </c>
      <c r="H3717" s="2" t="s">
        <v>74</v>
      </c>
      <c r="I3717" s="2" t="s">
        <v>75</v>
      </c>
      <c r="J3717" s="2" t="s">
        <v>76</v>
      </c>
      <c r="K3717" s="2" t="s">
        <v>77</v>
      </c>
      <c r="L3717" s="2" t="s">
        <v>237</v>
      </c>
      <c r="M3717" s="2" t="s">
        <v>238</v>
      </c>
      <c r="N3717" s="2" t="s">
        <v>239</v>
      </c>
      <c r="O3717" s="2" t="s">
        <v>100</v>
      </c>
      <c r="P3717" s="2" t="str">
        <f>"2170588148                    "</f>
        <v xml:space="preserve">2170588148                    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21.01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1</v>
      </c>
      <c r="BI3717" s="2">
        <v>10.5</v>
      </c>
      <c r="BJ3717" s="2">
        <v>6.6</v>
      </c>
      <c r="BK3717" s="2">
        <v>10.5</v>
      </c>
      <c r="BL3717" s="2">
        <v>217.57</v>
      </c>
      <c r="BM3717" s="2">
        <v>30.46</v>
      </c>
      <c r="BN3717" s="2">
        <v>248.03</v>
      </c>
      <c r="BO3717" s="2">
        <v>248.03</v>
      </c>
      <c r="BP3717" s="2"/>
      <c r="BQ3717" s="2" t="s">
        <v>83</v>
      </c>
      <c r="BR3717" s="2" t="s">
        <v>84</v>
      </c>
      <c r="BS3717" s="1" t="s">
        <v>1200</v>
      </c>
      <c r="BT3717" s="2"/>
      <c r="BU3717" s="2"/>
      <c r="BV3717" s="2"/>
      <c r="BW3717" s="2"/>
      <c r="BX3717" s="2"/>
      <c r="BY3717" s="2">
        <v>33078.82</v>
      </c>
      <c r="BZ3717" s="2"/>
      <c r="CA3717" s="2"/>
      <c r="CB3717" s="2"/>
      <c r="CC3717" s="2" t="s">
        <v>238</v>
      </c>
      <c r="CD3717" s="2">
        <v>3610</v>
      </c>
      <c r="CE3717" s="2" t="s">
        <v>948</v>
      </c>
      <c r="CF3717" s="2"/>
      <c r="CG3717" s="2"/>
      <c r="CH3717" s="2"/>
      <c r="CI3717" s="2">
        <v>1</v>
      </c>
      <c r="CJ3717" s="2" t="s">
        <v>1200</v>
      </c>
      <c r="CK3717" s="2">
        <v>21</v>
      </c>
      <c r="CL3717" s="2" t="s">
        <v>86</v>
      </c>
      <c r="CM3717" s="2"/>
    </row>
    <row r="3718" spans="1:91">
      <c r="A3718" s="2" t="s">
        <v>71</v>
      </c>
      <c r="B3718" s="2" t="s">
        <v>72</v>
      </c>
      <c r="C3718" s="2" t="s">
        <v>73</v>
      </c>
      <c r="D3718" s="2"/>
      <c r="E3718" s="2" t="str">
        <f>"FES1162572641"</f>
        <v>FES1162572641</v>
      </c>
      <c r="F3718" s="3">
        <v>42978</v>
      </c>
      <c r="G3718" s="2">
        <v>201802</v>
      </c>
      <c r="H3718" s="2" t="s">
        <v>74</v>
      </c>
      <c r="I3718" s="2" t="s">
        <v>75</v>
      </c>
      <c r="J3718" s="2" t="s">
        <v>76</v>
      </c>
      <c r="K3718" s="2" t="s">
        <v>77</v>
      </c>
      <c r="L3718" s="2" t="s">
        <v>144</v>
      </c>
      <c r="M3718" s="2" t="s">
        <v>145</v>
      </c>
      <c r="N3718" s="2" t="s">
        <v>2662</v>
      </c>
      <c r="O3718" s="2" t="s">
        <v>100</v>
      </c>
      <c r="P3718" s="2" t="str">
        <f>"2170588177                    "</f>
        <v xml:space="preserve">2170588177                    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3.13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0</v>
      </c>
      <c r="BD3718" s="2">
        <v>0</v>
      </c>
      <c r="BE3718" s="2">
        <v>0</v>
      </c>
      <c r="BF3718" s="2">
        <v>0</v>
      </c>
      <c r="BG3718" s="2">
        <v>0</v>
      </c>
      <c r="BH3718" s="2">
        <v>1</v>
      </c>
      <c r="BI3718" s="2">
        <v>0.8</v>
      </c>
      <c r="BJ3718" s="2">
        <v>2.6</v>
      </c>
      <c r="BK3718" s="2">
        <v>3</v>
      </c>
      <c r="BL3718" s="2">
        <v>32.380000000000003</v>
      </c>
      <c r="BM3718" s="2">
        <v>4.53</v>
      </c>
      <c r="BN3718" s="2">
        <v>36.909999999999997</v>
      </c>
      <c r="BO3718" s="2">
        <v>36.909999999999997</v>
      </c>
      <c r="BP3718" s="2"/>
      <c r="BQ3718" s="2" t="s">
        <v>3610</v>
      </c>
      <c r="BR3718" s="2" t="s">
        <v>84</v>
      </c>
      <c r="BS3718" s="1" t="s">
        <v>1200</v>
      </c>
      <c r="BT3718" s="2"/>
      <c r="BU3718" s="2"/>
      <c r="BV3718" s="2"/>
      <c r="BW3718" s="2"/>
      <c r="BX3718" s="2"/>
      <c r="BY3718" s="2">
        <v>12763.46</v>
      </c>
      <c r="BZ3718" s="2"/>
      <c r="CA3718" s="2"/>
      <c r="CB3718" s="2"/>
      <c r="CC3718" s="2" t="s">
        <v>145</v>
      </c>
      <c r="CD3718" s="2">
        <v>2090</v>
      </c>
      <c r="CE3718" s="2" t="s">
        <v>948</v>
      </c>
      <c r="CF3718" s="2"/>
      <c r="CG3718" s="2"/>
      <c r="CH3718" s="2"/>
      <c r="CI3718" s="2">
        <v>1</v>
      </c>
      <c r="CJ3718" s="2" t="s">
        <v>1200</v>
      </c>
      <c r="CK3718" s="2">
        <v>22</v>
      </c>
      <c r="CL3718" s="2" t="s">
        <v>86</v>
      </c>
      <c r="CM3718" s="2"/>
    </row>
    <row r="3719" spans="1:91">
      <c r="A3719" s="2" t="s">
        <v>71</v>
      </c>
      <c r="B3719" s="2" t="s">
        <v>72</v>
      </c>
      <c r="C3719" s="2" t="s">
        <v>73</v>
      </c>
      <c r="D3719" s="2"/>
      <c r="E3719" s="2" t="str">
        <f>"FES1162572680"</f>
        <v>FES1162572680</v>
      </c>
      <c r="F3719" s="3">
        <v>42978</v>
      </c>
      <c r="G3719" s="2">
        <v>201802</v>
      </c>
      <c r="H3719" s="2" t="s">
        <v>74</v>
      </c>
      <c r="I3719" s="2" t="s">
        <v>75</v>
      </c>
      <c r="J3719" s="2" t="s">
        <v>76</v>
      </c>
      <c r="K3719" s="2" t="s">
        <v>77</v>
      </c>
      <c r="L3719" s="2" t="s">
        <v>362</v>
      </c>
      <c r="M3719" s="2" t="s">
        <v>363</v>
      </c>
      <c r="N3719" s="2" t="s">
        <v>1168</v>
      </c>
      <c r="O3719" s="2" t="s">
        <v>100</v>
      </c>
      <c r="P3719" s="2" t="str">
        <f>"2170588207                    "</f>
        <v xml:space="preserve">2170588207                    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4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1</v>
      </c>
      <c r="BI3719" s="2">
        <v>1</v>
      </c>
      <c r="BJ3719" s="2">
        <v>0.2</v>
      </c>
      <c r="BK3719" s="2">
        <v>1</v>
      </c>
      <c r="BL3719" s="2">
        <v>41.44</v>
      </c>
      <c r="BM3719" s="2">
        <v>5.8</v>
      </c>
      <c r="BN3719" s="2">
        <v>47.24</v>
      </c>
      <c r="BO3719" s="2">
        <v>47.24</v>
      </c>
      <c r="BP3719" s="2"/>
      <c r="BQ3719" s="2" t="s">
        <v>83</v>
      </c>
      <c r="BR3719" s="2" t="s">
        <v>84</v>
      </c>
      <c r="BS3719" s="1" t="s">
        <v>1200</v>
      </c>
      <c r="BT3719" s="2"/>
      <c r="BU3719" s="2"/>
      <c r="BV3719" s="2"/>
      <c r="BW3719" s="2"/>
      <c r="BX3719" s="2"/>
      <c r="BY3719" s="2">
        <v>1200</v>
      </c>
      <c r="BZ3719" s="2"/>
      <c r="CA3719" s="2"/>
      <c r="CB3719" s="2"/>
      <c r="CC3719" s="2" t="s">
        <v>363</v>
      </c>
      <c r="CD3719" s="2">
        <v>3201</v>
      </c>
      <c r="CE3719" s="2" t="s">
        <v>104</v>
      </c>
      <c r="CF3719" s="2"/>
      <c r="CG3719" s="2"/>
      <c r="CH3719" s="2"/>
      <c r="CI3719" s="2">
        <v>1</v>
      </c>
      <c r="CJ3719" s="2" t="s">
        <v>1200</v>
      </c>
      <c r="CK3719" s="2">
        <v>21</v>
      </c>
      <c r="CL3719" s="2" t="s">
        <v>86</v>
      </c>
      <c r="CM3719" s="2"/>
    </row>
    <row r="3720" spans="1:91">
      <c r="A3720" s="2" t="s">
        <v>71</v>
      </c>
      <c r="B3720" s="2" t="s">
        <v>72</v>
      </c>
      <c r="C3720" s="2" t="s">
        <v>73</v>
      </c>
      <c r="D3720" s="2"/>
      <c r="E3720" s="2" t="str">
        <f>"FES1162572637"</f>
        <v>FES1162572637</v>
      </c>
      <c r="F3720" s="3">
        <v>42978</v>
      </c>
      <c r="G3720" s="2">
        <v>201802</v>
      </c>
      <c r="H3720" s="2" t="s">
        <v>74</v>
      </c>
      <c r="I3720" s="2" t="s">
        <v>75</v>
      </c>
      <c r="J3720" s="2" t="s">
        <v>76</v>
      </c>
      <c r="K3720" s="2" t="s">
        <v>77</v>
      </c>
      <c r="L3720" s="2" t="s">
        <v>144</v>
      </c>
      <c r="M3720" s="2" t="s">
        <v>145</v>
      </c>
      <c r="N3720" s="2" t="s">
        <v>146</v>
      </c>
      <c r="O3720" s="2" t="s">
        <v>100</v>
      </c>
      <c r="P3720" s="2" t="str">
        <f>"2170588172                    "</f>
        <v xml:space="preserve">2170588172                    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3.13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2">
        <v>0</v>
      </c>
      <c r="BD3720" s="2">
        <v>0</v>
      </c>
      <c r="BE3720" s="2">
        <v>0</v>
      </c>
      <c r="BF3720" s="2">
        <v>0</v>
      </c>
      <c r="BG3720" s="2">
        <v>0</v>
      </c>
      <c r="BH3720" s="2">
        <v>1</v>
      </c>
      <c r="BI3720" s="2">
        <v>5.0999999999999996</v>
      </c>
      <c r="BJ3720" s="2">
        <v>3.3</v>
      </c>
      <c r="BK3720" s="2">
        <v>6</v>
      </c>
      <c r="BL3720" s="2">
        <v>32.380000000000003</v>
      </c>
      <c r="BM3720" s="2">
        <v>4.53</v>
      </c>
      <c r="BN3720" s="2">
        <v>36.909999999999997</v>
      </c>
      <c r="BO3720" s="2">
        <v>36.909999999999997</v>
      </c>
      <c r="BP3720" s="2"/>
      <c r="BQ3720" s="2" t="s">
        <v>83</v>
      </c>
      <c r="BR3720" s="2" t="s">
        <v>84</v>
      </c>
      <c r="BS3720" s="1" t="s">
        <v>1200</v>
      </c>
      <c r="BT3720" s="2"/>
      <c r="BU3720" s="2"/>
      <c r="BV3720" s="2"/>
      <c r="BW3720" s="2"/>
      <c r="BX3720" s="2"/>
      <c r="BY3720" s="2">
        <v>16504.919999999998</v>
      </c>
      <c r="BZ3720" s="2"/>
      <c r="CA3720" s="2"/>
      <c r="CB3720" s="2"/>
      <c r="CC3720" s="2" t="s">
        <v>145</v>
      </c>
      <c r="CD3720" s="2">
        <v>2094</v>
      </c>
      <c r="CE3720" s="2" t="s">
        <v>89</v>
      </c>
      <c r="CF3720" s="2"/>
      <c r="CG3720" s="2"/>
      <c r="CH3720" s="2"/>
      <c r="CI3720" s="2">
        <v>1</v>
      </c>
      <c r="CJ3720" s="2" t="s">
        <v>1200</v>
      </c>
      <c r="CK3720" s="2">
        <v>22</v>
      </c>
      <c r="CL3720" s="2" t="s">
        <v>86</v>
      </c>
      <c r="CM3720" s="2"/>
    </row>
    <row r="3721" spans="1:91">
      <c r="A3721" s="2" t="s">
        <v>71</v>
      </c>
      <c r="B3721" s="2" t="s">
        <v>72</v>
      </c>
      <c r="C3721" s="2" t="s">
        <v>73</v>
      </c>
      <c r="D3721" s="2"/>
      <c r="E3721" s="2" t="str">
        <f>"FES1162572683"</f>
        <v>FES1162572683</v>
      </c>
      <c r="F3721" s="3">
        <v>42978</v>
      </c>
      <c r="G3721" s="2">
        <v>201802</v>
      </c>
      <c r="H3721" s="2" t="s">
        <v>74</v>
      </c>
      <c r="I3721" s="2" t="s">
        <v>75</v>
      </c>
      <c r="J3721" s="2" t="s">
        <v>76</v>
      </c>
      <c r="K3721" s="2" t="s">
        <v>77</v>
      </c>
      <c r="L3721" s="2" t="s">
        <v>97</v>
      </c>
      <c r="M3721" s="2" t="s">
        <v>98</v>
      </c>
      <c r="N3721" s="2" t="s">
        <v>500</v>
      </c>
      <c r="O3721" s="2" t="s">
        <v>100</v>
      </c>
      <c r="P3721" s="2" t="str">
        <f>"2170588222                    "</f>
        <v xml:space="preserve">2170588222                    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6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2">
        <v>0</v>
      </c>
      <c r="BD3721" s="2">
        <v>0</v>
      </c>
      <c r="BE3721" s="2">
        <v>0</v>
      </c>
      <c r="BF3721" s="2">
        <v>0</v>
      </c>
      <c r="BG3721" s="2">
        <v>0</v>
      </c>
      <c r="BH3721" s="2">
        <v>1</v>
      </c>
      <c r="BI3721" s="2">
        <v>2.8</v>
      </c>
      <c r="BJ3721" s="2">
        <v>1.6</v>
      </c>
      <c r="BK3721" s="2">
        <v>3</v>
      </c>
      <c r="BL3721" s="2">
        <v>62.16</v>
      </c>
      <c r="BM3721" s="2">
        <v>8.6999999999999993</v>
      </c>
      <c r="BN3721" s="2">
        <v>70.86</v>
      </c>
      <c r="BO3721" s="2">
        <v>70.86</v>
      </c>
      <c r="BP3721" s="2"/>
      <c r="BQ3721" s="2" t="s">
        <v>108</v>
      </c>
      <c r="BR3721" s="2" t="s">
        <v>84</v>
      </c>
      <c r="BS3721" s="1" t="s">
        <v>1200</v>
      </c>
      <c r="BT3721" s="2"/>
      <c r="BU3721" s="2"/>
      <c r="BV3721" s="2"/>
      <c r="BW3721" s="2"/>
      <c r="BX3721" s="2"/>
      <c r="BY3721" s="2">
        <v>8178.6</v>
      </c>
      <c r="BZ3721" s="2"/>
      <c r="CA3721" s="2"/>
      <c r="CB3721" s="2"/>
      <c r="CC3721" s="2" t="s">
        <v>98</v>
      </c>
      <c r="CD3721" s="2">
        <v>6001</v>
      </c>
      <c r="CE3721" s="2" t="s">
        <v>89</v>
      </c>
      <c r="CF3721" s="2"/>
      <c r="CG3721" s="2"/>
      <c r="CH3721" s="2"/>
      <c r="CI3721" s="2">
        <v>1</v>
      </c>
      <c r="CJ3721" s="2" t="s">
        <v>1200</v>
      </c>
      <c r="CK3721" s="2">
        <v>21</v>
      </c>
      <c r="CL3721" s="2" t="s">
        <v>86</v>
      </c>
      <c r="CM3721" s="2"/>
    </row>
    <row r="3722" spans="1:91">
      <c r="A3722" s="2" t="s">
        <v>71</v>
      </c>
      <c r="B3722" s="2" t="s">
        <v>72</v>
      </c>
      <c r="C3722" s="2" t="s">
        <v>73</v>
      </c>
      <c r="D3722" s="2"/>
      <c r="E3722" s="2" t="str">
        <f>"FES1162572600"</f>
        <v>FES1162572600</v>
      </c>
      <c r="F3722" s="3">
        <v>42978</v>
      </c>
      <c r="G3722" s="2">
        <v>201802</v>
      </c>
      <c r="H3722" s="2" t="s">
        <v>74</v>
      </c>
      <c r="I3722" s="2" t="s">
        <v>75</v>
      </c>
      <c r="J3722" s="2" t="s">
        <v>76</v>
      </c>
      <c r="K3722" s="2" t="s">
        <v>77</v>
      </c>
      <c r="L3722" s="2" t="s">
        <v>723</v>
      </c>
      <c r="M3722" s="2" t="s">
        <v>724</v>
      </c>
      <c r="N3722" s="2" t="s">
        <v>2327</v>
      </c>
      <c r="O3722" s="2" t="s">
        <v>100</v>
      </c>
      <c r="P3722" s="2" t="str">
        <f>"2170588073                    "</f>
        <v xml:space="preserve">2170588073                    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5.63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0</v>
      </c>
      <c r="AU3722" s="2">
        <v>0</v>
      </c>
      <c r="AV3722" s="2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2">
        <v>0</v>
      </c>
      <c r="BD3722" s="2">
        <v>0</v>
      </c>
      <c r="BE3722" s="2">
        <v>0</v>
      </c>
      <c r="BF3722" s="2">
        <v>0</v>
      </c>
      <c r="BG3722" s="2">
        <v>0</v>
      </c>
      <c r="BH3722" s="2">
        <v>1</v>
      </c>
      <c r="BI3722" s="2">
        <v>1</v>
      </c>
      <c r="BJ3722" s="2">
        <v>0.2</v>
      </c>
      <c r="BK3722" s="2">
        <v>1</v>
      </c>
      <c r="BL3722" s="2">
        <v>58.28</v>
      </c>
      <c r="BM3722" s="2">
        <v>8.16</v>
      </c>
      <c r="BN3722" s="2">
        <v>66.44</v>
      </c>
      <c r="BO3722" s="2">
        <v>66.44</v>
      </c>
      <c r="BP3722" s="2"/>
      <c r="BQ3722" s="2" t="s">
        <v>108</v>
      </c>
      <c r="BR3722" s="2" t="s">
        <v>84</v>
      </c>
      <c r="BS3722" s="1" t="s">
        <v>1200</v>
      </c>
      <c r="BT3722" s="2"/>
      <c r="BU3722" s="2"/>
      <c r="BV3722" s="2"/>
      <c r="BW3722" s="2"/>
      <c r="BX3722" s="2"/>
      <c r="BY3722" s="2">
        <v>1200</v>
      </c>
      <c r="BZ3722" s="2"/>
      <c r="CA3722" s="2"/>
      <c r="CB3722" s="2"/>
      <c r="CC3722" s="2" t="s">
        <v>724</v>
      </c>
      <c r="CD3722" s="2">
        <v>1739</v>
      </c>
      <c r="CE3722" s="2" t="s">
        <v>104</v>
      </c>
      <c r="CF3722" s="2"/>
      <c r="CG3722" s="2"/>
      <c r="CH3722" s="2"/>
      <c r="CI3722" s="2">
        <v>1</v>
      </c>
      <c r="CJ3722" s="2" t="s">
        <v>1200</v>
      </c>
      <c r="CK3722" s="2">
        <v>24</v>
      </c>
      <c r="CL3722" s="2" t="s">
        <v>86</v>
      </c>
      <c r="CM3722" s="2"/>
    </row>
    <row r="3723" spans="1:91">
      <c r="A3723" s="2" t="s">
        <v>71</v>
      </c>
      <c r="B3723" s="2" t="s">
        <v>72</v>
      </c>
      <c r="C3723" s="2" t="s">
        <v>73</v>
      </c>
      <c r="D3723" s="2"/>
      <c r="E3723" s="2" t="str">
        <f>"FES1162572620"</f>
        <v>FES1162572620</v>
      </c>
      <c r="F3723" s="3">
        <v>42978</v>
      </c>
      <c r="G3723" s="2">
        <v>201802</v>
      </c>
      <c r="H3723" s="2" t="s">
        <v>74</v>
      </c>
      <c r="I3723" s="2" t="s">
        <v>75</v>
      </c>
      <c r="J3723" s="2" t="s">
        <v>76</v>
      </c>
      <c r="K3723" s="2" t="s">
        <v>77</v>
      </c>
      <c r="L3723" s="2" t="s">
        <v>105</v>
      </c>
      <c r="M3723" s="2" t="s">
        <v>106</v>
      </c>
      <c r="N3723" s="2" t="s">
        <v>2327</v>
      </c>
      <c r="O3723" s="2" t="s">
        <v>100</v>
      </c>
      <c r="P3723" s="2" t="str">
        <f>"2170588108                    "</f>
        <v xml:space="preserve">2170588108                    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4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0</v>
      </c>
      <c r="AV3723" s="2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2">
        <v>0</v>
      </c>
      <c r="BD3723" s="2">
        <v>0</v>
      </c>
      <c r="BE3723" s="2">
        <v>0</v>
      </c>
      <c r="BF3723" s="2">
        <v>0</v>
      </c>
      <c r="BG3723" s="2">
        <v>0</v>
      </c>
      <c r="BH3723" s="2">
        <v>1</v>
      </c>
      <c r="BI3723" s="2">
        <v>1</v>
      </c>
      <c r="BJ3723" s="2">
        <v>0.2</v>
      </c>
      <c r="BK3723" s="2">
        <v>1</v>
      </c>
      <c r="BL3723" s="2">
        <v>41.44</v>
      </c>
      <c r="BM3723" s="2">
        <v>5.8</v>
      </c>
      <c r="BN3723" s="2">
        <v>47.24</v>
      </c>
      <c r="BO3723" s="2">
        <v>47.24</v>
      </c>
      <c r="BP3723" s="2"/>
      <c r="BQ3723" s="2" t="s">
        <v>3611</v>
      </c>
      <c r="BR3723" s="2" t="s">
        <v>84</v>
      </c>
      <c r="BS3723" s="1" t="s">
        <v>1200</v>
      </c>
      <c r="BT3723" s="2"/>
      <c r="BU3723" s="2"/>
      <c r="BV3723" s="2"/>
      <c r="BW3723" s="2"/>
      <c r="BX3723" s="2"/>
      <c r="BY3723" s="2">
        <v>1200</v>
      </c>
      <c r="BZ3723" s="2"/>
      <c r="CA3723" s="2"/>
      <c r="CB3723" s="2"/>
      <c r="CC3723" s="2" t="s">
        <v>106</v>
      </c>
      <c r="CD3723" s="2">
        <v>7530</v>
      </c>
      <c r="CE3723" s="2" t="s">
        <v>104</v>
      </c>
      <c r="CF3723" s="2"/>
      <c r="CG3723" s="2"/>
      <c r="CH3723" s="2"/>
      <c r="CI3723" s="2">
        <v>1</v>
      </c>
      <c r="CJ3723" s="2" t="s">
        <v>1200</v>
      </c>
      <c r="CK3723" s="2">
        <v>21</v>
      </c>
      <c r="CL3723" s="2" t="s">
        <v>86</v>
      </c>
      <c r="CM3723" s="2"/>
    </row>
    <row r="3724" spans="1:91">
      <c r="A3724" s="2" t="s">
        <v>71</v>
      </c>
      <c r="B3724" s="2" t="s">
        <v>72</v>
      </c>
      <c r="C3724" s="2" t="s">
        <v>73</v>
      </c>
      <c r="D3724" s="2"/>
      <c r="E3724" s="2" t="str">
        <f>"FES1162570549"</f>
        <v>FES1162570549</v>
      </c>
      <c r="F3724" s="3">
        <v>42978</v>
      </c>
      <c r="G3724" s="2">
        <v>201802</v>
      </c>
      <c r="H3724" s="2" t="s">
        <v>74</v>
      </c>
      <c r="I3724" s="2" t="s">
        <v>75</v>
      </c>
      <c r="J3724" s="2" t="s">
        <v>76</v>
      </c>
      <c r="K3724" s="2" t="s">
        <v>77</v>
      </c>
      <c r="L3724" s="2" t="s">
        <v>339</v>
      </c>
      <c r="M3724" s="2" t="s">
        <v>340</v>
      </c>
      <c r="N3724" s="2" t="s">
        <v>341</v>
      </c>
      <c r="O3724" s="2" t="s">
        <v>100</v>
      </c>
      <c r="P3724" s="2" t="str">
        <f>"2170584019                    "</f>
        <v xml:space="preserve">2170584019                    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4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2">
        <v>0</v>
      </c>
      <c r="BD3724" s="2">
        <v>0</v>
      </c>
      <c r="BE3724" s="2">
        <v>0</v>
      </c>
      <c r="BF3724" s="2">
        <v>0</v>
      </c>
      <c r="BG3724" s="2">
        <v>0</v>
      </c>
      <c r="BH3724" s="2">
        <v>1</v>
      </c>
      <c r="BI3724" s="2">
        <v>1</v>
      </c>
      <c r="BJ3724" s="2">
        <v>0.2</v>
      </c>
      <c r="BK3724" s="2">
        <v>1</v>
      </c>
      <c r="BL3724" s="2">
        <v>41.44</v>
      </c>
      <c r="BM3724" s="2">
        <v>5.8</v>
      </c>
      <c r="BN3724" s="2">
        <v>47.24</v>
      </c>
      <c r="BO3724" s="2">
        <v>47.24</v>
      </c>
      <c r="BP3724" s="2"/>
      <c r="BQ3724" s="2" t="s">
        <v>108</v>
      </c>
      <c r="BR3724" s="2" t="s">
        <v>84</v>
      </c>
      <c r="BS3724" s="1" t="s">
        <v>1200</v>
      </c>
      <c r="BT3724" s="2"/>
      <c r="BU3724" s="2"/>
      <c r="BV3724" s="2"/>
      <c r="BW3724" s="2"/>
      <c r="BX3724" s="2"/>
      <c r="BY3724" s="2">
        <v>1200</v>
      </c>
      <c r="BZ3724" s="2"/>
      <c r="CA3724" s="2"/>
      <c r="CB3724" s="2"/>
      <c r="CC3724" s="2" t="s">
        <v>340</v>
      </c>
      <c r="CD3724" s="2">
        <v>1949</v>
      </c>
      <c r="CE3724" s="2" t="s">
        <v>104</v>
      </c>
      <c r="CF3724" s="2"/>
      <c r="CG3724" s="2"/>
      <c r="CH3724" s="2"/>
      <c r="CI3724" s="2">
        <v>1</v>
      </c>
      <c r="CJ3724" s="2" t="s">
        <v>1200</v>
      </c>
      <c r="CK3724" s="2">
        <v>21</v>
      </c>
      <c r="CL3724" s="2" t="s">
        <v>86</v>
      </c>
      <c r="CM3724" s="2"/>
    </row>
    <row r="3725" spans="1:91">
      <c r="A3725" s="2" t="s">
        <v>71</v>
      </c>
      <c r="B3725" s="2" t="s">
        <v>72</v>
      </c>
      <c r="C3725" s="2" t="s">
        <v>73</v>
      </c>
      <c r="D3725" s="2"/>
      <c r="E3725" s="2" t="str">
        <f>"FES1162572088"</f>
        <v>FES1162572088</v>
      </c>
      <c r="F3725" s="3">
        <v>42978</v>
      </c>
      <c r="G3725" s="2">
        <v>201802</v>
      </c>
      <c r="H3725" s="2" t="s">
        <v>74</v>
      </c>
      <c r="I3725" s="2" t="s">
        <v>75</v>
      </c>
      <c r="J3725" s="2" t="s">
        <v>76</v>
      </c>
      <c r="K3725" s="2" t="s">
        <v>77</v>
      </c>
      <c r="L3725" s="2" t="s">
        <v>149</v>
      </c>
      <c r="M3725" s="2" t="s">
        <v>150</v>
      </c>
      <c r="N3725" s="2" t="s">
        <v>482</v>
      </c>
      <c r="O3725" s="2" t="s">
        <v>100</v>
      </c>
      <c r="P3725" s="2" t="str">
        <f>"2170587559                    "</f>
        <v xml:space="preserve">2170587559                    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9.01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0</v>
      </c>
      <c r="AV3725" s="2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2">
        <v>0</v>
      </c>
      <c r="BD3725" s="2">
        <v>0</v>
      </c>
      <c r="BE3725" s="2">
        <v>0</v>
      </c>
      <c r="BF3725" s="2">
        <v>0</v>
      </c>
      <c r="BG3725" s="2">
        <v>0</v>
      </c>
      <c r="BH3725" s="2">
        <v>1</v>
      </c>
      <c r="BI3725" s="2">
        <v>4.4000000000000004</v>
      </c>
      <c r="BJ3725" s="2">
        <v>3.2</v>
      </c>
      <c r="BK3725" s="2">
        <v>4.5</v>
      </c>
      <c r="BL3725" s="2">
        <v>93.25</v>
      </c>
      <c r="BM3725" s="2">
        <v>13.06</v>
      </c>
      <c r="BN3725" s="2">
        <v>106.31</v>
      </c>
      <c r="BO3725" s="2">
        <v>106.31</v>
      </c>
      <c r="BP3725" s="2"/>
      <c r="BQ3725" s="2" t="s">
        <v>83</v>
      </c>
      <c r="BR3725" s="2" t="s">
        <v>84</v>
      </c>
      <c r="BS3725" s="1" t="s">
        <v>1200</v>
      </c>
      <c r="BT3725" s="2"/>
      <c r="BU3725" s="2"/>
      <c r="BV3725" s="2"/>
      <c r="BW3725" s="2"/>
      <c r="BX3725" s="2"/>
      <c r="BY3725" s="2">
        <v>16020.62</v>
      </c>
      <c r="BZ3725" s="2"/>
      <c r="CA3725" s="2"/>
      <c r="CB3725" s="2"/>
      <c r="CC3725" s="2" t="s">
        <v>150</v>
      </c>
      <c r="CD3725" s="2">
        <v>4001</v>
      </c>
      <c r="CE3725" s="2" t="s">
        <v>948</v>
      </c>
      <c r="CF3725" s="2"/>
      <c r="CG3725" s="2"/>
      <c r="CH3725" s="2"/>
      <c r="CI3725" s="2">
        <v>1</v>
      </c>
      <c r="CJ3725" s="2" t="s">
        <v>1200</v>
      </c>
      <c r="CK3725" s="2">
        <v>21</v>
      </c>
      <c r="CL3725" s="2" t="s">
        <v>86</v>
      </c>
      <c r="CM3725" s="2"/>
    </row>
    <row r="3726" spans="1:91">
      <c r="A3726" s="2" t="s">
        <v>71</v>
      </c>
      <c r="B3726" s="2" t="s">
        <v>72</v>
      </c>
      <c r="C3726" s="2" t="s">
        <v>73</v>
      </c>
      <c r="D3726" s="2"/>
      <c r="E3726" s="2" t="str">
        <f>"FES1162572673"</f>
        <v>FES1162572673</v>
      </c>
      <c r="F3726" s="3">
        <v>42978</v>
      </c>
      <c r="G3726" s="2">
        <v>201802</v>
      </c>
      <c r="H3726" s="2" t="s">
        <v>74</v>
      </c>
      <c r="I3726" s="2" t="s">
        <v>75</v>
      </c>
      <c r="J3726" s="2" t="s">
        <v>76</v>
      </c>
      <c r="K3726" s="2" t="s">
        <v>77</v>
      </c>
      <c r="L3726" s="2" t="s">
        <v>105</v>
      </c>
      <c r="M3726" s="2" t="s">
        <v>106</v>
      </c>
      <c r="N3726" s="2" t="s">
        <v>3231</v>
      </c>
      <c r="O3726" s="2" t="s">
        <v>100</v>
      </c>
      <c r="P3726" s="2" t="str">
        <f>"2170588217                    "</f>
        <v xml:space="preserve">2170588217                    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4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0</v>
      </c>
      <c r="AV3726" s="2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2">
        <v>0</v>
      </c>
      <c r="BD3726" s="2">
        <v>0</v>
      </c>
      <c r="BE3726" s="2">
        <v>0</v>
      </c>
      <c r="BF3726" s="2">
        <v>0</v>
      </c>
      <c r="BG3726" s="2">
        <v>0</v>
      </c>
      <c r="BH3726" s="2">
        <v>1</v>
      </c>
      <c r="BI3726" s="2">
        <v>1</v>
      </c>
      <c r="BJ3726" s="2">
        <v>0.2</v>
      </c>
      <c r="BK3726" s="2">
        <v>1</v>
      </c>
      <c r="BL3726" s="2">
        <v>41.44</v>
      </c>
      <c r="BM3726" s="2">
        <v>5.8</v>
      </c>
      <c r="BN3726" s="2">
        <v>47.24</v>
      </c>
      <c r="BO3726" s="2">
        <v>47.24</v>
      </c>
      <c r="BP3726" s="2"/>
      <c r="BQ3726" s="2" t="s">
        <v>108</v>
      </c>
      <c r="BR3726" s="2" t="s">
        <v>84</v>
      </c>
      <c r="BS3726" s="1" t="s">
        <v>1200</v>
      </c>
      <c r="BT3726" s="2"/>
      <c r="BU3726" s="2"/>
      <c r="BV3726" s="2"/>
      <c r="BW3726" s="2"/>
      <c r="BX3726" s="2"/>
      <c r="BY3726" s="2">
        <v>1200</v>
      </c>
      <c r="BZ3726" s="2"/>
      <c r="CA3726" s="2"/>
      <c r="CB3726" s="2"/>
      <c r="CC3726" s="2" t="s">
        <v>106</v>
      </c>
      <c r="CD3726" s="2">
        <v>7945</v>
      </c>
      <c r="CE3726" s="2" t="s">
        <v>104</v>
      </c>
      <c r="CF3726" s="2"/>
      <c r="CG3726" s="2"/>
      <c r="CH3726" s="2"/>
      <c r="CI3726" s="2">
        <v>1</v>
      </c>
      <c r="CJ3726" s="2" t="s">
        <v>1200</v>
      </c>
      <c r="CK3726" s="2">
        <v>21</v>
      </c>
      <c r="CL3726" s="2" t="s">
        <v>86</v>
      </c>
      <c r="CM3726" s="2"/>
    </row>
    <row r="3727" spans="1:91">
      <c r="A3727" s="2" t="s">
        <v>71</v>
      </c>
      <c r="B3727" s="2" t="s">
        <v>72</v>
      </c>
      <c r="C3727" s="2" t="s">
        <v>73</v>
      </c>
      <c r="D3727" s="2"/>
      <c r="E3727" s="2" t="str">
        <f>"FES1162572709"</f>
        <v>FES1162572709</v>
      </c>
      <c r="F3727" s="3">
        <v>42978</v>
      </c>
      <c r="G3727" s="2">
        <v>201802</v>
      </c>
      <c r="H3727" s="2" t="s">
        <v>74</v>
      </c>
      <c r="I3727" s="2" t="s">
        <v>75</v>
      </c>
      <c r="J3727" s="2" t="s">
        <v>76</v>
      </c>
      <c r="K3727" s="2" t="s">
        <v>77</v>
      </c>
      <c r="L3727" s="2" t="s">
        <v>362</v>
      </c>
      <c r="M3727" s="2" t="s">
        <v>363</v>
      </c>
      <c r="N3727" s="2" t="s">
        <v>2600</v>
      </c>
      <c r="O3727" s="2" t="s">
        <v>100</v>
      </c>
      <c r="P3727" s="2" t="str">
        <f>"2170588262                    "</f>
        <v xml:space="preserve">2170588262                    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17.010000000000002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0</v>
      </c>
      <c r="AV3727" s="2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2">
        <v>0</v>
      </c>
      <c r="BD3727" s="2">
        <v>0</v>
      </c>
      <c r="BE3727" s="2">
        <v>0</v>
      </c>
      <c r="BF3727" s="2">
        <v>0</v>
      </c>
      <c r="BG3727" s="2">
        <v>0</v>
      </c>
      <c r="BH3727" s="2">
        <v>1</v>
      </c>
      <c r="BI3727" s="2">
        <v>8.1</v>
      </c>
      <c r="BJ3727" s="2">
        <v>3</v>
      </c>
      <c r="BK3727" s="2">
        <v>8.5</v>
      </c>
      <c r="BL3727" s="2">
        <v>176.13</v>
      </c>
      <c r="BM3727" s="2">
        <v>24.66</v>
      </c>
      <c r="BN3727" s="2">
        <v>200.79</v>
      </c>
      <c r="BO3727" s="2">
        <v>200.79</v>
      </c>
      <c r="BP3727" s="2"/>
      <c r="BQ3727" s="2" t="s">
        <v>83</v>
      </c>
      <c r="BR3727" s="2" t="s">
        <v>84</v>
      </c>
      <c r="BS3727" s="1" t="s">
        <v>1200</v>
      </c>
      <c r="BT3727" s="2"/>
      <c r="BU3727" s="2"/>
      <c r="BV3727" s="2"/>
      <c r="BW3727" s="2"/>
      <c r="BX3727" s="2"/>
      <c r="BY3727" s="2">
        <v>14817.6</v>
      </c>
      <c r="BZ3727" s="2"/>
      <c r="CA3727" s="2"/>
      <c r="CB3727" s="2"/>
      <c r="CC3727" s="2" t="s">
        <v>363</v>
      </c>
      <c r="CD3727" s="2">
        <v>3201</v>
      </c>
      <c r="CE3727" s="2" t="s">
        <v>135</v>
      </c>
      <c r="CF3727" s="2"/>
      <c r="CG3727" s="2"/>
      <c r="CH3727" s="2"/>
      <c r="CI3727" s="2">
        <v>1</v>
      </c>
      <c r="CJ3727" s="2" t="s">
        <v>1200</v>
      </c>
      <c r="CK3727" s="2">
        <v>21</v>
      </c>
      <c r="CL3727" s="2" t="s">
        <v>86</v>
      </c>
      <c r="CM3727" s="2"/>
    </row>
    <row r="3728" spans="1:91">
      <c r="A3728" s="2" t="s">
        <v>71</v>
      </c>
      <c r="B3728" s="2" t="s">
        <v>72</v>
      </c>
      <c r="C3728" s="2" t="s">
        <v>73</v>
      </c>
      <c r="D3728" s="2"/>
      <c r="E3728" s="2" t="str">
        <f>"FES1162572711"</f>
        <v>FES1162572711</v>
      </c>
      <c r="F3728" s="3">
        <v>42978</v>
      </c>
      <c r="G3728" s="2">
        <v>201802</v>
      </c>
      <c r="H3728" s="2" t="s">
        <v>74</v>
      </c>
      <c r="I3728" s="2" t="s">
        <v>75</v>
      </c>
      <c r="J3728" s="2" t="s">
        <v>76</v>
      </c>
      <c r="K3728" s="2" t="s">
        <v>77</v>
      </c>
      <c r="L3728" s="2" t="s">
        <v>97</v>
      </c>
      <c r="M3728" s="2" t="s">
        <v>98</v>
      </c>
      <c r="N3728" s="2" t="s">
        <v>1044</v>
      </c>
      <c r="O3728" s="2" t="s">
        <v>100</v>
      </c>
      <c r="P3728" s="2" t="str">
        <f>"2170588281                    "</f>
        <v xml:space="preserve">2170588281                    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4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2">
        <v>0</v>
      </c>
      <c r="BD3728" s="2">
        <v>0</v>
      </c>
      <c r="BE3728" s="2">
        <v>0</v>
      </c>
      <c r="BF3728" s="2">
        <v>0</v>
      </c>
      <c r="BG3728" s="2">
        <v>0</v>
      </c>
      <c r="BH3728" s="2">
        <v>1</v>
      </c>
      <c r="BI3728" s="2">
        <v>1.3</v>
      </c>
      <c r="BJ3728" s="2">
        <v>1.8</v>
      </c>
      <c r="BK3728" s="2">
        <v>2</v>
      </c>
      <c r="BL3728" s="2">
        <v>41.44</v>
      </c>
      <c r="BM3728" s="2">
        <v>5.8</v>
      </c>
      <c r="BN3728" s="2">
        <v>47.24</v>
      </c>
      <c r="BO3728" s="2">
        <v>47.24</v>
      </c>
      <c r="BP3728" s="2"/>
      <c r="BQ3728" s="2" t="s">
        <v>108</v>
      </c>
      <c r="BR3728" s="2" t="s">
        <v>84</v>
      </c>
      <c r="BS3728" s="1" t="s">
        <v>1200</v>
      </c>
      <c r="BT3728" s="2"/>
      <c r="BU3728" s="2"/>
      <c r="BV3728" s="2"/>
      <c r="BW3728" s="2"/>
      <c r="BX3728" s="2"/>
      <c r="BY3728" s="2">
        <v>8825.2800000000007</v>
      </c>
      <c r="BZ3728" s="2"/>
      <c r="CA3728" s="2"/>
      <c r="CB3728" s="2"/>
      <c r="CC3728" s="2" t="s">
        <v>98</v>
      </c>
      <c r="CD3728" s="2">
        <v>6045</v>
      </c>
      <c r="CE3728" s="2" t="s">
        <v>89</v>
      </c>
      <c r="CF3728" s="2"/>
      <c r="CG3728" s="2"/>
      <c r="CH3728" s="2"/>
      <c r="CI3728" s="2">
        <v>1</v>
      </c>
      <c r="CJ3728" s="2" t="s">
        <v>1200</v>
      </c>
      <c r="CK3728" s="2">
        <v>21</v>
      </c>
      <c r="CL3728" s="2" t="s">
        <v>86</v>
      </c>
      <c r="CM3728" s="2"/>
    </row>
    <row r="3729" spans="1:91">
      <c r="A3729" s="2" t="s">
        <v>71</v>
      </c>
      <c r="B3729" s="2" t="s">
        <v>72</v>
      </c>
      <c r="C3729" s="2" t="s">
        <v>73</v>
      </c>
      <c r="D3729" s="2"/>
      <c r="E3729" s="2" t="str">
        <f>"FES1162572675"</f>
        <v>FES1162572675</v>
      </c>
      <c r="F3729" s="3">
        <v>42978</v>
      </c>
      <c r="G3729" s="2">
        <v>201802</v>
      </c>
      <c r="H3729" s="2" t="s">
        <v>74</v>
      </c>
      <c r="I3729" s="2" t="s">
        <v>75</v>
      </c>
      <c r="J3729" s="2" t="s">
        <v>76</v>
      </c>
      <c r="K3729" s="2" t="s">
        <v>77</v>
      </c>
      <c r="L3729" s="2" t="s">
        <v>105</v>
      </c>
      <c r="M3729" s="2" t="s">
        <v>106</v>
      </c>
      <c r="N3729" s="2" t="s">
        <v>827</v>
      </c>
      <c r="O3729" s="2" t="s">
        <v>100</v>
      </c>
      <c r="P3729" s="2" t="str">
        <f>"2170588219                    "</f>
        <v xml:space="preserve">2170588219                    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5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0</v>
      </c>
      <c r="AV3729" s="2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2">
        <v>0</v>
      </c>
      <c r="BD3729" s="2">
        <v>0</v>
      </c>
      <c r="BE3729" s="2">
        <v>0</v>
      </c>
      <c r="BF3729" s="2">
        <v>0</v>
      </c>
      <c r="BG3729" s="2">
        <v>0</v>
      </c>
      <c r="BH3729" s="2">
        <v>1</v>
      </c>
      <c r="BI3729" s="2">
        <v>1.2</v>
      </c>
      <c r="BJ3729" s="2">
        <v>2.2000000000000002</v>
      </c>
      <c r="BK3729" s="2">
        <v>2.5</v>
      </c>
      <c r="BL3729" s="2">
        <v>51.8</v>
      </c>
      <c r="BM3729" s="2">
        <v>7.25</v>
      </c>
      <c r="BN3729" s="2">
        <v>59.05</v>
      </c>
      <c r="BO3729" s="2">
        <v>59.05</v>
      </c>
      <c r="BP3729" s="2"/>
      <c r="BQ3729" s="2" t="s">
        <v>288</v>
      </c>
      <c r="BR3729" s="2" t="s">
        <v>84</v>
      </c>
      <c r="BS3729" s="1" t="s">
        <v>1200</v>
      </c>
      <c r="BT3729" s="2"/>
      <c r="BU3729" s="2"/>
      <c r="BV3729" s="2"/>
      <c r="BW3729" s="2"/>
      <c r="BX3729" s="2"/>
      <c r="BY3729" s="2">
        <v>10806.29</v>
      </c>
      <c r="BZ3729" s="2"/>
      <c r="CA3729" s="2"/>
      <c r="CB3729" s="2"/>
      <c r="CC3729" s="2" t="s">
        <v>106</v>
      </c>
      <c r="CD3729" s="2">
        <v>7560</v>
      </c>
      <c r="CE3729" s="2" t="s">
        <v>948</v>
      </c>
      <c r="CF3729" s="2"/>
      <c r="CG3729" s="2"/>
      <c r="CH3729" s="2"/>
      <c r="CI3729" s="2">
        <v>1</v>
      </c>
      <c r="CJ3729" s="2" t="s">
        <v>1200</v>
      </c>
      <c r="CK3729" s="2">
        <v>21</v>
      </c>
      <c r="CL3729" s="2" t="s">
        <v>86</v>
      </c>
      <c r="CM3729" s="2"/>
    </row>
    <row r="3730" spans="1:91">
      <c r="A3730" s="2" t="s">
        <v>71</v>
      </c>
      <c r="B3730" s="2" t="s">
        <v>72</v>
      </c>
      <c r="C3730" s="2" t="s">
        <v>73</v>
      </c>
      <c r="D3730" s="2"/>
      <c r="E3730" s="2" t="str">
        <f>"FES1162572653"</f>
        <v>FES1162572653</v>
      </c>
      <c r="F3730" s="3">
        <v>42978</v>
      </c>
      <c r="G3730" s="2">
        <v>201802</v>
      </c>
      <c r="H3730" s="2" t="s">
        <v>74</v>
      </c>
      <c r="I3730" s="2" t="s">
        <v>75</v>
      </c>
      <c r="J3730" s="2" t="s">
        <v>76</v>
      </c>
      <c r="K3730" s="2" t="s">
        <v>77</v>
      </c>
      <c r="L3730" s="2" t="s">
        <v>237</v>
      </c>
      <c r="M3730" s="2" t="s">
        <v>238</v>
      </c>
      <c r="N3730" s="2" t="s">
        <v>571</v>
      </c>
      <c r="O3730" s="2" t="s">
        <v>100</v>
      </c>
      <c r="P3730" s="2" t="str">
        <f>"2170588189                    "</f>
        <v xml:space="preserve">2170588189                    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4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0</v>
      </c>
      <c r="AU3730" s="2">
        <v>0</v>
      </c>
      <c r="AV3730" s="2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0</v>
      </c>
      <c r="BC3730" s="2">
        <v>0</v>
      </c>
      <c r="BD3730" s="2">
        <v>0</v>
      </c>
      <c r="BE3730" s="2">
        <v>0</v>
      </c>
      <c r="BF3730" s="2">
        <v>0</v>
      </c>
      <c r="BG3730" s="2">
        <v>0</v>
      </c>
      <c r="BH3730" s="2">
        <v>1</v>
      </c>
      <c r="BI3730" s="2">
        <v>1</v>
      </c>
      <c r="BJ3730" s="2">
        <v>0.2</v>
      </c>
      <c r="BK3730" s="2">
        <v>1</v>
      </c>
      <c r="BL3730" s="2">
        <v>41.44</v>
      </c>
      <c r="BM3730" s="2">
        <v>5.8</v>
      </c>
      <c r="BN3730" s="2">
        <v>47.24</v>
      </c>
      <c r="BO3730" s="2">
        <v>47.24</v>
      </c>
      <c r="BP3730" s="2"/>
      <c r="BQ3730" s="2" t="s">
        <v>108</v>
      </c>
      <c r="BR3730" s="2" t="s">
        <v>84</v>
      </c>
      <c r="BS3730" s="1" t="s">
        <v>1200</v>
      </c>
      <c r="BT3730" s="2"/>
      <c r="BU3730" s="2"/>
      <c r="BV3730" s="2"/>
      <c r="BW3730" s="2"/>
      <c r="BX3730" s="2"/>
      <c r="BY3730" s="2">
        <v>1200</v>
      </c>
      <c r="BZ3730" s="2"/>
      <c r="CA3730" s="2"/>
      <c r="CB3730" s="2"/>
      <c r="CC3730" s="2" t="s">
        <v>238</v>
      </c>
      <c r="CD3730" s="2">
        <v>3610</v>
      </c>
      <c r="CE3730" s="2" t="s">
        <v>104</v>
      </c>
      <c r="CF3730" s="2"/>
      <c r="CG3730" s="2"/>
      <c r="CH3730" s="2"/>
      <c r="CI3730" s="2">
        <v>1</v>
      </c>
      <c r="CJ3730" s="2" t="s">
        <v>1200</v>
      </c>
      <c r="CK3730" s="2">
        <v>21</v>
      </c>
      <c r="CL3730" s="2" t="s">
        <v>86</v>
      </c>
      <c r="CM3730" s="2"/>
    </row>
    <row r="3731" spans="1:91">
      <c r="A3731" s="2" t="s">
        <v>71</v>
      </c>
      <c r="B3731" s="2" t="s">
        <v>72</v>
      </c>
      <c r="C3731" s="2" t="s">
        <v>73</v>
      </c>
      <c r="D3731" s="2"/>
      <c r="E3731" s="2" t="str">
        <f>"FES1162572700"</f>
        <v>FES1162572700</v>
      </c>
      <c r="F3731" s="3">
        <v>42978</v>
      </c>
      <c r="G3731" s="2">
        <v>201802</v>
      </c>
      <c r="H3731" s="2" t="s">
        <v>74</v>
      </c>
      <c r="I3731" s="2" t="s">
        <v>75</v>
      </c>
      <c r="J3731" s="2" t="s">
        <v>76</v>
      </c>
      <c r="K3731" s="2" t="s">
        <v>77</v>
      </c>
      <c r="L3731" s="2" t="s">
        <v>137</v>
      </c>
      <c r="M3731" s="2" t="s">
        <v>138</v>
      </c>
      <c r="N3731" s="2" t="s">
        <v>2674</v>
      </c>
      <c r="O3731" s="2" t="s">
        <v>100</v>
      </c>
      <c r="P3731" s="2" t="str">
        <f>"2170586826                    "</f>
        <v xml:space="preserve">2170586826                    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13.01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0</v>
      </c>
      <c r="AU3731" s="2">
        <v>0</v>
      </c>
      <c r="AV3731" s="2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2">
        <v>0</v>
      </c>
      <c r="BD3731" s="2">
        <v>0</v>
      </c>
      <c r="BE3731" s="2">
        <v>0</v>
      </c>
      <c r="BF3731" s="2">
        <v>0</v>
      </c>
      <c r="BG3731" s="2">
        <v>0</v>
      </c>
      <c r="BH3731" s="2">
        <v>1</v>
      </c>
      <c r="BI3731" s="2">
        <v>3.2</v>
      </c>
      <c r="BJ3731" s="2">
        <v>6.1</v>
      </c>
      <c r="BK3731" s="2">
        <v>6.5</v>
      </c>
      <c r="BL3731" s="2">
        <v>134.69</v>
      </c>
      <c r="BM3731" s="2">
        <v>18.86</v>
      </c>
      <c r="BN3731" s="2">
        <v>153.55000000000001</v>
      </c>
      <c r="BO3731" s="2">
        <v>153.55000000000001</v>
      </c>
      <c r="BP3731" s="2"/>
      <c r="BQ3731" s="2" t="s">
        <v>3612</v>
      </c>
      <c r="BR3731" s="2" t="s">
        <v>84</v>
      </c>
      <c r="BS3731" s="1" t="s">
        <v>1200</v>
      </c>
      <c r="BT3731" s="2"/>
      <c r="BU3731" s="2"/>
      <c r="BV3731" s="2"/>
      <c r="BW3731" s="2"/>
      <c r="BX3731" s="2"/>
      <c r="BY3731" s="2">
        <v>30710.13</v>
      </c>
      <c r="BZ3731" s="2"/>
      <c r="CA3731" s="2"/>
      <c r="CB3731" s="2"/>
      <c r="CC3731" s="2" t="s">
        <v>138</v>
      </c>
      <c r="CD3731" s="2">
        <v>157</v>
      </c>
      <c r="CE3731" s="2" t="s">
        <v>948</v>
      </c>
      <c r="CF3731" s="2"/>
      <c r="CG3731" s="2"/>
      <c r="CH3731" s="2"/>
      <c r="CI3731" s="2">
        <v>1</v>
      </c>
      <c r="CJ3731" s="2" t="s">
        <v>1200</v>
      </c>
      <c r="CK3731" s="2">
        <v>21</v>
      </c>
      <c r="CL3731" s="2" t="s">
        <v>86</v>
      </c>
      <c r="CM3731" s="2"/>
    </row>
    <row r="3732" spans="1:91">
      <c r="A3732" s="2" t="s">
        <v>71</v>
      </c>
      <c r="B3732" s="2" t="s">
        <v>72</v>
      </c>
      <c r="C3732" s="2" t="s">
        <v>73</v>
      </c>
      <c r="D3732" s="2"/>
      <c r="E3732" s="2" t="str">
        <f>"FES1162572707"</f>
        <v>FES1162572707</v>
      </c>
      <c r="F3732" s="3">
        <v>42978</v>
      </c>
      <c r="G3732" s="2">
        <v>201802</v>
      </c>
      <c r="H3732" s="2" t="s">
        <v>74</v>
      </c>
      <c r="I3732" s="2" t="s">
        <v>75</v>
      </c>
      <c r="J3732" s="2" t="s">
        <v>76</v>
      </c>
      <c r="K3732" s="2" t="s">
        <v>77</v>
      </c>
      <c r="L3732" s="2" t="s">
        <v>174</v>
      </c>
      <c r="M3732" s="2" t="s">
        <v>175</v>
      </c>
      <c r="N3732" s="2" t="s">
        <v>930</v>
      </c>
      <c r="O3732" s="2" t="s">
        <v>358</v>
      </c>
      <c r="P3732" s="2" t="str">
        <f>"2170586776                    "</f>
        <v xml:space="preserve">2170586776                    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33.770000000000003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0</v>
      </c>
      <c r="AU3732" s="2">
        <v>0</v>
      </c>
      <c r="AV3732" s="2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2">
        <v>0</v>
      </c>
      <c r="BD3732" s="2">
        <v>0</v>
      </c>
      <c r="BE3732" s="2">
        <v>0</v>
      </c>
      <c r="BF3732" s="2">
        <v>0</v>
      </c>
      <c r="BG3732" s="2">
        <v>0</v>
      </c>
      <c r="BH3732" s="2">
        <v>1</v>
      </c>
      <c r="BI3732" s="2">
        <v>12.7</v>
      </c>
      <c r="BJ3732" s="2">
        <v>17.8</v>
      </c>
      <c r="BK3732" s="2">
        <v>18</v>
      </c>
      <c r="BL3732" s="2">
        <v>349.67</v>
      </c>
      <c r="BM3732" s="2">
        <v>48.95</v>
      </c>
      <c r="BN3732" s="2">
        <v>398.62</v>
      </c>
      <c r="BO3732" s="2">
        <v>398.62</v>
      </c>
      <c r="BP3732" s="2"/>
      <c r="BQ3732" s="2" t="s">
        <v>83</v>
      </c>
      <c r="BR3732" s="2" t="s">
        <v>84</v>
      </c>
      <c r="BS3732" s="1" t="s">
        <v>1200</v>
      </c>
      <c r="BT3732" s="2"/>
      <c r="BU3732" s="2"/>
      <c r="BV3732" s="2"/>
      <c r="BW3732" s="2"/>
      <c r="BX3732" s="2"/>
      <c r="BY3732" s="2">
        <v>88759.94</v>
      </c>
      <c r="BZ3732" s="2"/>
      <c r="CA3732" s="2"/>
      <c r="CB3732" s="2"/>
      <c r="CC3732" s="2" t="s">
        <v>175</v>
      </c>
      <c r="CD3732" s="2">
        <v>5201</v>
      </c>
      <c r="CE3732" s="2" t="s">
        <v>89</v>
      </c>
      <c r="CF3732" s="2"/>
      <c r="CG3732" s="2"/>
      <c r="CH3732" s="2"/>
      <c r="CI3732" s="2">
        <v>1</v>
      </c>
      <c r="CJ3732" s="2" t="s">
        <v>1200</v>
      </c>
      <c r="CK3732" s="2">
        <v>31</v>
      </c>
      <c r="CL3732" s="2" t="s">
        <v>86</v>
      </c>
      <c r="CM3732" s="2"/>
    </row>
    <row r="3733" spans="1:91">
      <c r="A3733" s="2" t="s">
        <v>71</v>
      </c>
      <c r="B3733" s="2" t="s">
        <v>72</v>
      </c>
      <c r="C3733" s="2" t="s">
        <v>73</v>
      </c>
      <c r="D3733" s="2"/>
      <c r="E3733" s="2" t="str">
        <f>"FES1162570174"</f>
        <v>FES1162570174</v>
      </c>
      <c r="F3733" s="3">
        <v>42978</v>
      </c>
      <c r="G3733" s="2">
        <v>201802</v>
      </c>
      <c r="H3733" s="2" t="s">
        <v>74</v>
      </c>
      <c r="I3733" s="2" t="s">
        <v>75</v>
      </c>
      <c r="J3733" s="2" t="s">
        <v>76</v>
      </c>
      <c r="K3733" s="2" t="s">
        <v>77</v>
      </c>
      <c r="L3733" s="2" t="s">
        <v>343</v>
      </c>
      <c r="M3733" s="2" t="s">
        <v>344</v>
      </c>
      <c r="N3733" s="2" t="s">
        <v>1961</v>
      </c>
      <c r="O3733" s="2" t="s">
        <v>100</v>
      </c>
      <c r="P3733" s="2" t="str">
        <f>"2170585474                    "</f>
        <v xml:space="preserve">2170585474                    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4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0</v>
      </c>
      <c r="AU3733" s="2">
        <v>0</v>
      </c>
      <c r="AV3733" s="2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2">
        <v>0</v>
      </c>
      <c r="BD3733" s="2">
        <v>0</v>
      </c>
      <c r="BE3733" s="2">
        <v>0</v>
      </c>
      <c r="BF3733" s="2">
        <v>0</v>
      </c>
      <c r="BG3733" s="2">
        <v>0</v>
      </c>
      <c r="BH3733" s="2">
        <v>1</v>
      </c>
      <c r="BI3733" s="2">
        <v>1</v>
      </c>
      <c r="BJ3733" s="2">
        <v>0.9</v>
      </c>
      <c r="BK3733" s="2">
        <v>1</v>
      </c>
      <c r="BL3733" s="2">
        <v>41.44</v>
      </c>
      <c r="BM3733" s="2">
        <v>5.8</v>
      </c>
      <c r="BN3733" s="2">
        <v>47.24</v>
      </c>
      <c r="BO3733" s="2">
        <v>47.24</v>
      </c>
      <c r="BP3733" s="2"/>
      <c r="BQ3733" s="2" t="s">
        <v>108</v>
      </c>
      <c r="BR3733" s="2" t="s">
        <v>84</v>
      </c>
      <c r="BS3733" s="1" t="s">
        <v>1200</v>
      </c>
      <c r="BT3733" s="2"/>
      <c r="BU3733" s="2"/>
      <c r="BV3733" s="2"/>
      <c r="BW3733" s="2"/>
      <c r="BX3733" s="2"/>
      <c r="BY3733" s="2">
        <v>4560</v>
      </c>
      <c r="BZ3733" s="2"/>
      <c r="CA3733" s="2"/>
      <c r="CB3733" s="2"/>
      <c r="CC3733" s="2" t="s">
        <v>344</v>
      </c>
      <c r="CD3733" s="2">
        <v>4133</v>
      </c>
      <c r="CE3733" s="2" t="s">
        <v>135</v>
      </c>
      <c r="CF3733" s="2"/>
      <c r="CG3733" s="2"/>
      <c r="CH3733" s="2"/>
      <c r="CI3733" s="2">
        <v>1</v>
      </c>
      <c r="CJ3733" s="2" t="s">
        <v>1200</v>
      </c>
      <c r="CK3733" s="2">
        <v>21</v>
      </c>
      <c r="CL3733" s="2" t="s">
        <v>86</v>
      </c>
      <c r="CM3733" s="2"/>
    </row>
    <row r="3734" spans="1:91">
      <c r="A3734" s="2" t="s">
        <v>71</v>
      </c>
      <c r="B3734" s="2" t="s">
        <v>72</v>
      </c>
      <c r="C3734" s="2" t="s">
        <v>73</v>
      </c>
      <c r="D3734" s="2"/>
      <c r="E3734" s="2" t="str">
        <f>"FES1162572666"</f>
        <v>FES1162572666</v>
      </c>
      <c r="F3734" s="3">
        <v>42978</v>
      </c>
      <c r="G3734" s="2">
        <v>201802</v>
      </c>
      <c r="H3734" s="2" t="s">
        <v>74</v>
      </c>
      <c r="I3734" s="2" t="s">
        <v>75</v>
      </c>
      <c r="J3734" s="2" t="s">
        <v>76</v>
      </c>
      <c r="K3734" s="2" t="s">
        <v>77</v>
      </c>
      <c r="L3734" s="2" t="s">
        <v>268</v>
      </c>
      <c r="M3734" s="2" t="s">
        <v>269</v>
      </c>
      <c r="N3734" s="2" t="s">
        <v>442</v>
      </c>
      <c r="O3734" s="2" t="s">
        <v>100</v>
      </c>
      <c r="P3734" s="2" t="str">
        <f>"2170587390                    "</f>
        <v xml:space="preserve">2170587390                    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4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2">
        <v>0</v>
      </c>
      <c r="BD3734" s="2">
        <v>0</v>
      </c>
      <c r="BE3734" s="2">
        <v>0</v>
      </c>
      <c r="BF3734" s="2">
        <v>0</v>
      </c>
      <c r="BG3734" s="2">
        <v>0</v>
      </c>
      <c r="BH3734" s="2">
        <v>1</v>
      </c>
      <c r="BI3734" s="2">
        <v>1</v>
      </c>
      <c r="BJ3734" s="2">
        <v>0.2</v>
      </c>
      <c r="BK3734" s="2">
        <v>1</v>
      </c>
      <c r="BL3734" s="2">
        <v>41.44</v>
      </c>
      <c r="BM3734" s="2">
        <v>5.8</v>
      </c>
      <c r="BN3734" s="2">
        <v>47.24</v>
      </c>
      <c r="BO3734" s="2">
        <v>47.24</v>
      </c>
      <c r="BP3734" s="2"/>
      <c r="BQ3734" s="2" t="s">
        <v>83</v>
      </c>
      <c r="BR3734" s="2" t="s">
        <v>84</v>
      </c>
      <c r="BS3734" s="1" t="s">
        <v>1200</v>
      </c>
      <c r="BT3734" s="2"/>
      <c r="BU3734" s="2"/>
      <c r="BV3734" s="2"/>
      <c r="BW3734" s="2"/>
      <c r="BX3734" s="2"/>
      <c r="BY3734" s="2">
        <v>1200</v>
      </c>
      <c r="BZ3734" s="2"/>
      <c r="CA3734" s="2"/>
      <c r="CB3734" s="2"/>
      <c r="CC3734" s="2" t="s">
        <v>269</v>
      </c>
      <c r="CD3734" s="2">
        <v>1</v>
      </c>
      <c r="CE3734" s="2" t="s">
        <v>104</v>
      </c>
      <c r="CF3734" s="2"/>
      <c r="CG3734" s="2"/>
      <c r="CH3734" s="2"/>
      <c r="CI3734" s="2">
        <v>1</v>
      </c>
      <c r="CJ3734" s="2" t="s">
        <v>1200</v>
      </c>
      <c r="CK3734" s="2">
        <v>21</v>
      </c>
      <c r="CL3734" s="2" t="s">
        <v>86</v>
      </c>
      <c r="CM3734" s="2"/>
    </row>
    <row r="3735" spans="1:91">
      <c r="A3735" s="2" t="s">
        <v>71</v>
      </c>
      <c r="B3735" s="2" t="s">
        <v>72</v>
      </c>
      <c r="C3735" s="2" t="s">
        <v>73</v>
      </c>
      <c r="D3735" s="2"/>
      <c r="E3735" s="2" t="str">
        <f>"FES1162572657"</f>
        <v>FES1162572657</v>
      </c>
      <c r="F3735" s="3">
        <v>42978</v>
      </c>
      <c r="G3735" s="2">
        <v>201802</v>
      </c>
      <c r="H3735" s="2" t="s">
        <v>74</v>
      </c>
      <c r="I3735" s="2" t="s">
        <v>75</v>
      </c>
      <c r="J3735" s="2" t="s">
        <v>76</v>
      </c>
      <c r="K3735" s="2" t="s">
        <v>77</v>
      </c>
      <c r="L3735" s="2" t="s">
        <v>268</v>
      </c>
      <c r="M3735" s="2" t="s">
        <v>269</v>
      </c>
      <c r="N3735" s="2" t="s">
        <v>442</v>
      </c>
      <c r="O3735" s="2" t="s">
        <v>100</v>
      </c>
      <c r="P3735" s="2" t="str">
        <f>"2170587276                    "</f>
        <v xml:space="preserve">2170587276                    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4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0</v>
      </c>
      <c r="AV3735" s="2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2">
        <v>0</v>
      </c>
      <c r="BD3735" s="2">
        <v>0</v>
      </c>
      <c r="BE3735" s="2">
        <v>0</v>
      </c>
      <c r="BF3735" s="2">
        <v>0</v>
      </c>
      <c r="BG3735" s="2">
        <v>0</v>
      </c>
      <c r="BH3735" s="2">
        <v>1</v>
      </c>
      <c r="BI3735" s="2">
        <v>1</v>
      </c>
      <c r="BJ3735" s="2">
        <v>0.2</v>
      </c>
      <c r="BK3735" s="2">
        <v>1</v>
      </c>
      <c r="BL3735" s="2">
        <v>41.44</v>
      </c>
      <c r="BM3735" s="2">
        <v>5.8</v>
      </c>
      <c r="BN3735" s="2">
        <v>47.24</v>
      </c>
      <c r="BO3735" s="2">
        <v>47.24</v>
      </c>
      <c r="BP3735" s="2"/>
      <c r="BQ3735" s="2" t="s">
        <v>83</v>
      </c>
      <c r="BR3735" s="2" t="s">
        <v>84</v>
      </c>
      <c r="BS3735" s="1" t="s">
        <v>1200</v>
      </c>
      <c r="BT3735" s="2"/>
      <c r="BU3735" s="2"/>
      <c r="BV3735" s="2"/>
      <c r="BW3735" s="2"/>
      <c r="BX3735" s="2"/>
      <c r="BY3735" s="2">
        <v>1200</v>
      </c>
      <c r="BZ3735" s="2"/>
      <c r="CA3735" s="2"/>
      <c r="CB3735" s="2"/>
      <c r="CC3735" s="2" t="s">
        <v>269</v>
      </c>
      <c r="CD3735" s="2">
        <v>1</v>
      </c>
      <c r="CE3735" s="2" t="s">
        <v>104</v>
      </c>
      <c r="CF3735" s="2"/>
      <c r="CG3735" s="2"/>
      <c r="CH3735" s="2"/>
      <c r="CI3735" s="2">
        <v>1</v>
      </c>
      <c r="CJ3735" s="2" t="s">
        <v>1200</v>
      </c>
      <c r="CK3735" s="2">
        <v>21</v>
      </c>
      <c r="CL3735" s="2" t="s">
        <v>86</v>
      </c>
      <c r="CM3735" s="2"/>
    </row>
    <row r="3736" spans="1:91">
      <c r="A3736" s="2" t="s">
        <v>71</v>
      </c>
      <c r="B3736" s="2" t="s">
        <v>72</v>
      </c>
      <c r="C3736" s="2" t="s">
        <v>73</v>
      </c>
      <c r="D3736" s="2"/>
      <c r="E3736" s="2" t="str">
        <f>"FES1162572515"</f>
        <v>FES1162572515</v>
      </c>
      <c r="F3736" s="3">
        <v>42978</v>
      </c>
      <c r="G3736" s="2">
        <v>201802</v>
      </c>
      <c r="H3736" s="2" t="s">
        <v>74</v>
      </c>
      <c r="I3736" s="2" t="s">
        <v>75</v>
      </c>
      <c r="J3736" s="2" t="s">
        <v>76</v>
      </c>
      <c r="K3736" s="2" t="s">
        <v>77</v>
      </c>
      <c r="L3736" s="2" t="s">
        <v>244</v>
      </c>
      <c r="M3736" s="2" t="s">
        <v>245</v>
      </c>
      <c r="N3736" s="2" t="s">
        <v>3613</v>
      </c>
      <c r="O3736" s="2" t="s">
        <v>100</v>
      </c>
      <c r="P3736" s="2" t="str">
        <f>"2170581836                    "</f>
        <v xml:space="preserve">2170581836                    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3.13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2">
        <v>0</v>
      </c>
      <c r="BD3736" s="2">
        <v>0</v>
      </c>
      <c r="BE3736" s="2">
        <v>0</v>
      </c>
      <c r="BF3736" s="2">
        <v>0</v>
      </c>
      <c r="BG3736" s="2">
        <v>0</v>
      </c>
      <c r="BH3736" s="2">
        <v>1</v>
      </c>
      <c r="BI3736" s="2">
        <v>1</v>
      </c>
      <c r="BJ3736" s="2">
        <v>0.2</v>
      </c>
      <c r="BK3736" s="2">
        <v>1</v>
      </c>
      <c r="BL3736" s="2">
        <v>32.380000000000003</v>
      </c>
      <c r="BM3736" s="2">
        <v>4.53</v>
      </c>
      <c r="BN3736" s="2">
        <v>36.909999999999997</v>
      </c>
      <c r="BO3736" s="2">
        <v>36.909999999999997</v>
      </c>
      <c r="BP3736" s="2"/>
      <c r="BQ3736" s="2" t="s">
        <v>108</v>
      </c>
      <c r="BR3736" s="2" t="s">
        <v>84</v>
      </c>
      <c r="BS3736" s="1" t="s">
        <v>1200</v>
      </c>
      <c r="BT3736" s="2"/>
      <c r="BU3736" s="2"/>
      <c r="BV3736" s="2"/>
      <c r="BW3736" s="2"/>
      <c r="BX3736" s="2"/>
      <c r="BY3736" s="2">
        <v>1200</v>
      </c>
      <c r="BZ3736" s="2"/>
      <c r="CA3736" s="2"/>
      <c r="CB3736" s="2"/>
      <c r="CC3736" s="2" t="s">
        <v>245</v>
      </c>
      <c r="CD3736" s="2">
        <v>1459</v>
      </c>
      <c r="CE3736" s="2" t="s">
        <v>104</v>
      </c>
      <c r="CF3736" s="2"/>
      <c r="CG3736" s="2"/>
      <c r="CH3736" s="2"/>
      <c r="CI3736" s="2">
        <v>1</v>
      </c>
      <c r="CJ3736" s="2" t="s">
        <v>1200</v>
      </c>
      <c r="CK3736" s="2">
        <v>22</v>
      </c>
      <c r="CL3736" s="2" t="s">
        <v>86</v>
      </c>
      <c r="CM3736" s="2"/>
    </row>
    <row r="3737" spans="1:91">
      <c r="A3737" s="2" t="s">
        <v>71</v>
      </c>
      <c r="B3737" s="2" t="s">
        <v>72</v>
      </c>
      <c r="C3737" s="2" t="s">
        <v>73</v>
      </c>
      <c r="D3737" s="2"/>
      <c r="E3737" s="2" t="str">
        <f>"Rfes1162572113"</f>
        <v>Rfes1162572113</v>
      </c>
      <c r="F3737" s="3">
        <v>42978</v>
      </c>
      <c r="G3737" s="2">
        <v>201802</v>
      </c>
      <c r="H3737" s="2" t="s">
        <v>149</v>
      </c>
      <c r="I3737" s="2" t="s">
        <v>150</v>
      </c>
      <c r="J3737" s="2" t="s">
        <v>427</v>
      </c>
      <c r="K3737" s="2" t="s">
        <v>77</v>
      </c>
      <c r="L3737" s="2" t="s">
        <v>144</v>
      </c>
      <c r="M3737" s="2" t="s">
        <v>145</v>
      </c>
      <c r="N3737" s="2" t="s">
        <v>76</v>
      </c>
      <c r="O3737" s="2" t="s">
        <v>100</v>
      </c>
      <c r="P3737" s="2" t="str">
        <f>"2170587539                    "</f>
        <v xml:space="preserve">2170587539                    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7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0</v>
      </c>
      <c r="AV3737" s="2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2">
        <v>0</v>
      </c>
      <c r="BD3737" s="2">
        <v>0</v>
      </c>
      <c r="BE3737" s="2">
        <v>0</v>
      </c>
      <c r="BF3737" s="2">
        <v>0</v>
      </c>
      <c r="BG3737" s="2">
        <v>0</v>
      </c>
      <c r="BH3737" s="2">
        <v>1</v>
      </c>
      <c r="BI3737" s="2">
        <v>3.1</v>
      </c>
      <c r="BJ3737" s="2">
        <v>1.8</v>
      </c>
      <c r="BK3737" s="2">
        <v>3.5</v>
      </c>
      <c r="BL3737" s="2">
        <v>72.52</v>
      </c>
      <c r="BM3737" s="2">
        <v>10.15</v>
      </c>
      <c r="BN3737" s="2">
        <v>82.67</v>
      </c>
      <c r="BO3737" s="2">
        <v>82.67</v>
      </c>
      <c r="BP3737" s="2"/>
      <c r="BQ3737" s="2" t="s">
        <v>84</v>
      </c>
      <c r="BR3737" s="2" t="s">
        <v>1917</v>
      </c>
      <c r="BS3737" s="1" t="s">
        <v>1200</v>
      </c>
      <c r="BT3737" s="2"/>
      <c r="BU3737" s="2"/>
      <c r="BV3737" s="2"/>
      <c r="BW3737" s="2"/>
      <c r="BX3737" s="2"/>
      <c r="BY3737" s="2">
        <v>9117.36</v>
      </c>
      <c r="BZ3737" s="2" t="s">
        <v>27</v>
      </c>
      <c r="CA3737" s="2"/>
      <c r="CB3737" s="2"/>
      <c r="CC3737" s="2" t="s">
        <v>145</v>
      </c>
      <c r="CD3737" s="2">
        <v>2000</v>
      </c>
      <c r="CE3737" s="2" t="s">
        <v>948</v>
      </c>
      <c r="CF3737" s="2"/>
      <c r="CG3737" s="2"/>
      <c r="CH3737" s="2"/>
      <c r="CI3737" s="2">
        <v>1</v>
      </c>
      <c r="CJ3737" s="2" t="s">
        <v>1200</v>
      </c>
      <c r="CK3737" s="2">
        <v>21</v>
      </c>
      <c r="CL3737" s="2" t="s">
        <v>86</v>
      </c>
      <c r="CM3737" s="2"/>
    </row>
    <row r="3738" spans="1:91">
      <c r="A3738" s="2" t="s">
        <v>71</v>
      </c>
      <c r="B3738" s="2" t="s">
        <v>72</v>
      </c>
      <c r="C3738" s="2" t="s">
        <v>73</v>
      </c>
      <c r="D3738" s="2"/>
      <c r="E3738" s="2" t="str">
        <f>"019910852232"</f>
        <v>019910852232</v>
      </c>
      <c r="F3738" s="3">
        <v>42978</v>
      </c>
      <c r="G3738" s="2">
        <v>201802</v>
      </c>
      <c r="H3738" s="2" t="s">
        <v>164</v>
      </c>
      <c r="I3738" s="2" t="s">
        <v>165</v>
      </c>
      <c r="J3738" s="2" t="s">
        <v>3614</v>
      </c>
      <c r="K3738" s="2" t="s">
        <v>77</v>
      </c>
      <c r="L3738" s="2" t="s">
        <v>74</v>
      </c>
      <c r="M3738" s="2" t="s">
        <v>75</v>
      </c>
      <c r="N3738" s="2" t="s">
        <v>118</v>
      </c>
      <c r="O3738" s="2" t="s">
        <v>81</v>
      </c>
      <c r="P3738" s="2" t="str">
        <f>"                              "</f>
        <v xml:space="preserve">                              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9.76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0</v>
      </c>
      <c r="AV3738" s="2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0</v>
      </c>
      <c r="BC3738" s="2">
        <v>0</v>
      </c>
      <c r="BD3738" s="2">
        <v>0</v>
      </c>
      <c r="BE3738" s="2">
        <v>0</v>
      </c>
      <c r="BF3738" s="2">
        <v>0</v>
      </c>
      <c r="BG3738" s="2">
        <v>0</v>
      </c>
      <c r="BH3738" s="2">
        <v>1</v>
      </c>
      <c r="BI3738" s="2">
        <v>7.8</v>
      </c>
      <c r="BJ3738" s="2">
        <v>3.5</v>
      </c>
      <c r="BK3738" s="2">
        <v>8</v>
      </c>
      <c r="BL3738" s="2">
        <v>106.02</v>
      </c>
      <c r="BM3738" s="2">
        <v>14.84</v>
      </c>
      <c r="BN3738" s="2">
        <v>120.86</v>
      </c>
      <c r="BO3738" s="2">
        <v>120.86</v>
      </c>
      <c r="BP3738" s="2"/>
      <c r="BQ3738" s="2"/>
      <c r="BR3738" s="2" t="s">
        <v>3615</v>
      </c>
      <c r="BS3738" s="1" t="s">
        <v>1200</v>
      </c>
      <c r="BT3738" s="2"/>
      <c r="BU3738" s="2"/>
      <c r="BV3738" s="2"/>
      <c r="BW3738" s="2"/>
      <c r="BX3738" s="2"/>
      <c r="BY3738" s="2">
        <v>17414.32</v>
      </c>
      <c r="BZ3738" s="2"/>
      <c r="CA3738" s="2"/>
      <c r="CB3738" s="2"/>
      <c r="CC3738" s="2" t="s">
        <v>75</v>
      </c>
      <c r="CD3738" s="2">
        <v>1600</v>
      </c>
      <c r="CE3738" s="2" t="s">
        <v>89</v>
      </c>
      <c r="CF3738" s="2"/>
      <c r="CG3738" s="2"/>
      <c r="CH3738" s="2"/>
      <c r="CI3738" s="2">
        <v>2</v>
      </c>
      <c r="CJ3738" s="2" t="s">
        <v>1200</v>
      </c>
      <c r="CK3738" s="2" t="s">
        <v>169</v>
      </c>
      <c r="CL3738" s="2" t="s">
        <v>86</v>
      </c>
      <c r="CM3738" s="2"/>
    </row>
    <row r="3739" spans="1:91">
      <c r="A3739" s="2" t="s">
        <v>3332</v>
      </c>
      <c r="B3739" s="2" t="s">
        <v>72</v>
      </c>
      <c r="C3739" s="2" t="s">
        <v>73</v>
      </c>
      <c r="D3739" s="2"/>
      <c r="E3739" s="2" t="str">
        <f>"009936641763"</f>
        <v>009936641763</v>
      </c>
      <c r="F3739" s="3">
        <v>42978</v>
      </c>
      <c r="G3739" s="2">
        <v>201802</v>
      </c>
      <c r="H3739" s="2" t="s">
        <v>74</v>
      </c>
      <c r="I3739" s="2" t="s">
        <v>75</v>
      </c>
      <c r="J3739" s="2" t="s">
        <v>3616</v>
      </c>
      <c r="K3739" s="2" t="s">
        <v>77</v>
      </c>
      <c r="L3739" s="2" t="s">
        <v>74</v>
      </c>
      <c r="M3739" s="2" t="s">
        <v>75</v>
      </c>
      <c r="N3739" s="2" t="s">
        <v>3617</v>
      </c>
      <c r="O3739" s="2" t="s">
        <v>81</v>
      </c>
      <c r="P3739" s="2" t="str">
        <f>"                              "</f>
        <v xml:space="preserve">                              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5.63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0</v>
      </c>
      <c r="AU3739" s="2">
        <v>0</v>
      </c>
      <c r="AV3739" s="2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2">
        <v>0</v>
      </c>
      <c r="BD3739" s="2">
        <v>0</v>
      </c>
      <c r="BE3739" s="2">
        <v>0</v>
      </c>
      <c r="BF3739" s="2">
        <v>0</v>
      </c>
      <c r="BG3739" s="2">
        <v>0</v>
      </c>
      <c r="BH3739" s="2">
        <v>1</v>
      </c>
      <c r="BI3739" s="2">
        <v>0.5</v>
      </c>
      <c r="BJ3739" s="2">
        <v>0.2</v>
      </c>
      <c r="BK3739" s="2">
        <v>1</v>
      </c>
      <c r="BL3739" s="2">
        <v>63.28</v>
      </c>
      <c r="BM3739" s="2">
        <v>8.86</v>
      </c>
      <c r="BN3739" s="2">
        <v>72.14</v>
      </c>
      <c r="BO3739" s="2">
        <v>72.14</v>
      </c>
      <c r="BP3739" s="2"/>
      <c r="BQ3739" s="2"/>
      <c r="BR3739" s="2"/>
      <c r="BS3739" s="1" t="s">
        <v>1200</v>
      </c>
      <c r="BT3739" s="2"/>
      <c r="BU3739" s="2"/>
      <c r="BV3739" s="2"/>
      <c r="BW3739" s="2"/>
      <c r="BX3739" s="2"/>
      <c r="BY3739" s="2">
        <v>1200</v>
      </c>
      <c r="BZ3739" s="2"/>
      <c r="CA3739" s="2"/>
      <c r="CB3739" s="2"/>
      <c r="CC3739" s="2" t="s">
        <v>75</v>
      </c>
      <c r="CD3739" s="2">
        <v>1619</v>
      </c>
      <c r="CE3739" s="2" t="s">
        <v>89</v>
      </c>
      <c r="CF3739" s="2"/>
      <c r="CG3739" s="2"/>
      <c r="CH3739" s="2"/>
      <c r="CI3739" s="2">
        <v>1</v>
      </c>
      <c r="CJ3739" s="2" t="s">
        <v>1200</v>
      </c>
      <c r="CK3739" s="2" t="s">
        <v>132</v>
      </c>
      <c r="CL3739" s="2" t="s">
        <v>86</v>
      </c>
      <c r="CM3739" s="2"/>
    </row>
    <row r="3740" spans="1:91">
      <c r="A3740" s="2" t="s">
        <v>71</v>
      </c>
      <c r="B3740" s="2" t="s">
        <v>72</v>
      </c>
      <c r="C3740" s="2" t="s">
        <v>73</v>
      </c>
      <c r="D3740" s="2"/>
      <c r="E3740" s="2" t="str">
        <f>"080001723726"</f>
        <v>080001723726</v>
      </c>
      <c r="F3740" s="3">
        <v>42977</v>
      </c>
      <c r="G3740" s="2">
        <v>201802</v>
      </c>
      <c r="H3740" s="2" t="s">
        <v>206</v>
      </c>
      <c r="I3740" s="2" t="s">
        <v>207</v>
      </c>
      <c r="J3740" s="2" t="s">
        <v>208</v>
      </c>
      <c r="K3740" s="2" t="s">
        <v>77</v>
      </c>
      <c r="L3740" s="2" t="s">
        <v>74</v>
      </c>
      <c r="M3740" s="2" t="s">
        <v>75</v>
      </c>
      <c r="N3740" s="2" t="s">
        <v>118</v>
      </c>
      <c r="O3740" s="2" t="s">
        <v>81</v>
      </c>
      <c r="P3740" s="2" t="str">
        <f>"ZA1000661825                  "</f>
        <v xml:space="preserve">ZA1000661825                  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6.88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0</v>
      </c>
      <c r="AU3740" s="2">
        <v>0</v>
      </c>
      <c r="AV3740" s="2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2">
        <v>0</v>
      </c>
      <c r="BD3740" s="2">
        <v>0</v>
      </c>
      <c r="BE3740" s="2">
        <v>0</v>
      </c>
      <c r="BF3740" s="2">
        <v>0</v>
      </c>
      <c r="BG3740" s="2">
        <v>0</v>
      </c>
      <c r="BH3740" s="2">
        <v>1</v>
      </c>
      <c r="BI3740" s="2">
        <v>1</v>
      </c>
      <c r="BJ3740" s="2">
        <v>0.2</v>
      </c>
      <c r="BK3740" s="2">
        <v>1</v>
      </c>
      <c r="BL3740" s="2">
        <v>76.23</v>
      </c>
      <c r="BM3740" s="2">
        <v>10.67</v>
      </c>
      <c r="BN3740" s="2">
        <v>86.9</v>
      </c>
      <c r="BO3740" s="2">
        <v>86.9</v>
      </c>
      <c r="BP3740" s="2" t="s">
        <v>3618</v>
      </c>
      <c r="BQ3740" s="2" t="s">
        <v>3619</v>
      </c>
      <c r="BR3740" s="2" t="s">
        <v>438</v>
      </c>
      <c r="BS3740" s="1" t="s">
        <v>1200</v>
      </c>
      <c r="BT3740" s="2"/>
      <c r="BU3740" s="2"/>
      <c r="BV3740" s="2"/>
      <c r="BW3740" s="2"/>
      <c r="BX3740" s="2"/>
      <c r="BY3740" s="2">
        <v>1200</v>
      </c>
      <c r="BZ3740" s="2"/>
      <c r="CA3740" s="2"/>
      <c r="CB3740" s="2"/>
      <c r="CC3740" s="2" t="s">
        <v>75</v>
      </c>
      <c r="CD3740" s="2">
        <v>1600</v>
      </c>
      <c r="CE3740" s="2" t="s">
        <v>89</v>
      </c>
      <c r="CF3740" s="2"/>
      <c r="CG3740" s="2"/>
      <c r="CH3740" s="2"/>
      <c r="CI3740" s="2">
        <v>0</v>
      </c>
      <c r="CJ3740" s="2">
        <v>0</v>
      </c>
      <c r="CK3740" s="2" t="s">
        <v>3620</v>
      </c>
      <c r="CL3740" s="2" t="s">
        <v>86</v>
      </c>
      <c r="CM3740" s="2"/>
    </row>
    <row r="3741" spans="1:91">
      <c r="A3741" s="2" t="s">
        <v>71</v>
      </c>
      <c r="B3741" s="2" t="s">
        <v>72</v>
      </c>
      <c r="C3741" s="2" t="s">
        <v>73</v>
      </c>
      <c r="D3741" s="2"/>
      <c r="E3741" s="2" t="str">
        <f>"FES1162572468"</f>
        <v>FES1162572468</v>
      </c>
      <c r="F3741" s="3">
        <v>42978</v>
      </c>
      <c r="G3741" s="2">
        <v>201802</v>
      </c>
      <c r="H3741" s="2" t="s">
        <v>74</v>
      </c>
      <c r="I3741" s="2" t="s">
        <v>75</v>
      </c>
      <c r="J3741" s="2" t="s">
        <v>76</v>
      </c>
      <c r="K3741" s="2" t="s">
        <v>77</v>
      </c>
      <c r="L3741" s="2" t="s">
        <v>170</v>
      </c>
      <c r="M3741" s="2" t="s">
        <v>171</v>
      </c>
      <c r="N3741" s="2" t="s">
        <v>3621</v>
      </c>
      <c r="O3741" s="2" t="s">
        <v>81</v>
      </c>
      <c r="P3741" s="2" t="str">
        <f>"2170588012                    "</f>
        <v xml:space="preserve">2170588012                    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8.07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0</v>
      </c>
      <c r="AV3741" s="2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2">
        <v>0</v>
      </c>
      <c r="BD3741" s="2">
        <v>0</v>
      </c>
      <c r="BE3741" s="2">
        <v>0</v>
      </c>
      <c r="BF3741" s="2">
        <v>0</v>
      </c>
      <c r="BG3741" s="2">
        <v>0</v>
      </c>
      <c r="BH3741" s="2">
        <v>2</v>
      </c>
      <c r="BI3741" s="2">
        <v>27.8</v>
      </c>
      <c r="BJ3741" s="2">
        <v>12.7</v>
      </c>
      <c r="BK3741" s="2">
        <v>28</v>
      </c>
      <c r="BL3741" s="2">
        <v>88.6</v>
      </c>
      <c r="BM3741" s="2">
        <v>12.4</v>
      </c>
      <c r="BN3741" s="2">
        <v>101</v>
      </c>
      <c r="BO3741" s="2">
        <v>101</v>
      </c>
      <c r="BP3741" s="2"/>
      <c r="BQ3741" s="2" t="s">
        <v>108</v>
      </c>
      <c r="BR3741" s="2" t="s">
        <v>84</v>
      </c>
      <c r="BS3741" s="1" t="s">
        <v>1200</v>
      </c>
      <c r="BT3741" s="2"/>
      <c r="BU3741" s="2"/>
      <c r="BV3741" s="2"/>
      <c r="BW3741" s="2"/>
      <c r="BX3741" s="2"/>
      <c r="BY3741" s="2">
        <v>63390.21</v>
      </c>
      <c r="BZ3741" s="2"/>
      <c r="CA3741" s="2"/>
      <c r="CB3741" s="2"/>
      <c r="CC3741" s="2" t="s">
        <v>171</v>
      </c>
      <c r="CD3741" s="2">
        <v>1422</v>
      </c>
      <c r="CE3741" s="2" t="s">
        <v>89</v>
      </c>
      <c r="CF3741" s="2"/>
      <c r="CG3741" s="2"/>
      <c r="CH3741" s="2"/>
      <c r="CI3741" s="2">
        <v>1</v>
      </c>
      <c r="CJ3741" s="2" t="s">
        <v>1200</v>
      </c>
      <c r="CK3741" s="2" t="s">
        <v>132</v>
      </c>
      <c r="CL3741" s="2" t="s">
        <v>86</v>
      </c>
      <c r="CM3741" s="2"/>
    </row>
    <row r="3742" spans="1:91">
      <c r="A3742" s="2" t="s">
        <v>71</v>
      </c>
      <c r="B3742" s="2" t="s">
        <v>72</v>
      </c>
      <c r="C3742" s="2" t="s">
        <v>73</v>
      </c>
      <c r="D3742" s="2"/>
      <c r="E3742" s="2" t="str">
        <f>"FES1162572565"</f>
        <v>FES1162572565</v>
      </c>
      <c r="F3742" s="3">
        <v>42978</v>
      </c>
      <c r="G3742" s="2">
        <v>201802</v>
      </c>
      <c r="H3742" s="2" t="s">
        <v>74</v>
      </c>
      <c r="I3742" s="2" t="s">
        <v>75</v>
      </c>
      <c r="J3742" s="2" t="s">
        <v>76</v>
      </c>
      <c r="K3742" s="2" t="s">
        <v>77</v>
      </c>
      <c r="L3742" s="2" t="s">
        <v>97</v>
      </c>
      <c r="M3742" s="2" t="s">
        <v>98</v>
      </c>
      <c r="N3742" s="2" t="s">
        <v>248</v>
      </c>
      <c r="O3742" s="2" t="s">
        <v>81</v>
      </c>
      <c r="P3742" s="2" t="str">
        <f>"2170586365                    "</f>
        <v xml:space="preserve">2170586365                    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10.3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2">
        <v>0</v>
      </c>
      <c r="BD3742" s="2">
        <v>0</v>
      </c>
      <c r="BE3742" s="2">
        <v>0</v>
      </c>
      <c r="BF3742" s="2">
        <v>0</v>
      </c>
      <c r="BG3742" s="2">
        <v>0</v>
      </c>
      <c r="BH3742" s="2">
        <v>1</v>
      </c>
      <c r="BI3742" s="2">
        <v>21</v>
      </c>
      <c r="BJ3742" s="2">
        <v>18</v>
      </c>
      <c r="BK3742" s="2">
        <v>21</v>
      </c>
      <c r="BL3742" s="2">
        <v>111.62</v>
      </c>
      <c r="BM3742" s="2">
        <v>15.63</v>
      </c>
      <c r="BN3742" s="2">
        <v>127.25</v>
      </c>
      <c r="BO3742" s="2">
        <v>127.25</v>
      </c>
      <c r="BP3742" s="2"/>
      <c r="BQ3742" s="2" t="s">
        <v>83</v>
      </c>
      <c r="BR3742" s="2" t="s">
        <v>84</v>
      </c>
      <c r="BS3742" s="1" t="s">
        <v>1200</v>
      </c>
      <c r="BT3742" s="2"/>
      <c r="BU3742" s="2"/>
      <c r="BV3742" s="2"/>
      <c r="BW3742" s="2"/>
      <c r="BX3742" s="2"/>
      <c r="BY3742" s="2">
        <v>90000</v>
      </c>
      <c r="BZ3742" s="2"/>
      <c r="CA3742" s="2"/>
      <c r="CB3742" s="2"/>
      <c r="CC3742" s="2" t="s">
        <v>98</v>
      </c>
      <c r="CD3742" s="2">
        <v>6001</v>
      </c>
      <c r="CE3742" s="2" t="s">
        <v>89</v>
      </c>
      <c r="CF3742" s="2"/>
      <c r="CG3742" s="2"/>
      <c r="CH3742" s="2"/>
      <c r="CI3742" s="2">
        <v>2</v>
      </c>
      <c r="CJ3742" s="2" t="s">
        <v>1200</v>
      </c>
      <c r="CK3742" s="2" t="s">
        <v>136</v>
      </c>
      <c r="CL3742" s="2" t="s">
        <v>86</v>
      </c>
      <c r="CM3742" s="2"/>
    </row>
    <row r="3743" spans="1:91">
      <c r="A3743" s="2" t="s">
        <v>71</v>
      </c>
      <c r="B3743" s="2" t="s">
        <v>72</v>
      </c>
      <c r="C3743" s="2" t="s">
        <v>73</v>
      </c>
      <c r="D3743" s="2"/>
      <c r="E3743" s="2" t="str">
        <f>"FES1162572488"</f>
        <v>FES1162572488</v>
      </c>
      <c r="F3743" s="3">
        <v>42978</v>
      </c>
      <c r="G3743" s="2">
        <v>201802</v>
      </c>
      <c r="H3743" s="2" t="s">
        <v>74</v>
      </c>
      <c r="I3743" s="2" t="s">
        <v>75</v>
      </c>
      <c r="J3743" s="2" t="s">
        <v>76</v>
      </c>
      <c r="K3743" s="2" t="s">
        <v>77</v>
      </c>
      <c r="L3743" s="2" t="s">
        <v>97</v>
      </c>
      <c r="M3743" s="2" t="s">
        <v>98</v>
      </c>
      <c r="N3743" s="2" t="s">
        <v>214</v>
      </c>
      <c r="O3743" s="2" t="s">
        <v>81</v>
      </c>
      <c r="P3743" s="2" t="str">
        <f>"21705788039                   "</f>
        <v xml:space="preserve">21705788039                   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8.19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0</v>
      </c>
      <c r="BA3743" s="2">
        <v>0</v>
      </c>
      <c r="BB3743" s="2">
        <v>0</v>
      </c>
      <c r="BC3743" s="2">
        <v>0</v>
      </c>
      <c r="BD3743" s="2">
        <v>0</v>
      </c>
      <c r="BE3743" s="2">
        <v>0</v>
      </c>
      <c r="BF3743" s="2">
        <v>0</v>
      </c>
      <c r="BG3743" s="2">
        <v>0</v>
      </c>
      <c r="BH3743" s="2">
        <v>1</v>
      </c>
      <c r="BI3743" s="2">
        <v>4.9000000000000004</v>
      </c>
      <c r="BJ3743" s="2">
        <v>2.4</v>
      </c>
      <c r="BK3743" s="2">
        <v>5</v>
      </c>
      <c r="BL3743" s="2">
        <v>89.83</v>
      </c>
      <c r="BM3743" s="2">
        <v>12.58</v>
      </c>
      <c r="BN3743" s="2">
        <v>102.41</v>
      </c>
      <c r="BO3743" s="2">
        <v>102.41</v>
      </c>
      <c r="BP3743" s="2" t="s">
        <v>3622</v>
      </c>
      <c r="BQ3743" s="2" t="s">
        <v>108</v>
      </c>
      <c r="BR3743" s="2" t="s">
        <v>84</v>
      </c>
      <c r="BS3743" s="1" t="s">
        <v>1200</v>
      </c>
      <c r="BT3743" s="2"/>
      <c r="BU3743" s="2"/>
      <c r="BV3743" s="2"/>
      <c r="BW3743" s="2"/>
      <c r="BX3743" s="2"/>
      <c r="BY3743" s="2">
        <v>12238.98</v>
      </c>
      <c r="BZ3743" s="2"/>
      <c r="CA3743" s="2"/>
      <c r="CB3743" s="2"/>
      <c r="CC3743" s="2" t="s">
        <v>98</v>
      </c>
      <c r="CD3743" s="2">
        <v>6001</v>
      </c>
      <c r="CE3743" s="2" t="s">
        <v>948</v>
      </c>
      <c r="CF3743" s="2"/>
      <c r="CG3743" s="2"/>
      <c r="CH3743" s="2"/>
      <c r="CI3743" s="2">
        <v>2</v>
      </c>
      <c r="CJ3743" s="2" t="s">
        <v>1200</v>
      </c>
      <c r="CK3743" s="2" t="s">
        <v>136</v>
      </c>
      <c r="CL3743" s="2" t="s">
        <v>86</v>
      </c>
      <c r="CM3743" s="2"/>
    </row>
    <row r="3744" spans="1:91">
      <c r="A3744" s="2" t="s">
        <v>71</v>
      </c>
      <c r="B3744" s="2" t="s">
        <v>72</v>
      </c>
      <c r="C3744" s="2" t="s">
        <v>73</v>
      </c>
      <c r="D3744" s="2"/>
      <c r="E3744" s="2" t="str">
        <f>"FES1162572710"</f>
        <v>FES1162572710</v>
      </c>
      <c r="F3744" s="3">
        <v>42978</v>
      </c>
      <c r="G3744" s="2">
        <v>201802</v>
      </c>
      <c r="H3744" s="2" t="s">
        <v>74</v>
      </c>
      <c r="I3744" s="2" t="s">
        <v>75</v>
      </c>
      <c r="J3744" s="2" t="s">
        <v>76</v>
      </c>
      <c r="K3744" s="2" t="s">
        <v>77</v>
      </c>
      <c r="L3744" s="2" t="s">
        <v>137</v>
      </c>
      <c r="M3744" s="2" t="s">
        <v>138</v>
      </c>
      <c r="N3744" s="2" t="s">
        <v>544</v>
      </c>
      <c r="O3744" s="2" t="s">
        <v>81</v>
      </c>
      <c r="P3744" s="2" t="str">
        <f>"2170586322                    "</f>
        <v xml:space="preserve">2170586322                    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7.09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2">
        <v>0</v>
      </c>
      <c r="BD3744" s="2">
        <v>0</v>
      </c>
      <c r="BE3744" s="2">
        <v>0</v>
      </c>
      <c r="BF3744" s="2">
        <v>0</v>
      </c>
      <c r="BG3744" s="2">
        <v>0</v>
      </c>
      <c r="BH3744" s="2">
        <v>1</v>
      </c>
      <c r="BI3744" s="2">
        <v>15.4</v>
      </c>
      <c r="BJ3744" s="2">
        <v>5.6</v>
      </c>
      <c r="BK3744" s="2">
        <v>16</v>
      </c>
      <c r="BL3744" s="2">
        <v>78.430000000000007</v>
      </c>
      <c r="BM3744" s="2">
        <v>10.98</v>
      </c>
      <c r="BN3744" s="2">
        <v>89.41</v>
      </c>
      <c r="BO3744" s="2">
        <v>89.41</v>
      </c>
      <c r="BP3744" s="2"/>
      <c r="BQ3744" s="2" t="s">
        <v>227</v>
      </c>
      <c r="BR3744" s="2" t="s">
        <v>84</v>
      </c>
      <c r="BS3744" s="1" t="s">
        <v>1200</v>
      </c>
      <c r="BT3744" s="2"/>
      <c r="BU3744" s="2"/>
      <c r="BV3744" s="2"/>
      <c r="BW3744" s="2"/>
      <c r="BX3744" s="2"/>
      <c r="BY3744" s="2">
        <v>27954.58</v>
      </c>
      <c r="BZ3744" s="2"/>
      <c r="CA3744" s="2"/>
      <c r="CB3744" s="2"/>
      <c r="CC3744" s="2" t="s">
        <v>138</v>
      </c>
      <c r="CD3744" s="2">
        <v>157</v>
      </c>
      <c r="CE3744" s="2" t="s">
        <v>135</v>
      </c>
      <c r="CF3744" s="2"/>
      <c r="CG3744" s="2"/>
      <c r="CH3744" s="2"/>
      <c r="CI3744" s="2">
        <v>0</v>
      </c>
      <c r="CJ3744" s="2">
        <v>0</v>
      </c>
      <c r="CK3744" s="2" t="s">
        <v>143</v>
      </c>
      <c r="CL3744" s="2" t="s">
        <v>86</v>
      </c>
      <c r="CM3744" s="2"/>
    </row>
    <row r="3745" spans="1:91">
      <c r="A3745" s="2" t="s">
        <v>71</v>
      </c>
      <c r="B3745" s="2" t="s">
        <v>72</v>
      </c>
      <c r="C3745" s="2" t="s">
        <v>73</v>
      </c>
      <c r="D3745" s="2"/>
      <c r="E3745" s="2" t="str">
        <f>"FES1162572658"</f>
        <v>FES1162572658</v>
      </c>
      <c r="F3745" s="3">
        <v>42978</v>
      </c>
      <c r="G3745" s="2">
        <v>201802</v>
      </c>
      <c r="H3745" s="2" t="s">
        <v>74</v>
      </c>
      <c r="I3745" s="2" t="s">
        <v>75</v>
      </c>
      <c r="J3745" s="2" t="s">
        <v>76</v>
      </c>
      <c r="K3745" s="2" t="s">
        <v>77</v>
      </c>
      <c r="L3745" s="2" t="s">
        <v>137</v>
      </c>
      <c r="M3745" s="2" t="s">
        <v>138</v>
      </c>
      <c r="N3745" s="2" t="s">
        <v>3204</v>
      </c>
      <c r="O3745" s="2" t="s">
        <v>81</v>
      </c>
      <c r="P3745" s="2" t="str">
        <f>"2170588191                    "</f>
        <v xml:space="preserve">2170588191                    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10.5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0</v>
      </c>
      <c r="AU3745" s="2">
        <v>0</v>
      </c>
      <c r="AV3745" s="2">
        <v>0</v>
      </c>
      <c r="AW3745" s="2">
        <v>0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2">
        <v>0</v>
      </c>
      <c r="BD3745" s="2">
        <v>0</v>
      </c>
      <c r="BE3745" s="2">
        <v>0</v>
      </c>
      <c r="BF3745" s="2">
        <v>0</v>
      </c>
      <c r="BG3745" s="2">
        <v>0</v>
      </c>
      <c r="BH3745" s="2">
        <v>1</v>
      </c>
      <c r="BI3745" s="2">
        <v>14</v>
      </c>
      <c r="BJ3745" s="2">
        <v>31.6</v>
      </c>
      <c r="BK3745" s="2">
        <v>32</v>
      </c>
      <c r="BL3745" s="2">
        <v>113.68</v>
      </c>
      <c r="BM3745" s="2">
        <v>15.92</v>
      </c>
      <c r="BN3745" s="2">
        <v>129.6</v>
      </c>
      <c r="BO3745" s="2">
        <v>129.6</v>
      </c>
      <c r="BP3745" s="2"/>
      <c r="BQ3745" s="2" t="s">
        <v>83</v>
      </c>
      <c r="BR3745" s="2" t="s">
        <v>84</v>
      </c>
      <c r="BS3745" s="1" t="s">
        <v>1200</v>
      </c>
      <c r="BT3745" s="2"/>
      <c r="BU3745" s="2"/>
      <c r="BV3745" s="2"/>
      <c r="BW3745" s="2"/>
      <c r="BX3745" s="2"/>
      <c r="BY3745" s="2">
        <v>157920</v>
      </c>
      <c r="BZ3745" s="2"/>
      <c r="CA3745" s="2"/>
      <c r="CB3745" s="2"/>
      <c r="CC3745" s="2" t="s">
        <v>138</v>
      </c>
      <c r="CD3745" s="2">
        <v>157</v>
      </c>
      <c r="CE3745" s="2" t="s">
        <v>89</v>
      </c>
      <c r="CF3745" s="2"/>
      <c r="CG3745" s="2"/>
      <c r="CH3745" s="2"/>
      <c r="CI3745" s="2">
        <v>0</v>
      </c>
      <c r="CJ3745" s="2">
        <v>0</v>
      </c>
      <c r="CK3745" s="2" t="s">
        <v>143</v>
      </c>
      <c r="CL3745" s="2" t="s">
        <v>86</v>
      </c>
      <c r="CM3745" s="2"/>
    </row>
    <row r="3746" spans="1:91">
      <c r="A3746" s="2" t="s">
        <v>71</v>
      </c>
      <c r="B3746" s="2" t="s">
        <v>72</v>
      </c>
      <c r="C3746" s="2" t="s">
        <v>73</v>
      </c>
      <c r="D3746" s="2"/>
      <c r="E3746" s="2" t="str">
        <f>"FES1162572664"</f>
        <v>FES1162572664</v>
      </c>
      <c r="F3746" s="3">
        <v>42978</v>
      </c>
      <c r="G3746" s="2">
        <v>201802</v>
      </c>
      <c r="H3746" s="2" t="s">
        <v>74</v>
      </c>
      <c r="I3746" s="2" t="s">
        <v>75</v>
      </c>
      <c r="J3746" s="2" t="s">
        <v>76</v>
      </c>
      <c r="K3746" s="2" t="s">
        <v>77</v>
      </c>
      <c r="L3746" s="2" t="s">
        <v>144</v>
      </c>
      <c r="M3746" s="2" t="s">
        <v>145</v>
      </c>
      <c r="N3746" s="2" t="s">
        <v>1350</v>
      </c>
      <c r="O3746" s="2" t="s">
        <v>81</v>
      </c>
      <c r="P3746" s="2" t="str">
        <f>"2170588206                    "</f>
        <v xml:space="preserve">2170588206                    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15.79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0</v>
      </c>
      <c r="AU3746" s="2">
        <v>0</v>
      </c>
      <c r="AV3746" s="2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2">
        <v>0</v>
      </c>
      <c r="BD3746" s="2">
        <v>0</v>
      </c>
      <c r="BE3746" s="2">
        <v>0</v>
      </c>
      <c r="BF3746" s="2">
        <v>0</v>
      </c>
      <c r="BG3746" s="2">
        <v>0</v>
      </c>
      <c r="BH3746" s="2">
        <v>2</v>
      </c>
      <c r="BI3746" s="2">
        <v>40.700000000000003</v>
      </c>
      <c r="BJ3746" s="2">
        <v>68.5</v>
      </c>
      <c r="BK3746" s="2">
        <v>69</v>
      </c>
      <c r="BL3746" s="2">
        <v>168.48</v>
      </c>
      <c r="BM3746" s="2">
        <v>23.59</v>
      </c>
      <c r="BN3746" s="2">
        <v>192.07</v>
      </c>
      <c r="BO3746" s="2">
        <v>192.07</v>
      </c>
      <c r="BP3746" s="2"/>
      <c r="BQ3746" s="2" t="s">
        <v>108</v>
      </c>
      <c r="BR3746" s="2" t="s">
        <v>84</v>
      </c>
      <c r="BS3746" s="1" t="s">
        <v>1200</v>
      </c>
      <c r="BT3746" s="2"/>
      <c r="BU3746" s="2"/>
      <c r="BV3746" s="2"/>
      <c r="BW3746" s="2"/>
      <c r="BX3746" s="2"/>
      <c r="BY3746" s="2">
        <v>342372.57</v>
      </c>
      <c r="BZ3746" s="2"/>
      <c r="CA3746" s="2"/>
      <c r="CB3746" s="2"/>
      <c r="CC3746" s="2" t="s">
        <v>145</v>
      </c>
      <c r="CD3746" s="2">
        <v>2013</v>
      </c>
      <c r="CE3746" s="2" t="s">
        <v>89</v>
      </c>
      <c r="CF3746" s="2"/>
      <c r="CG3746" s="2"/>
      <c r="CH3746" s="2"/>
      <c r="CI3746" s="2">
        <v>1</v>
      </c>
      <c r="CJ3746" s="2" t="s">
        <v>1200</v>
      </c>
      <c r="CK3746" s="2" t="s">
        <v>132</v>
      </c>
      <c r="CL3746" s="2" t="s">
        <v>86</v>
      </c>
      <c r="CM3746" s="2"/>
    </row>
    <row r="3747" spans="1:91">
      <c r="A3747" s="2" t="s">
        <v>71</v>
      </c>
      <c r="B3747" s="2" t="s">
        <v>72</v>
      </c>
      <c r="C3747" s="2" t="s">
        <v>73</v>
      </c>
      <c r="D3747" s="2"/>
      <c r="E3747" s="2" t="str">
        <f>"FES1162572512"</f>
        <v>FES1162572512</v>
      </c>
      <c r="F3747" s="3">
        <v>42978</v>
      </c>
      <c r="G3747" s="2">
        <v>201802</v>
      </c>
      <c r="H3747" s="2" t="s">
        <v>74</v>
      </c>
      <c r="I3747" s="2" t="s">
        <v>75</v>
      </c>
      <c r="J3747" s="2" t="s">
        <v>76</v>
      </c>
      <c r="K3747" s="2" t="s">
        <v>77</v>
      </c>
      <c r="L3747" s="2" t="s">
        <v>97</v>
      </c>
      <c r="M3747" s="2" t="s">
        <v>98</v>
      </c>
      <c r="N3747" s="2" t="s">
        <v>250</v>
      </c>
      <c r="O3747" s="2" t="s">
        <v>81</v>
      </c>
      <c r="P3747" s="2" t="str">
        <f>"2170580822                    "</f>
        <v xml:space="preserve">2170580822                    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13.45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2">
        <v>0</v>
      </c>
      <c r="BD3747" s="2">
        <v>0</v>
      </c>
      <c r="BE3747" s="2">
        <v>0</v>
      </c>
      <c r="BF3747" s="2">
        <v>0</v>
      </c>
      <c r="BG3747" s="2">
        <v>0</v>
      </c>
      <c r="BH3747" s="2">
        <v>2</v>
      </c>
      <c r="BI3747" s="2">
        <v>29.3</v>
      </c>
      <c r="BJ3747" s="2">
        <v>7.3</v>
      </c>
      <c r="BK3747" s="2">
        <v>30</v>
      </c>
      <c r="BL3747" s="2">
        <v>144.29</v>
      </c>
      <c r="BM3747" s="2">
        <v>20.2</v>
      </c>
      <c r="BN3747" s="2">
        <v>164.49</v>
      </c>
      <c r="BO3747" s="2">
        <v>164.49</v>
      </c>
      <c r="BP3747" s="2"/>
      <c r="BQ3747" s="2" t="s">
        <v>288</v>
      </c>
      <c r="BR3747" s="2" t="s">
        <v>84</v>
      </c>
      <c r="BS3747" s="1" t="s">
        <v>1200</v>
      </c>
      <c r="BT3747" s="2"/>
      <c r="BU3747" s="2"/>
      <c r="BV3747" s="2"/>
      <c r="BW3747" s="2"/>
      <c r="BX3747" s="2"/>
      <c r="BY3747" s="2">
        <v>36291.910000000003</v>
      </c>
      <c r="BZ3747" s="2"/>
      <c r="CA3747" s="2"/>
      <c r="CB3747" s="2"/>
      <c r="CC3747" s="2" t="s">
        <v>98</v>
      </c>
      <c r="CD3747" s="2">
        <v>6012</v>
      </c>
      <c r="CE3747" s="2" t="s">
        <v>89</v>
      </c>
      <c r="CF3747" s="2"/>
      <c r="CG3747" s="2"/>
      <c r="CH3747" s="2"/>
      <c r="CI3747" s="2">
        <v>2</v>
      </c>
      <c r="CJ3747" s="2" t="s">
        <v>1200</v>
      </c>
      <c r="CK3747" s="2" t="s">
        <v>136</v>
      </c>
      <c r="CL3747" s="2" t="s">
        <v>86</v>
      </c>
      <c r="CM3747" s="2"/>
    </row>
    <row r="3748" spans="1:91">
      <c r="A3748" s="2" t="s">
        <v>71</v>
      </c>
      <c r="B3748" s="2" t="s">
        <v>72</v>
      </c>
      <c r="C3748" s="2" t="s">
        <v>73</v>
      </c>
      <c r="D3748" s="2"/>
      <c r="E3748" s="2" t="str">
        <f>"FES1162572618"</f>
        <v>FES1162572618</v>
      </c>
      <c r="F3748" s="3">
        <v>42978</v>
      </c>
      <c r="G3748" s="2">
        <v>201802</v>
      </c>
      <c r="H3748" s="2" t="s">
        <v>74</v>
      </c>
      <c r="I3748" s="2" t="s">
        <v>75</v>
      </c>
      <c r="J3748" s="2" t="s">
        <v>76</v>
      </c>
      <c r="K3748" s="2" t="s">
        <v>77</v>
      </c>
      <c r="L3748" s="2" t="s">
        <v>252</v>
      </c>
      <c r="M3748" s="2" t="s">
        <v>106</v>
      </c>
      <c r="N3748" s="2" t="s">
        <v>534</v>
      </c>
      <c r="O3748" s="2" t="s">
        <v>81</v>
      </c>
      <c r="P3748" s="2" t="str">
        <f>"2170585709                    "</f>
        <v xml:space="preserve">2170585709                    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15.21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0</v>
      </c>
      <c r="AU3748" s="2">
        <v>0</v>
      </c>
      <c r="AV3748" s="2">
        <v>0</v>
      </c>
      <c r="AW3748" s="2">
        <v>0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2">
        <v>0</v>
      </c>
      <c r="BD3748" s="2">
        <v>0</v>
      </c>
      <c r="BE3748" s="2">
        <v>0</v>
      </c>
      <c r="BF3748" s="2">
        <v>0</v>
      </c>
      <c r="BG3748" s="2">
        <v>0</v>
      </c>
      <c r="BH3748" s="2">
        <v>2</v>
      </c>
      <c r="BI3748" s="2">
        <v>34.5</v>
      </c>
      <c r="BJ3748" s="2">
        <v>16.7</v>
      </c>
      <c r="BK3748" s="2">
        <v>35</v>
      </c>
      <c r="BL3748" s="2">
        <v>162.44999999999999</v>
      </c>
      <c r="BM3748" s="2">
        <v>22.74</v>
      </c>
      <c r="BN3748" s="2">
        <v>185.19</v>
      </c>
      <c r="BO3748" s="2">
        <v>185.19</v>
      </c>
      <c r="BP3748" s="2"/>
      <c r="BQ3748" s="2" t="s">
        <v>2535</v>
      </c>
      <c r="BR3748" s="2" t="s">
        <v>84</v>
      </c>
      <c r="BS3748" s="1" t="s">
        <v>1200</v>
      </c>
      <c r="BT3748" s="2"/>
      <c r="BU3748" s="2"/>
      <c r="BV3748" s="2"/>
      <c r="BW3748" s="2"/>
      <c r="BX3748" s="2"/>
      <c r="BY3748" s="2">
        <v>83469.039999999994</v>
      </c>
      <c r="BZ3748" s="2"/>
      <c r="CA3748" s="2"/>
      <c r="CB3748" s="2"/>
      <c r="CC3748" s="2" t="s">
        <v>106</v>
      </c>
      <c r="CD3748" s="2">
        <v>7405</v>
      </c>
      <c r="CE3748" s="2" t="s">
        <v>89</v>
      </c>
      <c r="CF3748" s="2"/>
      <c r="CG3748" s="2"/>
      <c r="CH3748" s="2"/>
      <c r="CI3748" s="2">
        <v>2</v>
      </c>
      <c r="CJ3748" s="2" t="s">
        <v>1200</v>
      </c>
      <c r="CK3748" s="2" t="s">
        <v>136</v>
      </c>
      <c r="CL3748" s="2" t="s">
        <v>86</v>
      </c>
      <c r="CM3748" s="2"/>
    </row>
    <row r="3749" spans="1:91">
      <c r="A3749" s="2" t="s">
        <v>71</v>
      </c>
      <c r="B3749" s="2" t="s">
        <v>72</v>
      </c>
      <c r="C3749" s="2" t="s">
        <v>73</v>
      </c>
      <c r="D3749" s="2"/>
      <c r="E3749" s="2" t="str">
        <f>"FES1162572706"</f>
        <v>FES1162572706</v>
      </c>
      <c r="F3749" s="3">
        <v>42978</v>
      </c>
      <c r="G3749" s="2">
        <v>201802</v>
      </c>
      <c r="H3749" s="2" t="s">
        <v>74</v>
      </c>
      <c r="I3749" s="2" t="s">
        <v>75</v>
      </c>
      <c r="J3749" s="2" t="s">
        <v>76</v>
      </c>
      <c r="K3749" s="2" t="s">
        <v>77</v>
      </c>
      <c r="L3749" s="2" t="s">
        <v>252</v>
      </c>
      <c r="M3749" s="2" t="s">
        <v>106</v>
      </c>
      <c r="N3749" s="2" t="s">
        <v>1143</v>
      </c>
      <c r="O3749" s="2" t="s">
        <v>81</v>
      </c>
      <c r="P3749" s="2" t="str">
        <f>"2170584135                    "</f>
        <v xml:space="preserve">2170584135                    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15.56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2">
        <v>0</v>
      </c>
      <c r="BD3749" s="2">
        <v>0</v>
      </c>
      <c r="BE3749" s="2">
        <v>0</v>
      </c>
      <c r="BF3749" s="2">
        <v>0</v>
      </c>
      <c r="BG3749" s="2">
        <v>0</v>
      </c>
      <c r="BH3749" s="2">
        <v>2</v>
      </c>
      <c r="BI3749" s="2">
        <v>25.6</v>
      </c>
      <c r="BJ3749" s="2">
        <v>35.6</v>
      </c>
      <c r="BK3749" s="2">
        <v>36</v>
      </c>
      <c r="BL3749" s="2">
        <v>166.08</v>
      </c>
      <c r="BM3749" s="2">
        <v>23.25</v>
      </c>
      <c r="BN3749" s="2">
        <v>189.33</v>
      </c>
      <c r="BO3749" s="2">
        <v>189.33</v>
      </c>
      <c r="BP3749" s="2"/>
      <c r="BQ3749" s="2" t="s">
        <v>108</v>
      </c>
      <c r="BR3749" s="2" t="s">
        <v>84</v>
      </c>
      <c r="BS3749" s="1" t="s">
        <v>1200</v>
      </c>
      <c r="BT3749" s="2"/>
      <c r="BU3749" s="2"/>
      <c r="BV3749" s="2"/>
      <c r="BW3749" s="2"/>
      <c r="BX3749" s="2"/>
      <c r="BY3749" s="2">
        <v>178053.75</v>
      </c>
      <c r="BZ3749" s="2"/>
      <c r="CA3749" s="2"/>
      <c r="CB3749" s="2"/>
      <c r="CC3749" s="2" t="s">
        <v>106</v>
      </c>
      <c r="CD3749" s="2">
        <v>7925</v>
      </c>
      <c r="CE3749" s="2" t="s">
        <v>89</v>
      </c>
      <c r="CF3749" s="2"/>
      <c r="CG3749" s="2"/>
      <c r="CH3749" s="2"/>
      <c r="CI3749" s="2">
        <v>2</v>
      </c>
      <c r="CJ3749" s="2" t="s">
        <v>1200</v>
      </c>
      <c r="CK3749" s="2" t="s">
        <v>136</v>
      </c>
      <c r="CL3749" s="2" t="s">
        <v>86</v>
      </c>
      <c r="CM3749" s="2"/>
    </row>
    <row r="3750" spans="1:91">
      <c r="A3750" s="2" t="s">
        <v>71</v>
      </c>
      <c r="B3750" s="2" t="s">
        <v>72</v>
      </c>
      <c r="C3750" s="2" t="s">
        <v>73</v>
      </c>
      <c r="D3750" s="2"/>
      <c r="E3750" s="2" t="str">
        <f>"FES1162572481"</f>
        <v>FES1162572481</v>
      </c>
      <c r="F3750" s="3">
        <v>42978</v>
      </c>
      <c r="G3750" s="2">
        <v>201802</v>
      </c>
      <c r="H3750" s="2" t="s">
        <v>74</v>
      </c>
      <c r="I3750" s="2" t="s">
        <v>75</v>
      </c>
      <c r="J3750" s="2" t="s">
        <v>76</v>
      </c>
      <c r="K3750" s="2" t="s">
        <v>77</v>
      </c>
      <c r="L3750" s="2" t="s">
        <v>137</v>
      </c>
      <c r="M3750" s="2" t="s">
        <v>138</v>
      </c>
      <c r="N3750" s="2" t="s">
        <v>1145</v>
      </c>
      <c r="O3750" s="2" t="s">
        <v>81</v>
      </c>
      <c r="P3750" s="2" t="str">
        <f>"2170585549                    "</f>
        <v xml:space="preserve">2170585549                    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6.88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0</v>
      </c>
      <c r="AU3750" s="2">
        <v>0</v>
      </c>
      <c r="AV3750" s="2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2">
        <v>0</v>
      </c>
      <c r="BD3750" s="2">
        <v>0</v>
      </c>
      <c r="BE3750" s="2">
        <v>0</v>
      </c>
      <c r="BF3750" s="2">
        <v>0</v>
      </c>
      <c r="BG3750" s="2">
        <v>0</v>
      </c>
      <c r="BH3750" s="2">
        <v>1</v>
      </c>
      <c r="BI3750" s="2">
        <v>6.9</v>
      </c>
      <c r="BJ3750" s="2">
        <v>6.5</v>
      </c>
      <c r="BK3750" s="2">
        <v>7</v>
      </c>
      <c r="BL3750" s="2">
        <v>76.23</v>
      </c>
      <c r="BM3750" s="2">
        <v>10.67</v>
      </c>
      <c r="BN3750" s="2">
        <v>86.9</v>
      </c>
      <c r="BO3750" s="2">
        <v>86.9</v>
      </c>
      <c r="BP3750" s="2"/>
      <c r="BQ3750" s="2"/>
      <c r="BR3750" s="2" t="s">
        <v>84</v>
      </c>
      <c r="BS3750" s="1" t="s">
        <v>1200</v>
      </c>
      <c r="BT3750" s="2"/>
      <c r="BU3750" s="2"/>
      <c r="BV3750" s="2"/>
      <c r="BW3750" s="2"/>
      <c r="BX3750" s="2"/>
      <c r="BY3750" s="2">
        <v>32724.38</v>
      </c>
      <c r="BZ3750" s="2"/>
      <c r="CA3750" s="2"/>
      <c r="CB3750" s="2"/>
      <c r="CC3750" s="2" t="s">
        <v>138</v>
      </c>
      <c r="CD3750" s="2">
        <v>157</v>
      </c>
      <c r="CE3750" s="2" t="s">
        <v>948</v>
      </c>
      <c r="CF3750" s="2"/>
      <c r="CG3750" s="2"/>
      <c r="CH3750" s="2"/>
      <c r="CI3750" s="2">
        <v>0</v>
      </c>
      <c r="CJ3750" s="2">
        <v>0</v>
      </c>
      <c r="CK3750" s="2" t="s">
        <v>143</v>
      </c>
      <c r="CL3750" s="2" t="s">
        <v>86</v>
      </c>
      <c r="CM3750" s="2"/>
    </row>
    <row r="3751" spans="1:91">
      <c r="A3751" s="2" t="s">
        <v>71</v>
      </c>
      <c r="B3751" s="2" t="s">
        <v>72</v>
      </c>
      <c r="C3751" s="2" t="s">
        <v>73</v>
      </c>
      <c r="D3751" s="2"/>
      <c r="E3751" s="2" t="str">
        <f>"FES1162572691"</f>
        <v>FES1162572691</v>
      </c>
      <c r="F3751" s="3">
        <v>42978</v>
      </c>
      <c r="G3751" s="2">
        <v>201802</v>
      </c>
      <c r="H3751" s="2" t="s">
        <v>74</v>
      </c>
      <c r="I3751" s="2" t="s">
        <v>75</v>
      </c>
      <c r="J3751" s="2" t="s">
        <v>76</v>
      </c>
      <c r="K3751" s="2" t="s">
        <v>77</v>
      </c>
      <c r="L3751" s="2" t="s">
        <v>339</v>
      </c>
      <c r="M3751" s="2" t="s">
        <v>340</v>
      </c>
      <c r="N3751" s="2" t="s">
        <v>2948</v>
      </c>
      <c r="O3751" s="2" t="s">
        <v>100</v>
      </c>
      <c r="P3751" s="2" t="str">
        <f>"2170588238                    "</f>
        <v xml:space="preserve">2170588238                    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4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0</v>
      </c>
      <c r="AV3751" s="2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2">
        <v>0</v>
      </c>
      <c r="BD3751" s="2">
        <v>0</v>
      </c>
      <c r="BE3751" s="2">
        <v>0</v>
      </c>
      <c r="BF3751" s="2">
        <v>0</v>
      </c>
      <c r="BG3751" s="2">
        <v>0</v>
      </c>
      <c r="BH3751" s="2">
        <v>1</v>
      </c>
      <c r="BI3751" s="2">
        <v>0.3</v>
      </c>
      <c r="BJ3751" s="2">
        <v>1</v>
      </c>
      <c r="BK3751" s="2">
        <v>1</v>
      </c>
      <c r="BL3751" s="2">
        <v>41.44</v>
      </c>
      <c r="BM3751" s="2">
        <v>5.8</v>
      </c>
      <c r="BN3751" s="2">
        <v>47.24</v>
      </c>
      <c r="BO3751" s="2">
        <v>47.24</v>
      </c>
      <c r="BP3751" s="2"/>
      <c r="BQ3751" s="2" t="s">
        <v>83</v>
      </c>
      <c r="BR3751" s="2" t="s">
        <v>84</v>
      </c>
      <c r="BS3751" s="1" t="s">
        <v>1200</v>
      </c>
      <c r="BT3751" s="2"/>
      <c r="BU3751" s="2"/>
      <c r="BV3751" s="2"/>
      <c r="BW3751" s="2"/>
      <c r="BX3751" s="2"/>
      <c r="BY3751" s="2">
        <v>4821.91</v>
      </c>
      <c r="BZ3751" s="2"/>
      <c r="CA3751" s="2"/>
      <c r="CB3751" s="2"/>
      <c r="CC3751" s="2" t="s">
        <v>340</v>
      </c>
      <c r="CD3751" s="2">
        <v>1947</v>
      </c>
      <c r="CE3751" s="2" t="s">
        <v>104</v>
      </c>
      <c r="CF3751" s="2"/>
      <c r="CG3751" s="2"/>
      <c r="CH3751" s="2"/>
      <c r="CI3751" s="2">
        <v>1</v>
      </c>
      <c r="CJ3751" s="2" t="s">
        <v>1200</v>
      </c>
      <c r="CK3751" s="2">
        <v>21</v>
      </c>
      <c r="CL3751" s="2" t="s">
        <v>86</v>
      </c>
      <c r="CM3751" s="2"/>
    </row>
    <row r="3752" spans="1:91">
      <c r="A3752" s="2" t="s">
        <v>71</v>
      </c>
      <c r="B3752" s="2" t="s">
        <v>72</v>
      </c>
      <c r="C3752" s="2" t="s">
        <v>73</v>
      </c>
      <c r="D3752" s="2"/>
      <c r="E3752" s="2" t="str">
        <f>"FES1162572702"</f>
        <v>FES1162572702</v>
      </c>
      <c r="F3752" s="3">
        <v>42978</v>
      </c>
      <c r="G3752" s="2">
        <v>201802</v>
      </c>
      <c r="H3752" s="2" t="s">
        <v>74</v>
      </c>
      <c r="I3752" s="2" t="s">
        <v>75</v>
      </c>
      <c r="J3752" s="2" t="s">
        <v>76</v>
      </c>
      <c r="K3752" s="2" t="s">
        <v>77</v>
      </c>
      <c r="L3752" s="2" t="s">
        <v>268</v>
      </c>
      <c r="M3752" s="2" t="s">
        <v>269</v>
      </c>
      <c r="N3752" s="2" t="s">
        <v>3623</v>
      </c>
      <c r="O3752" s="2" t="s">
        <v>100</v>
      </c>
      <c r="P3752" s="2" t="str">
        <f>"2170588260                    "</f>
        <v xml:space="preserve">2170588260                    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4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0</v>
      </c>
      <c r="AV3752" s="2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2">
        <v>0</v>
      </c>
      <c r="BD3752" s="2">
        <v>0</v>
      </c>
      <c r="BE3752" s="2">
        <v>0</v>
      </c>
      <c r="BF3752" s="2">
        <v>0</v>
      </c>
      <c r="BG3752" s="2">
        <v>0</v>
      </c>
      <c r="BH3752" s="2">
        <v>1</v>
      </c>
      <c r="BI3752" s="2">
        <v>0.3</v>
      </c>
      <c r="BJ3752" s="2">
        <v>1</v>
      </c>
      <c r="BK3752" s="2">
        <v>1</v>
      </c>
      <c r="BL3752" s="2">
        <v>41.44</v>
      </c>
      <c r="BM3752" s="2">
        <v>5.8</v>
      </c>
      <c r="BN3752" s="2">
        <v>47.24</v>
      </c>
      <c r="BO3752" s="2">
        <v>47.24</v>
      </c>
      <c r="BP3752" s="2"/>
      <c r="BQ3752" s="2" t="s">
        <v>108</v>
      </c>
      <c r="BR3752" s="2" t="s">
        <v>84</v>
      </c>
      <c r="BS3752" s="1" t="s">
        <v>1200</v>
      </c>
      <c r="BT3752" s="2"/>
      <c r="BU3752" s="2"/>
      <c r="BV3752" s="2"/>
      <c r="BW3752" s="2"/>
      <c r="BX3752" s="2"/>
      <c r="BY3752" s="2">
        <v>5058.5200000000004</v>
      </c>
      <c r="BZ3752" s="2"/>
      <c r="CA3752" s="2"/>
      <c r="CB3752" s="2"/>
      <c r="CC3752" s="2" t="s">
        <v>269</v>
      </c>
      <c r="CD3752" s="2">
        <v>184</v>
      </c>
      <c r="CE3752" s="2" t="s">
        <v>104</v>
      </c>
      <c r="CF3752" s="2"/>
      <c r="CG3752" s="2"/>
      <c r="CH3752" s="2"/>
      <c r="CI3752" s="2">
        <v>1</v>
      </c>
      <c r="CJ3752" s="2" t="s">
        <v>1200</v>
      </c>
      <c r="CK3752" s="2">
        <v>21</v>
      </c>
      <c r="CL3752" s="2" t="s">
        <v>86</v>
      </c>
      <c r="CM3752" s="2"/>
    </row>
    <row r="3753" spans="1:91">
      <c r="A3753" s="2" t="s">
        <v>71</v>
      </c>
      <c r="B3753" s="2" t="s">
        <v>72</v>
      </c>
      <c r="C3753" s="2" t="s">
        <v>73</v>
      </c>
      <c r="D3753" s="2"/>
      <c r="E3753" s="2" t="str">
        <f>"FES1162572701"</f>
        <v>FES1162572701</v>
      </c>
      <c r="F3753" s="3">
        <v>42978</v>
      </c>
      <c r="G3753" s="2">
        <v>201802</v>
      </c>
      <c r="H3753" s="2" t="s">
        <v>74</v>
      </c>
      <c r="I3753" s="2" t="s">
        <v>75</v>
      </c>
      <c r="J3753" s="2" t="s">
        <v>76</v>
      </c>
      <c r="K3753" s="2" t="s">
        <v>77</v>
      </c>
      <c r="L3753" s="2" t="s">
        <v>149</v>
      </c>
      <c r="M3753" s="2" t="s">
        <v>150</v>
      </c>
      <c r="N3753" s="2" t="s">
        <v>3496</v>
      </c>
      <c r="O3753" s="2" t="s">
        <v>100</v>
      </c>
      <c r="P3753" s="2" t="str">
        <f>"2170587598                    "</f>
        <v xml:space="preserve">2170587598                    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8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0</v>
      </c>
      <c r="AV3753" s="2">
        <v>0</v>
      </c>
      <c r="AW3753" s="2">
        <v>0</v>
      </c>
      <c r="AX3753" s="2">
        <v>0</v>
      </c>
      <c r="AY3753" s="2">
        <v>0</v>
      </c>
      <c r="AZ3753" s="2">
        <v>0</v>
      </c>
      <c r="BA3753" s="2">
        <v>0</v>
      </c>
      <c r="BB3753" s="2">
        <v>0</v>
      </c>
      <c r="BC3753" s="2">
        <v>0</v>
      </c>
      <c r="BD3753" s="2">
        <v>0</v>
      </c>
      <c r="BE3753" s="2">
        <v>0</v>
      </c>
      <c r="BF3753" s="2">
        <v>0</v>
      </c>
      <c r="BG3753" s="2">
        <v>0</v>
      </c>
      <c r="BH3753" s="2">
        <v>1</v>
      </c>
      <c r="BI3753" s="2">
        <v>0.3</v>
      </c>
      <c r="BJ3753" s="2">
        <v>3.8</v>
      </c>
      <c r="BK3753" s="2">
        <v>4</v>
      </c>
      <c r="BL3753" s="2">
        <v>82.88</v>
      </c>
      <c r="BM3753" s="2">
        <v>11.6</v>
      </c>
      <c r="BN3753" s="2">
        <v>94.48</v>
      </c>
      <c r="BO3753" s="2">
        <v>94.48</v>
      </c>
      <c r="BP3753" s="2"/>
      <c r="BQ3753" s="2" t="s">
        <v>83</v>
      </c>
      <c r="BR3753" s="2" t="s">
        <v>84</v>
      </c>
      <c r="BS3753" s="1" t="s">
        <v>1200</v>
      </c>
      <c r="BT3753" s="2"/>
      <c r="BU3753" s="2"/>
      <c r="BV3753" s="2"/>
      <c r="BW3753" s="2"/>
      <c r="BX3753" s="2"/>
      <c r="BY3753" s="2">
        <v>18962.48</v>
      </c>
      <c r="BZ3753" s="2"/>
      <c r="CA3753" s="2"/>
      <c r="CB3753" s="2"/>
      <c r="CC3753" s="2" t="s">
        <v>150</v>
      </c>
      <c r="CD3753" s="2">
        <v>4091</v>
      </c>
      <c r="CE3753" s="2" t="s">
        <v>104</v>
      </c>
      <c r="CF3753" s="2"/>
      <c r="CG3753" s="2"/>
      <c r="CH3753" s="2"/>
      <c r="CI3753" s="2">
        <v>1</v>
      </c>
      <c r="CJ3753" s="2" t="s">
        <v>1200</v>
      </c>
      <c r="CK3753" s="2">
        <v>21</v>
      </c>
      <c r="CL3753" s="2" t="s">
        <v>86</v>
      </c>
      <c r="CM3753" s="2"/>
    </row>
    <row r="3754" spans="1:91">
      <c r="A3754" s="2" t="s">
        <v>71</v>
      </c>
      <c r="B3754" s="2" t="s">
        <v>72</v>
      </c>
      <c r="C3754" s="2" t="s">
        <v>73</v>
      </c>
      <c r="D3754" s="2"/>
      <c r="E3754" s="2" t="str">
        <f>"FES1162572693"</f>
        <v>FES1162572693</v>
      </c>
      <c r="F3754" s="3">
        <v>42978</v>
      </c>
      <c r="G3754" s="2">
        <v>201802</v>
      </c>
      <c r="H3754" s="2" t="s">
        <v>74</v>
      </c>
      <c r="I3754" s="2" t="s">
        <v>75</v>
      </c>
      <c r="J3754" s="2" t="s">
        <v>76</v>
      </c>
      <c r="K3754" s="2" t="s">
        <v>77</v>
      </c>
      <c r="L3754" s="2" t="s">
        <v>97</v>
      </c>
      <c r="M3754" s="2" t="s">
        <v>98</v>
      </c>
      <c r="N3754" s="2" t="s">
        <v>119</v>
      </c>
      <c r="O3754" s="2" t="s">
        <v>100</v>
      </c>
      <c r="P3754" s="2" t="str">
        <f>"2170588243                    "</f>
        <v xml:space="preserve">2170588243                    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10.01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2">
        <v>0</v>
      </c>
      <c r="BD3754" s="2">
        <v>0</v>
      </c>
      <c r="BE3754" s="2">
        <v>0</v>
      </c>
      <c r="BF3754" s="2">
        <v>0</v>
      </c>
      <c r="BG3754" s="2">
        <v>0</v>
      </c>
      <c r="BH3754" s="2">
        <v>1</v>
      </c>
      <c r="BI3754" s="2">
        <v>0.8</v>
      </c>
      <c r="BJ3754" s="2">
        <v>5</v>
      </c>
      <c r="BK3754" s="2">
        <v>5</v>
      </c>
      <c r="BL3754" s="2">
        <v>103.61</v>
      </c>
      <c r="BM3754" s="2">
        <v>14.51</v>
      </c>
      <c r="BN3754" s="2">
        <v>118.12</v>
      </c>
      <c r="BO3754" s="2">
        <v>118.12</v>
      </c>
      <c r="BP3754" s="2"/>
      <c r="BQ3754" s="2" t="s">
        <v>108</v>
      </c>
      <c r="BR3754" s="2" t="s">
        <v>84</v>
      </c>
      <c r="BS3754" s="1" t="s">
        <v>1200</v>
      </c>
      <c r="BT3754" s="2"/>
      <c r="BU3754" s="2"/>
      <c r="BV3754" s="2"/>
      <c r="BW3754" s="2"/>
      <c r="BX3754" s="2"/>
      <c r="BY3754" s="2">
        <v>24888.26</v>
      </c>
      <c r="BZ3754" s="2"/>
      <c r="CA3754" s="2"/>
      <c r="CB3754" s="2"/>
      <c r="CC3754" s="2" t="s">
        <v>98</v>
      </c>
      <c r="CD3754" s="2">
        <v>6001</v>
      </c>
      <c r="CE3754" s="2" t="s">
        <v>104</v>
      </c>
      <c r="CF3754" s="2"/>
      <c r="CG3754" s="2"/>
      <c r="CH3754" s="2"/>
      <c r="CI3754" s="2">
        <v>1</v>
      </c>
      <c r="CJ3754" s="2" t="s">
        <v>1200</v>
      </c>
      <c r="CK3754" s="2">
        <v>21</v>
      </c>
      <c r="CL3754" s="2" t="s">
        <v>86</v>
      </c>
      <c r="CM3754" s="2"/>
    </row>
    <row r="3755" spans="1:91">
      <c r="A3755" s="2" t="s">
        <v>71</v>
      </c>
      <c r="B3755" s="2" t="s">
        <v>72</v>
      </c>
      <c r="C3755" s="2" t="s">
        <v>73</v>
      </c>
      <c r="D3755" s="2"/>
      <c r="E3755" s="2" t="str">
        <f>"FES1162570495"</f>
        <v>FES1162570495</v>
      </c>
      <c r="F3755" s="3">
        <v>42978</v>
      </c>
      <c r="G3755" s="2">
        <v>201802</v>
      </c>
      <c r="H3755" s="2" t="s">
        <v>74</v>
      </c>
      <c r="I3755" s="2" t="s">
        <v>75</v>
      </c>
      <c r="J3755" s="2" t="s">
        <v>76</v>
      </c>
      <c r="K3755" s="2" t="s">
        <v>77</v>
      </c>
      <c r="L3755" s="2" t="s">
        <v>339</v>
      </c>
      <c r="M3755" s="2" t="s">
        <v>340</v>
      </c>
      <c r="N3755" s="2" t="s">
        <v>341</v>
      </c>
      <c r="O3755" s="2" t="s">
        <v>100</v>
      </c>
      <c r="P3755" s="2" t="str">
        <f>"2170584019                    "</f>
        <v xml:space="preserve">2170584019                    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8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2">
        <v>0</v>
      </c>
      <c r="BD3755" s="2">
        <v>0</v>
      </c>
      <c r="BE3755" s="2">
        <v>0</v>
      </c>
      <c r="BF3755" s="2">
        <v>0</v>
      </c>
      <c r="BG3755" s="2">
        <v>0</v>
      </c>
      <c r="BH3755" s="2">
        <v>1</v>
      </c>
      <c r="BI3755" s="2">
        <v>1</v>
      </c>
      <c r="BJ3755" s="2">
        <v>3.6</v>
      </c>
      <c r="BK3755" s="2">
        <v>4</v>
      </c>
      <c r="BL3755" s="2">
        <v>82.88</v>
      </c>
      <c r="BM3755" s="2">
        <v>11.6</v>
      </c>
      <c r="BN3755" s="2">
        <v>94.48</v>
      </c>
      <c r="BO3755" s="2">
        <v>94.48</v>
      </c>
      <c r="BP3755" s="2"/>
      <c r="BQ3755" s="2" t="s">
        <v>108</v>
      </c>
      <c r="BR3755" s="2" t="s">
        <v>84</v>
      </c>
      <c r="BS3755" s="1" t="s">
        <v>1200</v>
      </c>
      <c r="BT3755" s="2"/>
      <c r="BU3755" s="2"/>
      <c r="BV3755" s="2"/>
      <c r="BW3755" s="2"/>
      <c r="BX3755" s="2"/>
      <c r="BY3755" s="2">
        <v>18037.5</v>
      </c>
      <c r="BZ3755" s="2"/>
      <c r="CA3755" s="2"/>
      <c r="CB3755" s="2"/>
      <c r="CC3755" s="2" t="s">
        <v>340</v>
      </c>
      <c r="CD3755" s="2">
        <v>1949</v>
      </c>
      <c r="CE3755" s="2" t="s">
        <v>104</v>
      </c>
      <c r="CF3755" s="2"/>
      <c r="CG3755" s="2"/>
      <c r="CH3755" s="2"/>
      <c r="CI3755" s="2">
        <v>1</v>
      </c>
      <c r="CJ3755" s="2" t="s">
        <v>1200</v>
      </c>
      <c r="CK3755" s="2">
        <v>21</v>
      </c>
      <c r="CL3755" s="2" t="s">
        <v>86</v>
      </c>
      <c r="CM3755" s="2"/>
    </row>
    <row r="3756" spans="1:91">
      <c r="A3756" s="2" t="s">
        <v>71</v>
      </c>
      <c r="B3756" s="2" t="s">
        <v>72</v>
      </c>
      <c r="C3756" s="2" t="s">
        <v>73</v>
      </c>
      <c r="D3756" s="2"/>
      <c r="E3756" s="2" t="str">
        <f>"FES1162572688"</f>
        <v>FES1162572688</v>
      </c>
      <c r="F3756" s="3">
        <v>42978</v>
      </c>
      <c r="G3756" s="2">
        <v>201802</v>
      </c>
      <c r="H3756" s="2" t="s">
        <v>74</v>
      </c>
      <c r="I3756" s="2" t="s">
        <v>75</v>
      </c>
      <c r="J3756" s="2" t="s">
        <v>76</v>
      </c>
      <c r="K3756" s="2" t="s">
        <v>77</v>
      </c>
      <c r="L3756" s="2" t="s">
        <v>524</v>
      </c>
      <c r="M3756" s="2" t="s">
        <v>525</v>
      </c>
      <c r="N3756" s="2" t="s">
        <v>1777</v>
      </c>
      <c r="O3756" s="2" t="s">
        <v>100</v>
      </c>
      <c r="P3756" s="2" t="str">
        <f>"2170588234                    "</f>
        <v xml:space="preserve">2170588234                    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14.76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0</v>
      </c>
      <c r="AV3756" s="2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2">
        <v>0</v>
      </c>
      <c r="BD3756" s="2">
        <v>0</v>
      </c>
      <c r="BE3756" s="2">
        <v>0</v>
      </c>
      <c r="BF3756" s="2">
        <v>0</v>
      </c>
      <c r="BG3756" s="2">
        <v>0</v>
      </c>
      <c r="BH3756" s="2">
        <v>1</v>
      </c>
      <c r="BI3756" s="2">
        <v>0.6</v>
      </c>
      <c r="BJ3756" s="2">
        <v>3.7</v>
      </c>
      <c r="BK3756" s="2">
        <v>4</v>
      </c>
      <c r="BL3756" s="2">
        <v>152.82</v>
      </c>
      <c r="BM3756" s="2">
        <v>21.39</v>
      </c>
      <c r="BN3756" s="2">
        <v>174.21</v>
      </c>
      <c r="BO3756" s="2">
        <v>174.21</v>
      </c>
      <c r="BP3756" s="2"/>
      <c r="BQ3756" s="2" t="s">
        <v>13</v>
      </c>
      <c r="BR3756" s="2" t="s">
        <v>84</v>
      </c>
      <c r="BS3756" s="1" t="s">
        <v>1200</v>
      </c>
      <c r="BT3756" s="2"/>
      <c r="BU3756" s="2"/>
      <c r="BV3756" s="2"/>
      <c r="BW3756" s="2"/>
      <c r="BX3756" s="2"/>
      <c r="BY3756" s="2">
        <v>18286.8</v>
      </c>
      <c r="BZ3756" s="2"/>
      <c r="CA3756" s="2"/>
      <c r="CB3756" s="2"/>
      <c r="CC3756" s="2" t="s">
        <v>525</v>
      </c>
      <c r="CD3756" s="2">
        <v>5660</v>
      </c>
      <c r="CE3756" s="2" t="s">
        <v>104</v>
      </c>
      <c r="CF3756" s="2"/>
      <c r="CG3756" s="2"/>
      <c r="CH3756" s="2"/>
      <c r="CI3756" s="2">
        <v>3</v>
      </c>
      <c r="CJ3756" s="2" t="s">
        <v>1200</v>
      </c>
      <c r="CK3756" s="2">
        <v>23</v>
      </c>
      <c r="CL3756" s="2" t="s">
        <v>86</v>
      </c>
      <c r="CM3756" s="2"/>
    </row>
    <row r="3757" spans="1:91">
      <c r="A3757" s="2" t="s">
        <v>71</v>
      </c>
      <c r="B3757" s="2" t="s">
        <v>72</v>
      </c>
      <c r="C3757" s="2" t="s">
        <v>73</v>
      </c>
      <c r="D3757" s="2"/>
      <c r="E3757" s="2" t="str">
        <f>"FES1162572695"</f>
        <v>FES1162572695</v>
      </c>
      <c r="F3757" s="3">
        <v>42978</v>
      </c>
      <c r="G3757" s="2">
        <v>201802</v>
      </c>
      <c r="H3757" s="2" t="s">
        <v>74</v>
      </c>
      <c r="I3757" s="2" t="s">
        <v>75</v>
      </c>
      <c r="J3757" s="2" t="s">
        <v>76</v>
      </c>
      <c r="K3757" s="2" t="s">
        <v>77</v>
      </c>
      <c r="L3757" s="2" t="s">
        <v>3624</v>
      </c>
      <c r="M3757" s="2" t="s">
        <v>3625</v>
      </c>
      <c r="N3757" s="2" t="s">
        <v>3626</v>
      </c>
      <c r="O3757" s="2" t="s">
        <v>100</v>
      </c>
      <c r="P3757" s="2" t="str">
        <f>"2170588250                    "</f>
        <v xml:space="preserve">2170588250                    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7.75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2">
        <v>0</v>
      </c>
      <c r="BD3757" s="2">
        <v>0</v>
      </c>
      <c r="BE3757" s="2">
        <v>0</v>
      </c>
      <c r="BF3757" s="2">
        <v>0</v>
      </c>
      <c r="BG3757" s="2">
        <v>0</v>
      </c>
      <c r="BH3757" s="2">
        <v>1</v>
      </c>
      <c r="BI3757" s="2">
        <v>0.5</v>
      </c>
      <c r="BJ3757" s="2">
        <v>1.8</v>
      </c>
      <c r="BK3757" s="2">
        <v>2</v>
      </c>
      <c r="BL3757" s="2">
        <v>80.290000000000006</v>
      </c>
      <c r="BM3757" s="2">
        <v>11.24</v>
      </c>
      <c r="BN3757" s="2">
        <v>91.53</v>
      </c>
      <c r="BO3757" s="2">
        <v>91.53</v>
      </c>
      <c r="BP3757" s="2"/>
      <c r="BQ3757" s="2"/>
      <c r="BR3757" s="2" t="s">
        <v>84</v>
      </c>
      <c r="BS3757" s="1" t="s">
        <v>1200</v>
      </c>
      <c r="BT3757" s="2"/>
      <c r="BU3757" s="2"/>
      <c r="BV3757" s="2"/>
      <c r="BW3757" s="2"/>
      <c r="BX3757" s="2"/>
      <c r="BY3757" s="2">
        <v>8960.64</v>
      </c>
      <c r="BZ3757" s="2"/>
      <c r="CA3757" s="2"/>
      <c r="CB3757" s="2"/>
      <c r="CC3757" s="2" t="s">
        <v>3625</v>
      </c>
      <c r="CD3757" s="2">
        <v>4490</v>
      </c>
      <c r="CE3757" s="2" t="s">
        <v>104</v>
      </c>
      <c r="CF3757" s="2"/>
      <c r="CG3757" s="2"/>
      <c r="CH3757" s="2"/>
      <c r="CI3757" s="2">
        <v>1</v>
      </c>
      <c r="CJ3757" s="2" t="s">
        <v>1200</v>
      </c>
      <c r="CK3757" s="2">
        <v>23</v>
      </c>
      <c r="CL3757" s="2" t="s">
        <v>86</v>
      </c>
      <c r="CM3757" s="2"/>
    </row>
    <row r="3758" spans="1:91">
      <c r="A3758" s="2" t="s">
        <v>71</v>
      </c>
      <c r="B3758" s="2" t="s">
        <v>72</v>
      </c>
      <c r="C3758" s="2" t="s">
        <v>73</v>
      </c>
      <c r="D3758" s="2"/>
      <c r="E3758" s="2" t="str">
        <f>"FES1162572696"</f>
        <v>FES1162572696</v>
      </c>
      <c r="F3758" s="3">
        <v>42978</v>
      </c>
      <c r="G3758" s="2">
        <v>201802</v>
      </c>
      <c r="H3758" s="2" t="s">
        <v>74</v>
      </c>
      <c r="I3758" s="2" t="s">
        <v>75</v>
      </c>
      <c r="J3758" s="2" t="s">
        <v>76</v>
      </c>
      <c r="K3758" s="2" t="s">
        <v>77</v>
      </c>
      <c r="L3758" s="2" t="s">
        <v>174</v>
      </c>
      <c r="M3758" s="2" t="s">
        <v>175</v>
      </c>
      <c r="N3758" s="2" t="s">
        <v>930</v>
      </c>
      <c r="O3758" s="2" t="s">
        <v>100</v>
      </c>
      <c r="P3758" s="2" t="str">
        <f>"2170588253                    "</f>
        <v xml:space="preserve">2170588253                    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4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2">
        <v>0</v>
      </c>
      <c r="BD3758" s="2">
        <v>0</v>
      </c>
      <c r="BE3758" s="2">
        <v>0</v>
      </c>
      <c r="BF3758" s="2">
        <v>0</v>
      </c>
      <c r="BG3758" s="2">
        <v>0</v>
      </c>
      <c r="BH3758" s="2">
        <v>1</v>
      </c>
      <c r="BI3758" s="2">
        <v>0.5</v>
      </c>
      <c r="BJ3758" s="2">
        <v>1.7</v>
      </c>
      <c r="BK3758" s="2">
        <v>2</v>
      </c>
      <c r="BL3758" s="2">
        <v>41.44</v>
      </c>
      <c r="BM3758" s="2">
        <v>5.8</v>
      </c>
      <c r="BN3758" s="2">
        <v>47.24</v>
      </c>
      <c r="BO3758" s="2">
        <v>47.24</v>
      </c>
      <c r="BP3758" s="2"/>
      <c r="BQ3758" s="2" t="s">
        <v>83</v>
      </c>
      <c r="BR3758" s="2" t="s">
        <v>84</v>
      </c>
      <c r="BS3758" s="1" t="s">
        <v>1200</v>
      </c>
      <c r="BT3758" s="2"/>
      <c r="BU3758" s="2"/>
      <c r="BV3758" s="2"/>
      <c r="BW3758" s="2"/>
      <c r="BX3758" s="2"/>
      <c r="BY3758" s="2">
        <v>8485.6299999999992</v>
      </c>
      <c r="BZ3758" s="2"/>
      <c r="CA3758" s="2"/>
      <c r="CB3758" s="2"/>
      <c r="CC3758" s="2" t="s">
        <v>175</v>
      </c>
      <c r="CD3758" s="2">
        <v>5201</v>
      </c>
      <c r="CE3758" s="2" t="s">
        <v>104</v>
      </c>
      <c r="CF3758" s="2"/>
      <c r="CG3758" s="2"/>
      <c r="CH3758" s="2"/>
      <c r="CI3758" s="2">
        <v>1</v>
      </c>
      <c r="CJ3758" s="2" t="s">
        <v>1200</v>
      </c>
      <c r="CK3758" s="2">
        <v>21</v>
      </c>
      <c r="CL3758" s="2" t="s">
        <v>86</v>
      </c>
      <c r="CM3758" s="2"/>
    </row>
    <row r="3759" spans="1:91">
      <c r="A3759" s="2" t="s">
        <v>71</v>
      </c>
      <c r="B3759" s="2" t="s">
        <v>72</v>
      </c>
      <c r="C3759" s="2" t="s">
        <v>73</v>
      </c>
      <c r="D3759" s="2"/>
      <c r="E3759" s="2" t="str">
        <f>"009936378718"</f>
        <v>009936378718</v>
      </c>
      <c r="F3759" s="3">
        <v>42978</v>
      </c>
      <c r="G3759" s="2">
        <v>201802</v>
      </c>
      <c r="H3759" s="2" t="s">
        <v>74</v>
      </c>
      <c r="I3759" s="2" t="s">
        <v>75</v>
      </c>
      <c r="J3759" s="2" t="s">
        <v>118</v>
      </c>
      <c r="K3759" s="2" t="s">
        <v>77</v>
      </c>
      <c r="L3759" s="2" t="s">
        <v>149</v>
      </c>
      <c r="M3759" s="2" t="s">
        <v>150</v>
      </c>
      <c r="N3759" s="2" t="s">
        <v>3627</v>
      </c>
      <c r="O3759" s="2" t="s">
        <v>81</v>
      </c>
      <c r="P3759" s="2" t="str">
        <f>"                              "</f>
        <v xml:space="preserve">                              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5.63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0</v>
      </c>
      <c r="AV3759" s="2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2">
        <v>0</v>
      </c>
      <c r="BD3759" s="2">
        <v>0</v>
      </c>
      <c r="BE3759" s="2">
        <v>0</v>
      </c>
      <c r="BF3759" s="2">
        <v>0</v>
      </c>
      <c r="BG3759" s="2">
        <v>0</v>
      </c>
      <c r="BH3759" s="2">
        <v>1</v>
      </c>
      <c r="BI3759" s="2">
        <v>0.3</v>
      </c>
      <c r="BJ3759" s="2">
        <v>0.9</v>
      </c>
      <c r="BK3759" s="2">
        <v>1</v>
      </c>
      <c r="BL3759" s="2">
        <v>63.28</v>
      </c>
      <c r="BM3759" s="2">
        <v>8.86</v>
      </c>
      <c r="BN3759" s="2">
        <v>72.14</v>
      </c>
      <c r="BO3759" s="2">
        <v>72.14</v>
      </c>
      <c r="BP3759" s="2"/>
      <c r="BQ3759" s="2"/>
      <c r="BR3759" s="2"/>
      <c r="BS3759" s="1" t="s">
        <v>1200</v>
      </c>
      <c r="BT3759" s="2"/>
      <c r="BU3759" s="2"/>
      <c r="BV3759" s="2"/>
      <c r="BW3759" s="2"/>
      <c r="BX3759" s="2"/>
      <c r="BY3759" s="2">
        <v>4606.5200000000004</v>
      </c>
      <c r="BZ3759" s="2"/>
      <c r="CA3759" s="2"/>
      <c r="CB3759" s="2"/>
      <c r="CC3759" s="2" t="s">
        <v>150</v>
      </c>
      <c r="CD3759" s="2">
        <v>4000</v>
      </c>
      <c r="CE3759" s="2" t="s">
        <v>89</v>
      </c>
      <c r="CF3759" s="2"/>
      <c r="CG3759" s="2"/>
      <c r="CH3759" s="2"/>
      <c r="CI3759" s="2">
        <v>1</v>
      </c>
      <c r="CJ3759" s="2" t="s">
        <v>1200</v>
      </c>
      <c r="CK3759" s="2" t="s">
        <v>153</v>
      </c>
      <c r="CL3759" s="2" t="s">
        <v>86</v>
      </c>
      <c r="CM3759" s="2"/>
    </row>
    <row r="3760" spans="1:91">
      <c r="A3760" s="2" t="s">
        <v>71</v>
      </c>
      <c r="B3760" s="2" t="s">
        <v>72</v>
      </c>
      <c r="C3760" s="2" t="s">
        <v>73</v>
      </c>
      <c r="D3760" s="2"/>
      <c r="E3760" s="2" t="str">
        <f>"FES1162572514"</f>
        <v>FES1162572514</v>
      </c>
      <c r="F3760" s="3">
        <v>42978</v>
      </c>
      <c r="G3760" s="2">
        <v>201802</v>
      </c>
      <c r="H3760" s="2" t="s">
        <v>74</v>
      </c>
      <c r="I3760" s="2" t="s">
        <v>75</v>
      </c>
      <c r="J3760" s="2" t="s">
        <v>76</v>
      </c>
      <c r="K3760" s="2" t="s">
        <v>77</v>
      </c>
      <c r="L3760" s="2" t="s">
        <v>97</v>
      </c>
      <c r="M3760" s="2" t="s">
        <v>98</v>
      </c>
      <c r="N3760" s="2" t="s">
        <v>248</v>
      </c>
      <c r="O3760" s="2" t="s">
        <v>100</v>
      </c>
      <c r="P3760" s="2" t="str">
        <f>"2170581285                    "</f>
        <v xml:space="preserve">2170581285                    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4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2">
        <v>0</v>
      </c>
      <c r="BD3760" s="2">
        <v>0</v>
      </c>
      <c r="BE3760" s="2">
        <v>0</v>
      </c>
      <c r="BF3760" s="2">
        <v>0</v>
      </c>
      <c r="BG3760" s="2">
        <v>0</v>
      </c>
      <c r="BH3760" s="2">
        <v>1</v>
      </c>
      <c r="BI3760" s="2">
        <v>1</v>
      </c>
      <c r="BJ3760" s="2">
        <v>0.2</v>
      </c>
      <c r="BK3760" s="2">
        <v>1</v>
      </c>
      <c r="BL3760" s="2">
        <v>41.44</v>
      </c>
      <c r="BM3760" s="2">
        <v>5.8</v>
      </c>
      <c r="BN3760" s="2">
        <v>47.24</v>
      </c>
      <c r="BO3760" s="2">
        <v>47.24</v>
      </c>
      <c r="BP3760" s="2"/>
      <c r="BQ3760" s="2" t="s">
        <v>83</v>
      </c>
      <c r="BR3760" s="2" t="s">
        <v>84</v>
      </c>
      <c r="BS3760" s="1" t="s">
        <v>1200</v>
      </c>
      <c r="BT3760" s="2"/>
      <c r="BU3760" s="2"/>
      <c r="BV3760" s="2"/>
      <c r="BW3760" s="2"/>
      <c r="BX3760" s="2"/>
      <c r="BY3760" s="2">
        <v>1200</v>
      </c>
      <c r="BZ3760" s="2"/>
      <c r="CA3760" s="2"/>
      <c r="CB3760" s="2"/>
      <c r="CC3760" s="2" t="s">
        <v>98</v>
      </c>
      <c r="CD3760" s="2">
        <v>6001</v>
      </c>
      <c r="CE3760" s="2" t="s">
        <v>104</v>
      </c>
      <c r="CF3760" s="2"/>
      <c r="CG3760" s="2"/>
      <c r="CH3760" s="2"/>
      <c r="CI3760" s="2">
        <v>1</v>
      </c>
      <c r="CJ3760" s="2" t="s">
        <v>1200</v>
      </c>
      <c r="CK3760" s="2">
        <v>21</v>
      </c>
      <c r="CL3760" s="2" t="s">
        <v>86</v>
      </c>
      <c r="CM3760" s="2"/>
    </row>
    <row r="3761" spans="1:91">
      <c r="A3761" s="2" t="s">
        <v>71</v>
      </c>
      <c r="B3761" s="2" t="s">
        <v>72</v>
      </c>
      <c r="C3761" s="2" t="s">
        <v>73</v>
      </c>
      <c r="D3761" s="2"/>
      <c r="E3761" s="2" t="str">
        <f>"FES1162567416"</f>
        <v>FES1162567416</v>
      </c>
      <c r="F3761" s="3">
        <v>42954</v>
      </c>
      <c r="G3761" s="2">
        <v>201802</v>
      </c>
      <c r="H3761" s="2" t="s">
        <v>74</v>
      </c>
      <c r="I3761" s="2" t="s">
        <v>75</v>
      </c>
      <c r="J3761" s="2" t="s">
        <v>76</v>
      </c>
      <c r="K3761" s="2" t="s">
        <v>77</v>
      </c>
      <c r="L3761" s="2" t="s">
        <v>105</v>
      </c>
      <c r="M3761" s="2" t="s">
        <v>106</v>
      </c>
      <c r="N3761" s="2" t="s">
        <v>397</v>
      </c>
      <c r="O3761" s="2" t="s">
        <v>100</v>
      </c>
      <c r="P3761" s="2" t="str">
        <f>"2170583571                    "</f>
        <v xml:space="preserve">2170583571                    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4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0</v>
      </c>
      <c r="AU3761" s="2">
        <v>0</v>
      </c>
      <c r="AV3761" s="2">
        <v>0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2">
        <v>0</v>
      </c>
      <c r="BD3761" s="2">
        <v>0</v>
      </c>
      <c r="BE3761" s="2">
        <v>0</v>
      </c>
      <c r="BF3761" s="2">
        <v>0</v>
      </c>
      <c r="BG3761" s="2">
        <v>0</v>
      </c>
      <c r="BH3761" s="2">
        <v>1</v>
      </c>
      <c r="BI3761" s="2">
        <v>1.7</v>
      </c>
      <c r="BJ3761" s="2">
        <v>1.9</v>
      </c>
      <c r="BK3761" s="2">
        <v>2</v>
      </c>
      <c r="BL3761" s="2">
        <v>41.44</v>
      </c>
      <c r="BM3761" s="2">
        <v>5.8</v>
      </c>
      <c r="BN3761" s="2">
        <v>47.24</v>
      </c>
      <c r="BO3761" s="2">
        <v>47.24</v>
      </c>
      <c r="BP3761" s="2"/>
      <c r="BQ3761" s="2" t="s">
        <v>108</v>
      </c>
      <c r="BR3761" s="2" t="s">
        <v>84</v>
      </c>
      <c r="BS3761" s="3">
        <v>42955</v>
      </c>
      <c r="BT3761" s="4">
        <v>0.41041666666666665</v>
      </c>
      <c r="BU3761" s="2" t="s">
        <v>1226</v>
      </c>
      <c r="BV3761" s="2" t="s">
        <v>95</v>
      </c>
      <c r="BW3761" s="2"/>
      <c r="BX3761" s="2"/>
      <c r="BY3761" s="2">
        <v>9506.39</v>
      </c>
      <c r="BZ3761" s="2"/>
      <c r="CA3761" s="2" t="s">
        <v>302</v>
      </c>
      <c r="CB3761" s="2"/>
      <c r="CC3761" s="2" t="s">
        <v>106</v>
      </c>
      <c r="CD3761" s="2">
        <v>7530</v>
      </c>
      <c r="CE3761" s="2" t="s">
        <v>89</v>
      </c>
      <c r="CF3761" s="5">
        <v>42957</v>
      </c>
      <c r="CG3761" s="2"/>
      <c r="CH3761" s="2"/>
      <c r="CI3761" s="2">
        <v>1</v>
      </c>
      <c r="CJ3761" s="2">
        <v>1</v>
      </c>
      <c r="CK3761" s="2">
        <v>21</v>
      </c>
      <c r="CL3761" s="2" t="s">
        <v>86</v>
      </c>
      <c r="CM3761" s="2"/>
    </row>
    <row r="3762" spans="1:91">
      <c r="A3762" s="2" t="s">
        <v>71</v>
      </c>
      <c r="B3762" s="2" t="s">
        <v>72</v>
      </c>
      <c r="C3762" s="2" t="s">
        <v>73</v>
      </c>
      <c r="D3762" s="2"/>
      <c r="E3762" s="2" t="str">
        <f>"FES1162566332"</f>
        <v>FES1162566332</v>
      </c>
      <c r="F3762" s="3">
        <v>42949</v>
      </c>
      <c r="G3762" s="2">
        <v>201802</v>
      </c>
      <c r="H3762" s="2" t="s">
        <v>74</v>
      </c>
      <c r="I3762" s="2" t="s">
        <v>75</v>
      </c>
      <c r="J3762" s="2" t="s">
        <v>76</v>
      </c>
      <c r="K3762" s="2" t="s">
        <v>77</v>
      </c>
      <c r="L3762" s="2" t="s">
        <v>144</v>
      </c>
      <c r="M3762" s="2" t="s">
        <v>145</v>
      </c>
      <c r="N3762" s="2" t="s">
        <v>1578</v>
      </c>
      <c r="O3762" s="2" t="s">
        <v>100</v>
      </c>
      <c r="P3762" s="2" t="str">
        <f>"2170581527                    "</f>
        <v xml:space="preserve">2170581527                    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3.13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0</v>
      </c>
      <c r="AV3762" s="2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2">
        <v>0</v>
      </c>
      <c r="BD3762" s="2">
        <v>0</v>
      </c>
      <c r="BE3762" s="2">
        <v>0</v>
      </c>
      <c r="BF3762" s="2">
        <v>0</v>
      </c>
      <c r="BG3762" s="2">
        <v>0</v>
      </c>
      <c r="BH3762" s="2">
        <v>1</v>
      </c>
      <c r="BI3762" s="2">
        <v>1</v>
      </c>
      <c r="BJ3762" s="2">
        <v>0.2</v>
      </c>
      <c r="BK3762" s="2">
        <v>1</v>
      </c>
      <c r="BL3762" s="2">
        <v>32.380000000000003</v>
      </c>
      <c r="BM3762" s="2">
        <v>4.53</v>
      </c>
      <c r="BN3762" s="2">
        <v>36.909999999999997</v>
      </c>
      <c r="BO3762" s="2">
        <v>36.909999999999997</v>
      </c>
      <c r="BP3762" s="2"/>
      <c r="BQ3762" s="2" t="s">
        <v>108</v>
      </c>
      <c r="BR3762" s="2" t="s">
        <v>84</v>
      </c>
      <c r="BS3762" s="3">
        <v>42950</v>
      </c>
      <c r="BT3762" s="4">
        <v>0.4375</v>
      </c>
      <c r="BU3762" s="2" t="s">
        <v>1579</v>
      </c>
      <c r="BV3762" s="2" t="s">
        <v>95</v>
      </c>
      <c r="BW3762" s="2"/>
      <c r="BX3762" s="2"/>
      <c r="BY3762" s="2">
        <v>1200</v>
      </c>
      <c r="BZ3762" s="2" t="s">
        <v>27</v>
      </c>
      <c r="CA3762" s="2" t="s">
        <v>729</v>
      </c>
      <c r="CB3762" s="2"/>
      <c r="CC3762" s="2" t="s">
        <v>145</v>
      </c>
      <c r="CD3762" s="2">
        <v>2197</v>
      </c>
      <c r="CE3762" s="2" t="s">
        <v>104</v>
      </c>
      <c r="CF3762" s="5">
        <v>42950</v>
      </c>
      <c r="CG3762" s="2"/>
      <c r="CH3762" s="2"/>
      <c r="CI3762" s="2">
        <v>1</v>
      </c>
      <c r="CJ3762" s="2">
        <v>1</v>
      </c>
      <c r="CK3762" s="2">
        <v>22</v>
      </c>
      <c r="CL3762" s="2" t="s">
        <v>86</v>
      </c>
      <c r="CM3762" s="2"/>
    </row>
    <row r="3763" spans="1:91">
      <c r="A3763" s="2" t="s">
        <v>71</v>
      </c>
      <c r="B3763" s="2" t="s">
        <v>72</v>
      </c>
      <c r="C3763" s="2" t="s">
        <v>73</v>
      </c>
      <c r="D3763" s="2"/>
      <c r="E3763" s="2" t="str">
        <f>"FES1162566228"</f>
        <v>FES1162566228</v>
      </c>
      <c r="F3763" s="3">
        <v>42949</v>
      </c>
      <c r="G3763" s="2">
        <v>201802</v>
      </c>
      <c r="H3763" s="2" t="s">
        <v>74</v>
      </c>
      <c r="I3763" s="2" t="s">
        <v>75</v>
      </c>
      <c r="J3763" s="2" t="s">
        <v>76</v>
      </c>
      <c r="K3763" s="2" t="s">
        <v>77</v>
      </c>
      <c r="L3763" s="2" t="s">
        <v>846</v>
      </c>
      <c r="M3763" s="2" t="s">
        <v>847</v>
      </c>
      <c r="N3763" s="2" t="s">
        <v>848</v>
      </c>
      <c r="O3763" s="2" t="s">
        <v>100</v>
      </c>
      <c r="P3763" s="2" t="str">
        <f>"2170582338                    "</f>
        <v xml:space="preserve">2170582338                    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49.78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0</v>
      </c>
      <c r="AV3763" s="2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2">
        <v>0</v>
      </c>
      <c r="BD3763" s="2">
        <v>0</v>
      </c>
      <c r="BE3763" s="2">
        <v>0</v>
      </c>
      <c r="BF3763" s="2">
        <v>0</v>
      </c>
      <c r="BG3763" s="2">
        <v>0</v>
      </c>
      <c r="BH3763" s="2">
        <v>1</v>
      </c>
      <c r="BI3763" s="2">
        <v>9</v>
      </c>
      <c r="BJ3763" s="2">
        <v>13.9</v>
      </c>
      <c r="BK3763" s="2">
        <v>14</v>
      </c>
      <c r="BL3763" s="2">
        <v>515.44000000000005</v>
      </c>
      <c r="BM3763" s="2">
        <v>72.16</v>
      </c>
      <c r="BN3763" s="2">
        <v>587.6</v>
      </c>
      <c r="BO3763" s="2">
        <v>587.6</v>
      </c>
      <c r="BP3763" s="2"/>
      <c r="BQ3763" s="2"/>
      <c r="BR3763" s="2" t="s">
        <v>84</v>
      </c>
      <c r="BS3763" s="3">
        <v>42950</v>
      </c>
      <c r="BT3763" s="4">
        <v>0.60486111111111118</v>
      </c>
      <c r="BU3763" s="2" t="s">
        <v>3628</v>
      </c>
      <c r="BV3763" s="2" t="s">
        <v>86</v>
      </c>
      <c r="BW3763" s="2" t="s">
        <v>110</v>
      </c>
      <c r="BX3763" s="2" t="s">
        <v>1314</v>
      </c>
      <c r="BY3763" s="2">
        <v>69299.23</v>
      </c>
      <c r="BZ3763" s="2" t="s">
        <v>27</v>
      </c>
      <c r="CA3763" s="2" t="s">
        <v>850</v>
      </c>
      <c r="CB3763" s="2"/>
      <c r="CC3763" s="2" t="s">
        <v>847</v>
      </c>
      <c r="CD3763" s="2">
        <v>7349</v>
      </c>
      <c r="CE3763" s="2" t="s">
        <v>948</v>
      </c>
      <c r="CF3763" s="5">
        <v>42951</v>
      </c>
      <c r="CG3763" s="2"/>
      <c r="CH3763" s="2"/>
      <c r="CI3763" s="2">
        <v>1</v>
      </c>
      <c r="CJ3763" s="2">
        <v>1</v>
      </c>
      <c r="CK3763" s="2">
        <v>23</v>
      </c>
      <c r="CL3763" s="2" t="s">
        <v>86</v>
      </c>
      <c r="CM3763" s="2"/>
    </row>
    <row r="3764" spans="1:91">
      <c r="A3764" s="2" t="s">
        <v>71</v>
      </c>
      <c r="B3764" s="2" t="s">
        <v>72</v>
      </c>
      <c r="C3764" s="2" t="s">
        <v>73</v>
      </c>
      <c r="D3764" s="2"/>
      <c r="E3764" s="2" t="str">
        <f>"FES1162566585"</f>
        <v>FES1162566585</v>
      </c>
      <c r="F3764" s="3">
        <v>42949</v>
      </c>
      <c r="G3764" s="2">
        <v>201802</v>
      </c>
      <c r="H3764" s="2" t="s">
        <v>74</v>
      </c>
      <c r="I3764" s="2" t="s">
        <v>75</v>
      </c>
      <c r="J3764" s="2" t="s">
        <v>76</v>
      </c>
      <c r="K3764" s="2" t="s">
        <v>77</v>
      </c>
      <c r="L3764" s="2" t="s">
        <v>174</v>
      </c>
      <c r="M3764" s="2" t="s">
        <v>175</v>
      </c>
      <c r="N3764" s="2" t="s">
        <v>2764</v>
      </c>
      <c r="O3764" s="2" t="s">
        <v>100</v>
      </c>
      <c r="P3764" s="2" t="str">
        <f>"2170581981                    "</f>
        <v xml:space="preserve">2170581981                    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4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0</v>
      </c>
      <c r="AU3764" s="2">
        <v>0</v>
      </c>
      <c r="AV3764" s="2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2">
        <v>0</v>
      </c>
      <c r="BD3764" s="2">
        <v>0</v>
      </c>
      <c r="BE3764" s="2">
        <v>0</v>
      </c>
      <c r="BF3764" s="2">
        <v>0</v>
      </c>
      <c r="BG3764" s="2">
        <v>0</v>
      </c>
      <c r="BH3764" s="2">
        <v>1</v>
      </c>
      <c r="BI3764" s="2">
        <v>1</v>
      </c>
      <c r="BJ3764" s="2">
        <v>0.2</v>
      </c>
      <c r="BK3764" s="2">
        <v>1</v>
      </c>
      <c r="BL3764" s="2">
        <v>41.44</v>
      </c>
      <c r="BM3764" s="2">
        <v>5.8</v>
      </c>
      <c r="BN3764" s="2">
        <v>47.24</v>
      </c>
      <c r="BO3764" s="2">
        <v>47.24</v>
      </c>
      <c r="BP3764" s="2"/>
      <c r="BQ3764" s="2" t="s">
        <v>83</v>
      </c>
      <c r="BR3764" s="2" t="s">
        <v>84</v>
      </c>
      <c r="BS3764" s="3">
        <v>42950</v>
      </c>
      <c r="BT3764" s="4">
        <v>0.36944444444444446</v>
      </c>
      <c r="BU3764" s="2" t="s">
        <v>3629</v>
      </c>
      <c r="BV3764" s="2" t="s">
        <v>95</v>
      </c>
      <c r="BW3764" s="2"/>
      <c r="BX3764" s="2"/>
      <c r="BY3764" s="2">
        <v>1200</v>
      </c>
      <c r="BZ3764" s="2" t="s">
        <v>27</v>
      </c>
      <c r="CA3764" s="2" t="s">
        <v>1420</v>
      </c>
      <c r="CB3764" s="2"/>
      <c r="CC3764" s="2" t="s">
        <v>175</v>
      </c>
      <c r="CD3764" s="2">
        <v>5201</v>
      </c>
      <c r="CE3764" s="2" t="s">
        <v>104</v>
      </c>
      <c r="CF3764" s="5">
        <v>42954</v>
      </c>
      <c r="CG3764" s="2"/>
      <c r="CH3764" s="2"/>
      <c r="CI3764" s="2">
        <v>1</v>
      </c>
      <c r="CJ3764" s="2">
        <v>1</v>
      </c>
      <c r="CK3764" s="2">
        <v>21</v>
      </c>
      <c r="CL3764" s="2" t="s">
        <v>86</v>
      </c>
      <c r="CM3764" s="2"/>
    </row>
    <row r="3765" spans="1:91">
      <c r="A3765" s="2" t="s">
        <v>71</v>
      </c>
      <c r="B3765" s="2" t="s">
        <v>72</v>
      </c>
      <c r="C3765" s="2" t="s">
        <v>73</v>
      </c>
      <c r="D3765" s="2"/>
      <c r="E3765" s="2" t="str">
        <f>"FES1162565906"</f>
        <v>FES1162565906</v>
      </c>
      <c r="F3765" s="3">
        <v>42948</v>
      </c>
      <c r="G3765" s="2">
        <v>201802</v>
      </c>
      <c r="H3765" s="2" t="s">
        <v>74</v>
      </c>
      <c r="I3765" s="2" t="s">
        <v>75</v>
      </c>
      <c r="J3765" s="2" t="s">
        <v>76</v>
      </c>
      <c r="K3765" s="2" t="s">
        <v>77</v>
      </c>
      <c r="L3765" s="2" t="s">
        <v>306</v>
      </c>
      <c r="M3765" s="2" t="s">
        <v>307</v>
      </c>
      <c r="N3765" s="2" t="s">
        <v>1640</v>
      </c>
      <c r="O3765" s="2" t="s">
        <v>100</v>
      </c>
      <c r="P3765" s="2" t="str">
        <f>"2170582473                    "</f>
        <v xml:space="preserve">2170582473                    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3.63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0</v>
      </c>
      <c r="AU3765" s="2">
        <v>0</v>
      </c>
      <c r="AV3765" s="2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2">
        <v>0</v>
      </c>
      <c r="BD3765" s="2">
        <v>0</v>
      </c>
      <c r="BE3765" s="2">
        <v>0</v>
      </c>
      <c r="BF3765" s="2">
        <v>0</v>
      </c>
      <c r="BG3765" s="2">
        <v>0</v>
      </c>
      <c r="BH3765" s="2">
        <v>1</v>
      </c>
      <c r="BI3765" s="2">
        <v>1</v>
      </c>
      <c r="BJ3765" s="2">
        <v>0.2</v>
      </c>
      <c r="BK3765" s="2">
        <v>1</v>
      </c>
      <c r="BL3765" s="2">
        <v>41.07</v>
      </c>
      <c r="BM3765" s="2">
        <v>5.75</v>
      </c>
      <c r="BN3765" s="2">
        <v>46.82</v>
      </c>
      <c r="BO3765" s="2">
        <v>46.82</v>
      </c>
      <c r="BP3765" s="2"/>
      <c r="BQ3765" s="2" t="s">
        <v>83</v>
      </c>
      <c r="BR3765" s="2" t="s">
        <v>84</v>
      </c>
      <c r="BS3765" s="3">
        <v>42949</v>
      </c>
      <c r="BT3765" s="4">
        <v>0.39652777777777781</v>
      </c>
      <c r="BU3765" s="2" t="s">
        <v>2838</v>
      </c>
      <c r="BV3765" s="2" t="s">
        <v>95</v>
      </c>
      <c r="BW3765" s="2"/>
      <c r="BX3765" s="2"/>
      <c r="BY3765" s="2">
        <v>1200</v>
      </c>
      <c r="BZ3765" s="2" t="s">
        <v>27</v>
      </c>
      <c r="CA3765" s="2" t="s">
        <v>1575</v>
      </c>
      <c r="CB3765" s="2"/>
      <c r="CC3765" s="2" t="s">
        <v>307</v>
      </c>
      <c r="CD3765" s="2">
        <v>1939</v>
      </c>
      <c r="CE3765" s="2" t="s">
        <v>3630</v>
      </c>
      <c r="CF3765" s="5">
        <v>42950</v>
      </c>
      <c r="CG3765" s="2"/>
      <c r="CH3765" s="2"/>
      <c r="CI3765" s="2">
        <v>1</v>
      </c>
      <c r="CJ3765" s="2">
        <v>1</v>
      </c>
      <c r="CK3765" s="2">
        <v>21</v>
      </c>
      <c r="CL3765" s="2" t="s">
        <v>86</v>
      </c>
      <c r="CM3765" s="2"/>
    </row>
    <row r="3766" spans="1:91">
      <c r="A3766" s="2" t="s">
        <v>71</v>
      </c>
      <c r="B3766" s="2" t="s">
        <v>72</v>
      </c>
      <c r="C3766" s="2" t="s">
        <v>73</v>
      </c>
      <c r="D3766" s="2"/>
      <c r="E3766" s="2" t="str">
        <f>"FES1162567466"</f>
        <v>FES1162567466</v>
      </c>
      <c r="F3766" s="3">
        <v>42954</v>
      </c>
      <c r="G3766" s="2">
        <v>201802</v>
      </c>
      <c r="H3766" s="2" t="s">
        <v>74</v>
      </c>
      <c r="I3766" s="2" t="s">
        <v>75</v>
      </c>
      <c r="J3766" s="2" t="s">
        <v>76</v>
      </c>
      <c r="K3766" s="2" t="s">
        <v>77</v>
      </c>
      <c r="L3766" s="2" t="s">
        <v>149</v>
      </c>
      <c r="M3766" s="2" t="s">
        <v>150</v>
      </c>
      <c r="N3766" s="2" t="s">
        <v>372</v>
      </c>
      <c r="O3766" s="2" t="s">
        <v>100</v>
      </c>
      <c r="P3766" s="2" t="str">
        <f>"2170583627                    "</f>
        <v xml:space="preserve">2170583627                    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4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2">
        <v>0</v>
      </c>
      <c r="BD3766" s="2">
        <v>0</v>
      </c>
      <c r="BE3766" s="2">
        <v>0</v>
      </c>
      <c r="BF3766" s="2">
        <v>0</v>
      </c>
      <c r="BG3766" s="2">
        <v>0</v>
      </c>
      <c r="BH3766" s="2">
        <v>1</v>
      </c>
      <c r="BI3766" s="2">
        <v>1</v>
      </c>
      <c r="BJ3766" s="2">
        <v>0.2</v>
      </c>
      <c r="BK3766" s="2">
        <v>1</v>
      </c>
      <c r="BL3766" s="2">
        <v>41.44</v>
      </c>
      <c r="BM3766" s="2">
        <v>5.8</v>
      </c>
      <c r="BN3766" s="2">
        <v>47.24</v>
      </c>
      <c r="BO3766" s="2">
        <v>47.24</v>
      </c>
      <c r="BP3766" s="2"/>
      <c r="BQ3766" s="2" t="s">
        <v>83</v>
      </c>
      <c r="BR3766" s="2" t="s">
        <v>84</v>
      </c>
      <c r="BS3766" s="3">
        <v>42955</v>
      </c>
      <c r="BT3766" s="4">
        <v>0.3215277777777778</v>
      </c>
      <c r="BU3766" s="2" t="s">
        <v>2144</v>
      </c>
      <c r="BV3766" s="2" t="s">
        <v>95</v>
      </c>
      <c r="BW3766" s="2"/>
      <c r="BX3766" s="2"/>
      <c r="BY3766" s="2">
        <v>1200</v>
      </c>
      <c r="BZ3766" s="2"/>
      <c r="CA3766" s="2" t="s">
        <v>235</v>
      </c>
      <c r="CB3766" s="2"/>
      <c r="CC3766" s="2" t="s">
        <v>150</v>
      </c>
      <c r="CD3766" s="2">
        <v>4052</v>
      </c>
      <c r="CE3766" s="2" t="s">
        <v>104</v>
      </c>
      <c r="CF3766" s="5">
        <v>42957</v>
      </c>
      <c r="CG3766" s="2"/>
      <c r="CH3766" s="2"/>
      <c r="CI3766" s="2">
        <v>1</v>
      </c>
      <c r="CJ3766" s="2">
        <v>1</v>
      </c>
      <c r="CK3766" s="2">
        <v>21</v>
      </c>
      <c r="CL3766" s="2" t="s">
        <v>86</v>
      </c>
      <c r="CM3766" s="2"/>
    </row>
    <row r="3767" spans="1:91">
      <c r="A3767" s="2" t="s">
        <v>71</v>
      </c>
      <c r="B3767" s="2" t="s">
        <v>72</v>
      </c>
      <c r="C3767" s="2" t="s">
        <v>73</v>
      </c>
      <c r="D3767" s="2"/>
      <c r="E3767" s="2" t="str">
        <f>"FES1162566509"</f>
        <v>FES1162566509</v>
      </c>
      <c r="F3767" s="3">
        <v>42949</v>
      </c>
      <c r="G3767" s="2">
        <v>201802</v>
      </c>
      <c r="H3767" s="2" t="s">
        <v>74</v>
      </c>
      <c r="I3767" s="2" t="s">
        <v>75</v>
      </c>
      <c r="J3767" s="2" t="s">
        <v>76</v>
      </c>
      <c r="K3767" s="2" t="s">
        <v>77</v>
      </c>
      <c r="L3767" s="2" t="s">
        <v>244</v>
      </c>
      <c r="M3767" s="2" t="s">
        <v>245</v>
      </c>
      <c r="N3767" s="2" t="s">
        <v>1794</v>
      </c>
      <c r="O3767" s="2" t="s">
        <v>100</v>
      </c>
      <c r="P3767" s="2" t="str">
        <f>"2170582867                    "</f>
        <v xml:space="preserve">2170582867                    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3.13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0</v>
      </c>
      <c r="AV3767" s="2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0</v>
      </c>
      <c r="BC3767" s="2">
        <v>0</v>
      </c>
      <c r="BD3767" s="2">
        <v>0</v>
      </c>
      <c r="BE3767" s="2">
        <v>0</v>
      </c>
      <c r="BF3767" s="2">
        <v>0</v>
      </c>
      <c r="BG3767" s="2">
        <v>0</v>
      </c>
      <c r="BH3767" s="2">
        <v>1</v>
      </c>
      <c r="BI3767" s="2">
        <v>1</v>
      </c>
      <c r="BJ3767" s="2">
        <v>0.2</v>
      </c>
      <c r="BK3767" s="2">
        <v>1</v>
      </c>
      <c r="BL3767" s="2">
        <v>32.380000000000003</v>
      </c>
      <c r="BM3767" s="2">
        <v>4.53</v>
      </c>
      <c r="BN3767" s="2">
        <v>36.909999999999997</v>
      </c>
      <c r="BO3767" s="2">
        <v>36.909999999999997</v>
      </c>
      <c r="BP3767" s="2"/>
      <c r="BQ3767" s="2" t="s">
        <v>1795</v>
      </c>
      <c r="BR3767" s="2" t="s">
        <v>84</v>
      </c>
      <c r="BS3767" s="3">
        <v>42950</v>
      </c>
      <c r="BT3767" s="4">
        <v>0.31666666666666665</v>
      </c>
      <c r="BU3767" s="2" t="s">
        <v>1796</v>
      </c>
      <c r="BV3767" s="2" t="s">
        <v>95</v>
      </c>
      <c r="BW3767" s="2"/>
      <c r="BX3767" s="2"/>
      <c r="BY3767" s="2">
        <v>1200</v>
      </c>
      <c r="BZ3767" s="2" t="s">
        <v>27</v>
      </c>
      <c r="CA3767" s="2" t="s">
        <v>499</v>
      </c>
      <c r="CB3767" s="2"/>
      <c r="CC3767" s="2" t="s">
        <v>245</v>
      </c>
      <c r="CD3767" s="2">
        <v>1459</v>
      </c>
      <c r="CE3767" s="2" t="s">
        <v>104</v>
      </c>
      <c r="CF3767" s="5">
        <v>42951</v>
      </c>
      <c r="CG3767" s="2"/>
      <c r="CH3767" s="2"/>
      <c r="CI3767" s="2">
        <v>1</v>
      </c>
      <c r="CJ3767" s="2">
        <v>1</v>
      </c>
      <c r="CK3767" s="2">
        <v>22</v>
      </c>
      <c r="CL3767" s="2" t="s">
        <v>86</v>
      </c>
      <c r="CM3767" s="2"/>
    </row>
    <row r="3768" spans="1:91">
      <c r="A3768" s="2" t="s">
        <v>71</v>
      </c>
      <c r="B3768" s="2" t="s">
        <v>72</v>
      </c>
      <c r="C3768" s="2" t="s">
        <v>73</v>
      </c>
      <c r="D3768" s="2"/>
      <c r="E3768" s="2" t="str">
        <f>"FES1162566530"</f>
        <v>FES1162566530</v>
      </c>
      <c r="F3768" s="3">
        <v>42949</v>
      </c>
      <c r="G3768" s="2">
        <v>201802</v>
      </c>
      <c r="H3768" s="2" t="s">
        <v>74</v>
      </c>
      <c r="I3768" s="2" t="s">
        <v>75</v>
      </c>
      <c r="J3768" s="2" t="s">
        <v>76</v>
      </c>
      <c r="K3768" s="2" t="s">
        <v>77</v>
      </c>
      <c r="L3768" s="2" t="s">
        <v>144</v>
      </c>
      <c r="M3768" s="2" t="s">
        <v>145</v>
      </c>
      <c r="N3768" s="2" t="s">
        <v>146</v>
      </c>
      <c r="O3768" s="2" t="s">
        <v>100</v>
      </c>
      <c r="P3768" s="2" t="str">
        <f>"2170582874                    "</f>
        <v xml:space="preserve">2170582874                    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3.13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2">
        <v>0</v>
      </c>
      <c r="BD3768" s="2">
        <v>0</v>
      </c>
      <c r="BE3768" s="2">
        <v>0</v>
      </c>
      <c r="BF3768" s="2">
        <v>0</v>
      </c>
      <c r="BG3768" s="2">
        <v>0</v>
      </c>
      <c r="BH3768" s="2">
        <v>1</v>
      </c>
      <c r="BI3768" s="2">
        <v>1</v>
      </c>
      <c r="BJ3768" s="2">
        <v>0.2</v>
      </c>
      <c r="BK3768" s="2">
        <v>1</v>
      </c>
      <c r="BL3768" s="2">
        <v>32.380000000000003</v>
      </c>
      <c r="BM3768" s="2">
        <v>4.53</v>
      </c>
      <c r="BN3768" s="2">
        <v>36.909999999999997</v>
      </c>
      <c r="BO3768" s="2">
        <v>36.909999999999997</v>
      </c>
      <c r="BP3768" s="2"/>
      <c r="BQ3768" s="2" t="s">
        <v>83</v>
      </c>
      <c r="BR3768" s="2" t="s">
        <v>84</v>
      </c>
      <c r="BS3768" s="3">
        <v>42950</v>
      </c>
      <c r="BT3768" s="4">
        <v>0.35972222222222222</v>
      </c>
      <c r="BU3768" s="2" t="s">
        <v>2624</v>
      </c>
      <c r="BV3768" s="2" t="s">
        <v>95</v>
      </c>
      <c r="BW3768" s="2"/>
      <c r="BX3768" s="2"/>
      <c r="BY3768" s="2">
        <v>1200</v>
      </c>
      <c r="BZ3768" s="2" t="s">
        <v>27</v>
      </c>
      <c r="CA3768" s="2" t="s">
        <v>729</v>
      </c>
      <c r="CB3768" s="2"/>
      <c r="CC3768" s="2" t="s">
        <v>145</v>
      </c>
      <c r="CD3768" s="2">
        <v>2094</v>
      </c>
      <c r="CE3768" s="2" t="s">
        <v>104</v>
      </c>
      <c r="CF3768" s="5">
        <v>42951</v>
      </c>
      <c r="CG3768" s="2"/>
      <c r="CH3768" s="2"/>
      <c r="CI3768" s="2">
        <v>1</v>
      </c>
      <c r="CJ3768" s="2">
        <v>1</v>
      </c>
      <c r="CK3768" s="2">
        <v>22</v>
      </c>
      <c r="CL3768" s="2" t="s">
        <v>86</v>
      </c>
      <c r="CM3768" s="2"/>
    </row>
    <row r="3769" spans="1:91">
      <c r="A3769" s="2" t="s">
        <v>71</v>
      </c>
      <c r="B3769" s="2" t="s">
        <v>72</v>
      </c>
      <c r="C3769" s="2" t="s">
        <v>73</v>
      </c>
      <c r="D3769" s="2"/>
      <c r="E3769" s="2" t="str">
        <f>"FES1162566100"</f>
        <v>FES1162566100</v>
      </c>
      <c r="F3769" s="3">
        <v>42948</v>
      </c>
      <c r="G3769" s="2">
        <v>201802</v>
      </c>
      <c r="H3769" s="2" t="s">
        <v>74</v>
      </c>
      <c r="I3769" s="2" t="s">
        <v>75</v>
      </c>
      <c r="J3769" s="2" t="s">
        <v>76</v>
      </c>
      <c r="K3769" s="2" t="s">
        <v>77</v>
      </c>
      <c r="L3769" s="2" t="s">
        <v>244</v>
      </c>
      <c r="M3769" s="2" t="s">
        <v>245</v>
      </c>
      <c r="N3769" s="2" t="s">
        <v>2817</v>
      </c>
      <c r="O3769" s="2" t="s">
        <v>100</v>
      </c>
      <c r="P3769" s="2" t="str">
        <f>"21705865823                   "</f>
        <v xml:space="preserve">21705865823                   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2.83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0</v>
      </c>
      <c r="AV3769" s="2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2">
        <v>0</v>
      </c>
      <c r="BD3769" s="2">
        <v>0</v>
      </c>
      <c r="BE3769" s="2">
        <v>0</v>
      </c>
      <c r="BF3769" s="2">
        <v>0</v>
      </c>
      <c r="BG3769" s="2">
        <v>0</v>
      </c>
      <c r="BH3769" s="2">
        <v>1</v>
      </c>
      <c r="BI3769" s="2">
        <v>5.3</v>
      </c>
      <c r="BJ3769" s="2">
        <v>1.6</v>
      </c>
      <c r="BK3769" s="2">
        <v>6</v>
      </c>
      <c r="BL3769" s="2">
        <v>32.08</v>
      </c>
      <c r="BM3769" s="2">
        <v>4.49</v>
      </c>
      <c r="BN3769" s="2">
        <v>36.57</v>
      </c>
      <c r="BO3769" s="2">
        <v>36.57</v>
      </c>
      <c r="BP3769" s="2"/>
      <c r="BQ3769" s="2" t="s">
        <v>209</v>
      </c>
      <c r="BR3769" s="2" t="s">
        <v>84</v>
      </c>
      <c r="BS3769" s="3">
        <v>42949</v>
      </c>
      <c r="BT3769" s="4">
        <v>0.40833333333333338</v>
      </c>
      <c r="BU3769" s="2" t="s">
        <v>3631</v>
      </c>
      <c r="BV3769" s="2" t="s">
        <v>95</v>
      </c>
      <c r="BW3769" s="2"/>
      <c r="BX3769" s="2"/>
      <c r="BY3769" s="2">
        <v>8246.1200000000008</v>
      </c>
      <c r="BZ3769" s="2" t="s">
        <v>27</v>
      </c>
      <c r="CA3769" s="2" t="s">
        <v>499</v>
      </c>
      <c r="CB3769" s="2"/>
      <c r="CC3769" s="2" t="s">
        <v>245</v>
      </c>
      <c r="CD3769" s="2">
        <v>1459</v>
      </c>
      <c r="CE3769" s="2" t="s">
        <v>89</v>
      </c>
      <c r="CF3769" s="5">
        <v>42950</v>
      </c>
      <c r="CG3769" s="2"/>
      <c r="CH3769" s="2"/>
      <c r="CI3769" s="2">
        <v>1</v>
      </c>
      <c r="CJ3769" s="2">
        <v>1</v>
      </c>
      <c r="CK3769" s="2">
        <v>22</v>
      </c>
      <c r="CL3769" s="2" t="s">
        <v>86</v>
      </c>
      <c r="CM3769" s="2"/>
    </row>
    <row r="3770" spans="1:91">
      <c r="A3770" s="2" t="s">
        <v>71</v>
      </c>
      <c r="B3770" s="2" t="s">
        <v>72</v>
      </c>
      <c r="C3770" s="2" t="s">
        <v>73</v>
      </c>
      <c r="D3770" s="2"/>
      <c r="E3770" s="2" t="str">
        <f>"FES1162565582"</f>
        <v>FES1162565582</v>
      </c>
      <c r="F3770" s="3">
        <v>42944</v>
      </c>
      <c r="G3770" s="2">
        <v>201802</v>
      </c>
      <c r="H3770" s="2" t="s">
        <v>74</v>
      </c>
      <c r="I3770" s="2" t="s">
        <v>75</v>
      </c>
      <c r="J3770" s="2" t="s">
        <v>76</v>
      </c>
      <c r="K3770" s="2" t="s">
        <v>77</v>
      </c>
      <c r="L3770" s="2" t="s">
        <v>137</v>
      </c>
      <c r="M3770" s="2" t="s">
        <v>138</v>
      </c>
      <c r="N3770" s="2" t="s">
        <v>139</v>
      </c>
      <c r="O3770" s="2" t="s">
        <v>81</v>
      </c>
      <c r="P3770" s="2" t="str">
        <f>"2170582125                    "</f>
        <v xml:space="preserve">2170582125                    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20.12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0</v>
      </c>
      <c r="AV3770" s="2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2">
        <v>0</v>
      </c>
      <c r="BD3770" s="2">
        <v>0</v>
      </c>
      <c r="BE3770" s="2">
        <v>0</v>
      </c>
      <c r="BF3770" s="2">
        <v>0</v>
      </c>
      <c r="BG3770" s="2">
        <v>0</v>
      </c>
      <c r="BH3770" s="2">
        <v>7</v>
      </c>
      <c r="BI3770" s="2">
        <v>86.1</v>
      </c>
      <c r="BJ3770" s="2">
        <v>85.9</v>
      </c>
      <c r="BK3770" s="2">
        <v>87</v>
      </c>
      <c r="BL3770" s="2">
        <v>232.75</v>
      </c>
      <c r="BM3770" s="2">
        <v>32.590000000000003</v>
      </c>
      <c r="BN3770" s="2">
        <v>265.33999999999997</v>
      </c>
      <c r="BO3770" s="2">
        <v>265.33999999999997</v>
      </c>
      <c r="BP3770" s="2"/>
      <c r="BQ3770" s="2" t="s">
        <v>1171</v>
      </c>
      <c r="BR3770" s="2" t="s">
        <v>84</v>
      </c>
      <c r="BS3770" s="3">
        <v>42948</v>
      </c>
      <c r="BT3770" s="4">
        <v>0.65277777777777779</v>
      </c>
      <c r="BU3770" s="2" t="s">
        <v>1172</v>
      </c>
      <c r="BV3770" s="2"/>
      <c r="BW3770" s="2" t="s">
        <v>1007</v>
      </c>
      <c r="BX3770" s="2" t="s">
        <v>1008</v>
      </c>
      <c r="BY3770" s="2">
        <v>429480.06</v>
      </c>
      <c r="BZ3770" s="2"/>
      <c r="CA3770" s="2" t="s">
        <v>141</v>
      </c>
      <c r="CB3770" s="2"/>
      <c r="CC3770" s="2" t="s">
        <v>138</v>
      </c>
      <c r="CD3770" s="2">
        <v>157</v>
      </c>
      <c r="CE3770" s="2" t="s">
        <v>89</v>
      </c>
      <c r="CF3770" s="5">
        <v>42949</v>
      </c>
      <c r="CG3770" s="2"/>
      <c r="CH3770" s="2"/>
      <c r="CI3770" s="2">
        <v>0</v>
      </c>
      <c r="CJ3770" s="2">
        <v>0</v>
      </c>
      <c r="CK3770" s="2" t="s">
        <v>143</v>
      </c>
      <c r="CL3770" s="2" t="s">
        <v>86</v>
      </c>
      <c r="CM3770" s="2"/>
    </row>
    <row r="3771" spans="1:91">
      <c r="A3771" s="2" t="s">
        <v>71</v>
      </c>
      <c r="B3771" s="2" t="s">
        <v>72</v>
      </c>
      <c r="C3771" s="2" t="s">
        <v>73</v>
      </c>
      <c r="D3771" s="2"/>
      <c r="E3771" s="2" t="str">
        <f>"FES1162566587"</f>
        <v>FES1162566587</v>
      </c>
      <c r="F3771" s="3">
        <v>42949</v>
      </c>
      <c r="G3771" s="2">
        <v>201802</v>
      </c>
      <c r="H3771" s="2" t="s">
        <v>74</v>
      </c>
      <c r="I3771" s="2" t="s">
        <v>75</v>
      </c>
      <c r="J3771" s="2" t="s">
        <v>76</v>
      </c>
      <c r="K3771" s="2" t="s">
        <v>77</v>
      </c>
      <c r="L3771" s="2" t="s">
        <v>528</v>
      </c>
      <c r="M3771" s="2" t="s">
        <v>529</v>
      </c>
      <c r="N3771" s="2" t="s">
        <v>530</v>
      </c>
      <c r="O3771" s="2" t="s">
        <v>100</v>
      </c>
      <c r="P3771" s="2" t="str">
        <f>"2170582285                    "</f>
        <v xml:space="preserve">2170582285                    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7.75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2">
        <v>0</v>
      </c>
      <c r="BD3771" s="2">
        <v>0</v>
      </c>
      <c r="BE3771" s="2">
        <v>0</v>
      </c>
      <c r="BF3771" s="2">
        <v>0</v>
      </c>
      <c r="BG3771" s="2">
        <v>0</v>
      </c>
      <c r="BH3771" s="2">
        <v>1</v>
      </c>
      <c r="BI3771" s="2">
        <v>1</v>
      </c>
      <c r="BJ3771" s="2">
        <v>0.2</v>
      </c>
      <c r="BK3771" s="2">
        <v>1</v>
      </c>
      <c r="BL3771" s="2">
        <v>80.290000000000006</v>
      </c>
      <c r="BM3771" s="2">
        <v>11.24</v>
      </c>
      <c r="BN3771" s="2">
        <v>91.53</v>
      </c>
      <c r="BO3771" s="2">
        <v>91.53</v>
      </c>
      <c r="BP3771" s="2"/>
      <c r="BQ3771" s="2" t="s">
        <v>3632</v>
      </c>
      <c r="BR3771" s="2" t="s">
        <v>84</v>
      </c>
      <c r="BS3771" s="3">
        <v>42950</v>
      </c>
      <c r="BT3771" s="4">
        <v>0.58333333333333337</v>
      </c>
      <c r="BU3771" s="2" t="s">
        <v>3633</v>
      </c>
      <c r="BV3771" s="2" t="s">
        <v>95</v>
      </c>
      <c r="BW3771" s="2"/>
      <c r="BX3771" s="2"/>
      <c r="BY3771" s="2">
        <v>1200</v>
      </c>
      <c r="BZ3771" s="2"/>
      <c r="CA3771" s="2" t="s">
        <v>532</v>
      </c>
      <c r="CB3771" s="2"/>
      <c r="CC3771" s="2" t="s">
        <v>529</v>
      </c>
      <c r="CD3771" s="2">
        <v>5099</v>
      </c>
      <c r="CE3771" s="2" t="s">
        <v>104</v>
      </c>
      <c r="CF3771" s="5">
        <v>42954</v>
      </c>
      <c r="CG3771" s="2"/>
      <c r="CH3771" s="2"/>
      <c r="CI3771" s="2">
        <v>3</v>
      </c>
      <c r="CJ3771" s="2">
        <v>1</v>
      </c>
      <c r="CK3771" s="2">
        <v>23</v>
      </c>
      <c r="CL3771" s="2" t="s">
        <v>86</v>
      </c>
      <c r="CM3771" s="2"/>
    </row>
    <row r="3772" spans="1:91">
      <c r="A3772" s="2" t="s">
        <v>71</v>
      </c>
      <c r="B3772" s="2" t="s">
        <v>72</v>
      </c>
      <c r="C3772" s="2" t="s">
        <v>73</v>
      </c>
      <c r="D3772" s="2"/>
      <c r="E3772" s="2" t="str">
        <f>"FES1162566054"</f>
        <v>FES1162566054</v>
      </c>
      <c r="F3772" s="3">
        <v>42948</v>
      </c>
      <c r="G3772" s="2">
        <v>201802</v>
      </c>
      <c r="H3772" s="2" t="s">
        <v>74</v>
      </c>
      <c r="I3772" s="2" t="s">
        <v>75</v>
      </c>
      <c r="J3772" s="2" t="s">
        <v>76</v>
      </c>
      <c r="K3772" s="2" t="s">
        <v>77</v>
      </c>
      <c r="L3772" s="2" t="s">
        <v>74</v>
      </c>
      <c r="M3772" s="2" t="s">
        <v>75</v>
      </c>
      <c r="N3772" s="2" t="s">
        <v>407</v>
      </c>
      <c r="O3772" s="2" t="s">
        <v>100</v>
      </c>
      <c r="P3772" s="2" t="str">
        <f>"2170580068                    "</f>
        <v xml:space="preserve">2170580068                    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2.83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0</v>
      </c>
      <c r="BA3772" s="2">
        <v>0</v>
      </c>
      <c r="BB3772" s="2">
        <v>0</v>
      </c>
      <c r="BC3772" s="2">
        <v>0</v>
      </c>
      <c r="BD3772" s="2">
        <v>0</v>
      </c>
      <c r="BE3772" s="2">
        <v>0</v>
      </c>
      <c r="BF3772" s="2">
        <v>0</v>
      </c>
      <c r="BG3772" s="2">
        <v>0</v>
      </c>
      <c r="BH3772" s="2">
        <v>1</v>
      </c>
      <c r="BI3772" s="2">
        <v>3.6</v>
      </c>
      <c r="BJ3772" s="2">
        <v>1.6</v>
      </c>
      <c r="BK3772" s="2">
        <v>4</v>
      </c>
      <c r="BL3772" s="2">
        <v>32.08</v>
      </c>
      <c r="BM3772" s="2">
        <v>4.49</v>
      </c>
      <c r="BN3772" s="2">
        <v>36.57</v>
      </c>
      <c r="BO3772" s="2">
        <v>36.57</v>
      </c>
      <c r="BP3772" s="2"/>
      <c r="BQ3772" s="2" t="s">
        <v>108</v>
      </c>
      <c r="BR3772" s="2" t="s">
        <v>84</v>
      </c>
      <c r="BS3772" s="3">
        <v>42949</v>
      </c>
      <c r="BT3772" s="4">
        <v>0.33333333333333331</v>
      </c>
      <c r="BU3772" s="2" t="s">
        <v>935</v>
      </c>
      <c r="BV3772" s="2" t="s">
        <v>95</v>
      </c>
      <c r="BW3772" s="2"/>
      <c r="BX3772" s="2"/>
      <c r="BY3772" s="2">
        <v>7986.89</v>
      </c>
      <c r="BZ3772" s="2" t="s">
        <v>27</v>
      </c>
      <c r="CA3772" s="2" t="s">
        <v>267</v>
      </c>
      <c r="CB3772" s="2"/>
      <c r="CC3772" s="2" t="s">
        <v>75</v>
      </c>
      <c r="CD3772" s="2">
        <v>1645</v>
      </c>
      <c r="CE3772" s="2" t="s">
        <v>89</v>
      </c>
      <c r="CF3772" s="5">
        <v>42950</v>
      </c>
      <c r="CG3772" s="2"/>
      <c r="CH3772" s="2"/>
      <c r="CI3772" s="2">
        <v>1</v>
      </c>
      <c r="CJ3772" s="2">
        <v>1</v>
      </c>
      <c r="CK3772" s="2">
        <v>22</v>
      </c>
      <c r="CL3772" s="2" t="s">
        <v>86</v>
      </c>
      <c r="CM3772" s="2"/>
    </row>
    <row r="3773" spans="1:91">
      <c r="A3773" s="2" t="s">
        <v>71</v>
      </c>
      <c r="B3773" s="2" t="s">
        <v>72</v>
      </c>
      <c r="C3773" s="2" t="s">
        <v>73</v>
      </c>
      <c r="D3773" s="2"/>
      <c r="E3773" s="2" t="str">
        <f>"FES1162565830"</f>
        <v>FES1162565830</v>
      </c>
      <c r="F3773" s="3">
        <v>42948</v>
      </c>
      <c r="G3773" s="2">
        <v>201802</v>
      </c>
      <c r="H3773" s="2" t="s">
        <v>74</v>
      </c>
      <c r="I3773" s="2" t="s">
        <v>75</v>
      </c>
      <c r="J3773" s="2" t="s">
        <v>76</v>
      </c>
      <c r="K3773" s="2" t="s">
        <v>77</v>
      </c>
      <c r="L3773" s="2" t="s">
        <v>144</v>
      </c>
      <c r="M3773" s="2" t="s">
        <v>145</v>
      </c>
      <c r="N3773" s="2" t="s">
        <v>393</v>
      </c>
      <c r="O3773" s="2" t="s">
        <v>100</v>
      </c>
      <c r="P3773" s="2" t="str">
        <f>"2170582351                    "</f>
        <v xml:space="preserve">2170582351                    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2.83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0</v>
      </c>
      <c r="AV3773" s="2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2">
        <v>0</v>
      </c>
      <c r="BD3773" s="2">
        <v>0</v>
      </c>
      <c r="BE3773" s="2">
        <v>0</v>
      </c>
      <c r="BF3773" s="2">
        <v>0</v>
      </c>
      <c r="BG3773" s="2">
        <v>0</v>
      </c>
      <c r="BH3773" s="2">
        <v>1</v>
      </c>
      <c r="BI3773" s="2">
        <v>1</v>
      </c>
      <c r="BJ3773" s="2">
        <v>0.2</v>
      </c>
      <c r="BK3773" s="2">
        <v>1</v>
      </c>
      <c r="BL3773" s="2">
        <v>32.08</v>
      </c>
      <c r="BM3773" s="2">
        <v>4.49</v>
      </c>
      <c r="BN3773" s="2">
        <v>36.57</v>
      </c>
      <c r="BO3773" s="2">
        <v>36.57</v>
      </c>
      <c r="BP3773" s="2"/>
      <c r="BQ3773" s="2" t="s">
        <v>83</v>
      </c>
      <c r="BR3773" s="2" t="s">
        <v>84</v>
      </c>
      <c r="BS3773" s="3">
        <v>42949</v>
      </c>
      <c r="BT3773" s="4">
        <v>0.40833333333333338</v>
      </c>
      <c r="BU3773" s="2" t="s">
        <v>3634</v>
      </c>
      <c r="BV3773" s="2" t="s">
        <v>95</v>
      </c>
      <c r="BW3773" s="2"/>
      <c r="BX3773" s="2"/>
      <c r="BY3773" s="2">
        <v>1200</v>
      </c>
      <c r="BZ3773" s="2" t="s">
        <v>27</v>
      </c>
      <c r="CA3773" s="2" t="s">
        <v>1296</v>
      </c>
      <c r="CB3773" s="2"/>
      <c r="CC3773" s="2" t="s">
        <v>145</v>
      </c>
      <c r="CD3773" s="2">
        <v>2001</v>
      </c>
      <c r="CE3773" s="2" t="s">
        <v>104</v>
      </c>
      <c r="CF3773" s="5">
        <v>42950</v>
      </c>
      <c r="CG3773" s="2"/>
      <c r="CH3773" s="2"/>
      <c r="CI3773" s="2">
        <v>1</v>
      </c>
      <c r="CJ3773" s="2">
        <v>1</v>
      </c>
      <c r="CK3773" s="2">
        <v>22</v>
      </c>
      <c r="CL3773" s="2" t="s">
        <v>86</v>
      </c>
      <c r="CM3773" s="2"/>
    </row>
    <row r="3774" spans="1:91">
      <c r="A3774" s="2" t="s">
        <v>71</v>
      </c>
      <c r="B3774" s="2" t="s">
        <v>72</v>
      </c>
      <c r="C3774" s="2" t="s">
        <v>73</v>
      </c>
      <c r="D3774" s="2"/>
      <c r="E3774" s="2" t="str">
        <f>"RFES1162565444"</f>
        <v>RFES1162565444</v>
      </c>
      <c r="F3774" s="3">
        <v>42948</v>
      </c>
      <c r="G3774" s="2">
        <v>201802</v>
      </c>
      <c r="H3774" s="2" t="s">
        <v>237</v>
      </c>
      <c r="I3774" s="2" t="s">
        <v>238</v>
      </c>
      <c r="J3774" s="2" t="s">
        <v>399</v>
      </c>
      <c r="K3774" s="2" t="s">
        <v>77</v>
      </c>
      <c r="L3774" s="2" t="s">
        <v>74</v>
      </c>
      <c r="M3774" s="2" t="s">
        <v>75</v>
      </c>
      <c r="N3774" s="2" t="s">
        <v>76</v>
      </c>
      <c r="O3774" s="2" t="s">
        <v>100</v>
      </c>
      <c r="P3774" s="2" t="str">
        <f>"2170582008                    "</f>
        <v xml:space="preserve">2170582008                    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3.63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0</v>
      </c>
      <c r="AV3774" s="2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2">
        <v>0</v>
      </c>
      <c r="BD3774" s="2">
        <v>0</v>
      </c>
      <c r="BE3774" s="2">
        <v>0</v>
      </c>
      <c r="BF3774" s="2">
        <v>0</v>
      </c>
      <c r="BG3774" s="2">
        <v>0</v>
      </c>
      <c r="BH3774" s="2">
        <v>1</v>
      </c>
      <c r="BI3774" s="2">
        <v>1</v>
      </c>
      <c r="BJ3774" s="2">
        <v>0.2</v>
      </c>
      <c r="BK3774" s="2">
        <v>1</v>
      </c>
      <c r="BL3774" s="2">
        <v>41.07</v>
      </c>
      <c r="BM3774" s="2">
        <v>5.75</v>
      </c>
      <c r="BN3774" s="2">
        <v>46.82</v>
      </c>
      <c r="BO3774" s="2">
        <v>46.82</v>
      </c>
      <c r="BP3774" s="2"/>
      <c r="BQ3774" s="2" t="s">
        <v>84</v>
      </c>
      <c r="BR3774" s="2" t="s">
        <v>365</v>
      </c>
      <c r="BS3774" s="3">
        <v>42949</v>
      </c>
      <c r="BT3774" s="4">
        <v>0.48958333333333331</v>
      </c>
      <c r="BU3774" s="2" t="s">
        <v>3635</v>
      </c>
      <c r="BV3774" s="2" t="s">
        <v>86</v>
      </c>
      <c r="BW3774" s="2"/>
      <c r="BX3774" s="2"/>
      <c r="BY3774" s="2">
        <v>1200</v>
      </c>
      <c r="BZ3774" s="2" t="s">
        <v>27</v>
      </c>
      <c r="CA3774" s="2" t="s">
        <v>328</v>
      </c>
      <c r="CB3774" s="2"/>
      <c r="CC3774" s="2" t="s">
        <v>75</v>
      </c>
      <c r="CD3774" s="2">
        <v>1600</v>
      </c>
      <c r="CE3774" s="2" t="s">
        <v>104</v>
      </c>
      <c r="CF3774" s="5">
        <v>42950</v>
      </c>
      <c r="CG3774" s="2"/>
      <c r="CH3774" s="2"/>
      <c r="CI3774" s="2">
        <v>1</v>
      </c>
      <c r="CJ3774" s="2">
        <v>1</v>
      </c>
      <c r="CK3774" s="2">
        <v>21</v>
      </c>
      <c r="CL3774" s="2" t="s">
        <v>86</v>
      </c>
      <c r="CM3774" s="2"/>
    </row>
    <row r="3775" spans="1:91">
      <c r="A3775" s="2" t="s">
        <v>71</v>
      </c>
      <c r="B3775" s="2" t="s">
        <v>72</v>
      </c>
      <c r="C3775" s="2" t="s">
        <v>73</v>
      </c>
      <c r="D3775" s="2"/>
      <c r="E3775" s="2" t="str">
        <f>"FES1162565828"</f>
        <v>FES1162565828</v>
      </c>
      <c r="F3775" s="3">
        <v>42948</v>
      </c>
      <c r="G3775" s="2">
        <v>201802</v>
      </c>
      <c r="H3775" s="2" t="s">
        <v>74</v>
      </c>
      <c r="I3775" s="2" t="s">
        <v>75</v>
      </c>
      <c r="J3775" s="2" t="s">
        <v>76</v>
      </c>
      <c r="K3775" s="2" t="s">
        <v>77</v>
      </c>
      <c r="L3775" s="2" t="s">
        <v>105</v>
      </c>
      <c r="M3775" s="2" t="s">
        <v>106</v>
      </c>
      <c r="N3775" s="2" t="s">
        <v>3636</v>
      </c>
      <c r="O3775" s="2" t="s">
        <v>100</v>
      </c>
      <c r="P3775" s="2" t="str">
        <f>"2170582085                    "</f>
        <v xml:space="preserve">2170582085                    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3.63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2">
        <v>0</v>
      </c>
      <c r="BD3775" s="2">
        <v>0</v>
      </c>
      <c r="BE3775" s="2">
        <v>0</v>
      </c>
      <c r="BF3775" s="2">
        <v>0</v>
      </c>
      <c r="BG3775" s="2">
        <v>0</v>
      </c>
      <c r="BH3775" s="2">
        <v>1</v>
      </c>
      <c r="BI3775" s="2">
        <v>1</v>
      </c>
      <c r="BJ3775" s="2">
        <v>0.2</v>
      </c>
      <c r="BK3775" s="2">
        <v>1</v>
      </c>
      <c r="BL3775" s="2">
        <v>41.07</v>
      </c>
      <c r="BM3775" s="2">
        <v>5.75</v>
      </c>
      <c r="BN3775" s="2">
        <v>46.82</v>
      </c>
      <c r="BO3775" s="2">
        <v>46.82</v>
      </c>
      <c r="BP3775" s="2"/>
      <c r="BQ3775" s="2" t="s">
        <v>108</v>
      </c>
      <c r="BR3775" s="2" t="s">
        <v>84</v>
      </c>
      <c r="BS3775" s="3">
        <v>42949</v>
      </c>
      <c r="BT3775" s="4">
        <v>0.61736111111111114</v>
      </c>
      <c r="BU3775" s="2" t="s">
        <v>3637</v>
      </c>
      <c r="BV3775" s="2" t="s">
        <v>86</v>
      </c>
      <c r="BW3775" s="2"/>
      <c r="BX3775" s="2"/>
      <c r="BY3775" s="2">
        <v>1200</v>
      </c>
      <c r="BZ3775" s="2" t="s">
        <v>27</v>
      </c>
      <c r="CA3775" s="2" t="s">
        <v>2035</v>
      </c>
      <c r="CB3775" s="2"/>
      <c r="CC3775" s="2" t="s">
        <v>106</v>
      </c>
      <c r="CD3775" s="2">
        <v>7441</v>
      </c>
      <c r="CE3775" s="2" t="s">
        <v>3630</v>
      </c>
      <c r="CF3775" s="5">
        <v>42950</v>
      </c>
      <c r="CG3775" s="2"/>
      <c r="CH3775" s="2"/>
      <c r="CI3775" s="2">
        <v>1</v>
      </c>
      <c r="CJ3775" s="2">
        <v>1</v>
      </c>
      <c r="CK3775" s="2">
        <v>21</v>
      </c>
      <c r="CL3775" s="2" t="s">
        <v>86</v>
      </c>
      <c r="CM3775" s="2"/>
    </row>
    <row r="3776" spans="1:91">
      <c r="A3776" s="2" t="s">
        <v>71</v>
      </c>
      <c r="B3776" s="2" t="s">
        <v>72</v>
      </c>
      <c r="C3776" s="2" t="s">
        <v>73</v>
      </c>
      <c r="D3776" s="2"/>
      <c r="E3776" s="2" t="str">
        <f>"FES1162565820"</f>
        <v>FES1162565820</v>
      </c>
      <c r="F3776" s="3">
        <v>42948</v>
      </c>
      <c r="G3776" s="2">
        <v>201802</v>
      </c>
      <c r="H3776" s="2" t="s">
        <v>74</v>
      </c>
      <c r="I3776" s="2" t="s">
        <v>75</v>
      </c>
      <c r="J3776" s="2" t="s">
        <v>76</v>
      </c>
      <c r="K3776" s="2" t="s">
        <v>77</v>
      </c>
      <c r="L3776" s="2" t="s">
        <v>74</v>
      </c>
      <c r="M3776" s="2" t="s">
        <v>75</v>
      </c>
      <c r="N3776" s="2" t="s">
        <v>821</v>
      </c>
      <c r="O3776" s="2" t="s">
        <v>100</v>
      </c>
      <c r="P3776" s="2" t="str">
        <f>"2170580699                    "</f>
        <v xml:space="preserve">2170580699                    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2.83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0</v>
      </c>
      <c r="AV3776" s="2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2">
        <v>0</v>
      </c>
      <c r="BD3776" s="2">
        <v>0</v>
      </c>
      <c r="BE3776" s="2">
        <v>0</v>
      </c>
      <c r="BF3776" s="2">
        <v>0</v>
      </c>
      <c r="BG3776" s="2">
        <v>0</v>
      </c>
      <c r="BH3776" s="2">
        <v>1</v>
      </c>
      <c r="BI3776" s="2">
        <v>1</v>
      </c>
      <c r="BJ3776" s="2">
        <v>0.2</v>
      </c>
      <c r="BK3776" s="2">
        <v>1</v>
      </c>
      <c r="BL3776" s="2">
        <v>32.08</v>
      </c>
      <c r="BM3776" s="2">
        <v>4.49</v>
      </c>
      <c r="BN3776" s="2">
        <v>36.57</v>
      </c>
      <c r="BO3776" s="2">
        <v>36.57</v>
      </c>
      <c r="BP3776" s="2"/>
      <c r="BQ3776" s="2" t="s">
        <v>83</v>
      </c>
      <c r="BR3776" s="2" t="s">
        <v>84</v>
      </c>
      <c r="BS3776" s="3">
        <v>42949</v>
      </c>
      <c r="BT3776" s="4">
        <v>0.35625000000000001</v>
      </c>
      <c r="BU3776" s="2" t="s">
        <v>1435</v>
      </c>
      <c r="BV3776" s="2" t="s">
        <v>95</v>
      </c>
      <c r="BW3776" s="2"/>
      <c r="BX3776" s="2"/>
      <c r="BY3776" s="2">
        <v>1200</v>
      </c>
      <c r="BZ3776" s="2" t="s">
        <v>27</v>
      </c>
      <c r="CA3776" s="2"/>
      <c r="CB3776" s="2"/>
      <c r="CC3776" s="2" t="s">
        <v>75</v>
      </c>
      <c r="CD3776" s="2">
        <v>1665</v>
      </c>
      <c r="CE3776" s="2" t="s">
        <v>104</v>
      </c>
      <c r="CF3776" s="5">
        <v>42950</v>
      </c>
      <c r="CG3776" s="2"/>
      <c r="CH3776" s="2"/>
      <c r="CI3776" s="2">
        <v>1</v>
      </c>
      <c r="CJ3776" s="2">
        <v>1</v>
      </c>
      <c r="CK3776" s="2">
        <v>22</v>
      </c>
      <c r="CL3776" s="2" t="s">
        <v>86</v>
      </c>
      <c r="CM3776" s="2"/>
    </row>
    <row r="3777" spans="1:91">
      <c r="A3777" s="2" t="s">
        <v>71</v>
      </c>
      <c r="B3777" s="2" t="s">
        <v>72</v>
      </c>
      <c r="C3777" s="2" t="s">
        <v>73</v>
      </c>
      <c r="D3777" s="2"/>
      <c r="E3777" s="2" t="str">
        <f>"FES1162566041"</f>
        <v>FES1162566041</v>
      </c>
      <c r="F3777" s="3">
        <v>42948</v>
      </c>
      <c r="G3777" s="2">
        <v>201802</v>
      </c>
      <c r="H3777" s="2" t="s">
        <v>74</v>
      </c>
      <c r="I3777" s="2" t="s">
        <v>75</v>
      </c>
      <c r="J3777" s="2" t="s">
        <v>76</v>
      </c>
      <c r="K3777" s="2" t="s">
        <v>77</v>
      </c>
      <c r="L3777" s="2" t="s">
        <v>144</v>
      </c>
      <c r="M3777" s="2" t="s">
        <v>145</v>
      </c>
      <c r="N3777" s="2" t="s">
        <v>146</v>
      </c>
      <c r="O3777" s="2" t="s">
        <v>100</v>
      </c>
      <c r="P3777" s="2" t="str">
        <f>"2170582596                    "</f>
        <v xml:space="preserve">2170582596                    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2.83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0</v>
      </c>
      <c r="AZ3777" s="2">
        <v>0</v>
      </c>
      <c r="BA3777" s="2">
        <v>0</v>
      </c>
      <c r="BB3777" s="2">
        <v>0</v>
      </c>
      <c r="BC3777" s="2">
        <v>0</v>
      </c>
      <c r="BD3777" s="2">
        <v>0</v>
      </c>
      <c r="BE3777" s="2">
        <v>0</v>
      </c>
      <c r="BF3777" s="2">
        <v>0</v>
      </c>
      <c r="BG3777" s="2">
        <v>0</v>
      </c>
      <c r="BH3777" s="2">
        <v>1</v>
      </c>
      <c r="BI3777" s="2">
        <v>2.5</v>
      </c>
      <c r="BJ3777" s="2">
        <v>0.9</v>
      </c>
      <c r="BK3777" s="2">
        <v>3</v>
      </c>
      <c r="BL3777" s="2">
        <v>32.08</v>
      </c>
      <c r="BM3777" s="2">
        <v>4.49</v>
      </c>
      <c r="BN3777" s="2">
        <v>36.57</v>
      </c>
      <c r="BO3777" s="2">
        <v>36.57</v>
      </c>
      <c r="BP3777" s="2"/>
      <c r="BQ3777" s="2" t="s">
        <v>83</v>
      </c>
      <c r="BR3777" s="2" t="s">
        <v>84</v>
      </c>
      <c r="BS3777" s="3">
        <v>42949</v>
      </c>
      <c r="BT3777" s="4">
        <v>0.3888888888888889</v>
      </c>
      <c r="BU3777" s="2" t="s">
        <v>728</v>
      </c>
      <c r="BV3777" s="2" t="s">
        <v>95</v>
      </c>
      <c r="BW3777" s="2"/>
      <c r="BX3777" s="2"/>
      <c r="BY3777" s="2">
        <v>4748.1000000000004</v>
      </c>
      <c r="BZ3777" s="2" t="s">
        <v>27</v>
      </c>
      <c r="CA3777" s="2" t="s">
        <v>729</v>
      </c>
      <c r="CB3777" s="2"/>
      <c r="CC3777" s="2" t="s">
        <v>145</v>
      </c>
      <c r="CD3777" s="2">
        <v>2094</v>
      </c>
      <c r="CE3777" s="2" t="s">
        <v>948</v>
      </c>
      <c r="CF3777" s="5">
        <v>42950</v>
      </c>
      <c r="CG3777" s="2"/>
      <c r="CH3777" s="2"/>
      <c r="CI3777" s="2">
        <v>1</v>
      </c>
      <c r="CJ3777" s="2">
        <v>1</v>
      </c>
      <c r="CK3777" s="2">
        <v>22</v>
      </c>
      <c r="CL3777" s="2" t="s">
        <v>86</v>
      </c>
      <c r="CM3777" s="2"/>
    </row>
    <row r="3778" spans="1:91">
      <c r="A3778" s="2" t="s">
        <v>71</v>
      </c>
      <c r="B3778" s="2" t="s">
        <v>72</v>
      </c>
      <c r="C3778" s="2" t="s">
        <v>73</v>
      </c>
      <c r="D3778" s="2"/>
      <c r="E3778" s="2" t="str">
        <f>"FES1162565831"</f>
        <v>FES1162565831</v>
      </c>
      <c r="F3778" s="3">
        <v>42948</v>
      </c>
      <c r="G3778" s="2">
        <v>201802</v>
      </c>
      <c r="H3778" s="2" t="s">
        <v>74</v>
      </c>
      <c r="I3778" s="2" t="s">
        <v>75</v>
      </c>
      <c r="J3778" s="2" t="s">
        <v>76</v>
      </c>
      <c r="K3778" s="2" t="s">
        <v>77</v>
      </c>
      <c r="L3778" s="2" t="s">
        <v>244</v>
      </c>
      <c r="M3778" s="2" t="s">
        <v>245</v>
      </c>
      <c r="N3778" s="2" t="s">
        <v>246</v>
      </c>
      <c r="O3778" s="2" t="s">
        <v>100</v>
      </c>
      <c r="P3778" s="2" t="str">
        <f>"2170582411                    "</f>
        <v xml:space="preserve">2170582411                    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2.83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0</v>
      </c>
      <c r="BB3778" s="2">
        <v>0</v>
      </c>
      <c r="BC3778" s="2">
        <v>0</v>
      </c>
      <c r="BD3778" s="2">
        <v>0</v>
      </c>
      <c r="BE3778" s="2">
        <v>0</v>
      </c>
      <c r="BF3778" s="2">
        <v>0</v>
      </c>
      <c r="BG3778" s="2">
        <v>0</v>
      </c>
      <c r="BH3778" s="2">
        <v>1</v>
      </c>
      <c r="BI3778" s="2">
        <v>1</v>
      </c>
      <c r="BJ3778" s="2">
        <v>0.2</v>
      </c>
      <c r="BK3778" s="2">
        <v>1</v>
      </c>
      <c r="BL3778" s="2">
        <v>32.08</v>
      </c>
      <c r="BM3778" s="2">
        <v>4.49</v>
      </c>
      <c r="BN3778" s="2">
        <v>36.57</v>
      </c>
      <c r="BO3778" s="2">
        <v>36.57</v>
      </c>
      <c r="BP3778" s="2"/>
      <c r="BQ3778" s="2" t="s">
        <v>209</v>
      </c>
      <c r="BR3778" s="2" t="s">
        <v>84</v>
      </c>
      <c r="BS3778" s="3">
        <v>42949</v>
      </c>
      <c r="BT3778" s="4">
        <v>0.41944444444444445</v>
      </c>
      <c r="BU3778" s="2" t="s">
        <v>740</v>
      </c>
      <c r="BV3778" s="2" t="s">
        <v>95</v>
      </c>
      <c r="BW3778" s="2"/>
      <c r="BX3778" s="2"/>
      <c r="BY3778" s="2">
        <v>1200</v>
      </c>
      <c r="BZ3778" s="2" t="s">
        <v>27</v>
      </c>
      <c r="CA3778" s="2" t="s">
        <v>499</v>
      </c>
      <c r="CB3778" s="2"/>
      <c r="CC3778" s="2" t="s">
        <v>245</v>
      </c>
      <c r="CD3778" s="2">
        <v>1459</v>
      </c>
      <c r="CE3778" s="2" t="s">
        <v>104</v>
      </c>
      <c r="CF3778" s="5">
        <v>42950</v>
      </c>
      <c r="CG3778" s="2"/>
      <c r="CH3778" s="2"/>
      <c r="CI3778" s="2">
        <v>1</v>
      </c>
      <c r="CJ3778" s="2">
        <v>1</v>
      </c>
      <c r="CK3778" s="2">
        <v>22</v>
      </c>
      <c r="CL3778" s="2" t="s">
        <v>86</v>
      </c>
      <c r="CM3778" s="2"/>
    </row>
    <row r="3779" spans="1:91">
      <c r="A3779" s="2" t="s">
        <v>71</v>
      </c>
      <c r="B3779" s="2" t="s">
        <v>72</v>
      </c>
      <c r="C3779" s="2" t="s">
        <v>73</v>
      </c>
      <c r="D3779" s="2"/>
      <c r="E3779" s="2" t="str">
        <f>"FES1162566033"</f>
        <v>FES1162566033</v>
      </c>
      <c r="F3779" s="3">
        <v>42948</v>
      </c>
      <c r="G3779" s="2">
        <v>201802</v>
      </c>
      <c r="H3779" s="2" t="s">
        <v>74</v>
      </c>
      <c r="I3779" s="2" t="s">
        <v>75</v>
      </c>
      <c r="J3779" s="2" t="s">
        <v>76</v>
      </c>
      <c r="K3779" s="2" t="s">
        <v>77</v>
      </c>
      <c r="L3779" s="2" t="s">
        <v>221</v>
      </c>
      <c r="M3779" s="2" t="s">
        <v>222</v>
      </c>
      <c r="N3779" s="2" t="s">
        <v>3638</v>
      </c>
      <c r="O3779" s="2" t="s">
        <v>100</v>
      </c>
      <c r="P3779" s="2" t="str">
        <f>"2170582584                    "</f>
        <v xml:space="preserve">2170582584                    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3.63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2">
        <v>0</v>
      </c>
      <c r="BD3779" s="2">
        <v>0</v>
      </c>
      <c r="BE3779" s="2">
        <v>0</v>
      </c>
      <c r="BF3779" s="2">
        <v>0</v>
      </c>
      <c r="BG3779" s="2">
        <v>0</v>
      </c>
      <c r="BH3779" s="2">
        <v>1</v>
      </c>
      <c r="BI3779" s="2">
        <v>1.3</v>
      </c>
      <c r="BJ3779" s="2">
        <v>0.6</v>
      </c>
      <c r="BK3779" s="2">
        <v>1.5</v>
      </c>
      <c r="BL3779" s="2">
        <v>41.07</v>
      </c>
      <c r="BM3779" s="2">
        <v>5.75</v>
      </c>
      <c r="BN3779" s="2">
        <v>46.82</v>
      </c>
      <c r="BO3779" s="2">
        <v>46.82</v>
      </c>
      <c r="BP3779" s="2"/>
      <c r="BQ3779" s="2" t="s">
        <v>108</v>
      </c>
      <c r="BR3779" s="2" t="s">
        <v>84</v>
      </c>
      <c r="BS3779" s="3">
        <v>42949</v>
      </c>
      <c r="BT3779" s="4">
        <v>0.40763888888888888</v>
      </c>
      <c r="BU3779" s="2" t="s">
        <v>3639</v>
      </c>
      <c r="BV3779" s="2" t="s">
        <v>95</v>
      </c>
      <c r="BW3779" s="2"/>
      <c r="BX3779" s="2"/>
      <c r="BY3779" s="2">
        <v>3246.01</v>
      </c>
      <c r="BZ3779" s="2" t="s">
        <v>27</v>
      </c>
      <c r="CA3779" s="2" t="s">
        <v>3640</v>
      </c>
      <c r="CB3779" s="2"/>
      <c r="CC3779" s="2" t="s">
        <v>222</v>
      </c>
      <c r="CD3779" s="2">
        <v>4300</v>
      </c>
      <c r="CE3779" s="2" t="s">
        <v>948</v>
      </c>
      <c r="CF3779" s="5">
        <v>42950</v>
      </c>
      <c r="CG3779" s="2"/>
      <c r="CH3779" s="2"/>
      <c r="CI3779" s="2">
        <v>1</v>
      </c>
      <c r="CJ3779" s="2">
        <v>1</v>
      </c>
      <c r="CK3779" s="2">
        <v>21</v>
      </c>
      <c r="CL3779" s="2" t="s">
        <v>86</v>
      </c>
      <c r="CM3779" s="2"/>
    </row>
    <row r="3780" spans="1:91">
      <c r="A3780" s="2" t="s">
        <v>71</v>
      </c>
      <c r="B3780" s="2" t="s">
        <v>72</v>
      </c>
      <c r="C3780" s="2" t="s">
        <v>73</v>
      </c>
      <c r="D3780" s="2"/>
      <c r="E3780" s="2" t="str">
        <f>"FES1162565824"</f>
        <v>FES1162565824</v>
      </c>
      <c r="F3780" s="3">
        <v>42948</v>
      </c>
      <c r="G3780" s="2">
        <v>201802</v>
      </c>
      <c r="H3780" s="2" t="s">
        <v>74</v>
      </c>
      <c r="I3780" s="2" t="s">
        <v>75</v>
      </c>
      <c r="J3780" s="2" t="s">
        <v>76</v>
      </c>
      <c r="K3780" s="2" t="s">
        <v>77</v>
      </c>
      <c r="L3780" s="2" t="s">
        <v>74</v>
      </c>
      <c r="M3780" s="2" t="s">
        <v>75</v>
      </c>
      <c r="N3780" s="2" t="s">
        <v>1446</v>
      </c>
      <c r="O3780" s="2" t="s">
        <v>100</v>
      </c>
      <c r="P3780" s="2" t="str">
        <f>"2170581651                    "</f>
        <v xml:space="preserve">2170581651                    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2.83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0</v>
      </c>
      <c r="AV3780" s="2">
        <v>0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2">
        <v>0</v>
      </c>
      <c r="BD3780" s="2">
        <v>0</v>
      </c>
      <c r="BE3780" s="2">
        <v>0</v>
      </c>
      <c r="BF3780" s="2">
        <v>0</v>
      </c>
      <c r="BG3780" s="2">
        <v>0</v>
      </c>
      <c r="BH3780" s="2">
        <v>1</v>
      </c>
      <c r="BI3780" s="2">
        <v>1</v>
      </c>
      <c r="BJ3780" s="2">
        <v>0.2</v>
      </c>
      <c r="BK3780" s="2">
        <v>1</v>
      </c>
      <c r="BL3780" s="2">
        <v>32.08</v>
      </c>
      <c r="BM3780" s="2">
        <v>4.49</v>
      </c>
      <c r="BN3780" s="2">
        <v>36.57</v>
      </c>
      <c r="BO3780" s="2">
        <v>36.57</v>
      </c>
      <c r="BP3780" s="2"/>
      <c r="BQ3780" s="2" t="s">
        <v>108</v>
      </c>
      <c r="BR3780" s="2" t="s">
        <v>84</v>
      </c>
      <c r="BS3780" s="3">
        <v>42949</v>
      </c>
      <c r="BT3780" s="4">
        <v>0.32361111111111113</v>
      </c>
      <c r="BU3780" s="2" t="s">
        <v>3641</v>
      </c>
      <c r="BV3780" s="2" t="s">
        <v>95</v>
      </c>
      <c r="BW3780" s="2"/>
      <c r="BX3780" s="2"/>
      <c r="BY3780" s="2">
        <v>1200</v>
      </c>
      <c r="BZ3780" s="2" t="s">
        <v>27</v>
      </c>
      <c r="CA3780" s="2" t="s">
        <v>1448</v>
      </c>
      <c r="CB3780" s="2"/>
      <c r="CC3780" s="2" t="s">
        <v>75</v>
      </c>
      <c r="CD3780" s="2">
        <v>1600</v>
      </c>
      <c r="CE3780" s="2" t="s">
        <v>104</v>
      </c>
      <c r="CF3780" s="5">
        <v>42950</v>
      </c>
      <c r="CG3780" s="2"/>
      <c r="CH3780" s="2"/>
      <c r="CI3780" s="2">
        <v>1</v>
      </c>
      <c r="CJ3780" s="2">
        <v>1</v>
      </c>
      <c r="CK3780" s="2">
        <v>22</v>
      </c>
      <c r="CL3780" s="2" t="s">
        <v>86</v>
      </c>
      <c r="CM3780" s="2"/>
    </row>
    <row r="3781" spans="1:91">
      <c r="A3781" s="2" t="s">
        <v>71</v>
      </c>
      <c r="B3781" s="2" t="s">
        <v>72</v>
      </c>
      <c r="C3781" s="2" t="s">
        <v>73</v>
      </c>
      <c r="D3781" s="2"/>
      <c r="E3781" s="2" t="str">
        <f>"FES1162565991"</f>
        <v>FES1162565991</v>
      </c>
      <c r="F3781" s="3">
        <v>42948</v>
      </c>
      <c r="G3781" s="2">
        <v>201802</v>
      </c>
      <c r="H3781" s="2" t="s">
        <v>74</v>
      </c>
      <c r="I3781" s="2" t="s">
        <v>75</v>
      </c>
      <c r="J3781" s="2" t="s">
        <v>76</v>
      </c>
      <c r="K3781" s="2" t="s">
        <v>77</v>
      </c>
      <c r="L3781" s="2" t="s">
        <v>237</v>
      </c>
      <c r="M3781" s="2" t="s">
        <v>238</v>
      </c>
      <c r="N3781" s="2" t="s">
        <v>837</v>
      </c>
      <c r="O3781" s="2" t="s">
        <v>100</v>
      </c>
      <c r="P3781" s="2" t="str">
        <f>"2170582546                    "</f>
        <v xml:space="preserve">2170582546                    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3.63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0</v>
      </c>
      <c r="AV3781" s="2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2">
        <v>0</v>
      </c>
      <c r="BD3781" s="2">
        <v>0</v>
      </c>
      <c r="BE3781" s="2">
        <v>0</v>
      </c>
      <c r="BF3781" s="2">
        <v>0</v>
      </c>
      <c r="BG3781" s="2">
        <v>0</v>
      </c>
      <c r="BH3781" s="2">
        <v>1</v>
      </c>
      <c r="BI3781" s="2">
        <v>1</v>
      </c>
      <c r="BJ3781" s="2">
        <v>0.2</v>
      </c>
      <c r="BK3781" s="2">
        <v>1</v>
      </c>
      <c r="BL3781" s="2">
        <v>41.07</v>
      </c>
      <c r="BM3781" s="2">
        <v>5.75</v>
      </c>
      <c r="BN3781" s="2">
        <v>46.82</v>
      </c>
      <c r="BO3781" s="2">
        <v>46.82</v>
      </c>
      <c r="BP3781" s="2"/>
      <c r="BQ3781" s="2" t="s">
        <v>1527</v>
      </c>
      <c r="BR3781" s="2" t="s">
        <v>84</v>
      </c>
      <c r="BS3781" s="3">
        <v>42949</v>
      </c>
      <c r="BT3781" s="4">
        <v>0.50347222222222221</v>
      </c>
      <c r="BU3781" s="2" t="s">
        <v>2637</v>
      </c>
      <c r="BV3781" s="2" t="s">
        <v>95</v>
      </c>
      <c r="BW3781" s="2"/>
      <c r="BX3781" s="2"/>
      <c r="BY3781" s="2">
        <v>1200</v>
      </c>
      <c r="BZ3781" s="2" t="s">
        <v>27</v>
      </c>
      <c r="CA3781" s="2" t="s">
        <v>148</v>
      </c>
      <c r="CB3781" s="2"/>
      <c r="CC3781" s="2" t="s">
        <v>238</v>
      </c>
      <c r="CD3781" s="2">
        <v>4037</v>
      </c>
      <c r="CE3781" s="2" t="s">
        <v>3630</v>
      </c>
      <c r="CF3781" s="5">
        <v>42951</v>
      </c>
      <c r="CG3781" s="2"/>
      <c r="CH3781" s="2"/>
      <c r="CI3781" s="2">
        <v>1</v>
      </c>
      <c r="CJ3781" s="2">
        <v>1</v>
      </c>
      <c r="CK3781" s="2">
        <v>21</v>
      </c>
      <c r="CL3781" s="2" t="s">
        <v>86</v>
      </c>
      <c r="CM3781" s="2"/>
    </row>
    <row r="3782" spans="1:91">
      <c r="A3782" s="2" t="s">
        <v>71</v>
      </c>
      <c r="B3782" s="2" t="s">
        <v>72</v>
      </c>
      <c r="C3782" s="2" t="s">
        <v>73</v>
      </c>
      <c r="D3782" s="2"/>
      <c r="E3782" s="2" t="str">
        <f>"FES1162565826"</f>
        <v>FES1162565826</v>
      </c>
      <c r="F3782" s="3">
        <v>42948</v>
      </c>
      <c r="G3782" s="2">
        <v>201802</v>
      </c>
      <c r="H3782" s="2" t="s">
        <v>74</v>
      </c>
      <c r="I3782" s="2" t="s">
        <v>75</v>
      </c>
      <c r="J3782" s="2" t="s">
        <v>76</v>
      </c>
      <c r="K3782" s="2" t="s">
        <v>77</v>
      </c>
      <c r="L3782" s="2" t="s">
        <v>170</v>
      </c>
      <c r="M3782" s="2" t="s">
        <v>171</v>
      </c>
      <c r="N3782" s="2" t="s">
        <v>1126</v>
      </c>
      <c r="O3782" s="2" t="s">
        <v>100</v>
      </c>
      <c r="P3782" s="2" t="str">
        <f>"2170581924                    "</f>
        <v xml:space="preserve">2170581924                    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2.83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2">
        <v>0</v>
      </c>
      <c r="BD3782" s="2">
        <v>0</v>
      </c>
      <c r="BE3782" s="2">
        <v>0</v>
      </c>
      <c r="BF3782" s="2">
        <v>0</v>
      </c>
      <c r="BG3782" s="2">
        <v>0</v>
      </c>
      <c r="BH3782" s="2">
        <v>1</v>
      </c>
      <c r="BI3782" s="2">
        <v>1</v>
      </c>
      <c r="BJ3782" s="2">
        <v>0.2</v>
      </c>
      <c r="BK3782" s="2">
        <v>1</v>
      </c>
      <c r="BL3782" s="2">
        <v>32.08</v>
      </c>
      <c r="BM3782" s="2">
        <v>4.49</v>
      </c>
      <c r="BN3782" s="2">
        <v>36.57</v>
      </c>
      <c r="BO3782" s="2">
        <v>36.57</v>
      </c>
      <c r="BP3782" s="2"/>
      <c r="BQ3782" s="2" t="s">
        <v>108</v>
      </c>
      <c r="BR3782" s="2" t="s">
        <v>84</v>
      </c>
      <c r="BS3782" s="3">
        <v>42949</v>
      </c>
      <c r="BT3782" s="4">
        <v>0.41666666666666669</v>
      </c>
      <c r="BU3782" s="2" t="s">
        <v>3642</v>
      </c>
      <c r="BV3782" s="2" t="s">
        <v>95</v>
      </c>
      <c r="BW3782" s="2"/>
      <c r="BX3782" s="2"/>
      <c r="BY3782" s="2">
        <v>1200</v>
      </c>
      <c r="BZ3782" s="2" t="s">
        <v>27</v>
      </c>
      <c r="CA3782" s="2" t="s">
        <v>2028</v>
      </c>
      <c r="CB3782" s="2"/>
      <c r="CC3782" s="2" t="s">
        <v>171</v>
      </c>
      <c r="CD3782" s="2">
        <v>1422</v>
      </c>
      <c r="CE3782" s="2" t="s">
        <v>104</v>
      </c>
      <c r="CF3782" s="5">
        <v>42950</v>
      </c>
      <c r="CG3782" s="2"/>
      <c r="CH3782" s="2"/>
      <c r="CI3782" s="2">
        <v>1</v>
      </c>
      <c r="CJ3782" s="2">
        <v>1</v>
      </c>
      <c r="CK3782" s="2">
        <v>22</v>
      </c>
      <c r="CL3782" s="2" t="s">
        <v>86</v>
      </c>
      <c r="CM3782" s="2"/>
    </row>
    <row r="3783" spans="1:91">
      <c r="A3783" s="2" t="s">
        <v>71</v>
      </c>
      <c r="B3783" s="2" t="s">
        <v>72</v>
      </c>
      <c r="C3783" s="2" t="s">
        <v>73</v>
      </c>
      <c r="D3783" s="2"/>
      <c r="E3783" s="2" t="str">
        <f>"FES1162566037"</f>
        <v>FES1162566037</v>
      </c>
      <c r="F3783" s="3">
        <v>42948</v>
      </c>
      <c r="G3783" s="2">
        <v>201802</v>
      </c>
      <c r="H3783" s="2" t="s">
        <v>74</v>
      </c>
      <c r="I3783" s="2" t="s">
        <v>75</v>
      </c>
      <c r="J3783" s="2" t="s">
        <v>76</v>
      </c>
      <c r="K3783" s="2" t="s">
        <v>77</v>
      </c>
      <c r="L3783" s="2" t="s">
        <v>321</v>
      </c>
      <c r="M3783" s="2" t="s">
        <v>322</v>
      </c>
      <c r="N3783" s="2" t="s">
        <v>323</v>
      </c>
      <c r="O3783" s="2" t="s">
        <v>100</v>
      </c>
      <c r="P3783" s="2" t="str">
        <f>"2170582591                    "</f>
        <v xml:space="preserve">2170582591                    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3.63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0</v>
      </c>
      <c r="AV3783" s="2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2">
        <v>0</v>
      </c>
      <c r="BD3783" s="2">
        <v>0</v>
      </c>
      <c r="BE3783" s="2">
        <v>0</v>
      </c>
      <c r="BF3783" s="2">
        <v>0</v>
      </c>
      <c r="BG3783" s="2">
        <v>0</v>
      </c>
      <c r="BH3783" s="2">
        <v>1</v>
      </c>
      <c r="BI3783" s="2">
        <v>1.1000000000000001</v>
      </c>
      <c r="BJ3783" s="2">
        <v>1.8</v>
      </c>
      <c r="BK3783" s="2">
        <v>2</v>
      </c>
      <c r="BL3783" s="2">
        <v>41.07</v>
      </c>
      <c r="BM3783" s="2">
        <v>5.75</v>
      </c>
      <c r="BN3783" s="2">
        <v>46.82</v>
      </c>
      <c r="BO3783" s="2">
        <v>46.82</v>
      </c>
      <c r="BP3783" s="2"/>
      <c r="BQ3783" s="2" t="s">
        <v>3643</v>
      </c>
      <c r="BR3783" s="2" t="s">
        <v>84</v>
      </c>
      <c r="BS3783" s="3">
        <v>42949</v>
      </c>
      <c r="BT3783" s="4">
        <v>0.41111111111111115</v>
      </c>
      <c r="BU3783" s="2" t="s">
        <v>324</v>
      </c>
      <c r="BV3783" s="2" t="s">
        <v>95</v>
      </c>
      <c r="BW3783" s="2"/>
      <c r="BX3783" s="2"/>
      <c r="BY3783" s="2">
        <v>9220.61</v>
      </c>
      <c r="BZ3783" s="2" t="s">
        <v>27</v>
      </c>
      <c r="CA3783" s="2" t="s">
        <v>103</v>
      </c>
      <c r="CB3783" s="2"/>
      <c r="CC3783" s="2" t="s">
        <v>322</v>
      </c>
      <c r="CD3783" s="2">
        <v>6220</v>
      </c>
      <c r="CE3783" s="2" t="s">
        <v>3630</v>
      </c>
      <c r="CF3783" s="5">
        <v>42950</v>
      </c>
      <c r="CG3783" s="2"/>
      <c r="CH3783" s="2"/>
      <c r="CI3783" s="2">
        <v>1</v>
      </c>
      <c r="CJ3783" s="2">
        <v>1</v>
      </c>
      <c r="CK3783" s="2">
        <v>21</v>
      </c>
      <c r="CL3783" s="2" t="s">
        <v>86</v>
      </c>
      <c r="CM3783" s="2"/>
    </row>
    <row r="3784" spans="1:91">
      <c r="A3784" s="2" t="s">
        <v>71</v>
      </c>
      <c r="B3784" s="2" t="s">
        <v>72</v>
      </c>
      <c r="C3784" s="2" t="s">
        <v>73</v>
      </c>
      <c r="D3784" s="2"/>
      <c r="E3784" s="2" t="str">
        <f>"FES1162565840"</f>
        <v>FES1162565840</v>
      </c>
      <c r="F3784" s="3">
        <v>42948</v>
      </c>
      <c r="G3784" s="2">
        <v>201802</v>
      </c>
      <c r="H3784" s="2" t="s">
        <v>74</v>
      </c>
      <c r="I3784" s="2" t="s">
        <v>75</v>
      </c>
      <c r="J3784" s="2" t="s">
        <v>76</v>
      </c>
      <c r="K3784" s="2" t="s">
        <v>77</v>
      </c>
      <c r="L3784" s="2" t="s">
        <v>268</v>
      </c>
      <c r="M3784" s="2" t="s">
        <v>269</v>
      </c>
      <c r="N3784" s="2" t="s">
        <v>368</v>
      </c>
      <c r="O3784" s="2" t="s">
        <v>100</v>
      </c>
      <c r="P3784" s="2" t="str">
        <f>"2170578043                    "</f>
        <v xml:space="preserve">2170578043                    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3.63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0</v>
      </c>
      <c r="AV3784" s="2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2">
        <v>0</v>
      </c>
      <c r="BD3784" s="2">
        <v>0</v>
      </c>
      <c r="BE3784" s="2">
        <v>0</v>
      </c>
      <c r="BF3784" s="2">
        <v>0</v>
      </c>
      <c r="BG3784" s="2">
        <v>0</v>
      </c>
      <c r="BH3784" s="2">
        <v>1</v>
      </c>
      <c r="BI3784" s="2">
        <v>1.4</v>
      </c>
      <c r="BJ3784" s="2">
        <v>1.6</v>
      </c>
      <c r="BK3784" s="2">
        <v>2</v>
      </c>
      <c r="BL3784" s="2">
        <v>41.07</v>
      </c>
      <c r="BM3784" s="2">
        <v>5.75</v>
      </c>
      <c r="BN3784" s="2">
        <v>46.82</v>
      </c>
      <c r="BO3784" s="2">
        <v>46.82</v>
      </c>
      <c r="BP3784" s="2"/>
      <c r="BQ3784" s="2" t="s">
        <v>108</v>
      </c>
      <c r="BR3784" s="2" t="s">
        <v>84</v>
      </c>
      <c r="BS3784" s="3">
        <v>42949</v>
      </c>
      <c r="BT3784" s="4">
        <v>0.34722222222222227</v>
      </c>
      <c r="BU3784" s="2" t="s">
        <v>369</v>
      </c>
      <c r="BV3784" s="2" t="s">
        <v>95</v>
      </c>
      <c r="BW3784" s="2"/>
      <c r="BX3784" s="2"/>
      <c r="BY3784" s="2">
        <v>8115.28</v>
      </c>
      <c r="BZ3784" s="2" t="s">
        <v>27</v>
      </c>
      <c r="CA3784" s="2"/>
      <c r="CB3784" s="2"/>
      <c r="CC3784" s="2" t="s">
        <v>269</v>
      </c>
      <c r="CD3784" s="2">
        <v>157</v>
      </c>
      <c r="CE3784" s="2" t="s">
        <v>259</v>
      </c>
      <c r="CF3784" s="5">
        <v>42950</v>
      </c>
      <c r="CG3784" s="2"/>
      <c r="CH3784" s="2"/>
      <c r="CI3784" s="2">
        <v>1</v>
      </c>
      <c r="CJ3784" s="2">
        <v>1</v>
      </c>
      <c r="CK3784" s="2">
        <v>21</v>
      </c>
      <c r="CL3784" s="2" t="s">
        <v>86</v>
      </c>
      <c r="CM3784" s="2"/>
    </row>
    <row r="3785" spans="1:91">
      <c r="A3785" s="2" t="s">
        <v>71</v>
      </c>
      <c r="B3785" s="2" t="s">
        <v>72</v>
      </c>
      <c r="C3785" s="2" t="s">
        <v>73</v>
      </c>
      <c r="D3785" s="2"/>
      <c r="E3785" s="2" t="str">
        <f>"FES1162566056"</f>
        <v>FES1162566056</v>
      </c>
      <c r="F3785" s="3">
        <v>42948</v>
      </c>
      <c r="G3785" s="2">
        <v>201802</v>
      </c>
      <c r="H3785" s="2" t="s">
        <v>74</v>
      </c>
      <c r="I3785" s="2" t="s">
        <v>75</v>
      </c>
      <c r="J3785" s="2" t="s">
        <v>76</v>
      </c>
      <c r="K3785" s="2" t="s">
        <v>77</v>
      </c>
      <c r="L3785" s="2" t="s">
        <v>1781</v>
      </c>
      <c r="M3785" s="2" t="s">
        <v>1781</v>
      </c>
      <c r="N3785" s="2" t="s">
        <v>1782</v>
      </c>
      <c r="O3785" s="2" t="s">
        <v>100</v>
      </c>
      <c r="P3785" s="2" t="str">
        <f>"2170582315                    "</f>
        <v xml:space="preserve">2170582315                    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7.03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0</v>
      </c>
      <c r="AV3785" s="2">
        <v>0</v>
      </c>
      <c r="AW3785" s="2">
        <v>0</v>
      </c>
      <c r="AX3785" s="2">
        <v>0</v>
      </c>
      <c r="AY3785" s="2">
        <v>0</v>
      </c>
      <c r="AZ3785" s="2">
        <v>0</v>
      </c>
      <c r="BA3785" s="2">
        <v>0</v>
      </c>
      <c r="BB3785" s="2">
        <v>0</v>
      </c>
      <c r="BC3785" s="2">
        <v>0</v>
      </c>
      <c r="BD3785" s="2">
        <v>0</v>
      </c>
      <c r="BE3785" s="2">
        <v>0</v>
      </c>
      <c r="BF3785" s="2">
        <v>0</v>
      </c>
      <c r="BG3785" s="2">
        <v>0</v>
      </c>
      <c r="BH3785" s="2">
        <v>1</v>
      </c>
      <c r="BI3785" s="2">
        <v>0.5</v>
      </c>
      <c r="BJ3785" s="2">
        <v>0.2</v>
      </c>
      <c r="BK3785" s="2">
        <v>0.5</v>
      </c>
      <c r="BL3785" s="2">
        <v>79.569999999999993</v>
      </c>
      <c r="BM3785" s="2">
        <v>11.14</v>
      </c>
      <c r="BN3785" s="2">
        <v>90.71</v>
      </c>
      <c r="BO3785" s="2">
        <v>90.71</v>
      </c>
      <c r="BP3785" s="2"/>
      <c r="BQ3785" s="2" t="s">
        <v>365</v>
      </c>
      <c r="BR3785" s="2" t="s">
        <v>84</v>
      </c>
      <c r="BS3785" s="3">
        <v>42950</v>
      </c>
      <c r="BT3785" s="4">
        <v>0.625</v>
      </c>
      <c r="BU3785" s="2" t="s">
        <v>3644</v>
      </c>
      <c r="BV3785" s="2" t="s">
        <v>95</v>
      </c>
      <c r="BW3785" s="2"/>
      <c r="BX3785" s="2"/>
      <c r="BY3785" s="2">
        <v>1200</v>
      </c>
      <c r="BZ3785" s="2" t="s">
        <v>27</v>
      </c>
      <c r="CA3785" s="2"/>
      <c r="CB3785" s="2"/>
      <c r="CC3785" s="2" t="s">
        <v>1781</v>
      </c>
      <c r="CD3785" s="2">
        <v>5470</v>
      </c>
      <c r="CE3785" s="2" t="s">
        <v>104</v>
      </c>
      <c r="CF3785" s="5">
        <v>42957</v>
      </c>
      <c r="CG3785" s="2"/>
      <c r="CH3785" s="2"/>
      <c r="CI3785" s="2">
        <v>4</v>
      </c>
      <c r="CJ3785" s="2">
        <v>2</v>
      </c>
      <c r="CK3785" s="2">
        <v>23</v>
      </c>
      <c r="CL3785" s="2" t="s">
        <v>86</v>
      </c>
      <c r="CM3785" s="2"/>
    </row>
    <row r="3786" spans="1:91">
      <c r="A3786" s="2" t="s">
        <v>71</v>
      </c>
      <c r="B3786" s="2" t="s">
        <v>72</v>
      </c>
      <c r="C3786" s="2" t="s">
        <v>73</v>
      </c>
      <c r="D3786" s="2"/>
      <c r="E3786" s="2" t="str">
        <f>"FES1162565855"</f>
        <v>FES1162565855</v>
      </c>
      <c r="F3786" s="3">
        <v>42948</v>
      </c>
      <c r="G3786" s="2">
        <v>201802</v>
      </c>
      <c r="H3786" s="2" t="s">
        <v>74</v>
      </c>
      <c r="I3786" s="2" t="s">
        <v>75</v>
      </c>
      <c r="J3786" s="2" t="s">
        <v>76</v>
      </c>
      <c r="K3786" s="2" t="s">
        <v>77</v>
      </c>
      <c r="L3786" s="2" t="s">
        <v>268</v>
      </c>
      <c r="M3786" s="2" t="s">
        <v>269</v>
      </c>
      <c r="N3786" s="2" t="s">
        <v>3645</v>
      </c>
      <c r="O3786" s="2" t="s">
        <v>100</v>
      </c>
      <c r="P3786" s="2" t="str">
        <f>"2170580194                    "</f>
        <v xml:space="preserve">2170580194                    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3.63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2">
        <v>0</v>
      </c>
      <c r="BD3786" s="2">
        <v>0</v>
      </c>
      <c r="BE3786" s="2">
        <v>0</v>
      </c>
      <c r="BF3786" s="2">
        <v>0</v>
      </c>
      <c r="BG3786" s="2">
        <v>0</v>
      </c>
      <c r="BH3786" s="2">
        <v>1</v>
      </c>
      <c r="BI3786" s="2">
        <v>1</v>
      </c>
      <c r="BJ3786" s="2">
        <v>0.2</v>
      </c>
      <c r="BK3786" s="2">
        <v>1</v>
      </c>
      <c r="BL3786" s="2">
        <v>41.07</v>
      </c>
      <c r="BM3786" s="2">
        <v>5.75</v>
      </c>
      <c r="BN3786" s="2">
        <v>46.82</v>
      </c>
      <c r="BO3786" s="2">
        <v>46.82</v>
      </c>
      <c r="BP3786" s="2"/>
      <c r="BQ3786" s="2" t="s">
        <v>108</v>
      </c>
      <c r="BR3786" s="2" t="s">
        <v>84</v>
      </c>
      <c r="BS3786" s="3">
        <v>42949</v>
      </c>
      <c r="BT3786" s="4">
        <v>0.54166666666666663</v>
      </c>
      <c r="BU3786" s="2" t="s">
        <v>3646</v>
      </c>
      <c r="BV3786" s="2" t="s">
        <v>86</v>
      </c>
      <c r="BW3786" s="2"/>
      <c r="BX3786" s="2"/>
      <c r="BY3786" s="2">
        <v>1200</v>
      </c>
      <c r="BZ3786" s="2" t="s">
        <v>27</v>
      </c>
      <c r="CA3786" s="2"/>
      <c r="CB3786" s="2"/>
      <c r="CC3786" s="2" t="s">
        <v>269</v>
      </c>
      <c r="CD3786" s="2">
        <v>184</v>
      </c>
      <c r="CE3786" s="2" t="s">
        <v>3630</v>
      </c>
      <c r="CF3786" s="5">
        <v>42949</v>
      </c>
      <c r="CG3786" s="2"/>
      <c r="CH3786" s="2"/>
      <c r="CI3786" s="2">
        <v>1</v>
      </c>
      <c r="CJ3786" s="2">
        <v>1</v>
      </c>
      <c r="CK3786" s="2">
        <v>21</v>
      </c>
      <c r="CL3786" s="2" t="s">
        <v>86</v>
      </c>
      <c r="CM3786" s="2"/>
    </row>
    <row r="3787" spans="1:91">
      <c r="A3787" s="2" t="s">
        <v>71</v>
      </c>
      <c r="B3787" s="2" t="s">
        <v>72</v>
      </c>
      <c r="C3787" s="2" t="s">
        <v>73</v>
      </c>
      <c r="D3787" s="2"/>
      <c r="E3787" s="2" t="str">
        <f>"FES1162566027"</f>
        <v>FES1162566027</v>
      </c>
      <c r="F3787" s="3">
        <v>42948</v>
      </c>
      <c r="G3787" s="2">
        <v>201802</v>
      </c>
      <c r="H3787" s="2" t="s">
        <v>74</v>
      </c>
      <c r="I3787" s="2" t="s">
        <v>75</v>
      </c>
      <c r="J3787" s="2" t="s">
        <v>76</v>
      </c>
      <c r="K3787" s="2" t="s">
        <v>77</v>
      </c>
      <c r="L3787" s="2" t="s">
        <v>97</v>
      </c>
      <c r="M3787" s="2" t="s">
        <v>98</v>
      </c>
      <c r="N3787" s="2" t="s">
        <v>119</v>
      </c>
      <c r="O3787" s="2" t="s">
        <v>100</v>
      </c>
      <c r="P3787" s="2" t="str">
        <f>"2170582577                    "</f>
        <v xml:space="preserve">2170582577                    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3.63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2">
        <v>0</v>
      </c>
      <c r="BD3787" s="2">
        <v>0</v>
      </c>
      <c r="BE3787" s="2">
        <v>0</v>
      </c>
      <c r="BF3787" s="2">
        <v>0</v>
      </c>
      <c r="BG3787" s="2">
        <v>0</v>
      </c>
      <c r="BH3787" s="2">
        <v>1</v>
      </c>
      <c r="BI3787" s="2">
        <v>0.5</v>
      </c>
      <c r="BJ3787" s="2">
        <v>0.2</v>
      </c>
      <c r="BK3787" s="2">
        <v>0.5</v>
      </c>
      <c r="BL3787" s="2">
        <v>41.07</v>
      </c>
      <c r="BM3787" s="2">
        <v>5.75</v>
      </c>
      <c r="BN3787" s="2">
        <v>46.82</v>
      </c>
      <c r="BO3787" s="2">
        <v>46.82</v>
      </c>
      <c r="BP3787" s="2"/>
      <c r="BQ3787" s="2" t="s">
        <v>108</v>
      </c>
      <c r="BR3787" s="2" t="s">
        <v>84</v>
      </c>
      <c r="BS3787" s="3">
        <v>42949</v>
      </c>
      <c r="BT3787" s="4">
        <v>0.32569444444444445</v>
      </c>
      <c r="BU3787" s="2" t="s">
        <v>212</v>
      </c>
      <c r="BV3787" s="2" t="s">
        <v>95</v>
      </c>
      <c r="BW3787" s="2"/>
      <c r="BX3787" s="2"/>
      <c r="BY3787" s="2">
        <v>1200</v>
      </c>
      <c r="BZ3787" s="2" t="s">
        <v>27</v>
      </c>
      <c r="CA3787" s="2" t="s">
        <v>213</v>
      </c>
      <c r="CB3787" s="2"/>
      <c r="CC3787" s="2" t="s">
        <v>98</v>
      </c>
      <c r="CD3787" s="2">
        <v>6001</v>
      </c>
      <c r="CE3787" s="2" t="s">
        <v>104</v>
      </c>
      <c r="CF3787" s="5">
        <v>42950</v>
      </c>
      <c r="CG3787" s="2"/>
      <c r="CH3787" s="2"/>
      <c r="CI3787" s="2">
        <v>1</v>
      </c>
      <c r="CJ3787" s="2">
        <v>1</v>
      </c>
      <c r="CK3787" s="2">
        <v>21</v>
      </c>
      <c r="CL3787" s="2" t="s">
        <v>86</v>
      </c>
      <c r="CM3787" s="2"/>
    </row>
    <row r="3788" spans="1:91">
      <c r="A3788" s="2" t="s">
        <v>71</v>
      </c>
      <c r="B3788" s="2" t="s">
        <v>72</v>
      </c>
      <c r="C3788" s="2" t="s">
        <v>73</v>
      </c>
      <c r="D3788" s="2"/>
      <c r="E3788" s="2" t="str">
        <f>"FES1162565888"</f>
        <v>FES1162565888</v>
      </c>
      <c r="F3788" s="3">
        <v>42948</v>
      </c>
      <c r="G3788" s="2">
        <v>201802</v>
      </c>
      <c r="H3788" s="2" t="s">
        <v>74</v>
      </c>
      <c r="I3788" s="2" t="s">
        <v>75</v>
      </c>
      <c r="J3788" s="2" t="s">
        <v>76</v>
      </c>
      <c r="K3788" s="2" t="s">
        <v>77</v>
      </c>
      <c r="L3788" s="2" t="s">
        <v>944</v>
      </c>
      <c r="M3788" s="2" t="s">
        <v>944</v>
      </c>
      <c r="N3788" s="2" t="s">
        <v>3647</v>
      </c>
      <c r="O3788" s="2" t="s">
        <v>100</v>
      </c>
      <c r="P3788" s="2" t="str">
        <f>"2170582452                    "</f>
        <v xml:space="preserve">2170582452                    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5.0999999999999996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0</v>
      </c>
      <c r="AV3788" s="2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2">
        <v>0</v>
      </c>
      <c r="BD3788" s="2">
        <v>0</v>
      </c>
      <c r="BE3788" s="2">
        <v>0</v>
      </c>
      <c r="BF3788" s="2">
        <v>0</v>
      </c>
      <c r="BG3788" s="2">
        <v>0</v>
      </c>
      <c r="BH3788" s="2">
        <v>1</v>
      </c>
      <c r="BI3788" s="2">
        <v>1</v>
      </c>
      <c r="BJ3788" s="2">
        <v>0.2</v>
      </c>
      <c r="BK3788" s="2">
        <v>1</v>
      </c>
      <c r="BL3788" s="2">
        <v>57.75</v>
      </c>
      <c r="BM3788" s="2">
        <v>8.09</v>
      </c>
      <c r="BN3788" s="2">
        <v>65.84</v>
      </c>
      <c r="BO3788" s="2">
        <v>65.84</v>
      </c>
      <c r="BP3788" s="2"/>
      <c r="BQ3788" s="2" t="s">
        <v>3648</v>
      </c>
      <c r="BR3788" s="2" t="s">
        <v>84</v>
      </c>
      <c r="BS3788" s="3">
        <v>42949</v>
      </c>
      <c r="BT3788" s="4">
        <v>0.37638888888888888</v>
      </c>
      <c r="BU3788" s="2" t="s">
        <v>3649</v>
      </c>
      <c r="BV3788" s="2" t="s">
        <v>95</v>
      </c>
      <c r="BW3788" s="2"/>
      <c r="BX3788" s="2"/>
      <c r="BY3788" s="2">
        <v>1200</v>
      </c>
      <c r="BZ3788" s="2" t="s">
        <v>27</v>
      </c>
      <c r="CA3788" s="2" t="s">
        <v>960</v>
      </c>
      <c r="CB3788" s="2"/>
      <c r="CC3788" s="2" t="s">
        <v>944</v>
      </c>
      <c r="CD3788" s="2">
        <v>1490</v>
      </c>
      <c r="CE3788" s="2" t="s">
        <v>3630</v>
      </c>
      <c r="CF3788" s="5">
        <v>42950</v>
      </c>
      <c r="CG3788" s="2"/>
      <c r="CH3788" s="2"/>
      <c r="CI3788" s="2">
        <v>1</v>
      </c>
      <c r="CJ3788" s="2">
        <v>1</v>
      </c>
      <c r="CK3788" s="2">
        <v>24</v>
      </c>
      <c r="CL3788" s="2" t="s">
        <v>86</v>
      </c>
      <c r="CM3788" s="2"/>
    </row>
    <row r="3789" spans="1:91">
      <c r="A3789" s="2" t="s">
        <v>71</v>
      </c>
      <c r="B3789" s="2" t="s">
        <v>72</v>
      </c>
      <c r="C3789" s="2" t="s">
        <v>73</v>
      </c>
      <c r="D3789" s="2"/>
      <c r="E3789" s="2" t="str">
        <f>"FES1162565912"</f>
        <v>FES1162565912</v>
      </c>
      <c r="F3789" s="3">
        <v>42948</v>
      </c>
      <c r="G3789" s="2">
        <v>201802</v>
      </c>
      <c r="H3789" s="2" t="s">
        <v>74</v>
      </c>
      <c r="I3789" s="2" t="s">
        <v>75</v>
      </c>
      <c r="J3789" s="2" t="s">
        <v>76</v>
      </c>
      <c r="K3789" s="2" t="s">
        <v>77</v>
      </c>
      <c r="L3789" s="2" t="s">
        <v>268</v>
      </c>
      <c r="M3789" s="2" t="s">
        <v>269</v>
      </c>
      <c r="N3789" s="2" t="s">
        <v>442</v>
      </c>
      <c r="O3789" s="2" t="s">
        <v>100</v>
      </c>
      <c r="P3789" s="2" t="str">
        <f>"2170582485                    "</f>
        <v xml:space="preserve">2170582485                    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3.63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0</v>
      </c>
      <c r="AV3789" s="2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2">
        <v>0</v>
      </c>
      <c r="BD3789" s="2">
        <v>0</v>
      </c>
      <c r="BE3789" s="2">
        <v>0</v>
      </c>
      <c r="BF3789" s="2">
        <v>0</v>
      </c>
      <c r="BG3789" s="2">
        <v>0</v>
      </c>
      <c r="BH3789" s="2">
        <v>1</v>
      </c>
      <c r="BI3789" s="2">
        <v>1</v>
      </c>
      <c r="BJ3789" s="2">
        <v>0.2</v>
      </c>
      <c r="BK3789" s="2">
        <v>1</v>
      </c>
      <c r="BL3789" s="2">
        <v>41.07</v>
      </c>
      <c r="BM3789" s="2">
        <v>5.75</v>
      </c>
      <c r="BN3789" s="2">
        <v>46.82</v>
      </c>
      <c r="BO3789" s="2">
        <v>46.82</v>
      </c>
      <c r="BP3789" s="2"/>
      <c r="BQ3789" s="2" t="s">
        <v>83</v>
      </c>
      <c r="BR3789" s="2" t="s">
        <v>84</v>
      </c>
      <c r="BS3789" s="3">
        <v>42949</v>
      </c>
      <c r="BT3789" s="4">
        <v>0.38541666666666669</v>
      </c>
      <c r="BU3789" s="2" t="s">
        <v>443</v>
      </c>
      <c r="BV3789" s="2" t="s">
        <v>95</v>
      </c>
      <c r="BW3789" s="2"/>
      <c r="BX3789" s="2"/>
      <c r="BY3789" s="2">
        <v>1200</v>
      </c>
      <c r="BZ3789" s="2" t="s">
        <v>27</v>
      </c>
      <c r="CA3789" s="2" t="s">
        <v>445</v>
      </c>
      <c r="CB3789" s="2"/>
      <c r="CC3789" s="2" t="s">
        <v>269</v>
      </c>
      <c r="CD3789" s="2">
        <v>1</v>
      </c>
      <c r="CE3789" s="2" t="s">
        <v>3630</v>
      </c>
      <c r="CF3789" s="5">
        <v>42950</v>
      </c>
      <c r="CG3789" s="2"/>
      <c r="CH3789" s="2"/>
      <c r="CI3789" s="2">
        <v>1</v>
      </c>
      <c r="CJ3789" s="2">
        <v>1</v>
      </c>
      <c r="CK3789" s="2">
        <v>21</v>
      </c>
      <c r="CL3789" s="2" t="s">
        <v>86</v>
      </c>
      <c r="CM3789" s="2"/>
    </row>
    <row r="3790" spans="1:91">
      <c r="A3790" s="2" t="s">
        <v>71</v>
      </c>
      <c r="B3790" s="2" t="s">
        <v>72</v>
      </c>
      <c r="C3790" s="2" t="s">
        <v>73</v>
      </c>
      <c r="D3790" s="2"/>
      <c r="E3790" s="2" t="str">
        <f>"FES1162566055"</f>
        <v>FES1162566055</v>
      </c>
      <c r="F3790" s="3">
        <v>42948</v>
      </c>
      <c r="G3790" s="2">
        <v>201802</v>
      </c>
      <c r="H3790" s="2" t="s">
        <v>74</v>
      </c>
      <c r="I3790" s="2" t="s">
        <v>75</v>
      </c>
      <c r="J3790" s="2" t="s">
        <v>76</v>
      </c>
      <c r="K3790" s="2" t="s">
        <v>77</v>
      </c>
      <c r="L3790" s="2" t="s">
        <v>74</v>
      </c>
      <c r="M3790" s="2" t="s">
        <v>75</v>
      </c>
      <c r="N3790" s="2" t="s">
        <v>407</v>
      </c>
      <c r="O3790" s="2" t="s">
        <v>100</v>
      </c>
      <c r="P3790" s="2" t="str">
        <f>"2170582736                    "</f>
        <v xml:space="preserve">2170582736                    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2.83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0</v>
      </c>
      <c r="AV3790" s="2">
        <v>0</v>
      </c>
      <c r="AW3790" s="2">
        <v>0</v>
      </c>
      <c r="AX3790" s="2">
        <v>0</v>
      </c>
      <c r="AY3790" s="2">
        <v>0</v>
      </c>
      <c r="AZ3790" s="2">
        <v>0</v>
      </c>
      <c r="BA3790" s="2">
        <v>0</v>
      </c>
      <c r="BB3790" s="2">
        <v>0</v>
      </c>
      <c r="BC3790" s="2">
        <v>0</v>
      </c>
      <c r="BD3790" s="2">
        <v>0</v>
      </c>
      <c r="BE3790" s="2">
        <v>0</v>
      </c>
      <c r="BF3790" s="2">
        <v>0</v>
      </c>
      <c r="BG3790" s="2">
        <v>0</v>
      </c>
      <c r="BH3790" s="2">
        <v>1</v>
      </c>
      <c r="BI3790" s="2">
        <v>1</v>
      </c>
      <c r="BJ3790" s="2">
        <v>0.2</v>
      </c>
      <c r="BK3790" s="2">
        <v>1</v>
      </c>
      <c r="BL3790" s="2">
        <v>32.08</v>
      </c>
      <c r="BM3790" s="2">
        <v>4.49</v>
      </c>
      <c r="BN3790" s="2">
        <v>36.57</v>
      </c>
      <c r="BO3790" s="2">
        <v>36.57</v>
      </c>
      <c r="BP3790" s="2"/>
      <c r="BQ3790" s="2" t="s">
        <v>108</v>
      </c>
      <c r="BR3790" s="2" t="s">
        <v>84</v>
      </c>
      <c r="BS3790" s="3">
        <v>42949</v>
      </c>
      <c r="BT3790" s="4">
        <v>0.33333333333333331</v>
      </c>
      <c r="BU3790" s="2" t="s">
        <v>935</v>
      </c>
      <c r="BV3790" s="2" t="s">
        <v>95</v>
      </c>
      <c r="BW3790" s="2"/>
      <c r="BX3790" s="2"/>
      <c r="BY3790" s="2">
        <v>1200</v>
      </c>
      <c r="BZ3790" s="2" t="s">
        <v>27</v>
      </c>
      <c r="CA3790" s="2"/>
      <c r="CB3790" s="2"/>
      <c r="CC3790" s="2" t="s">
        <v>75</v>
      </c>
      <c r="CD3790" s="2">
        <v>1645</v>
      </c>
      <c r="CE3790" s="2" t="s">
        <v>104</v>
      </c>
      <c r="CF3790" s="5">
        <v>42950</v>
      </c>
      <c r="CG3790" s="2"/>
      <c r="CH3790" s="2"/>
      <c r="CI3790" s="2">
        <v>1</v>
      </c>
      <c r="CJ3790" s="2">
        <v>1</v>
      </c>
      <c r="CK3790" s="2">
        <v>22</v>
      </c>
      <c r="CL3790" s="2" t="s">
        <v>86</v>
      </c>
      <c r="CM3790" s="2"/>
    </row>
    <row r="3791" spans="1:91">
      <c r="A3791" s="2" t="s">
        <v>71</v>
      </c>
      <c r="B3791" s="2" t="s">
        <v>72</v>
      </c>
      <c r="C3791" s="2" t="s">
        <v>73</v>
      </c>
      <c r="D3791" s="2"/>
      <c r="E3791" s="2" t="str">
        <f>"FES1162565905"</f>
        <v>FES1162565905</v>
      </c>
      <c r="F3791" s="3">
        <v>42948</v>
      </c>
      <c r="G3791" s="2">
        <v>201802</v>
      </c>
      <c r="H3791" s="2" t="s">
        <v>74</v>
      </c>
      <c r="I3791" s="2" t="s">
        <v>75</v>
      </c>
      <c r="J3791" s="2" t="s">
        <v>76</v>
      </c>
      <c r="K3791" s="2" t="s">
        <v>77</v>
      </c>
      <c r="L3791" s="2" t="s">
        <v>268</v>
      </c>
      <c r="M3791" s="2" t="s">
        <v>269</v>
      </c>
      <c r="N3791" s="2" t="s">
        <v>3650</v>
      </c>
      <c r="O3791" s="2" t="s">
        <v>100</v>
      </c>
      <c r="P3791" s="2" t="str">
        <f>"2170582469                    "</f>
        <v xml:space="preserve">2170582469                    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3.63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0</v>
      </c>
      <c r="AV3791" s="2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2">
        <v>0</v>
      </c>
      <c r="BD3791" s="2">
        <v>0</v>
      </c>
      <c r="BE3791" s="2">
        <v>0</v>
      </c>
      <c r="BF3791" s="2">
        <v>0</v>
      </c>
      <c r="BG3791" s="2">
        <v>0</v>
      </c>
      <c r="BH3791" s="2">
        <v>1</v>
      </c>
      <c r="BI3791" s="2">
        <v>1</v>
      </c>
      <c r="BJ3791" s="2">
        <v>0.2</v>
      </c>
      <c r="BK3791" s="2">
        <v>1</v>
      </c>
      <c r="BL3791" s="2">
        <v>41.07</v>
      </c>
      <c r="BM3791" s="2">
        <v>5.75</v>
      </c>
      <c r="BN3791" s="2">
        <v>46.82</v>
      </c>
      <c r="BO3791" s="2">
        <v>46.82</v>
      </c>
      <c r="BP3791" s="2"/>
      <c r="BQ3791" s="2" t="s">
        <v>108</v>
      </c>
      <c r="BR3791" s="2" t="s">
        <v>84</v>
      </c>
      <c r="BS3791" s="3">
        <v>42949</v>
      </c>
      <c r="BT3791" s="4">
        <v>0.42638888888888887</v>
      </c>
      <c r="BU3791" s="2" t="s">
        <v>3651</v>
      </c>
      <c r="BV3791" s="2" t="s">
        <v>95</v>
      </c>
      <c r="BW3791" s="2"/>
      <c r="BX3791" s="2"/>
      <c r="BY3791" s="2">
        <v>1200</v>
      </c>
      <c r="BZ3791" s="2" t="s">
        <v>27</v>
      </c>
      <c r="CA3791" s="2" t="s">
        <v>981</v>
      </c>
      <c r="CB3791" s="2"/>
      <c r="CC3791" s="2" t="s">
        <v>269</v>
      </c>
      <c r="CD3791" s="2">
        <v>183</v>
      </c>
      <c r="CE3791" s="2" t="s">
        <v>3630</v>
      </c>
      <c r="CF3791" s="5">
        <v>42949</v>
      </c>
      <c r="CG3791" s="2"/>
      <c r="CH3791" s="2"/>
      <c r="CI3791" s="2">
        <v>1</v>
      </c>
      <c r="CJ3791" s="2">
        <v>1</v>
      </c>
      <c r="CK3791" s="2">
        <v>21</v>
      </c>
      <c r="CL3791" s="2" t="s">
        <v>86</v>
      </c>
      <c r="CM3791" s="2"/>
    </row>
    <row r="3792" spans="1:91">
      <c r="A3792" s="2" t="s">
        <v>71</v>
      </c>
      <c r="B3792" s="2" t="s">
        <v>72</v>
      </c>
      <c r="C3792" s="2" t="s">
        <v>73</v>
      </c>
      <c r="D3792" s="2"/>
      <c r="E3792" s="2" t="str">
        <f>"FES1162565819"</f>
        <v>FES1162565819</v>
      </c>
      <c r="F3792" s="3">
        <v>42948</v>
      </c>
      <c r="G3792" s="2">
        <v>201802</v>
      </c>
      <c r="H3792" s="2" t="s">
        <v>74</v>
      </c>
      <c r="I3792" s="2" t="s">
        <v>75</v>
      </c>
      <c r="J3792" s="2" t="s">
        <v>76</v>
      </c>
      <c r="K3792" s="2" t="s">
        <v>77</v>
      </c>
      <c r="L3792" s="2" t="s">
        <v>846</v>
      </c>
      <c r="M3792" s="2" t="s">
        <v>847</v>
      </c>
      <c r="N3792" s="2" t="s">
        <v>1017</v>
      </c>
      <c r="O3792" s="2" t="s">
        <v>100</v>
      </c>
      <c r="P3792" s="2" t="str">
        <f>"2170580663                    "</f>
        <v xml:space="preserve">2170580663                    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7.03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2">
        <v>0</v>
      </c>
      <c r="BD3792" s="2">
        <v>0</v>
      </c>
      <c r="BE3792" s="2">
        <v>0</v>
      </c>
      <c r="BF3792" s="2">
        <v>0</v>
      </c>
      <c r="BG3792" s="2">
        <v>0</v>
      </c>
      <c r="BH3792" s="2">
        <v>1</v>
      </c>
      <c r="BI3792" s="2">
        <v>1</v>
      </c>
      <c r="BJ3792" s="2">
        <v>0.2</v>
      </c>
      <c r="BK3792" s="2">
        <v>1</v>
      </c>
      <c r="BL3792" s="2">
        <v>79.569999999999993</v>
      </c>
      <c r="BM3792" s="2">
        <v>11.14</v>
      </c>
      <c r="BN3792" s="2">
        <v>90.71</v>
      </c>
      <c r="BO3792" s="2">
        <v>90.71</v>
      </c>
      <c r="BP3792" s="2"/>
      <c r="BQ3792" s="2" t="s">
        <v>83</v>
      </c>
      <c r="BR3792" s="2" t="s">
        <v>84</v>
      </c>
      <c r="BS3792" s="3">
        <v>42949</v>
      </c>
      <c r="BT3792" s="4">
        <v>0.61249999999999993</v>
      </c>
      <c r="BU3792" s="2" t="s">
        <v>3652</v>
      </c>
      <c r="BV3792" s="2" t="s">
        <v>86</v>
      </c>
      <c r="BW3792" s="2"/>
      <c r="BX3792" s="2"/>
      <c r="BY3792" s="2">
        <v>1200</v>
      </c>
      <c r="BZ3792" s="2" t="s">
        <v>27</v>
      </c>
      <c r="CA3792" s="2" t="s">
        <v>2035</v>
      </c>
      <c r="CB3792" s="2"/>
      <c r="CC3792" s="2" t="s">
        <v>847</v>
      </c>
      <c r="CD3792" s="2">
        <v>7349</v>
      </c>
      <c r="CE3792" s="2" t="s">
        <v>3630</v>
      </c>
      <c r="CF3792" s="5">
        <v>42950</v>
      </c>
      <c r="CG3792" s="2"/>
      <c r="CH3792" s="2"/>
      <c r="CI3792" s="2">
        <v>1</v>
      </c>
      <c r="CJ3792" s="2">
        <v>1</v>
      </c>
      <c r="CK3792" s="2">
        <v>23</v>
      </c>
      <c r="CL3792" s="2" t="s">
        <v>86</v>
      </c>
      <c r="CM3792" s="2"/>
    </row>
    <row r="3793" spans="1:91">
      <c r="A3793" s="2" t="s">
        <v>71</v>
      </c>
      <c r="B3793" s="2" t="s">
        <v>72</v>
      </c>
      <c r="C3793" s="2" t="s">
        <v>73</v>
      </c>
      <c r="D3793" s="2"/>
      <c r="E3793" s="2" t="str">
        <f>"FES1162566015"</f>
        <v>FES1162566015</v>
      </c>
      <c r="F3793" s="3">
        <v>42948</v>
      </c>
      <c r="G3793" s="2">
        <v>201802</v>
      </c>
      <c r="H3793" s="2" t="s">
        <v>74</v>
      </c>
      <c r="I3793" s="2" t="s">
        <v>75</v>
      </c>
      <c r="J3793" s="2" t="s">
        <v>76</v>
      </c>
      <c r="K3793" s="2" t="s">
        <v>77</v>
      </c>
      <c r="L3793" s="2" t="s">
        <v>144</v>
      </c>
      <c r="M3793" s="2" t="s">
        <v>145</v>
      </c>
      <c r="N3793" s="2" t="s">
        <v>146</v>
      </c>
      <c r="O3793" s="2" t="s">
        <v>100</v>
      </c>
      <c r="P3793" s="2" t="str">
        <f>"2170582561                    "</f>
        <v xml:space="preserve">2170582561                    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2.83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2">
        <v>0</v>
      </c>
      <c r="BD3793" s="2">
        <v>0</v>
      </c>
      <c r="BE3793" s="2">
        <v>0</v>
      </c>
      <c r="BF3793" s="2">
        <v>0</v>
      </c>
      <c r="BG3793" s="2">
        <v>0</v>
      </c>
      <c r="BH3793" s="2">
        <v>1</v>
      </c>
      <c r="BI3793" s="2">
        <v>1</v>
      </c>
      <c r="BJ3793" s="2">
        <v>0.6</v>
      </c>
      <c r="BK3793" s="2">
        <v>1</v>
      </c>
      <c r="BL3793" s="2">
        <v>32.08</v>
      </c>
      <c r="BM3793" s="2">
        <v>4.49</v>
      </c>
      <c r="BN3793" s="2">
        <v>36.57</v>
      </c>
      <c r="BO3793" s="2">
        <v>36.57</v>
      </c>
      <c r="BP3793" s="2"/>
      <c r="BQ3793" s="2" t="s">
        <v>83</v>
      </c>
      <c r="BR3793" s="2" t="s">
        <v>84</v>
      </c>
      <c r="BS3793" s="3">
        <v>42949</v>
      </c>
      <c r="BT3793" s="4">
        <v>0.3888888888888889</v>
      </c>
      <c r="BU3793" s="2" t="s">
        <v>728</v>
      </c>
      <c r="BV3793" s="2" t="s">
        <v>95</v>
      </c>
      <c r="BW3793" s="2"/>
      <c r="BX3793" s="2"/>
      <c r="BY3793" s="2">
        <v>2763.21</v>
      </c>
      <c r="BZ3793" s="2" t="s">
        <v>27</v>
      </c>
      <c r="CA3793" s="2" t="s">
        <v>729</v>
      </c>
      <c r="CB3793" s="2"/>
      <c r="CC3793" s="2" t="s">
        <v>145</v>
      </c>
      <c r="CD3793" s="2">
        <v>2094</v>
      </c>
      <c r="CE3793" s="2" t="s">
        <v>104</v>
      </c>
      <c r="CF3793" s="5">
        <v>42950</v>
      </c>
      <c r="CG3793" s="2"/>
      <c r="CH3793" s="2"/>
      <c r="CI3793" s="2">
        <v>1</v>
      </c>
      <c r="CJ3793" s="2">
        <v>1</v>
      </c>
      <c r="CK3793" s="2">
        <v>22</v>
      </c>
      <c r="CL3793" s="2" t="s">
        <v>86</v>
      </c>
      <c r="CM3793" s="2"/>
    </row>
    <row r="3794" spans="1:91">
      <c r="A3794" s="2" t="s">
        <v>71</v>
      </c>
      <c r="B3794" s="2" t="s">
        <v>72</v>
      </c>
      <c r="C3794" s="2" t="s">
        <v>73</v>
      </c>
      <c r="D3794" s="2"/>
      <c r="E3794" s="2" t="str">
        <f>"FES1162565827"</f>
        <v>FES1162565827</v>
      </c>
      <c r="F3794" s="3">
        <v>42948</v>
      </c>
      <c r="G3794" s="2">
        <v>201802</v>
      </c>
      <c r="H3794" s="2" t="s">
        <v>74</v>
      </c>
      <c r="I3794" s="2" t="s">
        <v>75</v>
      </c>
      <c r="J3794" s="2" t="s">
        <v>76</v>
      </c>
      <c r="K3794" s="2" t="s">
        <v>77</v>
      </c>
      <c r="L3794" s="2" t="s">
        <v>105</v>
      </c>
      <c r="M3794" s="2" t="s">
        <v>106</v>
      </c>
      <c r="N3794" s="2" t="s">
        <v>299</v>
      </c>
      <c r="O3794" s="2" t="s">
        <v>100</v>
      </c>
      <c r="P3794" s="2" t="str">
        <f>"2170581958                    "</f>
        <v xml:space="preserve">2170581958                    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3.63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2">
        <v>0</v>
      </c>
      <c r="BD3794" s="2">
        <v>0</v>
      </c>
      <c r="BE3794" s="2">
        <v>0</v>
      </c>
      <c r="BF3794" s="2">
        <v>0</v>
      </c>
      <c r="BG3794" s="2">
        <v>0</v>
      </c>
      <c r="BH3794" s="2">
        <v>1</v>
      </c>
      <c r="BI3794" s="2">
        <v>1</v>
      </c>
      <c r="BJ3794" s="2">
        <v>0.2</v>
      </c>
      <c r="BK3794" s="2">
        <v>1</v>
      </c>
      <c r="BL3794" s="2">
        <v>41.07</v>
      </c>
      <c r="BM3794" s="2">
        <v>5.75</v>
      </c>
      <c r="BN3794" s="2">
        <v>46.82</v>
      </c>
      <c r="BO3794" s="2">
        <v>46.82</v>
      </c>
      <c r="BP3794" s="2"/>
      <c r="BQ3794" s="2" t="s">
        <v>300</v>
      </c>
      <c r="BR3794" s="2" t="s">
        <v>84</v>
      </c>
      <c r="BS3794" s="3">
        <v>42949</v>
      </c>
      <c r="BT3794" s="4">
        <v>0.33124999999999999</v>
      </c>
      <c r="BU3794" s="2" t="s">
        <v>3653</v>
      </c>
      <c r="BV3794" s="2" t="s">
        <v>95</v>
      </c>
      <c r="BW3794" s="2"/>
      <c r="BX3794" s="2"/>
      <c r="BY3794" s="2">
        <v>1200</v>
      </c>
      <c r="BZ3794" s="2" t="s">
        <v>27</v>
      </c>
      <c r="CA3794" s="2" t="s">
        <v>654</v>
      </c>
      <c r="CB3794" s="2"/>
      <c r="CC3794" s="2" t="s">
        <v>106</v>
      </c>
      <c r="CD3794" s="2">
        <v>7500</v>
      </c>
      <c r="CE3794" s="2" t="s">
        <v>3630</v>
      </c>
      <c r="CF3794" s="5">
        <v>42950</v>
      </c>
      <c r="CG3794" s="2"/>
      <c r="CH3794" s="2"/>
      <c r="CI3794" s="2">
        <v>1</v>
      </c>
      <c r="CJ3794" s="2">
        <v>1</v>
      </c>
      <c r="CK3794" s="2">
        <v>21</v>
      </c>
      <c r="CL3794" s="2" t="s">
        <v>86</v>
      </c>
      <c r="CM3794" s="2"/>
    </row>
    <row r="3795" spans="1:91">
      <c r="A3795" s="2" t="s">
        <v>71</v>
      </c>
      <c r="B3795" s="2" t="s">
        <v>72</v>
      </c>
      <c r="C3795" s="2" t="s">
        <v>73</v>
      </c>
      <c r="D3795" s="2"/>
      <c r="E3795" s="2" t="str">
        <f>"FES1162566053"</f>
        <v>FES1162566053</v>
      </c>
      <c r="F3795" s="3">
        <v>42948</v>
      </c>
      <c r="G3795" s="2">
        <v>201802</v>
      </c>
      <c r="H3795" s="2" t="s">
        <v>74</v>
      </c>
      <c r="I3795" s="2" t="s">
        <v>75</v>
      </c>
      <c r="J3795" s="2" t="s">
        <v>76</v>
      </c>
      <c r="K3795" s="2" t="s">
        <v>77</v>
      </c>
      <c r="L3795" s="2" t="s">
        <v>74</v>
      </c>
      <c r="M3795" s="2" t="s">
        <v>75</v>
      </c>
      <c r="N3795" s="2" t="s">
        <v>407</v>
      </c>
      <c r="O3795" s="2" t="s">
        <v>100</v>
      </c>
      <c r="P3795" s="2" t="str">
        <f>"2170587670                    "</f>
        <v xml:space="preserve">2170587670                    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2.83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0</v>
      </c>
      <c r="AV3795" s="2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2">
        <v>0</v>
      </c>
      <c r="BD3795" s="2">
        <v>0</v>
      </c>
      <c r="BE3795" s="2">
        <v>0</v>
      </c>
      <c r="BF3795" s="2">
        <v>0</v>
      </c>
      <c r="BG3795" s="2">
        <v>0</v>
      </c>
      <c r="BH3795" s="2">
        <v>1</v>
      </c>
      <c r="BI3795" s="2">
        <v>1</v>
      </c>
      <c r="BJ3795" s="2">
        <v>0.2</v>
      </c>
      <c r="BK3795" s="2">
        <v>1</v>
      </c>
      <c r="BL3795" s="2">
        <v>32.08</v>
      </c>
      <c r="BM3795" s="2">
        <v>4.49</v>
      </c>
      <c r="BN3795" s="2">
        <v>36.57</v>
      </c>
      <c r="BO3795" s="2">
        <v>36.57</v>
      </c>
      <c r="BP3795" s="2"/>
      <c r="BQ3795" s="2" t="s">
        <v>108</v>
      </c>
      <c r="BR3795" s="2" t="s">
        <v>84</v>
      </c>
      <c r="BS3795" s="3">
        <v>42949</v>
      </c>
      <c r="BT3795" s="4">
        <v>0.33402777777777781</v>
      </c>
      <c r="BU3795" s="2" t="s">
        <v>935</v>
      </c>
      <c r="BV3795" s="2" t="s">
        <v>95</v>
      </c>
      <c r="BW3795" s="2"/>
      <c r="BX3795" s="2"/>
      <c r="BY3795" s="2">
        <v>1200</v>
      </c>
      <c r="BZ3795" s="2" t="s">
        <v>27</v>
      </c>
      <c r="CA3795" s="2" t="s">
        <v>267</v>
      </c>
      <c r="CB3795" s="2"/>
      <c r="CC3795" s="2" t="s">
        <v>75</v>
      </c>
      <c r="CD3795" s="2">
        <v>1645</v>
      </c>
      <c r="CE3795" s="2" t="s">
        <v>104</v>
      </c>
      <c r="CF3795" s="5">
        <v>42950</v>
      </c>
      <c r="CG3795" s="2"/>
      <c r="CH3795" s="2"/>
      <c r="CI3795" s="2">
        <v>1</v>
      </c>
      <c r="CJ3795" s="2">
        <v>1</v>
      </c>
      <c r="CK3795" s="2">
        <v>22</v>
      </c>
      <c r="CL3795" s="2" t="s">
        <v>86</v>
      </c>
      <c r="CM3795" s="2"/>
    </row>
    <row r="3796" spans="1:91">
      <c r="A3796" s="2" t="s">
        <v>71</v>
      </c>
      <c r="B3796" s="2" t="s">
        <v>72</v>
      </c>
      <c r="C3796" s="2" t="s">
        <v>73</v>
      </c>
      <c r="D3796" s="2"/>
      <c r="E3796" s="2" t="str">
        <f>"FES1162565913"</f>
        <v>FES1162565913</v>
      </c>
      <c r="F3796" s="3">
        <v>42948</v>
      </c>
      <c r="G3796" s="2">
        <v>201802</v>
      </c>
      <c r="H3796" s="2" t="s">
        <v>74</v>
      </c>
      <c r="I3796" s="2" t="s">
        <v>75</v>
      </c>
      <c r="J3796" s="2" t="s">
        <v>76</v>
      </c>
      <c r="K3796" s="2" t="s">
        <v>77</v>
      </c>
      <c r="L3796" s="2" t="s">
        <v>105</v>
      </c>
      <c r="M3796" s="2" t="s">
        <v>106</v>
      </c>
      <c r="N3796" s="2" t="s">
        <v>3654</v>
      </c>
      <c r="O3796" s="2" t="s">
        <v>100</v>
      </c>
      <c r="P3796" s="2" t="str">
        <f>"2170582488                    "</f>
        <v xml:space="preserve">2170582488                    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3.63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2">
        <v>0</v>
      </c>
      <c r="BD3796" s="2">
        <v>0</v>
      </c>
      <c r="BE3796" s="2">
        <v>0</v>
      </c>
      <c r="BF3796" s="2">
        <v>0</v>
      </c>
      <c r="BG3796" s="2">
        <v>0</v>
      </c>
      <c r="BH3796" s="2">
        <v>1</v>
      </c>
      <c r="BI3796" s="2">
        <v>1</v>
      </c>
      <c r="BJ3796" s="2">
        <v>0.2</v>
      </c>
      <c r="BK3796" s="2">
        <v>1</v>
      </c>
      <c r="BL3796" s="2">
        <v>41.07</v>
      </c>
      <c r="BM3796" s="2">
        <v>5.75</v>
      </c>
      <c r="BN3796" s="2">
        <v>46.82</v>
      </c>
      <c r="BO3796" s="2">
        <v>46.82</v>
      </c>
      <c r="BP3796" s="2"/>
      <c r="BQ3796" s="2" t="s">
        <v>209</v>
      </c>
      <c r="BR3796" s="2" t="s">
        <v>84</v>
      </c>
      <c r="BS3796" s="3">
        <v>42949</v>
      </c>
      <c r="BT3796" s="4">
        <v>0.36319444444444443</v>
      </c>
      <c r="BU3796" s="2" t="s">
        <v>3655</v>
      </c>
      <c r="BV3796" s="2" t="s">
        <v>95</v>
      </c>
      <c r="BW3796" s="2"/>
      <c r="BX3796" s="2"/>
      <c r="BY3796" s="2">
        <v>1200</v>
      </c>
      <c r="BZ3796" s="2" t="s">
        <v>27</v>
      </c>
      <c r="CA3796" s="2" t="s">
        <v>3178</v>
      </c>
      <c r="CB3796" s="2"/>
      <c r="CC3796" s="2" t="s">
        <v>106</v>
      </c>
      <c r="CD3796" s="2">
        <v>7460</v>
      </c>
      <c r="CE3796" s="2" t="s">
        <v>104</v>
      </c>
      <c r="CF3796" s="5">
        <v>42950</v>
      </c>
      <c r="CG3796" s="2"/>
      <c r="CH3796" s="2"/>
      <c r="CI3796" s="2">
        <v>1</v>
      </c>
      <c r="CJ3796" s="2">
        <v>1</v>
      </c>
      <c r="CK3796" s="2">
        <v>21</v>
      </c>
      <c r="CL3796" s="2" t="s">
        <v>86</v>
      </c>
      <c r="CM3796" s="2"/>
    </row>
    <row r="3797" spans="1:91">
      <c r="A3797" s="2" t="s">
        <v>71</v>
      </c>
      <c r="B3797" s="2" t="s">
        <v>72</v>
      </c>
      <c r="C3797" s="2" t="s">
        <v>73</v>
      </c>
      <c r="D3797" s="2"/>
      <c r="E3797" s="2" t="str">
        <f>"FES1162566036"</f>
        <v>FES1162566036</v>
      </c>
      <c r="F3797" s="3">
        <v>42948</v>
      </c>
      <c r="G3797" s="2">
        <v>201802</v>
      </c>
      <c r="H3797" s="2" t="s">
        <v>74</v>
      </c>
      <c r="I3797" s="2" t="s">
        <v>75</v>
      </c>
      <c r="J3797" s="2" t="s">
        <v>76</v>
      </c>
      <c r="K3797" s="2" t="s">
        <v>77</v>
      </c>
      <c r="L3797" s="2" t="s">
        <v>539</v>
      </c>
      <c r="M3797" s="2" t="s">
        <v>540</v>
      </c>
      <c r="N3797" s="2" t="s">
        <v>1740</v>
      </c>
      <c r="O3797" s="2" t="s">
        <v>100</v>
      </c>
      <c r="P3797" s="2" t="str">
        <f>"2170582589                    "</f>
        <v xml:space="preserve">2170582589                    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2.83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0</v>
      </c>
      <c r="AV3797" s="2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2">
        <v>0</v>
      </c>
      <c r="BD3797" s="2">
        <v>0</v>
      </c>
      <c r="BE3797" s="2">
        <v>0</v>
      </c>
      <c r="BF3797" s="2">
        <v>0</v>
      </c>
      <c r="BG3797" s="2">
        <v>0</v>
      </c>
      <c r="BH3797" s="2">
        <v>1</v>
      </c>
      <c r="BI3797" s="2">
        <v>1</v>
      </c>
      <c r="BJ3797" s="2">
        <v>0.2</v>
      </c>
      <c r="BK3797" s="2">
        <v>1</v>
      </c>
      <c r="BL3797" s="2">
        <v>32.08</v>
      </c>
      <c r="BM3797" s="2">
        <v>4.49</v>
      </c>
      <c r="BN3797" s="2">
        <v>36.57</v>
      </c>
      <c r="BO3797" s="2">
        <v>36.57</v>
      </c>
      <c r="BP3797" s="2"/>
      <c r="BQ3797" s="2" t="s">
        <v>3656</v>
      </c>
      <c r="BR3797" s="2" t="s">
        <v>84</v>
      </c>
      <c r="BS3797" s="3">
        <v>42949</v>
      </c>
      <c r="BT3797" s="4">
        <v>0.44444444444444442</v>
      </c>
      <c r="BU3797" s="2" t="s">
        <v>3657</v>
      </c>
      <c r="BV3797" s="2" t="s">
        <v>95</v>
      </c>
      <c r="BW3797" s="2"/>
      <c r="BX3797" s="2"/>
      <c r="BY3797" s="2">
        <v>1200</v>
      </c>
      <c r="BZ3797" s="2" t="s">
        <v>27</v>
      </c>
      <c r="CA3797" s="2" t="s">
        <v>722</v>
      </c>
      <c r="CB3797" s="2"/>
      <c r="CC3797" s="2" t="s">
        <v>540</v>
      </c>
      <c r="CD3797" s="2">
        <v>2163</v>
      </c>
      <c r="CE3797" s="2" t="s">
        <v>104</v>
      </c>
      <c r="CF3797" s="5">
        <v>42950</v>
      </c>
      <c r="CG3797" s="2"/>
      <c r="CH3797" s="2"/>
      <c r="CI3797" s="2">
        <v>1</v>
      </c>
      <c r="CJ3797" s="2">
        <v>1</v>
      </c>
      <c r="CK3797" s="2">
        <v>22</v>
      </c>
      <c r="CL3797" s="2" t="s">
        <v>86</v>
      </c>
      <c r="CM3797" s="2"/>
    </row>
    <row r="3798" spans="1:91">
      <c r="A3798" s="2" t="s">
        <v>71</v>
      </c>
      <c r="B3798" s="2" t="s">
        <v>72</v>
      </c>
      <c r="C3798" s="2" t="s">
        <v>73</v>
      </c>
      <c r="D3798" s="2"/>
      <c r="E3798" s="2" t="str">
        <f>"FES1162565836"</f>
        <v>FES1162565836</v>
      </c>
      <c r="F3798" s="3">
        <v>42948</v>
      </c>
      <c r="G3798" s="2">
        <v>201802</v>
      </c>
      <c r="H3798" s="2" t="s">
        <v>74</v>
      </c>
      <c r="I3798" s="2" t="s">
        <v>75</v>
      </c>
      <c r="J3798" s="2" t="s">
        <v>76</v>
      </c>
      <c r="K3798" s="2" t="s">
        <v>77</v>
      </c>
      <c r="L3798" s="2" t="s">
        <v>105</v>
      </c>
      <c r="M3798" s="2" t="s">
        <v>106</v>
      </c>
      <c r="N3798" s="2" t="s">
        <v>1857</v>
      </c>
      <c r="O3798" s="2" t="s">
        <v>100</v>
      </c>
      <c r="P3798" s="2" t="str">
        <f>"2170582423                    "</f>
        <v xml:space="preserve">2170582423                    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3.63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0</v>
      </c>
      <c r="AU3798" s="2">
        <v>0</v>
      </c>
      <c r="AV3798" s="2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2">
        <v>0</v>
      </c>
      <c r="BD3798" s="2">
        <v>0</v>
      </c>
      <c r="BE3798" s="2">
        <v>0</v>
      </c>
      <c r="BF3798" s="2">
        <v>0</v>
      </c>
      <c r="BG3798" s="2">
        <v>0</v>
      </c>
      <c r="BH3798" s="2">
        <v>1</v>
      </c>
      <c r="BI3798" s="2">
        <v>1</v>
      </c>
      <c r="BJ3798" s="2">
        <v>0.2</v>
      </c>
      <c r="BK3798" s="2">
        <v>1</v>
      </c>
      <c r="BL3798" s="2">
        <v>41.07</v>
      </c>
      <c r="BM3798" s="2">
        <v>5.75</v>
      </c>
      <c r="BN3798" s="2">
        <v>46.82</v>
      </c>
      <c r="BO3798" s="2">
        <v>46.82</v>
      </c>
      <c r="BP3798" s="2"/>
      <c r="BQ3798" s="2" t="s">
        <v>2380</v>
      </c>
      <c r="BR3798" s="2" t="s">
        <v>84</v>
      </c>
      <c r="BS3798" s="3">
        <v>42949</v>
      </c>
      <c r="BT3798" s="4">
        <v>0.44166666666666665</v>
      </c>
      <c r="BU3798" s="2" t="s">
        <v>3328</v>
      </c>
      <c r="BV3798" s="2" t="s">
        <v>95</v>
      </c>
      <c r="BW3798" s="2"/>
      <c r="BX3798" s="2"/>
      <c r="BY3798" s="2">
        <v>1200</v>
      </c>
      <c r="BZ3798" s="2" t="s">
        <v>27</v>
      </c>
      <c r="CA3798" s="2" t="s">
        <v>488</v>
      </c>
      <c r="CB3798" s="2"/>
      <c r="CC3798" s="2" t="s">
        <v>106</v>
      </c>
      <c r="CD3798" s="2">
        <v>7441</v>
      </c>
      <c r="CE3798" s="2" t="s">
        <v>3630</v>
      </c>
      <c r="CF3798" s="5">
        <v>42949</v>
      </c>
      <c r="CG3798" s="2"/>
      <c r="CH3798" s="2"/>
      <c r="CI3798" s="2">
        <v>1</v>
      </c>
      <c r="CJ3798" s="2">
        <v>1</v>
      </c>
      <c r="CK3798" s="2">
        <v>21</v>
      </c>
      <c r="CL3798" s="2" t="s">
        <v>86</v>
      </c>
      <c r="CM3798" s="2"/>
    </row>
    <row r="3799" spans="1:91">
      <c r="A3799" s="2" t="s">
        <v>71</v>
      </c>
      <c r="B3799" s="2" t="s">
        <v>72</v>
      </c>
      <c r="C3799" s="2" t="s">
        <v>73</v>
      </c>
      <c r="D3799" s="2"/>
      <c r="E3799" s="2" t="str">
        <f>"FES1162566040"</f>
        <v>FES1162566040</v>
      </c>
      <c r="F3799" s="3">
        <v>42948</v>
      </c>
      <c r="G3799" s="2">
        <v>201802</v>
      </c>
      <c r="H3799" s="2" t="s">
        <v>74</v>
      </c>
      <c r="I3799" s="2" t="s">
        <v>75</v>
      </c>
      <c r="J3799" s="2" t="s">
        <v>76</v>
      </c>
      <c r="K3799" s="2" t="s">
        <v>77</v>
      </c>
      <c r="L3799" s="2" t="s">
        <v>144</v>
      </c>
      <c r="M3799" s="2" t="s">
        <v>145</v>
      </c>
      <c r="N3799" s="2" t="s">
        <v>146</v>
      </c>
      <c r="O3799" s="2" t="s">
        <v>100</v>
      </c>
      <c r="P3799" s="2" t="str">
        <f>"2170582594                    "</f>
        <v xml:space="preserve">2170582594                    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2.83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0</v>
      </c>
      <c r="AV3799" s="2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2">
        <v>0</v>
      </c>
      <c r="BD3799" s="2">
        <v>0</v>
      </c>
      <c r="BE3799" s="2">
        <v>0</v>
      </c>
      <c r="BF3799" s="2">
        <v>0</v>
      </c>
      <c r="BG3799" s="2">
        <v>0</v>
      </c>
      <c r="BH3799" s="2">
        <v>1</v>
      </c>
      <c r="BI3799" s="2">
        <v>1</v>
      </c>
      <c r="BJ3799" s="2">
        <v>3.7</v>
      </c>
      <c r="BK3799" s="2">
        <v>4</v>
      </c>
      <c r="BL3799" s="2">
        <v>32.08</v>
      </c>
      <c r="BM3799" s="2">
        <v>4.49</v>
      </c>
      <c r="BN3799" s="2">
        <v>36.57</v>
      </c>
      <c r="BO3799" s="2">
        <v>36.57</v>
      </c>
      <c r="BP3799" s="2"/>
      <c r="BQ3799" s="2" t="s">
        <v>83</v>
      </c>
      <c r="BR3799" s="2" t="s">
        <v>84</v>
      </c>
      <c r="BS3799" s="3">
        <v>42949</v>
      </c>
      <c r="BT3799" s="4">
        <v>0.3888888888888889</v>
      </c>
      <c r="BU3799" s="2" t="s">
        <v>728</v>
      </c>
      <c r="BV3799" s="2" t="s">
        <v>95</v>
      </c>
      <c r="BW3799" s="2"/>
      <c r="BX3799" s="2"/>
      <c r="BY3799" s="2">
        <v>18720</v>
      </c>
      <c r="BZ3799" s="2" t="s">
        <v>27</v>
      </c>
      <c r="CA3799" s="2" t="s">
        <v>729</v>
      </c>
      <c r="CB3799" s="2"/>
      <c r="CC3799" s="2" t="s">
        <v>145</v>
      </c>
      <c r="CD3799" s="2">
        <v>2094</v>
      </c>
      <c r="CE3799" s="2" t="s">
        <v>104</v>
      </c>
      <c r="CF3799" s="5">
        <v>42950</v>
      </c>
      <c r="CG3799" s="2"/>
      <c r="CH3799" s="2"/>
      <c r="CI3799" s="2">
        <v>1</v>
      </c>
      <c r="CJ3799" s="2">
        <v>1</v>
      </c>
      <c r="CK3799" s="2">
        <v>22</v>
      </c>
      <c r="CL3799" s="2" t="s">
        <v>86</v>
      </c>
      <c r="CM3799" s="2"/>
    </row>
    <row r="3800" spans="1:91">
      <c r="A3800" s="2" t="s">
        <v>71</v>
      </c>
      <c r="B3800" s="2" t="s">
        <v>72</v>
      </c>
      <c r="C3800" s="2" t="s">
        <v>73</v>
      </c>
      <c r="D3800" s="2"/>
      <c r="E3800" s="2" t="str">
        <f>"FES1162565889"</f>
        <v>FES1162565889</v>
      </c>
      <c r="F3800" s="3">
        <v>42948</v>
      </c>
      <c r="G3800" s="2">
        <v>201802</v>
      </c>
      <c r="H3800" s="2" t="s">
        <v>74</v>
      </c>
      <c r="I3800" s="2" t="s">
        <v>75</v>
      </c>
      <c r="J3800" s="2" t="s">
        <v>76</v>
      </c>
      <c r="K3800" s="2" t="s">
        <v>77</v>
      </c>
      <c r="L3800" s="2" t="s">
        <v>105</v>
      </c>
      <c r="M3800" s="2" t="s">
        <v>106</v>
      </c>
      <c r="N3800" s="2" t="s">
        <v>253</v>
      </c>
      <c r="O3800" s="2" t="s">
        <v>100</v>
      </c>
      <c r="P3800" s="2" t="str">
        <f>"2170582453                    "</f>
        <v xml:space="preserve">2170582453                    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3.63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0</v>
      </c>
      <c r="AV3800" s="2">
        <v>0</v>
      </c>
      <c r="AW3800" s="2">
        <v>0</v>
      </c>
      <c r="AX3800" s="2">
        <v>0</v>
      </c>
      <c r="AY3800" s="2">
        <v>0</v>
      </c>
      <c r="AZ3800" s="2">
        <v>0</v>
      </c>
      <c r="BA3800" s="2">
        <v>0</v>
      </c>
      <c r="BB3800" s="2">
        <v>0</v>
      </c>
      <c r="BC3800" s="2">
        <v>0</v>
      </c>
      <c r="BD3800" s="2">
        <v>0</v>
      </c>
      <c r="BE3800" s="2">
        <v>0</v>
      </c>
      <c r="BF3800" s="2">
        <v>0</v>
      </c>
      <c r="BG3800" s="2">
        <v>0</v>
      </c>
      <c r="BH3800" s="2">
        <v>1</v>
      </c>
      <c r="BI3800" s="2">
        <v>1</v>
      </c>
      <c r="BJ3800" s="2">
        <v>0.2</v>
      </c>
      <c r="BK3800" s="2">
        <v>1</v>
      </c>
      <c r="BL3800" s="2">
        <v>41.07</v>
      </c>
      <c r="BM3800" s="2">
        <v>5.75</v>
      </c>
      <c r="BN3800" s="2">
        <v>46.82</v>
      </c>
      <c r="BO3800" s="2">
        <v>46.82</v>
      </c>
      <c r="BP3800" s="2"/>
      <c r="BQ3800" s="2" t="s">
        <v>1492</v>
      </c>
      <c r="BR3800" s="2" t="s">
        <v>84</v>
      </c>
      <c r="BS3800" s="3">
        <v>42949</v>
      </c>
      <c r="BT3800" s="4">
        <v>0.42222222222222222</v>
      </c>
      <c r="BU3800" s="2" t="s">
        <v>1074</v>
      </c>
      <c r="BV3800" s="2" t="s">
        <v>95</v>
      </c>
      <c r="BW3800" s="2"/>
      <c r="BX3800" s="2"/>
      <c r="BY3800" s="2">
        <v>1200</v>
      </c>
      <c r="BZ3800" s="2" t="s">
        <v>27</v>
      </c>
      <c r="CA3800" s="2" t="s">
        <v>654</v>
      </c>
      <c r="CB3800" s="2"/>
      <c r="CC3800" s="2" t="s">
        <v>106</v>
      </c>
      <c r="CD3800" s="2">
        <v>7490</v>
      </c>
      <c r="CE3800" s="2" t="s">
        <v>3630</v>
      </c>
      <c r="CF3800" s="5">
        <v>42950</v>
      </c>
      <c r="CG3800" s="2"/>
      <c r="CH3800" s="2"/>
      <c r="CI3800" s="2">
        <v>1</v>
      </c>
      <c r="CJ3800" s="2">
        <v>1</v>
      </c>
      <c r="CK3800" s="2">
        <v>21</v>
      </c>
      <c r="CL3800" s="2" t="s">
        <v>86</v>
      </c>
      <c r="CM3800" s="2"/>
    </row>
    <row r="3801" spans="1:91">
      <c r="A3801" s="2" t="s">
        <v>71</v>
      </c>
      <c r="B3801" s="2" t="s">
        <v>72</v>
      </c>
      <c r="C3801" s="2" t="s">
        <v>73</v>
      </c>
      <c r="D3801" s="2"/>
      <c r="E3801" s="2" t="str">
        <f>"FES1162566022"</f>
        <v>FES1162566022</v>
      </c>
      <c r="F3801" s="3">
        <v>42948</v>
      </c>
      <c r="G3801" s="2">
        <v>201802</v>
      </c>
      <c r="H3801" s="2" t="s">
        <v>74</v>
      </c>
      <c r="I3801" s="2" t="s">
        <v>75</v>
      </c>
      <c r="J3801" s="2" t="s">
        <v>76</v>
      </c>
      <c r="K3801" s="2" t="s">
        <v>77</v>
      </c>
      <c r="L3801" s="2" t="s">
        <v>149</v>
      </c>
      <c r="M3801" s="2" t="s">
        <v>150</v>
      </c>
      <c r="N3801" s="2" t="s">
        <v>1652</v>
      </c>
      <c r="O3801" s="2" t="s">
        <v>100</v>
      </c>
      <c r="P3801" s="2" t="str">
        <f>"2170586377                    "</f>
        <v xml:space="preserve">2170586377                    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9.07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2">
        <v>0</v>
      </c>
      <c r="BD3801" s="2">
        <v>0</v>
      </c>
      <c r="BE3801" s="2">
        <v>0</v>
      </c>
      <c r="BF3801" s="2">
        <v>0</v>
      </c>
      <c r="BG3801" s="2">
        <v>0</v>
      </c>
      <c r="BH3801" s="2">
        <v>1</v>
      </c>
      <c r="BI3801" s="2">
        <v>5</v>
      </c>
      <c r="BJ3801" s="2">
        <v>3.5</v>
      </c>
      <c r="BK3801" s="2">
        <v>5</v>
      </c>
      <c r="BL3801" s="2">
        <v>102.67</v>
      </c>
      <c r="BM3801" s="2">
        <v>14.37</v>
      </c>
      <c r="BN3801" s="2">
        <v>117.04</v>
      </c>
      <c r="BO3801" s="2">
        <v>117.04</v>
      </c>
      <c r="BP3801" s="2"/>
      <c r="BQ3801" s="2" t="s">
        <v>1653</v>
      </c>
      <c r="BR3801" s="2" t="s">
        <v>84</v>
      </c>
      <c r="BS3801" s="3">
        <v>42949</v>
      </c>
      <c r="BT3801" s="4">
        <v>0.30277777777777776</v>
      </c>
      <c r="BU3801" s="2" t="s">
        <v>2740</v>
      </c>
      <c r="BV3801" s="2" t="s">
        <v>95</v>
      </c>
      <c r="BW3801" s="2"/>
      <c r="BX3801" s="2"/>
      <c r="BY3801" s="2">
        <v>17645.63</v>
      </c>
      <c r="BZ3801" s="2" t="s">
        <v>27</v>
      </c>
      <c r="CA3801" s="2" t="s">
        <v>774</v>
      </c>
      <c r="CB3801" s="2"/>
      <c r="CC3801" s="2" t="s">
        <v>150</v>
      </c>
      <c r="CD3801" s="2">
        <v>4001</v>
      </c>
      <c r="CE3801" s="2" t="s">
        <v>259</v>
      </c>
      <c r="CF3801" s="5">
        <v>42951</v>
      </c>
      <c r="CG3801" s="2"/>
      <c r="CH3801" s="2"/>
      <c r="CI3801" s="2">
        <v>1</v>
      </c>
      <c r="CJ3801" s="2">
        <v>1</v>
      </c>
      <c r="CK3801" s="2">
        <v>21</v>
      </c>
      <c r="CL3801" s="2" t="s">
        <v>86</v>
      </c>
      <c r="CM3801" s="2"/>
    </row>
    <row r="3802" spans="1:91">
      <c r="A3802" s="2" t="s">
        <v>71</v>
      </c>
      <c r="B3802" s="2" t="s">
        <v>72</v>
      </c>
      <c r="C3802" s="2" t="s">
        <v>73</v>
      </c>
      <c r="D3802" s="2"/>
      <c r="E3802" s="2" t="str">
        <f>"FES1162565817"</f>
        <v>FES1162565817</v>
      </c>
      <c r="F3802" s="3">
        <v>42948</v>
      </c>
      <c r="G3802" s="2">
        <v>201802</v>
      </c>
      <c r="H3802" s="2" t="s">
        <v>74</v>
      </c>
      <c r="I3802" s="2" t="s">
        <v>75</v>
      </c>
      <c r="J3802" s="2" t="s">
        <v>76</v>
      </c>
      <c r="K3802" s="2" t="s">
        <v>77</v>
      </c>
      <c r="L3802" s="2" t="s">
        <v>417</v>
      </c>
      <c r="M3802" s="2" t="s">
        <v>417</v>
      </c>
      <c r="N3802" s="2" t="s">
        <v>1414</v>
      </c>
      <c r="O3802" s="2" t="s">
        <v>100</v>
      </c>
      <c r="P3802" s="2" t="str">
        <f>"2170580354                    "</f>
        <v xml:space="preserve">2170580354                    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3.63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2">
        <v>0</v>
      </c>
      <c r="BD3802" s="2">
        <v>0</v>
      </c>
      <c r="BE3802" s="2">
        <v>0</v>
      </c>
      <c r="BF3802" s="2">
        <v>0</v>
      </c>
      <c r="BG3802" s="2">
        <v>0</v>
      </c>
      <c r="BH3802" s="2">
        <v>1</v>
      </c>
      <c r="BI3802" s="2">
        <v>1</v>
      </c>
      <c r="BJ3802" s="2">
        <v>0.2</v>
      </c>
      <c r="BK3802" s="2">
        <v>1</v>
      </c>
      <c r="BL3802" s="2">
        <v>41.07</v>
      </c>
      <c r="BM3802" s="2">
        <v>5.75</v>
      </c>
      <c r="BN3802" s="2">
        <v>46.82</v>
      </c>
      <c r="BO3802" s="2">
        <v>46.82</v>
      </c>
      <c r="BP3802" s="2"/>
      <c r="BQ3802" s="2" t="s">
        <v>108</v>
      </c>
      <c r="BR3802" s="2" t="s">
        <v>84</v>
      </c>
      <c r="BS3802" s="3">
        <v>42949</v>
      </c>
      <c r="BT3802" s="4">
        <v>0.58680555555555558</v>
      </c>
      <c r="BU3802" s="2" t="s">
        <v>3658</v>
      </c>
      <c r="BV3802" s="2" t="s">
        <v>86</v>
      </c>
      <c r="BW3802" s="2"/>
      <c r="BX3802" s="2"/>
      <c r="BY3802" s="2">
        <v>1200</v>
      </c>
      <c r="BZ3802" s="2" t="s">
        <v>27</v>
      </c>
      <c r="CA3802" s="2" t="s">
        <v>148</v>
      </c>
      <c r="CB3802" s="2"/>
      <c r="CC3802" s="2" t="s">
        <v>417</v>
      </c>
      <c r="CD3802" s="2">
        <v>7646</v>
      </c>
      <c r="CE3802" s="2" t="s">
        <v>3630</v>
      </c>
      <c r="CF3802" s="5">
        <v>42949</v>
      </c>
      <c r="CG3802" s="2"/>
      <c r="CH3802" s="2"/>
      <c r="CI3802" s="2">
        <v>1</v>
      </c>
      <c r="CJ3802" s="2">
        <v>1</v>
      </c>
      <c r="CK3802" s="2">
        <v>21</v>
      </c>
      <c r="CL3802" s="2" t="s">
        <v>86</v>
      </c>
      <c r="CM3802" s="2"/>
    </row>
    <row r="3803" spans="1:91">
      <c r="A3803" s="2" t="s">
        <v>71</v>
      </c>
      <c r="B3803" s="2" t="s">
        <v>72</v>
      </c>
      <c r="C3803" s="2" t="s">
        <v>73</v>
      </c>
      <c r="D3803" s="2"/>
      <c r="E3803" s="2" t="str">
        <f>"FES1162566042"</f>
        <v>FES1162566042</v>
      </c>
      <c r="F3803" s="3">
        <v>42948</v>
      </c>
      <c r="G3803" s="2">
        <v>201802</v>
      </c>
      <c r="H3803" s="2" t="s">
        <v>74</v>
      </c>
      <c r="I3803" s="2" t="s">
        <v>75</v>
      </c>
      <c r="J3803" s="2" t="s">
        <v>76</v>
      </c>
      <c r="K3803" s="2" t="s">
        <v>77</v>
      </c>
      <c r="L3803" s="2" t="s">
        <v>1781</v>
      </c>
      <c r="M3803" s="2" t="s">
        <v>1781</v>
      </c>
      <c r="N3803" s="2" t="s">
        <v>1782</v>
      </c>
      <c r="O3803" s="2" t="s">
        <v>100</v>
      </c>
      <c r="P3803" s="2" t="str">
        <f>"2170582599                    "</f>
        <v xml:space="preserve">2170582599                    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22.9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2">
        <v>0</v>
      </c>
      <c r="BD3803" s="2">
        <v>0</v>
      </c>
      <c r="BE3803" s="2">
        <v>0</v>
      </c>
      <c r="BF3803" s="2">
        <v>0</v>
      </c>
      <c r="BG3803" s="2">
        <v>0</v>
      </c>
      <c r="BH3803" s="2">
        <v>1</v>
      </c>
      <c r="BI3803" s="2">
        <v>6.6</v>
      </c>
      <c r="BJ3803" s="2">
        <v>1.9</v>
      </c>
      <c r="BK3803" s="2">
        <v>7</v>
      </c>
      <c r="BL3803" s="2">
        <v>259.24</v>
      </c>
      <c r="BM3803" s="2">
        <v>36.29</v>
      </c>
      <c r="BN3803" s="2">
        <v>295.52999999999997</v>
      </c>
      <c r="BO3803" s="2">
        <v>295.52999999999997</v>
      </c>
      <c r="BP3803" s="2"/>
      <c r="BQ3803" s="2" t="s">
        <v>365</v>
      </c>
      <c r="BR3803" s="2" t="s">
        <v>84</v>
      </c>
      <c r="BS3803" s="3">
        <v>42950</v>
      </c>
      <c r="BT3803" s="4">
        <v>0.63194444444444442</v>
      </c>
      <c r="BU3803" s="2" t="s">
        <v>3659</v>
      </c>
      <c r="BV3803" s="2" t="s">
        <v>95</v>
      </c>
      <c r="BW3803" s="2"/>
      <c r="BX3803" s="2"/>
      <c r="BY3803" s="2">
        <v>9638.0300000000007</v>
      </c>
      <c r="BZ3803" s="2" t="s">
        <v>27</v>
      </c>
      <c r="CA3803" s="2"/>
      <c r="CB3803" s="2"/>
      <c r="CC3803" s="2" t="s">
        <v>1781</v>
      </c>
      <c r="CD3803" s="2">
        <v>5470</v>
      </c>
      <c r="CE3803" s="2" t="s">
        <v>89</v>
      </c>
      <c r="CF3803" s="5">
        <v>42957</v>
      </c>
      <c r="CG3803" s="2"/>
      <c r="CH3803" s="2"/>
      <c r="CI3803" s="2">
        <v>4</v>
      </c>
      <c r="CJ3803" s="2">
        <v>2</v>
      </c>
      <c r="CK3803" s="2">
        <v>23</v>
      </c>
      <c r="CL3803" s="2" t="s">
        <v>86</v>
      </c>
      <c r="CM3803" s="2"/>
    </row>
    <row r="3804" spans="1:91">
      <c r="A3804" s="2" t="s">
        <v>71</v>
      </c>
      <c r="B3804" s="2" t="s">
        <v>72</v>
      </c>
      <c r="C3804" s="2" t="s">
        <v>73</v>
      </c>
      <c r="D3804" s="2"/>
      <c r="E3804" s="2" t="str">
        <f>"FES1162565919"</f>
        <v>FES1162565919</v>
      </c>
      <c r="F3804" s="3">
        <v>42948</v>
      </c>
      <c r="G3804" s="2">
        <v>201802</v>
      </c>
      <c r="H3804" s="2" t="s">
        <v>74</v>
      </c>
      <c r="I3804" s="2" t="s">
        <v>75</v>
      </c>
      <c r="J3804" s="2" t="s">
        <v>76</v>
      </c>
      <c r="K3804" s="2" t="s">
        <v>77</v>
      </c>
      <c r="L3804" s="2" t="s">
        <v>105</v>
      </c>
      <c r="M3804" s="2" t="s">
        <v>106</v>
      </c>
      <c r="N3804" s="2" t="s">
        <v>1143</v>
      </c>
      <c r="O3804" s="2" t="s">
        <v>100</v>
      </c>
      <c r="P3804" s="2" t="str">
        <f>"2170582496                    "</f>
        <v xml:space="preserve">2170582496                    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3.63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2">
        <v>0</v>
      </c>
      <c r="BD3804" s="2">
        <v>0</v>
      </c>
      <c r="BE3804" s="2">
        <v>0</v>
      </c>
      <c r="BF3804" s="2">
        <v>0</v>
      </c>
      <c r="BG3804" s="2">
        <v>0</v>
      </c>
      <c r="BH3804" s="2">
        <v>1</v>
      </c>
      <c r="BI3804" s="2">
        <v>1</v>
      </c>
      <c r="BJ3804" s="2">
        <v>0.2</v>
      </c>
      <c r="BK3804" s="2">
        <v>1</v>
      </c>
      <c r="BL3804" s="2">
        <v>41.07</v>
      </c>
      <c r="BM3804" s="2">
        <v>5.75</v>
      </c>
      <c r="BN3804" s="2">
        <v>46.82</v>
      </c>
      <c r="BO3804" s="2">
        <v>46.82</v>
      </c>
      <c r="BP3804" s="2"/>
      <c r="BQ3804" s="2" t="s">
        <v>108</v>
      </c>
      <c r="BR3804" s="2" t="s">
        <v>84</v>
      </c>
      <c r="BS3804" s="3">
        <v>42949</v>
      </c>
      <c r="BT3804" s="4">
        <v>0.41597222222222219</v>
      </c>
      <c r="BU3804" s="2" t="s">
        <v>3660</v>
      </c>
      <c r="BV3804" s="2" t="s">
        <v>95</v>
      </c>
      <c r="BW3804" s="2"/>
      <c r="BX3804" s="2"/>
      <c r="BY3804" s="2">
        <v>1200</v>
      </c>
      <c r="BZ3804" s="2" t="s">
        <v>27</v>
      </c>
      <c r="CA3804" s="2" t="s">
        <v>1324</v>
      </c>
      <c r="CB3804" s="2"/>
      <c r="CC3804" s="2" t="s">
        <v>106</v>
      </c>
      <c r="CD3804" s="2">
        <v>7925</v>
      </c>
      <c r="CE3804" s="2" t="s">
        <v>3630</v>
      </c>
      <c r="CF3804" s="5">
        <v>42950</v>
      </c>
      <c r="CG3804" s="2"/>
      <c r="CH3804" s="2"/>
      <c r="CI3804" s="2">
        <v>1</v>
      </c>
      <c r="CJ3804" s="2">
        <v>1</v>
      </c>
      <c r="CK3804" s="2">
        <v>21</v>
      </c>
      <c r="CL3804" s="2" t="s">
        <v>86</v>
      </c>
      <c r="CM3804" s="2"/>
    </row>
    <row r="3805" spans="1:91">
      <c r="A3805" s="2" t="s">
        <v>71</v>
      </c>
      <c r="B3805" s="2" t="s">
        <v>72</v>
      </c>
      <c r="C3805" s="2" t="s">
        <v>73</v>
      </c>
      <c r="D3805" s="2"/>
      <c r="E3805" s="2" t="str">
        <f>"FES1162566031"</f>
        <v>FES1162566031</v>
      </c>
      <c r="F3805" s="3">
        <v>42948</v>
      </c>
      <c r="G3805" s="2">
        <v>201802</v>
      </c>
      <c r="H3805" s="2" t="s">
        <v>74</v>
      </c>
      <c r="I3805" s="2" t="s">
        <v>75</v>
      </c>
      <c r="J3805" s="2" t="s">
        <v>76</v>
      </c>
      <c r="K3805" s="2" t="s">
        <v>77</v>
      </c>
      <c r="L3805" s="2" t="s">
        <v>3302</v>
      </c>
      <c r="M3805" s="2" t="s">
        <v>3303</v>
      </c>
      <c r="N3805" s="2" t="s">
        <v>3304</v>
      </c>
      <c r="O3805" s="2" t="s">
        <v>100</v>
      </c>
      <c r="P3805" s="2" t="str">
        <f>"2170582581                    "</f>
        <v xml:space="preserve">2170582581                    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7.03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0</v>
      </c>
      <c r="AV3805" s="2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2">
        <v>0</v>
      </c>
      <c r="BD3805" s="2">
        <v>0</v>
      </c>
      <c r="BE3805" s="2">
        <v>0</v>
      </c>
      <c r="BF3805" s="2">
        <v>0</v>
      </c>
      <c r="BG3805" s="2">
        <v>0</v>
      </c>
      <c r="BH3805" s="2">
        <v>1</v>
      </c>
      <c r="BI3805" s="2">
        <v>1.2</v>
      </c>
      <c r="BJ3805" s="2">
        <v>1</v>
      </c>
      <c r="BK3805" s="2">
        <v>1.5</v>
      </c>
      <c r="BL3805" s="2">
        <v>79.569999999999993</v>
      </c>
      <c r="BM3805" s="2">
        <v>11.14</v>
      </c>
      <c r="BN3805" s="2">
        <v>90.71</v>
      </c>
      <c r="BO3805" s="2">
        <v>90.71</v>
      </c>
      <c r="BP3805" s="2"/>
      <c r="BQ3805" s="2" t="s">
        <v>3661</v>
      </c>
      <c r="BR3805" s="2" t="s">
        <v>84</v>
      </c>
      <c r="BS3805" s="3">
        <v>42951</v>
      </c>
      <c r="BT3805" s="4">
        <v>0.4458333333333333</v>
      </c>
      <c r="BU3805" s="2" t="s">
        <v>3662</v>
      </c>
      <c r="BV3805" s="2" t="s">
        <v>95</v>
      </c>
      <c r="BW3805" s="2"/>
      <c r="BX3805" s="2"/>
      <c r="BY3805" s="2">
        <v>4796.74</v>
      </c>
      <c r="BZ3805" s="2" t="s">
        <v>27</v>
      </c>
      <c r="CA3805" s="2"/>
      <c r="CB3805" s="2"/>
      <c r="CC3805" s="2" t="s">
        <v>3303</v>
      </c>
      <c r="CD3805" s="2">
        <v>6309</v>
      </c>
      <c r="CE3805" s="2" t="s">
        <v>948</v>
      </c>
      <c r="CF3805" s="5">
        <v>42961</v>
      </c>
      <c r="CG3805" s="2"/>
      <c r="CH3805" s="2"/>
      <c r="CI3805" s="2">
        <v>4</v>
      </c>
      <c r="CJ3805" s="2">
        <v>3</v>
      </c>
      <c r="CK3805" s="2">
        <v>23</v>
      </c>
      <c r="CL3805" s="2" t="s">
        <v>86</v>
      </c>
      <c r="CM3805" s="2"/>
    </row>
    <row r="3806" spans="1:91">
      <c r="A3806" s="2" t="s">
        <v>71</v>
      </c>
      <c r="B3806" s="2" t="s">
        <v>72</v>
      </c>
      <c r="C3806" s="2" t="s">
        <v>73</v>
      </c>
      <c r="D3806" s="2"/>
      <c r="E3806" s="2" t="str">
        <f>"FES1162565860"</f>
        <v>FES1162565860</v>
      </c>
      <c r="F3806" s="3">
        <v>42948</v>
      </c>
      <c r="G3806" s="2">
        <v>201802</v>
      </c>
      <c r="H3806" s="2" t="s">
        <v>74</v>
      </c>
      <c r="I3806" s="2" t="s">
        <v>75</v>
      </c>
      <c r="J3806" s="2" t="s">
        <v>76</v>
      </c>
      <c r="K3806" s="2" t="s">
        <v>77</v>
      </c>
      <c r="L3806" s="2" t="s">
        <v>105</v>
      </c>
      <c r="M3806" s="2" t="s">
        <v>106</v>
      </c>
      <c r="N3806" s="2" t="s">
        <v>253</v>
      </c>
      <c r="O3806" s="2" t="s">
        <v>100</v>
      </c>
      <c r="P3806" s="2" t="str">
        <f>"2170581254                    "</f>
        <v xml:space="preserve">2170581254                    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3.63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0</v>
      </c>
      <c r="AV3806" s="2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2">
        <v>0</v>
      </c>
      <c r="BD3806" s="2">
        <v>0</v>
      </c>
      <c r="BE3806" s="2">
        <v>0</v>
      </c>
      <c r="BF3806" s="2">
        <v>0</v>
      </c>
      <c r="BG3806" s="2">
        <v>0</v>
      </c>
      <c r="BH3806" s="2">
        <v>1</v>
      </c>
      <c r="BI3806" s="2">
        <v>1</v>
      </c>
      <c r="BJ3806" s="2">
        <v>0.2</v>
      </c>
      <c r="BK3806" s="2">
        <v>1</v>
      </c>
      <c r="BL3806" s="2">
        <v>41.07</v>
      </c>
      <c r="BM3806" s="2">
        <v>5.75</v>
      </c>
      <c r="BN3806" s="2">
        <v>46.82</v>
      </c>
      <c r="BO3806" s="2">
        <v>46.82</v>
      </c>
      <c r="BP3806" s="2"/>
      <c r="BQ3806" s="2" t="s">
        <v>1492</v>
      </c>
      <c r="BR3806" s="2" t="s">
        <v>84</v>
      </c>
      <c r="BS3806" s="3">
        <v>42949</v>
      </c>
      <c r="BT3806" s="4">
        <v>0.42222222222222222</v>
      </c>
      <c r="BU3806" s="2" t="s">
        <v>1074</v>
      </c>
      <c r="BV3806" s="2" t="s">
        <v>95</v>
      </c>
      <c r="BW3806" s="2"/>
      <c r="BX3806" s="2"/>
      <c r="BY3806" s="2">
        <v>1200</v>
      </c>
      <c r="BZ3806" s="2" t="s">
        <v>27</v>
      </c>
      <c r="CA3806" s="2" t="s">
        <v>654</v>
      </c>
      <c r="CB3806" s="2"/>
      <c r="CC3806" s="2" t="s">
        <v>106</v>
      </c>
      <c r="CD3806" s="2">
        <v>7490</v>
      </c>
      <c r="CE3806" s="2" t="s">
        <v>3630</v>
      </c>
      <c r="CF3806" s="5">
        <v>42950</v>
      </c>
      <c r="CG3806" s="2"/>
      <c r="CH3806" s="2"/>
      <c r="CI3806" s="2">
        <v>1</v>
      </c>
      <c r="CJ3806" s="2">
        <v>1</v>
      </c>
      <c r="CK3806" s="2">
        <v>21</v>
      </c>
      <c r="CL3806" s="2" t="s">
        <v>86</v>
      </c>
      <c r="CM3806" s="2"/>
    </row>
    <row r="3807" spans="1:91">
      <c r="A3807" s="2" t="s">
        <v>71</v>
      </c>
      <c r="B3807" s="2" t="s">
        <v>72</v>
      </c>
      <c r="C3807" s="2" t="s">
        <v>73</v>
      </c>
      <c r="D3807" s="2"/>
      <c r="E3807" s="2" t="str">
        <f>"FES1162566026"</f>
        <v>FES1162566026</v>
      </c>
      <c r="F3807" s="3">
        <v>42948</v>
      </c>
      <c r="G3807" s="2">
        <v>201802</v>
      </c>
      <c r="H3807" s="2" t="s">
        <v>74</v>
      </c>
      <c r="I3807" s="2" t="s">
        <v>75</v>
      </c>
      <c r="J3807" s="2" t="s">
        <v>76</v>
      </c>
      <c r="K3807" s="2" t="s">
        <v>77</v>
      </c>
      <c r="L3807" s="2" t="s">
        <v>221</v>
      </c>
      <c r="M3807" s="2" t="s">
        <v>222</v>
      </c>
      <c r="N3807" s="2" t="s">
        <v>415</v>
      </c>
      <c r="O3807" s="2" t="s">
        <v>100</v>
      </c>
      <c r="P3807" s="2" t="str">
        <f>"2170582576                    "</f>
        <v xml:space="preserve">2170582576                    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3.63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0</v>
      </c>
      <c r="AV3807" s="2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2">
        <v>0</v>
      </c>
      <c r="BD3807" s="2">
        <v>0</v>
      </c>
      <c r="BE3807" s="2">
        <v>0</v>
      </c>
      <c r="BF3807" s="2">
        <v>0</v>
      </c>
      <c r="BG3807" s="2">
        <v>0</v>
      </c>
      <c r="BH3807" s="2">
        <v>1</v>
      </c>
      <c r="BI3807" s="2">
        <v>1.8</v>
      </c>
      <c r="BJ3807" s="2">
        <v>1</v>
      </c>
      <c r="BK3807" s="2">
        <v>2</v>
      </c>
      <c r="BL3807" s="2">
        <v>41.07</v>
      </c>
      <c r="BM3807" s="2">
        <v>5.75</v>
      </c>
      <c r="BN3807" s="2">
        <v>46.82</v>
      </c>
      <c r="BO3807" s="2">
        <v>46.82</v>
      </c>
      <c r="BP3807" s="2"/>
      <c r="BQ3807" s="2" t="s">
        <v>108</v>
      </c>
      <c r="BR3807" s="2" t="s">
        <v>84</v>
      </c>
      <c r="BS3807" s="3">
        <v>42949</v>
      </c>
      <c r="BT3807" s="4">
        <v>0.36944444444444446</v>
      </c>
      <c r="BU3807" s="2" t="s">
        <v>3663</v>
      </c>
      <c r="BV3807" s="2" t="s">
        <v>95</v>
      </c>
      <c r="BW3807" s="2"/>
      <c r="BX3807" s="2"/>
      <c r="BY3807" s="2">
        <v>5041.58</v>
      </c>
      <c r="BZ3807" s="2" t="s">
        <v>27</v>
      </c>
      <c r="CA3807" s="2" t="s">
        <v>3640</v>
      </c>
      <c r="CB3807" s="2"/>
      <c r="CC3807" s="2" t="s">
        <v>222</v>
      </c>
      <c r="CD3807" s="2">
        <v>4302</v>
      </c>
      <c r="CE3807" s="2" t="s">
        <v>89</v>
      </c>
      <c r="CF3807" s="5">
        <v>42950</v>
      </c>
      <c r="CG3807" s="2"/>
      <c r="CH3807" s="2"/>
      <c r="CI3807" s="2">
        <v>1</v>
      </c>
      <c r="CJ3807" s="2">
        <v>1</v>
      </c>
      <c r="CK3807" s="2">
        <v>21</v>
      </c>
      <c r="CL3807" s="2" t="s">
        <v>86</v>
      </c>
      <c r="CM3807" s="2"/>
    </row>
    <row r="3808" spans="1:91">
      <c r="A3808" s="2" t="s">
        <v>71</v>
      </c>
      <c r="B3808" s="2" t="s">
        <v>72</v>
      </c>
      <c r="C3808" s="2" t="s">
        <v>73</v>
      </c>
      <c r="D3808" s="2"/>
      <c r="E3808" s="2" t="str">
        <f>"FES1162565857"</f>
        <v>FES1162565857</v>
      </c>
      <c r="F3808" s="3">
        <v>42948</v>
      </c>
      <c r="G3808" s="2">
        <v>201802</v>
      </c>
      <c r="H3808" s="2" t="s">
        <v>74</v>
      </c>
      <c r="I3808" s="2" t="s">
        <v>75</v>
      </c>
      <c r="J3808" s="2" t="s">
        <v>76</v>
      </c>
      <c r="K3808" s="2" t="s">
        <v>77</v>
      </c>
      <c r="L3808" s="2" t="s">
        <v>105</v>
      </c>
      <c r="M3808" s="2" t="s">
        <v>106</v>
      </c>
      <c r="N3808" s="2" t="s">
        <v>253</v>
      </c>
      <c r="O3808" s="2" t="s">
        <v>100</v>
      </c>
      <c r="P3808" s="2" t="str">
        <f>"2170580342                    "</f>
        <v xml:space="preserve">2170580342                    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3.63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0</v>
      </c>
      <c r="AU3808" s="2">
        <v>0</v>
      </c>
      <c r="AV3808" s="2">
        <v>0</v>
      </c>
      <c r="AW3808" s="2">
        <v>0</v>
      </c>
      <c r="AX3808" s="2">
        <v>0</v>
      </c>
      <c r="AY3808" s="2">
        <v>0</v>
      </c>
      <c r="AZ3808" s="2">
        <v>0</v>
      </c>
      <c r="BA3808" s="2">
        <v>0</v>
      </c>
      <c r="BB3808" s="2">
        <v>0</v>
      </c>
      <c r="BC3808" s="2">
        <v>0</v>
      </c>
      <c r="BD3808" s="2">
        <v>0</v>
      </c>
      <c r="BE3808" s="2">
        <v>0</v>
      </c>
      <c r="BF3808" s="2">
        <v>0</v>
      </c>
      <c r="BG3808" s="2">
        <v>0</v>
      </c>
      <c r="BH3808" s="2">
        <v>1</v>
      </c>
      <c r="BI3808" s="2">
        <v>1</v>
      </c>
      <c r="BJ3808" s="2">
        <v>0.2</v>
      </c>
      <c r="BK3808" s="2">
        <v>1</v>
      </c>
      <c r="BL3808" s="2">
        <v>41.07</v>
      </c>
      <c r="BM3808" s="2">
        <v>5.75</v>
      </c>
      <c r="BN3808" s="2">
        <v>46.82</v>
      </c>
      <c r="BO3808" s="2">
        <v>46.82</v>
      </c>
      <c r="BP3808" s="2"/>
      <c r="BQ3808" s="2" t="s">
        <v>1492</v>
      </c>
      <c r="BR3808" s="2" t="s">
        <v>84</v>
      </c>
      <c r="BS3808" s="3">
        <v>42949</v>
      </c>
      <c r="BT3808" s="4">
        <v>0.42222222222222222</v>
      </c>
      <c r="BU3808" s="2" t="s">
        <v>1074</v>
      </c>
      <c r="BV3808" s="2" t="s">
        <v>95</v>
      </c>
      <c r="BW3808" s="2"/>
      <c r="BX3808" s="2"/>
      <c r="BY3808" s="2">
        <v>1200</v>
      </c>
      <c r="BZ3808" s="2" t="s">
        <v>27</v>
      </c>
      <c r="CA3808" s="2" t="s">
        <v>654</v>
      </c>
      <c r="CB3808" s="2"/>
      <c r="CC3808" s="2" t="s">
        <v>106</v>
      </c>
      <c r="CD3808" s="2">
        <v>7490</v>
      </c>
      <c r="CE3808" s="2" t="s">
        <v>3630</v>
      </c>
      <c r="CF3808" s="5">
        <v>42950</v>
      </c>
      <c r="CG3808" s="2"/>
      <c r="CH3808" s="2"/>
      <c r="CI3808" s="2">
        <v>1</v>
      </c>
      <c r="CJ3808" s="2">
        <v>1</v>
      </c>
      <c r="CK3808" s="2">
        <v>21</v>
      </c>
      <c r="CL3808" s="2" t="s">
        <v>86</v>
      </c>
      <c r="CM3808" s="2"/>
    </row>
    <row r="3809" spans="1:91">
      <c r="A3809" s="2" t="s">
        <v>71</v>
      </c>
      <c r="B3809" s="2" t="s">
        <v>72</v>
      </c>
      <c r="C3809" s="2" t="s">
        <v>73</v>
      </c>
      <c r="D3809" s="2"/>
      <c r="E3809" s="2" t="str">
        <f>"FES1162566017"</f>
        <v>FES1162566017</v>
      </c>
      <c r="F3809" s="3">
        <v>42948</v>
      </c>
      <c r="G3809" s="2">
        <v>201802</v>
      </c>
      <c r="H3809" s="2" t="s">
        <v>74</v>
      </c>
      <c r="I3809" s="2" t="s">
        <v>75</v>
      </c>
      <c r="J3809" s="2" t="s">
        <v>76</v>
      </c>
      <c r="K3809" s="2" t="s">
        <v>77</v>
      </c>
      <c r="L3809" s="2" t="s">
        <v>174</v>
      </c>
      <c r="M3809" s="2" t="s">
        <v>175</v>
      </c>
      <c r="N3809" s="2" t="s">
        <v>920</v>
      </c>
      <c r="O3809" s="2" t="s">
        <v>100</v>
      </c>
      <c r="P3809" s="2" t="str">
        <f>"2170581364                    "</f>
        <v xml:space="preserve">2170581364                    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7.26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0</v>
      </c>
      <c r="AV3809" s="2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2">
        <v>0</v>
      </c>
      <c r="BD3809" s="2">
        <v>0</v>
      </c>
      <c r="BE3809" s="2">
        <v>0</v>
      </c>
      <c r="BF3809" s="2">
        <v>0</v>
      </c>
      <c r="BG3809" s="2">
        <v>0</v>
      </c>
      <c r="BH3809" s="2">
        <v>1</v>
      </c>
      <c r="BI3809" s="2">
        <v>4</v>
      </c>
      <c r="BJ3809" s="2">
        <v>3.3</v>
      </c>
      <c r="BK3809" s="2">
        <v>4</v>
      </c>
      <c r="BL3809" s="2">
        <v>82.14</v>
      </c>
      <c r="BM3809" s="2">
        <v>11.5</v>
      </c>
      <c r="BN3809" s="2">
        <v>93.64</v>
      </c>
      <c r="BO3809" s="2">
        <v>93.64</v>
      </c>
      <c r="BP3809" s="2"/>
      <c r="BQ3809" s="2" t="s">
        <v>108</v>
      </c>
      <c r="BR3809" s="2" t="s">
        <v>84</v>
      </c>
      <c r="BS3809" s="3">
        <v>42949</v>
      </c>
      <c r="BT3809" s="4">
        <v>0.4513888888888889</v>
      </c>
      <c r="BU3809" s="2" t="s">
        <v>1218</v>
      </c>
      <c r="BV3809" s="2" t="s">
        <v>95</v>
      </c>
      <c r="BW3809" s="2"/>
      <c r="BX3809" s="2"/>
      <c r="BY3809" s="2">
        <v>16335</v>
      </c>
      <c r="BZ3809" s="2" t="s">
        <v>27</v>
      </c>
      <c r="CA3809" s="2"/>
      <c r="CB3809" s="2"/>
      <c r="CC3809" s="2" t="s">
        <v>175</v>
      </c>
      <c r="CD3809" s="2">
        <v>5201</v>
      </c>
      <c r="CE3809" s="2" t="s">
        <v>3664</v>
      </c>
      <c r="CF3809" s="5">
        <v>42954</v>
      </c>
      <c r="CG3809" s="2"/>
      <c r="CH3809" s="2"/>
      <c r="CI3809" s="2">
        <v>1</v>
      </c>
      <c r="CJ3809" s="2">
        <v>1</v>
      </c>
      <c r="CK3809" s="2">
        <v>21</v>
      </c>
      <c r="CL3809" s="2" t="s">
        <v>86</v>
      </c>
      <c r="CM3809" s="2"/>
    </row>
    <row r="3810" spans="1:91">
      <c r="A3810" s="2" t="s">
        <v>71</v>
      </c>
      <c r="B3810" s="2" t="s">
        <v>72</v>
      </c>
      <c r="C3810" s="2" t="s">
        <v>73</v>
      </c>
      <c r="D3810" s="2"/>
      <c r="E3810" s="2" t="str">
        <f>"FES1162565816"</f>
        <v>FES1162565816</v>
      </c>
      <c r="F3810" s="3">
        <v>42948</v>
      </c>
      <c r="G3810" s="2">
        <v>201802</v>
      </c>
      <c r="H3810" s="2" t="s">
        <v>74</v>
      </c>
      <c r="I3810" s="2" t="s">
        <v>75</v>
      </c>
      <c r="J3810" s="2" t="s">
        <v>76</v>
      </c>
      <c r="K3810" s="2" t="s">
        <v>77</v>
      </c>
      <c r="L3810" s="2" t="s">
        <v>105</v>
      </c>
      <c r="M3810" s="2" t="s">
        <v>106</v>
      </c>
      <c r="N3810" s="2" t="s">
        <v>253</v>
      </c>
      <c r="O3810" s="2" t="s">
        <v>100</v>
      </c>
      <c r="P3810" s="2" t="str">
        <f>"2170580342                    "</f>
        <v xml:space="preserve">2170580342                    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3.63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0</v>
      </c>
      <c r="AV3810" s="2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2">
        <v>0</v>
      </c>
      <c r="BD3810" s="2">
        <v>0</v>
      </c>
      <c r="BE3810" s="2">
        <v>0</v>
      </c>
      <c r="BF3810" s="2">
        <v>0</v>
      </c>
      <c r="BG3810" s="2">
        <v>0</v>
      </c>
      <c r="BH3810" s="2">
        <v>1</v>
      </c>
      <c r="BI3810" s="2">
        <v>1</v>
      </c>
      <c r="BJ3810" s="2">
        <v>0.2</v>
      </c>
      <c r="BK3810" s="2">
        <v>1</v>
      </c>
      <c r="BL3810" s="2">
        <v>41.07</v>
      </c>
      <c r="BM3810" s="2">
        <v>5.75</v>
      </c>
      <c r="BN3810" s="2">
        <v>46.82</v>
      </c>
      <c r="BO3810" s="2">
        <v>46.82</v>
      </c>
      <c r="BP3810" s="2"/>
      <c r="BQ3810" s="2" t="s">
        <v>1492</v>
      </c>
      <c r="BR3810" s="2" t="s">
        <v>84</v>
      </c>
      <c r="BS3810" s="3">
        <v>42949</v>
      </c>
      <c r="BT3810" s="4">
        <v>0.42222222222222222</v>
      </c>
      <c r="BU3810" s="2" t="s">
        <v>1074</v>
      </c>
      <c r="BV3810" s="2" t="s">
        <v>95</v>
      </c>
      <c r="BW3810" s="2"/>
      <c r="BX3810" s="2"/>
      <c r="BY3810" s="2">
        <v>1200</v>
      </c>
      <c r="BZ3810" s="2" t="s">
        <v>27</v>
      </c>
      <c r="CA3810" s="2" t="s">
        <v>654</v>
      </c>
      <c r="CB3810" s="2"/>
      <c r="CC3810" s="2" t="s">
        <v>106</v>
      </c>
      <c r="CD3810" s="2">
        <v>7490</v>
      </c>
      <c r="CE3810" s="2" t="s">
        <v>3630</v>
      </c>
      <c r="CF3810" s="5">
        <v>42950</v>
      </c>
      <c r="CG3810" s="2"/>
      <c r="CH3810" s="2"/>
      <c r="CI3810" s="2">
        <v>1</v>
      </c>
      <c r="CJ3810" s="2">
        <v>1</v>
      </c>
      <c r="CK3810" s="2">
        <v>21</v>
      </c>
      <c r="CL3810" s="2" t="s">
        <v>86</v>
      </c>
      <c r="CM3810" s="2"/>
    </row>
    <row r="3811" spans="1:91">
      <c r="A3811" s="2" t="s">
        <v>71</v>
      </c>
      <c r="B3811" s="2" t="s">
        <v>72</v>
      </c>
      <c r="C3811" s="2" t="s">
        <v>73</v>
      </c>
      <c r="D3811" s="2"/>
      <c r="E3811" s="2" t="str">
        <f>"FES1162565939"</f>
        <v>FES1162565939</v>
      </c>
      <c r="F3811" s="3">
        <v>42948</v>
      </c>
      <c r="G3811" s="2">
        <v>201802</v>
      </c>
      <c r="H3811" s="2" t="s">
        <v>74</v>
      </c>
      <c r="I3811" s="2" t="s">
        <v>75</v>
      </c>
      <c r="J3811" s="2" t="s">
        <v>76</v>
      </c>
      <c r="K3811" s="2" t="s">
        <v>77</v>
      </c>
      <c r="L3811" s="2" t="s">
        <v>206</v>
      </c>
      <c r="M3811" s="2" t="s">
        <v>207</v>
      </c>
      <c r="N3811" s="2" t="s">
        <v>650</v>
      </c>
      <c r="O3811" s="2" t="s">
        <v>100</v>
      </c>
      <c r="P3811" s="2" t="str">
        <f>"2170580274                    "</f>
        <v xml:space="preserve">2170580274                    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5.0999999999999996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0</v>
      </c>
      <c r="AV3811" s="2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2">
        <v>0</v>
      </c>
      <c r="BD3811" s="2">
        <v>0</v>
      </c>
      <c r="BE3811" s="2">
        <v>0</v>
      </c>
      <c r="BF3811" s="2">
        <v>0</v>
      </c>
      <c r="BG3811" s="2">
        <v>0</v>
      </c>
      <c r="BH3811" s="2">
        <v>1</v>
      </c>
      <c r="BI3811" s="2">
        <v>1</v>
      </c>
      <c r="BJ3811" s="2">
        <v>0.2</v>
      </c>
      <c r="BK3811" s="2">
        <v>1</v>
      </c>
      <c r="BL3811" s="2">
        <v>57.75</v>
      </c>
      <c r="BM3811" s="2">
        <v>8.09</v>
      </c>
      <c r="BN3811" s="2">
        <v>65.84</v>
      </c>
      <c r="BO3811" s="2">
        <v>65.84</v>
      </c>
      <c r="BP3811" s="2"/>
      <c r="BQ3811" s="2" t="s">
        <v>209</v>
      </c>
      <c r="BR3811" s="2" t="s">
        <v>84</v>
      </c>
      <c r="BS3811" s="3">
        <v>42949</v>
      </c>
      <c r="BT3811" s="4">
        <v>0.5229166666666667</v>
      </c>
      <c r="BU3811" s="2" t="s">
        <v>3665</v>
      </c>
      <c r="BV3811" s="2" t="s">
        <v>95</v>
      </c>
      <c r="BW3811" s="2"/>
      <c r="BX3811" s="2"/>
      <c r="BY3811" s="2">
        <v>1200</v>
      </c>
      <c r="BZ3811" s="2" t="s">
        <v>27</v>
      </c>
      <c r="CA3811" s="2" t="s">
        <v>211</v>
      </c>
      <c r="CB3811" s="2"/>
      <c r="CC3811" s="2" t="s">
        <v>207</v>
      </c>
      <c r="CD3811" s="2">
        <v>250</v>
      </c>
      <c r="CE3811" s="2" t="s">
        <v>3630</v>
      </c>
      <c r="CF3811" s="5">
        <v>42951</v>
      </c>
      <c r="CG3811" s="2"/>
      <c r="CH3811" s="2"/>
      <c r="CI3811" s="2">
        <v>1</v>
      </c>
      <c r="CJ3811" s="2">
        <v>1</v>
      </c>
      <c r="CK3811" s="2">
        <v>24</v>
      </c>
      <c r="CL3811" s="2" t="s">
        <v>86</v>
      </c>
      <c r="CM3811" s="2"/>
    </row>
    <row r="3812" spans="1:91">
      <c r="A3812" s="2" t="s">
        <v>71</v>
      </c>
      <c r="B3812" s="2" t="s">
        <v>72</v>
      </c>
      <c r="C3812" s="2" t="s">
        <v>73</v>
      </c>
      <c r="D3812" s="2"/>
      <c r="E3812" s="2" t="str">
        <f>"FES1162565980"</f>
        <v>FES1162565980</v>
      </c>
      <c r="F3812" s="3">
        <v>42948</v>
      </c>
      <c r="G3812" s="2">
        <v>201802</v>
      </c>
      <c r="H3812" s="2" t="s">
        <v>74</v>
      </c>
      <c r="I3812" s="2" t="s">
        <v>75</v>
      </c>
      <c r="J3812" s="2" t="s">
        <v>76</v>
      </c>
      <c r="K3812" s="2" t="s">
        <v>77</v>
      </c>
      <c r="L3812" s="2" t="s">
        <v>74</v>
      </c>
      <c r="M3812" s="2" t="s">
        <v>75</v>
      </c>
      <c r="N3812" s="2" t="s">
        <v>3666</v>
      </c>
      <c r="O3812" s="2" t="s">
        <v>100</v>
      </c>
      <c r="P3812" s="2" t="str">
        <f>"2170582535                    "</f>
        <v xml:space="preserve">2170582535                    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2.83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0</v>
      </c>
      <c r="AV3812" s="2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2">
        <v>0</v>
      </c>
      <c r="BD3812" s="2">
        <v>0</v>
      </c>
      <c r="BE3812" s="2">
        <v>0</v>
      </c>
      <c r="BF3812" s="2">
        <v>0</v>
      </c>
      <c r="BG3812" s="2">
        <v>0</v>
      </c>
      <c r="BH3812" s="2">
        <v>1</v>
      </c>
      <c r="BI3812" s="2">
        <v>2</v>
      </c>
      <c r="BJ3812" s="2">
        <v>3</v>
      </c>
      <c r="BK3812" s="2">
        <v>3</v>
      </c>
      <c r="BL3812" s="2">
        <v>32.08</v>
      </c>
      <c r="BM3812" s="2">
        <v>4.49</v>
      </c>
      <c r="BN3812" s="2">
        <v>36.57</v>
      </c>
      <c r="BO3812" s="2">
        <v>36.57</v>
      </c>
      <c r="BP3812" s="2"/>
      <c r="BQ3812" s="2"/>
      <c r="BR3812" s="2" t="s">
        <v>84</v>
      </c>
      <c r="BS3812" s="3">
        <v>42949</v>
      </c>
      <c r="BT3812" s="4">
        <v>0.29375000000000001</v>
      </c>
      <c r="BU3812" s="2" t="s">
        <v>2336</v>
      </c>
      <c r="BV3812" s="2" t="s">
        <v>95</v>
      </c>
      <c r="BW3812" s="2"/>
      <c r="BX3812" s="2"/>
      <c r="BY3812" s="2">
        <v>14976</v>
      </c>
      <c r="BZ3812" s="2" t="s">
        <v>27</v>
      </c>
      <c r="CA3812" s="2" t="s">
        <v>331</v>
      </c>
      <c r="CB3812" s="2"/>
      <c r="CC3812" s="2" t="s">
        <v>75</v>
      </c>
      <c r="CD3812" s="2">
        <v>1619</v>
      </c>
      <c r="CE3812" s="2" t="s">
        <v>948</v>
      </c>
      <c r="CF3812" s="5">
        <v>42950</v>
      </c>
      <c r="CG3812" s="2"/>
      <c r="CH3812" s="2"/>
      <c r="CI3812" s="2">
        <v>1</v>
      </c>
      <c r="CJ3812" s="2">
        <v>1</v>
      </c>
      <c r="CK3812" s="2">
        <v>22</v>
      </c>
      <c r="CL3812" s="2" t="s">
        <v>86</v>
      </c>
      <c r="CM3812" s="2"/>
    </row>
    <row r="3813" spans="1:91">
      <c r="A3813" s="2" t="s">
        <v>71</v>
      </c>
      <c r="B3813" s="2" t="s">
        <v>72</v>
      </c>
      <c r="C3813" s="2" t="s">
        <v>73</v>
      </c>
      <c r="D3813" s="2"/>
      <c r="E3813" s="2" t="str">
        <f>"FES1162565940"</f>
        <v>FES1162565940</v>
      </c>
      <c r="F3813" s="3">
        <v>42948</v>
      </c>
      <c r="G3813" s="2">
        <v>201802</v>
      </c>
      <c r="H3813" s="2" t="s">
        <v>74</v>
      </c>
      <c r="I3813" s="2" t="s">
        <v>75</v>
      </c>
      <c r="J3813" s="2" t="s">
        <v>76</v>
      </c>
      <c r="K3813" s="2" t="s">
        <v>77</v>
      </c>
      <c r="L3813" s="2" t="s">
        <v>206</v>
      </c>
      <c r="M3813" s="2" t="s">
        <v>207</v>
      </c>
      <c r="N3813" s="2" t="s">
        <v>650</v>
      </c>
      <c r="O3813" s="2" t="s">
        <v>100</v>
      </c>
      <c r="P3813" s="2" t="str">
        <f>"2170580302                    "</f>
        <v xml:space="preserve">2170580302                    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5.0999999999999996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0</v>
      </c>
      <c r="AU3813" s="2">
        <v>0</v>
      </c>
      <c r="AV3813" s="2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2">
        <v>0</v>
      </c>
      <c r="BD3813" s="2">
        <v>0</v>
      </c>
      <c r="BE3813" s="2">
        <v>0</v>
      </c>
      <c r="BF3813" s="2">
        <v>0</v>
      </c>
      <c r="BG3813" s="2">
        <v>0</v>
      </c>
      <c r="BH3813" s="2">
        <v>1</v>
      </c>
      <c r="BI3813" s="2">
        <v>1</v>
      </c>
      <c r="BJ3813" s="2">
        <v>0.2</v>
      </c>
      <c r="BK3813" s="2">
        <v>1</v>
      </c>
      <c r="BL3813" s="2">
        <v>57.75</v>
      </c>
      <c r="BM3813" s="2">
        <v>8.09</v>
      </c>
      <c r="BN3813" s="2">
        <v>65.84</v>
      </c>
      <c r="BO3813" s="2">
        <v>65.84</v>
      </c>
      <c r="BP3813" s="2"/>
      <c r="BQ3813" s="2" t="s">
        <v>209</v>
      </c>
      <c r="BR3813" s="2" t="s">
        <v>84</v>
      </c>
      <c r="BS3813" s="3">
        <v>42949</v>
      </c>
      <c r="BT3813" s="4">
        <v>0.52361111111111114</v>
      </c>
      <c r="BU3813" s="2" t="s">
        <v>3667</v>
      </c>
      <c r="BV3813" s="2" t="s">
        <v>95</v>
      </c>
      <c r="BW3813" s="2"/>
      <c r="BX3813" s="2"/>
      <c r="BY3813" s="2">
        <v>1200</v>
      </c>
      <c r="BZ3813" s="2" t="s">
        <v>27</v>
      </c>
      <c r="CA3813" s="2" t="s">
        <v>211</v>
      </c>
      <c r="CB3813" s="2"/>
      <c r="CC3813" s="2" t="s">
        <v>207</v>
      </c>
      <c r="CD3813" s="2">
        <v>250</v>
      </c>
      <c r="CE3813" s="2" t="s">
        <v>3630</v>
      </c>
      <c r="CF3813" s="5">
        <v>42951</v>
      </c>
      <c r="CG3813" s="2"/>
      <c r="CH3813" s="2"/>
      <c r="CI3813" s="2">
        <v>1</v>
      </c>
      <c r="CJ3813" s="2">
        <v>1</v>
      </c>
      <c r="CK3813" s="2">
        <v>24</v>
      </c>
      <c r="CL3813" s="2" t="s">
        <v>86</v>
      </c>
      <c r="CM3813" s="2"/>
    </row>
    <row r="3814" spans="1:91">
      <c r="A3814" s="2" t="s">
        <v>71</v>
      </c>
      <c r="B3814" s="2" t="s">
        <v>72</v>
      </c>
      <c r="C3814" s="2" t="s">
        <v>73</v>
      </c>
      <c r="D3814" s="2"/>
      <c r="E3814" s="2" t="str">
        <f>"FES1162565937"</f>
        <v>FES1162565937</v>
      </c>
      <c r="F3814" s="3">
        <v>42948</v>
      </c>
      <c r="G3814" s="2">
        <v>201802</v>
      </c>
      <c r="H3814" s="2" t="s">
        <v>74</v>
      </c>
      <c r="I3814" s="2" t="s">
        <v>75</v>
      </c>
      <c r="J3814" s="2" t="s">
        <v>76</v>
      </c>
      <c r="K3814" s="2" t="s">
        <v>77</v>
      </c>
      <c r="L3814" s="2" t="s">
        <v>144</v>
      </c>
      <c r="M3814" s="2" t="s">
        <v>145</v>
      </c>
      <c r="N3814" s="2" t="s">
        <v>450</v>
      </c>
      <c r="O3814" s="2" t="s">
        <v>100</v>
      </c>
      <c r="P3814" s="2" t="str">
        <f>"2170580205                    "</f>
        <v xml:space="preserve">2170580205                    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2.83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0</v>
      </c>
      <c r="AV3814" s="2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2">
        <v>0</v>
      </c>
      <c r="BD3814" s="2">
        <v>0</v>
      </c>
      <c r="BE3814" s="2">
        <v>0</v>
      </c>
      <c r="BF3814" s="2">
        <v>0</v>
      </c>
      <c r="BG3814" s="2">
        <v>0</v>
      </c>
      <c r="BH3814" s="2">
        <v>1</v>
      </c>
      <c r="BI3814" s="2">
        <v>2</v>
      </c>
      <c r="BJ3814" s="2">
        <v>0.9</v>
      </c>
      <c r="BK3814" s="2">
        <v>2</v>
      </c>
      <c r="BL3814" s="2">
        <v>32.08</v>
      </c>
      <c r="BM3814" s="2">
        <v>4.49</v>
      </c>
      <c r="BN3814" s="2">
        <v>36.57</v>
      </c>
      <c r="BO3814" s="2">
        <v>36.57</v>
      </c>
      <c r="BP3814" s="2"/>
      <c r="BQ3814" s="2" t="s">
        <v>108</v>
      </c>
      <c r="BR3814" s="2" t="s">
        <v>84</v>
      </c>
      <c r="BS3814" s="3">
        <v>42949</v>
      </c>
      <c r="BT3814" s="4">
        <v>0.37986111111111115</v>
      </c>
      <c r="BU3814" s="2" t="s">
        <v>3668</v>
      </c>
      <c r="BV3814" s="2" t="s">
        <v>95</v>
      </c>
      <c r="BW3814" s="2"/>
      <c r="BX3814" s="2"/>
      <c r="BY3814" s="2">
        <v>4541.1499999999996</v>
      </c>
      <c r="BZ3814" s="2" t="s">
        <v>27</v>
      </c>
      <c r="CA3814" s="2" t="s">
        <v>729</v>
      </c>
      <c r="CB3814" s="2"/>
      <c r="CC3814" s="2" t="s">
        <v>145</v>
      </c>
      <c r="CD3814" s="2">
        <v>2011</v>
      </c>
      <c r="CE3814" s="2" t="s">
        <v>948</v>
      </c>
      <c r="CF3814" s="5">
        <v>42950</v>
      </c>
      <c r="CG3814" s="2"/>
      <c r="CH3814" s="2"/>
      <c r="CI3814" s="2">
        <v>1</v>
      </c>
      <c r="CJ3814" s="2">
        <v>1</v>
      </c>
      <c r="CK3814" s="2">
        <v>22</v>
      </c>
      <c r="CL3814" s="2" t="s">
        <v>86</v>
      </c>
      <c r="CM3814" s="2"/>
    </row>
    <row r="3815" spans="1:91">
      <c r="A3815" s="2" t="s">
        <v>71</v>
      </c>
      <c r="B3815" s="2" t="s">
        <v>72</v>
      </c>
      <c r="C3815" s="2" t="s">
        <v>73</v>
      </c>
      <c r="D3815" s="2"/>
      <c r="E3815" s="2" t="str">
        <f>"FES1162565946"</f>
        <v>FES1162565946</v>
      </c>
      <c r="F3815" s="3">
        <v>42948</v>
      </c>
      <c r="G3815" s="2">
        <v>201802</v>
      </c>
      <c r="H3815" s="2" t="s">
        <v>74</v>
      </c>
      <c r="I3815" s="2" t="s">
        <v>75</v>
      </c>
      <c r="J3815" s="2" t="s">
        <v>76</v>
      </c>
      <c r="K3815" s="2" t="s">
        <v>77</v>
      </c>
      <c r="L3815" s="2" t="s">
        <v>268</v>
      </c>
      <c r="M3815" s="2" t="s">
        <v>269</v>
      </c>
      <c r="N3815" s="2" t="s">
        <v>139</v>
      </c>
      <c r="O3815" s="2" t="s">
        <v>100</v>
      </c>
      <c r="P3815" s="2" t="str">
        <f>"2170582125                    "</f>
        <v xml:space="preserve">2170582125                    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3.63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0</v>
      </c>
      <c r="BC3815" s="2">
        <v>0</v>
      </c>
      <c r="BD3815" s="2">
        <v>0</v>
      </c>
      <c r="BE3815" s="2">
        <v>0</v>
      </c>
      <c r="BF3815" s="2">
        <v>0</v>
      </c>
      <c r="BG3815" s="2">
        <v>0</v>
      </c>
      <c r="BH3815" s="2">
        <v>1</v>
      </c>
      <c r="BI3815" s="2">
        <v>1</v>
      </c>
      <c r="BJ3815" s="2">
        <v>0.2</v>
      </c>
      <c r="BK3815" s="2">
        <v>1</v>
      </c>
      <c r="BL3815" s="2">
        <v>41.07</v>
      </c>
      <c r="BM3815" s="2">
        <v>5.75</v>
      </c>
      <c r="BN3815" s="2">
        <v>46.82</v>
      </c>
      <c r="BO3815" s="2">
        <v>46.82</v>
      </c>
      <c r="BP3815" s="2"/>
      <c r="BQ3815" s="2" t="s">
        <v>1171</v>
      </c>
      <c r="BR3815" s="2" t="s">
        <v>84</v>
      </c>
      <c r="BS3815" s="3">
        <v>42949</v>
      </c>
      <c r="BT3815" s="4">
        <v>0.4152777777777778</v>
      </c>
      <c r="BU3815" s="2" t="s">
        <v>3669</v>
      </c>
      <c r="BV3815" s="2" t="s">
        <v>95</v>
      </c>
      <c r="BW3815" s="2"/>
      <c r="BX3815" s="2"/>
      <c r="BY3815" s="2">
        <v>1200</v>
      </c>
      <c r="BZ3815" s="2" t="s">
        <v>27</v>
      </c>
      <c r="CA3815" s="2" t="s">
        <v>1116</v>
      </c>
      <c r="CB3815" s="2"/>
      <c r="CC3815" s="2" t="s">
        <v>269</v>
      </c>
      <c r="CD3815" s="2">
        <v>157</v>
      </c>
      <c r="CE3815" s="2" t="s">
        <v>3630</v>
      </c>
      <c r="CF3815" s="5">
        <v>42950</v>
      </c>
      <c r="CG3815" s="2"/>
      <c r="CH3815" s="2"/>
      <c r="CI3815" s="2">
        <v>1</v>
      </c>
      <c r="CJ3815" s="2">
        <v>1</v>
      </c>
      <c r="CK3815" s="2">
        <v>21</v>
      </c>
      <c r="CL3815" s="2" t="s">
        <v>86</v>
      </c>
      <c r="CM3815" s="2"/>
    </row>
    <row r="3816" spans="1:91">
      <c r="A3816" s="2" t="s">
        <v>71</v>
      </c>
      <c r="B3816" s="2" t="s">
        <v>72</v>
      </c>
      <c r="C3816" s="2" t="s">
        <v>73</v>
      </c>
      <c r="D3816" s="2"/>
      <c r="E3816" s="2" t="str">
        <f>"FES1162565973"</f>
        <v>FES1162565973</v>
      </c>
      <c r="F3816" s="3">
        <v>42948</v>
      </c>
      <c r="G3816" s="2">
        <v>201802</v>
      </c>
      <c r="H3816" s="2" t="s">
        <v>74</v>
      </c>
      <c r="I3816" s="2" t="s">
        <v>75</v>
      </c>
      <c r="J3816" s="2" t="s">
        <v>76</v>
      </c>
      <c r="K3816" s="2" t="s">
        <v>77</v>
      </c>
      <c r="L3816" s="2" t="s">
        <v>144</v>
      </c>
      <c r="M3816" s="2" t="s">
        <v>145</v>
      </c>
      <c r="N3816" s="2" t="s">
        <v>146</v>
      </c>
      <c r="O3816" s="2" t="s">
        <v>100</v>
      </c>
      <c r="P3816" s="2" t="str">
        <f>"2170582523                    "</f>
        <v xml:space="preserve">2170582523                    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2.83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2">
        <v>0</v>
      </c>
      <c r="BD3816" s="2">
        <v>0</v>
      </c>
      <c r="BE3816" s="2">
        <v>0</v>
      </c>
      <c r="BF3816" s="2">
        <v>0</v>
      </c>
      <c r="BG3816" s="2">
        <v>0</v>
      </c>
      <c r="BH3816" s="2">
        <v>1</v>
      </c>
      <c r="BI3816" s="2">
        <v>7.3</v>
      </c>
      <c r="BJ3816" s="2">
        <v>1</v>
      </c>
      <c r="BK3816" s="2">
        <v>8</v>
      </c>
      <c r="BL3816" s="2">
        <v>32.08</v>
      </c>
      <c r="BM3816" s="2">
        <v>4.49</v>
      </c>
      <c r="BN3816" s="2">
        <v>36.57</v>
      </c>
      <c r="BO3816" s="2">
        <v>36.57</v>
      </c>
      <c r="BP3816" s="2"/>
      <c r="BQ3816" s="2" t="s">
        <v>83</v>
      </c>
      <c r="BR3816" s="2" t="s">
        <v>84</v>
      </c>
      <c r="BS3816" s="3">
        <v>42949</v>
      </c>
      <c r="BT3816" s="4">
        <v>0.3888888888888889</v>
      </c>
      <c r="BU3816" s="2" t="s">
        <v>728</v>
      </c>
      <c r="BV3816" s="2" t="s">
        <v>95</v>
      </c>
      <c r="BW3816" s="2"/>
      <c r="BX3816" s="2"/>
      <c r="BY3816" s="2">
        <v>5066.6000000000004</v>
      </c>
      <c r="BZ3816" s="2" t="s">
        <v>27</v>
      </c>
      <c r="CA3816" s="2" t="s">
        <v>729</v>
      </c>
      <c r="CB3816" s="2"/>
      <c r="CC3816" s="2" t="s">
        <v>145</v>
      </c>
      <c r="CD3816" s="2">
        <v>2094</v>
      </c>
      <c r="CE3816" s="2" t="s">
        <v>89</v>
      </c>
      <c r="CF3816" s="5">
        <v>42950</v>
      </c>
      <c r="CG3816" s="2"/>
      <c r="CH3816" s="2"/>
      <c r="CI3816" s="2">
        <v>1</v>
      </c>
      <c r="CJ3816" s="2">
        <v>1</v>
      </c>
      <c r="CK3816" s="2">
        <v>22</v>
      </c>
      <c r="CL3816" s="2" t="s">
        <v>86</v>
      </c>
      <c r="CM3816" s="2"/>
    </row>
    <row r="3817" spans="1:91">
      <c r="A3817" s="2" t="s">
        <v>71</v>
      </c>
      <c r="B3817" s="2" t="s">
        <v>72</v>
      </c>
      <c r="C3817" s="2" t="s">
        <v>73</v>
      </c>
      <c r="D3817" s="2"/>
      <c r="E3817" s="2" t="str">
        <f>"FES1162565934"</f>
        <v>FES1162565934</v>
      </c>
      <c r="F3817" s="3">
        <v>42948</v>
      </c>
      <c r="G3817" s="2">
        <v>201802</v>
      </c>
      <c r="H3817" s="2" t="s">
        <v>74</v>
      </c>
      <c r="I3817" s="2" t="s">
        <v>75</v>
      </c>
      <c r="J3817" s="2" t="s">
        <v>76</v>
      </c>
      <c r="K3817" s="2" t="s">
        <v>77</v>
      </c>
      <c r="L3817" s="2" t="s">
        <v>306</v>
      </c>
      <c r="M3817" s="2" t="s">
        <v>307</v>
      </c>
      <c r="N3817" s="2" t="s">
        <v>1881</v>
      </c>
      <c r="O3817" s="2" t="s">
        <v>100</v>
      </c>
      <c r="P3817" s="2" t="str">
        <f>"2170579984                    "</f>
        <v xml:space="preserve">2170579984                    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3.63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0</v>
      </c>
      <c r="AU3817" s="2">
        <v>0</v>
      </c>
      <c r="AV3817" s="2">
        <v>0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2">
        <v>0</v>
      </c>
      <c r="BD3817" s="2">
        <v>0</v>
      </c>
      <c r="BE3817" s="2">
        <v>0</v>
      </c>
      <c r="BF3817" s="2">
        <v>0</v>
      </c>
      <c r="BG3817" s="2">
        <v>0</v>
      </c>
      <c r="BH3817" s="2">
        <v>1</v>
      </c>
      <c r="BI3817" s="2">
        <v>1</v>
      </c>
      <c r="BJ3817" s="2">
        <v>0.2</v>
      </c>
      <c r="BK3817" s="2">
        <v>1</v>
      </c>
      <c r="BL3817" s="2">
        <v>41.07</v>
      </c>
      <c r="BM3817" s="2">
        <v>5.75</v>
      </c>
      <c r="BN3817" s="2">
        <v>46.82</v>
      </c>
      <c r="BO3817" s="2">
        <v>46.82</v>
      </c>
      <c r="BP3817" s="2"/>
      <c r="BQ3817" s="2"/>
      <c r="BR3817" s="2" t="s">
        <v>84</v>
      </c>
      <c r="BS3817" s="3">
        <v>42949</v>
      </c>
      <c r="BT3817" s="4">
        <v>0.43472222222222223</v>
      </c>
      <c r="BU3817" s="2" t="s">
        <v>768</v>
      </c>
      <c r="BV3817" s="2" t="s">
        <v>95</v>
      </c>
      <c r="BW3817" s="2"/>
      <c r="BX3817" s="2"/>
      <c r="BY3817" s="2">
        <v>1200</v>
      </c>
      <c r="BZ3817" s="2" t="s">
        <v>27</v>
      </c>
      <c r="CA3817" s="2" t="s">
        <v>951</v>
      </c>
      <c r="CB3817" s="2"/>
      <c r="CC3817" s="2" t="s">
        <v>307</v>
      </c>
      <c r="CD3817" s="2">
        <v>1961</v>
      </c>
      <c r="CE3817" s="2" t="s">
        <v>3630</v>
      </c>
      <c r="CF3817" s="5">
        <v>42950</v>
      </c>
      <c r="CG3817" s="2"/>
      <c r="CH3817" s="2"/>
      <c r="CI3817" s="2">
        <v>1</v>
      </c>
      <c r="CJ3817" s="2">
        <v>1</v>
      </c>
      <c r="CK3817" s="2">
        <v>21</v>
      </c>
      <c r="CL3817" s="2" t="s">
        <v>86</v>
      </c>
      <c r="CM3817" s="2"/>
    </row>
    <row r="3818" spans="1:91">
      <c r="A3818" s="2" t="s">
        <v>71</v>
      </c>
      <c r="B3818" s="2" t="s">
        <v>72</v>
      </c>
      <c r="C3818" s="2" t="s">
        <v>73</v>
      </c>
      <c r="D3818" s="2"/>
      <c r="E3818" s="2" t="str">
        <f>"FES1162565902"</f>
        <v>FES1162565902</v>
      </c>
      <c r="F3818" s="3">
        <v>42948</v>
      </c>
      <c r="G3818" s="2">
        <v>201802</v>
      </c>
      <c r="H3818" s="2" t="s">
        <v>74</v>
      </c>
      <c r="I3818" s="2" t="s">
        <v>75</v>
      </c>
      <c r="J3818" s="2" t="s">
        <v>76</v>
      </c>
      <c r="K3818" s="2" t="s">
        <v>77</v>
      </c>
      <c r="L3818" s="2" t="s">
        <v>105</v>
      </c>
      <c r="M3818" s="2" t="s">
        <v>106</v>
      </c>
      <c r="N3818" s="2" t="s">
        <v>3670</v>
      </c>
      <c r="O3818" s="2" t="s">
        <v>100</v>
      </c>
      <c r="P3818" s="2" t="str">
        <f>"2170589087                    "</f>
        <v xml:space="preserve">2170589087                    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4.53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2">
        <v>0</v>
      </c>
      <c r="BD3818" s="2">
        <v>0</v>
      </c>
      <c r="BE3818" s="2">
        <v>0</v>
      </c>
      <c r="BF3818" s="2">
        <v>0</v>
      </c>
      <c r="BG3818" s="2">
        <v>0</v>
      </c>
      <c r="BH3818" s="2">
        <v>1</v>
      </c>
      <c r="BI3818" s="2">
        <v>2.2999999999999998</v>
      </c>
      <c r="BJ3818" s="2">
        <v>1.9</v>
      </c>
      <c r="BK3818" s="2">
        <v>2.5</v>
      </c>
      <c r="BL3818" s="2">
        <v>51.33</v>
      </c>
      <c r="BM3818" s="2">
        <v>7.19</v>
      </c>
      <c r="BN3818" s="2">
        <v>58.52</v>
      </c>
      <c r="BO3818" s="2">
        <v>58.52</v>
      </c>
      <c r="BP3818" s="2"/>
      <c r="BQ3818" s="2"/>
      <c r="BR3818" s="2" t="s">
        <v>84</v>
      </c>
      <c r="BS3818" s="3">
        <v>42949</v>
      </c>
      <c r="BT3818" s="4">
        <v>0.56458333333333333</v>
      </c>
      <c r="BU3818" s="2" t="s">
        <v>3671</v>
      </c>
      <c r="BV3818" s="2" t="s">
        <v>86</v>
      </c>
      <c r="BW3818" s="2"/>
      <c r="BX3818" s="2"/>
      <c r="BY3818" s="2">
        <v>9728.0400000000009</v>
      </c>
      <c r="BZ3818" s="2" t="s">
        <v>27</v>
      </c>
      <c r="CA3818" s="2" t="s">
        <v>1056</v>
      </c>
      <c r="CB3818" s="2"/>
      <c r="CC3818" s="2" t="s">
        <v>106</v>
      </c>
      <c r="CD3818" s="2">
        <v>7550</v>
      </c>
      <c r="CE3818" s="2" t="s">
        <v>259</v>
      </c>
      <c r="CF3818" s="5">
        <v>42949</v>
      </c>
      <c r="CG3818" s="2"/>
      <c r="CH3818" s="2"/>
      <c r="CI3818" s="2">
        <v>1</v>
      </c>
      <c r="CJ3818" s="2">
        <v>1</v>
      </c>
      <c r="CK3818" s="2">
        <v>21</v>
      </c>
      <c r="CL3818" s="2" t="s">
        <v>86</v>
      </c>
      <c r="CM3818" s="2"/>
    </row>
    <row r="3819" spans="1:91">
      <c r="A3819" s="2" t="s">
        <v>71</v>
      </c>
      <c r="B3819" s="2" t="s">
        <v>72</v>
      </c>
      <c r="C3819" s="2" t="s">
        <v>73</v>
      </c>
      <c r="D3819" s="2"/>
      <c r="E3819" s="2" t="str">
        <f>"FES1162565822"</f>
        <v>FES1162565822</v>
      </c>
      <c r="F3819" s="3">
        <v>42948</v>
      </c>
      <c r="G3819" s="2">
        <v>201802</v>
      </c>
      <c r="H3819" s="2" t="s">
        <v>74</v>
      </c>
      <c r="I3819" s="2" t="s">
        <v>75</v>
      </c>
      <c r="J3819" s="2" t="s">
        <v>76</v>
      </c>
      <c r="K3819" s="2" t="s">
        <v>77</v>
      </c>
      <c r="L3819" s="2" t="s">
        <v>105</v>
      </c>
      <c r="M3819" s="2" t="s">
        <v>106</v>
      </c>
      <c r="N3819" s="2" t="s">
        <v>253</v>
      </c>
      <c r="O3819" s="2" t="s">
        <v>100</v>
      </c>
      <c r="P3819" s="2" t="str">
        <f>"2170581258                    "</f>
        <v xml:space="preserve">2170581258                    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29.02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0</v>
      </c>
      <c r="AV3819" s="2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2">
        <v>0</v>
      </c>
      <c r="BD3819" s="2">
        <v>0</v>
      </c>
      <c r="BE3819" s="2">
        <v>0</v>
      </c>
      <c r="BF3819" s="2">
        <v>0</v>
      </c>
      <c r="BG3819" s="2">
        <v>0</v>
      </c>
      <c r="BH3819" s="2">
        <v>2</v>
      </c>
      <c r="BI3819" s="2">
        <v>15</v>
      </c>
      <c r="BJ3819" s="2">
        <v>15.8</v>
      </c>
      <c r="BK3819" s="2">
        <v>16</v>
      </c>
      <c r="BL3819" s="2">
        <v>328.54</v>
      </c>
      <c r="BM3819" s="2">
        <v>46</v>
      </c>
      <c r="BN3819" s="2">
        <v>374.54</v>
      </c>
      <c r="BO3819" s="2">
        <v>374.54</v>
      </c>
      <c r="BP3819" s="2"/>
      <c r="BQ3819" s="2" t="s">
        <v>1492</v>
      </c>
      <c r="BR3819" s="2" t="s">
        <v>84</v>
      </c>
      <c r="BS3819" s="3">
        <v>42949</v>
      </c>
      <c r="BT3819" s="4">
        <v>0.42222222222222222</v>
      </c>
      <c r="BU3819" s="2" t="s">
        <v>1074</v>
      </c>
      <c r="BV3819" s="2" t="s">
        <v>95</v>
      </c>
      <c r="BW3819" s="2"/>
      <c r="BX3819" s="2"/>
      <c r="BY3819" s="2">
        <v>78876.179999999993</v>
      </c>
      <c r="BZ3819" s="2" t="s">
        <v>27</v>
      </c>
      <c r="CA3819" s="2" t="s">
        <v>654</v>
      </c>
      <c r="CB3819" s="2"/>
      <c r="CC3819" s="2" t="s">
        <v>106</v>
      </c>
      <c r="CD3819" s="2">
        <v>7490</v>
      </c>
      <c r="CE3819" s="2" t="s">
        <v>3672</v>
      </c>
      <c r="CF3819" s="5">
        <v>42950</v>
      </c>
      <c r="CG3819" s="2"/>
      <c r="CH3819" s="2"/>
      <c r="CI3819" s="2">
        <v>1</v>
      </c>
      <c r="CJ3819" s="2">
        <v>1</v>
      </c>
      <c r="CK3819" s="2">
        <v>21</v>
      </c>
      <c r="CL3819" s="2" t="s">
        <v>86</v>
      </c>
      <c r="CM3819" s="2"/>
    </row>
    <row r="3820" spans="1:91">
      <c r="A3820" s="2" t="s">
        <v>71</v>
      </c>
      <c r="B3820" s="2" t="s">
        <v>72</v>
      </c>
      <c r="C3820" s="2" t="s">
        <v>73</v>
      </c>
      <c r="D3820" s="2"/>
      <c r="E3820" s="2" t="str">
        <f>"FES1162566008"</f>
        <v>FES1162566008</v>
      </c>
      <c r="F3820" s="3">
        <v>42948</v>
      </c>
      <c r="G3820" s="2">
        <v>201802</v>
      </c>
      <c r="H3820" s="2" t="s">
        <v>74</v>
      </c>
      <c r="I3820" s="2" t="s">
        <v>75</v>
      </c>
      <c r="J3820" s="2" t="s">
        <v>76</v>
      </c>
      <c r="K3820" s="2" t="s">
        <v>77</v>
      </c>
      <c r="L3820" s="2" t="s">
        <v>244</v>
      </c>
      <c r="M3820" s="2" t="s">
        <v>245</v>
      </c>
      <c r="N3820" s="2" t="s">
        <v>3673</v>
      </c>
      <c r="O3820" s="2" t="s">
        <v>100</v>
      </c>
      <c r="P3820" s="2" t="str">
        <f>"2170580260                    "</f>
        <v xml:space="preserve">2170580260                    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2.83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0</v>
      </c>
      <c r="AV3820" s="2">
        <v>0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2">
        <v>0</v>
      </c>
      <c r="BD3820" s="2">
        <v>0</v>
      </c>
      <c r="BE3820" s="2">
        <v>0</v>
      </c>
      <c r="BF3820" s="2">
        <v>0</v>
      </c>
      <c r="BG3820" s="2">
        <v>0</v>
      </c>
      <c r="BH3820" s="2">
        <v>1</v>
      </c>
      <c r="BI3820" s="2">
        <v>5</v>
      </c>
      <c r="BJ3820" s="2">
        <v>1.7</v>
      </c>
      <c r="BK3820" s="2">
        <v>5</v>
      </c>
      <c r="BL3820" s="2">
        <v>32.08</v>
      </c>
      <c r="BM3820" s="2">
        <v>4.49</v>
      </c>
      <c r="BN3820" s="2">
        <v>36.57</v>
      </c>
      <c r="BO3820" s="2">
        <v>36.57</v>
      </c>
      <c r="BP3820" s="2"/>
      <c r="BQ3820" s="2" t="s">
        <v>3674</v>
      </c>
      <c r="BR3820" s="2" t="s">
        <v>84</v>
      </c>
      <c r="BS3820" s="3">
        <v>42949</v>
      </c>
      <c r="BT3820" s="4">
        <v>0.29444444444444445</v>
      </c>
      <c r="BU3820" s="2" t="s">
        <v>1176</v>
      </c>
      <c r="BV3820" s="2" t="s">
        <v>95</v>
      </c>
      <c r="BW3820" s="2"/>
      <c r="BX3820" s="2"/>
      <c r="BY3820" s="2">
        <v>8441.93</v>
      </c>
      <c r="BZ3820" s="2" t="s">
        <v>27</v>
      </c>
      <c r="CA3820" s="2" t="s">
        <v>499</v>
      </c>
      <c r="CB3820" s="2"/>
      <c r="CC3820" s="2" t="s">
        <v>245</v>
      </c>
      <c r="CD3820" s="2">
        <v>1459</v>
      </c>
      <c r="CE3820" s="2" t="s">
        <v>89</v>
      </c>
      <c r="CF3820" s="5">
        <v>42950</v>
      </c>
      <c r="CG3820" s="2"/>
      <c r="CH3820" s="2"/>
      <c r="CI3820" s="2">
        <v>1</v>
      </c>
      <c r="CJ3820" s="2">
        <v>1</v>
      </c>
      <c r="CK3820" s="2">
        <v>22</v>
      </c>
      <c r="CL3820" s="2" t="s">
        <v>86</v>
      </c>
      <c r="CM3820" s="2"/>
    </row>
    <row r="3821" spans="1:91">
      <c r="A3821" s="2" t="s">
        <v>71</v>
      </c>
      <c r="B3821" s="2" t="s">
        <v>72</v>
      </c>
      <c r="C3821" s="2" t="s">
        <v>73</v>
      </c>
      <c r="D3821" s="2"/>
      <c r="E3821" s="2" t="str">
        <f>"FES1162565821"</f>
        <v>FES1162565821</v>
      </c>
      <c r="F3821" s="3">
        <v>42948</v>
      </c>
      <c r="G3821" s="2">
        <v>201802</v>
      </c>
      <c r="H3821" s="2" t="s">
        <v>74</v>
      </c>
      <c r="I3821" s="2" t="s">
        <v>75</v>
      </c>
      <c r="J3821" s="2" t="s">
        <v>76</v>
      </c>
      <c r="K3821" s="2" t="s">
        <v>77</v>
      </c>
      <c r="L3821" s="2" t="s">
        <v>105</v>
      </c>
      <c r="M3821" s="2" t="s">
        <v>106</v>
      </c>
      <c r="N3821" s="2" t="s">
        <v>253</v>
      </c>
      <c r="O3821" s="2" t="s">
        <v>100</v>
      </c>
      <c r="P3821" s="2" t="str">
        <f>"2170581254                    "</f>
        <v xml:space="preserve">2170581254                    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4.53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0</v>
      </c>
      <c r="AV3821" s="2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2">
        <v>0</v>
      </c>
      <c r="BD3821" s="2">
        <v>0</v>
      </c>
      <c r="BE3821" s="2">
        <v>0</v>
      </c>
      <c r="BF3821" s="2">
        <v>0</v>
      </c>
      <c r="BG3821" s="2">
        <v>0</v>
      </c>
      <c r="BH3821" s="2">
        <v>1</v>
      </c>
      <c r="BI3821" s="2">
        <v>2.4</v>
      </c>
      <c r="BJ3821" s="2">
        <v>1.4</v>
      </c>
      <c r="BK3821" s="2">
        <v>2.5</v>
      </c>
      <c r="BL3821" s="2">
        <v>51.33</v>
      </c>
      <c r="BM3821" s="2">
        <v>7.19</v>
      </c>
      <c r="BN3821" s="2">
        <v>58.52</v>
      </c>
      <c r="BO3821" s="2">
        <v>58.52</v>
      </c>
      <c r="BP3821" s="2"/>
      <c r="BQ3821" s="2" t="s">
        <v>1492</v>
      </c>
      <c r="BR3821" s="2" t="s">
        <v>84</v>
      </c>
      <c r="BS3821" s="3">
        <v>42949</v>
      </c>
      <c r="BT3821" s="4">
        <v>0.42222222222222222</v>
      </c>
      <c r="BU3821" s="2" t="s">
        <v>1074</v>
      </c>
      <c r="BV3821" s="2" t="s">
        <v>95</v>
      </c>
      <c r="BW3821" s="2"/>
      <c r="BX3821" s="2"/>
      <c r="BY3821" s="2">
        <v>7010.39</v>
      </c>
      <c r="BZ3821" s="2" t="s">
        <v>27</v>
      </c>
      <c r="CA3821" s="2" t="s">
        <v>654</v>
      </c>
      <c r="CB3821" s="2"/>
      <c r="CC3821" s="2" t="s">
        <v>106</v>
      </c>
      <c r="CD3821" s="2">
        <v>7490</v>
      </c>
      <c r="CE3821" s="2" t="s">
        <v>259</v>
      </c>
      <c r="CF3821" s="5">
        <v>42950</v>
      </c>
      <c r="CG3821" s="2"/>
      <c r="CH3821" s="2"/>
      <c r="CI3821" s="2">
        <v>1</v>
      </c>
      <c r="CJ3821" s="2">
        <v>1</v>
      </c>
      <c r="CK3821" s="2">
        <v>21</v>
      </c>
      <c r="CL3821" s="2" t="s">
        <v>86</v>
      </c>
      <c r="CM3821" s="2"/>
    </row>
    <row r="3822" spans="1:91">
      <c r="A3822" s="2" t="s">
        <v>71</v>
      </c>
      <c r="B3822" s="2" t="s">
        <v>72</v>
      </c>
      <c r="C3822" s="2" t="s">
        <v>73</v>
      </c>
      <c r="D3822" s="2"/>
      <c r="E3822" s="2" t="str">
        <f>"FES1162565871"</f>
        <v>FES1162565871</v>
      </c>
      <c r="F3822" s="3">
        <v>42948</v>
      </c>
      <c r="G3822" s="2">
        <v>201802</v>
      </c>
      <c r="H3822" s="2" t="s">
        <v>74</v>
      </c>
      <c r="I3822" s="2" t="s">
        <v>75</v>
      </c>
      <c r="J3822" s="2" t="s">
        <v>76</v>
      </c>
      <c r="K3822" s="2" t="s">
        <v>77</v>
      </c>
      <c r="L3822" s="2" t="s">
        <v>339</v>
      </c>
      <c r="M3822" s="2" t="s">
        <v>340</v>
      </c>
      <c r="N3822" s="2" t="s">
        <v>613</v>
      </c>
      <c r="O3822" s="2" t="s">
        <v>100</v>
      </c>
      <c r="P3822" s="2" t="str">
        <f>"2170580445                    "</f>
        <v xml:space="preserve">2170580445                    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3.63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2">
        <v>0</v>
      </c>
      <c r="BD3822" s="2">
        <v>0</v>
      </c>
      <c r="BE3822" s="2">
        <v>0</v>
      </c>
      <c r="BF3822" s="2">
        <v>0</v>
      </c>
      <c r="BG3822" s="2">
        <v>0</v>
      </c>
      <c r="BH3822" s="2">
        <v>1</v>
      </c>
      <c r="BI3822" s="2">
        <v>2</v>
      </c>
      <c r="BJ3822" s="2">
        <v>1</v>
      </c>
      <c r="BK3822" s="2">
        <v>2</v>
      </c>
      <c r="BL3822" s="2">
        <v>41.07</v>
      </c>
      <c r="BM3822" s="2">
        <v>5.75</v>
      </c>
      <c r="BN3822" s="2">
        <v>46.82</v>
      </c>
      <c r="BO3822" s="2">
        <v>46.82</v>
      </c>
      <c r="BP3822" s="2"/>
      <c r="BQ3822" s="2" t="s">
        <v>365</v>
      </c>
      <c r="BR3822" s="2" t="s">
        <v>84</v>
      </c>
      <c r="BS3822" s="3">
        <v>42949</v>
      </c>
      <c r="BT3822" s="4">
        <v>0.55555555555555558</v>
      </c>
      <c r="BU3822" s="2" t="s">
        <v>3675</v>
      </c>
      <c r="BV3822" s="2" t="s">
        <v>86</v>
      </c>
      <c r="BW3822" s="2"/>
      <c r="BX3822" s="2"/>
      <c r="BY3822" s="2">
        <v>4961.28</v>
      </c>
      <c r="BZ3822" s="2" t="s">
        <v>27</v>
      </c>
      <c r="CA3822" s="2" t="s">
        <v>148</v>
      </c>
      <c r="CB3822" s="2"/>
      <c r="CC3822" s="2" t="s">
        <v>340</v>
      </c>
      <c r="CD3822" s="2">
        <v>1947</v>
      </c>
      <c r="CE3822" s="2" t="s">
        <v>259</v>
      </c>
      <c r="CF3822" s="5">
        <v>42950</v>
      </c>
      <c r="CG3822" s="2"/>
      <c r="CH3822" s="2"/>
      <c r="CI3822" s="2">
        <v>1</v>
      </c>
      <c r="CJ3822" s="2">
        <v>1</v>
      </c>
      <c r="CK3822" s="2">
        <v>21</v>
      </c>
      <c r="CL3822" s="2" t="s">
        <v>86</v>
      </c>
      <c r="CM3822" s="2"/>
    </row>
    <row r="3823" spans="1:91">
      <c r="A3823" s="2" t="s">
        <v>71</v>
      </c>
      <c r="B3823" s="2" t="s">
        <v>72</v>
      </c>
      <c r="C3823" s="2" t="s">
        <v>73</v>
      </c>
      <c r="D3823" s="2"/>
      <c r="E3823" s="2" t="str">
        <f>"FES1162565809"</f>
        <v>FES1162565809</v>
      </c>
      <c r="F3823" s="3">
        <v>42948</v>
      </c>
      <c r="G3823" s="2">
        <v>201802</v>
      </c>
      <c r="H3823" s="2" t="s">
        <v>74</v>
      </c>
      <c r="I3823" s="2" t="s">
        <v>75</v>
      </c>
      <c r="J3823" s="2" t="s">
        <v>76</v>
      </c>
      <c r="K3823" s="2" t="s">
        <v>77</v>
      </c>
      <c r="L3823" s="2" t="s">
        <v>417</v>
      </c>
      <c r="M3823" s="2" t="s">
        <v>417</v>
      </c>
      <c r="N3823" s="2" t="s">
        <v>2774</v>
      </c>
      <c r="O3823" s="2" t="s">
        <v>100</v>
      </c>
      <c r="P3823" s="2" t="str">
        <f>"2170582314                    "</f>
        <v xml:space="preserve">2170582314                    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3.63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0</v>
      </c>
      <c r="AV3823" s="2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2">
        <v>0</v>
      </c>
      <c r="BD3823" s="2">
        <v>0</v>
      </c>
      <c r="BE3823" s="2">
        <v>0</v>
      </c>
      <c r="BF3823" s="2">
        <v>0</v>
      </c>
      <c r="BG3823" s="2">
        <v>0</v>
      </c>
      <c r="BH3823" s="2">
        <v>1</v>
      </c>
      <c r="BI3823" s="2">
        <v>1</v>
      </c>
      <c r="BJ3823" s="2">
        <v>1</v>
      </c>
      <c r="BK3823" s="2">
        <v>1</v>
      </c>
      <c r="BL3823" s="2">
        <v>41.07</v>
      </c>
      <c r="BM3823" s="2">
        <v>5.75</v>
      </c>
      <c r="BN3823" s="2">
        <v>46.82</v>
      </c>
      <c r="BO3823" s="2">
        <v>46.82</v>
      </c>
      <c r="BP3823" s="2"/>
      <c r="BQ3823" s="2" t="s">
        <v>3676</v>
      </c>
      <c r="BR3823" s="2" t="s">
        <v>84</v>
      </c>
      <c r="BS3823" s="3">
        <v>42949</v>
      </c>
      <c r="BT3823" s="4">
        <v>9.4444444444444442E-2</v>
      </c>
      <c r="BU3823" s="2" t="s">
        <v>3677</v>
      </c>
      <c r="BV3823" s="2" t="s">
        <v>95</v>
      </c>
      <c r="BW3823" s="2"/>
      <c r="BX3823" s="2"/>
      <c r="BY3823" s="2">
        <v>5007.74</v>
      </c>
      <c r="BZ3823" s="2" t="s">
        <v>27</v>
      </c>
      <c r="CA3823" s="2" t="s">
        <v>148</v>
      </c>
      <c r="CB3823" s="2"/>
      <c r="CC3823" s="2" t="s">
        <v>417</v>
      </c>
      <c r="CD3823" s="2">
        <v>7646</v>
      </c>
      <c r="CE3823" s="2" t="s">
        <v>259</v>
      </c>
      <c r="CF3823" s="5">
        <v>42949</v>
      </c>
      <c r="CG3823" s="2"/>
      <c r="CH3823" s="2"/>
      <c r="CI3823" s="2">
        <v>1</v>
      </c>
      <c r="CJ3823" s="2">
        <v>1</v>
      </c>
      <c r="CK3823" s="2">
        <v>21</v>
      </c>
      <c r="CL3823" s="2" t="s">
        <v>86</v>
      </c>
      <c r="CM3823" s="2"/>
    </row>
    <row r="3824" spans="1:91">
      <c r="A3824" s="2" t="s">
        <v>71</v>
      </c>
      <c r="B3824" s="2" t="s">
        <v>72</v>
      </c>
      <c r="C3824" s="2" t="s">
        <v>73</v>
      </c>
      <c r="D3824" s="2"/>
      <c r="E3824" s="2" t="str">
        <f>"FES1162565852"</f>
        <v>FES1162565852</v>
      </c>
      <c r="F3824" s="3">
        <v>42948</v>
      </c>
      <c r="G3824" s="2">
        <v>201802</v>
      </c>
      <c r="H3824" s="2" t="s">
        <v>74</v>
      </c>
      <c r="I3824" s="2" t="s">
        <v>75</v>
      </c>
      <c r="J3824" s="2" t="s">
        <v>76</v>
      </c>
      <c r="K3824" s="2" t="s">
        <v>77</v>
      </c>
      <c r="L3824" s="2" t="s">
        <v>244</v>
      </c>
      <c r="M3824" s="2" t="s">
        <v>245</v>
      </c>
      <c r="N3824" s="2" t="s">
        <v>918</v>
      </c>
      <c r="O3824" s="2" t="s">
        <v>100</v>
      </c>
      <c r="P3824" s="2" t="str">
        <f>"2170580037                    "</f>
        <v xml:space="preserve">2170580037                    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2.83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2">
        <v>0</v>
      </c>
      <c r="BD3824" s="2">
        <v>0</v>
      </c>
      <c r="BE3824" s="2">
        <v>0</v>
      </c>
      <c r="BF3824" s="2">
        <v>0</v>
      </c>
      <c r="BG3824" s="2">
        <v>0</v>
      </c>
      <c r="BH3824" s="2">
        <v>1</v>
      </c>
      <c r="BI3824" s="2">
        <v>1</v>
      </c>
      <c r="BJ3824" s="2">
        <v>0.2</v>
      </c>
      <c r="BK3824" s="2">
        <v>1</v>
      </c>
      <c r="BL3824" s="2">
        <v>32.08</v>
      </c>
      <c r="BM3824" s="2">
        <v>4.49</v>
      </c>
      <c r="BN3824" s="2">
        <v>36.57</v>
      </c>
      <c r="BO3824" s="2">
        <v>36.57</v>
      </c>
      <c r="BP3824" s="2"/>
      <c r="BQ3824" s="2" t="s">
        <v>3678</v>
      </c>
      <c r="BR3824" s="2" t="s">
        <v>84</v>
      </c>
      <c r="BS3824" s="3">
        <v>42949</v>
      </c>
      <c r="BT3824" s="4">
        <v>0.3430555555555555</v>
      </c>
      <c r="BU3824" s="2" t="s">
        <v>919</v>
      </c>
      <c r="BV3824" s="2" t="s">
        <v>95</v>
      </c>
      <c r="BW3824" s="2"/>
      <c r="BX3824" s="2"/>
      <c r="BY3824" s="2">
        <v>1200</v>
      </c>
      <c r="BZ3824" s="2" t="s">
        <v>27</v>
      </c>
      <c r="CA3824" s="2" t="s">
        <v>499</v>
      </c>
      <c r="CB3824" s="2"/>
      <c r="CC3824" s="2" t="s">
        <v>245</v>
      </c>
      <c r="CD3824" s="2">
        <v>1459</v>
      </c>
      <c r="CE3824" s="2" t="s">
        <v>104</v>
      </c>
      <c r="CF3824" s="5">
        <v>42950</v>
      </c>
      <c r="CG3824" s="2"/>
      <c r="CH3824" s="2"/>
      <c r="CI3824" s="2">
        <v>1</v>
      </c>
      <c r="CJ3824" s="2">
        <v>1</v>
      </c>
      <c r="CK3824" s="2">
        <v>22</v>
      </c>
      <c r="CL3824" s="2" t="s">
        <v>86</v>
      </c>
      <c r="CM3824" s="2"/>
    </row>
    <row r="3825" spans="1:91">
      <c r="A3825" s="2" t="s">
        <v>71</v>
      </c>
      <c r="B3825" s="2" t="s">
        <v>72</v>
      </c>
      <c r="C3825" s="2" t="s">
        <v>73</v>
      </c>
      <c r="D3825" s="2"/>
      <c r="E3825" s="2" t="str">
        <f>"FES1162565898"</f>
        <v>FES1162565898</v>
      </c>
      <c r="F3825" s="3">
        <v>42948</v>
      </c>
      <c r="G3825" s="2">
        <v>201802</v>
      </c>
      <c r="H3825" s="2" t="s">
        <v>74</v>
      </c>
      <c r="I3825" s="2" t="s">
        <v>75</v>
      </c>
      <c r="J3825" s="2" t="s">
        <v>76</v>
      </c>
      <c r="K3825" s="2" t="s">
        <v>77</v>
      </c>
      <c r="L3825" s="2" t="s">
        <v>105</v>
      </c>
      <c r="M3825" s="2" t="s">
        <v>106</v>
      </c>
      <c r="N3825" s="2" t="s">
        <v>644</v>
      </c>
      <c r="O3825" s="2" t="s">
        <v>100</v>
      </c>
      <c r="P3825" s="2" t="str">
        <f>"2170582465                    "</f>
        <v xml:space="preserve">2170582465                    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3.63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0</v>
      </c>
      <c r="AV3825" s="2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2">
        <v>0</v>
      </c>
      <c r="BD3825" s="2">
        <v>0</v>
      </c>
      <c r="BE3825" s="2">
        <v>0</v>
      </c>
      <c r="BF3825" s="2">
        <v>0</v>
      </c>
      <c r="BG3825" s="2">
        <v>0</v>
      </c>
      <c r="BH3825" s="2">
        <v>1</v>
      </c>
      <c r="BI3825" s="2">
        <v>1</v>
      </c>
      <c r="BJ3825" s="2">
        <v>1.1000000000000001</v>
      </c>
      <c r="BK3825" s="2">
        <v>1.5</v>
      </c>
      <c r="BL3825" s="2">
        <v>41.07</v>
      </c>
      <c r="BM3825" s="2">
        <v>5.75</v>
      </c>
      <c r="BN3825" s="2">
        <v>46.82</v>
      </c>
      <c r="BO3825" s="2">
        <v>46.82</v>
      </c>
      <c r="BP3825" s="2"/>
      <c r="BQ3825" s="2" t="s">
        <v>108</v>
      </c>
      <c r="BR3825" s="2" t="s">
        <v>84</v>
      </c>
      <c r="BS3825" s="3">
        <v>42949</v>
      </c>
      <c r="BT3825" s="4">
        <v>0.4375</v>
      </c>
      <c r="BU3825" s="2" t="s">
        <v>2012</v>
      </c>
      <c r="BV3825" s="2" t="s">
        <v>95</v>
      </c>
      <c r="BW3825" s="2"/>
      <c r="BX3825" s="2"/>
      <c r="BY3825" s="2">
        <v>5276.45</v>
      </c>
      <c r="BZ3825" s="2" t="s">
        <v>27</v>
      </c>
      <c r="CA3825" s="2" t="s">
        <v>856</v>
      </c>
      <c r="CB3825" s="2"/>
      <c r="CC3825" s="2" t="s">
        <v>106</v>
      </c>
      <c r="CD3825" s="2">
        <v>7441</v>
      </c>
      <c r="CE3825" s="2" t="s">
        <v>259</v>
      </c>
      <c r="CF3825" s="5">
        <v>42950</v>
      </c>
      <c r="CG3825" s="2"/>
      <c r="CH3825" s="2"/>
      <c r="CI3825" s="2">
        <v>1</v>
      </c>
      <c r="CJ3825" s="2">
        <v>1</v>
      </c>
      <c r="CK3825" s="2">
        <v>21</v>
      </c>
      <c r="CL3825" s="2" t="s">
        <v>86</v>
      </c>
      <c r="CM3825" s="2"/>
    </row>
    <row r="3826" spans="1:91">
      <c r="A3826" s="2" t="s">
        <v>71</v>
      </c>
      <c r="B3826" s="2" t="s">
        <v>72</v>
      </c>
      <c r="C3826" s="2" t="s">
        <v>73</v>
      </c>
      <c r="D3826" s="2"/>
      <c r="E3826" s="2" t="str">
        <f>"FES1162565896"</f>
        <v>FES1162565896</v>
      </c>
      <c r="F3826" s="3">
        <v>42948</v>
      </c>
      <c r="G3826" s="2">
        <v>201802</v>
      </c>
      <c r="H3826" s="2" t="s">
        <v>74</v>
      </c>
      <c r="I3826" s="2" t="s">
        <v>75</v>
      </c>
      <c r="J3826" s="2" t="s">
        <v>76</v>
      </c>
      <c r="K3826" s="2" t="s">
        <v>77</v>
      </c>
      <c r="L3826" s="2" t="s">
        <v>128</v>
      </c>
      <c r="M3826" s="2" t="s">
        <v>129</v>
      </c>
      <c r="N3826" s="2" t="s">
        <v>2298</v>
      </c>
      <c r="O3826" s="2" t="s">
        <v>100</v>
      </c>
      <c r="P3826" s="2" t="str">
        <f>"2170582463                    "</f>
        <v xml:space="preserve">2170582463                    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2.83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2">
        <v>0</v>
      </c>
      <c r="BD3826" s="2">
        <v>0</v>
      </c>
      <c r="BE3826" s="2">
        <v>0</v>
      </c>
      <c r="BF3826" s="2">
        <v>0</v>
      </c>
      <c r="BG3826" s="2">
        <v>0</v>
      </c>
      <c r="BH3826" s="2">
        <v>1</v>
      </c>
      <c r="BI3826" s="2">
        <v>1</v>
      </c>
      <c r="BJ3826" s="2">
        <v>0.2</v>
      </c>
      <c r="BK3826" s="2">
        <v>1</v>
      </c>
      <c r="BL3826" s="2">
        <v>32.08</v>
      </c>
      <c r="BM3826" s="2">
        <v>4.49</v>
      </c>
      <c r="BN3826" s="2">
        <v>36.57</v>
      </c>
      <c r="BO3826" s="2">
        <v>36.57</v>
      </c>
      <c r="BP3826" s="2"/>
      <c r="BQ3826" s="2" t="s">
        <v>2299</v>
      </c>
      <c r="BR3826" s="2" t="s">
        <v>84</v>
      </c>
      <c r="BS3826" s="3">
        <v>42949</v>
      </c>
      <c r="BT3826" s="4">
        <v>0.39166666666666666</v>
      </c>
      <c r="BU3826" s="2" t="s">
        <v>2300</v>
      </c>
      <c r="BV3826" s="2" t="s">
        <v>95</v>
      </c>
      <c r="BW3826" s="2"/>
      <c r="BX3826" s="2"/>
      <c r="BY3826" s="2">
        <v>1200</v>
      </c>
      <c r="BZ3826" s="2" t="s">
        <v>27</v>
      </c>
      <c r="CA3826" s="2" t="s">
        <v>923</v>
      </c>
      <c r="CB3826" s="2"/>
      <c r="CC3826" s="2" t="s">
        <v>129</v>
      </c>
      <c r="CD3826" s="2">
        <v>1709</v>
      </c>
      <c r="CE3826" s="2" t="s">
        <v>104</v>
      </c>
      <c r="CF3826" s="5">
        <v>42950</v>
      </c>
      <c r="CG3826" s="2"/>
      <c r="CH3826" s="2"/>
      <c r="CI3826" s="2">
        <v>1</v>
      </c>
      <c r="CJ3826" s="2">
        <v>1</v>
      </c>
      <c r="CK3826" s="2">
        <v>22</v>
      </c>
      <c r="CL3826" s="2" t="s">
        <v>86</v>
      </c>
      <c r="CM3826" s="2"/>
    </row>
    <row r="3827" spans="1:91">
      <c r="A3827" s="2" t="s">
        <v>71</v>
      </c>
      <c r="B3827" s="2" t="s">
        <v>72</v>
      </c>
      <c r="C3827" s="2" t="s">
        <v>73</v>
      </c>
      <c r="D3827" s="2"/>
      <c r="E3827" s="2" t="str">
        <f>"FES1162565923"</f>
        <v>FES1162565923</v>
      </c>
      <c r="F3827" s="3">
        <v>42948</v>
      </c>
      <c r="G3827" s="2">
        <v>201802</v>
      </c>
      <c r="H3827" s="2" t="s">
        <v>74</v>
      </c>
      <c r="I3827" s="2" t="s">
        <v>75</v>
      </c>
      <c r="J3827" s="2" t="s">
        <v>76</v>
      </c>
      <c r="K3827" s="2" t="s">
        <v>77</v>
      </c>
      <c r="L3827" s="2" t="s">
        <v>105</v>
      </c>
      <c r="M3827" s="2" t="s">
        <v>106</v>
      </c>
      <c r="N3827" s="2" t="s">
        <v>867</v>
      </c>
      <c r="O3827" s="2" t="s">
        <v>100</v>
      </c>
      <c r="P3827" s="2" t="str">
        <f>"2170582499                    "</f>
        <v xml:space="preserve">2170582499                    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13.6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2">
        <v>0</v>
      </c>
      <c r="BD3827" s="2">
        <v>0</v>
      </c>
      <c r="BE3827" s="2">
        <v>0</v>
      </c>
      <c r="BF3827" s="2">
        <v>0</v>
      </c>
      <c r="BG3827" s="2">
        <v>0</v>
      </c>
      <c r="BH3827" s="2">
        <v>1</v>
      </c>
      <c r="BI3827" s="2">
        <v>7.1</v>
      </c>
      <c r="BJ3827" s="2">
        <v>3.5</v>
      </c>
      <c r="BK3827" s="2">
        <v>7.5</v>
      </c>
      <c r="BL3827" s="2">
        <v>154</v>
      </c>
      <c r="BM3827" s="2">
        <v>21.56</v>
      </c>
      <c r="BN3827" s="2">
        <v>175.56</v>
      </c>
      <c r="BO3827" s="2">
        <v>175.56</v>
      </c>
      <c r="BP3827" s="2"/>
      <c r="BQ3827" s="2" t="s">
        <v>1877</v>
      </c>
      <c r="BR3827" s="2" t="s">
        <v>84</v>
      </c>
      <c r="BS3827" s="3">
        <v>42949</v>
      </c>
      <c r="BT3827" s="4">
        <v>0.34166666666666662</v>
      </c>
      <c r="BU3827" s="2" t="s">
        <v>3679</v>
      </c>
      <c r="BV3827" s="2" t="s">
        <v>95</v>
      </c>
      <c r="BW3827" s="2"/>
      <c r="BX3827" s="2"/>
      <c r="BY3827" s="2">
        <v>17475.689999999999</v>
      </c>
      <c r="BZ3827" s="2" t="s">
        <v>27</v>
      </c>
      <c r="CA3827" s="2" t="s">
        <v>3178</v>
      </c>
      <c r="CB3827" s="2"/>
      <c r="CC3827" s="2" t="s">
        <v>106</v>
      </c>
      <c r="CD3827" s="2">
        <v>7460</v>
      </c>
      <c r="CE3827" s="2" t="s">
        <v>89</v>
      </c>
      <c r="CF3827" s="5">
        <v>42950</v>
      </c>
      <c r="CG3827" s="2"/>
      <c r="CH3827" s="2"/>
      <c r="CI3827" s="2">
        <v>1</v>
      </c>
      <c r="CJ3827" s="2">
        <v>1</v>
      </c>
      <c r="CK3827" s="2">
        <v>21</v>
      </c>
      <c r="CL3827" s="2" t="s">
        <v>86</v>
      </c>
      <c r="CM3827" s="2"/>
    </row>
    <row r="3828" spans="1:91">
      <c r="A3828" s="2" t="s">
        <v>71</v>
      </c>
      <c r="B3828" s="2" t="s">
        <v>72</v>
      </c>
      <c r="C3828" s="2" t="s">
        <v>73</v>
      </c>
      <c r="D3828" s="2"/>
      <c r="E3828" s="2" t="str">
        <f>"FES1162565941"</f>
        <v>FES1162565941</v>
      </c>
      <c r="F3828" s="3">
        <v>42948</v>
      </c>
      <c r="G3828" s="2">
        <v>201802</v>
      </c>
      <c r="H3828" s="2" t="s">
        <v>74</v>
      </c>
      <c r="I3828" s="2" t="s">
        <v>75</v>
      </c>
      <c r="J3828" s="2" t="s">
        <v>76</v>
      </c>
      <c r="K3828" s="2" t="s">
        <v>77</v>
      </c>
      <c r="L3828" s="2" t="s">
        <v>144</v>
      </c>
      <c r="M3828" s="2" t="s">
        <v>145</v>
      </c>
      <c r="N3828" s="2" t="s">
        <v>146</v>
      </c>
      <c r="O3828" s="2" t="s">
        <v>100</v>
      </c>
      <c r="P3828" s="2" t="str">
        <f>"2170580380                    "</f>
        <v xml:space="preserve">2170580380                    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2.83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2">
        <v>0</v>
      </c>
      <c r="BD3828" s="2">
        <v>0</v>
      </c>
      <c r="BE3828" s="2">
        <v>0</v>
      </c>
      <c r="BF3828" s="2">
        <v>0</v>
      </c>
      <c r="BG3828" s="2">
        <v>0</v>
      </c>
      <c r="BH3828" s="2">
        <v>1</v>
      </c>
      <c r="BI3828" s="2">
        <v>1.1000000000000001</v>
      </c>
      <c r="BJ3828" s="2">
        <v>1.9</v>
      </c>
      <c r="BK3828" s="2">
        <v>2</v>
      </c>
      <c r="BL3828" s="2">
        <v>32.08</v>
      </c>
      <c r="BM3828" s="2">
        <v>4.49</v>
      </c>
      <c r="BN3828" s="2">
        <v>36.57</v>
      </c>
      <c r="BO3828" s="2">
        <v>36.57</v>
      </c>
      <c r="BP3828" s="2"/>
      <c r="BQ3828" s="2" t="s">
        <v>83</v>
      </c>
      <c r="BR3828" s="2" t="s">
        <v>84</v>
      </c>
      <c r="BS3828" s="3">
        <v>42949</v>
      </c>
      <c r="BT3828" s="4">
        <v>0.3888888888888889</v>
      </c>
      <c r="BU3828" s="2" t="s">
        <v>728</v>
      </c>
      <c r="BV3828" s="2" t="s">
        <v>95</v>
      </c>
      <c r="BW3828" s="2"/>
      <c r="BX3828" s="2"/>
      <c r="BY3828" s="2">
        <v>9330.73</v>
      </c>
      <c r="BZ3828" s="2" t="s">
        <v>27</v>
      </c>
      <c r="CA3828" s="2" t="s">
        <v>729</v>
      </c>
      <c r="CB3828" s="2"/>
      <c r="CC3828" s="2" t="s">
        <v>145</v>
      </c>
      <c r="CD3828" s="2">
        <v>2094</v>
      </c>
      <c r="CE3828" s="2" t="s">
        <v>104</v>
      </c>
      <c r="CF3828" s="5">
        <v>42950</v>
      </c>
      <c r="CG3828" s="2"/>
      <c r="CH3828" s="2"/>
      <c r="CI3828" s="2">
        <v>1</v>
      </c>
      <c r="CJ3828" s="2">
        <v>1</v>
      </c>
      <c r="CK3828" s="2">
        <v>22</v>
      </c>
      <c r="CL3828" s="2" t="s">
        <v>86</v>
      </c>
      <c r="CM3828" s="2"/>
    </row>
    <row r="3829" spans="1:91">
      <c r="A3829" s="2" t="s">
        <v>71</v>
      </c>
      <c r="B3829" s="2" t="s">
        <v>72</v>
      </c>
      <c r="C3829" s="2" t="s">
        <v>73</v>
      </c>
      <c r="D3829" s="2"/>
      <c r="E3829" s="2" t="str">
        <f>"FES1162565886"</f>
        <v>FES1162565886</v>
      </c>
      <c r="F3829" s="3">
        <v>42948</v>
      </c>
      <c r="G3829" s="2">
        <v>201802</v>
      </c>
      <c r="H3829" s="2" t="s">
        <v>74</v>
      </c>
      <c r="I3829" s="2" t="s">
        <v>75</v>
      </c>
      <c r="J3829" s="2" t="s">
        <v>76</v>
      </c>
      <c r="K3829" s="2" t="s">
        <v>77</v>
      </c>
      <c r="L3829" s="2" t="s">
        <v>78</v>
      </c>
      <c r="M3829" s="2" t="s">
        <v>79</v>
      </c>
      <c r="N3829" s="2" t="s">
        <v>3680</v>
      </c>
      <c r="O3829" s="2" t="s">
        <v>100</v>
      </c>
      <c r="P3829" s="2" t="str">
        <f>"2170582449                    "</f>
        <v xml:space="preserve">2170582449                    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3.63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0</v>
      </c>
      <c r="AV3829" s="2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2">
        <v>0</v>
      </c>
      <c r="BD3829" s="2">
        <v>0</v>
      </c>
      <c r="BE3829" s="2">
        <v>0</v>
      </c>
      <c r="BF3829" s="2">
        <v>0</v>
      </c>
      <c r="BG3829" s="2">
        <v>0</v>
      </c>
      <c r="BH3829" s="2">
        <v>1</v>
      </c>
      <c r="BI3829" s="2">
        <v>1</v>
      </c>
      <c r="BJ3829" s="2">
        <v>0.2</v>
      </c>
      <c r="BK3829" s="2">
        <v>1</v>
      </c>
      <c r="BL3829" s="2">
        <v>41.07</v>
      </c>
      <c r="BM3829" s="2">
        <v>5.75</v>
      </c>
      <c r="BN3829" s="2">
        <v>46.82</v>
      </c>
      <c r="BO3829" s="2">
        <v>46.82</v>
      </c>
      <c r="BP3829" s="2"/>
      <c r="BQ3829" s="2"/>
      <c r="BR3829" s="2" t="s">
        <v>84</v>
      </c>
      <c r="BS3829" s="3">
        <v>42949</v>
      </c>
      <c r="BT3829" s="4">
        <v>0.41666666666666669</v>
      </c>
      <c r="BU3829" s="2" t="s">
        <v>3183</v>
      </c>
      <c r="BV3829" s="2" t="s">
        <v>95</v>
      </c>
      <c r="BW3829" s="2"/>
      <c r="BX3829" s="2"/>
      <c r="BY3829" s="2">
        <v>1200</v>
      </c>
      <c r="BZ3829" s="2" t="s">
        <v>27</v>
      </c>
      <c r="CA3829" s="2" t="s">
        <v>3681</v>
      </c>
      <c r="CB3829" s="2"/>
      <c r="CC3829" s="2" t="s">
        <v>79</v>
      </c>
      <c r="CD3829" s="2">
        <v>9300</v>
      </c>
      <c r="CE3829" s="2" t="s">
        <v>104</v>
      </c>
      <c r="CF3829" s="5">
        <v>42950</v>
      </c>
      <c r="CG3829" s="2"/>
      <c r="CH3829" s="2"/>
      <c r="CI3829" s="2">
        <v>1</v>
      </c>
      <c r="CJ3829" s="2">
        <v>1</v>
      </c>
      <c r="CK3829" s="2">
        <v>21</v>
      </c>
      <c r="CL3829" s="2" t="s">
        <v>86</v>
      </c>
      <c r="CM3829" s="2"/>
    </row>
    <row r="3830" spans="1:91">
      <c r="A3830" s="2" t="s">
        <v>71</v>
      </c>
      <c r="B3830" s="2" t="s">
        <v>72</v>
      </c>
      <c r="C3830" s="2" t="s">
        <v>73</v>
      </c>
      <c r="D3830" s="2"/>
      <c r="E3830" s="2" t="str">
        <f>"FES1162565920"</f>
        <v>FES1162565920</v>
      </c>
      <c r="F3830" s="3">
        <v>42948</v>
      </c>
      <c r="G3830" s="2">
        <v>201802</v>
      </c>
      <c r="H3830" s="2" t="s">
        <v>74</v>
      </c>
      <c r="I3830" s="2" t="s">
        <v>75</v>
      </c>
      <c r="J3830" s="2" t="s">
        <v>76</v>
      </c>
      <c r="K3830" s="2" t="s">
        <v>77</v>
      </c>
      <c r="L3830" s="2" t="s">
        <v>268</v>
      </c>
      <c r="M3830" s="2" t="s">
        <v>269</v>
      </c>
      <c r="N3830" s="2" t="s">
        <v>368</v>
      </c>
      <c r="O3830" s="2" t="s">
        <v>100</v>
      </c>
      <c r="P3830" s="2" t="str">
        <f>"2170578883                    "</f>
        <v xml:space="preserve">2170578883                    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3.63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0</v>
      </c>
      <c r="AV3830" s="2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2">
        <v>0</v>
      </c>
      <c r="BD3830" s="2">
        <v>0</v>
      </c>
      <c r="BE3830" s="2">
        <v>0</v>
      </c>
      <c r="BF3830" s="2">
        <v>0</v>
      </c>
      <c r="BG3830" s="2">
        <v>0</v>
      </c>
      <c r="BH3830" s="2">
        <v>1</v>
      </c>
      <c r="BI3830" s="2">
        <v>1</v>
      </c>
      <c r="BJ3830" s="2">
        <v>0.2</v>
      </c>
      <c r="BK3830" s="2">
        <v>1</v>
      </c>
      <c r="BL3830" s="2">
        <v>41.07</v>
      </c>
      <c r="BM3830" s="2">
        <v>5.75</v>
      </c>
      <c r="BN3830" s="2">
        <v>46.82</v>
      </c>
      <c r="BO3830" s="2">
        <v>46.82</v>
      </c>
      <c r="BP3830" s="2"/>
      <c r="BQ3830" s="2" t="s">
        <v>108</v>
      </c>
      <c r="BR3830" s="2" t="s">
        <v>84</v>
      </c>
      <c r="BS3830" s="3">
        <v>42949</v>
      </c>
      <c r="BT3830" s="4">
        <v>0.34652777777777777</v>
      </c>
      <c r="BU3830" s="2" t="s">
        <v>369</v>
      </c>
      <c r="BV3830" s="2" t="s">
        <v>95</v>
      </c>
      <c r="BW3830" s="2"/>
      <c r="BX3830" s="2"/>
      <c r="BY3830" s="2">
        <v>1200</v>
      </c>
      <c r="BZ3830" s="2" t="s">
        <v>27</v>
      </c>
      <c r="CA3830" s="2"/>
      <c r="CB3830" s="2"/>
      <c r="CC3830" s="2" t="s">
        <v>269</v>
      </c>
      <c r="CD3830" s="2">
        <v>157</v>
      </c>
      <c r="CE3830" s="2" t="s">
        <v>3630</v>
      </c>
      <c r="CF3830" s="5">
        <v>42950</v>
      </c>
      <c r="CG3830" s="2"/>
      <c r="CH3830" s="2"/>
      <c r="CI3830" s="2">
        <v>1</v>
      </c>
      <c r="CJ3830" s="2">
        <v>1</v>
      </c>
      <c r="CK3830" s="2">
        <v>21</v>
      </c>
      <c r="CL3830" s="2" t="s">
        <v>86</v>
      </c>
      <c r="CM3830" s="2"/>
    </row>
    <row r="3831" spans="1:91">
      <c r="A3831" s="2" t="s">
        <v>71</v>
      </c>
      <c r="B3831" s="2" t="s">
        <v>72</v>
      </c>
      <c r="C3831" s="2" t="s">
        <v>73</v>
      </c>
      <c r="D3831" s="2"/>
      <c r="E3831" s="2" t="str">
        <f>"FES1162565825"</f>
        <v>FES1162565825</v>
      </c>
      <c r="F3831" s="3">
        <v>42948</v>
      </c>
      <c r="G3831" s="2">
        <v>201802</v>
      </c>
      <c r="H3831" s="2" t="s">
        <v>74</v>
      </c>
      <c r="I3831" s="2" t="s">
        <v>75</v>
      </c>
      <c r="J3831" s="2" t="s">
        <v>76</v>
      </c>
      <c r="K3831" s="2" t="s">
        <v>77</v>
      </c>
      <c r="L3831" s="2" t="s">
        <v>3682</v>
      </c>
      <c r="M3831" s="2" t="s">
        <v>3683</v>
      </c>
      <c r="N3831" s="2" t="s">
        <v>3684</v>
      </c>
      <c r="O3831" s="2" t="s">
        <v>100</v>
      </c>
      <c r="P3831" s="2" t="str">
        <f>"2170581862                    "</f>
        <v xml:space="preserve">2170581862                    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7.03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0</v>
      </c>
      <c r="AU3831" s="2">
        <v>0</v>
      </c>
      <c r="AV3831" s="2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2">
        <v>0</v>
      </c>
      <c r="BD3831" s="2">
        <v>0</v>
      </c>
      <c r="BE3831" s="2">
        <v>0</v>
      </c>
      <c r="BF3831" s="2">
        <v>0</v>
      </c>
      <c r="BG3831" s="2">
        <v>0</v>
      </c>
      <c r="BH3831" s="2">
        <v>1</v>
      </c>
      <c r="BI3831" s="2">
        <v>1</v>
      </c>
      <c r="BJ3831" s="2">
        <v>0.2</v>
      </c>
      <c r="BK3831" s="2">
        <v>1</v>
      </c>
      <c r="BL3831" s="2">
        <v>79.569999999999993</v>
      </c>
      <c r="BM3831" s="2">
        <v>11.14</v>
      </c>
      <c r="BN3831" s="2">
        <v>90.71</v>
      </c>
      <c r="BO3831" s="2">
        <v>90.71</v>
      </c>
      <c r="BP3831" s="2"/>
      <c r="BQ3831" s="2" t="s">
        <v>108</v>
      </c>
      <c r="BR3831" s="2" t="s">
        <v>84</v>
      </c>
      <c r="BS3831" s="3">
        <v>42950</v>
      </c>
      <c r="BT3831" s="4">
        <v>0.42291666666666666</v>
      </c>
      <c r="BU3831" s="2" t="s">
        <v>3685</v>
      </c>
      <c r="BV3831" s="2" t="s">
        <v>95</v>
      </c>
      <c r="BW3831" s="2"/>
      <c r="BX3831" s="2"/>
      <c r="BY3831" s="2">
        <v>1200</v>
      </c>
      <c r="BZ3831" s="2" t="s">
        <v>27</v>
      </c>
      <c r="CA3831" s="2" t="s">
        <v>3409</v>
      </c>
      <c r="CB3831" s="2"/>
      <c r="CC3831" s="2" t="s">
        <v>3683</v>
      </c>
      <c r="CD3831" s="2">
        <v>7380</v>
      </c>
      <c r="CE3831" s="2" t="s">
        <v>104</v>
      </c>
      <c r="CF3831" s="5">
        <v>42955</v>
      </c>
      <c r="CG3831" s="2"/>
      <c r="CH3831" s="2"/>
      <c r="CI3831" s="2">
        <v>3</v>
      </c>
      <c r="CJ3831" s="2">
        <v>2</v>
      </c>
      <c r="CK3831" s="2">
        <v>23</v>
      </c>
      <c r="CL3831" s="2" t="s">
        <v>86</v>
      </c>
      <c r="CM3831" s="2"/>
    </row>
    <row r="3832" spans="1:91">
      <c r="A3832" s="2" t="s">
        <v>71</v>
      </c>
      <c r="B3832" s="2" t="s">
        <v>72</v>
      </c>
      <c r="C3832" s="2" t="s">
        <v>73</v>
      </c>
      <c r="D3832" s="2"/>
      <c r="E3832" s="2" t="str">
        <f>"FES1162566021"</f>
        <v>FES1162566021</v>
      </c>
      <c r="F3832" s="3">
        <v>42948</v>
      </c>
      <c r="G3832" s="2">
        <v>201802</v>
      </c>
      <c r="H3832" s="2" t="s">
        <v>74</v>
      </c>
      <c r="I3832" s="2" t="s">
        <v>75</v>
      </c>
      <c r="J3832" s="2" t="s">
        <v>76</v>
      </c>
      <c r="K3832" s="2" t="s">
        <v>77</v>
      </c>
      <c r="L3832" s="2" t="s">
        <v>149</v>
      </c>
      <c r="M3832" s="2" t="s">
        <v>150</v>
      </c>
      <c r="N3832" s="2" t="s">
        <v>1268</v>
      </c>
      <c r="O3832" s="2" t="s">
        <v>100</v>
      </c>
      <c r="P3832" s="2" t="str">
        <f>"2170582575                    "</f>
        <v xml:space="preserve">2170582575                    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4.53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0</v>
      </c>
      <c r="AV3832" s="2">
        <v>0</v>
      </c>
      <c r="AW3832" s="2">
        <v>0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2">
        <v>0</v>
      </c>
      <c r="BD3832" s="2">
        <v>0</v>
      </c>
      <c r="BE3832" s="2">
        <v>0</v>
      </c>
      <c r="BF3832" s="2">
        <v>0</v>
      </c>
      <c r="BG3832" s="2">
        <v>0</v>
      </c>
      <c r="BH3832" s="2">
        <v>1</v>
      </c>
      <c r="BI3832" s="2">
        <v>2.2000000000000002</v>
      </c>
      <c r="BJ3832" s="2">
        <v>1</v>
      </c>
      <c r="BK3832" s="2">
        <v>2.5</v>
      </c>
      <c r="BL3832" s="2">
        <v>51.33</v>
      </c>
      <c r="BM3832" s="2">
        <v>7.19</v>
      </c>
      <c r="BN3832" s="2">
        <v>58.52</v>
      </c>
      <c r="BO3832" s="2">
        <v>58.52</v>
      </c>
      <c r="BP3832" s="2"/>
      <c r="BQ3832" s="2" t="s">
        <v>83</v>
      </c>
      <c r="BR3832" s="2" t="s">
        <v>84</v>
      </c>
      <c r="BS3832" s="3">
        <v>42949</v>
      </c>
      <c r="BT3832" s="4">
        <v>0.35416666666666669</v>
      </c>
      <c r="BU3832" s="2" t="s">
        <v>3686</v>
      </c>
      <c r="BV3832" s="2" t="s">
        <v>95</v>
      </c>
      <c r="BW3832" s="2"/>
      <c r="BX3832" s="2"/>
      <c r="BY3832" s="2">
        <v>4875.78</v>
      </c>
      <c r="BZ3832" s="2" t="s">
        <v>27</v>
      </c>
      <c r="CA3832" s="2" t="s">
        <v>484</v>
      </c>
      <c r="CB3832" s="2"/>
      <c r="CC3832" s="2" t="s">
        <v>150</v>
      </c>
      <c r="CD3832" s="2">
        <v>4001</v>
      </c>
      <c r="CE3832" s="2" t="s">
        <v>89</v>
      </c>
      <c r="CF3832" s="5">
        <v>42950</v>
      </c>
      <c r="CG3832" s="2"/>
      <c r="CH3832" s="2"/>
      <c r="CI3832" s="2">
        <v>1</v>
      </c>
      <c r="CJ3832" s="2">
        <v>1</v>
      </c>
      <c r="CK3832" s="2">
        <v>21</v>
      </c>
      <c r="CL3832" s="2" t="s">
        <v>86</v>
      </c>
      <c r="CM3832" s="2"/>
    </row>
    <row r="3833" spans="1:91">
      <c r="A3833" s="2" t="s">
        <v>71</v>
      </c>
      <c r="B3833" s="2" t="s">
        <v>72</v>
      </c>
      <c r="C3833" s="2" t="s">
        <v>73</v>
      </c>
      <c r="D3833" s="2"/>
      <c r="E3833" s="2" t="str">
        <f>"FES1162565814"</f>
        <v>FES1162565814</v>
      </c>
      <c r="F3833" s="3">
        <v>42948</v>
      </c>
      <c r="G3833" s="2">
        <v>201802</v>
      </c>
      <c r="H3833" s="2" t="s">
        <v>74</v>
      </c>
      <c r="I3833" s="2" t="s">
        <v>75</v>
      </c>
      <c r="J3833" s="2" t="s">
        <v>76</v>
      </c>
      <c r="K3833" s="2" t="s">
        <v>77</v>
      </c>
      <c r="L3833" s="2" t="s">
        <v>170</v>
      </c>
      <c r="M3833" s="2" t="s">
        <v>171</v>
      </c>
      <c r="N3833" s="2" t="s">
        <v>3687</v>
      </c>
      <c r="O3833" s="2" t="s">
        <v>100</v>
      </c>
      <c r="P3833" s="2" t="str">
        <f>"2170578464                    "</f>
        <v xml:space="preserve">2170578464                    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2.83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0</v>
      </c>
      <c r="AV3833" s="2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2">
        <v>0</v>
      </c>
      <c r="BD3833" s="2">
        <v>0</v>
      </c>
      <c r="BE3833" s="2">
        <v>0</v>
      </c>
      <c r="BF3833" s="2">
        <v>0</v>
      </c>
      <c r="BG3833" s="2">
        <v>0</v>
      </c>
      <c r="BH3833" s="2">
        <v>1</v>
      </c>
      <c r="BI3833" s="2">
        <v>1</v>
      </c>
      <c r="BJ3833" s="2">
        <v>0.2</v>
      </c>
      <c r="BK3833" s="2">
        <v>1</v>
      </c>
      <c r="BL3833" s="2">
        <v>32.08</v>
      </c>
      <c r="BM3833" s="2">
        <v>4.49</v>
      </c>
      <c r="BN3833" s="2">
        <v>36.57</v>
      </c>
      <c r="BO3833" s="2">
        <v>36.57</v>
      </c>
      <c r="BP3833" s="2"/>
      <c r="BQ3833" s="2" t="s">
        <v>108</v>
      </c>
      <c r="BR3833" s="2" t="s">
        <v>84</v>
      </c>
      <c r="BS3833" s="3">
        <v>42949</v>
      </c>
      <c r="BT3833" s="4">
        <v>0.6694444444444444</v>
      </c>
      <c r="BU3833" s="2" t="s">
        <v>2557</v>
      </c>
      <c r="BV3833" s="2" t="s">
        <v>86</v>
      </c>
      <c r="BW3833" s="2"/>
      <c r="BX3833" s="2"/>
      <c r="BY3833" s="2">
        <v>1200</v>
      </c>
      <c r="BZ3833" s="2" t="s">
        <v>27</v>
      </c>
      <c r="CA3833" s="2" t="s">
        <v>2028</v>
      </c>
      <c r="CB3833" s="2"/>
      <c r="CC3833" s="2" t="s">
        <v>171</v>
      </c>
      <c r="CD3833" s="2">
        <v>1401</v>
      </c>
      <c r="CE3833" s="2" t="s">
        <v>104</v>
      </c>
      <c r="CF3833" s="5">
        <v>42950</v>
      </c>
      <c r="CG3833" s="2"/>
      <c r="CH3833" s="2"/>
      <c r="CI3833" s="2">
        <v>1</v>
      </c>
      <c r="CJ3833" s="2">
        <v>1</v>
      </c>
      <c r="CK3833" s="2">
        <v>22</v>
      </c>
      <c r="CL3833" s="2" t="s">
        <v>86</v>
      </c>
      <c r="CM3833" s="2"/>
    </row>
    <row r="3834" spans="1:91">
      <c r="A3834" s="2" t="s">
        <v>71</v>
      </c>
      <c r="B3834" s="2" t="s">
        <v>72</v>
      </c>
      <c r="C3834" s="2" t="s">
        <v>73</v>
      </c>
      <c r="D3834" s="2"/>
      <c r="E3834" s="2" t="str">
        <f>"FES1162566061"</f>
        <v>FES1162566061</v>
      </c>
      <c r="F3834" s="3">
        <v>42948</v>
      </c>
      <c r="G3834" s="2">
        <v>201802</v>
      </c>
      <c r="H3834" s="2" t="s">
        <v>74</v>
      </c>
      <c r="I3834" s="2" t="s">
        <v>75</v>
      </c>
      <c r="J3834" s="2" t="s">
        <v>76</v>
      </c>
      <c r="K3834" s="2" t="s">
        <v>77</v>
      </c>
      <c r="L3834" s="2" t="s">
        <v>74</v>
      </c>
      <c r="M3834" s="2" t="s">
        <v>75</v>
      </c>
      <c r="N3834" s="2" t="s">
        <v>407</v>
      </c>
      <c r="O3834" s="2" t="s">
        <v>100</v>
      </c>
      <c r="P3834" s="2" t="str">
        <f>"2170574921                    "</f>
        <v xml:space="preserve">2170574921                    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2.83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0</v>
      </c>
      <c r="AV3834" s="2">
        <v>0</v>
      </c>
      <c r="AW3834" s="2">
        <v>0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2">
        <v>0</v>
      </c>
      <c r="BD3834" s="2">
        <v>0</v>
      </c>
      <c r="BE3834" s="2">
        <v>0</v>
      </c>
      <c r="BF3834" s="2">
        <v>0</v>
      </c>
      <c r="BG3834" s="2">
        <v>0</v>
      </c>
      <c r="BH3834" s="2">
        <v>1</v>
      </c>
      <c r="BI3834" s="2">
        <v>1</v>
      </c>
      <c r="BJ3834" s="2">
        <v>0.2</v>
      </c>
      <c r="BK3834" s="2">
        <v>1</v>
      </c>
      <c r="BL3834" s="2">
        <v>32.08</v>
      </c>
      <c r="BM3834" s="2">
        <v>4.49</v>
      </c>
      <c r="BN3834" s="2">
        <v>36.57</v>
      </c>
      <c r="BO3834" s="2">
        <v>36.57</v>
      </c>
      <c r="BP3834" s="2"/>
      <c r="BQ3834" s="2" t="s">
        <v>108</v>
      </c>
      <c r="BR3834" s="2" t="s">
        <v>84</v>
      </c>
      <c r="BS3834" s="3">
        <v>42949</v>
      </c>
      <c r="BT3834" s="4">
        <v>0.33333333333333331</v>
      </c>
      <c r="BU3834" s="2" t="s">
        <v>935</v>
      </c>
      <c r="BV3834" s="2" t="s">
        <v>95</v>
      </c>
      <c r="BW3834" s="2"/>
      <c r="BX3834" s="2"/>
      <c r="BY3834" s="2">
        <v>1200</v>
      </c>
      <c r="BZ3834" s="2" t="s">
        <v>27</v>
      </c>
      <c r="CA3834" s="2" t="s">
        <v>267</v>
      </c>
      <c r="CB3834" s="2"/>
      <c r="CC3834" s="2" t="s">
        <v>75</v>
      </c>
      <c r="CD3834" s="2">
        <v>1645</v>
      </c>
      <c r="CE3834" s="2" t="s">
        <v>104</v>
      </c>
      <c r="CF3834" s="5">
        <v>42950</v>
      </c>
      <c r="CG3834" s="2"/>
      <c r="CH3834" s="2"/>
      <c r="CI3834" s="2">
        <v>1</v>
      </c>
      <c r="CJ3834" s="2">
        <v>1</v>
      </c>
      <c r="CK3834" s="2">
        <v>22</v>
      </c>
      <c r="CL3834" s="2" t="s">
        <v>86</v>
      </c>
      <c r="CM3834" s="2"/>
    </row>
    <row r="3835" spans="1:91">
      <c r="A3835" s="2" t="s">
        <v>71</v>
      </c>
      <c r="B3835" s="2" t="s">
        <v>72</v>
      </c>
      <c r="C3835" s="2" t="s">
        <v>73</v>
      </c>
      <c r="D3835" s="2"/>
      <c r="E3835" s="2" t="str">
        <f>"FES11625655935"</f>
        <v>FES11625655935</v>
      </c>
      <c r="F3835" s="3">
        <v>42948</v>
      </c>
      <c r="G3835" s="2">
        <v>201802</v>
      </c>
      <c r="H3835" s="2" t="s">
        <v>74</v>
      </c>
      <c r="I3835" s="2" t="s">
        <v>75</v>
      </c>
      <c r="J3835" s="2" t="s">
        <v>76</v>
      </c>
      <c r="K3835" s="2" t="s">
        <v>77</v>
      </c>
      <c r="L3835" s="2" t="s">
        <v>237</v>
      </c>
      <c r="M3835" s="2" t="s">
        <v>238</v>
      </c>
      <c r="N3835" s="2" t="s">
        <v>765</v>
      </c>
      <c r="O3835" s="2" t="s">
        <v>100</v>
      </c>
      <c r="P3835" s="2" t="str">
        <f>"2170580120                    "</f>
        <v xml:space="preserve">2170580120                    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3.63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0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2">
        <v>0</v>
      </c>
      <c r="BD3835" s="2">
        <v>0</v>
      </c>
      <c r="BE3835" s="2">
        <v>0</v>
      </c>
      <c r="BF3835" s="2">
        <v>0</v>
      </c>
      <c r="BG3835" s="2">
        <v>0</v>
      </c>
      <c r="BH3835" s="2">
        <v>1</v>
      </c>
      <c r="BI3835" s="2">
        <v>1</v>
      </c>
      <c r="BJ3835" s="2">
        <v>0.2</v>
      </c>
      <c r="BK3835" s="2">
        <v>1</v>
      </c>
      <c r="BL3835" s="2">
        <v>41.07</v>
      </c>
      <c r="BM3835" s="2">
        <v>5.75</v>
      </c>
      <c r="BN3835" s="2">
        <v>46.82</v>
      </c>
      <c r="BO3835" s="2">
        <v>46.82</v>
      </c>
      <c r="BP3835" s="2"/>
      <c r="BQ3835" s="2" t="s">
        <v>108</v>
      </c>
      <c r="BR3835" s="2" t="s">
        <v>84</v>
      </c>
      <c r="BS3835" s="3">
        <v>42949</v>
      </c>
      <c r="BT3835" s="4">
        <v>0.31875000000000003</v>
      </c>
      <c r="BU3835" s="2" t="s">
        <v>766</v>
      </c>
      <c r="BV3835" s="2" t="s">
        <v>95</v>
      </c>
      <c r="BW3835" s="2"/>
      <c r="BX3835" s="2"/>
      <c r="BY3835" s="2">
        <v>1200</v>
      </c>
      <c r="BZ3835" s="2" t="s">
        <v>27</v>
      </c>
      <c r="CA3835" s="2" t="s">
        <v>401</v>
      </c>
      <c r="CB3835" s="2"/>
      <c r="CC3835" s="2" t="s">
        <v>238</v>
      </c>
      <c r="CD3835" s="2">
        <v>3610</v>
      </c>
      <c r="CE3835" s="2" t="s">
        <v>104</v>
      </c>
      <c r="CF3835" s="5">
        <v>42949</v>
      </c>
      <c r="CG3835" s="2"/>
      <c r="CH3835" s="2"/>
      <c r="CI3835" s="2">
        <v>1</v>
      </c>
      <c r="CJ3835" s="2">
        <v>1</v>
      </c>
      <c r="CK3835" s="2">
        <v>21</v>
      </c>
      <c r="CL3835" s="2" t="s">
        <v>86</v>
      </c>
      <c r="CM3835" s="2"/>
    </row>
    <row r="3836" spans="1:91">
      <c r="A3836" s="2" t="s">
        <v>71</v>
      </c>
      <c r="B3836" s="2" t="s">
        <v>72</v>
      </c>
      <c r="C3836" s="2" t="s">
        <v>73</v>
      </c>
      <c r="D3836" s="2"/>
      <c r="E3836" s="2" t="str">
        <f>"FES1162566064"</f>
        <v>FES1162566064</v>
      </c>
      <c r="F3836" s="3">
        <v>42948</v>
      </c>
      <c r="G3836" s="2">
        <v>201802</v>
      </c>
      <c r="H3836" s="2" t="s">
        <v>74</v>
      </c>
      <c r="I3836" s="2" t="s">
        <v>75</v>
      </c>
      <c r="J3836" s="2" t="s">
        <v>76</v>
      </c>
      <c r="K3836" s="2" t="s">
        <v>77</v>
      </c>
      <c r="L3836" s="2" t="s">
        <v>268</v>
      </c>
      <c r="M3836" s="2" t="s">
        <v>269</v>
      </c>
      <c r="N3836" s="2" t="s">
        <v>3688</v>
      </c>
      <c r="O3836" s="2" t="s">
        <v>100</v>
      </c>
      <c r="P3836" s="2" t="str">
        <f>"2170582617                    "</f>
        <v xml:space="preserve">2170582617                    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3.63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0</v>
      </c>
      <c r="AV3836" s="2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2">
        <v>0</v>
      </c>
      <c r="BD3836" s="2">
        <v>0</v>
      </c>
      <c r="BE3836" s="2">
        <v>0</v>
      </c>
      <c r="BF3836" s="2">
        <v>0</v>
      </c>
      <c r="BG3836" s="2">
        <v>0</v>
      </c>
      <c r="BH3836" s="2">
        <v>1</v>
      </c>
      <c r="BI3836" s="2">
        <v>1</v>
      </c>
      <c r="BJ3836" s="2">
        <v>0.2</v>
      </c>
      <c r="BK3836" s="2">
        <v>1</v>
      </c>
      <c r="BL3836" s="2">
        <v>41.07</v>
      </c>
      <c r="BM3836" s="2">
        <v>5.75</v>
      </c>
      <c r="BN3836" s="2">
        <v>46.82</v>
      </c>
      <c r="BO3836" s="2">
        <v>46.82</v>
      </c>
      <c r="BP3836" s="2"/>
      <c r="BQ3836" s="2" t="s">
        <v>108</v>
      </c>
      <c r="BR3836" s="2" t="s">
        <v>84</v>
      </c>
      <c r="BS3836" s="3">
        <v>42949</v>
      </c>
      <c r="BT3836" s="4">
        <v>0.4152777777777778</v>
      </c>
      <c r="BU3836" s="2" t="s">
        <v>3689</v>
      </c>
      <c r="BV3836" s="2" t="s">
        <v>95</v>
      </c>
      <c r="BW3836" s="2"/>
      <c r="BX3836" s="2"/>
      <c r="BY3836" s="2">
        <v>1200</v>
      </c>
      <c r="BZ3836" s="2" t="s">
        <v>27</v>
      </c>
      <c r="CA3836" s="2"/>
      <c r="CB3836" s="2"/>
      <c r="CC3836" s="2" t="s">
        <v>269</v>
      </c>
      <c r="CD3836" s="2">
        <v>184</v>
      </c>
      <c r="CE3836" s="2" t="s">
        <v>3630</v>
      </c>
      <c r="CF3836" s="5">
        <v>42949</v>
      </c>
      <c r="CG3836" s="2"/>
      <c r="CH3836" s="2"/>
      <c r="CI3836" s="2">
        <v>1</v>
      </c>
      <c r="CJ3836" s="2">
        <v>1</v>
      </c>
      <c r="CK3836" s="2">
        <v>21</v>
      </c>
      <c r="CL3836" s="2" t="s">
        <v>86</v>
      </c>
      <c r="CM3836" s="2"/>
    </row>
    <row r="3837" spans="1:91">
      <c r="A3837" s="2" t="s">
        <v>71</v>
      </c>
      <c r="B3837" s="2" t="s">
        <v>72</v>
      </c>
      <c r="C3837" s="2" t="s">
        <v>73</v>
      </c>
      <c r="D3837" s="2"/>
      <c r="E3837" s="2" t="str">
        <f>"FES1162565950"</f>
        <v>FES1162565950</v>
      </c>
      <c r="F3837" s="3">
        <v>42948</v>
      </c>
      <c r="G3837" s="2">
        <v>201802</v>
      </c>
      <c r="H3837" s="2" t="s">
        <v>74</v>
      </c>
      <c r="I3837" s="2" t="s">
        <v>75</v>
      </c>
      <c r="J3837" s="2" t="s">
        <v>76</v>
      </c>
      <c r="K3837" s="2" t="s">
        <v>77</v>
      </c>
      <c r="L3837" s="2" t="s">
        <v>1699</v>
      </c>
      <c r="M3837" s="2" t="s">
        <v>1700</v>
      </c>
      <c r="N3837" s="2" t="s">
        <v>1701</v>
      </c>
      <c r="O3837" s="2" t="s">
        <v>100</v>
      </c>
      <c r="P3837" s="2" t="str">
        <f>"2170582503                    "</f>
        <v xml:space="preserve">2170582503                    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3.63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2">
        <v>0</v>
      </c>
      <c r="BD3837" s="2">
        <v>0</v>
      </c>
      <c r="BE3837" s="2">
        <v>0</v>
      </c>
      <c r="BF3837" s="2">
        <v>0</v>
      </c>
      <c r="BG3837" s="2">
        <v>0</v>
      </c>
      <c r="BH3837" s="2">
        <v>1</v>
      </c>
      <c r="BI3837" s="2">
        <v>1</v>
      </c>
      <c r="BJ3837" s="2">
        <v>0.2</v>
      </c>
      <c r="BK3837" s="2">
        <v>1</v>
      </c>
      <c r="BL3837" s="2">
        <v>41.07</v>
      </c>
      <c r="BM3837" s="2">
        <v>5.75</v>
      </c>
      <c r="BN3837" s="2">
        <v>46.82</v>
      </c>
      <c r="BO3837" s="2">
        <v>46.82</v>
      </c>
      <c r="BP3837" s="2"/>
      <c r="BQ3837" s="2" t="s">
        <v>83</v>
      </c>
      <c r="BR3837" s="2" t="s">
        <v>84</v>
      </c>
      <c r="BS3837" s="3">
        <v>42950</v>
      </c>
      <c r="BT3837" s="4">
        <v>0.41666666666666669</v>
      </c>
      <c r="BU3837" s="2" t="s">
        <v>3690</v>
      </c>
      <c r="BV3837" s="2" t="s">
        <v>95</v>
      </c>
      <c r="BW3837" s="2"/>
      <c r="BX3837" s="2"/>
      <c r="BY3837" s="2">
        <v>1200</v>
      </c>
      <c r="BZ3837" s="2" t="s">
        <v>27</v>
      </c>
      <c r="CA3837" s="2" t="s">
        <v>3691</v>
      </c>
      <c r="CB3837" s="2"/>
      <c r="CC3837" s="2" t="s">
        <v>1700</v>
      </c>
      <c r="CD3837" s="2">
        <v>8405</v>
      </c>
      <c r="CE3837" s="2" t="s">
        <v>104</v>
      </c>
      <c r="CF3837" s="5">
        <v>42957</v>
      </c>
      <c r="CG3837" s="2"/>
      <c r="CH3837" s="2"/>
      <c r="CI3837" s="2">
        <v>3</v>
      </c>
      <c r="CJ3837" s="2">
        <v>2</v>
      </c>
      <c r="CK3837" s="2">
        <v>21</v>
      </c>
      <c r="CL3837" s="2" t="s">
        <v>86</v>
      </c>
      <c r="CM3837" s="2"/>
    </row>
    <row r="3838" spans="1:91">
      <c r="A3838" s="2" t="s">
        <v>71</v>
      </c>
      <c r="B3838" s="2" t="s">
        <v>72</v>
      </c>
      <c r="C3838" s="2" t="s">
        <v>73</v>
      </c>
      <c r="D3838" s="2"/>
      <c r="E3838" s="2" t="str">
        <f>"FES1162566049"</f>
        <v>FES1162566049</v>
      </c>
      <c r="F3838" s="3">
        <v>42948</v>
      </c>
      <c r="G3838" s="2">
        <v>201802</v>
      </c>
      <c r="H3838" s="2" t="s">
        <v>74</v>
      </c>
      <c r="I3838" s="2" t="s">
        <v>75</v>
      </c>
      <c r="J3838" s="2" t="s">
        <v>76</v>
      </c>
      <c r="K3838" s="2" t="s">
        <v>77</v>
      </c>
      <c r="L3838" s="2" t="s">
        <v>144</v>
      </c>
      <c r="M3838" s="2" t="s">
        <v>145</v>
      </c>
      <c r="N3838" s="2" t="s">
        <v>282</v>
      </c>
      <c r="O3838" s="2" t="s">
        <v>100</v>
      </c>
      <c r="P3838" s="2" t="str">
        <f>"2170582606                    "</f>
        <v xml:space="preserve">2170582606                    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3.51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0</v>
      </c>
      <c r="AV3838" s="2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2">
        <v>0</v>
      </c>
      <c r="BD3838" s="2">
        <v>0</v>
      </c>
      <c r="BE3838" s="2">
        <v>0</v>
      </c>
      <c r="BF3838" s="2">
        <v>0</v>
      </c>
      <c r="BG3838" s="2">
        <v>0</v>
      </c>
      <c r="BH3838" s="2">
        <v>1</v>
      </c>
      <c r="BI3838" s="2">
        <v>9.1999999999999993</v>
      </c>
      <c r="BJ3838" s="2">
        <v>3.6</v>
      </c>
      <c r="BK3838" s="2">
        <v>10</v>
      </c>
      <c r="BL3838" s="2">
        <v>39.78</v>
      </c>
      <c r="BM3838" s="2">
        <v>5.57</v>
      </c>
      <c r="BN3838" s="2">
        <v>45.35</v>
      </c>
      <c r="BO3838" s="2">
        <v>45.35</v>
      </c>
      <c r="BP3838" s="2"/>
      <c r="BQ3838" s="2" t="s">
        <v>108</v>
      </c>
      <c r="BR3838" s="2" t="s">
        <v>84</v>
      </c>
      <c r="BS3838" s="3">
        <v>42949</v>
      </c>
      <c r="BT3838" s="4">
        <v>0.31458333333333333</v>
      </c>
      <c r="BU3838" s="2" t="s">
        <v>3692</v>
      </c>
      <c r="BV3838" s="2" t="s">
        <v>95</v>
      </c>
      <c r="BW3838" s="2"/>
      <c r="BX3838" s="2"/>
      <c r="BY3838" s="2">
        <v>18055.39</v>
      </c>
      <c r="BZ3838" s="2" t="s">
        <v>27</v>
      </c>
      <c r="CA3838" s="2" t="s">
        <v>284</v>
      </c>
      <c r="CB3838" s="2"/>
      <c r="CC3838" s="2" t="s">
        <v>145</v>
      </c>
      <c r="CD3838" s="2">
        <v>2094</v>
      </c>
      <c r="CE3838" s="2" t="s">
        <v>89</v>
      </c>
      <c r="CF3838" s="5">
        <v>42950</v>
      </c>
      <c r="CG3838" s="2"/>
      <c r="CH3838" s="2"/>
      <c r="CI3838" s="2">
        <v>1</v>
      </c>
      <c r="CJ3838" s="2">
        <v>1</v>
      </c>
      <c r="CK3838" s="2">
        <v>22</v>
      </c>
      <c r="CL3838" s="2" t="s">
        <v>86</v>
      </c>
      <c r="CM3838" s="2"/>
    </row>
    <row r="3839" spans="1:91">
      <c r="A3839" s="2" t="s">
        <v>71</v>
      </c>
      <c r="B3839" s="2" t="s">
        <v>72</v>
      </c>
      <c r="C3839" s="2" t="s">
        <v>73</v>
      </c>
      <c r="D3839" s="2"/>
      <c r="E3839" s="2" t="str">
        <f>"FES1162565924"</f>
        <v>FES1162565924</v>
      </c>
      <c r="F3839" s="3">
        <v>42948</v>
      </c>
      <c r="G3839" s="2">
        <v>201802</v>
      </c>
      <c r="H3839" s="2" t="s">
        <v>74</v>
      </c>
      <c r="I3839" s="2" t="s">
        <v>75</v>
      </c>
      <c r="J3839" s="2" t="s">
        <v>76</v>
      </c>
      <c r="K3839" s="2" t="s">
        <v>77</v>
      </c>
      <c r="L3839" s="2" t="s">
        <v>174</v>
      </c>
      <c r="M3839" s="2" t="s">
        <v>175</v>
      </c>
      <c r="N3839" s="2" t="s">
        <v>930</v>
      </c>
      <c r="O3839" s="2" t="s">
        <v>100</v>
      </c>
      <c r="P3839" s="2" t="str">
        <f>"2170582500                    "</f>
        <v xml:space="preserve">2170582500                    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3.63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2">
        <v>0</v>
      </c>
      <c r="BD3839" s="2">
        <v>0</v>
      </c>
      <c r="BE3839" s="2">
        <v>0</v>
      </c>
      <c r="BF3839" s="2">
        <v>0</v>
      </c>
      <c r="BG3839" s="2">
        <v>0</v>
      </c>
      <c r="BH3839" s="2">
        <v>1</v>
      </c>
      <c r="BI3839" s="2">
        <v>1</v>
      </c>
      <c r="BJ3839" s="2">
        <v>0.2</v>
      </c>
      <c r="BK3839" s="2">
        <v>1</v>
      </c>
      <c r="BL3839" s="2">
        <v>41.07</v>
      </c>
      <c r="BM3839" s="2">
        <v>5.75</v>
      </c>
      <c r="BN3839" s="2">
        <v>46.82</v>
      </c>
      <c r="BO3839" s="2">
        <v>46.82</v>
      </c>
      <c r="BP3839" s="2"/>
      <c r="BQ3839" s="2" t="s">
        <v>83</v>
      </c>
      <c r="BR3839" s="2" t="s">
        <v>84</v>
      </c>
      <c r="BS3839" s="3">
        <v>42949</v>
      </c>
      <c r="BT3839" s="4">
        <v>0.38541666666666669</v>
      </c>
      <c r="BU3839" s="2" t="s">
        <v>1372</v>
      </c>
      <c r="BV3839" s="2" t="s">
        <v>95</v>
      </c>
      <c r="BW3839" s="2"/>
      <c r="BX3839" s="2"/>
      <c r="BY3839" s="2">
        <v>1200</v>
      </c>
      <c r="BZ3839" s="2" t="s">
        <v>27</v>
      </c>
      <c r="CA3839" s="2" t="s">
        <v>1373</v>
      </c>
      <c r="CB3839" s="2"/>
      <c r="CC3839" s="2" t="s">
        <v>175</v>
      </c>
      <c r="CD3839" s="2">
        <v>5201</v>
      </c>
      <c r="CE3839" s="2" t="s">
        <v>3630</v>
      </c>
      <c r="CF3839" s="5">
        <v>42954</v>
      </c>
      <c r="CG3839" s="2"/>
      <c r="CH3839" s="2"/>
      <c r="CI3839" s="2">
        <v>1</v>
      </c>
      <c r="CJ3839" s="2">
        <v>1</v>
      </c>
      <c r="CK3839" s="2">
        <v>21</v>
      </c>
      <c r="CL3839" s="2" t="s">
        <v>86</v>
      </c>
      <c r="CM3839" s="2"/>
    </row>
    <row r="3840" spans="1:91">
      <c r="A3840" s="2" t="s">
        <v>71</v>
      </c>
      <c r="B3840" s="2" t="s">
        <v>72</v>
      </c>
      <c r="C3840" s="2" t="s">
        <v>73</v>
      </c>
      <c r="D3840" s="2"/>
      <c r="E3840" s="2" t="str">
        <f>"FES1162566052"</f>
        <v>FES1162566052</v>
      </c>
      <c r="F3840" s="3">
        <v>42948</v>
      </c>
      <c r="G3840" s="2">
        <v>201802</v>
      </c>
      <c r="H3840" s="2" t="s">
        <v>74</v>
      </c>
      <c r="I3840" s="2" t="s">
        <v>75</v>
      </c>
      <c r="J3840" s="2" t="s">
        <v>76</v>
      </c>
      <c r="K3840" s="2" t="s">
        <v>77</v>
      </c>
      <c r="L3840" s="2" t="s">
        <v>74</v>
      </c>
      <c r="M3840" s="2" t="s">
        <v>75</v>
      </c>
      <c r="N3840" s="2" t="s">
        <v>407</v>
      </c>
      <c r="O3840" s="2" t="s">
        <v>100</v>
      </c>
      <c r="P3840" s="2" t="str">
        <f>"2170579036                    "</f>
        <v xml:space="preserve">2170579036                    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2.83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2">
        <v>0</v>
      </c>
      <c r="BD3840" s="2">
        <v>0</v>
      </c>
      <c r="BE3840" s="2">
        <v>0</v>
      </c>
      <c r="BF3840" s="2">
        <v>0</v>
      </c>
      <c r="BG3840" s="2">
        <v>0</v>
      </c>
      <c r="BH3840" s="2">
        <v>1</v>
      </c>
      <c r="BI3840" s="2">
        <v>1.5</v>
      </c>
      <c r="BJ3840" s="2">
        <v>1.8</v>
      </c>
      <c r="BK3840" s="2">
        <v>2</v>
      </c>
      <c r="BL3840" s="2">
        <v>32.08</v>
      </c>
      <c r="BM3840" s="2">
        <v>4.49</v>
      </c>
      <c r="BN3840" s="2">
        <v>36.57</v>
      </c>
      <c r="BO3840" s="2">
        <v>36.57</v>
      </c>
      <c r="BP3840" s="2"/>
      <c r="BQ3840" s="2" t="s">
        <v>108</v>
      </c>
      <c r="BR3840" s="2" t="s">
        <v>84</v>
      </c>
      <c r="BS3840" s="3">
        <v>42949</v>
      </c>
      <c r="BT3840" s="4">
        <v>0.33333333333333331</v>
      </c>
      <c r="BU3840" s="2" t="s">
        <v>935</v>
      </c>
      <c r="BV3840" s="2" t="s">
        <v>95</v>
      </c>
      <c r="BW3840" s="2"/>
      <c r="BX3840" s="2"/>
      <c r="BY3840" s="2">
        <v>9043.66</v>
      </c>
      <c r="BZ3840" s="2" t="s">
        <v>27</v>
      </c>
      <c r="CA3840" s="2" t="s">
        <v>267</v>
      </c>
      <c r="CB3840" s="2"/>
      <c r="CC3840" s="2" t="s">
        <v>75</v>
      </c>
      <c r="CD3840" s="2">
        <v>1645</v>
      </c>
      <c r="CE3840" s="2" t="s">
        <v>104</v>
      </c>
      <c r="CF3840" s="5">
        <v>42950</v>
      </c>
      <c r="CG3840" s="2"/>
      <c r="CH3840" s="2"/>
      <c r="CI3840" s="2">
        <v>1</v>
      </c>
      <c r="CJ3840" s="2">
        <v>1</v>
      </c>
      <c r="CK3840" s="2">
        <v>22</v>
      </c>
      <c r="CL3840" s="2" t="s">
        <v>86</v>
      </c>
      <c r="CM3840" s="2"/>
    </row>
    <row r="3841" spans="1:91">
      <c r="A3841" s="2" t="s">
        <v>71</v>
      </c>
      <c r="B3841" s="2" t="s">
        <v>72</v>
      </c>
      <c r="C3841" s="2" t="s">
        <v>73</v>
      </c>
      <c r="D3841" s="2"/>
      <c r="E3841" s="2" t="str">
        <f>"FES1162565984"</f>
        <v>FES1162565984</v>
      </c>
      <c r="F3841" s="3">
        <v>42948</v>
      </c>
      <c r="G3841" s="2">
        <v>201802</v>
      </c>
      <c r="H3841" s="2" t="s">
        <v>74</v>
      </c>
      <c r="I3841" s="2" t="s">
        <v>75</v>
      </c>
      <c r="J3841" s="2" t="s">
        <v>76</v>
      </c>
      <c r="K3841" s="2" t="s">
        <v>77</v>
      </c>
      <c r="L3841" s="2" t="s">
        <v>268</v>
      </c>
      <c r="M3841" s="2" t="s">
        <v>269</v>
      </c>
      <c r="N3841" s="2" t="s">
        <v>442</v>
      </c>
      <c r="O3841" s="2" t="s">
        <v>100</v>
      </c>
      <c r="P3841" s="2" t="str">
        <f>"2170582541                    "</f>
        <v xml:space="preserve">2170582541                    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3.63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0</v>
      </c>
      <c r="AV3841" s="2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2">
        <v>0</v>
      </c>
      <c r="BD3841" s="2">
        <v>0</v>
      </c>
      <c r="BE3841" s="2">
        <v>0</v>
      </c>
      <c r="BF3841" s="2">
        <v>0</v>
      </c>
      <c r="BG3841" s="2">
        <v>0</v>
      </c>
      <c r="BH3841" s="2">
        <v>1</v>
      </c>
      <c r="BI3841" s="2">
        <v>1</v>
      </c>
      <c r="BJ3841" s="2">
        <v>0.2</v>
      </c>
      <c r="BK3841" s="2">
        <v>1</v>
      </c>
      <c r="BL3841" s="2">
        <v>41.07</v>
      </c>
      <c r="BM3841" s="2">
        <v>5.75</v>
      </c>
      <c r="BN3841" s="2">
        <v>46.82</v>
      </c>
      <c r="BO3841" s="2">
        <v>46.82</v>
      </c>
      <c r="BP3841" s="2"/>
      <c r="BQ3841" s="2" t="s">
        <v>83</v>
      </c>
      <c r="BR3841" s="2" t="s">
        <v>84</v>
      </c>
      <c r="BS3841" s="3">
        <v>42949</v>
      </c>
      <c r="BT3841" s="4">
        <v>0.38541666666666669</v>
      </c>
      <c r="BU3841" s="2" t="s">
        <v>443</v>
      </c>
      <c r="BV3841" s="2" t="s">
        <v>95</v>
      </c>
      <c r="BW3841" s="2"/>
      <c r="BX3841" s="2"/>
      <c r="BY3841" s="2">
        <v>1200</v>
      </c>
      <c r="BZ3841" s="2" t="s">
        <v>27</v>
      </c>
      <c r="CA3841" s="2" t="s">
        <v>445</v>
      </c>
      <c r="CB3841" s="2"/>
      <c r="CC3841" s="2" t="s">
        <v>269</v>
      </c>
      <c r="CD3841" s="2">
        <v>1</v>
      </c>
      <c r="CE3841" s="2" t="s">
        <v>3630</v>
      </c>
      <c r="CF3841" s="5">
        <v>42950</v>
      </c>
      <c r="CG3841" s="2"/>
      <c r="CH3841" s="2"/>
      <c r="CI3841" s="2">
        <v>1</v>
      </c>
      <c r="CJ3841" s="2">
        <v>1</v>
      </c>
      <c r="CK3841" s="2">
        <v>21</v>
      </c>
      <c r="CL3841" s="2" t="s">
        <v>86</v>
      </c>
      <c r="CM3841" s="2"/>
    </row>
    <row r="3842" spans="1:91">
      <c r="A3842" s="2" t="s">
        <v>71</v>
      </c>
      <c r="B3842" s="2" t="s">
        <v>72</v>
      </c>
      <c r="C3842" s="2" t="s">
        <v>73</v>
      </c>
      <c r="D3842" s="2"/>
      <c r="E3842" s="2" t="str">
        <f>"FES1162566081"</f>
        <v>FES1162566081</v>
      </c>
      <c r="F3842" s="3">
        <v>42948</v>
      </c>
      <c r="G3842" s="2">
        <v>201802</v>
      </c>
      <c r="H3842" s="2" t="s">
        <v>74</v>
      </c>
      <c r="I3842" s="2" t="s">
        <v>75</v>
      </c>
      <c r="J3842" s="2" t="s">
        <v>76</v>
      </c>
      <c r="K3842" s="2" t="s">
        <v>77</v>
      </c>
      <c r="L3842" s="2" t="s">
        <v>149</v>
      </c>
      <c r="M3842" s="2" t="s">
        <v>150</v>
      </c>
      <c r="N3842" s="2" t="s">
        <v>372</v>
      </c>
      <c r="O3842" s="2" t="s">
        <v>100</v>
      </c>
      <c r="P3842" s="2" t="str">
        <f>"2170579906                    "</f>
        <v xml:space="preserve">2170579906                    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3.63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0</v>
      </c>
      <c r="AV3842" s="2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2">
        <v>0</v>
      </c>
      <c r="BD3842" s="2">
        <v>0</v>
      </c>
      <c r="BE3842" s="2">
        <v>0</v>
      </c>
      <c r="BF3842" s="2">
        <v>0</v>
      </c>
      <c r="BG3842" s="2">
        <v>0</v>
      </c>
      <c r="BH3842" s="2">
        <v>1</v>
      </c>
      <c r="BI3842" s="2">
        <v>1</v>
      </c>
      <c r="BJ3842" s="2">
        <v>0.2</v>
      </c>
      <c r="BK3842" s="2">
        <v>1</v>
      </c>
      <c r="BL3842" s="2">
        <v>41.07</v>
      </c>
      <c r="BM3842" s="2">
        <v>5.75</v>
      </c>
      <c r="BN3842" s="2">
        <v>46.82</v>
      </c>
      <c r="BO3842" s="2">
        <v>46.82</v>
      </c>
      <c r="BP3842" s="2"/>
      <c r="BQ3842" s="2" t="s">
        <v>83</v>
      </c>
      <c r="BR3842" s="2" t="s">
        <v>84</v>
      </c>
      <c r="BS3842" s="3">
        <v>42949</v>
      </c>
      <c r="BT3842" s="4">
        <v>0.31597222222222221</v>
      </c>
      <c r="BU3842" s="2" t="s">
        <v>1946</v>
      </c>
      <c r="BV3842" s="2" t="s">
        <v>95</v>
      </c>
      <c r="BW3842" s="2"/>
      <c r="BX3842" s="2"/>
      <c r="BY3842" s="2">
        <v>1200</v>
      </c>
      <c r="BZ3842" s="2" t="s">
        <v>27</v>
      </c>
      <c r="CA3842" s="2" t="s">
        <v>235</v>
      </c>
      <c r="CB3842" s="2"/>
      <c r="CC3842" s="2" t="s">
        <v>150</v>
      </c>
      <c r="CD3842" s="2">
        <v>4052</v>
      </c>
      <c r="CE3842" s="2" t="s">
        <v>3630</v>
      </c>
      <c r="CF3842" s="5">
        <v>42950</v>
      </c>
      <c r="CG3842" s="2"/>
      <c r="CH3842" s="2"/>
      <c r="CI3842" s="2">
        <v>1</v>
      </c>
      <c r="CJ3842" s="2">
        <v>1</v>
      </c>
      <c r="CK3842" s="2">
        <v>21</v>
      </c>
      <c r="CL3842" s="2" t="s">
        <v>86</v>
      </c>
      <c r="CM3842" s="2"/>
    </row>
    <row r="3843" spans="1:91">
      <c r="A3843" s="2" t="s">
        <v>71</v>
      </c>
      <c r="B3843" s="2" t="s">
        <v>72</v>
      </c>
      <c r="C3843" s="2" t="s">
        <v>73</v>
      </c>
      <c r="D3843" s="2"/>
      <c r="E3843" s="2" t="str">
        <f>"FES1162565936"</f>
        <v>FES1162565936</v>
      </c>
      <c r="F3843" s="3">
        <v>42948</v>
      </c>
      <c r="G3843" s="2">
        <v>201802</v>
      </c>
      <c r="H3843" s="2" t="s">
        <v>74</v>
      </c>
      <c r="I3843" s="2" t="s">
        <v>75</v>
      </c>
      <c r="J3843" s="2" t="s">
        <v>76</v>
      </c>
      <c r="K3843" s="2" t="s">
        <v>77</v>
      </c>
      <c r="L3843" s="2" t="s">
        <v>174</v>
      </c>
      <c r="M3843" s="2" t="s">
        <v>175</v>
      </c>
      <c r="N3843" s="2" t="s">
        <v>2492</v>
      </c>
      <c r="O3843" s="2" t="s">
        <v>100</v>
      </c>
      <c r="P3843" s="2" t="str">
        <f>"2170580161                    "</f>
        <v xml:space="preserve">2170580161                    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3.63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2">
        <v>0</v>
      </c>
      <c r="BD3843" s="2">
        <v>0</v>
      </c>
      <c r="BE3843" s="2">
        <v>0</v>
      </c>
      <c r="BF3843" s="2">
        <v>0</v>
      </c>
      <c r="BG3843" s="2">
        <v>0</v>
      </c>
      <c r="BH3843" s="2">
        <v>1</v>
      </c>
      <c r="BI3843" s="2">
        <v>1</v>
      </c>
      <c r="BJ3843" s="2">
        <v>0.2</v>
      </c>
      <c r="BK3843" s="2">
        <v>1</v>
      </c>
      <c r="BL3843" s="2">
        <v>41.07</v>
      </c>
      <c r="BM3843" s="2">
        <v>5.75</v>
      </c>
      <c r="BN3843" s="2">
        <v>46.82</v>
      </c>
      <c r="BO3843" s="2">
        <v>46.82</v>
      </c>
      <c r="BP3843" s="2"/>
      <c r="BQ3843" s="2" t="s">
        <v>209</v>
      </c>
      <c r="BR3843" s="2" t="s">
        <v>84</v>
      </c>
      <c r="BS3843" s="3">
        <v>42949</v>
      </c>
      <c r="BT3843" s="4">
        <v>0.45694444444444443</v>
      </c>
      <c r="BU3843" s="2" t="s">
        <v>3693</v>
      </c>
      <c r="BV3843" s="2" t="s">
        <v>95</v>
      </c>
      <c r="BW3843" s="2"/>
      <c r="BX3843" s="2"/>
      <c r="BY3843" s="2">
        <v>1200</v>
      </c>
      <c r="BZ3843" s="2" t="s">
        <v>27</v>
      </c>
      <c r="CA3843" s="2" t="s">
        <v>1420</v>
      </c>
      <c r="CB3843" s="2"/>
      <c r="CC3843" s="2" t="s">
        <v>175</v>
      </c>
      <c r="CD3843" s="2">
        <v>5201</v>
      </c>
      <c r="CE3843" s="2" t="s">
        <v>3630</v>
      </c>
      <c r="CF3843" s="5">
        <v>42950</v>
      </c>
      <c r="CG3843" s="2"/>
      <c r="CH3843" s="2"/>
      <c r="CI3843" s="2">
        <v>1</v>
      </c>
      <c r="CJ3843" s="2">
        <v>1</v>
      </c>
      <c r="CK3843" s="2">
        <v>21</v>
      </c>
      <c r="CL3843" s="2" t="s">
        <v>86</v>
      </c>
      <c r="CM3843" s="2"/>
    </row>
    <row r="3844" spans="1:91">
      <c r="A3844" s="2" t="s">
        <v>71</v>
      </c>
      <c r="B3844" s="2" t="s">
        <v>72</v>
      </c>
      <c r="C3844" s="2" t="s">
        <v>73</v>
      </c>
      <c r="D3844" s="2"/>
      <c r="E3844" s="2" t="str">
        <f>"FES1162566051"</f>
        <v>FES1162566051</v>
      </c>
      <c r="F3844" s="3">
        <v>42948</v>
      </c>
      <c r="G3844" s="2">
        <v>201802</v>
      </c>
      <c r="H3844" s="2" t="s">
        <v>74</v>
      </c>
      <c r="I3844" s="2" t="s">
        <v>75</v>
      </c>
      <c r="J3844" s="2" t="s">
        <v>76</v>
      </c>
      <c r="K3844" s="2" t="s">
        <v>77</v>
      </c>
      <c r="L3844" s="2" t="s">
        <v>74</v>
      </c>
      <c r="M3844" s="2" t="s">
        <v>75</v>
      </c>
      <c r="N3844" s="2" t="s">
        <v>407</v>
      </c>
      <c r="O3844" s="2" t="s">
        <v>100</v>
      </c>
      <c r="P3844" s="2" t="str">
        <f>"2170577003                    "</f>
        <v xml:space="preserve">2170577003                    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2.83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0</v>
      </c>
      <c r="AV3844" s="2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2">
        <v>0</v>
      </c>
      <c r="BD3844" s="2">
        <v>0</v>
      </c>
      <c r="BE3844" s="2">
        <v>0</v>
      </c>
      <c r="BF3844" s="2">
        <v>0</v>
      </c>
      <c r="BG3844" s="2">
        <v>0</v>
      </c>
      <c r="BH3844" s="2">
        <v>1</v>
      </c>
      <c r="BI3844" s="2">
        <v>2</v>
      </c>
      <c r="BJ3844" s="2">
        <v>0.2</v>
      </c>
      <c r="BK3844" s="2">
        <v>2</v>
      </c>
      <c r="BL3844" s="2">
        <v>32.08</v>
      </c>
      <c r="BM3844" s="2">
        <v>4.49</v>
      </c>
      <c r="BN3844" s="2">
        <v>36.57</v>
      </c>
      <c r="BO3844" s="2">
        <v>36.57</v>
      </c>
      <c r="BP3844" s="2"/>
      <c r="BQ3844" s="2" t="s">
        <v>108</v>
      </c>
      <c r="BR3844" s="2" t="s">
        <v>84</v>
      </c>
      <c r="BS3844" s="3">
        <v>42949</v>
      </c>
      <c r="BT3844" s="4">
        <v>0.33402777777777781</v>
      </c>
      <c r="BU3844" s="2" t="s">
        <v>935</v>
      </c>
      <c r="BV3844" s="2" t="s">
        <v>95</v>
      </c>
      <c r="BW3844" s="2"/>
      <c r="BX3844" s="2"/>
      <c r="BY3844" s="2">
        <v>1200</v>
      </c>
      <c r="BZ3844" s="2" t="s">
        <v>27</v>
      </c>
      <c r="CA3844" s="2" t="s">
        <v>267</v>
      </c>
      <c r="CB3844" s="2"/>
      <c r="CC3844" s="2" t="s">
        <v>75</v>
      </c>
      <c r="CD3844" s="2">
        <v>1645</v>
      </c>
      <c r="CE3844" s="2" t="s">
        <v>104</v>
      </c>
      <c r="CF3844" s="5">
        <v>42950</v>
      </c>
      <c r="CG3844" s="2"/>
      <c r="CH3844" s="2"/>
      <c r="CI3844" s="2">
        <v>1</v>
      </c>
      <c r="CJ3844" s="2">
        <v>1</v>
      </c>
      <c r="CK3844" s="2">
        <v>22</v>
      </c>
      <c r="CL3844" s="2" t="s">
        <v>86</v>
      </c>
      <c r="CM3844" s="2"/>
    </row>
    <row r="3845" spans="1:91">
      <c r="A3845" s="2" t="s">
        <v>71</v>
      </c>
      <c r="B3845" s="2" t="s">
        <v>72</v>
      </c>
      <c r="C3845" s="2" t="s">
        <v>73</v>
      </c>
      <c r="D3845" s="2"/>
      <c r="E3845" s="2" t="str">
        <f>"FES1162565911"</f>
        <v>FES1162565911</v>
      </c>
      <c r="F3845" s="3">
        <v>42948</v>
      </c>
      <c r="G3845" s="2">
        <v>201802</v>
      </c>
      <c r="H3845" s="2" t="s">
        <v>74</v>
      </c>
      <c r="I3845" s="2" t="s">
        <v>75</v>
      </c>
      <c r="J3845" s="2" t="s">
        <v>76</v>
      </c>
      <c r="K3845" s="2" t="s">
        <v>77</v>
      </c>
      <c r="L3845" s="2" t="s">
        <v>97</v>
      </c>
      <c r="M3845" s="2" t="s">
        <v>98</v>
      </c>
      <c r="N3845" s="2" t="s">
        <v>3694</v>
      </c>
      <c r="O3845" s="2" t="s">
        <v>100</v>
      </c>
      <c r="P3845" s="2" t="str">
        <f>"2170582482                    "</f>
        <v xml:space="preserve">2170582482                    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3.63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2">
        <v>0</v>
      </c>
      <c r="BD3845" s="2">
        <v>0</v>
      </c>
      <c r="BE3845" s="2">
        <v>0</v>
      </c>
      <c r="BF3845" s="2">
        <v>0</v>
      </c>
      <c r="BG3845" s="2">
        <v>0</v>
      </c>
      <c r="BH3845" s="2">
        <v>1</v>
      </c>
      <c r="BI3845" s="2">
        <v>1</v>
      </c>
      <c r="BJ3845" s="2">
        <v>0.2</v>
      </c>
      <c r="BK3845" s="2">
        <v>1</v>
      </c>
      <c r="BL3845" s="2">
        <v>41.07</v>
      </c>
      <c r="BM3845" s="2">
        <v>5.75</v>
      </c>
      <c r="BN3845" s="2">
        <v>46.82</v>
      </c>
      <c r="BO3845" s="2">
        <v>46.82</v>
      </c>
      <c r="BP3845" s="2"/>
      <c r="BQ3845" s="2" t="s">
        <v>108</v>
      </c>
      <c r="BR3845" s="2" t="s">
        <v>84</v>
      </c>
      <c r="BS3845" s="3">
        <v>42949</v>
      </c>
      <c r="BT3845" s="4">
        <v>0.41180555555555554</v>
      </c>
      <c r="BU3845" s="2" t="s">
        <v>3695</v>
      </c>
      <c r="BV3845" s="2" t="s">
        <v>95</v>
      </c>
      <c r="BW3845" s="2"/>
      <c r="BX3845" s="2"/>
      <c r="BY3845" s="2">
        <v>1200</v>
      </c>
      <c r="BZ3845" s="2" t="s">
        <v>27</v>
      </c>
      <c r="CA3845" s="2" t="s">
        <v>3280</v>
      </c>
      <c r="CB3845" s="2"/>
      <c r="CC3845" s="2" t="s">
        <v>98</v>
      </c>
      <c r="CD3845" s="2">
        <v>6100</v>
      </c>
      <c r="CE3845" s="2" t="s">
        <v>3630</v>
      </c>
      <c r="CF3845" s="5">
        <v>42950</v>
      </c>
      <c r="CG3845" s="2"/>
      <c r="CH3845" s="2"/>
      <c r="CI3845" s="2">
        <v>1</v>
      </c>
      <c r="CJ3845" s="2">
        <v>1</v>
      </c>
      <c r="CK3845" s="2">
        <v>21</v>
      </c>
      <c r="CL3845" s="2" t="s">
        <v>86</v>
      </c>
      <c r="CM3845" s="2"/>
    </row>
    <row r="3846" spans="1:91">
      <c r="A3846" s="2" t="s">
        <v>71</v>
      </c>
      <c r="B3846" s="2" t="s">
        <v>72</v>
      </c>
      <c r="C3846" s="2" t="s">
        <v>73</v>
      </c>
      <c r="D3846" s="2"/>
      <c r="E3846" s="2" t="str">
        <f>"FES1162566079"</f>
        <v>FES1162566079</v>
      </c>
      <c r="F3846" s="3">
        <v>42948</v>
      </c>
      <c r="G3846" s="2">
        <v>201802</v>
      </c>
      <c r="H3846" s="2" t="s">
        <v>74</v>
      </c>
      <c r="I3846" s="2" t="s">
        <v>75</v>
      </c>
      <c r="J3846" s="2" t="s">
        <v>76</v>
      </c>
      <c r="K3846" s="2" t="s">
        <v>77</v>
      </c>
      <c r="L3846" s="2" t="s">
        <v>268</v>
      </c>
      <c r="M3846" s="2" t="s">
        <v>269</v>
      </c>
      <c r="N3846" s="2" t="s">
        <v>982</v>
      </c>
      <c r="O3846" s="2" t="s">
        <v>100</v>
      </c>
      <c r="P3846" s="2" t="str">
        <f>"2170582641                    "</f>
        <v xml:space="preserve">2170582641                    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3.63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2">
        <v>0</v>
      </c>
      <c r="BD3846" s="2">
        <v>0</v>
      </c>
      <c r="BE3846" s="2">
        <v>0</v>
      </c>
      <c r="BF3846" s="2">
        <v>0</v>
      </c>
      <c r="BG3846" s="2">
        <v>0</v>
      </c>
      <c r="BH3846" s="2">
        <v>1</v>
      </c>
      <c r="BI3846" s="2">
        <v>1</v>
      </c>
      <c r="BJ3846" s="2">
        <v>0.2</v>
      </c>
      <c r="BK3846" s="2">
        <v>1</v>
      </c>
      <c r="BL3846" s="2">
        <v>41.07</v>
      </c>
      <c r="BM3846" s="2">
        <v>5.75</v>
      </c>
      <c r="BN3846" s="2">
        <v>46.82</v>
      </c>
      <c r="BO3846" s="2">
        <v>46.82</v>
      </c>
      <c r="BP3846" s="2"/>
      <c r="BQ3846" s="2" t="s">
        <v>108</v>
      </c>
      <c r="BR3846" s="2" t="s">
        <v>84</v>
      </c>
      <c r="BS3846" s="3">
        <v>42949</v>
      </c>
      <c r="BT3846" s="4">
        <v>0.40625</v>
      </c>
      <c r="BU3846" s="2" t="s">
        <v>984</v>
      </c>
      <c r="BV3846" s="2" t="s">
        <v>95</v>
      </c>
      <c r="BW3846" s="2"/>
      <c r="BX3846" s="2"/>
      <c r="BY3846" s="2">
        <v>1200</v>
      </c>
      <c r="BZ3846" s="2" t="s">
        <v>27</v>
      </c>
      <c r="CA3846" s="2" t="s">
        <v>272</v>
      </c>
      <c r="CB3846" s="2"/>
      <c r="CC3846" s="2" t="s">
        <v>269</v>
      </c>
      <c r="CD3846" s="2">
        <v>200</v>
      </c>
      <c r="CE3846" s="2" t="s">
        <v>3630</v>
      </c>
      <c r="CF3846" s="5">
        <v>42950</v>
      </c>
      <c r="CG3846" s="2"/>
      <c r="CH3846" s="2"/>
      <c r="CI3846" s="2">
        <v>1</v>
      </c>
      <c r="CJ3846" s="2">
        <v>1</v>
      </c>
      <c r="CK3846" s="2">
        <v>21</v>
      </c>
      <c r="CL3846" s="2" t="s">
        <v>86</v>
      </c>
      <c r="CM3846" s="2"/>
    </row>
    <row r="3847" spans="1:91">
      <c r="A3847" s="2" t="s">
        <v>71</v>
      </c>
      <c r="B3847" s="2" t="s">
        <v>72</v>
      </c>
      <c r="C3847" s="2" t="s">
        <v>73</v>
      </c>
      <c r="D3847" s="2"/>
      <c r="E3847" s="2" t="str">
        <f>"FES1162566004"</f>
        <v>FES1162566004</v>
      </c>
      <c r="F3847" s="3">
        <v>42948</v>
      </c>
      <c r="G3847" s="2">
        <v>201802</v>
      </c>
      <c r="H3847" s="2" t="s">
        <v>74</v>
      </c>
      <c r="I3847" s="2" t="s">
        <v>75</v>
      </c>
      <c r="J3847" s="2" t="s">
        <v>76</v>
      </c>
      <c r="K3847" s="2" t="s">
        <v>77</v>
      </c>
      <c r="L3847" s="2" t="s">
        <v>244</v>
      </c>
      <c r="M3847" s="2" t="s">
        <v>245</v>
      </c>
      <c r="N3847" s="2" t="s">
        <v>424</v>
      </c>
      <c r="O3847" s="2" t="s">
        <v>100</v>
      </c>
      <c r="P3847" s="2" t="str">
        <f>"2170582556                    "</f>
        <v xml:space="preserve">2170582556                    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2.83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2">
        <v>0</v>
      </c>
      <c r="BD3847" s="2">
        <v>0</v>
      </c>
      <c r="BE3847" s="2">
        <v>0</v>
      </c>
      <c r="BF3847" s="2">
        <v>0</v>
      </c>
      <c r="BG3847" s="2">
        <v>0</v>
      </c>
      <c r="BH3847" s="2">
        <v>1</v>
      </c>
      <c r="BI3847" s="2">
        <v>1</v>
      </c>
      <c r="BJ3847" s="2">
        <v>0.2</v>
      </c>
      <c r="BK3847" s="2">
        <v>1</v>
      </c>
      <c r="BL3847" s="2">
        <v>32.08</v>
      </c>
      <c r="BM3847" s="2">
        <v>4.49</v>
      </c>
      <c r="BN3847" s="2">
        <v>36.57</v>
      </c>
      <c r="BO3847" s="2">
        <v>36.57</v>
      </c>
      <c r="BP3847" s="2"/>
      <c r="BQ3847" s="2" t="s">
        <v>108</v>
      </c>
      <c r="BR3847" s="2" t="s">
        <v>84</v>
      </c>
      <c r="BS3847" s="3">
        <v>42949</v>
      </c>
      <c r="BT3847" s="4">
        <v>0.36458333333333331</v>
      </c>
      <c r="BU3847" s="2" t="s">
        <v>3696</v>
      </c>
      <c r="BV3847" s="2" t="s">
        <v>95</v>
      </c>
      <c r="BW3847" s="2"/>
      <c r="BX3847" s="2"/>
      <c r="BY3847" s="2">
        <v>1200</v>
      </c>
      <c r="BZ3847" s="2" t="s">
        <v>27</v>
      </c>
      <c r="CA3847" s="2" t="s">
        <v>426</v>
      </c>
      <c r="CB3847" s="2"/>
      <c r="CC3847" s="2" t="s">
        <v>245</v>
      </c>
      <c r="CD3847" s="2">
        <v>1459</v>
      </c>
      <c r="CE3847" s="2" t="s">
        <v>104</v>
      </c>
      <c r="CF3847" s="5">
        <v>42950</v>
      </c>
      <c r="CG3847" s="2"/>
      <c r="CH3847" s="2"/>
      <c r="CI3847" s="2">
        <v>1</v>
      </c>
      <c r="CJ3847" s="2">
        <v>1</v>
      </c>
      <c r="CK3847" s="2">
        <v>22</v>
      </c>
      <c r="CL3847" s="2" t="s">
        <v>86</v>
      </c>
      <c r="CM3847" s="2"/>
    </row>
    <row r="3848" spans="1:91">
      <c r="A3848" s="2" t="s">
        <v>71</v>
      </c>
      <c r="B3848" s="2" t="s">
        <v>72</v>
      </c>
      <c r="C3848" s="2" t="s">
        <v>73</v>
      </c>
      <c r="D3848" s="2"/>
      <c r="E3848" s="2" t="str">
        <f>"FES1162566076"</f>
        <v>FES1162566076</v>
      </c>
      <c r="F3848" s="3">
        <v>42948</v>
      </c>
      <c r="G3848" s="2">
        <v>201802</v>
      </c>
      <c r="H3848" s="2" t="s">
        <v>74</v>
      </c>
      <c r="I3848" s="2" t="s">
        <v>75</v>
      </c>
      <c r="J3848" s="2" t="s">
        <v>76</v>
      </c>
      <c r="K3848" s="2" t="s">
        <v>77</v>
      </c>
      <c r="L3848" s="2" t="s">
        <v>149</v>
      </c>
      <c r="M3848" s="2" t="s">
        <v>150</v>
      </c>
      <c r="N3848" s="2" t="s">
        <v>1356</v>
      </c>
      <c r="O3848" s="2" t="s">
        <v>100</v>
      </c>
      <c r="P3848" s="2" t="str">
        <f>"2170582634                    "</f>
        <v xml:space="preserve">2170582634                    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3.63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0</v>
      </c>
      <c r="AV3848" s="2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2">
        <v>0</v>
      </c>
      <c r="BD3848" s="2">
        <v>0</v>
      </c>
      <c r="BE3848" s="2">
        <v>0</v>
      </c>
      <c r="BF3848" s="2">
        <v>0</v>
      </c>
      <c r="BG3848" s="2">
        <v>0</v>
      </c>
      <c r="BH3848" s="2">
        <v>1</v>
      </c>
      <c r="BI3848" s="2">
        <v>1.4</v>
      </c>
      <c r="BJ3848" s="2">
        <v>1.6</v>
      </c>
      <c r="BK3848" s="2">
        <v>2</v>
      </c>
      <c r="BL3848" s="2">
        <v>41.07</v>
      </c>
      <c r="BM3848" s="2">
        <v>5.75</v>
      </c>
      <c r="BN3848" s="2">
        <v>46.82</v>
      </c>
      <c r="BO3848" s="2">
        <v>46.82</v>
      </c>
      <c r="BP3848" s="2"/>
      <c r="BQ3848" s="2" t="s">
        <v>108</v>
      </c>
      <c r="BR3848" s="2" t="s">
        <v>84</v>
      </c>
      <c r="BS3848" s="3">
        <v>42949</v>
      </c>
      <c r="BT3848" s="4">
        <v>0.38194444444444442</v>
      </c>
      <c r="BU3848" s="2" t="s">
        <v>3697</v>
      </c>
      <c r="BV3848" s="2" t="s">
        <v>95</v>
      </c>
      <c r="BW3848" s="2"/>
      <c r="BX3848" s="2"/>
      <c r="BY3848" s="2">
        <v>7981.29</v>
      </c>
      <c r="BZ3848" s="2" t="s">
        <v>27</v>
      </c>
      <c r="CA3848" s="2"/>
      <c r="CB3848" s="2"/>
      <c r="CC3848" s="2" t="s">
        <v>150</v>
      </c>
      <c r="CD3848" s="2">
        <v>4051</v>
      </c>
      <c r="CE3848" s="2" t="s">
        <v>104</v>
      </c>
      <c r="CF3848" s="5">
        <v>42950</v>
      </c>
      <c r="CG3848" s="2"/>
      <c r="CH3848" s="2"/>
      <c r="CI3848" s="2">
        <v>1</v>
      </c>
      <c r="CJ3848" s="2">
        <v>1</v>
      </c>
      <c r="CK3848" s="2">
        <v>21</v>
      </c>
      <c r="CL3848" s="2" t="s">
        <v>86</v>
      </c>
      <c r="CM3848" s="2"/>
    </row>
    <row r="3849" spans="1:91">
      <c r="A3849" s="2" t="s">
        <v>71</v>
      </c>
      <c r="B3849" s="2" t="s">
        <v>72</v>
      </c>
      <c r="C3849" s="2" t="s">
        <v>73</v>
      </c>
      <c r="D3849" s="2"/>
      <c r="E3849" s="2" t="str">
        <f>"FES1162565854"</f>
        <v>FES1162565854</v>
      </c>
      <c r="F3849" s="3">
        <v>42948</v>
      </c>
      <c r="G3849" s="2">
        <v>201802</v>
      </c>
      <c r="H3849" s="2" t="s">
        <v>74</v>
      </c>
      <c r="I3849" s="2" t="s">
        <v>75</v>
      </c>
      <c r="J3849" s="2" t="s">
        <v>76</v>
      </c>
      <c r="K3849" s="2" t="s">
        <v>77</v>
      </c>
      <c r="L3849" s="2" t="s">
        <v>311</v>
      </c>
      <c r="M3849" s="2" t="s">
        <v>312</v>
      </c>
      <c r="N3849" s="2" t="s">
        <v>3698</v>
      </c>
      <c r="O3849" s="2" t="s">
        <v>100</v>
      </c>
      <c r="P3849" s="2" t="str">
        <f>"2170580177                    "</f>
        <v xml:space="preserve">2170580177                    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2.83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0</v>
      </c>
      <c r="AU3849" s="2">
        <v>0</v>
      </c>
      <c r="AV3849" s="2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2">
        <v>0</v>
      </c>
      <c r="BD3849" s="2">
        <v>0</v>
      </c>
      <c r="BE3849" s="2">
        <v>0</v>
      </c>
      <c r="BF3849" s="2">
        <v>0</v>
      </c>
      <c r="BG3849" s="2">
        <v>0</v>
      </c>
      <c r="BH3849" s="2">
        <v>1</v>
      </c>
      <c r="BI3849" s="2">
        <v>1</v>
      </c>
      <c r="BJ3849" s="2">
        <v>0.2</v>
      </c>
      <c r="BK3849" s="2">
        <v>1</v>
      </c>
      <c r="BL3849" s="2">
        <v>32.08</v>
      </c>
      <c r="BM3849" s="2">
        <v>4.49</v>
      </c>
      <c r="BN3849" s="2">
        <v>36.57</v>
      </c>
      <c r="BO3849" s="2">
        <v>36.57</v>
      </c>
      <c r="BP3849" s="2"/>
      <c r="BQ3849" s="2" t="s">
        <v>108</v>
      </c>
      <c r="BR3849" s="2" t="s">
        <v>84</v>
      </c>
      <c r="BS3849" s="3">
        <v>42949</v>
      </c>
      <c r="BT3849" s="4">
        <v>0.31736111111111115</v>
      </c>
      <c r="BU3849" s="2" t="s">
        <v>3699</v>
      </c>
      <c r="BV3849" s="2" t="s">
        <v>95</v>
      </c>
      <c r="BW3849" s="2"/>
      <c r="BX3849" s="2"/>
      <c r="BY3849" s="2">
        <v>1200</v>
      </c>
      <c r="BZ3849" s="2" t="s">
        <v>27</v>
      </c>
      <c r="CA3849" s="2" t="s">
        <v>889</v>
      </c>
      <c r="CB3849" s="2"/>
      <c r="CC3849" s="2" t="s">
        <v>312</v>
      </c>
      <c r="CD3849" s="2">
        <v>1560</v>
      </c>
      <c r="CE3849" s="2" t="s">
        <v>104</v>
      </c>
      <c r="CF3849" s="5">
        <v>42950</v>
      </c>
      <c r="CG3849" s="2"/>
      <c r="CH3849" s="2"/>
      <c r="CI3849" s="2">
        <v>1</v>
      </c>
      <c r="CJ3849" s="2">
        <v>1</v>
      </c>
      <c r="CK3849" s="2">
        <v>22</v>
      </c>
      <c r="CL3849" s="2" t="s">
        <v>86</v>
      </c>
      <c r="CM3849" s="2"/>
    </row>
    <row r="3850" spans="1:91">
      <c r="A3850" s="2" t="s">
        <v>71</v>
      </c>
      <c r="B3850" s="2" t="s">
        <v>72</v>
      </c>
      <c r="C3850" s="2" t="s">
        <v>73</v>
      </c>
      <c r="D3850" s="2"/>
      <c r="E3850" s="2" t="str">
        <f>"FES1162566073"</f>
        <v>FES1162566073</v>
      </c>
      <c r="F3850" s="3">
        <v>42948</v>
      </c>
      <c r="G3850" s="2">
        <v>201802</v>
      </c>
      <c r="H3850" s="2" t="s">
        <v>74</v>
      </c>
      <c r="I3850" s="2" t="s">
        <v>75</v>
      </c>
      <c r="J3850" s="2" t="s">
        <v>76</v>
      </c>
      <c r="K3850" s="2" t="s">
        <v>77</v>
      </c>
      <c r="L3850" s="2" t="s">
        <v>306</v>
      </c>
      <c r="M3850" s="2" t="s">
        <v>307</v>
      </c>
      <c r="N3850" s="2" t="s">
        <v>3387</v>
      </c>
      <c r="O3850" s="2" t="s">
        <v>100</v>
      </c>
      <c r="P3850" s="2" t="str">
        <f>"2170582628                    "</f>
        <v xml:space="preserve">2170582628                    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3.63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2">
        <v>0</v>
      </c>
      <c r="BD3850" s="2">
        <v>0</v>
      </c>
      <c r="BE3850" s="2">
        <v>0</v>
      </c>
      <c r="BF3850" s="2">
        <v>0</v>
      </c>
      <c r="BG3850" s="2">
        <v>0</v>
      </c>
      <c r="BH3850" s="2">
        <v>1</v>
      </c>
      <c r="BI3850" s="2">
        <v>1</v>
      </c>
      <c r="BJ3850" s="2">
        <v>0.2</v>
      </c>
      <c r="BK3850" s="2">
        <v>1</v>
      </c>
      <c r="BL3850" s="2">
        <v>41.07</v>
      </c>
      <c r="BM3850" s="2">
        <v>5.75</v>
      </c>
      <c r="BN3850" s="2">
        <v>46.82</v>
      </c>
      <c r="BO3850" s="2">
        <v>46.82</v>
      </c>
      <c r="BP3850" s="2"/>
      <c r="BQ3850" s="2" t="s">
        <v>108</v>
      </c>
      <c r="BR3850" s="2" t="s">
        <v>84</v>
      </c>
      <c r="BS3850" s="3">
        <v>42949</v>
      </c>
      <c r="BT3850" s="4">
        <v>0.39583333333333331</v>
      </c>
      <c r="BU3850" s="2" t="s">
        <v>155</v>
      </c>
      <c r="BV3850" s="2" t="s">
        <v>95</v>
      </c>
      <c r="BW3850" s="2"/>
      <c r="BX3850" s="2"/>
      <c r="BY3850" s="2">
        <v>1200</v>
      </c>
      <c r="BZ3850" s="2" t="s">
        <v>27</v>
      </c>
      <c r="CA3850" s="2" t="s">
        <v>1575</v>
      </c>
      <c r="CB3850" s="2"/>
      <c r="CC3850" s="2" t="s">
        <v>307</v>
      </c>
      <c r="CD3850" s="2">
        <v>1939</v>
      </c>
      <c r="CE3850" s="2" t="s">
        <v>3630</v>
      </c>
      <c r="CF3850" s="5">
        <v>42950</v>
      </c>
      <c r="CG3850" s="2"/>
      <c r="CH3850" s="2"/>
      <c r="CI3850" s="2">
        <v>1</v>
      </c>
      <c r="CJ3850" s="2">
        <v>1</v>
      </c>
      <c r="CK3850" s="2">
        <v>21</v>
      </c>
      <c r="CL3850" s="2" t="s">
        <v>86</v>
      </c>
      <c r="CM3850" s="2"/>
    </row>
    <row r="3851" spans="1:91">
      <c r="A3851" s="2" t="s">
        <v>71</v>
      </c>
      <c r="B3851" s="2" t="s">
        <v>72</v>
      </c>
      <c r="C3851" s="2" t="s">
        <v>73</v>
      </c>
      <c r="D3851" s="2"/>
      <c r="E3851" s="2" t="str">
        <f>"FES1162565837"</f>
        <v>FES1162565837</v>
      </c>
      <c r="F3851" s="3">
        <v>42948</v>
      </c>
      <c r="G3851" s="2">
        <v>201802</v>
      </c>
      <c r="H3851" s="2" t="s">
        <v>74</v>
      </c>
      <c r="I3851" s="2" t="s">
        <v>75</v>
      </c>
      <c r="J3851" s="2" t="s">
        <v>76</v>
      </c>
      <c r="K3851" s="2" t="s">
        <v>77</v>
      </c>
      <c r="L3851" s="2" t="s">
        <v>268</v>
      </c>
      <c r="M3851" s="2" t="s">
        <v>269</v>
      </c>
      <c r="N3851" s="2" t="s">
        <v>368</v>
      </c>
      <c r="O3851" s="2" t="s">
        <v>100</v>
      </c>
      <c r="P3851" s="2" t="str">
        <f>"2170581898                    "</f>
        <v xml:space="preserve">2170581898                    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3.63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0</v>
      </c>
      <c r="AV3851" s="2">
        <v>0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2">
        <v>0</v>
      </c>
      <c r="BD3851" s="2">
        <v>0</v>
      </c>
      <c r="BE3851" s="2">
        <v>0</v>
      </c>
      <c r="BF3851" s="2">
        <v>0</v>
      </c>
      <c r="BG3851" s="2">
        <v>0</v>
      </c>
      <c r="BH3851" s="2">
        <v>1</v>
      </c>
      <c r="BI3851" s="2">
        <v>1</v>
      </c>
      <c r="BJ3851" s="2">
        <v>0.2</v>
      </c>
      <c r="BK3851" s="2">
        <v>1</v>
      </c>
      <c r="BL3851" s="2">
        <v>41.07</v>
      </c>
      <c r="BM3851" s="2">
        <v>5.75</v>
      </c>
      <c r="BN3851" s="2">
        <v>46.82</v>
      </c>
      <c r="BO3851" s="2">
        <v>46.82</v>
      </c>
      <c r="BP3851" s="2"/>
      <c r="BQ3851" s="2" t="s">
        <v>108</v>
      </c>
      <c r="BR3851" s="2" t="s">
        <v>84</v>
      </c>
      <c r="BS3851" s="3">
        <v>42949</v>
      </c>
      <c r="BT3851" s="4">
        <v>0.34652777777777777</v>
      </c>
      <c r="BU3851" s="2" t="s">
        <v>369</v>
      </c>
      <c r="BV3851" s="2" t="s">
        <v>95</v>
      </c>
      <c r="BW3851" s="2"/>
      <c r="BX3851" s="2"/>
      <c r="BY3851" s="2">
        <v>1200</v>
      </c>
      <c r="BZ3851" s="2" t="s">
        <v>27</v>
      </c>
      <c r="CA3851" s="2"/>
      <c r="CB3851" s="2"/>
      <c r="CC3851" s="2" t="s">
        <v>269</v>
      </c>
      <c r="CD3851" s="2">
        <v>157</v>
      </c>
      <c r="CE3851" s="2" t="s">
        <v>3630</v>
      </c>
      <c r="CF3851" s="5">
        <v>42950</v>
      </c>
      <c r="CG3851" s="2"/>
      <c r="CH3851" s="2"/>
      <c r="CI3851" s="2">
        <v>1</v>
      </c>
      <c r="CJ3851" s="2">
        <v>1</v>
      </c>
      <c r="CK3851" s="2">
        <v>21</v>
      </c>
      <c r="CL3851" s="2" t="s">
        <v>86</v>
      </c>
      <c r="CM3851" s="2"/>
    </row>
    <row r="3852" spans="1:91">
      <c r="A3852" s="2" t="s">
        <v>71</v>
      </c>
      <c r="B3852" s="2" t="s">
        <v>72</v>
      </c>
      <c r="C3852" s="2" t="s">
        <v>73</v>
      </c>
      <c r="D3852" s="2"/>
      <c r="E3852" s="2" t="str">
        <f>"FES1162566062"</f>
        <v>FES1162566062</v>
      </c>
      <c r="F3852" s="3">
        <v>42948</v>
      </c>
      <c r="G3852" s="2">
        <v>201802</v>
      </c>
      <c r="H3852" s="2" t="s">
        <v>74</v>
      </c>
      <c r="I3852" s="2" t="s">
        <v>75</v>
      </c>
      <c r="J3852" s="2" t="s">
        <v>76</v>
      </c>
      <c r="K3852" s="2" t="s">
        <v>77</v>
      </c>
      <c r="L3852" s="2" t="s">
        <v>306</v>
      </c>
      <c r="M3852" s="2" t="s">
        <v>307</v>
      </c>
      <c r="N3852" s="2" t="s">
        <v>316</v>
      </c>
      <c r="O3852" s="2" t="s">
        <v>100</v>
      </c>
      <c r="P3852" s="2" t="str">
        <f>"2170582562                    "</f>
        <v xml:space="preserve">2170582562                    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3.63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0</v>
      </c>
      <c r="AV3852" s="2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0</v>
      </c>
      <c r="BC3852" s="2">
        <v>0</v>
      </c>
      <c r="BD3852" s="2">
        <v>0</v>
      </c>
      <c r="BE3852" s="2">
        <v>0</v>
      </c>
      <c r="BF3852" s="2">
        <v>0</v>
      </c>
      <c r="BG3852" s="2">
        <v>0</v>
      </c>
      <c r="BH3852" s="2">
        <v>1</v>
      </c>
      <c r="BI3852" s="2">
        <v>1</v>
      </c>
      <c r="BJ3852" s="2">
        <v>0.2</v>
      </c>
      <c r="BK3852" s="2">
        <v>1</v>
      </c>
      <c r="BL3852" s="2">
        <v>41.07</v>
      </c>
      <c r="BM3852" s="2">
        <v>5.75</v>
      </c>
      <c r="BN3852" s="2">
        <v>46.82</v>
      </c>
      <c r="BO3852" s="2">
        <v>46.82</v>
      </c>
      <c r="BP3852" s="2"/>
      <c r="BQ3852" s="2" t="s">
        <v>108</v>
      </c>
      <c r="BR3852" s="2" t="s">
        <v>84</v>
      </c>
      <c r="BS3852" s="3">
        <v>42949</v>
      </c>
      <c r="BT3852" s="4">
        <v>0.40972222222222227</v>
      </c>
      <c r="BU3852" s="2" t="s">
        <v>3700</v>
      </c>
      <c r="BV3852" s="2" t="s">
        <v>95</v>
      </c>
      <c r="BW3852" s="2"/>
      <c r="BX3852" s="2"/>
      <c r="BY3852" s="2">
        <v>1200</v>
      </c>
      <c r="BZ3852" s="2" t="s">
        <v>27</v>
      </c>
      <c r="CA3852" s="2" t="s">
        <v>951</v>
      </c>
      <c r="CB3852" s="2"/>
      <c r="CC3852" s="2" t="s">
        <v>307</v>
      </c>
      <c r="CD3852" s="2">
        <v>1873</v>
      </c>
      <c r="CE3852" s="2" t="s">
        <v>3630</v>
      </c>
      <c r="CF3852" s="5">
        <v>42950</v>
      </c>
      <c r="CG3852" s="2"/>
      <c r="CH3852" s="2"/>
      <c r="CI3852" s="2">
        <v>1</v>
      </c>
      <c r="CJ3852" s="2">
        <v>1</v>
      </c>
      <c r="CK3852" s="2">
        <v>21</v>
      </c>
      <c r="CL3852" s="2" t="s">
        <v>86</v>
      </c>
      <c r="CM3852" s="2"/>
    </row>
    <row r="3853" spans="1:91">
      <c r="A3853" s="2" t="s">
        <v>71</v>
      </c>
      <c r="B3853" s="2" t="s">
        <v>72</v>
      </c>
      <c r="C3853" s="2" t="s">
        <v>73</v>
      </c>
      <c r="D3853" s="2"/>
      <c r="E3853" s="2" t="str">
        <f>"FES1162565874"</f>
        <v>FES1162565874</v>
      </c>
      <c r="F3853" s="3">
        <v>42948</v>
      </c>
      <c r="G3853" s="2">
        <v>201802</v>
      </c>
      <c r="H3853" s="2" t="s">
        <v>74</v>
      </c>
      <c r="I3853" s="2" t="s">
        <v>75</v>
      </c>
      <c r="J3853" s="2" t="s">
        <v>76</v>
      </c>
      <c r="K3853" s="2" t="s">
        <v>77</v>
      </c>
      <c r="L3853" s="2" t="s">
        <v>170</v>
      </c>
      <c r="M3853" s="2" t="s">
        <v>171</v>
      </c>
      <c r="N3853" s="2" t="s">
        <v>3701</v>
      </c>
      <c r="O3853" s="2" t="s">
        <v>100</v>
      </c>
      <c r="P3853" s="2" t="str">
        <f>"2170582443                    "</f>
        <v xml:space="preserve">2170582443                    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2.83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0</v>
      </c>
      <c r="AV3853" s="2">
        <v>0</v>
      </c>
      <c r="AW3853" s="2">
        <v>0</v>
      </c>
      <c r="AX3853" s="2">
        <v>0</v>
      </c>
      <c r="AY3853" s="2">
        <v>0</v>
      </c>
      <c r="AZ3853" s="2">
        <v>0</v>
      </c>
      <c r="BA3853" s="2">
        <v>0</v>
      </c>
      <c r="BB3853" s="2">
        <v>0</v>
      </c>
      <c r="BC3853" s="2">
        <v>0</v>
      </c>
      <c r="BD3853" s="2">
        <v>0</v>
      </c>
      <c r="BE3853" s="2">
        <v>0</v>
      </c>
      <c r="BF3853" s="2">
        <v>0</v>
      </c>
      <c r="BG3853" s="2">
        <v>0</v>
      </c>
      <c r="BH3853" s="2">
        <v>1</v>
      </c>
      <c r="BI3853" s="2">
        <v>1</v>
      </c>
      <c r="BJ3853" s="2">
        <v>0.2</v>
      </c>
      <c r="BK3853" s="2">
        <v>1</v>
      </c>
      <c r="BL3853" s="2">
        <v>32.08</v>
      </c>
      <c r="BM3853" s="2">
        <v>4.49</v>
      </c>
      <c r="BN3853" s="2">
        <v>36.57</v>
      </c>
      <c r="BO3853" s="2">
        <v>36.57</v>
      </c>
      <c r="BP3853" s="2"/>
      <c r="BQ3853" s="2" t="s">
        <v>108</v>
      </c>
      <c r="BR3853" s="2" t="s">
        <v>84</v>
      </c>
      <c r="BS3853" s="3">
        <v>42950</v>
      </c>
      <c r="BT3853" s="4">
        <v>0.33263888888888887</v>
      </c>
      <c r="BU3853" s="2" t="s">
        <v>330</v>
      </c>
      <c r="BV3853" s="2" t="s">
        <v>86</v>
      </c>
      <c r="BW3853" s="2"/>
      <c r="BX3853" s="2"/>
      <c r="BY3853" s="2">
        <v>1200</v>
      </c>
      <c r="BZ3853" s="2" t="s">
        <v>27</v>
      </c>
      <c r="CA3853" s="2"/>
      <c r="CB3853" s="2"/>
      <c r="CC3853" s="2" t="s">
        <v>171</v>
      </c>
      <c r="CD3853" s="2">
        <v>1401</v>
      </c>
      <c r="CE3853" s="2" t="s">
        <v>104</v>
      </c>
      <c r="CF3853" s="5">
        <v>42951</v>
      </c>
      <c r="CG3853" s="2"/>
      <c r="CH3853" s="2"/>
      <c r="CI3853" s="2">
        <v>1</v>
      </c>
      <c r="CJ3853" s="2">
        <v>2</v>
      </c>
      <c r="CK3853" s="2">
        <v>22</v>
      </c>
      <c r="CL3853" s="2" t="s">
        <v>86</v>
      </c>
      <c r="CM3853" s="2"/>
    </row>
    <row r="3854" spans="1:91">
      <c r="A3854" s="2" t="s">
        <v>71</v>
      </c>
      <c r="B3854" s="2" t="s">
        <v>72</v>
      </c>
      <c r="C3854" s="2" t="s">
        <v>73</v>
      </c>
      <c r="D3854" s="2"/>
      <c r="E3854" s="2" t="str">
        <f>"FES1162566074"</f>
        <v>FES1162566074</v>
      </c>
      <c r="F3854" s="3">
        <v>42948</v>
      </c>
      <c r="G3854" s="2">
        <v>201802</v>
      </c>
      <c r="H3854" s="2" t="s">
        <v>74</v>
      </c>
      <c r="I3854" s="2" t="s">
        <v>75</v>
      </c>
      <c r="J3854" s="2" t="s">
        <v>76</v>
      </c>
      <c r="K3854" s="2" t="s">
        <v>77</v>
      </c>
      <c r="L3854" s="2" t="s">
        <v>105</v>
      </c>
      <c r="M3854" s="2" t="s">
        <v>106</v>
      </c>
      <c r="N3854" s="2" t="s">
        <v>107</v>
      </c>
      <c r="O3854" s="2" t="s">
        <v>100</v>
      </c>
      <c r="P3854" s="2" t="str">
        <f>"2170582629                    "</f>
        <v xml:space="preserve">2170582629                    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3.63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0</v>
      </c>
      <c r="AV3854" s="2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2">
        <v>0</v>
      </c>
      <c r="BD3854" s="2">
        <v>0</v>
      </c>
      <c r="BE3854" s="2">
        <v>0</v>
      </c>
      <c r="BF3854" s="2">
        <v>0</v>
      </c>
      <c r="BG3854" s="2">
        <v>0</v>
      </c>
      <c r="BH3854" s="2">
        <v>1</v>
      </c>
      <c r="BI3854" s="2">
        <v>1</v>
      </c>
      <c r="BJ3854" s="2">
        <v>2</v>
      </c>
      <c r="BK3854" s="2">
        <v>2</v>
      </c>
      <c r="BL3854" s="2">
        <v>41.07</v>
      </c>
      <c r="BM3854" s="2">
        <v>5.75</v>
      </c>
      <c r="BN3854" s="2">
        <v>46.82</v>
      </c>
      <c r="BO3854" s="2">
        <v>46.82</v>
      </c>
      <c r="BP3854" s="2"/>
      <c r="BQ3854" s="2" t="s">
        <v>108</v>
      </c>
      <c r="BR3854" s="2" t="s">
        <v>84</v>
      </c>
      <c r="BS3854" s="3">
        <v>42949</v>
      </c>
      <c r="BT3854" s="4">
        <v>0.40486111111111112</v>
      </c>
      <c r="BU3854" s="2" t="s">
        <v>3702</v>
      </c>
      <c r="BV3854" s="2" t="s">
        <v>95</v>
      </c>
      <c r="BW3854" s="2"/>
      <c r="BX3854" s="2"/>
      <c r="BY3854" s="2">
        <v>9900</v>
      </c>
      <c r="BZ3854" s="2" t="s">
        <v>27</v>
      </c>
      <c r="CA3854" s="2" t="s">
        <v>856</v>
      </c>
      <c r="CB3854" s="2"/>
      <c r="CC3854" s="2" t="s">
        <v>106</v>
      </c>
      <c r="CD3854" s="2">
        <v>7405</v>
      </c>
      <c r="CE3854" s="2" t="s">
        <v>259</v>
      </c>
      <c r="CF3854" s="5">
        <v>42949</v>
      </c>
      <c r="CG3854" s="2"/>
      <c r="CH3854" s="2"/>
      <c r="CI3854" s="2">
        <v>1</v>
      </c>
      <c r="CJ3854" s="2">
        <v>1</v>
      </c>
      <c r="CK3854" s="2">
        <v>21</v>
      </c>
      <c r="CL3854" s="2" t="s">
        <v>86</v>
      </c>
      <c r="CM3854" s="2"/>
    </row>
    <row r="3855" spans="1:91">
      <c r="A3855" s="2" t="s">
        <v>71</v>
      </c>
      <c r="B3855" s="2" t="s">
        <v>72</v>
      </c>
      <c r="C3855" s="2" t="s">
        <v>73</v>
      </c>
      <c r="D3855" s="2"/>
      <c r="E3855" s="2" t="str">
        <f>"FES1162565823"</f>
        <v>FES1162565823</v>
      </c>
      <c r="F3855" s="3">
        <v>42948</v>
      </c>
      <c r="G3855" s="2">
        <v>201802</v>
      </c>
      <c r="H3855" s="2" t="s">
        <v>74</v>
      </c>
      <c r="I3855" s="2" t="s">
        <v>75</v>
      </c>
      <c r="J3855" s="2" t="s">
        <v>76</v>
      </c>
      <c r="K3855" s="2" t="s">
        <v>77</v>
      </c>
      <c r="L3855" s="2" t="s">
        <v>144</v>
      </c>
      <c r="M3855" s="2" t="s">
        <v>145</v>
      </c>
      <c r="N3855" s="2" t="s">
        <v>146</v>
      </c>
      <c r="O3855" s="2" t="s">
        <v>100</v>
      </c>
      <c r="P3855" s="2" t="str">
        <f>"2170581617                    "</f>
        <v xml:space="preserve">2170581617                    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2.83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0</v>
      </c>
      <c r="AV3855" s="2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2">
        <v>0</v>
      </c>
      <c r="BD3855" s="2">
        <v>0</v>
      </c>
      <c r="BE3855" s="2">
        <v>0</v>
      </c>
      <c r="BF3855" s="2">
        <v>0</v>
      </c>
      <c r="BG3855" s="2">
        <v>0</v>
      </c>
      <c r="BH3855" s="2">
        <v>1</v>
      </c>
      <c r="BI3855" s="2">
        <v>1</v>
      </c>
      <c r="BJ3855" s="2">
        <v>0.2</v>
      </c>
      <c r="BK3855" s="2">
        <v>1</v>
      </c>
      <c r="BL3855" s="2">
        <v>32.08</v>
      </c>
      <c r="BM3855" s="2">
        <v>4.49</v>
      </c>
      <c r="BN3855" s="2">
        <v>36.57</v>
      </c>
      <c r="BO3855" s="2">
        <v>36.57</v>
      </c>
      <c r="BP3855" s="2"/>
      <c r="BQ3855" s="2" t="s">
        <v>83</v>
      </c>
      <c r="BR3855" s="2" t="s">
        <v>84</v>
      </c>
      <c r="BS3855" s="3">
        <v>42949</v>
      </c>
      <c r="BT3855" s="4">
        <v>0.39513888888888887</v>
      </c>
      <c r="BU3855" s="2" t="s">
        <v>728</v>
      </c>
      <c r="BV3855" s="2" t="s">
        <v>95</v>
      </c>
      <c r="BW3855" s="2"/>
      <c r="BX3855" s="2"/>
      <c r="BY3855" s="2">
        <v>1200</v>
      </c>
      <c r="BZ3855" s="2" t="s">
        <v>27</v>
      </c>
      <c r="CA3855" s="2" t="s">
        <v>729</v>
      </c>
      <c r="CB3855" s="2"/>
      <c r="CC3855" s="2" t="s">
        <v>145</v>
      </c>
      <c r="CD3855" s="2">
        <v>2094</v>
      </c>
      <c r="CE3855" s="2" t="s">
        <v>104</v>
      </c>
      <c r="CF3855" s="5">
        <v>42950</v>
      </c>
      <c r="CG3855" s="2"/>
      <c r="CH3855" s="2"/>
      <c r="CI3855" s="2">
        <v>1</v>
      </c>
      <c r="CJ3855" s="2">
        <v>1</v>
      </c>
      <c r="CK3855" s="2">
        <v>22</v>
      </c>
      <c r="CL3855" s="2" t="s">
        <v>86</v>
      </c>
      <c r="CM3855" s="2"/>
    </row>
    <row r="3856" spans="1:91">
      <c r="A3856" s="2" t="s">
        <v>71</v>
      </c>
      <c r="B3856" s="2" t="s">
        <v>72</v>
      </c>
      <c r="C3856" s="2" t="s">
        <v>73</v>
      </c>
      <c r="D3856" s="2"/>
      <c r="E3856" s="2" t="str">
        <f>"FES1162566060"</f>
        <v>FES1162566060</v>
      </c>
      <c r="F3856" s="3">
        <v>42948</v>
      </c>
      <c r="G3856" s="2">
        <v>201802</v>
      </c>
      <c r="H3856" s="2" t="s">
        <v>74</v>
      </c>
      <c r="I3856" s="2" t="s">
        <v>75</v>
      </c>
      <c r="J3856" s="2" t="s">
        <v>76</v>
      </c>
      <c r="K3856" s="2" t="s">
        <v>77</v>
      </c>
      <c r="L3856" s="2" t="s">
        <v>105</v>
      </c>
      <c r="M3856" s="2" t="s">
        <v>106</v>
      </c>
      <c r="N3856" s="2" t="s">
        <v>705</v>
      </c>
      <c r="O3856" s="2" t="s">
        <v>100</v>
      </c>
      <c r="P3856" s="2" t="str">
        <f>"2170582615                    "</f>
        <v xml:space="preserve">2170582615                    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6.35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0</v>
      </c>
      <c r="AU3856" s="2">
        <v>0</v>
      </c>
      <c r="AV3856" s="2">
        <v>0</v>
      </c>
      <c r="AW3856" s="2">
        <v>0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2">
        <v>0</v>
      </c>
      <c r="BD3856" s="2">
        <v>0</v>
      </c>
      <c r="BE3856" s="2">
        <v>0</v>
      </c>
      <c r="BF3856" s="2">
        <v>0</v>
      </c>
      <c r="BG3856" s="2">
        <v>0</v>
      </c>
      <c r="BH3856" s="2">
        <v>1</v>
      </c>
      <c r="BI3856" s="2">
        <v>1</v>
      </c>
      <c r="BJ3856" s="2">
        <v>3.1</v>
      </c>
      <c r="BK3856" s="2">
        <v>3.5</v>
      </c>
      <c r="BL3856" s="2">
        <v>71.87</v>
      </c>
      <c r="BM3856" s="2">
        <v>10.06</v>
      </c>
      <c r="BN3856" s="2">
        <v>81.93</v>
      </c>
      <c r="BO3856" s="2">
        <v>81.93</v>
      </c>
      <c r="BP3856" s="2"/>
      <c r="BQ3856" s="2" t="s">
        <v>108</v>
      </c>
      <c r="BR3856" s="2" t="s">
        <v>84</v>
      </c>
      <c r="BS3856" s="3">
        <v>42949</v>
      </c>
      <c r="BT3856" s="4">
        <v>0.39097222222222222</v>
      </c>
      <c r="BU3856" s="2" t="s">
        <v>706</v>
      </c>
      <c r="BV3856" s="2" t="s">
        <v>95</v>
      </c>
      <c r="BW3856" s="2"/>
      <c r="BX3856" s="2"/>
      <c r="BY3856" s="2">
        <v>15291.12</v>
      </c>
      <c r="BZ3856" s="2" t="s">
        <v>27</v>
      </c>
      <c r="CA3856" s="2" t="s">
        <v>488</v>
      </c>
      <c r="CB3856" s="2"/>
      <c r="CC3856" s="2" t="s">
        <v>106</v>
      </c>
      <c r="CD3856" s="2">
        <v>7441</v>
      </c>
      <c r="CE3856" s="2" t="s">
        <v>3630</v>
      </c>
      <c r="CF3856" s="5">
        <v>42950</v>
      </c>
      <c r="CG3856" s="2"/>
      <c r="CH3856" s="2"/>
      <c r="CI3856" s="2">
        <v>1</v>
      </c>
      <c r="CJ3856" s="2">
        <v>1</v>
      </c>
      <c r="CK3856" s="2">
        <v>21</v>
      </c>
      <c r="CL3856" s="2" t="s">
        <v>86</v>
      </c>
      <c r="CM3856" s="2"/>
    </row>
    <row r="3857" spans="1:91">
      <c r="A3857" s="2" t="s">
        <v>71</v>
      </c>
      <c r="B3857" s="2" t="s">
        <v>72</v>
      </c>
      <c r="C3857" s="2" t="s">
        <v>73</v>
      </c>
      <c r="D3857" s="2"/>
      <c r="E3857" s="2" t="str">
        <f>"FES1162565818"</f>
        <v>FES1162565818</v>
      </c>
      <c r="F3857" s="3">
        <v>42948</v>
      </c>
      <c r="G3857" s="2">
        <v>201802</v>
      </c>
      <c r="H3857" s="2" t="s">
        <v>74</v>
      </c>
      <c r="I3857" s="2" t="s">
        <v>75</v>
      </c>
      <c r="J3857" s="2" t="s">
        <v>76</v>
      </c>
      <c r="K3857" s="2" t="s">
        <v>77</v>
      </c>
      <c r="L3857" s="2" t="s">
        <v>149</v>
      </c>
      <c r="M3857" s="2" t="s">
        <v>150</v>
      </c>
      <c r="N3857" s="2" t="s">
        <v>1751</v>
      </c>
      <c r="O3857" s="2" t="s">
        <v>358</v>
      </c>
      <c r="P3857" s="2" t="str">
        <f>"2170580369                    "</f>
        <v xml:space="preserve">2170580369                    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23.81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0</v>
      </c>
      <c r="AV3857" s="2">
        <v>0</v>
      </c>
      <c r="AW3857" s="2">
        <v>0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2">
        <v>0</v>
      </c>
      <c r="BD3857" s="2">
        <v>0</v>
      </c>
      <c r="BE3857" s="2">
        <v>0</v>
      </c>
      <c r="BF3857" s="2">
        <v>0</v>
      </c>
      <c r="BG3857" s="2">
        <v>0</v>
      </c>
      <c r="BH3857" s="2">
        <v>1</v>
      </c>
      <c r="BI3857" s="2">
        <v>13.7</v>
      </c>
      <c r="BJ3857" s="2">
        <v>9.5</v>
      </c>
      <c r="BK3857" s="2">
        <v>14</v>
      </c>
      <c r="BL3857" s="2">
        <v>269.51</v>
      </c>
      <c r="BM3857" s="2">
        <v>37.729999999999997</v>
      </c>
      <c r="BN3857" s="2">
        <v>307.24</v>
      </c>
      <c r="BO3857" s="2">
        <v>307.24</v>
      </c>
      <c r="BP3857" s="2"/>
      <c r="BQ3857" s="2" t="s">
        <v>83</v>
      </c>
      <c r="BR3857" s="2" t="s">
        <v>84</v>
      </c>
      <c r="BS3857" s="3">
        <v>42949</v>
      </c>
      <c r="BT3857" s="4">
        <v>0.45069444444444445</v>
      </c>
      <c r="BU3857" s="2" t="s">
        <v>3703</v>
      </c>
      <c r="BV3857" s="2" t="s">
        <v>95</v>
      </c>
      <c r="BW3857" s="2"/>
      <c r="BX3857" s="2"/>
      <c r="BY3857" s="2">
        <v>47282.66</v>
      </c>
      <c r="BZ3857" s="2" t="s">
        <v>27</v>
      </c>
      <c r="CA3857" s="2" t="s">
        <v>484</v>
      </c>
      <c r="CB3857" s="2"/>
      <c r="CC3857" s="2" t="s">
        <v>150</v>
      </c>
      <c r="CD3857" s="2">
        <v>4001</v>
      </c>
      <c r="CE3857" s="2" t="s">
        <v>89</v>
      </c>
      <c r="CF3857" s="5">
        <v>42950</v>
      </c>
      <c r="CG3857" s="2"/>
      <c r="CH3857" s="2"/>
      <c r="CI3857" s="2">
        <v>1</v>
      </c>
      <c r="CJ3857" s="2">
        <v>1</v>
      </c>
      <c r="CK3857" s="2">
        <v>31</v>
      </c>
      <c r="CL3857" s="2" t="s">
        <v>86</v>
      </c>
      <c r="CM3857" s="2"/>
    </row>
    <row r="3858" spans="1:91">
      <c r="A3858" s="2" t="s">
        <v>71</v>
      </c>
      <c r="B3858" s="2" t="s">
        <v>72</v>
      </c>
      <c r="C3858" s="2" t="s">
        <v>73</v>
      </c>
      <c r="D3858" s="2"/>
      <c r="E3858" s="2" t="str">
        <f>"FES1162566072"</f>
        <v>FES1162566072</v>
      </c>
      <c r="F3858" s="3">
        <v>42948</v>
      </c>
      <c r="G3858" s="2">
        <v>201802</v>
      </c>
      <c r="H3858" s="2" t="s">
        <v>74</v>
      </c>
      <c r="I3858" s="2" t="s">
        <v>75</v>
      </c>
      <c r="J3858" s="2" t="s">
        <v>76</v>
      </c>
      <c r="K3858" s="2" t="s">
        <v>77</v>
      </c>
      <c r="L3858" s="2" t="s">
        <v>105</v>
      </c>
      <c r="M3858" s="2" t="s">
        <v>106</v>
      </c>
      <c r="N3858" s="2" t="s">
        <v>1080</v>
      </c>
      <c r="O3858" s="2" t="s">
        <v>100</v>
      </c>
      <c r="P3858" s="2" t="str">
        <f>"2170582627                    "</f>
        <v xml:space="preserve">2170582627                    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3.63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0</v>
      </c>
      <c r="AV3858" s="2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2">
        <v>0</v>
      </c>
      <c r="BD3858" s="2">
        <v>0</v>
      </c>
      <c r="BE3858" s="2">
        <v>0</v>
      </c>
      <c r="BF3858" s="2">
        <v>0</v>
      </c>
      <c r="BG3858" s="2">
        <v>0</v>
      </c>
      <c r="BH3858" s="2">
        <v>1</v>
      </c>
      <c r="BI3858" s="2">
        <v>1</v>
      </c>
      <c r="BJ3858" s="2">
        <v>0.2</v>
      </c>
      <c r="BK3858" s="2">
        <v>1</v>
      </c>
      <c r="BL3858" s="2">
        <v>41.07</v>
      </c>
      <c r="BM3858" s="2">
        <v>5.75</v>
      </c>
      <c r="BN3858" s="2">
        <v>46.82</v>
      </c>
      <c r="BO3858" s="2">
        <v>46.82</v>
      </c>
      <c r="BP3858" s="2"/>
      <c r="BQ3858" s="2" t="s">
        <v>108</v>
      </c>
      <c r="BR3858" s="2" t="s">
        <v>84</v>
      </c>
      <c r="BS3858" s="3">
        <v>42949</v>
      </c>
      <c r="BT3858" s="4">
        <v>0.37847222222222227</v>
      </c>
      <c r="BU3858" s="2" t="s">
        <v>3704</v>
      </c>
      <c r="BV3858" s="2" t="s">
        <v>95</v>
      </c>
      <c r="BW3858" s="2"/>
      <c r="BX3858" s="2"/>
      <c r="BY3858" s="2">
        <v>1200</v>
      </c>
      <c r="BZ3858" s="2" t="s">
        <v>27</v>
      </c>
      <c r="CA3858" s="2" t="s">
        <v>748</v>
      </c>
      <c r="CB3858" s="2"/>
      <c r="CC3858" s="2" t="s">
        <v>106</v>
      </c>
      <c r="CD3858" s="2">
        <v>7441</v>
      </c>
      <c r="CE3858" s="2" t="s">
        <v>3630</v>
      </c>
      <c r="CF3858" s="5">
        <v>42950</v>
      </c>
      <c r="CG3858" s="2"/>
      <c r="CH3858" s="2"/>
      <c r="CI3858" s="2">
        <v>1</v>
      </c>
      <c r="CJ3858" s="2">
        <v>1</v>
      </c>
      <c r="CK3858" s="2">
        <v>21</v>
      </c>
      <c r="CL3858" s="2" t="s">
        <v>86</v>
      </c>
      <c r="CM3858" s="2"/>
    </row>
    <row r="3859" spans="1:91">
      <c r="A3859" s="2" t="s">
        <v>71</v>
      </c>
      <c r="B3859" s="2" t="s">
        <v>72</v>
      </c>
      <c r="C3859" s="2" t="s">
        <v>73</v>
      </c>
      <c r="D3859" s="2"/>
      <c r="E3859" s="2" t="str">
        <f>"FES1162565838"</f>
        <v>FES1162565838</v>
      </c>
      <c r="F3859" s="3">
        <v>42948</v>
      </c>
      <c r="G3859" s="2">
        <v>201802</v>
      </c>
      <c r="H3859" s="2" t="s">
        <v>74</v>
      </c>
      <c r="I3859" s="2" t="s">
        <v>75</v>
      </c>
      <c r="J3859" s="2" t="s">
        <v>76</v>
      </c>
      <c r="K3859" s="2" t="s">
        <v>77</v>
      </c>
      <c r="L3859" s="2" t="s">
        <v>268</v>
      </c>
      <c r="M3859" s="2" t="s">
        <v>269</v>
      </c>
      <c r="N3859" s="2" t="s">
        <v>368</v>
      </c>
      <c r="O3859" s="2" t="s">
        <v>100</v>
      </c>
      <c r="P3859" s="2" t="str">
        <f>"2170580498                    "</f>
        <v xml:space="preserve">2170580498                    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3.63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0</v>
      </c>
      <c r="AU3859" s="2">
        <v>0</v>
      </c>
      <c r="AV3859" s="2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2">
        <v>0</v>
      </c>
      <c r="BD3859" s="2">
        <v>0</v>
      </c>
      <c r="BE3859" s="2">
        <v>0</v>
      </c>
      <c r="BF3859" s="2">
        <v>0</v>
      </c>
      <c r="BG3859" s="2">
        <v>0</v>
      </c>
      <c r="BH3859" s="2">
        <v>1</v>
      </c>
      <c r="BI3859" s="2">
        <v>2</v>
      </c>
      <c r="BJ3859" s="2">
        <v>1.7</v>
      </c>
      <c r="BK3859" s="2">
        <v>2</v>
      </c>
      <c r="BL3859" s="2">
        <v>41.07</v>
      </c>
      <c r="BM3859" s="2">
        <v>5.75</v>
      </c>
      <c r="BN3859" s="2">
        <v>46.82</v>
      </c>
      <c r="BO3859" s="2">
        <v>46.82</v>
      </c>
      <c r="BP3859" s="2"/>
      <c r="BQ3859" s="2" t="s">
        <v>108</v>
      </c>
      <c r="BR3859" s="2" t="s">
        <v>84</v>
      </c>
      <c r="BS3859" s="3">
        <v>42949</v>
      </c>
      <c r="BT3859" s="4">
        <v>0.34652777777777777</v>
      </c>
      <c r="BU3859" s="2" t="s">
        <v>369</v>
      </c>
      <c r="BV3859" s="2" t="s">
        <v>95</v>
      </c>
      <c r="BW3859" s="2"/>
      <c r="BX3859" s="2"/>
      <c r="BY3859" s="2">
        <v>8316</v>
      </c>
      <c r="BZ3859" s="2" t="s">
        <v>27</v>
      </c>
      <c r="CA3859" s="2"/>
      <c r="CB3859" s="2"/>
      <c r="CC3859" s="2" t="s">
        <v>269</v>
      </c>
      <c r="CD3859" s="2">
        <v>157</v>
      </c>
      <c r="CE3859" s="2" t="s">
        <v>259</v>
      </c>
      <c r="CF3859" s="5">
        <v>42950</v>
      </c>
      <c r="CG3859" s="2"/>
      <c r="CH3859" s="2"/>
      <c r="CI3859" s="2">
        <v>1</v>
      </c>
      <c r="CJ3859" s="2">
        <v>1</v>
      </c>
      <c r="CK3859" s="2">
        <v>21</v>
      </c>
      <c r="CL3859" s="2" t="s">
        <v>86</v>
      </c>
      <c r="CM3859" s="2"/>
    </row>
    <row r="3860" spans="1:91">
      <c r="A3860" s="2" t="s">
        <v>71</v>
      </c>
      <c r="B3860" s="2" t="s">
        <v>72</v>
      </c>
      <c r="C3860" s="2" t="s">
        <v>73</v>
      </c>
      <c r="D3860" s="2"/>
      <c r="E3860" s="2" t="str">
        <f>"FES1162566003"</f>
        <v>FES1162566003</v>
      </c>
      <c r="F3860" s="3">
        <v>42948</v>
      </c>
      <c r="G3860" s="2">
        <v>201802</v>
      </c>
      <c r="H3860" s="2" t="s">
        <v>74</v>
      </c>
      <c r="I3860" s="2" t="s">
        <v>75</v>
      </c>
      <c r="J3860" s="2" t="s">
        <v>76</v>
      </c>
      <c r="K3860" s="2" t="s">
        <v>77</v>
      </c>
      <c r="L3860" s="2" t="s">
        <v>105</v>
      </c>
      <c r="M3860" s="2" t="s">
        <v>106</v>
      </c>
      <c r="N3860" s="2" t="s">
        <v>534</v>
      </c>
      <c r="O3860" s="2" t="s">
        <v>100</v>
      </c>
      <c r="P3860" s="2" t="str">
        <f>"2170582554                    "</f>
        <v xml:space="preserve">2170582554                    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3.63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0</v>
      </c>
      <c r="AV3860" s="2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2">
        <v>0</v>
      </c>
      <c r="BD3860" s="2">
        <v>0</v>
      </c>
      <c r="BE3860" s="2">
        <v>0</v>
      </c>
      <c r="BF3860" s="2">
        <v>0</v>
      </c>
      <c r="BG3860" s="2">
        <v>0</v>
      </c>
      <c r="BH3860" s="2">
        <v>1</v>
      </c>
      <c r="BI3860" s="2">
        <v>1</v>
      </c>
      <c r="BJ3860" s="2">
        <v>1.8</v>
      </c>
      <c r="BK3860" s="2">
        <v>2</v>
      </c>
      <c r="BL3860" s="2">
        <v>41.07</v>
      </c>
      <c r="BM3860" s="2">
        <v>5.75</v>
      </c>
      <c r="BN3860" s="2">
        <v>46.82</v>
      </c>
      <c r="BO3860" s="2">
        <v>46.82</v>
      </c>
      <c r="BP3860" s="2"/>
      <c r="BQ3860" s="2" t="s">
        <v>108</v>
      </c>
      <c r="BR3860" s="2" t="s">
        <v>84</v>
      </c>
      <c r="BS3860" s="3">
        <v>42949</v>
      </c>
      <c r="BT3860" s="4">
        <v>0.37152777777777773</v>
      </c>
      <c r="BU3860" s="2" t="s">
        <v>3705</v>
      </c>
      <c r="BV3860" s="2" t="s">
        <v>95</v>
      </c>
      <c r="BW3860" s="2"/>
      <c r="BX3860" s="2"/>
      <c r="BY3860" s="2">
        <v>8859.74</v>
      </c>
      <c r="BZ3860" s="2" t="s">
        <v>27</v>
      </c>
      <c r="CA3860" s="2" t="s">
        <v>856</v>
      </c>
      <c r="CB3860" s="2"/>
      <c r="CC3860" s="2" t="s">
        <v>106</v>
      </c>
      <c r="CD3860" s="2">
        <v>7405</v>
      </c>
      <c r="CE3860" s="2" t="s">
        <v>3630</v>
      </c>
      <c r="CF3860" s="5">
        <v>42950</v>
      </c>
      <c r="CG3860" s="2"/>
      <c r="CH3860" s="2"/>
      <c r="CI3860" s="2">
        <v>1</v>
      </c>
      <c r="CJ3860" s="2">
        <v>1</v>
      </c>
      <c r="CK3860" s="2">
        <v>21</v>
      </c>
      <c r="CL3860" s="2" t="s">
        <v>86</v>
      </c>
      <c r="CM3860" s="2"/>
    </row>
    <row r="3861" spans="1:91">
      <c r="A3861" s="2" t="s">
        <v>71</v>
      </c>
      <c r="B3861" s="2" t="s">
        <v>72</v>
      </c>
      <c r="C3861" s="2" t="s">
        <v>73</v>
      </c>
      <c r="D3861" s="2"/>
      <c r="E3861" s="2" t="str">
        <f>"FES1162565842"</f>
        <v>FES1162565842</v>
      </c>
      <c r="F3861" s="3">
        <v>42948</v>
      </c>
      <c r="G3861" s="2">
        <v>201802</v>
      </c>
      <c r="H3861" s="2" t="s">
        <v>74</v>
      </c>
      <c r="I3861" s="2" t="s">
        <v>75</v>
      </c>
      <c r="J3861" s="2" t="s">
        <v>76</v>
      </c>
      <c r="K3861" s="2" t="s">
        <v>77</v>
      </c>
      <c r="L3861" s="2" t="s">
        <v>604</v>
      </c>
      <c r="M3861" s="2" t="s">
        <v>605</v>
      </c>
      <c r="N3861" s="2" t="s">
        <v>391</v>
      </c>
      <c r="O3861" s="2" t="s">
        <v>100</v>
      </c>
      <c r="P3861" s="2" t="str">
        <f>"2170581298                    "</f>
        <v xml:space="preserve">2170581298                    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12.7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0</v>
      </c>
      <c r="AV3861" s="2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2">
        <v>0</v>
      </c>
      <c r="BD3861" s="2">
        <v>0</v>
      </c>
      <c r="BE3861" s="2">
        <v>0</v>
      </c>
      <c r="BF3861" s="2">
        <v>0</v>
      </c>
      <c r="BG3861" s="2">
        <v>0</v>
      </c>
      <c r="BH3861" s="2">
        <v>1</v>
      </c>
      <c r="BI3861" s="2">
        <v>7</v>
      </c>
      <c r="BJ3861" s="2">
        <v>1.4</v>
      </c>
      <c r="BK3861" s="2">
        <v>7</v>
      </c>
      <c r="BL3861" s="2">
        <v>143.74</v>
      </c>
      <c r="BM3861" s="2">
        <v>20.12</v>
      </c>
      <c r="BN3861" s="2">
        <v>163.86</v>
      </c>
      <c r="BO3861" s="2">
        <v>163.86</v>
      </c>
      <c r="BP3861" s="2"/>
      <c r="BQ3861" s="2" t="s">
        <v>83</v>
      </c>
      <c r="BR3861" s="2" t="s">
        <v>84</v>
      </c>
      <c r="BS3861" s="3">
        <v>42949</v>
      </c>
      <c r="BT3861" s="4">
        <v>0.37083333333333335</v>
      </c>
      <c r="BU3861" s="2" t="s">
        <v>3424</v>
      </c>
      <c r="BV3861" s="2" t="s">
        <v>95</v>
      </c>
      <c r="BW3861" s="2"/>
      <c r="BX3861" s="2"/>
      <c r="BY3861" s="2">
        <v>6857.5</v>
      </c>
      <c r="BZ3861" s="2" t="s">
        <v>27</v>
      </c>
      <c r="CA3861" s="2" t="s">
        <v>607</v>
      </c>
      <c r="CB3861" s="2"/>
      <c r="CC3861" s="2" t="s">
        <v>605</v>
      </c>
      <c r="CD3861" s="2">
        <v>4126</v>
      </c>
      <c r="CE3861" s="2" t="s">
        <v>259</v>
      </c>
      <c r="CF3861" s="5">
        <v>42950</v>
      </c>
      <c r="CG3861" s="2"/>
      <c r="CH3861" s="2"/>
      <c r="CI3861" s="2">
        <v>1</v>
      </c>
      <c r="CJ3861" s="2">
        <v>1</v>
      </c>
      <c r="CK3861" s="2">
        <v>21</v>
      </c>
      <c r="CL3861" s="2" t="s">
        <v>86</v>
      </c>
      <c r="CM3861" s="2"/>
    </row>
    <row r="3862" spans="1:91">
      <c r="A3862" s="2" t="s">
        <v>71</v>
      </c>
      <c r="B3862" s="2" t="s">
        <v>72</v>
      </c>
      <c r="C3862" s="2" t="s">
        <v>73</v>
      </c>
      <c r="D3862" s="2"/>
      <c r="E3862" s="2" t="str">
        <f>"FES1162566050"</f>
        <v>FES1162566050</v>
      </c>
      <c r="F3862" s="3">
        <v>42948</v>
      </c>
      <c r="G3862" s="2">
        <v>201802</v>
      </c>
      <c r="H3862" s="2" t="s">
        <v>74</v>
      </c>
      <c r="I3862" s="2" t="s">
        <v>75</v>
      </c>
      <c r="J3862" s="2" t="s">
        <v>76</v>
      </c>
      <c r="K3862" s="2" t="s">
        <v>77</v>
      </c>
      <c r="L3862" s="2" t="s">
        <v>539</v>
      </c>
      <c r="M3862" s="2" t="s">
        <v>540</v>
      </c>
      <c r="N3862" s="2" t="s">
        <v>541</v>
      </c>
      <c r="O3862" s="2" t="s">
        <v>100</v>
      </c>
      <c r="P3862" s="2" t="str">
        <f>"2170582609                    "</f>
        <v xml:space="preserve">2170582609                    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2.83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0</v>
      </c>
      <c r="AV3862" s="2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2">
        <v>0</v>
      </c>
      <c r="BD3862" s="2">
        <v>0</v>
      </c>
      <c r="BE3862" s="2">
        <v>0</v>
      </c>
      <c r="BF3862" s="2">
        <v>0</v>
      </c>
      <c r="BG3862" s="2">
        <v>0</v>
      </c>
      <c r="BH3862" s="2">
        <v>1</v>
      </c>
      <c r="BI3862" s="2">
        <v>6.4</v>
      </c>
      <c r="BJ3862" s="2">
        <v>3.3</v>
      </c>
      <c r="BK3862" s="2">
        <v>7</v>
      </c>
      <c r="BL3862" s="2">
        <v>32.08</v>
      </c>
      <c r="BM3862" s="2">
        <v>4.49</v>
      </c>
      <c r="BN3862" s="2">
        <v>36.57</v>
      </c>
      <c r="BO3862" s="2">
        <v>36.57</v>
      </c>
      <c r="BP3862" s="2"/>
      <c r="BQ3862" s="2" t="s">
        <v>108</v>
      </c>
      <c r="BR3862" s="2" t="s">
        <v>84</v>
      </c>
      <c r="BS3862" s="3">
        <v>42949</v>
      </c>
      <c r="BT3862" s="4">
        <v>0.41666666666666669</v>
      </c>
      <c r="BU3862" s="2" t="s">
        <v>2667</v>
      </c>
      <c r="BV3862" s="2" t="s">
        <v>95</v>
      </c>
      <c r="BW3862" s="2"/>
      <c r="BX3862" s="2"/>
      <c r="BY3862" s="2">
        <v>16531.2</v>
      </c>
      <c r="BZ3862" s="2" t="s">
        <v>27</v>
      </c>
      <c r="CA3862" s="2" t="s">
        <v>722</v>
      </c>
      <c r="CB3862" s="2"/>
      <c r="CC3862" s="2" t="s">
        <v>540</v>
      </c>
      <c r="CD3862" s="2">
        <v>2162</v>
      </c>
      <c r="CE3862" s="2" t="s">
        <v>89</v>
      </c>
      <c r="CF3862" s="5">
        <v>42950</v>
      </c>
      <c r="CG3862" s="2"/>
      <c r="CH3862" s="2"/>
      <c r="CI3862" s="2">
        <v>1</v>
      </c>
      <c r="CJ3862" s="2">
        <v>1</v>
      </c>
      <c r="CK3862" s="2">
        <v>22</v>
      </c>
      <c r="CL3862" s="2" t="s">
        <v>86</v>
      </c>
      <c r="CM3862" s="2"/>
    </row>
    <row r="3863" spans="1:91">
      <c r="A3863" s="2" t="s">
        <v>71</v>
      </c>
      <c r="B3863" s="2" t="s">
        <v>72</v>
      </c>
      <c r="C3863" s="2" t="s">
        <v>73</v>
      </c>
      <c r="D3863" s="2"/>
      <c r="E3863" s="2" t="str">
        <f>"FES1162566013"</f>
        <v>FES1162566013</v>
      </c>
      <c r="F3863" s="3">
        <v>42948</v>
      </c>
      <c r="G3863" s="2">
        <v>201802</v>
      </c>
      <c r="H3863" s="2" t="s">
        <v>74</v>
      </c>
      <c r="I3863" s="2" t="s">
        <v>75</v>
      </c>
      <c r="J3863" s="2" t="s">
        <v>76</v>
      </c>
      <c r="K3863" s="2" t="s">
        <v>77</v>
      </c>
      <c r="L3863" s="2" t="s">
        <v>149</v>
      </c>
      <c r="M3863" s="2" t="s">
        <v>150</v>
      </c>
      <c r="N3863" s="2" t="s">
        <v>463</v>
      </c>
      <c r="O3863" s="2" t="s">
        <v>100</v>
      </c>
      <c r="P3863" s="2" t="str">
        <f>"2170582007                    "</f>
        <v xml:space="preserve">2170582007                    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3.63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0</v>
      </c>
      <c r="AU3863" s="2">
        <v>0</v>
      </c>
      <c r="AV3863" s="2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2">
        <v>0</v>
      </c>
      <c r="BD3863" s="2">
        <v>0</v>
      </c>
      <c r="BE3863" s="2">
        <v>0</v>
      </c>
      <c r="BF3863" s="2">
        <v>0</v>
      </c>
      <c r="BG3863" s="2">
        <v>0</v>
      </c>
      <c r="BH3863" s="2">
        <v>1</v>
      </c>
      <c r="BI3863" s="2">
        <v>1</v>
      </c>
      <c r="BJ3863" s="2">
        <v>0.2</v>
      </c>
      <c r="BK3863" s="2">
        <v>1</v>
      </c>
      <c r="BL3863" s="2">
        <v>41.07</v>
      </c>
      <c r="BM3863" s="2">
        <v>5.75</v>
      </c>
      <c r="BN3863" s="2">
        <v>46.82</v>
      </c>
      <c r="BO3863" s="2">
        <v>46.82</v>
      </c>
      <c r="BP3863" s="2"/>
      <c r="BQ3863" s="2" t="s">
        <v>108</v>
      </c>
      <c r="BR3863" s="2" t="s">
        <v>84</v>
      </c>
      <c r="BS3863" s="3">
        <v>42949</v>
      </c>
      <c r="BT3863" s="4">
        <v>0.41666666666666669</v>
      </c>
      <c r="BU3863" s="2" t="s">
        <v>1882</v>
      </c>
      <c r="BV3863" s="2" t="s">
        <v>95</v>
      </c>
      <c r="BW3863" s="2"/>
      <c r="BX3863" s="2"/>
      <c r="BY3863" s="2">
        <v>1200</v>
      </c>
      <c r="BZ3863" s="2" t="s">
        <v>27</v>
      </c>
      <c r="CA3863" s="2"/>
      <c r="CB3863" s="2"/>
      <c r="CC3863" s="2" t="s">
        <v>150</v>
      </c>
      <c r="CD3863" s="2">
        <v>4001</v>
      </c>
      <c r="CE3863" s="2" t="s">
        <v>3630</v>
      </c>
      <c r="CF3863" s="5">
        <v>42951</v>
      </c>
      <c r="CG3863" s="2"/>
      <c r="CH3863" s="2"/>
      <c r="CI3863" s="2">
        <v>1</v>
      </c>
      <c r="CJ3863" s="2">
        <v>1</v>
      </c>
      <c r="CK3863" s="2">
        <v>21</v>
      </c>
      <c r="CL3863" s="2" t="s">
        <v>86</v>
      </c>
      <c r="CM3863" s="2"/>
    </row>
    <row r="3864" spans="1:91">
      <c r="A3864" s="2" t="s">
        <v>71</v>
      </c>
      <c r="B3864" s="2" t="s">
        <v>72</v>
      </c>
      <c r="C3864" s="2" t="s">
        <v>73</v>
      </c>
      <c r="D3864" s="2"/>
      <c r="E3864" s="2" t="str">
        <f>"FES1162565957"</f>
        <v>FES1162565957</v>
      </c>
      <c r="F3864" s="3">
        <v>42948</v>
      </c>
      <c r="G3864" s="2">
        <v>201802</v>
      </c>
      <c r="H3864" s="2" t="s">
        <v>74</v>
      </c>
      <c r="I3864" s="2" t="s">
        <v>75</v>
      </c>
      <c r="J3864" s="2" t="s">
        <v>76</v>
      </c>
      <c r="K3864" s="2" t="s">
        <v>77</v>
      </c>
      <c r="L3864" s="2" t="s">
        <v>105</v>
      </c>
      <c r="M3864" s="2" t="s">
        <v>106</v>
      </c>
      <c r="N3864" s="2" t="s">
        <v>107</v>
      </c>
      <c r="O3864" s="2" t="s">
        <v>100</v>
      </c>
      <c r="P3864" s="2" t="str">
        <f>"2170582509                    "</f>
        <v xml:space="preserve">2170582509                    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3.63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0</v>
      </c>
      <c r="AV3864" s="2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2">
        <v>0</v>
      </c>
      <c r="BD3864" s="2">
        <v>0</v>
      </c>
      <c r="BE3864" s="2">
        <v>0</v>
      </c>
      <c r="BF3864" s="2">
        <v>0</v>
      </c>
      <c r="BG3864" s="2">
        <v>0</v>
      </c>
      <c r="BH3864" s="2">
        <v>1</v>
      </c>
      <c r="BI3864" s="2">
        <v>1</v>
      </c>
      <c r="BJ3864" s="2">
        <v>0.2</v>
      </c>
      <c r="BK3864" s="2">
        <v>1</v>
      </c>
      <c r="BL3864" s="2">
        <v>41.07</v>
      </c>
      <c r="BM3864" s="2">
        <v>5.75</v>
      </c>
      <c r="BN3864" s="2">
        <v>46.82</v>
      </c>
      <c r="BO3864" s="2">
        <v>46.82</v>
      </c>
      <c r="BP3864" s="2"/>
      <c r="BQ3864" s="2" t="s">
        <v>108</v>
      </c>
      <c r="BR3864" s="2" t="s">
        <v>84</v>
      </c>
      <c r="BS3864" s="3">
        <v>42949</v>
      </c>
      <c r="BT3864" s="4">
        <v>0.40486111111111112</v>
      </c>
      <c r="BU3864" s="2" t="s">
        <v>3702</v>
      </c>
      <c r="BV3864" s="2" t="s">
        <v>95</v>
      </c>
      <c r="BW3864" s="2"/>
      <c r="BX3864" s="2"/>
      <c r="BY3864" s="2">
        <v>1200</v>
      </c>
      <c r="BZ3864" s="2" t="s">
        <v>27</v>
      </c>
      <c r="CA3864" s="2" t="s">
        <v>856</v>
      </c>
      <c r="CB3864" s="2"/>
      <c r="CC3864" s="2" t="s">
        <v>106</v>
      </c>
      <c r="CD3864" s="2">
        <v>7405</v>
      </c>
      <c r="CE3864" s="2" t="s">
        <v>3630</v>
      </c>
      <c r="CF3864" s="5">
        <v>42949</v>
      </c>
      <c r="CG3864" s="2"/>
      <c r="CH3864" s="2"/>
      <c r="CI3864" s="2">
        <v>1</v>
      </c>
      <c r="CJ3864" s="2">
        <v>1</v>
      </c>
      <c r="CK3864" s="2">
        <v>21</v>
      </c>
      <c r="CL3864" s="2" t="s">
        <v>86</v>
      </c>
      <c r="CM3864" s="2"/>
    </row>
    <row r="3865" spans="1:91">
      <c r="A3865" s="2" t="s">
        <v>71</v>
      </c>
      <c r="B3865" s="2" t="s">
        <v>72</v>
      </c>
      <c r="C3865" s="2" t="s">
        <v>73</v>
      </c>
      <c r="D3865" s="2"/>
      <c r="E3865" s="2" t="str">
        <f>"FES1162566063"</f>
        <v>FES1162566063</v>
      </c>
      <c r="F3865" s="3">
        <v>42948</v>
      </c>
      <c r="G3865" s="2">
        <v>201802</v>
      </c>
      <c r="H3865" s="2" t="s">
        <v>74</v>
      </c>
      <c r="I3865" s="2" t="s">
        <v>75</v>
      </c>
      <c r="J3865" s="2" t="s">
        <v>76</v>
      </c>
      <c r="K3865" s="2" t="s">
        <v>77</v>
      </c>
      <c r="L3865" s="2" t="s">
        <v>216</v>
      </c>
      <c r="M3865" s="2" t="s">
        <v>217</v>
      </c>
      <c r="N3865" s="2" t="s">
        <v>2337</v>
      </c>
      <c r="O3865" s="2" t="s">
        <v>100</v>
      </c>
      <c r="P3865" s="2" t="str">
        <f>"2170582616                    "</f>
        <v xml:space="preserve">2170582616                    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2.83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0</v>
      </c>
      <c r="AV3865" s="2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2">
        <v>0</v>
      </c>
      <c r="BD3865" s="2">
        <v>0</v>
      </c>
      <c r="BE3865" s="2">
        <v>0</v>
      </c>
      <c r="BF3865" s="2">
        <v>0</v>
      </c>
      <c r="BG3865" s="2">
        <v>0</v>
      </c>
      <c r="BH3865" s="2">
        <v>1</v>
      </c>
      <c r="BI3865" s="2">
        <v>1</v>
      </c>
      <c r="BJ3865" s="2">
        <v>0.2</v>
      </c>
      <c r="BK3865" s="2">
        <v>1</v>
      </c>
      <c r="BL3865" s="2">
        <v>32.08</v>
      </c>
      <c r="BM3865" s="2">
        <v>4.49</v>
      </c>
      <c r="BN3865" s="2">
        <v>36.57</v>
      </c>
      <c r="BO3865" s="2">
        <v>36.57</v>
      </c>
      <c r="BP3865" s="2"/>
      <c r="BQ3865" s="2" t="s">
        <v>108</v>
      </c>
      <c r="BR3865" s="2" t="s">
        <v>84</v>
      </c>
      <c r="BS3865" s="3">
        <v>42949</v>
      </c>
      <c r="BT3865" s="4">
        <v>0.38194444444444442</v>
      </c>
      <c r="BU3865" s="2" t="s">
        <v>3706</v>
      </c>
      <c r="BV3865" s="2" t="s">
        <v>95</v>
      </c>
      <c r="BW3865" s="2"/>
      <c r="BX3865" s="2"/>
      <c r="BY3865" s="2">
        <v>1200</v>
      </c>
      <c r="BZ3865" s="2" t="s">
        <v>27</v>
      </c>
      <c r="CA3865" s="2" t="s">
        <v>3707</v>
      </c>
      <c r="CB3865" s="2"/>
      <c r="CC3865" s="2" t="s">
        <v>217</v>
      </c>
      <c r="CD3865" s="2">
        <v>1451</v>
      </c>
      <c r="CE3865" s="2" t="s">
        <v>104</v>
      </c>
      <c r="CF3865" s="5">
        <v>42950</v>
      </c>
      <c r="CG3865" s="2"/>
      <c r="CH3865" s="2"/>
      <c r="CI3865" s="2">
        <v>1</v>
      </c>
      <c r="CJ3865" s="2">
        <v>1</v>
      </c>
      <c r="CK3865" s="2">
        <v>22</v>
      </c>
      <c r="CL3865" s="2" t="s">
        <v>86</v>
      </c>
      <c r="CM3865" s="2"/>
    </row>
    <row r="3866" spans="1:91">
      <c r="A3866" s="2" t="s">
        <v>71</v>
      </c>
      <c r="B3866" s="2" t="s">
        <v>72</v>
      </c>
      <c r="C3866" s="2" t="s">
        <v>73</v>
      </c>
      <c r="D3866" s="2"/>
      <c r="E3866" s="2" t="str">
        <f>"FES1162565851"</f>
        <v>FES1162565851</v>
      </c>
      <c r="F3866" s="3">
        <v>42948</v>
      </c>
      <c r="G3866" s="2">
        <v>201802</v>
      </c>
      <c r="H3866" s="2" t="s">
        <v>74</v>
      </c>
      <c r="I3866" s="2" t="s">
        <v>75</v>
      </c>
      <c r="J3866" s="2" t="s">
        <v>76</v>
      </c>
      <c r="K3866" s="2" t="s">
        <v>77</v>
      </c>
      <c r="L3866" s="2" t="s">
        <v>144</v>
      </c>
      <c r="M3866" s="2" t="s">
        <v>145</v>
      </c>
      <c r="N3866" s="2" t="s">
        <v>260</v>
      </c>
      <c r="O3866" s="2" t="s">
        <v>100</v>
      </c>
      <c r="P3866" s="2" t="str">
        <f>"2170579820                    "</f>
        <v xml:space="preserve">2170579820                    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2.83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0</v>
      </c>
      <c r="AV3866" s="2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2">
        <v>0</v>
      </c>
      <c r="BD3866" s="2">
        <v>0</v>
      </c>
      <c r="BE3866" s="2">
        <v>0</v>
      </c>
      <c r="BF3866" s="2">
        <v>0</v>
      </c>
      <c r="BG3866" s="2">
        <v>0</v>
      </c>
      <c r="BH3866" s="2">
        <v>1</v>
      </c>
      <c r="BI3866" s="2">
        <v>1</v>
      </c>
      <c r="BJ3866" s="2">
        <v>0.2</v>
      </c>
      <c r="BK3866" s="2">
        <v>1</v>
      </c>
      <c r="BL3866" s="2">
        <v>32.08</v>
      </c>
      <c r="BM3866" s="2">
        <v>4.49</v>
      </c>
      <c r="BN3866" s="2">
        <v>36.57</v>
      </c>
      <c r="BO3866" s="2">
        <v>36.57</v>
      </c>
      <c r="BP3866" s="2"/>
      <c r="BQ3866" s="2" t="s">
        <v>108</v>
      </c>
      <c r="BR3866" s="2" t="s">
        <v>84</v>
      </c>
      <c r="BS3866" s="3">
        <v>42949</v>
      </c>
      <c r="BT3866" s="4">
        <v>0.43263888888888885</v>
      </c>
      <c r="BU3866" s="2" t="s">
        <v>3708</v>
      </c>
      <c r="BV3866" s="2" t="s">
        <v>95</v>
      </c>
      <c r="BW3866" s="2"/>
      <c r="BX3866" s="2"/>
      <c r="BY3866" s="2">
        <v>1200</v>
      </c>
      <c r="BZ3866" s="2" t="s">
        <v>27</v>
      </c>
      <c r="CA3866" s="2" t="s">
        <v>1355</v>
      </c>
      <c r="CB3866" s="2"/>
      <c r="CC3866" s="2" t="s">
        <v>145</v>
      </c>
      <c r="CD3866" s="2">
        <v>2091</v>
      </c>
      <c r="CE3866" s="2" t="s">
        <v>104</v>
      </c>
      <c r="CF3866" s="5">
        <v>42950</v>
      </c>
      <c r="CG3866" s="2"/>
      <c r="CH3866" s="2"/>
      <c r="CI3866" s="2">
        <v>1</v>
      </c>
      <c r="CJ3866" s="2">
        <v>1</v>
      </c>
      <c r="CK3866" s="2">
        <v>22</v>
      </c>
      <c r="CL3866" s="2" t="s">
        <v>86</v>
      </c>
      <c r="CM3866" s="2"/>
    </row>
    <row r="3867" spans="1:91">
      <c r="A3867" s="2" t="s">
        <v>71</v>
      </c>
      <c r="B3867" s="2" t="s">
        <v>72</v>
      </c>
      <c r="C3867" s="2" t="s">
        <v>73</v>
      </c>
      <c r="D3867" s="2"/>
      <c r="E3867" s="2" t="str">
        <f>"FES1162566085"</f>
        <v>FES1162566085</v>
      </c>
      <c r="F3867" s="3">
        <v>42948</v>
      </c>
      <c r="G3867" s="2">
        <v>201802</v>
      </c>
      <c r="H3867" s="2" t="s">
        <v>74</v>
      </c>
      <c r="I3867" s="2" t="s">
        <v>75</v>
      </c>
      <c r="J3867" s="2" t="s">
        <v>76</v>
      </c>
      <c r="K3867" s="2" t="s">
        <v>77</v>
      </c>
      <c r="L3867" s="2" t="s">
        <v>128</v>
      </c>
      <c r="M3867" s="2" t="s">
        <v>129</v>
      </c>
      <c r="N3867" s="2" t="s">
        <v>857</v>
      </c>
      <c r="O3867" s="2" t="s">
        <v>100</v>
      </c>
      <c r="P3867" s="2" t="str">
        <f>"2170582648                    "</f>
        <v xml:space="preserve">2170582648                    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2.83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0</v>
      </c>
      <c r="AV3867" s="2">
        <v>0</v>
      </c>
      <c r="AW3867" s="2">
        <v>0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2">
        <v>0</v>
      </c>
      <c r="BD3867" s="2">
        <v>0</v>
      </c>
      <c r="BE3867" s="2">
        <v>0</v>
      </c>
      <c r="BF3867" s="2">
        <v>0</v>
      </c>
      <c r="BG3867" s="2">
        <v>0</v>
      </c>
      <c r="BH3867" s="2">
        <v>1</v>
      </c>
      <c r="BI3867" s="2">
        <v>1</v>
      </c>
      <c r="BJ3867" s="2">
        <v>0.2</v>
      </c>
      <c r="BK3867" s="2">
        <v>1</v>
      </c>
      <c r="BL3867" s="2">
        <v>32.08</v>
      </c>
      <c r="BM3867" s="2">
        <v>4.49</v>
      </c>
      <c r="BN3867" s="2">
        <v>36.57</v>
      </c>
      <c r="BO3867" s="2">
        <v>36.57</v>
      </c>
      <c r="BP3867" s="2"/>
      <c r="BQ3867" s="2" t="s">
        <v>108</v>
      </c>
      <c r="BR3867" s="2" t="s">
        <v>84</v>
      </c>
      <c r="BS3867" s="3">
        <v>42949</v>
      </c>
      <c r="BT3867" s="4">
        <v>0.39305555555555555</v>
      </c>
      <c r="BU3867" s="2" t="s">
        <v>3709</v>
      </c>
      <c r="BV3867" s="2" t="s">
        <v>95</v>
      </c>
      <c r="BW3867" s="2"/>
      <c r="BX3867" s="2"/>
      <c r="BY3867" s="2">
        <v>1200</v>
      </c>
      <c r="BZ3867" s="2" t="s">
        <v>27</v>
      </c>
      <c r="CA3867" s="2" t="s">
        <v>923</v>
      </c>
      <c r="CB3867" s="2"/>
      <c r="CC3867" s="2" t="s">
        <v>129</v>
      </c>
      <c r="CD3867" s="2">
        <v>1709</v>
      </c>
      <c r="CE3867" s="2" t="s">
        <v>104</v>
      </c>
      <c r="CF3867" s="5">
        <v>42950</v>
      </c>
      <c r="CG3867" s="2"/>
      <c r="CH3867" s="2"/>
      <c r="CI3867" s="2">
        <v>1</v>
      </c>
      <c r="CJ3867" s="2">
        <v>1</v>
      </c>
      <c r="CK3867" s="2">
        <v>22</v>
      </c>
      <c r="CL3867" s="2" t="s">
        <v>86</v>
      </c>
      <c r="CM3867" s="2"/>
    </row>
    <row r="3868" spans="1:91">
      <c r="A3868" s="2" t="s">
        <v>71</v>
      </c>
      <c r="B3868" s="2" t="s">
        <v>72</v>
      </c>
      <c r="C3868" s="2" t="s">
        <v>73</v>
      </c>
      <c r="D3868" s="2"/>
      <c r="E3868" s="2" t="str">
        <f>"FES1162565711"</f>
        <v>FES1162565711</v>
      </c>
      <c r="F3868" s="3">
        <v>42948</v>
      </c>
      <c r="G3868" s="2">
        <v>201802</v>
      </c>
      <c r="H3868" s="2" t="s">
        <v>74</v>
      </c>
      <c r="I3868" s="2" t="s">
        <v>75</v>
      </c>
      <c r="J3868" s="2" t="s">
        <v>76</v>
      </c>
      <c r="K3868" s="2" t="s">
        <v>77</v>
      </c>
      <c r="L3868" s="2" t="s">
        <v>74</v>
      </c>
      <c r="M3868" s="2" t="s">
        <v>75</v>
      </c>
      <c r="N3868" s="2" t="s">
        <v>192</v>
      </c>
      <c r="O3868" s="2" t="s">
        <v>100</v>
      </c>
      <c r="P3868" s="2" t="str">
        <f>"2170578675                    "</f>
        <v xml:space="preserve">2170578675                    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2.83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0</v>
      </c>
      <c r="AV3868" s="2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2">
        <v>0</v>
      </c>
      <c r="BD3868" s="2">
        <v>0</v>
      </c>
      <c r="BE3868" s="2">
        <v>0</v>
      </c>
      <c r="BF3868" s="2">
        <v>0</v>
      </c>
      <c r="BG3868" s="2">
        <v>0</v>
      </c>
      <c r="BH3868" s="2">
        <v>1</v>
      </c>
      <c r="BI3868" s="2">
        <v>1</v>
      </c>
      <c r="BJ3868" s="2">
        <v>0.2</v>
      </c>
      <c r="BK3868" s="2">
        <v>1</v>
      </c>
      <c r="BL3868" s="2">
        <v>32.08</v>
      </c>
      <c r="BM3868" s="2">
        <v>4.49</v>
      </c>
      <c r="BN3868" s="2">
        <v>36.57</v>
      </c>
      <c r="BO3868" s="2">
        <v>36.57</v>
      </c>
      <c r="BP3868" s="2"/>
      <c r="BQ3868" s="2" t="s">
        <v>1934</v>
      </c>
      <c r="BR3868" s="2" t="s">
        <v>84</v>
      </c>
      <c r="BS3868" s="3">
        <v>42949</v>
      </c>
      <c r="BT3868" s="4">
        <v>0.41666666666666669</v>
      </c>
      <c r="BU3868" s="2" t="s">
        <v>3710</v>
      </c>
      <c r="BV3868" s="2" t="s">
        <v>95</v>
      </c>
      <c r="BW3868" s="2"/>
      <c r="BX3868" s="2"/>
      <c r="BY3868" s="2">
        <v>1200</v>
      </c>
      <c r="BZ3868" s="2" t="s">
        <v>27</v>
      </c>
      <c r="CA3868" s="2" t="s">
        <v>148</v>
      </c>
      <c r="CB3868" s="2"/>
      <c r="CC3868" s="2" t="s">
        <v>75</v>
      </c>
      <c r="CD3868" s="2">
        <v>1665</v>
      </c>
      <c r="CE3868" s="2" t="s">
        <v>104</v>
      </c>
      <c r="CF3868" s="5">
        <v>42950</v>
      </c>
      <c r="CG3868" s="2"/>
      <c r="CH3868" s="2"/>
      <c r="CI3868" s="2">
        <v>1</v>
      </c>
      <c r="CJ3868" s="2">
        <v>1</v>
      </c>
      <c r="CK3868" s="2">
        <v>22</v>
      </c>
      <c r="CL3868" s="2" t="s">
        <v>86</v>
      </c>
      <c r="CM3868" s="2"/>
    </row>
    <row r="3869" spans="1:91">
      <c r="A3869" s="2" t="s">
        <v>71</v>
      </c>
      <c r="B3869" s="2" t="s">
        <v>72</v>
      </c>
      <c r="C3869" s="2" t="s">
        <v>73</v>
      </c>
      <c r="D3869" s="2"/>
      <c r="E3869" s="2" t="str">
        <f>"FES1162565875"</f>
        <v>FES1162565875</v>
      </c>
      <c r="F3869" s="3">
        <v>42948</v>
      </c>
      <c r="G3869" s="2">
        <v>201802</v>
      </c>
      <c r="H3869" s="2" t="s">
        <v>74</v>
      </c>
      <c r="I3869" s="2" t="s">
        <v>75</v>
      </c>
      <c r="J3869" s="2" t="s">
        <v>76</v>
      </c>
      <c r="K3869" s="2" t="s">
        <v>77</v>
      </c>
      <c r="L3869" s="2" t="s">
        <v>221</v>
      </c>
      <c r="M3869" s="2" t="s">
        <v>222</v>
      </c>
      <c r="N3869" s="2" t="s">
        <v>415</v>
      </c>
      <c r="O3869" s="2" t="s">
        <v>100</v>
      </c>
      <c r="P3869" s="2" t="str">
        <f>"2170577983                    "</f>
        <v xml:space="preserve">2170577983                    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5.44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0</v>
      </c>
      <c r="AV3869" s="2">
        <v>0</v>
      </c>
      <c r="AW3869" s="2">
        <v>0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2">
        <v>0</v>
      </c>
      <c r="BD3869" s="2">
        <v>0</v>
      </c>
      <c r="BE3869" s="2">
        <v>0</v>
      </c>
      <c r="BF3869" s="2">
        <v>0</v>
      </c>
      <c r="BG3869" s="2">
        <v>0</v>
      </c>
      <c r="BH3869" s="2">
        <v>1</v>
      </c>
      <c r="BI3869" s="2">
        <v>2.7</v>
      </c>
      <c r="BJ3869" s="2">
        <v>1</v>
      </c>
      <c r="BK3869" s="2">
        <v>3</v>
      </c>
      <c r="BL3869" s="2">
        <v>61.6</v>
      </c>
      <c r="BM3869" s="2">
        <v>8.6199999999999992</v>
      </c>
      <c r="BN3869" s="2">
        <v>70.22</v>
      </c>
      <c r="BO3869" s="2">
        <v>70.22</v>
      </c>
      <c r="BP3869" s="2"/>
      <c r="BQ3869" s="2" t="s">
        <v>108</v>
      </c>
      <c r="BR3869" s="2" t="s">
        <v>84</v>
      </c>
      <c r="BS3869" s="3">
        <v>42949</v>
      </c>
      <c r="BT3869" s="4">
        <v>0.36944444444444446</v>
      </c>
      <c r="BU3869" s="2" t="s">
        <v>3663</v>
      </c>
      <c r="BV3869" s="2" t="s">
        <v>95</v>
      </c>
      <c r="BW3869" s="2"/>
      <c r="BX3869" s="2"/>
      <c r="BY3869" s="2">
        <v>5048.68</v>
      </c>
      <c r="BZ3869" s="2" t="s">
        <v>27</v>
      </c>
      <c r="CA3869" s="2" t="s">
        <v>3640</v>
      </c>
      <c r="CB3869" s="2"/>
      <c r="CC3869" s="2" t="s">
        <v>222</v>
      </c>
      <c r="CD3869" s="2">
        <v>4302</v>
      </c>
      <c r="CE3869" s="2" t="s">
        <v>89</v>
      </c>
      <c r="CF3869" s="5">
        <v>42950</v>
      </c>
      <c r="CG3869" s="2"/>
      <c r="CH3869" s="2"/>
      <c r="CI3869" s="2">
        <v>1</v>
      </c>
      <c r="CJ3869" s="2">
        <v>1</v>
      </c>
      <c r="CK3869" s="2">
        <v>21</v>
      </c>
      <c r="CL3869" s="2" t="s">
        <v>86</v>
      </c>
      <c r="CM3869" s="2"/>
    </row>
    <row r="3870" spans="1:91">
      <c r="A3870" s="2" t="s">
        <v>71</v>
      </c>
      <c r="B3870" s="2" t="s">
        <v>72</v>
      </c>
      <c r="C3870" s="2" t="s">
        <v>73</v>
      </c>
      <c r="D3870" s="2"/>
      <c r="E3870" s="2" t="str">
        <f>"FES1162565861"</f>
        <v>FES1162565861</v>
      </c>
      <c r="F3870" s="3">
        <v>42948</v>
      </c>
      <c r="G3870" s="2">
        <v>201802</v>
      </c>
      <c r="H3870" s="2" t="s">
        <v>74</v>
      </c>
      <c r="I3870" s="2" t="s">
        <v>75</v>
      </c>
      <c r="J3870" s="2" t="s">
        <v>76</v>
      </c>
      <c r="K3870" s="2" t="s">
        <v>77</v>
      </c>
      <c r="L3870" s="2" t="s">
        <v>144</v>
      </c>
      <c r="M3870" s="2" t="s">
        <v>145</v>
      </c>
      <c r="N3870" s="2" t="s">
        <v>450</v>
      </c>
      <c r="O3870" s="2" t="s">
        <v>100</v>
      </c>
      <c r="P3870" s="2" t="str">
        <f>"2170581413                    "</f>
        <v xml:space="preserve">2170581413                    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2.83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0</v>
      </c>
      <c r="AV3870" s="2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2">
        <v>0</v>
      </c>
      <c r="BD3870" s="2">
        <v>0</v>
      </c>
      <c r="BE3870" s="2">
        <v>0</v>
      </c>
      <c r="BF3870" s="2">
        <v>0</v>
      </c>
      <c r="BG3870" s="2">
        <v>0</v>
      </c>
      <c r="BH3870" s="2">
        <v>1</v>
      </c>
      <c r="BI3870" s="2">
        <v>1</v>
      </c>
      <c r="BJ3870" s="2">
        <v>0.2</v>
      </c>
      <c r="BK3870" s="2">
        <v>1</v>
      </c>
      <c r="BL3870" s="2">
        <v>32.08</v>
      </c>
      <c r="BM3870" s="2">
        <v>4.49</v>
      </c>
      <c r="BN3870" s="2">
        <v>36.57</v>
      </c>
      <c r="BO3870" s="2">
        <v>36.57</v>
      </c>
      <c r="BP3870" s="2"/>
      <c r="BQ3870" s="2" t="s">
        <v>108</v>
      </c>
      <c r="BR3870" s="2" t="s">
        <v>84</v>
      </c>
      <c r="BS3870" s="3">
        <v>42949</v>
      </c>
      <c r="BT3870" s="4">
        <v>0.37986111111111115</v>
      </c>
      <c r="BU3870" s="2" t="s">
        <v>3668</v>
      </c>
      <c r="BV3870" s="2" t="s">
        <v>95</v>
      </c>
      <c r="BW3870" s="2"/>
      <c r="BX3870" s="2"/>
      <c r="BY3870" s="2">
        <v>1200</v>
      </c>
      <c r="BZ3870" s="2" t="s">
        <v>27</v>
      </c>
      <c r="CA3870" s="2" t="s">
        <v>729</v>
      </c>
      <c r="CB3870" s="2"/>
      <c r="CC3870" s="2" t="s">
        <v>145</v>
      </c>
      <c r="CD3870" s="2">
        <v>2011</v>
      </c>
      <c r="CE3870" s="2" t="s">
        <v>104</v>
      </c>
      <c r="CF3870" s="5">
        <v>42950</v>
      </c>
      <c r="CG3870" s="2"/>
      <c r="CH3870" s="2"/>
      <c r="CI3870" s="2">
        <v>1</v>
      </c>
      <c r="CJ3870" s="2">
        <v>1</v>
      </c>
      <c r="CK3870" s="2">
        <v>22</v>
      </c>
      <c r="CL3870" s="2" t="s">
        <v>86</v>
      </c>
      <c r="CM3870" s="2"/>
    </row>
    <row r="3871" spans="1:91">
      <c r="A3871" s="2" t="s">
        <v>71</v>
      </c>
      <c r="B3871" s="2" t="s">
        <v>72</v>
      </c>
      <c r="C3871" s="2" t="s">
        <v>73</v>
      </c>
      <c r="D3871" s="2"/>
      <c r="E3871" s="2" t="str">
        <f>"FES1162566069"</f>
        <v>FES1162566069</v>
      </c>
      <c r="F3871" s="3">
        <v>42948</v>
      </c>
      <c r="G3871" s="2">
        <v>201802</v>
      </c>
      <c r="H3871" s="2" t="s">
        <v>74</v>
      </c>
      <c r="I3871" s="2" t="s">
        <v>75</v>
      </c>
      <c r="J3871" s="2" t="s">
        <v>76</v>
      </c>
      <c r="K3871" s="2" t="s">
        <v>77</v>
      </c>
      <c r="L3871" s="2" t="s">
        <v>311</v>
      </c>
      <c r="M3871" s="2" t="s">
        <v>312</v>
      </c>
      <c r="N3871" s="2" t="s">
        <v>1759</v>
      </c>
      <c r="O3871" s="2" t="s">
        <v>100</v>
      </c>
      <c r="P3871" s="2" t="str">
        <f>"2170582622                    "</f>
        <v xml:space="preserve">2170582622                    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2.83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0</v>
      </c>
      <c r="AU3871" s="2">
        <v>0</v>
      </c>
      <c r="AV3871" s="2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2">
        <v>0</v>
      </c>
      <c r="BD3871" s="2">
        <v>0</v>
      </c>
      <c r="BE3871" s="2">
        <v>0</v>
      </c>
      <c r="BF3871" s="2">
        <v>0</v>
      </c>
      <c r="BG3871" s="2">
        <v>0</v>
      </c>
      <c r="BH3871" s="2">
        <v>1</v>
      </c>
      <c r="BI3871" s="2">
        <v>2</v>
      </c>
      <c r="BJ3871" s="2">
        <v>1.3</v>
      </c>
      <c r="BK3871" s="2">
        <v>2</v>
      </c>
      <c r="BL3871" s="2">
        <v>32.08</v>
      </c>
      <c r="BM3871" s="2">
        <v>4.49</v>
      </c>
      <c r="BN3871" s="2">
        <v>36.57</v>
      </c>
      <c r="BO3871" s="2">
        <v>36.57</v>
      </c>
      <c r="BP3871" s="2"/>
      <c r="BQ3871" s="2" t="s">
        <v>83</v>
      </c>
      <c r="BR3871" s="2" t="s">
        <v>84</v>
      </c>
      <c r="BS3871" s="3">
        <v>42949</v>
      </c>
      <c r="BT3871" s="4">
        <v>0.33819444444444446</v>
      </c>
      <c r="BU3871" s="2" t="s">
        <v>3711</v>
      </c>
      <c r="BV3871" s="2" t="s">
        <v>95</v>
      </c>
      <c r="BW3871" s="2"/>
      <c r="BX3871" s="2"/>
      <c r="BY3871" s="2">
        <v>6630.9</v>
      </c>
      <c r="BZ3871" s="2" t="s">
        <v>27</v>
      </c>
      <c r="CA3871" s="2" t="s">
        <v>889</v>
      </c>
      <c r="CB3871" s="2"/>
      <c r="CC3871" s="2" t="s">
        <v>312</v>
      </c>
      <c r="CD3871" s="2">
        <v>1559</v>
      </c>
      <c r="CE3871" s="2" t="s">
        <v>89</v>
      </c>
      <c r="CF3871" s="5">
        <v>42950</v>
      </c>
      <c r="CG3871" s="2"/>
      <c r="CH3871" s="2"/>
      <c r="CI3871" s="2">
        <v>1</v>
      </c>
      <c r="CJ3871" s="2">
        <v>1</v>
      </c>
      <c r="CK3871" s="2">
        <v>22</v>
      </c>
      <c r="CL3871" s="2" t="s">
        <v>86</v>
      </c>
      <c r="CM3871" s="2"/>
    </row>
    <row r="3872" spans="1:91">
      <c r="A3872" s="2" t="s">
        <v>71</v>
      </c>
      <c r="B3872" s="2" t="s">
        <v>72</v>
      </c>
      <c r="C3872" s="2" t="s">
        <v>73</v>
      </c>
      <c r="D3872" s="2"/>
      <c r="E3872" s="2" t="str">
        <f>"FES1162565903"</f>
        <v>FES1162565903</v>
      </c>
      <c r="F3872" s="3">
        <v>42948</v>
      </c>
      <c r="G3872" s="2">
        <v>201802</v>
      </c>
      <c r="H3872" s="2" t="s">
        <v>74</v>
      </c>
      <c r="I3872" s="2" t="s">
        <v>75</v>
      </c>
      <c r="J3872" s="2" t="s">
        <v>76</v>
      </c>
      <c r="K3872" s="2" t="s">
        <v>77</v>
      </c>
      <c r="L3872" s="2" t="s">
        <v>144</v>
      </c>
      <c r="M3872" s="2" t="s">
        <v>145</v>
      </c>
      <c r="N3872" s="2" t="s">
        <v>922</v>
      </c>
      <c r="O3872" s="2" t="s">
        <v>100</v>
      </c>
      <c r="P3872" s="2" t="str">
        <f>"2170582448                    "</f>
        <v xml:space="preserve">2170582448                    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2.83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0</v>
      </c>
      <c r="AV3872" s="2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2">
        <v>0</v>
      </c>
      <c r="BD3872" s="2">
        <v>0</v>
      </c>
      <c r="BE3872" s="2">
        <v>0</v>
      </c>
      <c r="BF3872" s="2">
        <v>0</v>
      </c>
      <c r="BG3872" s="2">
        <v>0</v>
      </c>
      <c r="BH3872" s="2">
        <v>1</v>
      </c>
      <c r="BI3872" s="2">
        <v>1</v>
      </c>
      <c r="BJ3872" s="2">
        <v>0.2</v>
      </c>
      <c r="BK3872" s="2">
        <v>1</v>
      </c>
      <c r="BL3872" s="2">
        <v>32.08</v>
      </c>
      <c r="BM3872" s="2">
        <v>4.49</v>
      </c>
      <c r="BN3872" s="2">
        <v>36.57</v>
      </c>
      <c r="BO3872" s="2">
        <v>36.57</v>
      </c>
      <c r="BP3872" s="2"/>
      <c r="BQ3872" s="2" t="s">
        <v>3712</v>
      </c>
      <c r="BR3872" s="2" t="s">
        <v>84</v>
      </c>
      <c r="BS3872" s="3">
        <v>42949</v>
      </c>
      <c r="BT3872" s="4">
        <v>0.3611111111111111</v>
      </c>
      <c r="BU3872" s="2" t="s">
        <v>3713</v>
      </c>
      <c r="BV3872" s="2" t="s">
        <v>95</v>
      </c>
      <c r="BW3872" s="2"/>
      <c r="BX3872" s="2"/>
      <c r="BY3872" s="2">
        <v>1200</v>
      </c>
      <c r="BZ3872" s="2" t="s">
        <v>27</v>
      </c>
      <c r="CA3872" s="2" t="s">
        <v>923</v>
      </c>
      <c r="CB3872" s="2"/>
      <c r="CC3872" s="2" t="s">
        <v>145</v>
      </c>
      <c r="CD3872" s="2">
        <v>2042</v>
      </c>
      <c r="CE3872" s="2" t="s">
        <v>104</v>
      </c>
      <c r="CF3872" s="5">
        <v>42950</v>
      </c>
      <c r="CG3872" s="2"/>
      <c r="CH3872" s="2"/>
      <c r="CI3872" s="2">
        <v>1</v>
      </c>
      <c r="CJ3872" s="2">
        <v>1</v>
      </c>
      <c r="CK3872" s="2">
        <v>22</v>
      </c>
      <c r="CL3872" s="2" t="s">
        <v>86</v>
      </c>
      <c r="CM3872" s="2"/>
    </row>
    <row r="3873" spans="1:91">
      <c r="A3873" s="2" t="s">
        <v>71</v>
      </c>
      <c r="B3873" s="2" t="s">
        <v>72</v>
      </c>
      <c r="C3873" s="2" t="s">
        <v>73</v>
      </c>
      <c r="D3873" s="2"/>
      <c r="E3873" s="2" t="str">
        <f>"FES1162566091"</f>
        <v>FES1162566091</v>
      </c>
      <c r="F3873" s="3">
        <v>42948</v>
      </c>
      <c r="G3873" s="2">
        <v>201802</v>
      </c>
      <c r="H3873" s="2" t="s">
        <v>74</v>
      </c>
      <c r="I3873" s="2" t="s">
        <v>75</v>
      </c>
      <c r="J3873" s="2" t="s">
        <v>76</v>
      </c>
      <c r="K3873" s="2" t="s">
        <v>77</v>
      </c>
      <c r="L3873" s="2" t="s">
        <v>221</v>
      </c>
      <c r="M3873" s="2" t="s">
        <v>222</v>
      </c>
      <c r="N3873" s="2" t="s">
        <v>415</v>
      </c>
      <c r="O3873" s="2" t="s">
        <v>100</v>
      </c>
      <c r="P3873" s="2" t="str">
        <f>"2170582655                    "</f>
        <v xml:space="preserve">2170582655                    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3.63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0</v>
      </c>
      <c r="AV3873" s="2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2">
        <v>0</v>
      </c>
      <c r="BD3873" s="2">
        <v>0</v>
      </c>
      <c r="BE3873" s="2">
        <v>0</v>
      </c>
      <c r="BF3873" s="2">
        <v>0</v>
      </c>
      <c r="BG3873" s="2">
        <v>0</v>
      </c>
      <c r="BH3873" s="2">
        <v>1</v>
      </c>
      <c r="BI3873" s="2">
        <v>0.5</v>
      </c>
      <c r="BJ3873" s="2">
        <v>0.2</v>
      </c>
      <c r="BK3873" s="2">
        <v>0.5</v>
      </c>
      <c r="BL3873" s="2">
        <v>41.07</v>
      </c>
      <c r="BM3873" s="2">
        <v>5.75</v>
      </c>
      <c r="BN3873" s="2">
        <v>46.82</v>
      </c>
      <c r="BO3873" s="2">
        <v>46.82</v>
      </c>
      <c r="BP3873" s="2"/>
      <c r="BQ3873" s="2" t="s">
        <v>108</v>
      </c>
      <c r="BR3873" s="2" t="s">
        <v>84</v>
      </c>
      <c r="BS3873" s="3">
        <v>42949</v>
      </c>
      <c r="BT3873" s="4">
        <v>0.36944444444444446</v>
      </c>
      <c r="BU3873" s="2" t="s">
        <v>3663</v>
      </c>
      <c r="BV3873" s="2" t="s">
        <v>95</v>
      </c>
      <c r="BW3873" s="2"/>
      <c r="BX3873" s="2"/>
      <c r="BY3873" s="2">
        <v>1200</v>
      </c>
      <c r="BZ3873" s="2" t="s">
        <v>27</v>
      </c>
      <c r="CA3873" s="2" t="s">
        <v>3640</v>
      </c>
      <c r="CB3873" s="2"/>
      <c r="CC3873" s="2" t="s">
        <v>222</v>
      </c>
      <c r="CD3873" s="2">
        <v>4302</v>
      </c>
      <c r="CE3873" s="2" t="s">
        <v>104</v>
      </c>
      <c r="CF3873" s="5">
        <v>42950</v>
      </c>
      <c r="CG3873" s="2"/>
      <c r="CH3873" s="2"/>
      <c r="CI3873" s="2">
        <v>1</v>
      </c>
      <c r="CJ3873" s="2">
        <v>1</v>
      </c>
      <c r="CK3873" s="2">
        <v>21</v>
      </c>
      <c r="CL3873" s="2" t="s">
        <v>86</v>
      </c>
      <c r="CM3873" s="2"/>
    </row>
    <row r="3874" spans="1:91">
      <c r="A3874" s="2" t="s">
        <v>71</v>
      </c>
      <c r="B3874" s="2" t="s">
        <v>72</v>
      </c>
      <c r="C3874" s="2" t="s">
        <v>73</v>
      </c>
      <c r="D3874" s="2"/>
      <c r="E3874" s="2" t="str">
        <f>"FES1162565892"</f>
        <v>FES1162565892</v>
      </c>
      <c r="F3874" s="3">
        <v>42948</v>
      </c>
      <c r="G3874" s="2">
        <v>201802</v>
      </c>
      <c r="H3874" s="2" t="s">
        <v>74</v>
      </c>
      <c r="I3874" s="2" t="s">
        <v>75</v>
      </c>
      <c r="J3874" s="2" t="s">
        <v>76</v>
      </c>
      <c r="K3874" s="2" t="s">
        <v>77</v>
      </c>
      <c r="L3874" s="2" t="s">
        <v>74</v>
      </c>
      <c r="M3874" s="2" t="s">
        <v>75</v>
      </c>
      <c r="N3874" s="2" t="s">
        <v>407</v>
      </c>
      <c r="O3874" s="2" t="s">
        <v>100</v>
      </c>
      <c r="P3874" s="2" t="str">
        <f>"2170582458                    "</f>
        <v xml:space="preserve">2170582458                    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2.83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0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2">
        <v>0</v>
      </c>
      <c r="BD3874" s="2">
        <v>0</v>
      </c>
      <c r="BE3874" s="2">
        <v>0</v>
      </c>
      <c r="BF3874" s="2">
        <v>0</v>
      </c>
      <c r="BG3874" s="2">
        <v>0</v>
      </c>
      <c r="BH3874" s="2">
        <v>1</v>
      </c>
      <c r="BI3874" s="2">
        <v>1</v>
      </c>
      <c r="BJ3874" s="2">
        <v>0.2</v>
      </c>
      <c r="BK3874" s="2">
        <v>1</v>
      </c>
      <c r="BL3874" s="2">
        <v>32.08</v>
      </c>
      <c r="BM3874" s="2">
        <v>4.49</v>
      </c>
      <c r="BN3874" s="2">
        <v>36.57</v>
      </c>
      <c r="BO3874" s="2">
        <v>36.57</v>
      </c>
      <c r="BP3874" s="2"/>
      <c r="BQ3874" s="2" t="s">
        <v>108</v>
      </c>
      <c r="BR3874" s="2" t="s">
        <v>84</v>
      </c>
      <c r="BS3874" s="3">
        <v>42949</v>
      </c>
      <c r="BT3874" s="4">
        <v>0.33402777777777781</v>
      </c>
      <c r="BU3874" s="2" t="s">
        <v>935</v>
      </c>
      <c r="BV3874" s="2" t="s">
        <v>95</v>
      </c>
      <c r="BW3874" s="2"/>
      <c r="BX3874" s="2"/>
      <c r="BY3874" s="2">
        <v>1200</v>
      </c>
      <c r="BZ3874" s="2" t="s">
        <v>27</v>
      </c>
      <c r="CA3874" s="2" t="s">
        <v>267</v>
      </c>
      <c r="CB3874" s="2"/>
      <c r="CC3874" s="2" t="s">
        <v>75</v>
      </c>
      <c r="CD3874" s="2">
        <v>1645</v>
      </c>
      <c r="CE3874" s="2" t="s">
        <v>104</v>
      </c>
      <c r="CF3874" s="5">
        <v>42950</v>
      </c>
      <c r="CG3874" s="2"/>
      <c r="CH3874" s="2"/>
      <c r="CI3874" s="2">
        <v>1</v>
      </c>
      <c r="CJ3874" s="2">
        <v>1</v>
      </c>
      <c r="CK3874" s="2">
        <v>22</v>
      </c>
      <c r="CL3874" s="2" t="s">
        <v>86</v>
      </c>
      <c r="CM3874" s="2"/>
    </row>
    <row r="3875" spans="1:91">
      <c r="A3875" s="2" t="s">
        <v>71</v>
      </c>
      <c r="B3875" s="2" t="s">
        <v>72</v>
      </c>
      <c r="C3875" s="2" t="s">
        <v>73</v>
      </c>
      <c r="D3875" s="2"/>
      <c r="E3875" s="2" t="str">
        <f>"FES1162565985"</f>
        <v>FES1162565985</v>
      </c>
      <c r="F3875" s="3">
        <v>42948</v>
      </c>
      <c r="G3875" s="2">
        <v>201802</v>
      </c>
      <c r="H3875" s="2" t="s">
        <v>74</v>
      </c>
      <c r="I3875" s="2" t="s">
        <v>75</v>
      </c>
      <c r="J3875" s="2" t="s">
        <v>76</v>
      </c>
      <c r="K3875" s="2" t="s">
        <v>77</v>
      </c>
      <c r="L3875" s="2" t="s">
        <v>510</v>
      </c>
      <c r="M3875" s="2" t="s">
        <v>511</v>
      </c>
      <c r="N3875" s="2" t="s">
        <v>2342</v>
      </c>
      <c r="O3875" s="2" t="s">
        <v>100</v>
      </c>
      <c r="P3875" s="2" t="str">
        <f>"2170582542                    "</f>
        <v xml:space="preserve">2170582542                    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3.63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0</v>
      </c>
      <c r="AV3875" s="2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2">
        <v>0</v>
      </c>
      <c r="BD3875" s="2">
        <v>0</v>
      </c>
      <c r="BE3875" s="2">
        <v>0</v>
      </c>
      <c r="BF3875" s="2">
        <v>0</v>
      </c>
      <c r="BG3875" s="2">
        <v>0</v>
      </c>
      <c r="BH3875" s="2">
        <v>1</v>
      </c>
      <c r="BI3875" s="2">
        <v>1</v>
      </c>
      <c r="BJ3875" s="2">
        <v>0.2</v>
      </c>
      <c r="BK3875" s="2">
        <v>1</v>
      </c>
      <c r="BL3875" s="2">
        <v>41.07</v>
      </c>
      <c r="BM3875" s="2">
        <v>5.75</v>
      </c>
      <c r="BN3875" s="2">
        <v>46.82</v>
      </c>
      <c r="BO3875" s="2">
        <v>46.82</v>
      </c>
      <c r="BP3875" s="2"/>
      <c r="BQ3875" s="2"/>
      <c r="BR3875" s="2" t="s">
        <v>84</v>
      </c>
      <c r="BS3875" s="3">
        <v>42949</v>
      </c>
      <c r="BT3875" s="4">
        <v>0.3576388888888889</v>
      </c>
      <c r="BU3875" s="2" t="s">
        <v>2343</v>
      </c>
      <c r="BV3875" s="2" t="s">
        <v>95</v>
      </c>
      <c r="BW3875" s="2"/>
      <c r="BX3875" s="2"/>
      <c r="BY3875" s="2">
        <v>1200</v>
      </c>
      <c r="BZ3875" s="2" t="s">
        <v>27</v>
      </c>
      <c r="CA3875" s="2" t="s">
        <v>514</v>
      </c>
      <c r="CB3875" s="2"/>
      <c r="CC3875" s="2" t="s">
        <v>511</v>
      </c>
      <c r="CD3875" s="2">
        <v>6229</v>
      </c>
      <c r="CE3875" s="2" t="s">
        <v>3630</v>
      </c>
      <c r="CF3875" s="5">
        <v>42950</v>
      </c>
      <c r="CG3875" s="2"/>
      <c r="CH3875" s="2"/>
      <c r="CI3875" s="2">
        <v>1</v>
      </c>
      <c r="CJ3875" s="2">
        <v>1</v>
      </c>
      <c r="CK3875" s="2">
        <v>21</v>
      </c>
      <c r="CL3875" s="2" t="s">
        <v>86</v>
      </c>
      <c r="CM3875" s="2"/>
    </row>
    <row r="3876" spans="1:91">
      <c r="A3876" s="2" t="s">
        <v>71</v>
      </c>
      <c r="B3876" s="2" t="s">
        <v>72</v>
      </c>
      <c r="C3876" s="2" t="s">
        <v>73</v>
      </c>
      <c r="D3876" s="2"/>
      <c r="E3876" s="2" t="str">
        <f>"FES1162566046"</f>
        <v>FES1162566046</v>
      </c>
      <c r="F3876" s="3">
        <v>42948</v>
      </c>
      <c r="G3876" s="2">
        <v>201802</v>
      </c>
      <c r="H3876" s="2" t="s">
        <v>74</v>
      </c>
      <c r="I3876" s="2" t="s">
        <v>75</v>
      </c>
      <c r="J3876" s="2" t="s">
        <v>76</v>
      </c>
      <c r="K3876" s="2" t="s">
        <v>77</v>
      </c>
      <c r="L3876" s="2" t="s">
        <v>417</v>
      </c>
      <c r="M3876" s="2" t="s">
        <v>417</v>
      </c>
      <c r="N3876" s="2" t="s">
        <v>418</v>
      </c>
      <c r="O3876" s="2" t="s">
        <v>100</v>
      </c>
      <c r="P3876" s="2" t="str">
        <f>"2170566046                    "</f>
        <v xml:space="preserve">2170566046                    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9.98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0</v>
      </c>
      <c r="AV3876" s="2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2">
        <v>0</v>
      </c>
      <c r="BD3876" s="2">
        <v>0</v>
      </c>
      <c r="BE3876" s="2">
        <v>0</v>
      </c>
      <c r="BF3876" s="2">
        <v>0</v>
      </c>
      <c r="BG3876" s="2">
        <v>0</v>
      </c>
      <c r="BH3876" s="2">
        <v>1</v>
      </c>
      <c r="BI3876" s="2">
        <v>5.4</v>
      </c>
      <c r="BJ3876" s="2">
        <v>1.9</v>
      </c>
      <c r="BK3876" s="2">
        <v>5.5</v>
      </c>
      <c r="BL3876" s="2">
        <v>112.94</v>
      </c>
      <c r="BM3876" s="2">
        <v>15.81</v>
      </c>
      <c r="BN3876" s="2">
        <v>128.75</v>
      </c>
      <c r="BO3876" s="2">
        <v>128.75</v>
      </c>
      <c r="BP3876" s="2"/>
      <c r="BQ3876" s="2" t="s">
        <v>83</v>
      </c>
      <c r="BR3876" s="2" t="s">
        <v>84</v>
      </c>
      <c r="BS3876" s="3">
        <v>42949</v>
      </c>
      <c r="BT3876" s="4">
        <v>0.59236111111111112</v>
      </c>
      <c r="BU3876" s="2" t="s">
        <v>419</v>
      </c>
      <c r="BV3876" s="2" t="s">
        <v>86</v>
      </c>
      <c r="BW3876" s="2"/>
      <c r="BX3876" s="2"/>
      <c r="BY3876" s="2">
        <v>9434.8799999999992</v>
      </c>
      <c r="BZ3876" s="2" t="s">
        <v>27</v>
      </c>
      <c r="CA3876" s="2" t="s">
        <v>420</v>
      </c>
      <c r="CB3876" s="2"/>
      <c r="CC3876" s="2" t="s">
        <v>417</v>
      </c>
      <c r="CD3876" s="2">
        <v>7646</v>
      </c>
      <c r="CE3876" s="2" t="s">
        <v>259</v>
      </c>
      <c r="CF3876" s="5">
        <v>42949</v>
      </c>
      <c r="CG3876" s="2"/>
      <c r="CH3876" s="2"/>
      <c r="CI3876" s="2">
        <v>1</v>
      </c>
      <c r="CJ3876" s="2">
        <v>1</v>
      </c>
      <c r="CK3876" s="2">
        <v>21</v>
      </c>
      <c r="CL3876" s="2" t="s">
        <v>86</v>
      </c>
      <c r="CM3876" s="2"/>
    </row>
    <row r="3877" spans="1:91">
      <c r="A3877" s="2" t="s">
        <v>71</v>
      </c>
      <c r="B3877" s="2" t="s">
        <v>72</v>
      </c>
      <c r="C3877" s="2" t="s">
        <v>73</v>
      </c>
      <c r="D3877" s="2"/>
      <c r="E3877" s="2" t="str">
        <f>"FES1162565859"</f>
        <v>FES1162565859</v>
      </c>
      <c r="F3877" s="3">
        <v>42948</v>
      </c>
      <c r="G3877" s="2">
        <v>201802</v>
      </c>
      <c r="H3877" s="2" t="s">
        <v>74</v>
      </c>
      <c r="I3877" s="2" t="s">
        <v>75</v>
      </c>
      <c r="J3877" s="2" t="s">
        <v>76</v>
      </c>
      <c r="K3877" s="2" t="s">
        <v>77</v>
      </c>
      <c r="L3877" s="2" t="s">
        <v>449</v>
      </c>
      <c r="M3877" s="2" t="s">
        <v>1263</v>
      </c>
      <c r="N3877" s="2" t="s">
        <v>1868</v>
      </c>
      <c r="O3877" s="2" t="s">
        <v>100</v>
      </c>
      <c r="P3877" s="2" t="str">
        <f>"2170581111                    "</f>
        <v xml:space="preserve">2170581111                    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7.03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0</v>
      </c>
      <c r="AV3877" s="2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2">
        <v>0</v>
      </c>
      <c r="BD3877" s="2">
        <v>0</v>
      </c>
      <c r="BE3877" s="2">
        <v>0</v>
      </c>
      <c r="BF3877" s="2">
        <v>0</v>
      </c>
      <c r="BG3877" s="2">
        <v>0</v>
      </c>
      <c r="BH3877" s="2">
        <v>1</v>
      </c>
      <c r="BI3877" s="2">
        <v>1</v>
      </c>
      <c r="BJ3877" s="2">
        <v>0.2</v>
      </c>
      <c r="BK3877" s="2">
        <v>1</v>
      </c>
      <c r="BL3877" s="2">
        <v>79.569999999999993</v>
      </c>
      <c r="BM3877" s="2">
        <v>11.14</v>
      </c>
      <c r="BN3877" s="2">
        <v>90.71</v>
      </c>
      <c r="BO3877" s="2">
        <v>90.71</v>
      </c>
      <c r="BP3877" s="2"/>
      <c r="BQ3877" s="2"/>
      <c r="BR3877" s="2" t="s">
        <v>84</v>
      </c>
      <c r="BS3877" s="3">
        <v>42949</v>
      </c>
      <c r="BT3877" s="4">
        <v>0.41666666666666669</v>
      </c>
      <c r="BU3877" s="2" t="s">
        <v>3714</v>
      </c>
      <c r="BV3877" s="2" t="s">
        <v>95</v>
      </c>
      <c r="BW3877" s="2"/>
      <c r="BX3877" s="2"/>
      <c r="BY3877" s="2">
        <v>1200</v>
      </c>
      <c r="BZ3877" s="2" t="s">
        <v>27</v>
      </c>
      <c r="CA3877" s="2"/>
      <c r="CB3877" s="2"/>
      <c r="CC3877" s="2" t="s">
        <v>1263</v>
      </c>
      <c r="CD3877" s="2">
        <v>5319</v>
      </c>
      <c r="CE3877" s="2" t="s">
        <v>3630</v>
      </c>
      <c r="CF3877" s="5">
        <v>42954</v>
      </c>
      <c r="CG3877" s="2"/>
      <c r="CH3877" s="2"/>
      <c r="CI3877" s="2">
        <v>4</v>
      </c>
      <c r="CJ3877" s="2">
        <v>1</v>
      </c>
      <c r="CK3877" s="2">
        <v>23</v>
      </c>
      <c r="CL3877" s="2" t="s">
        <v>86</v>
      </c>
      <c r="CM3877" s="2"/>
    </row>
    <row r="3878" spans="1:91">
      <c r="A3878" s="2" t="s">
        <v>71</v>
      </c>
      <c r="B3878" s="2" t="s">
        <v>72</v>
      </c>
      <c r="C3878" s="2" t="s">
        <v>73</v>
      </c>
      <c r="D3878" s="2"/>
      <c r="E3878" s="2" t="str">
        <f>"FES1162566092"</f>
        <v>FES1162566092</v>
      </c>
      <c r="F3878" s="3">
        <v>42948</v>
      </c>
      <c r="G3878" s="2">
        <v>201802</v>
      </c>
      <c r="H3878" s="2" t="s">
        <v>74</v>
      </c>
      <c r="I3878" s="2" t="s">
        <v>75</v>
      </c>
      <c r="J3878" s="2" t="s">
        <v>76</v>
      </c>
      <c r="K3878" s="2" t="s">
        <v>77</v>
      </c>
      <c r="L3878" s="2" t="s">
        <v>268</v>
      </c>
      <c r="M3878" s="2" t="s">
        <v>269</v>
      </c>
      <c r="N3878" s="2" t="s">
        <v>3650</v>
      </c>
      <c r="O3878" s="2" t="s">
        <v>100</v>
      </c>
      <c r="P3878" s="2" t="str">
        <f>"2170582656                    "</f>
        <v xml:space="preserve">2170582656                    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3.63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0</v>
      </c>
      <c r="AV3878" s="2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2">
        <v>0</v>
      </c>
      <c r="BD3878" s="2">
        <v>0</v>
      </c>
      <c r="BE3878" s="2">
        <v>0</v>
      </c>
      <c r="BF3878" s="2">
        <v>0</v>
      </c>
      <c r="BG3878" s="2">
        <v>0</v>
      </c>
      <c r="BH3878" s="2">
        <v>1</v>
      </c>
      <c r="BI3878" s="2">
        <v>1</v>
      </c>
      <c r="BJ3878" s="2">
        <v>0.2</v>
      </c>
      <c r="BK3878" s="2">
        <v>1</v>
      </c>
      <c r="BL3878" s="2">
        <v>41.07</v>
      </c>
      <c r="BM3878" s="2">
        <v>5.75</v>
      </c>
      <c r="BN3878" s="2">
        <v>46.82</v>
      </c>
      <c r="BO3878" s="2">
        <v>46.82</v>
      </c>
      <c r="BP3878" s="2"/>
      <c r="BQ3878" s="2" t="s">
        <v>83</v>
      </c>
      <c r="BR3878" s="2" t="s">
        <v>84</v>
      </c>
      <c r="BS3878" s="3">
        <v>42949</v>
      </c>
      <c r="BT3878" s="4">
        <v>0.42638888888888887</v>
      </c>
      <c r="BU3878" s="2" t="s">
        <v>3715</v>
      </c>
      <c r="BV3878" s="2" t="s">
        <v>95</v>
      </c>
      <c r="BW3878" s="2"/>
      <c r="BX3878" s="2"/>
      <c r="BY3878" s="2">
        <v>1200</v>
      </c>
      <c r="BZ3878" s="2" t="s">
        <v>27</v>
      </c>
      <c r="CA3878" s="2"/>
      <c r="CB3878" s="2"/>
      <c r="CC3878" s="2" t="s">
        <v>269</v>
      </c>
      <c r="CD3878" s="2">
        <v>183</v>
      </c>
      <c r="CE3878" s="2" t="s">
        <v>3630</v>
      </c>
      <c r="CF3878" s="5">
        <v>42949</v>
      </c>
      <c r="CG3878" s="2"/>
      <c r="CH3878" s="2"/>
      <c r="CI3878" s="2">
        <v>1</v>
      </c>
      <c r="CJ3878" s="2">
        <v>1</v>
      </c>
      <c r="CK3878" s="2">
        <v>21</v>
      </c>
      <c r="CL3878" s="2" t="s">
        <v>86</v>
      </c>
      <c r="CM3878" s="2"/>
    </row>
    <row r="3879" spans="1:91">
      <c r="A3879" s="2" t="s">
        <v>71</v>
      </c>
      <c r="B3879" s="2" t="s">
        <v>72</v>
      </c>
      <c r="C3879" s="2" t="s">
        <v>73</v>
      </c>
      <c r="D3879" s="2"/>
      <c r="E3879" s="2" t="str">
        <f>"FES1162565876"</f>
        <v>FES1162565876</v>
      </c>
      <c r="F3879" s="3">
        <v>42948</v>
      </c>
      <c r="G3879" s="2">
        <v>201802</v>
      </c>
      <c r="H3879" s="2" t="s">
        <v>74</v>
      </c>
      <c r="I3879" s="2" t="s">
        <v>75</v>
      </c>
      <c r="J3879" s="2" t="s">
        <v>76</v>
      </c>
      <c r="K3879" s="2" t="s">
        <v>77</v>
      </c>
      <c r="L3879" s="2" t="s">
        <v>362</v>
      </c>
      <c r="M3879" s="2" t="s">
        <v>363</v>
      </c>
      <c r="N3879" s="2" t="s">
        <v>3716</v>
      </c>
      <c r="O3879" s="2" t="s">
        <v>100</v>
      </c>
      <c r="P3879" s="2" t="str">
        <f>"2170582437                    "</f>
        <v xml:space="preserve">2170582437                    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3.63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0</v>
      </c>
      <c r="AV3879" s="2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2">
        <v>0</v>
      </c>
      <c r="BD3879" s="2">
        <v>0</v>
      </c>
      <c r="BE3879" s="2">
        <v>0</v>
      </c>
      <c r="BF3879" s="2">
        <v>0</v>
      </c>
      <c r="BG3879" s="2">
        <v>0</v>
      </c>
      <c r="BH3879" s="2">
        <v>1</v>
      </c>
      <c r="BI3879" s="2">
        <v>1</v>
      </c>
      <c r="BJ3879" s="2">
        <v>0.2</v>
      </c>
      <c r="BK3879" s="2">
        <v>1</v>
      </c>
      <c r="BL3879" s="2">
        <v>41.07</v>
      </c>
      <c r="BM3879" s="2">
        <v>5.75</v>
      </c>
      <c r="BN3879" s="2">
        <v>46.82</v>
      </c>
      <c r="BO3879" s="2">
        <v>46.82</v>
      </c>
      <c r="BP3879" s="2"/>
      <c r="BQ3879" s="2" t="s">
        <v>365</v>
      </c>
      <c r="BR3879" s="2" t="s">
        <v>84</v>
      </c>
      <c r="BS3879" s="3">
        <v>42949</v>
      </c>
      <c r="BT3879" s="4">
        <v>0.40486111111111112</v>
      </c>
      <c r="BU3879" s="2" t="s">
        <v>2341</v>
      </c>
      <c r="BV3879" s="2" t="s">
        <v>95</v>
      </c>
      <c r="BW3879" s="2"/>
      <c r="BX3879" s="2"/>
      <c r="BY3879" s="2">
        <v>1200</v>
      </c>
      <c r="BZ3879" s="2" t="s">
        <v>27</v>
      </c>
      <c r="CA3879" s="2" t="s">
        <v>367</v>
      </c>
      <c r="CB3879" s="2"/>
      <c r="CC3879" s="2" t="s">
        <v>363</v>
      </c>
      <c r="CD3879" s="2">
        <v>3201</v>
      </c>
      <c r="CE3879" s="2" t="s">
        <v>104</v>
      </c>
      <c r="CF3879" s="5">
        <v>42950</v>
      </c>
      <c r="CG3879" s="2"/>
      <c r="CH3879" s="2"/>
      <c r="CI3879" s="2">
        <v>1</v>
      </c>
      <c r="CJ3879" s="2">
        <v>1</v>
      </c>
      <c r="CK3879" s="2">
        <v>21</v>
      </c>
      <c r="CL3879" s="2" t="s">
        <v>86</v>
      </c>
      <c r="CM3879" s="2"/>
    </row>
    <row r="3880" spans="1:91">
      <c r="A3880" s="2" t="s">
        <v>71</v>
      </c>
      <c r="B3880" s="2" t="s">
        <v>72</v>
      </c>
      <c r="C3880" s="2" t="s">
        <v>73</v>
      </c>
      <c r="D3880" s="2"/>
      <c r="E3880" s="2" t="str">
        <f>"FES1162566065"</f>
        <v>FES1162566065</v>
      </c>
      <c r="F3880" s="3">
        <v>42948</v>
      </c>
      <c r="G3880" s="2">
        <v>201802</v>
      </c>
      <c r="H3880" s="2" t="s">
        <v>74</v>
      </c>
      <c r="I3880" s="2" t="s">
        <v>75</v>
      </c>
      <c r="J3880" s="2" t="s">
        <v>76</v>
      </c>
      <c r="K3880" s="2" t="s">
        <v>77</v>
      </c>
      <c r="L3880" s="2" t="s">
        <v>144</v>
      </c>
      <c r="M3880" s="2" t="s">
        <v>145</v>
      </c>
      <c r="N3880" s="2" t="s">
        <v>1259</v>
      </c>
      <c r="O3880" s="2" t="s">
        <v>100</v>
      </c>
      <c r="P3880" s="2" t="str">
        <f>"2170582618                    "</f>
        <v xml:space="preserve">2170582618                    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2.83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0</v>
      </c>
      <c r="AU3880" s="2">
        <v>0</v>
      </c>
      <c r="AV3880" s="2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2">
        <v>0</v>
      </c>
      <c r="BD3880" s="2">
        <v>0</v>
      </c>
      <c r="BE3880" s="2">
        <v>0</v>
      </c>
      <c r="BF3880" s="2">
        <v>0</v>
      </c>
      <c r="BG3880" s="2">
        <v>0</v>
      </c>
      <c r="BH3880" s="2">
        <v>1</v>
      </c>
      <c r="BI3880" s="2">
        <v>1</v>
      </c>
      <c r="BJ3880" s="2">
        <v>2.9</v>
      </c>
      <c r="BK3880" s="2">
        <v>3</v>
      </c>
      <c r="BL3880" s="2">
        <v>32.08</v>
      </c>
      <c r="BM3880" s="2">
        <v>4.49</v>
      </c>
      <c r="BN3880" s="2">
        <v>36.57</v>
      </c>
      <c r="BO3880" s="2">
        <v>36.57</v>
      </c>
      <c r="BP3880" s="2"/>
      <c r="BQ3880" s="2" t="s">
        <v>83</v>
      </c>
      <c r="BR3880" s="2" t="s">
        <v>84</v>
      </c>
      <c r="BS3880" s="3">
        <v>42949</v>
      </c>
      <c r="BT3880" s="4">
        <v>0.48055555555555557</v>
      </c>
      <c r="BU3880" s="2" t="s">
        <v>1360</v>
      </c>
      <c r="BV3880" s="2" t="s">
        <v>95</v>
      </c>
      <c r="BW3880" s="2"/>
      <c r="BX3880" s="2"/>
      <c r="BY3880" s="2">
        <v>14705.6</v>
      </c>
      <c r="BZ3880" s="2" t="s">
        <v>27</v>
      </c>
      <c r="CA3880" s="2"/>
      <c r="CB3880" s="2"/>
      <c r="CC3880" s="2" t="s">
        <v>145</v>
      </c>
      <c r="CD3880" s="2">
        <v>1723</v>
      </c>
      <c r="CE3880" s="2" t="s">
        <v>3630</v>
      </c>
      <c r="CF3880" s="5">
        <v>42950</v>
      </c>
      <c r="CG3880" s="2"/>
      <c r="CH3880" s="2"/>
      <c r="CI3880" s="2">
        <v>1</v>
      </c>
      <c r="CJ3880" s="2">
        <v>1</v>
      </c>
      <c r="CK3880" s="2">
        <v>22</v>
      </c>
      <c r="CL3880" s="2" t="s">
        <v>86</v>
      </c>
      <c r="CM3880" s="2"/>
    </row>
    <row r="3881" spans="1:91">
      <c r="A3881" s="2" t="s">
        <v>71</v>
      </c>
      <c r="B3881" s="2" t="s">
        <v>72</v>
      </c>
      <c r="C3881" s="2" t="s">
        <v>73</v>
      </c>
      <c r="D3881" s="2"/>
      <c r="E3881" s="2" t="str">
        <f>"FES1162565829"</f>
        <v>FES1162565829</v>
      </c>
      <c r="F3881" s="3">
        <v>42948</v>
      </c>
      <c r="G3881" s="2">
        <v>201802</v>
      </c>
      <c r="H3881" s="2" t="s">
        <v>74</v>
      </c>
      <c r="I3881" s="2" t="s">
        <v>75</v>
      </c>
      <c r="J3881" s="2" t="s">
        <v>76</v>
      </c>
      <c r="K3881" s="2" t="s">
        <v>77</v>
      </c>
      <c r="L3881" s="2" t="s">
        <v>149</v>
      </c>
      <c r="M3881" s="2" t="s">
        <v>150</v>
      </c>
      <c r="N3881" s="2" t="s">
        <v>482</v>
      </c>
      <c r="O3881" s="2" t="s">
        <v>100</v>
      </c>
      <c r="P3881" s="2" t="str">
        <f>"2170582235                    "</f>
        <v xml:space="preserve">2170582235                    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3.63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0</v>
      </c>
      <c r="AU3881" s="2">
        <v>0</v>
      </c>
      <c r="AV3881" s="2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2">
        <v>0</v>
      </c>
      <c r="BD3881" s="2">
        <v>0</v>
      </c>
      <c r="BE3881" s="2">
        <v>0</v>
      </c>
      <c r="BF3881" s="2">
        <v>0</v>
      </c>
      <c r="BG3881" s="2">
        <v>0</v>
      </c>
      <c r="BH3881" s="2">
        <v>1</v>
      </c>
      <c r="BI3881" s="2">
        <v>1</v>
      </c>
      <c r="BJ3881" s="2">
        <v>0.2</v>
      </c>
      <c r="BK3881" s="2">
        <v>1</v>
      </c>
      <c r="BL3881" s="2">
        <v>41.07</v>
      </c>
      <c r="BM3881" s="2">
        <v>5.75</v>
      </c>
      <c r="BN3881" s="2">
        <v>46.82</v>
      </c>
      <c r="BO3881" s="2">
        <v>46.82</v>
      </c>
      <c r="BP3881" s="2"/>
      <c r="BQ3881" s="2" t="s">
        <v>83</v>
      </c>
      <c r="BR3881" s="2" t="s">
        <v>84</v>
      </c>
      <c r="BS3881" s="3">
        <v>42949</v>
      </c>
      <c r="BT3881" s="4">
        <v>0.39374999999999999</v>
      </c>
      <c r="BU3881" s="2" t="s">
        <v>3717</v>
      </c>
      <c r="BV3881" s="2" t="s">
        <v>95</v>
      </c>
      <c r="BW3881" s="2"/>
      <c r="BX3881" s="2"/>
      <c r="BY3881" s="2">
        <v>1200</v>
      </c>
      <c r="BZ3881" s="2" t="s">
        <v>27</v>
      </c>
      <c r="CA3881" s="2" t="s">
        <v>484</v>
      </c>
      <c r="CB3881" s="2"/>
      <c r="CC3881" s="2" t="s">
        <v>150</v>
      </c>
      <c r="CD3881" s="2">
        <v>4001</v>
      </c>
      <c r="CE3881" s="2" t="s">
        <v>104</v>
      </c>
      <c r="CF3881" s="5">
        <v>42950</v>
      </c>
      <c r="CG3881" s="2"/>
      <c r="CH3881" s="2"/>
      <c r="CI3881" s="2">
        <v>1</v>
      </c>
      <c r="CJ3881" s="2">
        <v>1</v>
      </c>
      <c r="CK3881" s="2">
        <v>21</v>
      </c>
      <c r="CL3881" s="2" t="s">
        <v>86</v>
      </c>
      <c r="CM3881" s="2"/>
    </row>
    <row r="3882" spans="1:91">
      <c r="A3882" s="2" t="s">
        <v>71</v>
      </c>
      <c r="B3882" s="2" t="s">
        <v>72</v>
      </c>
      <c r="C3882" s="2" t="s">
        <v>73</v>
      </c>
      <c r="D3882" s="2"/>
      <c r="E3882" s="2" t="str">
        <f>"FES1162566068"</f>
        <v>FES1162566068</v>
      </c>
      <c r="F3882" s="3">
        <v>42948</v>
      </c>
      <c r="G3882" s="2">
        <v>201802</v>
      </c>
      <c r="H3882" s="2" t="s">
        <v>74</v>
      </c>
      <c r="I3882" s="2" t="s">
        <v>75</v>
      </c>
      <c r="J3882" s="2" t="s">
        <v>76</v>
      </c>
      <c r="K3882" s="2" t="s">
        <v>77</v>
      </c>
      <c r="L3882" s="2" t="s">
        <v>539</v>
      </c>
      <c r="M3882" s="2" t="s">
        <v>540</v>
      </c>
      <c r="N3882" s="2" t="s">
        <v>541</v>
      </c>
      <c r="O3882" s="2" t="s">
        <v>100</v>
      </c>
      <c r="P3882" s="2" t="str">
        <f>"2170582624                    "</f>
        <v xml:space="preserve">2170582624                    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2.83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0</v>
      </c>
      <c r="AV3882" s="2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0</v>
      </c>
      <c r="BB3882" s="2">
        <v>0</v>
      </c>
      <c r="BC3882" s="2">
        <v>0</v>
      </c>
      <c r="BD3882" s="2">
        <v>0</v>
      </c>
      <c r="BE3882" s="2">
        <v>0</v>
      </c>
      <c r="BF3882" s="2">
        <v>0</v>
      </c>
      <c r="BG3882" s="2">
        <v>0</v>
      </c>
      <c r="BH3882" s="2">
        <v>1</v>
      </c>
      <c r="BI3882" s="2">
        <v>1</v>
      </c>
      <c r="BJ3882" s="2">
        <v>2.2000000000000002</v>
      </c>
      <c r="BK3882" s="2">
        <v>3</v>
      </c>
      <c r="BL3882" s="2">
        <v>32.08</v>
      </c>
      <c r="BM3882" s="2">
        <v>4.49</v>
      </c>
      <c r="BN3882" s="2">
        <v>36.57</v>
      </c>
      <c r="BO3882" s="2">
        <v>36.57</v>
      </c>
      <c r="BP3882" s="2"/>
      <c r="BQ3882" s="2" t="s">
        <v>542</v>
      </c>
      <c r="BR3882" s="2" t="s">
        <v>84</v>
      </c>
      <c r="BS3882" s="3">
        <v>42949</v>
      </c>
      <c r="BT3882" s="4">
        <v>0.41666666666666669</v>
      </c>
      <c r="BU3882" s="2" t="s">
        <v>2667</v>
      </c>
      <c r="BV3882" s="2" t="s">
        <v>95</v>
      </c>
      <c r="BW3882" s="2"/>
      <c r="BX3882" s="2"/>
      <c r="BY3882" s="2">
        <v>10815.42</v>
      </c>
      <c r="BZ3882" s="2" t="s">
        <v>27</v>
      </c>
      <c r="CA3882" s="2" t="s">
        <v>722</v>
      </c>
      <c r="CB3882" s="2"/>
      <c r="CC3882" s="2" t="s">
        <v>540</v>
      </c>
      <c r="CD3882" s="2">
        <v>2162</v>
      </c>
      <c r="CE3882" s="2" t="s">
        <v>89</v>
      </c>
      <c r="CF3882" s="5">
        <v>42950</v>
      </c>
      <c r="CG3882" s="2"/>
      <c r="CH3882" s="2"/>
      <c r="CI3882" s="2">
        <v>1</v>
      </c>
      <c r="CJ3882" s="2">
        <v>1</v>
      </c>
      <c r="CK3882" s="2">
        <v>22</v>
      </c>
      <c r="CL3882" s="2" t="s">
        <v>86</v>
      </c>
      <c r="CM3882" s="2"/>
    </row>
    <row r="3883" spans="1:91">
      <c r="A3883" s="2" t="s">
        <v>71</v>
      </c>
      <c r="B3883" s="2" t="s">
        <v>72</v>
      </c>
      <c r="C3883" s="2" t="s">
        <v>73</v>
      </c>
      <c r="D3883" s="2"/>
      <c r="E3883" s="2" t="str">
        <f>"FES1162565928"</f>
        <v>FES1162565928</v>
      </c>
      <c r="F3883" s="3">
        <v>42948</v>
      </c>
      <c r="G3883" s="2">
        <v>201802</v>
      </c>
      <c r="H3883" s="2" t="s">
        <v>74</v>
      </c>
      <c r="I3883" s="2" t="s">
        <v>75</v>
      </c>
      <c r="J3883" s="2" t="s">
        <v>76</v>
      </c>
      <c r="K3883" s="2" t="s">
        <v>77</v>
      </c>
      <c r="L3883" s="2" t="s">
        <v>144</v>
      </c>
      <c r="M3883" s="2" t="s">
        <v>145</v>
      </c>
      <c r="N3883" s="2" t="s">
        <v>146</v>
      </c>
      <c r="O3883" s="2" t="s">
        <v>100</v>
      </c>
      <c r="P3883" s="2" t="str">
        <f>"2170567839                    "</f>
        <v xml:space="preserve">2170567839                    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2.83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0</v>
      </c>
      <c r="AU3883" s="2">
        <v>0</v>
      </c>
      <c r="AV3883" s="2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2">
        <v>0</v>
      </c>
      <c r="BD3883" s="2">
        <v>0</v>
      </c>
      <c r="BE3883" s="2">
        <v>0</v>
      </c>
      <c r="BF3883" s="2">
        <v>0</v>
      </c>
      <c r="BG3883" s="2">
        <v>0</v>
      </c>
      <c r="BH3883" s="2">
        <v>1</v>
      </c>
      <c r="BI3883" s="2">
        <v>2</v>
      </c>
      <c r="BJ3883" s="2">
        <v>0.2</v>
      </c>
      <c r="BK3883" s="2">
        <v>2</v>
      </c>
      <c r="BL3883" s="2">
        <v>32.08</v>
      </c>
      <c r="BM3883" s="2">
        <v>4.49</v>
      </c>
      <c r="BN3883" s="2">
        <v>36.57</v>
      </c>
      <c r="BO3883" s="2">
        <v>36.57</v>
      </c>
      <c r="BP3883" s="2"/>
      <c r="BQ3883" s="2" t="s">
        <v>83</v>
      </c>
      <c r="BR3883" s="2" t="s">
        <v>84</v>
      </c>
      <c r="BS3883" s="3">
        <v>42949</v>
      </c>
      <c r="BT3883" s="4">
        <v>0.3888888888888889</v>
      </c>
      <c r="BU3883" s="2" t="s">
        <v>728</v>
      </c>
      <c r="BV3883" s="2" t="s">
        <v>95</v>
      </c>
      <c r="BW3883" s="2"/>
      <c r="BX3883" s="2"/>
      <c r="BY3883" s="2">
        <v>1200</v>
      </c>
      <c r="BZ3883" s="2" t="s">
        <v>27</v>
      </c>
      <c r="CA3883" s="2" t="s">
        <v>729</v>
      </c>
      <c r="CB3883" s="2"/>
      <c r="CC3883" s="2" t="s">
        <v>145</v>
      </c>
      <c r="CD3883" s="2">
        <v>2094</v>
      </c>
      <c r="CE3883" s="2" t="s">
        <v>104</v>
      </c>
      <c r="CF3883" s="5">
        <v>42950</v>
      </c>
      <c r="CG3883" s="2"/>
      <c r="CH3883" s="2"/>
      <c r="CI3883" s="2">
        <v>1</v>
      </c>
      <c r="CJ3883" s="2">
        <v>1</v>
      </c>
      <c r="CK3883" s="2">
        <v>22</v>
      </c>
      <c r="CL3883" s="2" t="s">
        <v>86</v>
      </c>
      <c r="CM3883" s="2"/>
    </row>
    <row r="3884" spans="1:91">
      <c r="A3884" s="2" t="s">
        <v>71</v>
      </c>
      <c r="B3884" s="2" t="s">
        <v>72</v>
      </c>
      <c r="C3884" s="2" t="s">
        <v>73</v>
      </c>
      <c r="D3884" s="2"/>
      <c r="E3884" s="2" t="str">
        <f>"FES1162566066"</f>
        <v>FES1162566066</v>
      </c>
      <c r="F3884" s="3">
        <v>42948</v>
      </c>
      <c r="G3884" s="2">
        <v>201802</v>
      </c>
      <c r="H3884" s="2" t="s">
        <v>74</v>
      </c>
      <c r="I3884" s="2" t="s">
        <v>75</v>
      </c>
      <c r="J3884" s="2" t="s">
        <v>76</v>
      </c>
      <c r="K3884" s="2" t="s">
        <v>77</v>
      </c>
      <c r="L3884" s="2" t="s">
        <v>144</v>
      </c>
      <c r="M3884" s="2" t="s">
        <v>145</v>
      </c>
      <c r="N3884" s="2" t="s">
        <v>1259</v>
      </c>
      <c r="O3884" s="2" t="s">
        <v>100</v>
      </c>
      <c r="P3884" s="2" t="str">
        <f>"2170582620                    "</f>
        <v xml:space="preserve">2170582620                    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2.83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0</v>
      </c>
      <c r="AV3884" s="2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2">
        <v>0</v>
      </c>
      <c r="BD3884" s="2">
        <v>0</v>
      </c>
      <c r="BE3884" s="2">
        <v>0</v>
      </c>
      <c r="BF3884" s="2">
        <v>0</v>
      </c>
      <c r="BG3884" s="2">
        <v>0</v>
      </c>
      <c r="BH3884" s="2">
        <v>1</v>
      </c>
      <c r="BI3884" s="2">
        <v>1</v>
      </c>
      <c r="BJ3884" s="2">
        <v>3</v>
      </c>
      <c r="BK3884" s="2">
        <v>3</v>
      </c>
      <c r="BL3884" s="2">
        <v>32.08</v>
      </c>
      <c r="BM3884" s="2">
        <v>4.49</v>
      </c>
      <c r="BN3884" s="2">
        <v>36.57</v>
      </c>
      <c r="BO3884" s="2">
        <v>36.57</v>
      </c>
      <c r="BP3884" s="2"/>
      <c r="BQ3884" s="2"/>
      <c r="BR3884" s="2" t="s">
        <v>84</v>
      </c>
      <c r="BS3884" s="3">
        <v>42949</v>
      </c>
      <c r="BT3884" s="4">
        <v>0.44930555555555557</v>
      </c>
      <c r="BU3884" s="2" t="s">
        <v>3718</v>
      </c>
      <c r="BV3884" s="2" t="s">
        <v>95</v>
      </c>
      <c r="BW3884" s="2"/>
      <c r="BX3884" s="2"/>
      <c r="BY3884" s="2">
        <v>15174.43</v>
      </c>
      <c r="BZ3884" s="2" t="s">
        <v>27</v>
      </c>
      <c r="CA3884" s="2"/>
      <c r="CB3884" s="2"/>
      <c r="CC3884" s="2" t="s">
        <v>145</v>
      </c>
      <c r="CD3884" s="2">
        <v>1723</v>
      </c>
      <c r="CE3884" s="2" t="s">
        <v>3630</v>
      </c>
      <c r="CF3884" s="5">
        <v>42950</v>
      </c>
      <c r="CG3884" s="2"/>
      <c r="CH3884" s="2"/>
      <c r="CI3884" s="2">
        <v>1</v>
      </c>
      <c r="CJ3884" s="2">
        <v>1</v>
      </c>
      <c r="CK3884" s="2">
        <v>22</v>
      </c>
      <c r="CL3884" s="2" t="s">
        <v>86</v>
      </c>
      <c r="CM3884" s="2"/>
    </row>
    <row r="3885" spans="1:91">
      <c r="A3885" s="2" t="s">
        <v>71</v>
      </c>
      <c r="B3885" s="2" t="s">
        <v>72</v>
      </c>
      <c r="C3885" s="2" t="s">
        <v>73</v>
      </c>
      <c r="D3885" s="2"/>
      <c r="E3885" s="2" t="str">
        <f>"FES1162565858"</f>
        <v>FES1162565858</v>
      </c>
      <c r="F3885" s="3">
        <v>42948</v>
      </c>
      <c r="G3885" s="2">
        <v>201802</v>
      </c>
      <c r="H3885" s="2" t="s">
        <v>74</v>
      </c>
      <c r="I3885" s="2" t="s">
        <v>75</v>
      </c>
      <c r="J3885" s="2" t="s">
        <v>76</v>
      </c>
      <c r="K3885" s="2" t="s">
        <v>77</v>
      </c>
      <c r="L3885" s="2" t="s">
        <v>237</v>
      </c>
      <c r="M3885" s="2" t="s">
        <v>238</v>
      </c>
      <c r="N3885" s="2" t="s">
        <v>1530</v>
      </c>
      <c r="O3885" s="2" t="s">
        <v>100</v>
      </c>
      <c r="P3885" s="2" t="str">
        <f>"2170580439                    "</f>
        <v xml:space="preserve">2170580439                    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3.63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0</v>
      </c>
      <c r="AV3885" s="2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2">
        <v>0</v>
      </c>
      <c r="BD3885" s="2">
        <v>0</v>
      </c>
      <c r="BE3885" s="2">
        <v>0</v>
      </c>
      <c r="BF3885" s="2">
        <v>0</v>
      </c>
      <c r="BG3885" s="2">
        <v>0</v>
      </c>
      <c r="BH3885" s="2">
        <v>1</v>
      </c>
      <c r="BI3885" s="2">
        <v>1</v>
      </c>
      <c r="BJ3885" s="2">
        <v>0.2</v>
      </c>
      <c r="BK3885" s="2">
        <v>1</v>
      </c>
      <c r="BL3885" s="2">
        <v>41.07</v>
      </c>
      <c r="BM3885" s="2">
        <v>5.75</v>
      </c>
      <c r="BN3885" s="2">
        <v>46.82</v>
      </c>
      <c r="BO3885" s="2">
        <v>46.82</v>
      </c>
      <c r="BP3885" s="2"/>
      <c r="BQ3885" s="2" t="s">
        <v>1531</v>
      </c>
      <c r="BR3885" s="2" t="s">
        <v>84</v>
      </c>
      <c r="BS3885" s="3">
        <v>42949</v>
      </c>
      <c r="BT3885" s="4">
        <v>0.38194444444444442</v>
      </c>
      <c r="BU3885" s="2" t="s">
        <v>2859</v>
      </c>
      <c r="BV3885" s="2" t="s">
        <v>95</v>
      </c>
      <c r="BW3885" s="2"/>
      <c r="BX3885" s="2"/>
      <c r="BY3885" s="2">
        <v>1200</v>
      </c>
      <c r="BZ3885" s="2" t="s">
        <v>27</v>
      </c>
      <c r="CA3885" s="2" t="s">
        <v>672</v>
      </c>
      <c r="CB3885" s="2"/>
      <c r="CC3885" s="2" t="s">
        <v>238</v>
      </c>
      <c r="CD3885" s="2">
        <v>3610</v>
      </c>
      <c r="CE3885" s="2" t="s">
        <v>3630</v>
      </c>
      <c r="CF3885" s="5">
        <v>42951</v>
      </c>
      <c r="CG3885" s="2"/>
      <c r="CH3885" s="2"/>
      <c r="CI3885" s="2">
        <v>1</v>
      </c>
      <c r="CJ3885" s="2">
        <v>1</v>
      </c>
      <c r="CK3885" s="2">
        <v>21</v>
      </c>
      <c r="CL3885" s="2" t="s">
        <v>86</v>
      </c>
      <c r="CM3885" s="2"/>
    </row>
    <row r="3886" spans="1:91">
      <c r="A3886" s="2" t="s">
        <v>71</v>
      </c>
      <c r="B3886" s="2" t="s">
        <v>72</v>
      </c>
      <c r="C3886" s="2" t="s">
        <v>73</v>
      </c>
      <c r="D3886" s="2"/>
      <c r="E3886" s="2" t="str">
        <f>"FES1162566082"</f>
        <v>FES1162566082</v>
      </c>
      <c r="F3886" s="3">
        <v>42948</v>
      </c>
      <c r="G3886" s="2">
        <v>201802</v>
      </c>
      <c r="H3886" s="2" t="s">
        <v>74</v>
      </c>
      <c r="I3886" s="2" t="s">
        <v>75</v>
      </c>
      <c r="J3886" s="2" t="s">
        <v>76</v>
      </c>
      <c r="K3886" s="2" t="s">
        <v>77</v>
      </c>
      <c r="L3886" s="2" t="s">
        <v>144</v>
      </c>
      <c r="M3886" s="2" t="s">
        <v>145</v>
      </c>
      <c r="N3886" s="2" t="s">
        <v>3719</v>
      </c>
      <c r="O3886" s="2" t="s">
        <v>100</v>
      </c>
      <c r="P3886" s="2" t="str">
        <f>"2170582646                    "</f>
        <v xml:space="preserve">2170582646                    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2.83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0</v>
      </c>
      <c r="AV3886" s="2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2">
        <v>0</v>
      </c>
      <c r="BD3886" s="2">
        <v>0</v>
      </c>
      <c r="BE3886" s="2">
        <v>0</v>
      </c>
      <c r="BF3886" s="2">
        <v>0</v>
      </c>
      <c r="BG3886" s="2">
        <v>0</v>
      </c>
      <c r="BH3886" s="2">
        <v>1</v>
      </c>
      <c r="BI3886" s="2">
        <v>1</v>
      </c>
      <c r="BJ3886" s="2">
        <v>0.2</v>
      </c>
      <c r="BK3886" s="2">
        <v>1</v>
      </c>
      <c r="BL3886" s="2">
        <v>32.08</v>
      </c>
      <c r="BM3886" s="2">
        <v>4.49</v>
      </c>
      <c r="BN3886" s="2">
        <v>36.57</v>
      </c>
      <c r="BO3886" s="2">
        <v>36.57</v>
      </c>
      <c r="BP3886" s="2"/>
      <c r="BQ3886" s="2" t="s">
        <v>83</v>
      </c>
      <c r="BR3886" s="2" t="s">
        <v>84</v>
      </c>
      <c r="BS3886" s="3">
        <v>42949</v>
      </c>
      <c r="BT3886" s="4">
        <v>0.41319444444444442</v>
      </c>
      <c r="BU3886" s="2" t="s">
        <v>3720</v>
      </c>
      <c r="BV3886" s="2" t="s">
        <v>95</v>
      </c>
      <c r="BW3886" s="2"/>
      <c r="BX3886" s="2"/>
      <c r="BY3886" s="2">
        <v>1200</v>
      </c>
      <c r="BZ3886" s="2" t="s">
        <v>27</v>
      </c>
      <c r="CA3886" s="2" t="s">
        <v>729</v>
      </c>
      <c r="CB3886" s="2"/>
      <c r="CC3886" s="2" t="s">
        <v>145</v>
      </c>
      <c r="CD3886" s="2">
        <v>2049</v>
      </c>
      <c r="CE3886" s="2" t="s">
        <v>104</v>
      </c>
      <c r="CF3886" s="5">
        <v>42950</v>
      </c>
      <c r="CG3886" s="2"/>
      <c r="CH3886" s="2"/>
      <c r="CI3886" s="2">
        <v>1</v>
      </c>
      <c r="CJ3886" s="2">
        <v>1</v>
      </c>
      <c r="CK3886" s="2">
        <v>22</v>
      </c>
      <c r="CL3886" s="2" t="s">
        <v>86</v>
      </c>
      <c r="CM3886" s="2"/>
    </row>
    <row r="3887" spans="1:91">
      <c r="A3887" s="2" t="s">
        <v>71</v>
      </c>
      <c r="B3887" s="2" t="s">
        <v>72</v>
      </c>
      <c r="C3887" s="2" t="s">
        <v>73</v>
      </c>
      <c r="D3887" s="2"/>
      <c r="E3887" s="2" t="str">
        <f>"FES1162565843"</f>
        <v>FES1162565843</v>
      </c>
      <c r="F3887" s="3">
        <v>42948</v>
      </c>
      <c r="G3887" s="2">
        <v>201802</v>
      </c>
      <c r="H3887" s="2" t="s">
        <v>74</v>
      </c>
      <c r="I3887" s="2" t="s">
        <v>75</v>
      </c>
      <c r="J3887" s="2" t="s">
        <v>76</v>
      </c>
      <c r="K3887" s="2" t="s">
        <v>77</v>
      </c>
      <c r="L3887" s="2" t="s">
        <v>97</v>
      </c>
      <c r="M3887" s="2" t="s">
        <v>98</v>
      </c>
      <c r="N3887" s="2" t="s">
        <v>597</v>
      </c>
      <c r="O3887" s="2" t="s">
        <v>100</v>
      </c>
      <c r="P3887" s="2" t="str">
        <f>"2170581835                    "</f>
        <v xml:space="preserve">2170581835                    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3.63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0</v>
      </c>
      <c r="AV3887" s="2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2">
        <v>0</v>
      </c>
      <c r="BD3887" s="2">
        <v>0</v>
      </c>
      <c r="BE3887" s="2">
        <v>0</v>
      </c>
      <c r="BF3887" s="2">
        <v>0</v>
      </c>
      <c r="BG3887" s="2">
        <v>0</v>
      </c>
      <c r="BH3887" s="2">
        <v>1</v>
      </c>
      <c r="BI3887" s="2">
        <v>1</v>
      </c>
      <c r="BJ3887" s="2">
        <v>0.2</v>
      </c>
      <c r="BK3887" s="2">
        <v>1</v>
      </c>
      <c r="BL3887" s="2">
        <v>41.07</v>
      </c>
      <c r="BM3887" s="2">
        <v>5.75</v>
      </c>
      <c r="BN3887" s="2">
        <v>46.82</v>
      </c>
      <c r="BO3887" s="2">
        <v>46.82</v>
      </c>
      <c r="BP3887" s="2"/>
      <c r="BQ3887" s="2" t="s">
        <v>598</v>
      </c>
      <c r="BR3887" s="2" t="s">
        <v>84</v>
      </c>
      <c r="BS3887" s="3">
        <v>42949</v>
      </c>
      <c r="BT3887" s="4">
        <v>0.37222222222222223</v>
      </c>
      <c r="BU3887" s="2" t="s">
        <v>599</v>
      </c>
      <c r="BV3887" s="2" t="s">
        <v>95</v>
      </c>
      <c r="BW3887" s="2"/>
      <c r="BX3887" s="2"/>
      <c r="BY3887" s="2">
        <v>1200</v>
      </c>
      <c r="BZ3887" s="2" t="s">
        <v>27</v>
      </c>
      <c r="CA3887" s="2" t="s">
        <v>600</v>
      </c>
      <c r="CB3887" s="2"/>
      <c r="CC3887" s="2" t="s">
        <v>98</v>
      </c>
      <c r="CD3887" s="2">
        <v>6070</v>
      </c>
      <c r="CE3887" s="2" t="s">
        <v>104</v>
      </c>
      <c r="CF3887" s="5">
        <v>42950</v>
      </c>
      <c r="CG3887" s="2"/>
      <c r="CH3887" s="2"/>
      <c r="CI3887" s="2">
        <v>1</v>
      </c>
      <c r="CJ3887" s="2">
        <v>1</v>
      </c>
      <c r="CK3887" s="2">
        <v>21</v>
      </c>
      <c r="CL3887" s="2" t="s">
        <v>86</v>
      </c>
      <c r="CM3887" s="2"/>
    </row>
    <row r="3888" spans="1:91">
      <c r="A3888" s="2" t="s">
        <v>71</v>
      </c>
      <c r="B3888" s="2" t="s">
        <v>72</v>
      </c>
      <c r="C3888" s="2" t="s">
        <v>73</v>
      </c>
      <c r="D3888" s="2"/>
      <c r="E3888" s="2" t="str">
        <f>"FES1162565872"</f>
        <v>FES1162565872</v>
      </c>
      <c r="F3888" s="3">
        <v>42948</v>
      </c>
      <c r="G3888" s="2">
        <v>201802</v>
      </c>
      <c r="H3888" s="2" t="s">
        <v>74</v>
      </c>
      <c r="I3888" s="2" t="s">
        <v>75</v>
      </c>
      <c r="J3888" s="2" t="s">
        <v>76</v>
      </c>
      <c r="K3888" s="2" t="s">
        <v>77</v>
      </c>
      <c r="L3888" s="2" t="s">
        <v>74</v>
      </c>
      <c r="M3888" s="2" t="s">
        <v>75</v>
      </c>
      <c r="N3888" s="2" t="s">
        <v>2490</v>
      </c>
      <c r="O3888" s="2" t="s">
        <v>100</v>
      </c>
      <c r="P3888" s="2" t="str">
        <f>"2170581817                    "</f>
        <v xml:space="preserve">2170581817                    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2.83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0</v>
      </c>
      <c r="AV3888" s="2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0</v>
      </c>
      <c r="BC3888" s="2">
        <v>0</v>
      </c>
      <c r="BD3888" s="2">
        <v>0</v>
      </c>
      <c r="BE3888" s="2">
        <v>0</v>
      </c>
      <c r="BF3888" s="2">
        <v>0</v>
      </c>
      <c r="BG3888" s="2">
        <v>0</v>
      </c>
      <c r="BH3888" s="2">
        <v>1</v>
      </c>
      <c r="BI3888" s="2">
        <v>3.8</v>
      </c>
      <c r="BJ3888" s="2">
        <v>3.3</v>
      </c>
      <c r="BK3888" s="2">
        <v>4</v>
      </c>
      <c r="BL3888" s="2">
        <v>32.08</v>
      </c>
      <c r="BM3888" s="2">
        <v>4.49</v>
      </c>
      <c r="BN3888" s="2">
        <v>36.57</v>
      </c>
      <c r="BO3888" s="2">
        <v>36.57</v>
      </c>
      <c r="BP3888" s="2"/>
      <c r="BQ3888" s="2" t="s">
        <v>3600</v>
      </c>
      <c r="BR3888" s="2" t="s">
        <v>84</v>
      </c>
      <c r="BS3888" s="3">
        <v>42949</v>
      </c>
      <c r="BT3888" s="4">
        <v>0.3263888888888889</v>
      </c>
      <c r="BU3888" s="2" t="s">
        <v>3721</v>
      </c>
      <c r="BV3888" s="2" t="s">
        <v>95</v>
      </c>
      <c r="BW3888" s="2"/>
      <c r="BX3888" s="2"/>
      <c r="BY3888" s="2">
        <v>16729.02</v>
      </c>
      <c r="BZ3888" s="2" t="s">
        <v>27</v>
      </c>
      <c r="CA3888" s="2"/>
      <c r="CB3888" s="2"/>
      <c r="CC3888" s="2" t="s">
        <v>75</v>
      </c>
      <c r="CD3888" s="2">
        <v>1619</v>
      </c>
      <c r="CE3888" s="2" t="s">
        <v>89</v>
      </c>
      <c r="CF3888" s="5">
        <v>42950</v>
      </c>
      <c r="CG3888" s="2"/>
      <c r="CH3888" s="2"/>
      <c r="CI3888" s="2">
        <v>1</v>
      </c>
      <c r="CJ3888" s="2">
        <v>1</v>
      </c>
      <c r="CK3888" s="2">
        <v>22</v>
      </c>
      <c r="CL3888" s="2" t="s">
        <v>86</v>
      </c>
      <c r="CM3888" s="2"/>
    </row>
    <row r="3889" spans="1:91">
      <c r="A3889" s="2" t="s">
        <v>71</v>
      </c>
      <c r="B3889" s="2" t="s">
        <v>72</v>
      </c>
      <c r="C3889" s="2" t="s">
        <v>73</v>
      </c>
      <c r="D3889" s="2"/>
      <c r="E3889" s="2" t="str">
        <f>"FES1162565856"</f>
        <v>FES1162565856</v>
      </c>
      <c r="F3889" s="3">
        <v>42948</v>
      </c>
      <c r="G3889" s="2">
        <v>201802</v>
      </c>
      <c r="H3889" s="2" t="s">
        <v>74</v>
      </c>
      <c r="I3889" s="2" t="s">
        <v>75</v>
      </c>
      <c r="J3889" s="2" t="s">
        <v>76</v>
      </c>
      <c r="K3889" s="2" t="s">
        <v>77</v>
      </c>
      <c r="L3889" s="2" t="s">
        <v>97</v>
      </c>
      <c r="M3889" s="2" t="s">
        <v>98</v>
      </c>
      <c r="N3889" s="2" t="s">
        <v>1041</v>
      </c>
      <c r="O3889" s="2" t="s">
        <v>100</v>
      </c>
      <c r="P3889" s="2" t="str">
        <f>"2170580226                    "</f>
        <v xml:space="preserve">2170580226                    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3.63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0</v>
      </c>
      <c r="AV3889" s="2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2">
        <v>0</v>
      </c>
      <c r="BD3889" s="2">
        <v>0</v>
      </c>
      <c r="BE3889" s="2">
        <v>0</v>
      </c>
      <c r="BF3889" s="2">
        <v>0</v>
      </c>
      <c r="BG3889" s="2">
        <v>0</v>
      </c>
      <c r="BH3889" s="2">
        <v>1</v>
      </c>
      <c r="BI3889" s="2">
        <v>1</v>
      </c>
      <c r="BJ3889" s="2">
        <v>0.2</v>
      </c>
      <c r="BK3889" s="2">
        <v>1</v>
      </c>
      <c r="BL3889" s="2">
        <v>41.07</v>
      </c>
      <c r="BM3889" s="2">
        <v>5.75</v>
      </c>
      <c r="BN3889" s="2">
        <v>46.82</v>
      </c>
      <c r="BO3889" s="2">
        <v>46.82</v>
      </c>
      <c r="BP3889" s="2"/>
      <c r="BQ3889" s="2" t="s">
        <v>108</v>
      </c>
      <c r="BR3889" s="2" t="s">
        <v>84</v>
      </c>
      <c r="BS3889" s="3">
        <v>42949</v>
      </c>
      <c r="BT3889" s="4">
        <v>0.29166666666666669</v>
      </c>
      <c r="BU3889" s="2" t="s">
        <v>1072</v>
      </c>
      <c r="BV3889" s="2" t="s">
        <v>95</v>
      </c>
      <c r="BW3889" s="2"/>
      <c r="BX3889" s="2"/>
      <c r="BY3889" s="2">
        <v>1200</v>
      </c>
      <c r="BZ3889" s="2" t="s">
        <v>27</v>
      </c>
      <c r="CA3889" s="2" t="s">
        <v>294</v>
      </c>
      <c r="CB3889" s="2"/>
      <c r="CC3889" s="2" t="s">
        <v>98</v>
      </c>
      <c r="CD3889" s="2">
        <v>6012</v>
      </c>
      <c r="CE3889" s="2" t="s">
        <v>3630</v>
      </c>
      <c r="CF3889" s="5">
        <v>42950</v>
      </c>
      <c r="CG3889" s="2"/>
      <c r="CH3889" s="2"/>
      <c r="CI3889" s="2">
        <v>1</v>
      </c>
      <c r="CJ3889" s="2">
        <v>1</v>
      </c>
      <c r="CK3889" s="2">
        <v>21</v>
      </c>
      <c r="CL3889" s="2" t="s">
        <v>86</v>
      </c>
      <c r="CM3889" s="2"/>
    </row>
    <row r="3890" spans="1:91">
      <c r="A3890" s="2" t="s">
        <v>71</v>
      </c>
      <c r="B3890" s="2" t="s">
        <v>72</v>
      </c>
      <c r="C3890" s="2" t="s">
        <v>73</v>
      </c>
      <c r="D3890" s="2"/>
      <c r="E3890" s="2" t="str">
        <f>"FES1162566094"</f>
        <v>FES1162566094</v>
      </c>
      <c r="F3890" s="3">
        <v>42948</v>
      </c>
      <c r="G3890" s="2">
        <v>201802</v>
      </c>
      <c r="H3890" s="2" t="s">
        <v>74</v>
      </c>
      <c r="I3890" s="2" t="s">
        <v>75</v>
      </c>
      <c r="J3890" s="2" t="s">
        <v>76</v>
      </c>
      <c r="K3890" s="2" t="s">
        <v>77</v>
      </c>
      <c r="L3890" s="2" t="s">
        <v>174</v>
      </c>
      <c r="M3890" s="2" t="s">
        <v>175</v>
      </c>
      <c r="N3890" s="2" t="s">
        <v>930</v>
      </c>
      <c r="O3890" s="2" t="s">
        <v>100</v>
      </c>
      <c r="P3890" s="2" t="str">
        <f>"2170582658                    "</f>
        <v xml:space="preserve">2170582658                    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3.63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0</v>
      </c>
      <c r="AU3890" s="2">
        <v>0</v>
      </c>
      <c r="AV3890" s="2">
        <v>0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2">
        <v>0</v>
      </c>
      <c r="BD3890" s="2">
        <v>0</v>
      </c>
      <c r="BE3890" s="2">
        <v>0</v>
      </c>
      <c r="BF3890" s="2">
        <v>0</v>
      </c>
      <c r="BG3890" s="2">
        <v>0</v>
      </c>
      <c r="BH3890" s="2">
        <v>1</v>
      </c>
      <c r="BI3890" s="2">
        <v>1.5</v>
      </c>
      <c r="BJ3890" s="2">
        <v>1.9</v>
      </c>
      <c r="BK3890" s="2">
        <v>2</v>
      </c>
      <c r="BL3890" s="2">
        <v>41.07</v>
      </c>
      <c r="BM3890" s="2">
        <v>5.75</v>
      </c>
      <c r="BN3890" s="2">
        <v>46.82</v>
      </c>
      <c r="BO3890" s="2">
        <v>46.82</v>
      </c>
      <c r="BP3890" s="2"/>
      <c r="BQ3890" s="2" t="s">
        <v>83</v>
      </c>
      <c r="BR3890" s="2" t="s">
        <v>84</v>
      </c>
      <c r="BS3890" s="3">
        <v>42949</v>
      </c>
      <c r="BT3890" s="4">
        <v>0.38611111111111113</v>
      </c>
      <c r="BU3890" s="2" t="s">
        <v>1372</v>
      </c>
      <c r="BV3890" s="2" t="s">
        <v>95</v>
      </c>
      <c r="BW3890" s="2"/>
      <c r="BX3890" s="2"/>
      <c r="BY3890" s="2">
        <v>9485.3799999999992</v>
      </c>
      <c r="BZ3890" s="2" t="s">
        <v>27</v>
      </c>
      <c r="CA3890" s="2" t="s">
        <v>1373</v>
      </c>
      <c r="CB3890" s="2"/>
      <c r="CC3890" s="2" t="s">
        <v>175</v>
      </c>
      <c r="CD3890" s="2">
        <v>5201</v>
      </c>
      <c r="CE3890" s="2" t="s">
        <v>3630</v>
      </c>
      <c r="CF3890" s="5">
        <v>42954</v>
      </c>
      <c r="CG3890" s="2"/>
      <c r="CH3890" s="2"/>
      <c r="CI3890" s="2">
        <v>1</v>
      </c>
      <c r="CJ3890" s="2">
        <v>1</v>
      </c>
      <c r="CK3890" s="2">
        <v>21</v>
      </c>
      <c r="CL3890" s="2" t="s">
        <v>86</v>
      </c>
      <c r="CM3890" s="2"/>
    </row>
    <row r="3891" spans="1:91">
      <c r="A3891" s="2" t="s">
        <v>71</v>
      </c>
      <c r="B3891" s="2" t="s">
        <v>72</v>
      </c>
      <c r="C3891" s="2" t="s">
        <v>73</v>
      </c>
      <c r="D3891" s="2"/>
      <c r="E3891" s="2" t="str">
        <f>"FES1162565867"</f>
        <v>FES1162565867</v>
      </c>
      <c r="F3891" s="3">
        <v>42948</v>
      </c>
      <c r="G3891" s="2">
        <v>201802</v>
      </c>
      <c r="H3891" s="2" t="s">
        <v>74</v>
      </c>
      <c r="I3891" s="2" t="s">
        <v>75</v>
      </c>
      <c r="J3891" s="2" t="s">
        <v>76</v>
      </c>
      <c r="K3891" s="2" t="s">
        <v>77</v>
      </c>
      <c r="L3891" s="2" t="s">
        <v>362</v>
      </c>
      <c r="M3891" s="2" t="s">
        <v>363</v>
      </c>
      <c r="N3891" s="2" t="s">
        <v>2600</v>
      </c>
      <c r="O3891" s="2" t="s">
        <v>100</v>
      </c>
      <c r="P3891" s="2" t="str">
        <f>"217058773                     "</f>
        <v xml:space="preserve">217058773                     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3.63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0</v>
      </c>
      <c r="AV3891" s="2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2">
        <v>0</v>
      </c>
      <c r="BD3891" s="2">
        <v>0</v>
      </c>
      <c r="BE3891" s="2">
        <v>0</v>
      </c>
      <c r="BF3891" s="2">
        <v>0</v>
      </c>
      <c r="BG3891" s="2">
        <v>0</v>
      </c>
      <c r="BH3891" s="2">
        <v>1</v>
      </c>
      <c r="BI3891" s="2">
        <v>1</v>
      </c>
      <c r="BJ3891" s="2">
        <v>0.2</v>
      </c>
      <c r="BK3891" s="2">
        <v>1</v>
      </c>
      <c r="BL3891" s="2">
        <v>41.07</v>
      </c>
      <c r="BM3891" s="2">
        <v>5.75</v>
      </c>
      <c r="BN3891" s="2">
        <v>46.82</v>
      </c>
      <c r="BO3891" s="2">
        <v>46.82</v>
      </c>
      <c r="BP3891" s="2"/>
      <c r="BQ3891" s="2" t="s">
        <v>83</v>
      </c>
      <c r="BR3891" s="2" t="s">
        <v>84</v>
      </c>
      <c r="BS3891" s="3">
        <v>42949</v>
      </c>
      <c r="BT3891" s="4">
        <v>0.41666666666666669</v>
      </c>
      <c r="BU3891" s="2" t="s">
        <v>2465</v>
      </c>
      <c r="BV3891" s="2" t="s">
        <v>95</v>
      </c>
      <c r="BW3891" s="2"/>
      <c r="BX3891" s="2"/>
      <c r="BY3891" s="2">
        <v>1200</v>
      </c>
      <c r="BZ3891" s="2" t="s">
        <v>27</v>
      </c>
      <c r="CA3891" s="2" t="s">
        <v>685</v>
      </c>
      <c r="CB3891" s="2"/>
      <c r="CC3891" s="2" t="s">
        <v>363</v>
      </c>
      <c r="CD3891" s="2">
        <v>3201</v>
      </c>
      <c r="CE3891" s="2" t="s">
        <v>104</v>
      </c>
      <c r="CF3891" s="5">
        <v>42950</v>
      </c>
      <c r="CG3891" s="2"/>
      <c r="CH3891" s="2"/>
      <c r="CI3891" s="2">
        <v>1</v>
      </c>
      <c r="CJ3891" s="2">
        <v>1</v>
      </c>
      <c r="CK3891" s="2">
        <v>21</v>
      </c>
      <c r="CL3891" s="2" t="s">
        <v>86</v>
      </c>
      <c r="CM3891" s="2"/>
    </row>
    <row r="3892" spans="1:91">
      <c r="A3892" s="2" t="s">
        <v>71</v>
      </c>
      <c r="B3892" s="2" t="s">
        <v>72</v>
      </c>
      <c r="C3892" s="2" t="s">
        <v>73</v>
      </c>
      <c r="D3892" s="2"/>
      <c r="E3892" s="2" t="str">
        <f>"FES1162566101"</f>
        <v>FES1162566101</v>
      </c>
      <c r="F3892" s="3">
        <v>42948</v>
      </c>
      <c r="G3892" s="2">
        <v>201802</v>
      </c>
      <c r="H3892" s="2" t="s">
        <v>74</v>
      </c>
      <c r="I3892" s="2" t="s">
        <v>75</v>
      </c>
      <c r="J3892" s="2" t="s">
        <v>76</v>
      </c>
      <c r="K3892" s="2" t="s">
        <v>77</v>
      </c>
      <c r="L3892" s="2" t="s">
        <v>97</v>
      </c>
      <c r="M3892" s="2" t="s">
        <v>98</v>
      </c>
      <c r="N3892" s="2" t="s">
        <v>625</v>
      </c>
      <c r="O3892" s="2" t="s">
        <v>100</v>
      </c>
      <c r="P3892" s="2" t="str">
        <f>"2170582308                    "</f>
        <v xml:space="preserve">2170582308                    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3.63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0</v>
      </c>
      <c r="AV3892" s="2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2">
        <v>0</v>
      </c>
      <c r="BD3892" s="2">
        <v>0</v>
      </c>
      <c r="BE3892" s="2">
        <v>0</v>
      </c>
      <c r="BF3892" s="2">
        <v>0</v>
      </c>
      <c r="BG3892" s="2">
        <v>0</v>
      </c>
      <c r="BH3892" s="2">
        <v>1</v>
      </c>
      <c r="BI3892" s="2">
        <v>1</v>
      </c>
      <c r="BJ3892" s="2">
        <v>0.2</v>
      </c>
      <c r="BK3892" s="2">
        <v>1</v>
      </c>
      <c r="BL3892" s="2">
        <v>41.07</v>
      </c>
      <c r="BM3892" s="2">
        <v>5.75</v>
      </c>
      <c r="BN3892" s="2">
        <v>46.82</v>
      </c>
      <c r="BO3892" s="2">
        <v>46.82</v>
      </c>
      <c r="BP3892" s="2"/>
      <c r="BQ3892" s="2" t="s">
        <v>108</v>
      </c>
      <c r="BR3892" s="2" t="s">
        <v>84</v>
      </c>
      <c r="BS3892" s="3">
        <v>42949</v>
      </c>
      <c r="BT3892" s="4">
        <v>0.43124999999999997</v>
      </c>
      <c r="BU3892" s="2" t="s">
        <v>1299</v>
      </c>
      <c r="BV3892" s="2" t="s">
        <v>95</v>
      </c>
      <c r="BW3892" s="2"/>
      <c r="BX3892" s="2"/>
      <c r="BY3892" s="2">
        <v>1200</v>
      </c>
      <c r="BZ3892" s="2" t="s">
        <v>27</v>
      </c>
      <c r="CA3892" s="2" t="s">
        <v>103</v>
      </c>
      <c r="CB3892" s="2"/>
      <c r="CC3892" s="2" t="s">
        <v>98</v>
      </c>
      <c r="CD3892" s="2">
        <v>6001</v>
      </c>
      <c r="CE3892" s="2" t="s">
        <v>3630</v>
      </c>
      <c r="CF3892" s="5">
        <v>42950</v>
      </c>
      <c r="CG3892" s="2"/>
      <c r="CH3892" s="2"/>
      <c r="CI3892" s="2">
        <v>1</v>
      </c>
      <c r="CJ3892" s="2">
        <v>1</v>
      </c>
      <c r="CK3892" s="2">
        <v>21</v>
      </c>
      <c r="CL3892" s="2" t="s">
        <v>86</v>
      </c>
      <c r="CM3892" s="2"/>
    </row>
    <row r="3893" spans="1:91">
      <c r="A3893" s="2" t="s">
        <v>71</v>
      </c>
      <c r="B3893" s="2" t="s">
        <v>72</v>
      </c>
      <c r="C3893" s="2" t="s">
        <v>73</v>
      </c>
      <c r="D3893" s="2"/>
      <c r="E3893" s="2" t="str">
        <f>"FES1162565844"</f>
        <v>FES1162565844</v>
      </c>
      <c r="F3893" s="3">
        <v>42948</v>
      </c>
      <c r="G3893" s="2">
        <v>201802</v>
      </c>
      <c r="H3893" s="2" t="s">
        <v>74</v>
      </c>
      <c r="I3893" s="2" t="s">
        <v>75</v>
      </c>
      <c r="J3893" s="2" t="s">
        <v>76</v>
      </c>
      <c r="K3893" s="2" t="s">
        <v>77</v>
      </c>
      <c r="L3893" s="2" t="s">
        <v>149</v>
      </c>
      <c r="M3893" s="2" t="s">
        <v>150</v>
      </c>
      <c r="N3893" s="2" t="s">
        <v>786</v>
      </c>
      <c r="O3893" s="2" t="s">
        <v>100</v>
      </c>
      <c r="P3893" s="2" t="str">
        <f>"2170582425                    "</f>
        <v xml:space="preserve">2170582425                    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4.53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0</v>
      </c>
      <c r="AV3893" s="2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2">
        <v>0</v>
      </c>
      <c r="BD3893" s="2">
        <v>0</v>
      </c>
      <c r="BE3893" s="2">
        <v>0</v>
      </c>
      <c r="BF3893" s="2">
        <v>0</v>
      </c>
      <c r="BG3893" s="2">
        <v>0</v>
      </c>
      <c r="BH3893" s="2">
        <v>1</v>
      </c>
      <c r="BI3893" s="2">
        <v>2.1</v>
      </c>
      <c r="BJ3893" s="2">
        <v>0.9</v>
      </c>
      <c r="BK3893" s="2">
        <v>2.5</v>
      </c>
      <c r="BL3893" s="2">
        <v>51.33</v>
      </c>
      <c r="BM3893" s="2">
        <v>7.19</v>
      </c>
      <c r="BN3893" s="2">
        <v>58.52</v>
      </c>
      <c r="BO3893" s="2">
        <v>58.52</v>
      </c>
      <c r="BP3893" s="2"/>
      <c r="BQ3893" s="2" t="s">
        <v>108</v>
      </c>
      <c r="BR3893" s="2" t="s">
        <v>84</v>
      </c>
      <c r="BS3893" s="3">
        <v>42949</v>
      </c>
      <c r="BT3893" s="4">
        <v>0.36944444444444446</v>
      </c>
      <c r="BU3893" s="2" t="s">
        <v>1503</v>
      </c>
      <c r="BV3893" s="2" t="s">
        <v>95</v>
      </c>
      <c r="BW3893" s="2"/>
      <c r="BX3893" s="2"/>
      <c r="BY3893" s="2">
        <v>4429.3500000000004</v>
      </c>
      <c r="BZ3893" s="2" t="s">
        <v>27</v>
      </c>
      <c r="CA3893" s="2" t="s">
        <v>774</v>
      </c>
      <c r="CB3893" s="2"/>
      <c r="CC3893" s="2" t="s">
        <v>150</v>
      </c>
      <c r="CD3893" s="2">
        <v>4051</v>
      </c>
      <c r="CE3893" s="2" t="s">
        <v>259</v>
      </c>
      <c r="CF3893" s="5">
        <v>42951</v>
      </c>
      <c r="CG3893" s="2"/>
      <c r="CH3893" s="2"/>
      <c r="CI3893" s="2">
        <v>1</v>
      </c>
      <c r="CJ3893" s="2">
        <v>1</v>
      </c>
      <c r="CK3893" s="2">
        <v>21</v>
      </c>
      <c r="CL3893" s="2" t="s">
        <v>86</v>
      </c>
      <c r="CM3893" s="2"/>
    </row>
    <row r="3894" spans="1:91">
      <c r="A3894" s="2" t="s">
        <v>71</v>
      </c>
      <c r="B3894" s="2" t="s">
        <v>72</v>
      </c>
      <c r="C3894" s="2" t="s">
        <v>73</v>
      </c>
      <c r="D3894" s="2"/>
      <c r="E3894" s="2" t="str">
        <f>"FES1162566096"</f>
        <v>FES1162566096</v>
      </c>
      <c r="F3894" s="3">
        <v>42948</v>
      </c>
      <c r="G3894" s="2">
        <v>201802</v>
      </c>
      <c r="H3894" s="2" t="s">
        <v>74</v>
      </c>
      <c r="I3894" s="2" t="s">
        <v>75</v>
      </c>
      <c r="J3894" s="2" t="s">
        <v>76</v>
      </c>
      <c r="K3894" s="2" t="s">
        <v>77</v>
      </c>
      <c r="L3894" s="2" t="s">
        <v>144</v>
      </c>
      <c r="M3894" s="2" t="s">
        <v>145</v>
      </c>
      <c r="N3894" s="2" t="s">
        <v>146</v>
      </c>
      <c r="O3894" s="2" t="s">
        <v>100</v>
      </c>
      <c r="P3894" s="2" t="str">
        <f>"2170582661                    "</f>
        <v xml:space="preserve">2170582661                    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2.83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0</v>
      </c>
      <c r="AV3894" s="2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2">
        <v>0</v>
      </c>
      <c r="BD3894" s="2">
        <v>0</v>
      </c>
      <c r="BE3894" s="2">
        <v>0</v>
      </c>
      <c r="BF3894" s="2">
        <v>0</v>
      </c>
      <c r="BG3894" s="2">
        <v>0</v>
      </c>
      <c r="BH3894" s="2">
        <v>1</v>
      </c>
      <c r="BI3894" s="2">
        <v>1</v>
      </c>
      <c r="BJ3894" s="2">
        <v>0.2</v>
      </c>
      <c r="BK3894" s="2">
        <v>1</v>
      </c>
      <c r="BL3894" s="2">
        <v>32.08</v>
      </c>
      <c r="BM3894" s="2">
        <v>4.49</v>
      </c>
      <c r="BN3894" s="2">
        <v>36.57</v>
      </c>
      <c r="BO3894" s="2">
        <v>36.57</v>
      </c>
      <c r="BP3894" s="2"/>
      <c r="BQ3894" s="2" t="s">
        <v>83</v>
      </c>
      <c r="BR3894" s="2" t="s">
        <v>84</v>
      </c>
      <c r="BS3894" s="3">
        <v>42949</v>
      </c>
      <c r="BT3894" s="4">
        <v>0.3888888888888889</v>
      </c>
      <c r="BU3894" s="2" t="s">
        <v>728</v>
      </c>
      <c r="BV3894" s="2" t="s">
        <v>95</v>
      </c>
      <c r="BW3894" s="2"/>
      <c r="BX3894" s="2"/>
      <c r="BY3894" s="2">
        <v>1200</v>
      </c>
      <c r="BZ3894" s="2" t="s">
        <v>27</v>
      </c>
      <c r="CA3894" s="2" t="s">
        <v>729</v>
      </c>
      <c r="CB3894" s="2"/>
      <c r="CC3894" s="2" t="s">
        <v>145</v>
      </c>
      <c r="CD3894" s="2">
        <v>2094</v>
      </c>
      <c r="CE3894" s="2" t="s">
        <v>104</v>
      </c>
      <c r="CF3894" s="5">
        <v>42950</v>
      </c>
      <c r="CG3894" s="2"/>
      <c r="CH3894" s="2"/>
      <c r="CI3894" s="2">
        <v>1</v>
      </c>
      <c r="CJ3894" s="2">
        <v>1</v>
      </c>
      <c r="CK3894" s="2">
        <v>22</v>
      </c>
      <c r="CL3894" s="2" t="s">
        <v>86</v>
      </c>
      <c r="CM3894" s="2"/>
    </row>
    <row r="3895" spans="1:91">
      <c r="A3895" s="2" t="s">
        <v>71</v>
      </c>
      <c r="B3895" s="2" t="s">
        <v>72</v>
      </c>
      <c r="C3895" s="2" t="s">
        <v>73</v>
      </c>
      <c r="D3895" s="2"/>
      <c r="E3895" s="2" t="str">
        <f>"FES1162565808"</f>
        <v>FES1162565808</v>
      </c>
      <c r="F3895" s="3">
        <v>42948</v>
      </c>
      <c r="G3895" s="2">
        <v>201802</v>
      </c>
      <c r="H3895" s="2" t="s">
        <v>74</v>
      </c>
      <c r="I3895" s="2" t="s">
        <v>75</v>
      </c>
      <c r="J3895" s="2" t="s">
        <v>76</v>
      </c>
      <c r="K3895" s="2" t="s">
        <v>77</v>
      </c>
      <c r="L3895" s="2" t="s">
        <v>97</v>
      </c>
      <c r="M3895" s="2" t="s">
        <v>98</v>
      </c>
      <c r="N3895" s="2" t="s">
        <v>248</v>
      </c>
      <c r="O3895" s="2" t="s">
        <v>100</v>
      </c>
      <c r="P3895" s="2" t="str">
        <f>"2170573593                    "</f>
        <v xml:space="preserve">2170573593                    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16.329999999999998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0</v>
      </c>
      <c r="AV3895" s="2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2">
        <v>0</v>
      </c>
      <c r="BD3895" s="2">
        <v>0</v>
      </c>
      <c r="BE3895" s="2">
        <v>0</v>
      </c>
      <c r="BF3895" s="2">
        <v>0</v>
      </c>
      <c r="BG3895" s="2">
        <v>0</v>
      </c>
      <c r="BH3895" s="2">
        <v>1</v>
      </c>
      <c r="BI3895" s="2">
        <v>6.6</v>
      </c>
      <c r="BJ3895" s="2">
        <v>9</v>
      </c>
      <c r="BK3895" s="2">
        <v>9</v>
      </c>
      <c r="BL3895" s="2">
        <v>184.81</v>
      </c>
      <c r="BM3895" s="2">
        <v>25.87</v>
      </c>
      <c r="BN3895" s="2">
        <v>210.68</v>
      </c>
      <c r="BO3895" s="2">
        <v>210.68</v>
      </c>
      <c r="BP3895" s="2"/>
      <c r="BQ3895" s="2" t="s">
        <v>83</v>
      </c>
      <c r="BR3895" s="2" t="s">
        <v>84</v>
      </c>
      <c r="BS3895" s="3">
        <v>42949</v>
      </c>
      <c r="BT3895" s="4">
        <v>0.33333333333333331</v>
      </c>
      <c r="BU3895" s="2" t="s">
        <v>390</v>
      </c>
      <c r="BV3895" s="2" t="s">
        <v>95</v>
      </c>
      <c r="BW3895" s="2"/>
      <c r="BX3895" s="2"/>
      <c r="BY3895" s="2">
        <v>44907.41</v>
      </c>
      <c r="BZ3895" s="2" t="s">
        <v>27</v>
      </c>
      <c r="CA3895" s="2" t="s">
        <v>294</v>
      </c>
      <c r="CB3895" s="2"/>
      <c r="CC3895" s="2" t="s">
        <v>98</v>
      </c>
      <c r="CD3895" s="2">
        <v>6001</v>
      </c>
      <c r="CE3895" s="2" t="s">
        <v>259</v>
      </c>
      <c r="CF3895" s="5">
        <v>42950</v>
      </c>
      <c r="CG3895" s="2"/>
      <c r="CH3895" s="2"/>
      <c r="CI3895" s="2">
        <v>1</v>
      </c>
      <c r="CJ3895" s="2">
        <v>1</v>
      </c>
      <c r="CK3895" s="2">
        <v>21</v>
      </c>
      <c r="CL3895" s="2" t="s">
        <v>86</v>
      </c>
      <c r="CM3895" s="2"/>
    </row>
    <row r="3896" spans="1:91">
      <c r="A3896" s="2" t="s">
        <v>71</v>
      </c>
      <c r="B3896" s="2" t="s">
        <v>72</v>
      </c>
      <c r="C3896" s="2" t="s">
        <v>73</v>
      </c>
      <c r="D3896" s="2"/>
      <c r="E3896" s="2" t="str">
        <f>"FES1162566102"</f>
        <v>FES1162566102</v>
      </c>
      <c r="F3896" s="3">
        <v>42948</v>
      </c>
      <c r="G3896" s="2">
        <v>201802</v>
      </c>
      <c r="H3896" s="2" t="s">
        <v>74</v>
      </c>
      <c r="I3896" s="2" t="s">
        <v>75</v>
      </c>
      <c r="J3896" s="2" t="s">
        <v>76</v>
      </c>
      <c r="K3896" s="2" t="s">
        <v>77</v>
      </c>
      <c r="L3896" s="2" t="s">
        <v>417</v>
      </c>
      <c r="M3896" s="2" t="s">
        <v>417</v>
      </c>
      <c r="N3896" s="2" t="s">
        <v>475</v>
      </c>
      <c r="O3896" s="2" t="s">
        <v>100</v>
      </c>
      <c r="P3896" s="2" t="str">
        <f>"2170582399                    "</f>
        <v xml:space="preserve">2170582399                    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5.44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0</v>
      </c>
      <c r="AV3896" s="2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2">
        <v>0</v>
      </c>
      <c r="BD3896" s="2">
        <v>0</v>
      </c>
      <c r="BE3896" s="2">
        <v>0</v>
      </c>
      <c r="BF3896" s="2">
        <v>0</v>
      </c>
      <c r="BG3896" s="2">
        <v>0</v>
      </c>
      <c r="BH3896" s="2">
        <v>1</v>
      </c>
      <c r="BI3896" s="2">
        <v>3</v>
      </c>
      <c r="BJ3896" s="2">
        <v>1.6</v>
      </c>
      <c r="BK3896" s="2">
        <v>3</v>
      </c>
      <c r="BL3896" s="2">
        <v>61.6</v>
      </c>
      <c r="BM3896" s="2">
        <v>8.6199999999999992</v>
      </c>
      <c r="BN3896" s="2">
        <v>70.22</v>
      </c>
      <c r="BO3896" s="2">
        <v>70.22</v>
      </c>
      <c r="BP3896" s="2"/>
      <c r="BQ3896" s="2" t="s">
        <v>108</v>
      </c>
      <c r="BR3896" s="2" t="s">
        <v>84</v>
      </c>
      <c r="BS3896" s="3">
        <v>42949</v>
      </c>
      <c r="BT3896" s="4">
        <v>0.47222222222222227</v>
      </c>
      <c r="BU3896" s="2" t="s">
        <v>2239</v>
      </c>
      <c r="BV3896" s="2" t="s">
        <v>95</v>
      </c>
      <c r="BW3896" s="2"/>
      <c r="BX3896" s="2"/>
      <c r="BY3896" s="2">
        <v>8198.4</v>
      </c>
      <c r="BZ3896" s="2" t="s">
        <v>27</v>
      </c>
      <c r="CA3896" s="2" t="s">
        <v>148</v>
      </c>
      <c r="CB3896" s="2"/>
      <c r="CC3896" s="2" t="s">
        <v>417</v>
      </c>
      <c r="CD3896" s="2">
        <v>7646</v>
      </c>
      <c r="CE3896" s="2" t="s">
        <v>259</v>
      </c>
      <c r="CF3896" s="5">
        <v>42949</v>
      </c>
      <c r="CG3896" s="2"/>
      <c r="CH3896" s="2"/>
      <c r="CI3896" s="2">
        <v>1</v>
      </c>
      <c r="CJ3896" s="2">
        <v>1</v>
      </c>
      <c r="CK3896" s="2">
        <v>21</v>
      </c>
      <c r="CL3896" s="2" t="s">
        <v>86</v>
      </c>
      <c r="CM3896" s="2"/>
    </row>
    <row r="3897" spans="1:91">
      <c r="A3897" s="2" t="s">
        <v>71</v>
      </c>
      <c r="B3897" s="2" t="s">
        <v>72</v>
      </c>
      <c r="C3897" s="2" t="s">
        <v>73</v>
      </c>
      <c r="D3897" s="2"/>
      <c r="E3897" s="2" t="str">
        <f>"FES1162565812"</f>
        <v>FES1162565812</v>
      </c>
      <c r="F3897" s="3">
        <v>42948</v>
      </c>
      <c r="G3897" s="2">
        <v>201802</v>
      </c>
      <c r="H3897" s="2" t="s">
        <v>74</v>
      </c>
      <c r="I3897" s="2" t="s">
        <v>75</v>
      </c>
      <c r="J3897" s="2" t="s">
        <v>76</v>
      </c>
      <c r="K3897" s="2" t="s">
        <v>77</v>
      </c>
      <c r="L3897" s="2" t="s">
        <v>510</v>
      </c>
      <c r="M3897" s="2" t="s">
        <v>511</v>
      </c>
      <c r="N3897" s="2" t="s">
        <v>583</v>
      </c>
      <c r="O3897" s="2" t="s">
        <v>100</v>
      </c>
      <c r="P3897" s="2" t="str">
        <f>"217058218                     "</f>
        <v xml:space="preserve">217058218                     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3.63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0</v>
      </c>
      <c r="AV3897" s="2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2">
        <v>0</v>
      </c>
      <c r="BD3897" s="2">
        <v>0</v>
      </c>
      <c r="BE3897" s="2">
        <v>0</v>
      </c>
      <c r="BF3897" s="2">
        <v>0</v>
      </c>
      <c r="BG3897" s="2">
        <v>0</v>
      </c>
      <c r="BH3897" s="2">
        <v>1</v>
      </c>
      <c r="BI3897" s="2">
        <v>1</v>
      </c>
      <c r="BJ3897" s="2">
        <v>0.2</v>
      </c>
      <c r="BK3897" s="2">
        <v>1</v>
      </c>
      <c r="BL3897" s="2">
        <v>41.07</v>
      </c>
      <c r="BM3897" s="2">
        <v>5.75</v>
      </c>
      <c r="BN3897" s="2">
        <v>46.82</v>
      </c>
      <c r="BO3897" s="2">
        <v>46.82</v>
      </c>
      <c r="BP3897" s="2"/>
      <c r="BQ3897" s="2" t="s">
        <v>1505</v>
      </c>
      <c r="BR3897" s="2" t="s">
        <v>84</v>
      </c>
      <c r="BS3897" s="3">
        <v>42949</v>
      </c>
      <c r="BT3897" s="4">
        <v>0.31527777777777777</v>
      </c>
      <c r="BU3897" s="2" t="s">
        <v>584</v>
      </c>
      <c r="BV3897" s="2" t="s">
        <v>95</v>
      </c>
      <c r="BW3897" s="2"/>
      <c r="BX3897" s="2"/>
      <c r="BY3897" s="2">
        <v>1200</v>
      </c>
      <c r="BZ3897" s="2" t="s">
        <v>27</v>
      </c>
      <c r="CA3897" s="2" t="s">
        <v>514</v>
      </c>
      <c r="CB3897" s="2"/>
      <c r="CC3897" s="2" t="s">
        <v>511</v>
      </c>
      <c r="CD3897" s="2">
        <v>6229</v>
      </c>
      <c r="CE3897" s="2" t="s">
        <v>3630</v>
      </c>
      <c r="CF3897" s="5">
        <v>42950</v>
      </c>
      <c r="CG3897" s="2"/>
      <c r="CH3897" s="2"/>
      <c r="CI3897" s="2">
        <v>1</v>
      </c>
      <c r="CJ3897" s="2">
        <v>1</v>
      </c>
      <c r="CK3897" s="2">
        <v>21</v>
      </c>
      <c r="CL3897" s="2" t="s">
        <v>86</v>
      </c>
      <c r="CM3897" s="2"/>
    </row>
    <row r="3898" spans="1:91">
      <c r="A3898" s="2" t="s">
        <v>71</v>
      </c>
      <c r="B3898" s="2" t="s">
        <v>72</v>
      </c>
      <c r="C3898" s="2" t="s">
        <v>73</v>
      </c>
      <c r="D3898" s="2"/>
      <c r="E3898" s="2" t="str">
        <f>"FES1162566099"</f>
        <v>FES1162566099</v>
      </c>
      <c r="F3898" s="3">
        <v>42948</v>
      </c>
      <c r="G3898" s="2">
        <v>201802</v>
      </c>
      <c r="H3898" s="2" t="s">
        <v>74</v>
      </c>
      <c r="I3898" s="2" t="s">
        <v>75</v>
      </c>
      <c r="J3898" s="2" t="s">
        <v>76</v>
      </c>
      <c r="K3898" s="2" t="s">
        <v>77</v>
      </c>
      <c r="L3898" s="2" t="s">
        <v>244</v>
      </c>
      <c r="M3898" s="2" t="s">
        <v>245</v>
      </c>
      <c r="N3898" s="2" t="s">
        <v>2817</v>
      </c>
      <c r="O3898" s="2" t="s">
        <v>100</v>
      </c>
      <c r="P3898" s="2" t="str">
        <f>"217056483                     "</f>
        <v xml:space="preserve">217056483                     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2.83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0</v>
      </c>
      <c r="AV3898" s="2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2">
        <v>0</v>
      </c>
      <c r="BD3898" s="2">
        <v>0</v>
      </c>
      <c r="BE3898" s="2">
        <v>0</v>
      </c>
      <c r="BF3898" s="2">
        <v>0</v>
      </c>
      <c r="BG3898" s="2">
        <v>0</v>
      </c>
      <c r="BH3898" s="2">
        <v>1</v>
      </c>
      <c r="BI3898" s="2">
        <v>7</v>
      </c>
      <c r="BJ3898" s="2">
        <v>3.3</v>
      </c>
      <c r="BK3898" s="2">
        <v>7</v>
      </c>
      <c r="BL3898" s="2">
        <v>32.08</v>
      </c>
      <c r="BM3898" s="2">
        <v>4.49</v>
      </c>
      <c r="BN3898" s="2">
        <v>36.57</v>
      </c>
      <c r="BO3898" s="2">
        <v>36.57</v>
      </c>
      <c r="BP3898" s="2"/>
      <c r="BQ3898" s="2" t="s">
        <v>209</v>
      </c>
      <c r="BR3898" s="2" t="s">
        <v>84</v>
      </c>
      <c r="BS3898" s="3">
        <v>42949</v>
      </c>
      <c r="BT3898" s="4">
        <v>0.40763888888888888</v>
      </c>
      <c r="BU3898" s="2" t="s">
        <v>3631</v>
      </c>
      <c r="BV3898" s="2" t="s">
        <v>95</v>
      </c>
      <c r="BW3898" s="2"/>
      <c r="BX3898" s="2"/>
      <c r="BY3898" s="2">
        <v>16510.34</v>
      </c>
      <c r="BZ3898" s="2" t="s">
        <v>27</v>
      </c>
      <c r="CA3898" s="2" t="s">
        <v>499</v>
      </c>
      <c r="CB3898" s="2"/>
      <c r="CC3898" s="2" t="s">
        <v>245</v>
      </c>
      <c r="CD3898" s="2">
        <v>1459</v>
      </c>
      <c r="CE3898" s="2" t="s">
        <v>89</v>
      </c>
      <c r="CF3898" s="5">
        <v>42950</v>
      </c>
      <c r="CG3898" s="2"/>
      <c r="CH3898" s="2"/>
      <c r="CI3898" s="2">
        <v>1</v>
      </c>
      <c r="CJ3898" s="2">
        <v>1</v>
      </c>
      <c r="CK3898" s="2">
        <v>22</v>
      </c>
      <c r="CL3898" s="2" t="s">
        <v>86</v>
      </c>
      <c r="CM3898" s="2"/>
    </row>
    <row r="3899" spans="1:91">
      <c r="A3899" s="2" t="s">
        <v>71</v>
      </c>
      <c r="B3899" s="2" t="s">
        <v>72</v>
      </c>
      <c r="C3899" s="2" t="s">
        <v>73</v>
      </c>
      <c r="D3899" s="2"/>
      <c r="E3899" s="2" t="str">
        <f>"FES1162565835"</f>
        <v>FES1162565835</v>
      </c>
      <c r="F3899" s="3">
        <v>42948</v>
      </c>
      <c r="G3899" s="2">
        <v>201802</v>
      </c>
      <c r="H3899" s="2" t="s">
        <v>74</v>
      </c>
      <c r="I3899" s="2" t="s">
        <v>75</v>
      </c>
      <c r="J3899" s="2" t="s">
        <v>76</v>
      </c>
      <c r="K3899" s="2" t="s">
        <v>77</v>
      </c>
      <c r="L3899" s="2" t="s">
        <v>97</v>
      </c>
      <c r="M3899" s="2" t="s">
        <v>98</v>
      </c>
      <c r="N3899" s="2" t="s">
        <v>500</v>
      </c>
      <c r="O3899" s="2" t="s">
        <v>100</v>
      </c>
      <c r="P3899" s="2" t="str">
        <f>"2170582421                    "</f>
        <v xml:space="preserve">2170582421                    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3.63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0</v>
      </c>
      <c r="AU3899" s="2">
        <v>0</v>
      </c>
      <c r="AV3899" s="2">
        <v>0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2">
        <v>0</v>
      </c>
      <c r="BD3899" s="2">
        <v>0</v>
      </c>
      <c r="BE3899" s="2">
        <v>0</v>
      </c>
      <c r="BF3899" s="2">
        <v>0</v>
      </c>
      <c r="BG3899" s="2">
        <v>0</v>
      </c>
      <c r="BH3899" s="2">
        <v>1</v>
      </c>
      <c r="BI3899" s="2">
        <v>1</v>
      </c>
      <c r="BJ3899" s="2">
        <v>0.2</v>
      </c>
      <c r="BK3899" s="2">
        <v>1</v>
      </c>
      <c r="BL3899" s="2">
        <v>41.07</v>
      </c>
      <c r="BM3899" s="2">
        <v>5.75</v>
      </c>
      <c r="BN3899" s="2">
        <v>46.82</v>
      </c>
      <c r="BO3899" s="2">
        <v>46.82</v>
      </c>
      <c r="BP3899" s="2"/>
      <c r="BQ3899" s="2" t="s">
        <v>108</v>
      </c>
      <c r="BR3899" s="2" t="s">
        <v>84</v>
      </c>
      <c r="BS3899" s="3">
        <v>42949</v>
      </c>
      <c r="BT3899" s="4">
        <v>0.3611111111111111</v>
      </c>
      <c r="BU3899" s="2" t="s">
        <v>501</v>
      </c>
      <c r="BV3899" s="2" t="s">
        <v>95</v>
      </c>
      <c r="BW3899" s="2"/>
      <c r="BX3899" s="2"/>
      <c r="BY3899" s="2">
        <v>1200</v>
      </c>
      <c r="BZ3899" s="2" t="s">
        <v>27</v>
      </c>
      <c r="CA3899" s="2" t="s">
        <v>294</v>
      </c>
      <c r="CB3899" s="2"/>
      <c r="CC3899" s="2" t="s">
        <v>98</v>
      </c>
      <c r="CD3899" s="2">
        <v>6001</v>
      </c>
      <c r="CE3899" s="2" t="s">
        <v>3630</v>
      </c>
      <c r="CF3899" s="5">
        <v>42950</v>
      </c>
      <c r="CG3899" s="2"/>
      <c r="CH3899" s="2"/>
      <c r="CI3899" s="2">
        <v>1</v>
      </c>
      <c r="CJ3899" s="2">
        <v>1</v>
      </c>
      <c r="CK3899" s="2">
        <v>21</v>
      </c>
      <c r="CL3899" s="2" t="s">
        <v>86</v>
      </c>
      <c r="CM3899" s="2"/>
    </row>
    <row r="3900" spans="1:91">
      <c r="A3900" s="2" t="s">
        <v>71</v>
      </c>
      <c r="B3900" s="2" t="s">
        <v>72</v>
      </c>
      <c r="C3900" s="2" t="s">
        <v>73</v>
      </c>
      <c r="D3900" s="2"/>
      <c r="E3900" s="2" t="str">
        <f>"FES1162566098"</f>
        <v>FES1162566098</v>
      </c>
      <c r="F3900" s="3">
        <v>42948</v>
      </c>
      <c r="G3900" s="2">
        <v>201802</v>
      </c>
      <c r="H3900" s="2" t="s">
        <v>74</v>
      </c>
      <c r="I3900" s="2" t="s">
        <v>75</v>
      </c>
      <c r="J3900" s="2" t="s">
        <v>76</v>
      </c>
      <c r="K3900" s="2" t="s">
        <v>77</v>
      </c>
      <c r="L3900" s="2" t="s">
        <v>170</v>
      </c>
      <c r="M3900" s="2" t="s">
        <v>171</v>
      </c>
      <c r="N3900" s="2" t="s">
        <v>730</v>
      </c>
      <c r="O3900" s="2" t="s">
        <v>100</v>
      </c>
      <c r="P3900" s="2" t="str">
        <f>"2170582663                    "</f>
        <v xml:space="preserve">2170582663                    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2.83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0</v>
      </c>
      <c r="AV3900" s="2">
        <v>0</v>
      </c>
      <c r="AW3900" s="2">
        <v>0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2">
        <v>0</v>
      </c>
      <c r="BD3900" s="2">
        <v>0</v>
      </c>
      <c r="BE3900" s="2">
        <v>0</v>
      </c>
      <c r="BF3900" s="2">
        <v>0</v>
      </c>
      <c r="BG3900" s="2">
        <v>0</v>
      </c>
      <c r="BH3900" s="2">
        <v>1</v>
      </c>
      <c r="BI3900" s="2">
        <v>1</v>
      </c>
      <c r="BJ3900" s="2">
        <v>0.2</v>
      </c>
      <c r="BK3900" s="2">
        <v>1</v>
      </c>
      <c r="BL3900" s="2">
        <v>32.08</v>
      </c>
      <c r="BM3900" s="2">
        <v>4.49</v>
      </c>
      <c r="BN3900" s="2">
        <v>36.57</v>
      </c>
      <c r="BO3900" s="2">
        <v>36.57</v>
      </c>
      <c r="BP3900" s="2"/>
      <c r="BQ3900" s="2" t="s">
        <v>3722</v>
      </c>
      <c r="BR3900" s="2" t="s">
        <v>84</v>
      </c>
      <c r="BS3900" s="3">
        <v>42949</v>
      </c>
      <c r="BT3900" s="4">
        <v>0.66388888888888886</v>
      </c>
      <c r="BU3900" s="2" t="s">
        <v>1910</v>
      </c>
      <c r="BV3900" s="2" t="s">
        <v>86</v>
      </c>
      <c r="BW3900" s="2"/>
      <c r="BX3900" s="2"/>
      <c r="BY3900" s="2">
        <v>1200</v>
      </c>
      <c r="BZ3900" s="2" t="s">
        <v>27</v>
      </c>
      <c r="CA3900" s="2" t="s">
        <v>2028</v>
      </c>
      <c r="CB3900" s="2"/>
      <c r="CC3900" s="2" t="s">
        <v>171</v>
      </c>
      <c r="CD3900" s="2">
        <v>1428</v>
      </c>
      <c r="CE3900" s="2" t="s">
        <v>104</v>
      </c>
      <c r="CF3900" s="5">
        <v>42950</v>
      </c>
      <c r="CG3900" s="2"/>
      <c r="CH3900" s="2"/>
      <c r="CI3900" s="2">
        <v>1</v>
      </c>
      <c r="CJ3900" s="2">
        <v>1</v>
      </c>
      <c r="CK3900" s="2">
        <v>22</v>
      </c>
      <c r="CL3900" s="2" t="s">
        <v>86</v>
      </c>
      <c r="CM3900" s="2"/>
    </row>
    <row r="3901" spans="1:91">
      <c r="A3901" s="2" t="s">
        <v>71</v>
      </c>
      <c r="B3901" s="2" t="s">
        <v>72</v>
      </c>
      <c r="C3901" s="2" t="s">
        <v>73</v>
      </c>
      <c r="D3901" s="2"/>
      <c r="E3901" s="2" t="str">
        <f>"FES1162565931"</f>
        <v>FES1162565931</v>
      </c>
      <c r="F3901" s="3">
        <v>42948</v>
      </c>
      <c r="G3901" s="2">
        <v>201802</v>
      </c>
      <c r="H3901" s="2" t="s">
        <v>74</v>
      </c>
      <c r="I3901" s="2" t="s">
        <v>75</v>
      </c>
      <c r="J3901" s="2" t="s">
        <v>76</v>
      </c>
      <c r="K3901" s="2" t="s">
        <v>77</v>
      </c>
      <c r="L3901" s="2" t="s">
        <v>105</v>
      </c>
      <c r="M3901" s="2" t="s">
        <v>106</v>
      </c>
      <c r="N3901" s="2" t="s">
        <v>3723</v>
      </c>
      <c r="O3901" s="2" t="s">
        <v>100</v>
      </c>
      <c r="P3901" s="2" t="str">
        <f>"2170585841                    "</f>
        <v xml:space="preserve">2170585841                    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3.63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0</v>
      </c>
      <c r="AV3901" s="2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2">
        <v>0</v>
      </c>
      <c r="BD3901" s="2">
        <v>0</v>
      </c>
      <c r="BE3901" s="2">
        <v>0</v>
      </c>
      <c r="BF3901" s="2">
        <v>0</v>
      </c>
      <c r="BG3901" s="2">
        <v>0</v>
      </c>
      <c r="BH3901" s="2">
        <v>1</v>
      </c>
      <c r="BI3901" s="2">
        <v>2</v>
      </c>
      <c r="BJ3901" s="2">
        <v>1.8</v>
      </c>
      <c r="BK3901" s="2">
        <v>2</v>
      </c>
      <c r="BL3901" s="2">
        <v>41.07</v>
      </c>
      <c r="BM3901" s="2">
        <v>5.75</v>
      </c>
      <c r="BN3901" s="2">
        <v>46.82</v>
      </c>
      <c r="BO3901" s="2">
        <v>46.82</v>
      </c>
      <c r="BP3901" s="2"/>
      <c r="BQ3901" s="2"/>
      <c r="BR3901" s="2" t="s">
        <v>84</v>
      </c>
      <c r="BS3901" s="3">
        <v>42949</v>
      </c>
      <c r="BT3901" s="4">
        <v>0.37361111111111112</v>
      </c>
      <c r="BU3901" s="2" t="s">
        <v>3724</v>
      </c>
      <c r="BV3901" s="2" t="s">
        <v>95</v>
      </c>
      <c r="BW3901" s="2"/>
      <c r="BX3901" s="2"/>
      <c r="BY3901" s="2">
        <v>9134.15</v>
      </c>
      <c r="BZ3901" s="2" t="s">
        <v>27</v>
      </c>
      <c r="CA3901" s="2" t="s">
        <v>488</v>
      </c>
      <c r="CB3901" s="2"/>
      <c r="CC3901" s="2" t="s">
        <v>106</v>
      </c>
      <c r="CD3901" s="2">
        <v>7441</v>
      </c>
      <c r="CE3901" s="2" t="s">
        <v>1005</v>
      </c>
      <c r="CF3901" s="5">
        <v>42950</v>
      </c>
      <c r="CG3901" s="2"/>
      <c r="CH3901" s="2"/>
      <c r="CI3901" s="2">
        <v>1</v>
      </c>
      <c r="CJ3901" s="2">
        <v>1</v>
      </c>
      <c r="CK3901" s="2">
        <v>21</v>
      </c>
      <c r="CL3901" s="2" t="s">
        <v>86</v>
      </c>
      <c r="CM3901" s="2"/>
    </row>
    <row r="3902" spans="1:91">
      <c r="A3902" s="2" t="s">
        <v>71</v>
      </c>
      <c r="B3902" s="2" t="s">
        <v>72</v>
      </c>
      <c r="C3902" s="2" t="s">
        <v>73</v>
      </c>
      <c r="D3902" s="2"/>
      <c r="E3902" s="2" t="str">
        <f>"FES1162565976"</f>
        <v>FES1162565976</v>
      </c>
      <c r="F3902" s="3">
        <v>42948</v>
      </c>
      <c r="G3902" s="2">
        <v>201802</v>
      </c>
      <c r="H3902" s="2" t="s">
        <v>74</v>
      </c>
      <c r="I3902" s="2" t="s">
        <v>75</v>
      </c>
      <c r="J3902" s="2" t="s">
        <v>76</v>
      </c>
      <c r="K3902" s="2" t="s">
        <v>77</v>
      </c>
      <c r="L3902" s="2" t="s">
        <v>268</v>
      </c>
      <c r="M3902" s="2" t="s">
        <v>269</v>
      </c>
      <c r="N3902" s="2" t="s">
        <v>442</v>
      </c>
      <c r="O3902" s="2" t="s">
        <v>100</v>
      </c>
      <c r="P3902" s="2" t="str">
        <f>"2170582527                    "</f>
        <v xml:space="preserve">2170582527                    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3.63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0</v>
      </c>
      <c r="AV3902" s="2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2">
        <v>0</v>
      </c>
      <c r="BD3902" s="2">
        <v>0</v>
      </c>
      <c r="BE3902" s="2">
        <v>0</v>
      </c>
      <c r="BF3902" s="2">
        <v>0</v>
      </c>
      <c r="BG3902" s="2">
        <v>0</v>
      </c>
      <c r="BH3902" s="2">
        <v>1</v>
      </c>
      <c r="BI3902" s="2">
        <v>1</v>
      </c>
      <c r="BJ3902" s="2">
        <v>0.2</v>
      </c>
      <c r="BK3902" s="2">
        <v>1</v>
      </c>
      <c r="BL3902" s="2">
        <v>41.07</v>
      </c>
      <c r="BM3902" s="2">
        <v>5.75</v>
      </c>
      <c r="BN3902" s="2">
        <v>46.82</v>
      </c>
      <c r="BO3902" s="2">
        <v>46.82</v>
      </c>
      <c r="BP3902" s="2"/>
      <c r="BQ3902" s="2" t="s">
        <v>83</v>
      </c>
      <c r="BR3902" s="2" t="s">
        <v>84</v>
      </c>
      <c r="BS3902" s="3">
        <v>42949</v>
      </c>
      <c r="BT3902" s="4">
        <v>0.38541666666666669</v>
      </c>
      <c r="BU3902" s="2" t="s">
        <v>443</v>
      </c>
      <c r="BV3902" s="2" t="s">
        <v>95</v>
      </c>
      <c r="BW3902" s="2"/>
      <c r="BX3902" s="2"/>
      <c r="BY3902" s="2">
        <v>1200</v>
      </c>
      <c r="BZ3902" s="2" t="s">
        <v>27</v>
      </c>
      <c r="CA3902" s="2" t="s">
        <v>445</v>
      </c>
      <c r="CB3902" s="2"/>
      <c r="CC3902" s="2" t="s">
        <v>269</v>
      </c>
      <c r="CD3902" s="2">
        <v>1</v>
      </c>
      <c r="CE3902" s="2" t="s">
        <v>3630</v>
      </c>
      <c r="CF3902" s="5">
        <v>42950</v>
      </c>
      <c r="CG3902" s="2"/>
      <c r="CH3902" s="2"/>
      <c r="CI3902" s="2">
        <v>1</v>
      </c>
      <c r="CJ3902" s="2">
        <v>1</v>
      </c>
      <c r="CK3902" s="2">
        <v>21</v>
      </c>
      <c r="CL3902" s="2" t="s">
        <v>86</v>
      </c>
      <c r="CM3902" s="2"/>
    </row>
    <row r="3903" spans="1:91">
      <c r="A3903" s="2" t="s">
        <v>71</v>
      </c>
      <c r="B3903" s="2" t="s">
        <v>72</v>
      </c>
      <c r="C3903" s="2" t="s">
        <v>73</v>
      </c>
      <c r="D3903" s="2"/>
      <c r="E3903" s="2" t="str">
        <f>"FES1162566057"</f>
        <v>FES1162566057</v>
      </c>
      <c r="F3903" s="3">
        <v>42948</v>
      </c>
      <c r="G3903" s="2">
        <v>201802</v>
      </c>
      <c r="H3903" s="2" t="s">
        <v>74</v>
      </c>
      <c r="I3903" s="2" t="s">
        <v>75</v>
      </c>
      <c r="J3903" s="2" t="s">
        <v>76</v>
      </c>
      <c r="K3903" s="2" t="s">
        <v>77</v>
      </c>
      <c r="L3903" s="2" t="s">
        <v>105</v>
      </c>
      <c r="M3903" s="2" t="s">
        <v>106</v>
      </c>
      <c r="N3903" s="2" t="s">
        <v>3725</v>
      </c>
      <c r="O3903" s="2" t="s">
        <v>100</v>
      </c>
      <c r="P3903" s="2" t="str">
        <f>"2170581424                    "</f>
        <v xml:space="preserve">2170581424                    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3.63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0</v>
      </c>
      <c r="AV3903" s="2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2">
        <v>0</v>
      </c>
      <c r="BD3903" s="2">
        <v>0</v>
      </c>
      <c r="BE3903" s="2">
        <v>0</v>
      </c>
      <c r="BF3903" s="2">
        <v>0</v>
      </c>
      <c r="BG3903" s="2">
        <v>0</v>
      </c>
      <c r="BH3903" s="2">
        <v>1</v>
      </c>
      <c r="BI3903" s="2">
        <v>2</v>
      </c>
      <c r="BJ3903" s="2">
        <v>1.6</v>
      </c>
      <c r="BK3903" s="2">
        <v>2</v>
      </c>
      <c r="BL3903" s="2">
        <v>41.07</v>
      </c>
      <c r="BM3903" s="2">
        <v>5.75</v>
      </c>
      <c r="BN3903" s="2">
        <v>46.82</v>
      </c>
      <c r="BO3903" s="2">
        <v>46.82</v>
      </c>
      <c r="BP3903" s="2"/>
      <c r="BQ3903" s="2" t="s">
        <v>108</v>
      </c>
      <c r="BR3903" s="2" t="s">
        <v>84</v>
      </c>
      <c r="BS3903" s="3">
        <v>42949</v>
      </c>
      <c r="BT3903" s="4">
        <v>0.36944444444444446</v>
      </c>
      <c r="BU3903" s="2" t="s">
        <v>3726</v>
      </c>
      <c r="BV3903" s="2" t="s">
        <v>95</v>
      </c>
      <c r="BW3903" s="2"/>
      <c r="BX3903" s="2"/>
      <c r="BY3903" s="2">
        <v>8156.26</v>
      </c>
      <c r="BZ3903" s="2" t="s">
        <v>27</v>
      </c>
      <c r="CA3903" s="2" t="s">
        <v>3727</v>
      </c>
      <c r="CB3903" s="2"/>
      <c r="CC3903" s="2" t="s">
        <v>106</v>
      </c>
      <c r="CD3903" s="2">
        <v>8001</v>
      </c>
      <c r="CE3903" s="2" t="s">
        <v>259</v>
      </c>
      <c r="CF3903" s="5">
        <v>42950</v>
      </c>
      <c r="CG3903" s="2"/>
      <c r="CH3903" s="2"/>
      <c r="CI3903" s="2">
        <v>1</v>
      </c>
      <c r="CJ3903" s="2">
        <v>1</v>
      </c>
      <c r="CK3903" s="2">
        <v>21</v>
      </c>
      <c r="CL3903" s="2" t="s">
        <v>86</v>
      </c>
      <c r="CM3903" s="2"/>
    </row>
    <row r="3904" spans="1:91">
      <c r="A3904" s="2" t="s">
        <v>71</v>
      </c>
      <c r="B3904" s="2" t="s">
        <v>72</v>
      </c>
      <c r="C3904" s="2" t="s">
        <v>73</v>
      </c>
      <c r="D3904" s="2"/>
      <c r="E3904" s="2" t="str">
        <f>"FES1162565955"</f>
        <v>FES1162565955</v>
      </c>
      <c r="F3904" s="3">
        <v>42948</v>
      </c>
      <c r="G3904" s="2">
        <v>201802</v>
      </c>
      <c r="H3904" s="2" t="s">
        <v>74</v>
      </c>
      <c r="I3904" s="2" t="s">
        <v>75</v>
      </c>
      <c r="J3904" s="2" t="s">
        <v>76</v>
      </c>
      <c r="K3904" s="2" t="s">
        <v>77</v>
      </c>
      <c r="L3904" s="2" t="s">
        <v>343</v>
      </c>
      <c r="M3904" s="2" t="s">
        <v>344</v>
      </c>
      <c r="N3904" s="2" t="s">
        <v>351</v>
      </c>
      <c r="O3904" s="2" t="s">
        <v>100</v>
      </c>
      <c r="P3904" s="2" t="str">
        <f>"2170582195                    "</f>
        <v xml:space="preserve">2170582195                    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3.63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0</v>
      </c>
      <c r="AU3904" s="2">
        <v>0</v>
      </c>
      <c r="AV3904" s="2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2">
        <v>0</v>
      </c>
      <c r="BD3904" s="2">
        <v>0</v>
      </c>
      <c r="BE3904" s="2">
        <v>0</v>
      </c>
      <c r="BF3904" s="2">
        <v>0</v>
      </c>
      <c r="BG3904" s="2">
        <v>0</v>
      </c>
      <c r="BH3904" s="2">
        <v>1</v>
      </c>
      <c r="BI3904" s="2">
        <v>1</v>
      </c>
      <c r="BJ3904" s="2">
        <v>0.2</v>
      </c>
      <c r="BK3904" s="2">
        <v>1</v>
      </c>
      <c r="BL3904" s="2">
        <v>41.07</v>
      </c>
      <c r="BM3904" s="2">
        <v>5.75</v>
      </c>
      <c r="BN3904" s="2">
        <v>46.82</v>
      </c>
      <c r="BO3904" s="2">
        <v>46.82</v>
      </c>
      <c r="BP3904" s="2"/>
      <c r="BQ3904" s="2" t="s">
        <v>1582</v>
      </c>
      <c r="BR3904" s="2" t="s">
        <v>84</v>
      </c>
      <c r="BS3904" s="3">
        <v>42949</v>
      </c>
      <c r="BT3904" s="4">
        <v>0.38194444444444442</v>
      </c>
      <c r="BU3904" s="2" t="s">
        <v>352</v>
      </c>
      <c r="BV3904" s="2" t="s">
        <v>95</v>
      </c>
      <c r="BW3904" s="2"/>
      <c r="BX3904" s="2"/>
      <c r="BY3904" s="2">
        <v>1200</v>
      </c>
      <c r="BZ3904" s="2" t="s">
        <v>27</v>
      </c>
      <c r="CA3904" s="2" t="s">
        <v>347</v>
      </c>
      <c r="CB3904" s="2"/>
      <c r="CC3904" s="2" t="s">
        <v>344</v>
      </c>
      <c r="CD3904" s="2">
        <v>4133</v>
      </c>
      <c r="CE3904" s="2" t="s">
        <v>3630</v>
      </c>
      <c r="CF3904" s="5">
        <v>42951</v>
      </c>
      <c r="CG3904" s="2"/>
      <c r="CH3904" s="2"/>
      <c r="CI3904" s="2">
        <v>1</v>
      </c>
      <c r="CJ3904" s="2">
        <v>1</v>
      </c>
      <c r="CK3904" s="2">
        <v>21</v>
      </c>
      <c r="CL3904" s="2" t="s">
        <v>86</v>
      </c>
      <c r="CM3904" s="2"/>
    </row>
    <row r="3905" spans="1:91">
      <c r="A3905" s="2" t="s">
        <v>71</v>
      </c>
      <c r="B3905" s="2" t="s">
        <v>72</v>
      </c>
      <c r="C3905" s="2" t="s">
        <v>73</v>
      </c>
      <c r="D3905" s="2"/>
      <c r="E3905" s="2" t="str">
        <f>"FES1162566011"</f>
        <v>FES1162566011</v>
      </c>
      <c r="F3905" s="3">
        <v>42948</v>
      </c>
      <c r="G3905" s="2">
        <v>201802</v>
      </c>
      <c r="H3905" s="2" t="s">
        <v>74</v>
      </c>
      <c r="I3905" s="2" t="s">
        <v>75</v>
      </c>
      <c r="J3905" s="2" t="s">
        <v>76</v>
      </c>
      <c r="K3905" s="2" t="s">
        <v>77</v>
      </c>
      <c r="L3905" s="2" t="s">
        <v>321</v>
      </c>
      <c r="M3905" s="2" t="s">
        <v>322</v>
      </c>
      <c r="N3905" s="2" t="s">
        <v>323</v>
      </c>
      <c r="O3905" s="2" t="s">
        <v>100</v>
      </c>
      <c r="P3905" s="2" t="str">
        <f>"2170581162                    "</f>
        <v xml:space="preserve">2170581162                    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3.63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0</v>
      </c>
      <c r="AV3905" s="2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2">
        <v>0</v>
      </c>
      <c r="BD3905" s="2">
        <v>0</v>
      </c>
      <c r="BE3905" s="2">
        <v>0</v>
      </c>
      <c r="BF3905" s="2">
        <v>0</v>
      </c>
      <c r="BG3905" s="2">
        <v>0</v>
      </c>
      <c r="BH3905" s="2">
        <v>1</v>
      </c>
      <c r="BI3905" s="2">
        <v>1</v>
      </c>
      <c r="BJ3905" s="2">
        <v>0.2</v>
      </c>
      <c r="BK3905" s="2">
        <v>1</v>
      </c>
      <c r="BL3905" s="2">
        <v>41.07</v>
      </c>
      <c r="BM3905" s="2">
        <v>5.75</v>
      </c>
      <c r="BN3905" s="2">
        <v>46.82</v>
      </c>
      <c r="BO3905" s="2">
        <v>46.82</v>
      </c>
      <c r="BP3905" s="2"/>
      <c r="BQ3905" s="2" t="s">
        <v>3643</v>
      </c>
      <c r="BR3905" s="2" t="s">
        <v>84</v>
      </c>
      <c r="BS3905" s="3">
        <v>42949</v>
      </c>
      <c r="BT3905" s="4">
        <v>0.41111111111111115</v>
      </c>
      <c r="BU3905" s="2" t="s">
        <v>324</v>
      </c>
      <c r="BV3905" s="2" t="s">
        <v>95</v>
      </c>
      <c r="BW3905" s="2"/>
      <c r="BX3905" s="2"/>
      <c r="BY3905" s="2">
        <v>1200</v>
      </c>
      <c r="BZ3905" s="2" t="s">
        <v>27</v>
      </c>
      <c r="CA3905" s="2" t="s">
        <v>103</v>
      </c>
      <c r="CB3905" s="2"/>
      <c r="CC3905" s="2" t="s">
        <v>322</v>
      </c>
      <c r="CD3905" s="2">
        <v>6220</v>
      </c>
      <c r="CE3905" s="2" t="s">
        <v>3630</v>
      </c>
      <c r="CF3905" s="5">
        <v>42950</v>
      </c>
      <c r="CG3905" s="2"/>
      <c r="CH3905" s="2"/>
      <c r="CI3905" s="2">
        <v>1</v>
      </c>
      <c r="CJ3905" s="2">
        <v>1</v>
      </c>
      <c r="CK3905" s="2">
        <v>21</v>
      </c>
      <c r="CL3905" s="2" t="s">
        <v>86</v>
      </c>
      <c r="CM3905" s="2"/>
    </row>
    <row r="3906" spans="1:91">
      <c r="A3906" s="2" t="s">
        <v>71</v>
      </c>
      <c r="B3906" s="2" t="s">
        <v>72</v>
      </c>
      <c r="C3906" s="2" t="s">
        <v>73</v>
      </c>
      <c r="D3906" s="2"/>
      <c r="E3906" s="2" t="str">
        <f>"FES1162566023"</f>
        <v>FES1162566023</v>
      </c>
      <c r="F3906" s="3">
        <v>42948</v>
      </c>
      <c r="G3906" s="2">
        <v>201802</v>
      </c>
      <c r="H3906" s="2" t="s">
        <v>74</v>
      </c>
      <c r="I3906" s="2" t="s">
        <v>75</v>
      </c>
      <c r="J3906" s="2" t="s">
        <v>76</v>
      </c>
      <c r="K3906" s="2" t="s">
        <v>77</v>
      </c>
      <c r="L3906" s="2" t="s">
        <v>78</v>
      </c>
      <c r="M3906" s="2" t="s">
        <v>79</v>
      </c>
      <c r="N3906" s="2" t="s">
        <v>450</v>
      </c>
      <c r="O3906" s="2" t="s">
        <v>100</v>
      </c>
      <c r="P3906" s="2" t="str">
        <f>"21705820289                   "</f>
        <v xml:space="preserve">21705820289                   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3.63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0</v>
      </c>
      <c r="AV3906" s="2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2">
        <v>0</v>
      </c>
      <c r="BD3906" s="2">
        <v>0</v>
      </c>
      <c r="BE3906" s="2">
        <v>0</v>
      </c>
      <c r="BF3906" s="2">
        <v>0</v>
      </c>
      <c r="BG3906" s="2">
        <v>0</v>
      </c>
      <c r="BH3906" s="2">
        <v>1</v>
      </c>
      <c r="BI3906" s="2">
        <v>1</v>
      </c>
      <c r="BJ3906" s="2">
        <v>0.2</v>
      </c>
      <c r="BK3906" s="2">
        <v>1</v>
      </c>
      <c r="BL3906" s="2">
        <v>41.07</v>
      </c>
      <c r="BM3906" s="2">
        <v>5.75</v>
      </c>
      <c r="BN3906" s="2">
        <v>46.82</v>
      </c>
      <c r="BO3906" s="2">
        <v>46.82</v>
      </c>
      <c r="BP3906" s="2"/>
      <c r="BQ3906" s="2" t="s">
        <v>451</v>
      </c>
      <c r="BR3906" s="2" t="s">
        <v>84</v>
      </c>
      <c r="BS3906" s="3">
        <v>42949</v>
      </c>
      <c r="BT3906" s="4">
        <v>0.37291666666666662</v>
      </c>
      <c r="BU3906" s="2" t="s">
        <v>3728</v>
      </c>
      <c r="BV3906" s="2" t="s">
        <v>95</v>
      </c>
      <c r="BW3906" s="2"/>
      <c r="BX3906" s="2"/>
      <c r="BY3906" s="2">
        <v>1200</v>
      </c>
      <c r="BZ3906" s="2" t="s">
        <v>27</v>
      </c>
      <c r="CA3906" s="2" t="s">
        <v>518</v>
      </c>
      <c r="CB3906" s="2"/>
      <c r="CC3906" s="2" t="s">
        <v>79</v>
      </c>
      <c r="CD3906" s="2">
        <v>9300</v>
      </c>
      <c r="CE3906" s="2" t="s">
        <v>3630</v>
      </c>
      <c r="CF3906" s="5">
        <v>42950</v>
      </c>
      <c r="CG3906" s="2"/>
      <c r="CH3906" s="2"/>
      <c r="CI3906" s="2">
        <v>1</v>
      </c>
      <c r="CJ3906" s="2">
        <v>1</v>
      </c>
      <c r="CK3906" s="2">
        <v>21</v>
      </c>
      <c r="CL3906" s="2" t="s">
        <v>86</v>
      </c>
      <c r="CM3906" s="2"/>
    </row>
    <row r="3907" spans="1:91">
      <c r="A3907" s="2" t="s">
        <v>71</v>
      </c>
      <c r="B3907" s="2" t="s">
        <v>72</v>
      </c>
      <c r="C3907" s="2" t="s">
        <v>73</v>
      </c>
      <c r="D3907" s="2"/>
      <c r="E3907" s="2" t="str">
        <f>"FES1162565833"</f>
        <v>FES1162565833</v>
      </c>
      <c r="F3907" s="3">
        <v>42948</v>
      </c>
      <c r="G3907" s="2">
        <v>201802</v>
      </c>
      <c r="H3907" s="2" t="s">
        <v>74</v>
      </c>
      <c r="I3907" s="2" t="s">
        <v>75</v>
      </c>
      <c r="J3907" s="2" t="s">
        <v>76</v>
      </c>
      <c r="K3907" s="2" t="s">
        <v>77</v>
      </c>
      <c r="L3907" s="2" t="s">
        <v>231</v>
      </c>
      <c r="M3907" s="2" t="s">
        <v>232</v>
      </c>
      <c r="N3907" s="2" t="s">
        <v>1899</v>
      </c>
      <c r="O3907" s="2" t="s">
        <v>100</v>
      </c>
      <c r="P3907" s="2" t="str">
        <f>"2170582418                    "</f>
        <v xml:space="preserve">2170582418                    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3.63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0</v>
      </c>
      <c r="AV3907" s="2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2">
        <v>0</v>
      </c>
      <c r="BD3907" s="2">
        <v>0</v>
      </c>
      <c r="BE3907" s="2">
        <v>0</v>
      </c>
      <c r="BF3907" s="2">
        <v>0</v>
      </c>
      <c r="BG3907" s="2">
        <v>0</v>
      </c>
      <c r="BH3907" s="2">
        <v>1</v>
      </c>
      <c r="BI3907" s="2">
        <v>1</v>
      </c>
      <c r="BJ3907" s="2">
        <v>0.2</v>
      </c>
      <c r="BK3907" s="2">
        <v>1</v>
      </c>
      <c r="BL3907" s="2">
        <v>41.07</v>
      </c>
      <c r="BM3907" s="2">
        <v>5.75</v>
      </c>
      <c r="BN3907" s="2">
        <v>46.82</v>
      </c>
      <c r="BO3907" s="2">
        <v>46.82</v>
      </c>
      <c r="BP3907" s="2"/>
      <c r="BQ3907" s="2" t="s">
        <v>1900</v>
      </c>
      <c r="BR3907" s="2" t="s">
        <v>84</v>
      </c>
      <c r="BS3907" s="3">
        <v>42949</v>
      </c>
      <c r="BT3907" s="4">
        <v>0.36736111111111108</v>
      </c>
      <c r="BU3907" s="2" t="s">
        <v>1901</v>
      </c>
      <c r="BV3907" s="2" t="s">
        <v>95</v>
      </c>
      <c r="BW3907" s="2"/>
      <c r="BX3907" s="2"/>
      <c r="BY3907" s="2">
        <v>1200</v>
      </c>
      <c r="BZ3907" s="2" t="s">
        <v>27</v>
      </c>
      <c r="CA3907" s="2" t="s">
        <v>235</v>
      </c>
      <c r="CB3907" s="2"/>
      <c r="CC3907" s="2" t="s">
        <v>232</v>
      </c>
      <c r="CD3907" s="2">
        <v>4026</v>
      </c>
      <c r="CE3907" s="2" t="s">
        <v>3630</v>
      </c>
      <c r="CF3907" s="5">
        <v>42950</v>
      </c>
      <c r="CG3907" s="2"/>
      <c r="CH3907" s="2"/>
      <c r="CI3907" s="2">
        <v>1</v>
      </c>
      <c r="CJ3907" s="2">
        <v>1</v>
      </c>
      <c r="CK3907" s="2">
        <v>21</v>
      </c>
      <c r="CL3907" s="2" t="s">
        <v>86</v>
      </c>
      <c r="CM3907" s="2"/>
    </row>
    <row r="3908" spans="1:91">
      <c r="A3908" s="2" t="s">
        <v>71</v>
      </c>
      <c r="B3908" s="2" t="s">
        <v>72</v>
      </c>
      <c r="C3908" s="2" t="s">
        <v>73</v>
      </c>
      <c r="D3908" s="2"/>
      <c r="E3908" s="2" t="str">
        <f>"FES1162566012"</f>
        <v>FES1162566012</v>
      </c>
      <c r="F3908" s="3">
        <v>42948</v>
      </c>
      <c r="G3908" s="2">
        <v>201802</v>
      </c>
      <c r="H3908" s="2" t="s">
        <v>74</v>
      </c>
      <c r="I3908" s="2" t="s">
        <v>75</v>
      </c>
      <c r="J3908" s="2" t="s">
        <v>76</v>
      </c>
      <c r="K3908" s="2" t="s">
        <v>77</v>
      </c>
      <c r="L3908" s="2" t="s">
        <v>97</v>
      </c>
      <c r="M3908" s="2" t="s">
        <v>98</v>
      </c>
      <c r="N3908" s="2" t="s">
        <v>119</v>
      </c>
      <c r="O3908" s="2" t="s">
        <v>100</v>
      </c>
      <c r="P3908" s="2" t="str">
        <f>"2170581538                    "</f>
        <v xml:space="preserve">2170581538                    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3.63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0</v>
      </c>
      <c r="AV3908" s="2">
        <v>0</v>
      </c>
      <c r="AW3908" s="2">
        <v>0</v>
      </c>
      <c r="AX3908" s="2">
        <v>0</v>
      </c>
      <c r="AY3908" s="2">
        <v>0</v>
      </c>
      <c r="AZ3908" s="2">
        <v>0</v>
      </c>
      <c r="BA3908" s="2">
        <v>0</v>
      </c>
      <c r="BB3908" s="2">
        <v>0</v>
      </c>
      <c r="BC3908" s="2">
        <v>0</v>
      </c>
      <c r="BD3908" s="2">
        <v>0</v>
      </c>
      <c r="BE3908" s="2">
        <v>0</v>
      </c>
      <c r="BF3908" s="2">
        <v>0</v>
      </c>
      <c r="BG3908" s="2">
        <v>0</v>
      </c>
      <c r="BH3908" s="2">
        <v>1</v>
      </c>
      <c r="BI3908" s="2">
        <v>1</v>
      </c>
      <c r="BJ3908" s="2">
        <v>0.2</v>
      </c>
      <c r="BK3908" s="2">
        <v>1</v>
      </c>
      <c r="BL3908" s="2">
        <v>41.07</v>
      </c>
      <c r="BM3908" s="2">
        <v>5.75</v>
      </c>
      <c r="BN3908" s="2">
        <v>46.82</v>
      </c>
      <c r="BO3908" s="2">
        <v>46.82</v>
      </c>
      <c r="BP3908" s="2"/>
      <c r="BQ3908" s="2" t="s">
        <v>108</v>
      </c>
      <c r="BR3908" s="2" t="s">
        <v>84</v>
      </c>
      <c r="BS3908" s="3">
        <v>42949</v>
      </c>
      <c r="BT3908" s="4">
        <v>0.32500000000000001</v>
      </c>
      <c r="BU3908" s="2" t="s">
        <v>2350</v>
      </c>
      <c r="BV3908" s="2" t="s">
        <v>95</v>
      </c>
      <c r="BW3908" s="2"/>
      <c r="BX3908" s="2"/>
      <c r="BY3908" s="2">
        <v>1200</v>
      </c>
      <c r="BZ3908" s="2" t="s">
        <v>27</v>
      </c>
      <c r="CA3908" s="2" t="s">
        <v>213</v>
      </c>
      <c r="CB3908" s="2"/>
      <c r="CC3908" s="2" t="s">
        <v>98</v>
      </c>
      <c r="CD3908" s="2">
        <v>6001</v>
      </c>
      <c r="CE3908" s="2" t="s">
        <v>104</v>
      </c>
      <c r="CF3908" s="5">
        <v>42950</v>
      </c>
      <c r="CG3908" s="2"/>
      <c r="CH3908" s="2"/>
      <c r="CI3908" s="2">
        <v>1</v>
      </c>
      <c r="CJ3908" s="2">
        <v>1</v>
      </c>
      <c r="CK3908" s="2">
        <v>21</v>
      </c>
      <c r="CL3908" s="2" t="s">
        <v>86</v>
      </c>
      <c r="CM3908" s="2"/>
    </row>
    <row r="3909" spans="1:91">
      <c r="A3909" s="2" t="s">
        <v>71</v>
      </c>
      <c r="B3909" s="2" t="s">
        <v>72</v>
      </c>
      <c r="C3909" s="2" t="s">
        <v>73</v>
      </c>
      <c r="D3909" s="2"/>
      <c r="E3909" s="2" t="str">
        <f>"FES1162565878"</f>
        <v>FES1162565878</v>
      </c>
      <c r="F3909" s="3">
        <v>42948</v>
      </c>
      <c r="G3909" s="2">
        <v>201802</v>
      </c>
      <c r="H3909" s="2" t="s">
        <v>74</v>
      </c>
      <c r="I3909" s="2" t="s">
        <v>75</v>
      </c>
      <c r="J3909" s="2" t="s">
        <v>76</v>
      </c>
      <c r="K3909" s="2" t="s">
        <v>77</v>
      </c>
      <c r="L3909" s="2" t="s">
        <v>237</v>
      </c>
      <c r="M3909" s="2" t="s">
        <v>238</v>
      </c>
      <c r="N3909" s="2" t="s">
        <v>3729</v>
      </c>
      <c r="O3909" s="2" t="s">
        <v>100</v>
      </c>
      <c r="P3909" s="2" t="str">
        <f>"2170582439                    "</f>
        <v xml:space="preserve">2170582439                    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3.63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0</v>
      </c>
      <c r="AV3909" s="2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2">
        <v>0</v>
      </c>
      <c r="BD3909" s="2">
        <v>0</v>
      </c>
      <c r="BE3909" s="2">
        <v>0</v>
      </c>
      <c r="BF3909" s="2">
        <v>0</v>
      </c>
      <c r="BG3909" s="2">
        <v>0</v>
      </c>
      <c r="BH3909" s="2">
        <v>1</v>
      </c>
      <c r="BI3909" s="2">
        <v>1</v>
      </c>
      <c r="BJ3909" s="2">
        <v>0.2</v>
      </c>
      <c r="BK3909" s="2">
        <v>1</v>
      </c>
      <c r="BL3909" s="2">
        <v>41.07</v>
      </c>
      <c r="BM3909" s="2">
        <v>5.75</v>
      </c>
      <c r="BN3909" s="2">
        <v>46.82</v>
      </c>
      <c r="BO3909" s="2">
        <v>46.82</v>
      </c>
      <c r="BP3909" s="2"/>
      <c r="BQ3909" s="2" t="s">
        <v>3730</v>
      </c>
      <c r="BR3909" s="2" t="s">
        <v>84</v>
      </c>
      <c r="BS3909" s="3">
        <v>42949</v>
      </c>
      <c r="BT3909" s="4">
        <v>0.3215277777777778</v>
      </c>
      <c r="BU3909" s="2" t="s">
        <v>3731</v>
      </c>
      <c r="BV3909" s="2" t="s">
        <v>95</v>
      </c>
      <c r="BW3909" s="2"/>
      <c r="BX3909" s="2"/>
      <c r="BY3909" s="2">
        <v>1200</v>
      </c>
      <c r="BZ3909" s="2" t="s">
        <v>27</v>
      </c>
      <c r="CA3909" s="2" t="s">
        <v>672</v>
      </c>
      <c r="CB3909" s="2"/>
      <c r="CC3909" s="2" t="s">
        <v>238</v>
      </c>
      <c r="CD3909" s="2">
        <v>3608</v>
      </c>
      <c r="CE3909" s="2" t="s">
        <v>3630</v>
      </c>
      <c r="CF3909" s="5">
        <v>42951</v>
      </c>
      <c r="CG3909" s="2"/>
      <c r="CH3909" s="2"/>
      <c r="CI3909" s="2">
        <v>1</v>
      </c>
      <c r="CJ3909" s="2">
        <v>1</v>
      </c>
      <c r="CK3909" s="2">
        <v>21</v>
      </c>
      <c r="CL3909" s="2" t="s">
        <v>86</v>
      </c>
      <c r="CM3909" s="2"/>
    </row>
    <row r="3910" spans="1:91">
      <c r="A3910" s="2" t="s">
        <v>71</v>
      </c>
      <c r="B3910" s="2" t="s">
        <v>72</v>
      </c>
      <c r="C3910" s="2" t="s">
        <v>73</v>
      </c>
      <c r="D3910" s="2"/>
      <c r="E3910" s="2" t="str">
        <f>"FES1162566083"</f>
        <v>FES1162566083</v>
      </c>
      <c r="F3910" s="3">
        <v>42948</v>
      </c>
      <c r="G3910" s="2">
        <v>201802</v>
      </c>
      <c r="H3910" s="2" t="s">
        <v>74</v>
      </c>
      <c r="I3910" s="2" t="s">
        <v>75</v>
      </c>
      <c r="J3910" s="2" t="s">
        <v>76</v>
      </c>
      <c r="K3910" s="2" t="s">
        <v>77</v>
      </c>
      <c r="L3910" s="2" t="s">
        <v>105</v>
      </c>
      <c r="M3910" s="2" t="s">
        <v>106</v>
      </c>
      <c r="N3910" s="2" t="s">
        <v>3732</v>
      </c>
      <c r="O3910" s="2" t="s">
        <v>100</v>
      </c>
      <c r="P3910" s="2" t="str">
        <f>"2170582644                    "</f>
        <v xml:space="preserve">2170582644                    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7.26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0</v>
      </c>
      <c r="AV3910" s="2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2">
        <v>0</v>
      </c>
      <c r="BD3910" s="2">
        <v>0</v>
      </c>
      <c r="BE3910" s="2">
        <v>0</v>
      </c>
      <c r="BF3910" s="2">
        <v>0</v>
      </c>
      <c r="BG3910" s="2">
        <v>0</v>
      </c>
      <c r="BH3910" s="2">
        <v>1</v>
      </c>
      <c r="BI3910" s="2">
        <v>3.9</v>
      </c>
      <c r="BJ3910" s="2">
        <v>1.9</v>
      </c>
      <c r="BK3910" s="2">
        <v>4</v>
      </c>
      <c r="BL3910" s="2">
        <v>82.14</v>
      </c>
      <c r="BM3910" s="2">
        <v>11.5</v>
      </c>
      <c r="BN3910" s="2">
        <v>93.64</v>
      </c>
      <c r="BO3910" s="2">
        <v>93.64</v>
      </c>
      <c r="BP3910" s="2"/>
      <c r="BQ3910" s="2" t="s">
        <v>108</v>
      </c>
      <c r="BR3910" s="2" t="s">
        <v>84</v>
      </c>
      <c r="BS3910" s="3">
        <v>42949</v>
      </c>
      <c r="BT3910" s="4">
        <v>0.41666666666666669</v>
      </c>
      <c r="BU3910" s="2" t="s">
        <v>3733</v>
      </c>
      <c r="BV3910" s="2" t="s">
        <v>95</v>
      </c>
      <c r="BW3910" s="2"/>
      <c r="BX3910" s="2"/>
      <c r="BY3910" s="2">
        <v>9741.61</v>
      </c>
      <c r="BZ3910" s="2" t="s">
        <v>27</v>
      </c>
      <c r="CA3910" s="2"/>
      <c r="CB3910" s="2"/>
      <c r="CC3910" s="2" t="s">
        <v>106</v>
      </c>
      <c r="CD3910" s="2">
        <v>7441</v>
      </c>
      <c r="CE3910" s="2" t="s">
        <v>259</v>
      </c>
      <c r="CF3910" s="5">
        <v>42950</v>
      </c>
      <c r="CG3910" s="2"/>
      <c r="CH3910" s="2"/>
      <c r="CI3910" s="2">
        <v>1</v>
      </c>
      <c r="CJ3910" s="2">
        <v>1</v>
      </c>
      <c r="CK3910" s="2">
        <v>21</v>
      </c>
      <c r="CL3910" s="2" t="s">
        <v>86</v>
      </c>
      <c r="CM3910" s="2"/>
    </row>
    <row r="3911" spans="1:91">
      <c r="A3911" s="2" t="s">
        <v>71</v>
      </c>
      <c r="B3911" s="2" t="s">
        <v>72</v>
      </c>
      <c r="C3911" s="2" t="s">
        <v>73</v>
      </c>
      <c r="D3911" s="2"/>
      <c r="E3911" s="2" t="str">
        <f>"FES1162566089"</f>
        <v>FES1162566089</v>
      </c>
      <c r="F3911" s="3">
        <v>42948</v>
      </c>
      <c r="G3911" s="2">
        <v>201802</v>
      </c>
      <c r="H3911" s="2" t="s">
        <v>74</v>
      </c>
      <c r="I3911" s="2" t="s">
        <v>75</v>
      </c>
      <c r="J3911" s="2" t="s">
        <v>76</v>
      </c>
      <c r="K3911" s="2" t="s">
        <v>77</v>
      </c>
      <c r="L3911" s="2" t="s">
        <v>105</v>
      </c>
      <c r="M3911" s="2" t="s">
        <v>106</v>
      </c>
      <c r="N3911" s="2" t="s">
        <v>746</v>
      </c>
      <c r="O3911" s="2" t="s">
        <v>100</v>
      </c>
      <c r="P3911" s="2" t="str">
        <f>"2170582652                    "</f>
        <v xml:space="preserve">2170582652                    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3.63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0</v>
      </c>
      <c r="AV3911" s="2">
        <v>0</v>
      </c>
      <c r="AW3911" s="2">
        <v>0</v>
      </c>
      <c r="AX3911" s="2">
        <v>0</v>
      </c>
      <c r="AY3911" s="2">
        <v>0</v>
      </c>
      <c r="AZ3911" s="2">
        <v>0</v>
      </c>
      <c r="BA3911" s="2">
        <v>0</v>
      </c>
      <c r="BB3911" s="2">
        <v>0</v>
      </c>
      <c r="BC3911" s="2">
        <v>0</v>
      </c>
      <c r="BD3911" s="2">
        <v>0</v>
      </c>
      <c r="BE3911" s="2">
        <v>0</v>
      </c>
      <c r="BF3911" s="2">
        <v>0</v>
      </c>
      <c r="BG3911" s="2">
        <v>0</v>
      </c>
      <c r="BH3911" s="2">
        <v>1</v>
      </c>
      <c r="BI3911" s="2">
        <v>1</v>
      </c>
      <c r="BJ3911" s="2">
        <v>0.2</v>
      </c>
      <c r="BK3911" s="2">
        <v>1</v>
      </c>
      <c r="BL3911" s="2">
        <v>41.07</v>
      </c>
      <c r="BM3911" s="2">
        <v>5.75</v>
      </c>
      <c r="BN3911" s="2">
        <v>46.82</v>
      </c>
      <c r="BO3911" s="2">
        <v>46.82</v>
      </c>
      <c r="BP3911" s="2"/>
      <c r="BQ3911" s="2" t="s">
        <v>108</v>
      </c>
      <c r="BR3911" s="2" t="s">
        <v>84</v>
      </c>
      <c r="BS3911" s="3">
        <v>42949</v>
      </c>
      <c r="BT3911" s="4">
        <v>0.36527777777777781</v>
      </c>
      <c r="BU3911" s="2" t="s">
        <v>747</v>
      </c>
      <c r="BV3911" s="2" t="s">
        <v>95</v>
      </c>
      <c r="BW3911" s="2"/>
      <c r="BX3911" s="2"/>
      <c r="BY3911" s="2">
        <v>1200</v>
      </c>
      <c r="BZ3911" s="2" t="s">
        <v>27</v>
      </c>
      <c r="CA3911" s="2" t="s">
        <v>748</v>
      </c>
      <c r="CB3911" s="2"/>
      <c r="CC3911" s="2" t="s">
        <v>106</v>
      </c>
      <c r="CD3911" s="2">
        <v>7441</v>
      </c>
      <c r="CE3911" s="2" t="s">
        <v>3630</v>
      </c>
      <c r="CF3911" s="5">
        <v>42950</v>
      </c>
      <c r="CG3911" s="2"/>
      <c r="CH3911" s="2"/>
      <c r="CI3911" s="2">
        <v>1</v>
      </c>
      <c r="CJ3911" s="2">
        <v>1</v>
      </c>
      <c r="CK3911" s="2">
        <v>21</v>
      </c>
      <c r="CL3911" s="2" t="s">
        <v>86</v>
      </c>
      <c r="CM3911" s="2"/>
    </row>
    <row r="3912" spans="1:91">
      <c r="A3912" s="2" t="s">
        <v>71</v>
      </c>
      <c r="B3912" s="2" t="s">
        <v>72</v>
      </c>
      <c r="C3912" s="2" t="s">
        <v>73</v>
      </c>
      <c r="D3912" s="2"/>
      <c r="E3912" s="2" t="str">
        <f>"FES1162565865"</f>
        <v>FES1162565865</v>
      </c>
      <c r="F3912" s="3">
        <v>42948</v>
      </c>
      <c r="G3912" s="2">
        <v>201802</v>
      </c>
      <c r="H3912" s="2" t="s">
        <v>74</v>
      </c>
      <c r="I3912" s="2" t="s">
        <v>75</v>
      </c>
      <c r="J3912" s="2" t="s">
        <v>76</v>
      </c>
      <c r="K3912" s="2" t="s">
        <v>77</v>
      </c>
      <c r="L3912" s="2" t="s">
        <v>362</v>
      </c>
      <c r="M3912" s="2" t="s">
        <v>363</v>
      </c>
      <c r="N3912" s="2" t="s">
        <v>3734</v>
      </c>
      <c r="O3912" s="2" t="s">
        <v>100</v>
      </c>
      <c r="P3912" s="2" t="str">
        <f>"2170582431                    "</f>
        <v xml:space="preserve">2170582431                    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3.63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0</v>
      </c>
      <c r="AV3912" s="2">
        <v>0</v>
      </c>
      <c r="AW3912" s="2">
        <v>0</v>
      </c>
      <c r="AX3912" s="2">
        <v>0</v>
      </c>
      <c r="AY3912" s="2">
        <v>0</v>
      </c>
      <c r="AZ3912" s="2">
        <v>0</v>
      </c>
      <c r="BA3912" s="2">
        <v>0</v>
      </c>
      <c r="BB3912" s="2">
        <v>0</v>
      </c>
      <c r="BC3912" s="2">
        <v>0</v>
      </c>
      <c r="BD3912" s="2">
        <v>0</v>
      </c>
      <c r="BE3912" s="2">
        <v>0</v>
      </c>
      <c r="BF3912" s="2">
        <v>0</v>
      </c>
      <c r="BG3912" s="2">
        <v>0</v>
      </c>
      <c r="BH3912" s="2">
        <v>1</v>
      </c>
      <c r="BI3912" s="2">
        <v>1</v>
      </c>
      <c r="BJ3912" s="2">
        <v>0.2</v>
      </c>
      <c r="BK3912" s="2">
        <v>1</v>
      </c>
      <c r="BL3912" s="2">
        <v>41.07</v>
      </c>
      <c r="BM3912" s="2">
        <v>5.75</v>
      </c>
      <c r="BN3912" s="2">
        <v>46.82</v>
      </c>
      <c r="BO3912" s="2">
        <v>46.82</v>
      </c>
      <c r="BP3912" s="2"/>
      <c r="BQ3912" s="2"/>
      <c r="BR3912" s="2" t="s">
        <v>84</v>
      </c>
      <c r="BS3912" s="3">
        <v>42949</v>
      </c>
      <c r="BT3912" s="4">
        <v>0.40972222222222227</v>
      </c>
      <c r="BU3912" s="2" t="s">
        <v>3735</v>
      </c>
      <c r="BV3912" s="2" t="s">
        <v>95</v>
      </c>
      <c r="BW3912" s="2"/>
      <c r="BX3912" s="2"/>
      <c r="BY3912" s="2">
        <v>1200</v>
      </c>
      <c r="BZ3912" s="2" t="s">
        <v>27</v>
      </c>
      <c r="CA3912" s="2" t="s">
        <v>938</v>
      </c>
      <c r="CB3912" s="2"/>
      <c r="CC3912" s="2" t="s">
        <v>363</v>
      </c>
      <c r="CD3912" s="2">
        <v>3201</v>
      </c>
      <c r="CE3912" s="2" t="s">
        <v>3630</v>
      </c>
      <c r="CF3912" s="5">
        <v>42950</v>
      </c>
      <c r="CG3912" s="2"/>
      <c r="CH3912" s="2"/>
      <c r="CI3912" s="2">
        <v>1</v>
      </c>
      <c r="CJ3912" s="2">
        <v>1</v>
      </c>
      <c r="CK3912" s="2">
        <v>21</v>
      </c>
      <c r="CL3912" s="2" t="s">
        <v>86</v>
      </c>
      <c r="CM3912" s="2"/>
    </row>
    <row r="3913" spans="1:91">
      <c r="A3913" s="2" t="s">
        <v>71</v>
      </c>
      <c r="B3913" s="2" t="s">
        <v>72</v>
      </c>
      <c r="C3913" s="2" t="s">
        <v>73</v>
      </c>
      <c r="D3913" s="2"/>
      <c r="E3913" s="2" t="str">
        <f>"FES1162566088"</f>
        <v>FES1162566088</v>
      </c>
      <c r="F3913" s="3">
        <v>42948</v>
      </c>
      <c r="G3913" s="2">
        <v>201802</v>
      </c>
      <c r="H3913" s="2" t="s">
        <v>74</v>
      </c>
      <c r="I3913" s="2" t="s">
        <v>75</v>
      </c>
      <c r="J3913" s="2" t="s">
        <v>76</v>
      </c>
      <c r="K3913" s="2" t="s">
        <v>77</v>
      </c>
      <c r="L3913" s="2" t="s">
        <v>174</v>
      </c>
      <c r="M3913" s="2" t="s">
        <v>175</v>
      </c>
      <c r="N3913" s="2" t="s">
        <v>2764</v>
      </c>
      <c r="O3913" s="2" t="s">
        <v>100</v>
      </c>
      <c r="P3913" s="2" t="str">
        <f>"2170582650                    "</f>
        <v xml:space="preserve">2170582650                    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3.63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0</v>
      </c>
      <c r="AU3913" s="2">
        <v>0</v>
      </c>
      <c r="AV3913" s="2">
        <v>0</v>
      </c>
      <c r="AW3913" s="2">
        <v>0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2">
        <v>0</v>
      </c>
      <c r="BD3913" s="2">
        <v>0</v>
      </c>
      <c r="BE3913" s="2">
        <v>0</v>
      </c>
      <c r="BF3913" s="2">
        <v>0</v>
      </c>
      <c r="BG3913" s="2">
        <v>0</v>
      </c>
      <c r="BH3913" s="2">
        <v>1</v>
      </c>
      <c r="BI3913" s="2">
        <v>1</v>
      </c>
      <c r="BJ3913" s="2">
        <v>0.2</v>
      </c>
      <c r="BK3913" s="2">
        <v>1</v>
      </c>
      <c r="BL3913" s="2">
        <v>41.07</v>
      </c>
      <c r="BM3913" s="2">
        <v>5.75</v>
      </c>
      <c r="BN3913" s="2">
        <v>46.82</v>
      </c>
      <c r="BO3913" s="2">
        <v>46.82</v>
      </c>
      <c r="BP3913" s="2"/>
      <c r="BQ3913" s="2" t="s">
        <v>83</v>
      </c>
      <c r="BR3913" s="2" t="s">
        <v>84</v>
      </c>
      <c r="BS3913" s="3">
        <v>42949</v>
      </c>
      <c r="BT3913" s="4">
        <v>0.44722222222222219</v>
      </c>
      <c r="BU3913" s="2" t="s">
        <v>236</v>
      </c>
      <c r="BV3913" s="2" t="s">
        <v>95</v>
      </c>
      <c r="BW3913" s="2"/>
      <c r="BX3913" s="2"/>
      <c r="BY3913" s="2">
        <v>1200</v>
      </c>
      <c r="BZ3913" s="2" t="s">
        <v>27</v>
      </c>
      <c r="CA3913" s="2" t="s">
        <v>1420</v>
      </c>
      <c r="CB3913" s="2"/>
      <c r="CC3913" s="2" t="s">
        <v>175</v>
      </c>
      <c r="CD3913" s="2">
        <v>5201</v>
      </c>
      <c r="CE3913" s="2" t="s">
        <v>3630</v>
      </c>
      <c r="CF3913" s="5">
        <v>42950</v>
      </c>
      <c r="CG3913" s="2"/>
      <c r="CH3913" s="2"/>
      <c r="CI3913" s="2">
        <v>1</v>
      </c>
      <c r="CJ3913" s="2">
        <v>1</v>
      </c>
      <c r="CK3913" s="2">
        <v>21</v>
      </c>
      <c r="CL3913" s="2" t="s">
        <v>86</v>
      </c>
      <c r="CM3913" s="2"/>
    </row>
    <row r="3914" spans="1:91">
      <c r="A3914" s="2" t="s">
        <v>71</v>
      </c>
      <c r="B3914" s="2" t="s">
        <v>72</v>
      </c>
      <c r="C3914" s="2" t="s">
        <v>73</v>
      </c>
      <c r="D3914" s="2"/>
      <c r="E3914" s="2" t="str">
        <f>"FES1162565868"</f>
        <v>FES1162565868</v>
      </c>
      <c r="F3914" s="3">
        <v>42948</v>
      </c>
      <c r="G3914" s="2">
        <v>201802</v>
      </c>
      <c r="H3914" s="2" t="s">
        <v>74</v>
      </c>
      <c r="I3914" s="2" t="s">
        <v>75</v>
      </c>
      <c r="J3914" s="2" t="s">
        <v>76</v>
      </c>
      <c r="K3914" s="2" t="s">
        <v>77</v>
      </c>
      <c r="L3914" s="2" t="s">
        <v>149</v>
      </c>
      <c r="M3914" s="2" t="s">
        <v>150</v>
      </c>
      <c r="N3914" s="2" t="s">
        <v>1947</v>
      </c>
      <c r="O3914" s="2" t="s">
        <v>100</v>
      </c>
      <c r="P3914" s="2" t="str">
        <f>"2170580235                    "</f>
        <v xml:space="preserve">2170580235                    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3.63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0</v>
      </c>
      <c r="AV3914" s="2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2">
        <v>0</v>
      </c>
      <c r="BD3914" s="2">
        <v>0</v>
      </c>
      <c r="BE3914" s="2">
        <v>0</v>
      </c>
      <c r="BF3914" s="2">
        <v>0</v>
      </c>
      <c r="BG3914" s="2">
        <v>0</v>
      </c>
      <c r="BH3914" s="2">
        <v>1</v>
      </c>
      <c r="BI3914" s="2">
        <v>1</v>
      </c>
      <c r="BJ3914" s="2">
        <v>0.2</v>
      </c>
      <c r="BK3914" s="2">
        <v>1</v>
      </c>
      <c r="BL3914" s="2">
        <v>41.07</v>
      </c>
      <c r="BM3914" s="2">
        <v>5.75</v>
      </c>
      <c r="BN3914" s="2">
        <v>46.82</v>
      </c>
      <c r="BO3914" s="2">
        <v>46.82</v>
      </c>
      <c r="BP3914" s="2"/>
      <c r="BQ3914" s="2" t="s">
        <v>1981</v>
      </c>
      <c r="BR3914" s="2" t="s">
        <v>84</v>
      </c>
      <c r="BS3914" s="3">
        <v>42949</v>
      </c>
      <c r="BT3914" s="4">
        <v>0.36944444444444446</v>
      </c>
      <c r="BU3914" s="2" t="s">
        <v>3736</v>
      </c>
      <c r="BV3914" s="2" t="s">
        <v>95</v>
      </c>
      <c r="BW3914" s="2"/>
      <c r="BX3914" s="2"/>
      <c r="BY3914" s="2">
        <v>1200</v>
      </c>
      <c r="BZ3914" s="2" t="s">
        <v>27</v>
      </c>
      <c r="CA3914" s="2" t="s">
        <v>1949</v>
      </c>
      <c r="CB3914" s="2"/>
      <c r="CC3914" s="2" t="s">
        <v>150</v>
      </c>
      <c r="CD3914" s="2">
        <v>4064</v>
      </c>
      <c r="CE3914" s="2" t="s">
        <v>104</v>
      </c>
      <c r="CF3914" s="5">
        <v>42950</v>
      </c>
      <c r="CG3914" s="2"/>
      <c r="CH3914" s="2"/>
      <c r="CI3914" s="2">
        <v>1</v>
      </c>
      <c r="CJ3914" s="2">
        <v>1</v>
      </c>
      <c r="CK3914" s="2">
        <v>21</v>
      </c>
      <c r="CL3914" s="2" t="s">
        <v>86</v>
      </c>
      <c r="CM3914" s="2"/>
    </row>
    <row r="3915" spans="1:91">
      <c r="A3915" s="2" t="s">
        <v>71</v>
      </c>
      <c r="B3915" s="2" t="s">
        <v>72</v>
      </c>
      <c r="C3915" s="2" t="s">
        <v>73</v>
      </c>
      <c r="D3915" s="2"/>
      <c r="E3915" s="2" t="str">
        <f>"FES1162565811"</f>
        <v>FES1162565811</v>
      </c>
      <c r="F3915" s="3">
        <v>42948</v>
      </c>
      <c r="G3915" s="2">
        <v>201802</v>
      </c>
      <c r="H3915" s="2" t="s">
        <v>74</v>
      </c>
      <c r="I3915" s="2" t="s">
        <v>75</v>
      </c>
      <c r="J3915" s="2" t="s">
        <v>76</v>
      </c>
      <c r="K3915" s="2" t="s">
        <v>77</v>
      </c>
      <c r="L3915" s="2" t="s">
        <v>105</v>
      </c>
      <c r="M3915" s="2" t="s">
        <v>106</v>
      </c>
      <c r="N3915" s="2" t="s">
        <v>253</v>
      </c>
      <c r="O3915" s="2" t="s">
        <v>100</v>
      </c>
      <c r="P3915" s="2" t="str">
        <f>"2170573452                    "</f>
        <v xml:space="preserve">2170573452                    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3.63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2">
        <v>0</v>
      </c>
      <c r="BD3915" s="2">
        <v>0</v>
      </c>
      <c r="BE3915" s="2">
        <v>0</v>
      </c>
      <c r="BF3915" s="2">
        <v>0</v>
      </c>
      <c r="BG3915" s="2">
        <v>0</v>
      </c>
      <c r="BH3915" s="2">
        <v>1</v>
      </c>
      <c r="BI3915" s="2">
        <v>2</v>
      </c>
      <c r="BJ3915" s="2">
        <v>1</v>
      </c>
      <c r="BK3915" s="2">
        <v>2</v>
      </c>
      <c r="BL3915" s="2">
        <v>41.07</v>
      </c>
      <c r="BM3915" s="2">
        <v>5.75</v>
      </c>
      <c r="BN3915" s="2">
        <v>46.82</v>
      </c>
      <c r="BO3915" s="2">
        <v>46.82</v>
      </c>
      <c r="BP3915" s="2"/>
      <c r="BQ3915" s="2" t="s">
        <v>108</v>
      </c>
      <c r="BR3915" s="2" t="s">
        <v>84</v>
      </c>
      <c r="BS3915" s="3">
        <v>42949</v>
      </c>
      <c r="BT3915" s="4">
        <v>0.42222222222222222</v>
      </c>
      <c r="BU3915" s="2" t="s">
        <v>1074</v>
      </c>
      <c r="BV3915" s="2" t="s">
        <v>95</v>
      </c>
      <c r="BW3915" s="2"/>
      <c r="BX3915" s="2"/>
      <c r="BY3915" s="2">
        <v>5060.46</v>
      </c>
      <c r="BZ3915" s="2" t="s">
        <v>27</v>
      </c>
      <c r="CA3915" s="2" t="s">
        <v>654</v>
      </c>
      <c r="CB3915" s="2"/>
      <c r="CC3915" s="2" t="s">
        <v>106</v>
      </c>
      <c r="CD3915" s="2">
        <v>7490</v>
      </c>
      <c r="CE3915" s="2" t="s">
        <v>259</v>
      </c>
      <c r="CF3915" s="5">
        <v>42950</v>
      </c>
      <c r="CG3915" s="2"/>
      <c r="CH3915" s="2"/>
      <c r="CI3915" s="2">
        <v>1</v>
      </c>
      <c r="CJ3915" s="2">
        <v>1</v>
      </c>
      <c r="CK3915" s="2">
        <v>21</v>
      </c>
      <c r="CL3915" s="2" t="s">
        <v>86</v>
      </c>
      <c r="CM3915" s="2"/>
    </row>
    <row r="3916" spans="1:91">
      <c r="A3916" s="2" t="s">
        <v>71</v>
      </c>
      <c r="B3916" s="2" t="s">
        <v>72</v>
      </c>
      <c r="C3916" s="2" t="s">
        <v>73</v>
      </c>
      <c r="D3916" s="2"/>
      <c r="E3916" s="2" t="str">
        <f>"FES1162565881"</f>
        <v>FES1162565881</v>
      </c>
      <c r="F3916" s="3">
        <v>42948</v>
      </c>
      <c r="G3916" s="2">
        <v>201802</v>
      </c>
      <c r="H3916" s="2" t="s">
        <v>74</v>
      </c>
      <c r="I3916" s="2" t="s">
        <v>75</v>
      </c>
      <c r="J3916" s="2" t="s">
        <v>76</v>
      </c>
      <c r="K3916" s="2" t="s">
        <v>77</v>
      </c>
      <c r="L3916" s="2" t="s">
        <v>97</v>
      </c>
      <c r="M3916" s="2" t="s">
        <v>98</v>
      </c>
      <c r="N3916" s="2" t="s">
        <v>2203</v>
      </c>
      <c r="O3916" s="2" t="s">
        <v>100</v>
      </c>
      <c r="P3916" s="2" t="str">
        <f>"2170582444                    "</f>
        <v xml:space="preserve">2170582444                    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5.44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0</v>
      </c>
      <c r="AV3916" s="2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2">
        <v>0</v>
      </c>
      <c r="BD3916" s="2">
        <v>0</v>
      </c>
      <c r="BE3916" s="2">
        <v>0</v>
      </c>
      <c r="BF3916" s="2">
        <v>0</v>
      </c>
      <c r="BG3916" s="2">
        <v>0</v>
      </c>
      <c r="BH3916" s="2">
        <v>1</v>
      </c>
      <c r="BI3916" s="2">
        <v>1.2</v>
      </c>
      <c r="BJ3916" s="2">
        <v>2.9</v>
      </c>
      <c r="BK3916" s="2">
        <v>3</v>
      </c>
      <c r="BL3916" s="2">
        <v>61.6</v>
      </c>
      <c r="BM3916" s="2">
        <v>8.6199999999999992</v>
      </c>
      <c r="BN3916" s="2">
        <v>70.22</v>
      </c>
      <c r="BO3916" s="2">
        <v>70.22</v>
      </c>
      <c r="BP3916" s="2"/>
      <c r="BQ3916" s="2" t="s">
        <v>83</v>
      </c>
      <c r="BR3916" s="2" t="s">
        <v>84</v>
      </c>
      <c r="BS3916" s="3">
        <v>42949</v>
      </c>
      <c r="BT3916" s="4">
        <v>0.33333333333333331</v>
      </c>
      <c r="BU3916" s="2" t="s">
        <v>3737</v>
      </c>
      <c r="BV3916" s="2" t="s">
        <v>95</v>
      </c>
      <c r="BW3916" s="2"/>
      <c r="BX3916" s="2"/>
      <c r="BY3916" s="2">
        <v>14612.52</v>
      </c>
      <c r="BZ3916" s="2" t="s">
        <v>27</v>
      </c>
      <c r="CA3916" s="2" t="s">
        <v>294</v>
      </c>
      <c r="CB3916" s="2"/>
      <c r="CC3916" s="2" t="s">
        <v>98</v>
      </c>
      <c r="CD3916" s="2">
        <v>6001</v>
      </c>
      <c r="CE3916" s="2" t="s">
        <v>259</v>
      </c>
      <c r="CF3916" s="5">
        <v>42950</v>
      </c>
      <c r="CG3916" s="2"/>
      <c r="CH3916" s="2"/>
      <c r="CI3916" s="2">
        <v>1</v>
      </c>
      <c r="CJ3916" s="2">
        <v>1</v>
      </c>
      <c r="CK3916" s="2">
        <v>21</v>
      </c>
      <c r="CL3916" s="2" t="s">
        <v>86</v>
      </c>
      <c r="CM3916" s="2"/>
    </row>
    <row r="3917" spans="1:91">
      <c r="A3917" s="2" t="s">
        <v>71</v>
      </c>
      <c r="B3917" s="2" t="s">
        <v>72</v>
      </c>
      <c r="C3917" s="2" t="s">
        <v>73</v>
      </c>
      <c r="D3917" s="2"/>
      <c r="E3917" s="2" t="str">
        <f>"FES1162566086"</f>
        <v>FES1162566086</v>
      </c>
      <c r="F3917" s="3">
        <v>42948</v>
      </c>
      <c r="G3917" s="2">
        <v>201802</v>
      </c>
      <c r="H3917" s="2" t="s">
        <v>74</v>
      </c>
      <c r="I3917" s="2" t="s">
        <v>75</v>
      </c>
      <c r="J3917" s="2" t="s">
        <v>76</v>
      </c>
      <c r="K3917" s="2" t="s">
        <v>77</v>
      </c>
      <c r="L3917" s="2" t="s">
        <v>710</v>
      </c>
      <c r="M3917" s="2" t="s">
        <v>711</v>
      </c>
      <c r="N3917" s="2" t="s">
        <v>3738</v>
      </c>
      <c r="O3917" s="2" t="s">
        <v>100</v>
      </c>
      <c r="P3917" s="2" t="str">
        <f>"2170579696                    "</f>
        <v xml:space="preserve">2170579696                    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7.03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0</v>
      </c>
      <c r="AV3917" s="2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2">
        <v>0</v>
      </c>
      <c r="BD3917" s="2">
        <v>0</v>
      </c>
      <c r="BE3917" s="2">
        <v>0</v>
      </c>
      <c r="BF3917" s="2">
        <v>0</v>
      </c>
      <c r="BG3917" s="2">
        <v>0</v>
      </c>
      <c r="BH3917" s="2">
        <v>1</v>
      </c>
      <c r="BI3917" s="2">
        <v>1</v>
      </c>
      <c r="BJ3917" s="2">
        <v>0.2</v>
      </c>
      <c r="BK3917" s="2">
        <v>1</v>
      </c>
      <c r="BL3917" s="2">
        <v>79.569999999999993</v>
      </c>
      <c r="BM3917" s="2">
        <v>11.14</v>
      </c>
      <c r="BN3917" s="2">
        <v>90.71</v>
      </c>
      <c r="BO3917" s="2">
        <v>90.71</v>
      </c>
      <c r="BP3917" s="2"/>
      <c r="BQ3917" s="2" t="s">
        <v>108</v>
      </c>
      <c r="BR3917" s="2" t="s">
        <v>84</v>
      </c>
      <c r="BS3917" s="3">
        <v>42949</v>
      </c>
      <c r="BT3917" s="4">
        <v>0.49722222222222223</v>
      </c>
      <c r="BU3917" s="2" t="s">
        <v>3739</v>
      </c>
      <c r="BV3917" s="2" t="s">
        <v>95</v>
      </c>
      <c r="BW3917" s="2"/>
      <c r="BX3917" s="2"/>
      <c r="BY3917" s="2">
        <v>1200</v>
      </c>
      <c r="BZ3917" s="2" t="s">
        <v>27</v>
      </c>
      <c r="CA3917" s="2" t="s">
        <v>714</v>
      </c>
      <c r="CB3917" s="2"/>
      <c r="CC3917" s="2" t="s">
        <v>711</v>
      </c>
      <c r="CD3917" s="2">
        <v>4339</v>
      </c>
      <c r="CE3917" s="2" t="s">
        <v>3630</v>
      </c>
      <c r="CF3917" s="5">
        <v>42951</v>
      </c>
      <c r="CG3917" s="2"/>
      <c r="CH3917" s="2"/>
      <c r="CI3917" s="2">
        <v>1</v>
      </c>
      <c r="CJ3917" s="2">
        <v>1</v>
      </c>
      <c r="CK3917" s="2">
        <v>23</v>
      </c>
      <c r="CL3917" s="2" t="s">
        <v>86</v>
      </c>
      <c r="CM3917" s="2"/>
    </row>
    <row r="3918" spans="1:91">
      <c r="A3918" s="2" t="s">
        <v>71</v>
      </c>
      <c r="B3918" s="2" t="s">
        <v>72</v>
      </c>
      <c r="C3918" s="2" t="s">
        <v>73</v>
      </c>
      <c r="D3918" s="2"/>
      <c r="E3918" s="2" t="str">
        <f>"FES1162566104"</f>
        <v>FES1162566104</v>
      </c>
      <c r="F3918" s="3">
        <v>42948</v>
      </c>
      <c r="G3918" s="2">
        <v>201802</v>
      </c>
      <c r="H3918" s="2" t="s">
        <v>74</v>
      </c>
      <c r="I3918" s="2" t="s">
        <v>75</v>
      </c>
      <c r="J3918" s="2" t="s">
        <v>76</v>
      </c>
      <c r="K3918" s="2" t="s">
        <v>77</v>
      </c>
      <c r="L3918" s="2" t="s">
        <v>417</v>
      </c>
      <c r="M3918" s="2" t="s">
        <v>417</v>
      </c>
      <c r="N3918" s="2" t="s">
        <v>458</v>
      </c>
      <c r="O3918" s="2" t="s">
        <v>100</v>
      </c>
      <c r="P3918" s="2" t="str">
        <f>"2170582665                    "</f>
        <v xml:space="preserve">2170582665                    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3.63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0</v>
      </c>
      <c r="AV3918" s="2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2">
        <v>0</v>
      </c>
      <c r="BD3918" s="2">
        <v>0</v>
      </c>
      <c r="BE3918" s="2">
        <v>0</v>
      </c>
      <c r="BF3918" s="2">
        <v>0</v>
      </c>
      <c r="BG3918" s="2">
        <v>0</v>
      </c>
      <c r="BH3918" s="2">
        <v>1</v>
      </c>
      <c r="BI3918" s="2">
        <v>2</v>
      </c>
      <c r="BJ3918" s="2">
        <v>0.2</v>
      </c>
      <c r="BK3918" s="2">
        <v>2</v>
      </c>
      <c r="BL3918" s="2">
        <v>41.07</v>
      </c>
      <c r="BM3918" s="2">
        <v>5.75</v>
      </c>
      <c r="BN3918" s="2">
        <v>46.82</v>
      </c>
      <c r="BO3918" s="2">
        <v>46.82</v>
      </c>
      <c r="BP3918" s="2"/>
      <c r="BQ3918" s="2" t="s">
        <v>3740</v>
      </c>
      <c r="BR3918" s="2" t="s">
        <v>84</v>
      </c>
      <c r="BS3918" s="3">
        <v>42949</v>
      </c>
      <c r="BT3918" s="4">
        <v>0.58333333333333337</v>
      </c>
      <c r="BU3918" s="2" t="s">
        <v>1467</v>
      </c>
      <c r="BV3918" s="2" t="s">
        <v>86</v>
      </c>
      <c r="BW3918" s="2"/>
      <c r="BX3918" s="2"/>
      <c r="BY3918" s="2">
        <v>1200</v>
      </c>
      <c r="BZ3918" s="2" t="s">
        <v>27</v>
      </c>
      <c r="CA3918" s="2" t="s">
        <v>420</v>
      </c>
      <c r="CB3918" s="2"/>
      <c r="CC3918" s="2" t="s">
        <v>417</v>
      </c>
      <c r="CD3918" s="2">
        <v>7646</v>
      </c>
      <c r="CE3918" s="2" t="s">
        <v>3630</v>
      </c>
      <c r="CF3918" s="5">
        <v>42949</v>
      </c>
      <c r="CG3918" s="2"/>
      <c r="CH3918" s="2"/>
      <c r="CI3918" s="2">
        <v>1</v>
      </c>
      <c r="CJ3918" s="2">
        <v>1</v>
      </c>
      <c r="CK3918" s="2">
        <v>21</v>
      </c>
      <c r="CL3918" s="2" t="s">
        <v>86</v>
      </c>
      <c r="CM3918" s="2"/>
    </row>
    <row r="3919" spans="1:91">
      <c r="A3919" s="2" t="s">
        <v>71</v>
      </c>
      <c r="B3919" s="2" t="s">
        <v>72</v>
      </c>
      <c r="C3919" s="2" t="s">
        <v>73</v>
      </c>
      <c r="D3919" s="2"/>
      <c r="E3919" s="2" t="str">
        <f>"FES1162565959"</f>
        <v>FES1162565959</v>
      </c>
      <c r="F3919" s="3">
        <v>42948</v>
      </c>
      <c r="G3919" s="2">
        <v>201802</v>
      </c>
      <c r="H3919" s="2" t="s">
        <v>74</v>
      </c>
      <c r="I3919" s="2" t="s">
        <v>75</v>
      </c>
      <c r="J3919" s="2" t="s">
        <v>76</v>
      </c>
      <c r="K3919" s="2" t="s">
        <v>77</v>
      </c>
      <c r="L3919" s="2" t="s">
        <v>237</v>
      </c>
      <c r="M3919" s="2" t="s">
        <v>238</v>
      </c>
      <c r="N3919" s="2" t="s">
        <v>765</v>
      </c>
      <c r="O3919" s="2" t="s">
        <v>100</v>
      </c>
      <c r="P3919" s="2" t="str">
        <f>"2170581216                    "</f>
        <v xml:space="preserve">2170581216                    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3.63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0</v>
      </c>
      <c r="AV3919" s="2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2">
        <v>0</v>
      </c>
      <c r="BD3919" s="2">
        <v>0</v>
      </c>
      <c r="BE3919" s="2">
        <v>0</v>
      </c>
      <c r="BF3919" s="2">
        <v>0</v>
      </c>
      <c r="BG3919" s="2">
        <v>0</v>
      </c>
      <c r="BH3919" s="2">
        <v>1</v>
      </c>
      <c r="BI3919" s="2">
        <v>1</v>
      </c>
      <c r="BJ3919" s="2">
        <v>0.2</v>
      </c>
      <c r="BK3919" s="2">
        <v>1</v>
      </c>
      <c r="BL3919" s="2">
        <v>41.07</v>
      </c>
      <c r="BM3919" s="2">
        <v>5.75</v>
      </c>
      <c r="BN3919" s="2">
        <v>46.82</v>
      </c>
      <c r="BO3919" s="2">
        <v>46.82</v>
      </c>
      <c r="BP3919" s="2"/>
      <c r="BQ3919" s="2" t="s">
        <v>108</v>
      </c>
      <c r="BR3919" s="2" t="s">
        <v>84</v>
      </c>
      <c r="BS3919" s="3">
        <v>42949</v>
      </c>
      <c r="BT3919" s="4">
        <v>0.31875000000000003</v>
      </c>
      <c r="BU3919" s="2" t="s">
        <v>766</v>
      </c>
      <c r="BV3919" s="2" t="s">
        <v>95</v>
      </c>
      <c r="BW3919" s="2"/>
      <c r="BX3919" s="2"/>
      <c r="BY3919" s="2">
        <v>1200</v>
      </c>
      <c r="BZ3919" s="2" t="s">
        <v>27</v>
      </c>
      <c r="CA3919" s="2" t="s">
        <v>401</v>
      </c>
      <c r="CB3919" s="2"/>
      <c r="CC3919" s="2" t="s">
        <v>238</v>
      </c>
      <c r="CD3919" s="2">
        <v>3610</v>
      </c>
      <c r="CE3919" s="2" t="s">
        <v>104</v>
      </c>
      <c r="CF3919" s="5">
        <v>42950</v>
      </c>
      <c r="CG3919" s="2"/>
      <c r="CH3919" s="2"/>
      <c r="CI3919" s="2">
        <v>1</v>
      </c>
      <c r="CJ3919" s="2">
        <v>1</v>
      </c>
      <c r="CK3919" s="2">
        <v>21</v>
      </c>
      <c r="CL3919" s="2" t="s">
        <v>86</v>
      </c>
      <c r="CM3919" s="2"/>
    </row>
    <row r="3920" spans="1:91">
      <c r="A3920" s="2" t="s">
        <v>71</v>
      </c>
      <c r="B3920" s="2" t="s">
        <v>72</v>
      </c>
      <c r="C3920" s="2" t="s">
        <v>73</v>
      </c>
      <c r="D3920" s="2"/>
      <c r="E3920" s="2" t="str">
        <f>"FES1162566097"</f>
        <v>FES1162566097</v>
      </c>
      <c r="F3920" s="3">
        <v>42948</v>
      </c>
      <c r="G3920" s="2">
        <v>201802</v>
      </c>
      <c r="H3920" s="2" t="s">
        <v>74</v>
      </c>
      <c r="I3920" s="2" t="s">
        <v>75</v>
      </c>
      <c r="J3920" s="2" t="s">
        <v>76</v>
      </c>
      <c r="K3920" s="2" t="s">
        <v>77</v>
      </c>
      <c r="L3920" s="2" t="s">
        <v>144</v>
      </c>
      <c r="M3920" s="2" t="s">
        <v>145</v>
      </c>
      <c r="N3920" s="2" t="s">
        <v>146</v>
      </c>
      <c r="O3920" s="2" t="s">
        <v>100</v>
      </c>
      <c r="P3920" s="2" t="str">
        <f>"2170582662                    "</f>
        <v xml:space="preserve">2170582662                    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2.83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2">
        <v>0</v>
      </c>
      <c r="BD3920" s="2">
        <v>0</v>
      </c>
      <c r="BE3920" s="2">
        <v>0</v>
      </c>
      <c r="BF3920" s="2">
        <v>0</v>
      </c>
      <c r="BG3920" s="2">
        <v>0</v>
      </c>
      <c r="BH3920" s="2">
        <v>1</v>
      </c>
      <c r="BI3920" s="2">
        <v>1</v>
      </c>
      <c r="BJ3920" s="2">
        <v>1.7</v>
      </c>
      <c r="BK3920" s="2">
        <v>2</v>
      </c>
      <c r="BL3920" s="2">
        <v>32.08</v>
      </c>
      <c r="BM3920" s="2">
        <v>4.49</v>
      </c>
      <c r="BN3920" s="2">
        <v>36.57</v>
      </c>
      <c r="BO3920" s="2">
        <v>36.57</v>
      </c>
      <c r="BP3920" s="2"/>
      <c r="BQ3920" s="2" t="s">
        <v>83</v>
      </c>
      <c r="BR3920" s="2" t="s">
        <v>84</v>
      </c>
      <c r="BS3920" s="3">
        <v>42949</v>
      </c>
      <c r="BT3920" s="4">
        <v>0.3888888888888889</v>
      </c>
      <c r="BU3920" s="2" t="s">
        <v>728</v>
      </c>
      <c r="BV3920" s="2" t="s">
        <v>95</v>
      </c>
      <c r="BW3920" s="2"/>
      <c r="BX3920" s="2"/>
      <c r="BY3920" s="2">
        <v>8445.89</v>
      </c>
      <c r="BZ3920" s="2" t="s">
        <v>27</v>
      </c>
      <c r="CA3920" s="2" t="s">
        <v>729</v>
      </c>
      <c r="CB3920" s="2"/>
      <c r="CC3920" s="2" t="s">
        <v>145</v>
      </c>
      <c r="CD3920" s="2">
        <v>2094</v>
      </c>
      <c r="CE3920" s="2" t="s">
        <v>104</v>
      </c>
      <c r="CF3920" s="5">
        <v>42950</v>
      </c>
      <c r="CG3920" s="2"/>
      <c r="CH3920" s="2"/>
      <c r="CI3920" s="2">
        <v>1</v>
      </c>
      <c r="CJ3920" s="2">
        <v>1</v>
      </c>
      <c r="CK3920" s="2">
        <v>22</v>
      </c>
      <c r="CL3920" s="2" t="s">
        <v>86</v>
      </c>
      <c r="CM3920" s="2"/>
    </row>
    <row r="3921" spans="1:91">
      <c r="A3921" s="2" t="s">
        <v>71</v>
      </c>
      <c r="B3921" s="2" t="s">
        <v>72</v>
      </c>
      <c r="C3921" s="2" t="s">
        <v>73</v>
      </c>
      <c r="D3921" s="2"/>
      <c r="E3921" s="2" t="str">
        <f>"FES1162565893"</f>
        <v>FES1162565893</v>
      </c>
      <c r="F3921" s="3">
        <v>42948</v>
      </c>
      <c r="G3921" s="2">
        <v>201802</v>
      </c>
      <c r="H3921" s="2" t="s">
        <v>74</v>
      </c>
      <c r="I3921" s="2" t="s">
        <v>75</v>
      </c>
      <c r="J3921" s="2" t="s">
        <v>76</v>
      </c>
      <c r="K3921" s="2" t="s">
        <v>77</v>
      </c>
      <c r="L3921" s="2" t="s">
        <v>144</v>
      </c>
      <c r="M3921" s="2" t="s">
        <v>145</v>
      </c>
      <c r="N3921" s="2" t="s">
        <v>1711</v>
      </c>
      <c r="O3921" s="2" t="s">
        <v>100</v>
      </c>
      <c r="P3921" s="2" t="str">
        <f>"2170582460                    "</f>
        <v xml:space="preserve">2170582460                    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2.83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2">
        <v>0</v>
      </c>
      <c r="BD3921" s="2">
        <v>0</v>
      </c>
      <c r="BE3921" s="2">
        <v>0</v>
      </c>
      <c r="BF3921" s="2">
        <v>0</v>
      </c>
      <c r="BG3921" s="2">
        <v>0</v>
      </c>
      <c r="BH3921" s="2">
        <v>1</v>
      </c>
      <c r="BI3921" s="2">
        <v>2</v>
      </c>
      <c r="BJ3921" s="2">
        <v>3.3</v>
      </c>
      <c r="BK3921" s="2">
        <v>4</v>
      </c>
      <c r="BL3921" s="2">
        <v>32.08</v>
      </c>
      <c r="BM3921" s="2">
        <v>4.49</v>
      </c>
      <c r="BN3921" s="2">
        <v>36.57</v>
      </c>
      <c r="BO3921" s="2">
        <v>36.57</v>
      </c>
      <c r="BP3921" s="2"/>
      <c r="BQ3921" s="2" t="s">
        <v>83</v>
      </c>
      <c r="BR3921" s="2" t="s">
        <v>84</v>
      </c>
      <c r="BS3921" s="3">
        <v>42949</v>
      </c>
      <c r="BT3921" s="4">
        <v>0.41666666666666669</v>
      </c>
      <c r="BU3921" s="2" t="s">
        <v>1236</v>
      </c>
      <c r="BV3921" s="2" t="s">
        <v>95</v>
      </c>
      <c r="BW3921" s="2"/>
      <c r="BX3921" s="2"/>
      <c r="BY3921" s="2">
        <v>16724.59</v>
      </c>
      <c r="BZ3921" s="2" t="s">
        <v>27</v>
      </c>
      <c r="CA3921" s="2" t="s">
        <v>1296</v>
      </c>
      <c r="CB3921" s="2"/>
      <c r="CC3921" s="2" t="s">
        <v>145</v>
      </c>
      <c r="CD3921" s="2">
        <v>2091</v>
      </c>
      <c r="CE3921" s="2" t="s">
        <v>89</v>
      </c>
      <c r="CF3921" s="5">
        <v>42950</v>
      </c>
      <c r="CG3921" s="2"/>
      <c r="CH3921" s="2"/>
      <c r="CI3921" s="2">
        <v>1</v>
      </c>
      <c r="CJ3921" s="2">
        <v>1</v>
      </c>
      <c r="CK3921" s="2">
        <v>22</v>
      </c>
      <c r="CL3921" s="2" t="s">
        <v>86</v>
      </c>
      <c r="CM3921" s="2"/>
    </row>
    <row r="3922" spans="1:91">
      <c r="A3922" s="2" t="s">
        <v>71</v>
      </c>
      <c r="B3922" s="2" t="s">
        <v>72</v>
      </c>
      <c r="C3922" s="2" t="s">
        <v>73</v>
      </c>
      <c r="D3922" s="2"/>
      <c r="E3922" s="2" t="str">
        <f>"FES1162566093"</f>
        <v>FES1162566093</v>
      </c>
      <c r="F3922" s="3">
        <v>42948</v>
      </c>
      <c r="G3922" s="2">
        <v>201802</v>
      </c>
      <c r="H3922" s="2" t="s">
        <v>74</v>
      </c>
      <c r="I3922" s="2" t="s">
        <v>75</v>
      </c>
      <c r="J3922" s="2" t="s">
        <v>76</v>
      </c>
      <c r="K3922" s="2" t="s">
        <v>77</v>
      </c>
      <c r="L3922" s="2" t="s">
        <v>268</v>
      </c>
      <c r="M3922" s="2" t="s">
        <v>269</v>
      </c>
      <c r="N3922" s="2" t="s">
        <v>368</v>
      </c>
      <c r="O3922" s="2" t="s">
        <v>100</v>
      </c>
      <c r="P3922" s="2" t="str">
        <f>"2170580737                    "</f>
        <v xml:space="preserve">2170580737                    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6.35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2">
        <v>0</v>
      </c>
      <c r="BD3922" s="2">
        <v>0</v>
      </c>
      <c r="BE3922" s="2">
        <v>0</v>
      </c>
      <c r="BF3922" s="2">
        <v>0</v>
      </c>
      <c r="BG3922" s="2">
        <v>0</v>
      </c>
      <c r="BH3922" s="2">
        <v>1</v>
      </c>
      <c r="BI3922" s="2">
        <v>3.3</v>
      </c>
      <c r="BJ3922" s="2">
        <v>3.2</v>
      </c>
      <c r="BK3922" s="2">
        <v>3.5</v>
      </c>
      <c r="BL3922" s="2">
        <v>71.87</v>
      </c>
      <c r="BM3922" s="2">
        <v>10.06</v>
      </c>
      <c r="BN3922" s="2">
        <v>81.93</v>
      </c>
      <c r="BO3922" s="2">
        <v>81.93</v>
      </c>
      <c r="BP3922" s="2"/>
      <c r="BQ3922" s="2" t="s">
        <v>108</v>
      </c>
      <c r="BR3922" s="2" t="s">
        <v>84</v>
      </c>
      <c r="BS3922" s="3">
        <v>42949</v>
      </c>
      <c r="BT3922" s="4">
        <v>0.34722222222222227</v>
      </c>
      <c r="BU3922" s="2" t="s">
        <v>369</v>
      </c>
      <c r="BV3922" s="2" t="s">
        <v>95</v>
      </c>
      <c r="BW3922" s="2"/>
      <c r="BX3922" s="2"/>
      <c r="BY3922" s="2">
        <v>16225.83</v>
      </c>
      <c r="BZ3922" s="2" t="s">
        <v>27</v>
      </c>
      <c r="CA3922" s="2"/>
      <c r="CB3922" s="2"/>
      <c r="CC3922" s="2" t="s">
        <v>269</v>
      </c>
      <c r="CD3922" s="2">
        <v>157</v>
      </c>
      <c r="CE3922" s="2" t="s">
        <v>259</v>
      </c>
      <c r="CF3922" s="5">
        <v>42950</v>
      </c>
      <c r="CG3922" s="2"/>
      <c r="CH3922" s="2"/>
      <c r="CI3922" s="2">
        <v>1</v>
      </c>
      <c r="CJ3922" s="2">
        <v>1</v>
      </c>
      <c r="CK3922" s="2">
        <v>21</v>
      </c>
      <c r="CL3922" s="2" t="s">
        <v>86</v>
      </c>
      <c r="CM3922" s="2"/>
    </row>
    <row r="3923" spans="1:91">
      <c r="A3923" s="2" t="s">
        <v>71</v>
      </c>
      <c r="B3923" s="2" t="s">
        <v>72</v>
      </c>
      <c r="C3923" s="2" t="s">
        <v>73</v>
      </c>
      <c r="D3923" s="2"/>
      <c r="E3923" s="2" t="str">
        <f>"FES1162565938"</f>
        <v>FES1162565938</v>
      </c>
      <c r="F3923" s="3">
        <v>42948</v>
      </c>
      <c r="G3923" s="2">
        <v>201802</v>
      </c>
      <c r="H3923" s="2" t="s">
        <v>74</v>
      </c>
      <c r="I3923" s="2" t="s">
        <v>75</v>
      </c>
      <c r="J3923" s="2" t="s">
        <v>76</v>
      </c>
      <c r="K3923" s="2" t="s">
        <v>77</v>
      </c>
      <c r="L3923" s="2" t="s">
        <v>221</v>
      </c>
      <c r="M3923" s="2" t="s">
        <v>222</v>
      </c>
      <c r="N3923" s="2" t="s">
        <v>415</v>
      </c>
      <c r="O3923" s="2" t="s">
        <v>100</v>
      </c>
      <c r="P3923" s="2" t="str">
        <f>"2170580251                    "</f>
        <v xml:space="preserve">2170580251                    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3.63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0</v>
      </c>
      <c r="AV3923" s="2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2">
        <v>0</v>
      </c>
      <c r="BD3923" s="2">
        <v>0</v>
      </c>
      <c r="BE3923" s="2">
        <v>0</v>
      </c>
      <c r="BF3923" s="2">
        <v>0</v>
      </c>
      <c r="BG3923" s="2">
        <v>0</v>
      </c>
      <c r="BH3923" s="2">
        <v>1</v>
      </c>
      <c r="BI3923" s="2">
        <v>1</v>
      </c>
      <c r="BJ3923" s="2">
        <v>0.2</v>
      </c>
      <c r="BK3923" s="2">
        <v>1</v>
      </c>
      <c r="BL3923" s="2">
        <v>41.07</v>
      </c>
      <c r="BM3923" s="2">
        <v>5.75</v>
      </c>
      <c r="BN3923" s="2">
        <v>46.82</v>
      </c>
      <c r="BO3923" s="2">
        <v>46.82</v>
      </c>
      <c r="BP3923" s="2"/>
      <c r="BQ3923" s="2" t="s">
        <v>108</v>
      </c>
      <c r="BR3923" s="2" t="s">
        <v>84</v>
      </c>
      <c r="BS3923" s="3">
        <v>42949</v>
      </c>
      <c r="BT3923" s="4">
        <v>0.36944444444444446</v>
      </c>
      <c r="BU3923" s="2" t="s">
        <v>3663</v>
      </c>
      <c r="BV3923" s="2" t="s">
        <v>95</v>
      </c>
      <c r="BW3923" s="2"/>
      <c r="BX3923" s="2"/>
      <c r="BY3923" s="2">
        <v>1200</v>
      </c>
      <c r="BZ3923" s="2" t="s">
        <v>27</v>
      </c>
      <c r="CA3923" s="2" t="s">
        <v>3640</v>
      </c>
      <c r="CB3923" s="2"/>
      <c r="CC3923" s="2" t="s">
        <v>222</v>
      </c>
      <c r="CD3923" s="2">
        <v>4302</v>
      </c>
      <c r="CE3923" s="2" t="s">
        <v>104</v>
      </c>
      <c r="CF3923" s="5">
        <v>42950</v>
      </c>
      <c r="CG3923" s="2"/>
      <c r="CH3923" s="2"/>
      <c r="CI3923" s="2">
        <v>1</v>
      </c>
      <c r="CJ3923" s="2">
        <v>1</v>
      </c>
      <c r="CK3923" s="2">
        <v>21</v>
      </c>
      <c r="CL3923" s="2" t="s">
        <v>86</v>
      </c>
      <c r="CM3923" s="2"/>
    </row>
    <row r="3924" spans="1:91">
      <c r="A3924" s="2" t="s">
        <v>71</v>
      </c>
      <c r="B3924" s="2" t="s">
        <v>72</v>
      </c>
      <c r="C3924" s="2" t="s">
        <v>73</v>
      </c>
      <c r="D3924" s="2"/>
      <c r="E3924" s="2" t="str">
        <f>"FES1162565884"</f>
        <v>FES1162565884</v>
      </c>
      <c r="F3924" s="3">
        <v>42948</v>
      </c>
      <c r="G3924" s="2">
        <v>201802</v>
      </c>
      <c r="H3924" s="2" t="s">
        <v>74</v>
      </c>
      <c r="I3924" s="2" t="s">
        <v>75</v>
      </c>
      <c r="J3924" s="2" t="s">
        <v>76</v>
      </c>
      <c r="K3924" s="2" t="s">
        <v>77</v>
      </c>
      <c r="L3924" s="2" t="s">
        <v>74</v>
      </c>
      <c r="M3924" s="2" t="s">
        <v>75</v>
      </c>
      <c r="N3924" s="2" t="s">
        <v>2324</v>
      </c>
      <c r="O3924" s="2" t="s">
        <v>100</v>
      </c>
      <c r="P3924" s="2" t="str">
        <f>"2170582420                    "</f>
        <v xml:space="preserve">2170582420                    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2.83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2">
        <v>0</v>
      </c>
      <c r="BD3924" s="2">
        <v>0</v>
      </c>
      <c r="BE3924" s="2">
        <v>0</v>
      </c>
      <c r="BF3924" s="2">
        <v>0</v>
      </c>
      <c r="BG3924" s="2">
        <v>0</v>
      </c>
      <c r="BH3924" s="2">
        <v>1</v>
      </c>
      <c r="BI3924" s="2">
        <v>3</v>
      </c>
      <c r="BJ3924" s="2">
        <v>3.4</v>
      </c>
      <c r="BK3924" s="2">
        <v>4</v>
      </c>
      <c r="BL3924" s="2">
        <v>32.08</v>
      </c>
      <c r="BM3924" s="2">
        <v>4.49</v>
      </c>
      <c r="BN3924" s="2">
        <v>36.57</v>
      </c>
      <c r="BO3924" s="2">
        <v>36.57</v>
      </c>
      <c r="BP3924" s="2"/>
      <c r="BQ3924" s="2" t="s">
        <v>83</v>
      </c>
      <c r="BR3924" s="2" t="s">
        <v>84</v>
      </c>
      <c r="BS3924" s="3">
        <v>42949</v>
      </c>
      <c r="BT3924" s="4">
        <v>0.35138888888888892</v>
      </c>
      <c r="BU3924" s="2" t="s">
        <v>1752</v>
      </c>
      <c r="BV3924" s="2" t="s">
        <v>95</v>
      </c>
      <c r="BW3924" s="2"/>
      <c r="BX3924" s="2"/>
      <c r="BY3924" s="2">
        <v>16881.099999999999</v>
      </c>
      <c r="BZ3924" s="2" t="s">
        <v>27</v>
      </c>
      <c r="CA3924" s="2" t="s">
        <v>331</v>
      </c>
      <c r="CB3924" s="2"/>
      <c r="CC3924" s="2" t="s">
        <v>75</v>
      </c>
      <c r="CD3924" s="2">
        <v>1600</v>
      </c>
      <c r="CE3924" s="2" t="s">
        <v>89</v>
      </c>
      <c r="CF3924" s="5">
        <v>42950</v>
      </c>
      <c r="CG3924" s="2"/>
      <c r="CH3924" s="2"/>
      <c r="CI3924" s="2">
        <v>1</v>
      </c>
      <c r="CJ3924" s="2">
        <v>1</v>
      </c>
      <c r="CK3924" s="2">
        <v>22</v>
      </c>
      <c r="CL3924" s="2" t="s">
        <v>86</v>
      </c>
      <c r="CM3924" s="2"/>
    </row>
    <row r="3925" spans="1:91">
      <c r="A3925" s="2" t="s">
        <v>71</v>
      </c>
      <c r="B3925" s="2" t="s">
        <v>72</v>
      </c>
      <c r="C3925" s="2" t="s">
        <v>73</v>
      </c>
      <c r="D3925" s="2"/>
      <c r="E3925" s="2" t="str">
        <f>"FES1162565996"</f>
        <v>FES1162565996</v>
      </c>
      <c r="F3925" s="3">
        <v>42948</v>
      </c>
      <c r="G3925" s="2">
        <v>201802</v>
      </c>
      <c r="H3925" s="2" t="s">
        <v>74</v>
      </c>
      <c r="I3925" s="2" t="s">
        <v>75</v>
      </c>
      <c r="J3925" s="2" t="s">
        <v>76</v>
      </c>
      <c r="K3925" s="2" t="s">
        <v>77</v>
      </c>
      <c r="L3925" s="2" t="s">
        <v>339</v>
      </c>
      <c r="M3925" s="2" t="s">
        <v>340</v>
      </c>
      <c r="N3925" s="2" t="s">
        <v>3313</v>
      </c>
      <c r="O3925" s="2" t="s">
        <v>100</v>
      </c>
      <c r="P3925" s="2" t="str">
        <f>"2170582354                    "</f>
        <v xml:space="preserve">2170582354                    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3.63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2">
        <v>0</v>
      </c>
      <c r="BD3925" s="2">
        <v>0</v>
      </c>
      <c r="BE3925" s="2">
        <v>0</v>
      </c>
      <c r="BF3925" s="2">
        <v>0</v>
      </c>
      <c r="BG3925" s="2">
        <v>0</v>
      </c>
      <c r="BH3925" s="2">
        <v>1</v>
      </c>
      <c r="BI3925" s="2">
        <v>1</v>
      </c>
      <c r="BJ3925" s="2">
        <v>0.2</v>
      </c>
      <c r="BK3925" s="2">
        <v>1</v>
      </c>
      <c r="BL3925" s="2">
        <v>41.07</v>
      </c>
      <c r="BM3925" s="2">
        <v>5.75</v>
      </c>
      <c r="BN3925" s="2">
        <v>46.82</v>
      </c>
      <c r="BO3925" s="2">
        <v>46.82</v>
      </c>
      <c r="BP3925" s="2"/>
      <c r="BQ3925" s="2" t="s">
        <v>3532</v>
      </c>
      <c r="BR3925" s="2" t="s">
        <v>84</v>
      </c>
      <c r="BS3925" s="3">
        <v>42949</v>
      </c>
      <c r="BT3925" s="4">
        <v>0.52430555555555558</v>
      </c>
      <c r="BU3925" s="2" t="s">
        <v>3314</v>
      </c>
      <c r="BV3925" s="2" t="s">
        <v>86</v>
      </c>
      <c r="BW3925" s="2"/>
      <c r="BX3925" s="2"/>
      <c r="BY3925" s="2">
        <v>1200</v>
      </c>
      <c r="BZ3925" s="2" t="s">
        <v>27</v>
      </c>
      <c r="CA3925" s="2"/>
      <c r="CB3925" s="2"/>
      <c r="CC3925" s="2" t="s">
        <v>340</v>
      </c>
      <c r="CD3925" s="2">
        <v>1947</v>
      </c>
      <c r="CE3925" s="2" t="s">
        <v>3630</v>
      </c>
      <c r="CF3925" s="5">
        <v>42950</v>
      </c>
      <c r="CG3925" s="2"/>
      <c r="CH3925" s="2"/>
      <c r="CI3925" s="2">
        <v>1</v>
      </c>
      <c r="CJ3925" s="2">
        <v>1</v>
      </c>
      <c r="CK3925" s="2">
        <v>21</v>
      </c>
      <c r="CL3925" s="2" t="s">
        <v>86</v>
      </c>
      <c r="CM3925" s="2"/>
    </row>
    <row r="3926" spans="1:91">
      <c r="A3926" s="2" t="s">
        <v>71</v>
      </c>
      <c r="B3926" s="2" t="s">
        <v>72</v>
      </c>
      <c r="C3926" s="2" t="s">
        <v>73</v>
      </c>
      <c r="D3926" s="2"/>
      <c r="E3926" s="2" t="str">
        <f>"FES1162565866"</f>
        <v>FES1162565866</v>
      </c>
      <c r="F3926" s="3">
        <v>42948</v>
      </c>
      <c r="G3926" s="2">
        <v>201802</v>
      </c>
      <c r="H3926" s="2" t="s">
        <v>74</v>
      </c>
      <c r="I3926" s="2" t="s">
        <v>75</v>
      </c>
      <c r="J3926" s="2" t="s">
        <v>76</v>
      </c>
      <c r="K3926" s="2" t="s">
        <v>77</v>
      </c>
      <c r="L3926" s="2" t="s">
        <v>362</v>
      </c>
      <c r="M3926" s="2" t="s">
        <v>363</v>
      </c>
      <c r="N3926" s="2" t="s">
        <v>683</v>
      </c>
      <c r="O3926" s="2" t="s">
        <v>100</v>
      </c>
      <c r="P3926" s="2" t="str">
        <f>"2170579085                    "</f>
        <v xml:space="preserve">2170579085                    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16.329999999999998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0</v>
      </c>
      <c r="AV3926" s="2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2">
        <v>0</v>
      </c>
      <c r="BD3926" s="2">
        <v>0</v>
      </c>
      <c r="BE3926" s="2">
        <v>0</v>
      </c>
      <c r="BF3926" s="2">
        <v>0</v>
      </c>
      <c r="BG3926" s="2">
        <v>0</v>
      </c>
      <c r="BH3926" s="2">
        <v>1</v>
      </c>
      <c r="BI3926" s="2">
        <v>8.8000000000000007</v>
      </c>
      <c r="BJ3926" s="2">
        <v>2</v>
      </c>
      <c r="BK3926" s="2">
        <v>9</v>
      </c>
      <c r="BL3926" s="2">
        <v>184.81</v>
      </c>
      <c r="BM3926" s="2">
        <v>25.87</v>
      </c>
      <c r="BN3926" s="2">
        <v>210.68</v>
      </c>
      <c r="BO3926" s="2">
        <v>210.68</v>
      </c>
      <c r="BP3926" s="2"/>
      <c r="BQ3926" s="2" t="s">
        <v>108</v>
      </c>
      <c r="BR3926" s="2" t="s">
        <v>84</v>
      </c>
      <c r="BS3926" s="3">
        <v>42949</v>
      </c>
      <c r="BT3926" s="4">
        <v>0.41666666666666669</v>
      </c>
      <c r="BU3926" s="2" t="s">
        <v>684</v>
      </c>
      <c r="BV3926" s="2" t="s">
        <v>95</v>
      </c>
      <c r="BW3926" s="2"/>
      <c r="BX3926" s="2"/>
      <c r="BY3926" s="2">
        <v>9987.23</v>
      </c>
      <c r="BZ3926" s="2" t="s">
        <v>27</v>
      </c>
      <c r="CA3926" s="2" t="s">
        <v>148</v>
      </c>
      <c r="CB3926" s="2"/>
      <c r="CC3926" s="2" t="s">
        <v>363</v>
      </c>
      <c r="CD3926" s="2">
        <v>3201</v>
      </c>
      <c r="CE3926" s="2" t="s">
        <v>89</v>
      </c>
      <c r="CF3926" s="5">
        <v>42950</v>
      </c>
      <c r="CG3926" s="2"/>
      <c r="CH3926" s="2"/>
      <c r="CI3926" s="2">
        <v>1</v>
      </c>
      <c r="CJ3926" s="2">
        <v>1</v>
      </c>
      <c r="CK3926" s="2">
        <v>21</v>
      </c>
      <c r="CL3926" s="2" t="s">
        <v>86</v>
      </c>
      <c r="CM3926" s="2"/>
    </row>
    <row r="3927" spans="1:91">
      <c r="A3927" s="2" t="s">
        <v>71</v>
      </c>
      <c r="B3927" s="2" t="s">
        <v>72</v>
      </c>
      <c r="C3927" s="2" t="s">
        <v>73</v>
      </c>
      <c r="D3927" s="2"/>
      <c r="E3927" s="2" t="str">
        <f>"FES1162565917"</f>
        <v>FES1162565917</v>
      </c>
      <c r="F3927" s="3">
        <v>42948</v>
      </c>
      <c r="G3927" s="2">
        <v>201802</v>
      </c>
      <c r="H3927" s="2" t="s">
        <v>74</v>
      </c>
      <c r="I3927" s="2" t="s">
        <v>75</v>
      </c>
      <c r="J3927" s="2" t="s">
        <v>76</v>
      </c>
      <c r="K3927" s="2" t="s">
        <v>77</v>
      </c>
      <c r="L3927" s="2" t="s">
        <v>149</v>
      </c>
      <c r="M3927" s="2" t="s">
        <v>150</v>
      </c>
      <c r="N3927" s="2" t="s">
        <v>1268</v>
      </c>
      <c r="O3927" s="2" t="s">
        <v>100</v>
      </c>
      <c r="P3927" s="2" t="str">
        <f>"2170581609                    "</f>
        <v xml:space="preserve">2170581609                    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11.79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0</v>
      </c>
      <c r="AU3927" s="2">
        <v>0</v>
      </c>
      <c r="AV3927" s="2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2">
        <v>0</v>
      </c>
      <c r="BD3927" s="2">
        <v>0</v>
      </c>
      <c r="BE3927" s="2">
        <v>0</v>
      </c>
      <c r="BF3927" s="2">
        <v>0</v>
      </c>
      <c r="BG3927" s="2">
        <v>0</v>
      </c>
      <c r="BH3927" s="2">
        <v>1</v>
      </c>
      <c r="BI3927" s="2">
        <v>6.5</v>
      </c>
      <c r="BJ3927" s="2">
        <v>3.3</v>
      </c>
      <c r="BK3927" s="2">
        <v>6.5</v>
      </c>
      <c r="BL3927" s="2">
        <v>133.47</v>
      </c>
      <c r="BM3927" s="2">
        <v>18.690000000000001</v>
      </c>
      <c r="BN3927" s="2">
        <v>152.16</v>
      </c>
      <c r="BO3927" s="2">
        <v>152.16</v>
      </c>
      <c r="BP3927" s="2"/>
      <c r="BQ3927" s="2" t="s">
        <v>83</v>
      </c>
      <c r="BR3927" s="2" t="s">
        <v>84</v>
      </c>
      <c r="BS3927" s="3">
        <v>42949</v>
      </c>
      <c r="BT3927" s="4">
        <v>0.35486111111111113</v>
      </c>
      <c r="BU3927" s="2" t="s">
        <v>3686</v>
      </c>
      <c r="BV3927" s="2" t="s">
        <v>95</v>
      </c>
      <c r="BW3927" s="2"/>
      <c r="BX3927" s="2"/>
      <c r="BY3927" s="2">
        <v>16292.7</v>
      </c>
      <c r="BZ3927" s="2" t="s">
        <v>27</v>
      </c>
      <c r="CA3927" s="2" t="s">
        <v>484</v>
      </c>
      <c r="CB3927" s="2"/>
      <c r="CC3927" s="2" t="s">
        <v>150</v>
      </c>
      <c r="CD3927" s="2">
        <v>4001</v>
      </c>
      <c r="CE3927" s="2" t="s">
        <v>89</v>
      </c>
      <c r="CF3927" s="5">
        <v>42950</v>
      </c>
      <c r="CG3927" s="2"/>
      <c r="CH3927" s="2"/>
      <c r="CI3927" s="2">
        <v>1</v>
      </c>
      <c r="CJ3927" s="2">
        <v>1</v>
      </c>
      <c r="CK3927" s="2">
        <v>21</v>
      </c>
      <c r="CL3927" s="2" t="s">
        <v>86</v>
      </c>
      <c r="CM3927" s="2"/>
    </row>
    <row r="3928" spans="1:91">
      <c r="A3928" s="2" t="s">
        <v>71</v>
      </c>
      <c r="B3928" s="2" t="s">
        <v>72</v>
      </c>
      <c r="C3928" s="2" t="s">
        <v>73</v>
      </c>
      <c r="D3928" s="2"/>
      <c r="E3928" s="2" t="str">
        <f>"FES1162565921"</f>
        <v>FES1162565921</v>
      </c>
      <c r="F3928" s="3">
        <v>42948</v>
      </c>
      <c r="G3928" s="2">
        <v>201802</v>
      </c>
      <c r="H3928" s="2" t="s">
        <v>74</v>
      </c>
      <c r="I3928" s="2" t="s">
        <v>75</v>
      </c>
      <c r="J3928" s="2" t="s">
        <v>76</v>
      </c>
      <c r="K3928" s="2" t="s">
        <v>77</v>
      </c>
      <c r="L3928" s="2" t="s">
        <v>237</v>
      </c>
      <c r="M3928" s="2" t="s">
        <v>238</v>
      </c>
      <c r="N3928" s="2" t="s">
        <v>673</v>
      </c>
      <c r="O3928" s="2" t="s">
        <v>100</v>
      </c>
      <c r="P3928" s="2" t="str">
        <f>"2170582497                    "</f>
        <v xml:space="preserve">2170582497                    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11.79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0</v>
      </c>
      <c r="AU3928" s="2">
        <v>0</v>
      </c>
      <c r="AV3928" s="2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2">
        <v>0</v>
      </c>
      <c r="BD3928" s="2">
        <v>0</v>
      </c>
      <c r="BE3928" s="2">
        <v>0</v>
      </c>
      <c r="BF3928" s="2">
        <v>0</v>
      </c>
      <c r="BG3928" s="2">
        <v>0</v>
      </c>
      <c r="BH3928" s="2">
        <v>1</v>
      </c>
      <c r="BI3928" s="2">
        <v>4</v>
      </c>
      <c r="BJ3928" s="2">
        <v>6.2</v>
      </c>
      <c r="BK3928" s="2">
        <v>6.5</v>
      </c>
      <c r="BL3928" s="2">
        <v>133.47</v>
      </c>
      <c r="BM3928" s="2">
        <v>18.690000000000001</v>
      </c>
      <c r="BN3928" s="2">
        <v>152.16</v>
      </c>
      <c r="BO3928" s="2">
        <v>152.16</v>
      </c>
      <c r="BP3928" s="2"/>
      <c r="BQ3928" s="2" t="s">
        <v>83</v>
      </c>
      <c r="BR3928" s="2" t="s">
        <v>84</v>
      </c>
      <c r="BS3928" s="3">
        <v>42949</v>
      </c>
      <c r="BT3928" s="4">
        <v>0.31875000000000003</v>
      </c>
      <c r="BU3928" s="2" t="s">
        <v>766</v>
      </c>
      <c r="BV3928" s="2" t="s">
        <v>95</v>
      </c>
      <c r="BW3928" s="2"/>
      <c r="BX3928" s="2"/>
      <c r="BY3928" s="2">
        <v>31213</v>
      </c>
      <c r="BZ3928" s="2" t="s">
        <v>27</v>
      </c>
      <c r="CA3928" s="2" t="s">
        <v>401</v>
      </c>
      <c r="CB3928" s="2"/>
      <c r="CC3928" s="2" t="s">
        <v>238</v>
      </c>
      <c r="CD3928" s="2">
        <v>3610</v>
      </c>
      <c r="CE3928" s="2" t="s">
        <v>89</v>
      </c>
      <c r="CF3928" s="5">
        <v>42949</v>
      </c>
      <c r="CG3928" s="2"/>
      <c r="CH3928" s="2"/>
      <c r="CI3928" s="2">
        <v>1</v>
      </c>
      <c r="CJ3928" s="2">
        <v>1</v>
      </c>
      <c r="CK3928" s="2">
        <v>21</v>
      </c>
      <c r="CL3928" s="2" t="s">
        <v>86</v>
      </c>
      <c r="CM3928" s="2"/>
    </row>
    <row r="3929" spans="1:91">
      <c r="A3929" s="2" t="s">
        <v>71</v>
      </c>
      <c r="B3929" s="2" t="s">
        <v>72</v>
      </c>
      <c r="C3929" s="2" t="s">
        <v>73</v>
      </c>
      <c r="D3929" s="2"/>
      <c r="E3929" s="2" t="str">
        <f>"FES1162565971"</f>
        <v>FES1162565971</v>
      </c>
      <c r="F3929" s="3">
        <v>42948</v>
      </c>
      <c r="G3929" s="2">
        <v>201802</v>
      </c>
      <c r="H3929" s="2" t="s">
        <v>74</v>
      </c>
      <c r="I3929" s="2" t="s">
        <v>75</v>
      </c>
      <c r="J3929" s="2" t="s">
        <v>76</v>
      </c>
      <c r="K3929" s="2" t="s">
        <v>77</v>
      </c>
      <c r="L3929" s="2" t="s">
        <v>244</v>
      </c>
      <c r="M3929" s="2" t="s">
        <v>245</v>
      </c>
      <c r="N3929" s="2" t="s">
        <v>918</v>
      </c>
      <c r="O3929" s="2" t="s">
        <v>100</v>
      </c>
      <c r="P3929" s="2" t="str">
        <f>"2170582182                    "</f>
        <v xml:space="preserve">2170582182                    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2.83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0</v>
      </c>
      <c r="AV3929" s="2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2">
        <v>0</v>
      </c>
      <c r="BD3929" s="2">
        <v>0</v>
      </c>
      <c r="BE3929" s="2">
        <v>0</v>
      </c>
      <c r="BF3929" s="2">
        <v>0</v>
      </c>
      <c r="BG3929" s="2">
        <v>0</v>
      </c>
      <c r="BH3929" s="2">
        <v>1</v>
      </c>
      <c r="BI3929" s="2">
        <v>1.8</v>
      </c>
      <c r="BJ3929" s="2">
        <v>3.4</v>
      </c>
      <c r="BK3929" s="2">
        <v>4</v>
      </c>
      <c r="BL3929" s="2">
        <v>32.08</v>
      </c>
      <c r="BM3929" s="2">
        <v>4.49</v>
      </c>
      <c r="BN3929" s="2">
        <v>36.57</v>
      </c>
      <c r="BO3929" s="2">
        <v>36.57</v>
      </c>
      <c r="BP3929" s="2"/>
      <c r="BQ3929" s="2" t="s">
        <v>3678</v>
      </c>
      <c r="BR3929" s="2" t="s">
        <v>84</v>
      </c>
      <c r="BS3929" s="3">
        <v>42949</v>
      </c>
      <c r="BT3929" s="4">
        <v>0.3430555555555555</v>
      </c>
      <c r="BU3929" s="2" t="s">
        <v>919</v>
      </c>
      <c r="BV3929" s="2" t="s">
        <v>95</v>
      </c>
      <c r="BW3929" s="2"/>
      <c r="BX3929" s="2"/>
      <c r="BY3929" s="2">
        <v>16774</v>
      </c>
      <c r="BZ3929" s="2" t="s">
        <v>27</v>
      </c>
      <c r="CA3929" s="2" t="s">
        <v>499</v>
      </c>
      <c r="CB3929" s="2"/>
      <c r="CC3929" s="2" t="s">
        <v>245</v>
      </c>
      <c r="CD3929" s="2">
        <v>1459</v>
      </c>
      <c r="CE3929" s="2" t="s">
        <v>89</v>
      </c>
      <c r="CF3929" s="5">
        <v>42950</v>
      </c>
      <c r="CG3929" s="2"/>
      <c r="CH3929" s="2"/>
      <c r="CI3929" s="2">
        <v>1</v>
      </c>
      <c r="CJ3929" s="2">
        <v>1</v>
      </c>
      <c r="CK3929" s="2">
        <v>22</v>
      </c>
      <c r="CL3929" s="2" t="s">
        <v>86</v>
      </c>
      <c r="CM3929" s="2"/>
    </row>
    <row r="3930" spans="1:91">
      <c r="A3930" s="2" t="s">
        <v>71</v>
      </c>
      <c r="B3930" s="2" t="s">
        <v>72</v>
      </c>
      <c r="C3930" s="2" t="s">
        <v>73</v>
      </c>
      <c r="D3930" s="2"/>
      <c r="E3930" s="2" t="str">
        <f>"FES1162565904"</f>
        <v>FES1162565904</v>
      </c>
      <c r="F3930" s="3">
        <v>42948</v>
      </c>
      <c r="G3930" s="2">
        <v>201802</v>
      </c>
      <c r="H3930" s="2" t="s">
        <v>74</v>
      </c>
      <c r="I3930" s="2" t="s">
        <v>75</v>
      </c>
      <c r="J3930" s="2" t="s">
        <v>76</v>
      </c>
      <c r="K3930" s="2" t="s">
        <v>77</v>
      </c>
      <c r="L3930" s="2" t="s">
        <v>97</v>
      </c>
      <c r="M3930" s="2" t="s">
        <v>98</v>
      </c>
      <c r="N3930" s="2" t="s">
        <v>292</v>
      </c>
      <c r="O3930" s="2" t="s">
        <v>100</v>
      </c>
      <c r="P3930" s="2" t="str">
        <f>"2170582468                    "</f>
        <v xml:space="preserve">2170582468                    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6.35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0</v>
      </c>
      <c r="BA3930" s="2">
        <v>0</v>
      </c>
      <c r="BB3930" s="2">
        <v>0</v>
      </c>
      <c r="BC3930" s="2">
        <v>0</v>
      </c>
      <c r="BD3930" s="2">
        <v>0</v>
      </c>
      <c r="BE3930" s="2">
        <v>0</v>
      </c>
      <c r="BF3930" s="2">
        <v>0</v>
      </c>
      <c r="BG3930" s="2">
        <v>0</v>
      </c>
      <c r="BH3930" s="2">
        <v>1</v>
      </c>
      <c r="BI3930" s="2">
        <v>3.2</v>
      </c>
      <c r="BJ3930" s="2">
        <v>1.7</v>
      </c>
      <c r="BK3930" s="2">
        <v>3.5</v>
      </c>
      <c r="BL3930" s="2">
        <v>71.87</v>
      </c>
      <c r="BM3930" s="2">
        <v>10.06</v>
      </c>
      <c r="BN3930" s="2">
        <v>81.93</v>
      </c>
      <c r="BO3930" s="2">
        <v>81.93</v>
      </c>
      <c r="BP3930" s="2"/>
      <c r="BQ3930" s="2" t="s">
        <v>83</v>
      </c>
      <c r="BR3930" s="2" t="s">
        <v>84</v>
      </c>
      <c r="BS3930" s="3">
        <v>42949</v>
      </c>
      <c r="BT3930" s="4">
        <v>0.2986111111111111</v>
      </c>
      <c r="BU3930" s="2" t="s">
        <v>293</v>
      </c>
      <c r="BV3930" s="2" t="s">
        <v>95</v>
      </c>
      <c r="BW3930" s="2"/>
      <c r="BX3930" s="2"/>
      <c r="BY3930" s="2">
        <v>8310.2900000000009</v>
      </c>
      <c r="BZ3930" s="2" t="s">
        <v>27</v>
      </c>
      <c r="CA3930" s="2" t="s">
        <v>294</v>
      </c>
      <c r="CB3930" s="2"/>
      <c r="CC3930" s="2" t="s">
        <v>98</v>
      </c>
      <c r="CD3930" s="2">
        <v>6001</v>
      </c>
      <c r="CE3930" s="2" t="s">
        <v>259</v>
      </c>
      <c r="CF3930" s="5">
        <v>42950</v>
      </c>
      <c r="CG3930" s="2"/>
      <c r="CH3930" s="2"/>
      <c r="CI3930" s="2">
        <v>1</v>
      </c>
      <c r="CJ3930" s="2">
        <v>1</v>
      </c>
      <c r="CK3930" s="2">
        <v>21</v>
      </c>
      <c r="CL3930" s="2" t="s">
        <v>86</v>
      </c>
      <c r="CM3930" s="2"/>
    </row>
    <row r="3931" spans="1:91">
      <c r="A3931" s="2" t="s">
        <v>71</v>
      </c>
      <c r="B3931" s="2" t="s">
        <v>72</v>
      </c>
      <c r="C3931" s="2" t="s">
        <v>73</v>
      </c>
      <c r="D3931" s="2"/>
      <c r="E3931" s="2" t="str">
        <f>"FES1162565848"</f>
        <v>FES1162565848</v>
      </c>
      <c r="F3931" s="3">
        <v>42948</v>
      </c>
      <c r="G3931" s="2">
        <v>201802</v>
      </c>
      <c r="H3931" s="2" t="s">
        <v>74</v>
      </c>
      <c r="I3931" s="2" t="s">
        <v>75</v>
      </c>
      <c r="J3931" s="2" t="s">
        <v>76</v>
      </c>
      <c r="K3931" s="2" t="s">
        <v>77</v>
      </c>
      <c r="L3931" s="2" t="s">
        <v>105</v>
      </c>
      <c r="M3931" s="2" t="s">
        <v>106</v>
      </c>
      <c r="N3931" s="2" t="s">
        <v>253</v>
      </c>
      <c r="O3931" s="2" t="s">
        <v>100</v>
      </c>
      <c r="P3931" s="2" t="str">
        <f>"2170575848                    "</f>
        <v xml:space="preserve">2170575848                    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3.63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0</v>
      </c>
      <c r="AV3931" s="2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2">
        <v>0</v>
      </c>
      <c r="BD3931" s="2">
        <v>0</v>
      </c>
      <c r="BE3931" s="2">
        <v>0</v>
      </c>
      <c r="BF3931" s="2">
        <v>0</v>
      </c>
      <c r="BG3931" s="2">
        <v>0</v>
      </c>
      <c r="BH3931" s="2">
        <v>1</v>
      </c>
      <c r="BI3931" s="2">
        <v>2</v>
      </c>
      <c r="BJ3931" s="2">
        <v>1.4</v>
      </c>
      <c r="BK3931" s="2">
        <v>2</v>
      </c>
      <c r="BL3931" s="2">
        <v>41.07</v>
      </c>
      <c r="BM3931" s="2">
        <v>5.75</v>
      </c>
      <c r="BN3931" s="2">
        <v>46.82</v>
      </c>
      <c r="BO3931" s="2">
        <v>46.82</v>
      </c>
      <c r="BP3931" s="2"/>
      <c r="BQ3931" s="2" t="s">
        <v>108</v>
      </c>
      <c r="BR3931" s="2" t="s">
        <v>84</v>
      </c>
      <c r="BS3931" s="3">
        <v>42949</v>
      </c>
      <c r="BT3931" s="4">
        <v>0.42222222222222222</v>
      </c>
      <c r="BU3931" s="2" t="s">
        <v>1074</v>
      </c>
      <c r="BV3931" s="2" t="s">
        <v>95</v>
      </c>
      <c r="BW3931" s="2"/>
      <c r="BX3931" s="2"/>
      <c r="BY3931" s="2">
        <v>6891.3</v>
      </c>
      <c r="BZ3931" s="2" t="s">
        <v>27</v>
      </c>
      <c r="CA3931" s="2" t="s">
        <v>654</v>
      </c>
      <c r="CB3931" s="2"/>
      <c r="CC3931" s="2" t="s">
        <v>106</v>
      </c>
      <c r="CD3931" s="2">
        <v>7490</v>
      </c>
      <c r="CE3931" s="2" t="s">
        <v>259</v>
      </c>
      <c r="CF3931" s="5">
        <v>42950</v>
      </c>
      <c r="CG3931" s="2"/>
      <c r="CH3931" s="2"/>
      <c r="CI3931" s="2">
        <v>1</v>
      </c>
      <c r="CJ3931" s="2">
        <v>1</v>
      </c>
      <c r="CK3931" s="2">
        <v>21</v>
      </c>
      <c r="CL3931" s="2" t="s">
        <v>86</v>
      </c>
      <c r="CM3931" s="2"/>
    </row>
    <row r="3932" spans="1:91">
      <c r="A3932" s="2" t="s">
        <v>71</v>
      </c>
      <c r="B3932" s="2" t="s">
        <v>72</v>
      </c>
      <c r="C3932" s="2" t="s">
        <v>73</v>
      </c>
      <c r="D3932" s="2"/>
      <c r="E3932" s="2" t="str">
        <f>"FES1162565953"</f>
        <v>FES1162565953</v>
      </c>
      <c r="F3932" s="3">
        <v>42948</v>
      </c>
      <c r="G3932" s="2">
        <v>201802</v>
      </c>
      <c r="H3932" s="2" t="s">
        <v>74</v>
      </c>
      <c r="I3932" s="2" t="s">
        <v>75</v>
      </c>
      <c r="J3932" s="2" t="s">
        <v>76</v>
      </c>
      <c r="K3932" s="2" t="s">
        <v>77</v>
      </c>
      <c r="L3932" s="2" t="s">
        <v>105</v>
      </c>
      <c r="M3932" s="2" t="s">
        <v>106</v>
      </c>
      <c r="N3932" s="2" t="s">
        <v>348</v>
      </c>
      <c r="O3932" s="2" t="s">
        <v>100</v>
      </c>
      <c r="P3932" s="2" t="str">
        <f>"2170582507                    "</f>
        <v xml:space="preserve">2170582507                    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3.63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0</v>
      </c>
      <c r="BA3932" s="2">
        <v>0</v>
      </c>
      <c r="BB3932" s="2">
        <v>0</v>
      </c>
      <c r="BC3932" s="2">
        <v>0</v>
      </c>
      <c r="BD3932" s="2">
        <v>0</v>
      </c>
      <c r="BE3932" s="2">
        <v>0</v>
      </c>
      <c r="BF3932" s="2">
        <v>0</v>
      </c>
      <c r="BG3932" s="2">
        <v>0</v>
      </c>
      <c r="BH3932" s="2">
        <v>1</v>
      </c>
      <c r="BI3932" s="2">
        <v>1</v>
      </c>
      <c r="BJ3932" s="2">
        <v>0.2</v>
      </c>
      <c r="BK3932" s="2">
        <v>1</v>
      </c>
      <c r="BL3932" s="2">
        <v>41.07</v>
      </c>
      <c r="BM3932" s="2">
        <v>5.75</v>
      </c>
      <c r="BN3932" s="2">
        <v>46.82</v>
      </c>
      <c r="BO3932" s="2">
        <v>46.82</v>
      </c>
      <c r="BP3932" s="2"/>
      <c r="BQ3932" s="2" t="s">
        <v>108</v>
      </c>
      <c r="BR3932" s="2" t="s">
        <v>84</v>
      </c>
      <c r="BS3932" s="3">
        <v>42949</v>
      </c>
      <c r="BT3932" s="4">
        <v>0.42083333333333334</v>
      </c>
      <c r="BU3932" s="2" t="s">
        <v>3741</v>
      </c>
      <c r="BV3932" s="2" t="s">
        <v>95</v>
      </c>
      <c r="BW3932" s="2"/>
      <c r="BX3932" s="2"/>
      <c r="BY3932" s="2">
        <v>1200</v>
      </c>
      <c r="BZ3932" s="2" t="s">
        <v>27</v>
      </c>
      <c r="CA3932" s="2"/>
      <c r="CB3932" s="2"/>
      <c r="CC3932" s="2" t="s">
        <v>106</v>
      </c>
      <c r="CD3932" s="2">
        <v>7945</v>
      </c>
      <c r="CE3932" s="2" t="s">
        <v>3630</v>
      </c>
      <c r="CF3932" s="5">
        <v>42950</v>
      </c>
      <c r="CG3932" s="2"/>
      <c r="CH3932" s="2"/>
      <c r="CI3932" s="2">
        <v>1</v>
      </c>
      <c r="CJ3932" s="2">
        <v>1</v>
      </c>
      <c r="CK3932" s="2">
        <v>21</v>
      </c>
      <c r="CL3932" s="2" t="s">
        <v>86</v>
      </c>
      <c r="CM3932" s="2"/>
    </row>
    <row r="3933" spans="1:91">
      <c r="A3933" s="2" t="s">
        <v>71</v>
      </c>
      <c r="B3933" s="2" t="s">
        <v>72</v>
      </c>
      <c r="C3933" s="2" t="s">
        <v>73</v>
      </c>
      <c r="D3933" s="2"/>
      <c r="E3933" s="2" t="str">
        <f>"FES1162566002"</f>
        <v>FES1162566002</v>
      </c>
      <c r="F3933" s="3">
        <v>42948</v>
      </c>
      <c r="G3933" s="2">
        <v>201802</v>
      </c>
      <c r="H3933" s="2" t="s">
        <v>74</v>
      </c>
      <c r="I3933" s="2" t="s">
        <v>75</v>
      </c>
      <c r="J3933" s="2" t="s">
        <v>76</v>
      </c>
      <c r="K3933" s="2" t="s">
        <v>77</v>
      </c>
      <c r="L3933" s="2" t="s">
        <v>201</v>
      </c>
      <c r="M3933" s="2" t="s">
        <v>202</v>
      </c>
      <c r="N3933" s="2" t="s">
        <v>203</v>
      </c>
      <c r="O3933" s="2" t="s">
        <v>100</v>
      </c>
      <c r="P3933" s="2" t="str">
        <f>"2170582552                    "</f>
        <v xml:space="preserve">2170582552                    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3.63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2">
        <v>0</v>
      </c>
      <c r="BD3933" s="2">
        <v>0</v>
      </c>
      <c r="BE3933" s="2">
        <v>0</v>
      </c>
      <c r="BF3933" s="2">
        <v>0</v>
      </c>
      <c r="BG3933" s="2">
        <v>0</v>
      </c>
      <c r="BH3933" s="2">
        <v>1</v>
      </c>
      <c r="BI3933" s="2">
        <v>1</v>
      </c>
      <c r="BJ3933" s="2">
        <v>0.2</v>
      </c>
      <c r="BK3933" s="2">
        <v>1</v>
      </c>
      <c r="BL3933" s="2">
        <v>41.07</v>
      </c>
      <c r="BM3933" s="2">
        <v>5.75</v>
      </c>
      <c r="BN3933" s="2">
        <v>46.82</v>
      </c>
      <c r="BO3933" s="2">
        <v>46.82</v>
      </c>
      <c r="BP3933" s="2"/>
      <c r="BQ3933" s="2" t="s">
        <v>83</v>
      </c>
      <c r="BR3933" s="2" t="s">
        <v>84</v>
      </c>
      <c r="BS3933" s="3">
        <v>42949</v>
      </c>
      <c r="BT3933" s="4">
        <v>0.41666666666666669</v>
      </c>
      <c r="BU3933" s="2" t="s">
        <v>3742</v>
      </c>
      <c r="BV3933" s="2" t="s">
        <v>95</v>
      </c>
      <c r="BW3933" s="2"/>
      <c r="BX3933" s="2"/>
      <c r="BY3933" s="2">
        <v>1200</v>
      </c>
      <c r="BZ3933" s="2" t="s">
        <v>27</v>
      </c>
      <c r="CA3933" s="2" t="s">
        <v>148</v>
      </c>
      <c r="CB3933" s="2"/>
      <c r="CC3933" s="2" t="s">
        <v>202</v>
      </c>
      <c r="CD3933" s="2">
        <v>7130</v>
      </c>
      <c r="CE3933" s="2" t="s">
        <v>3630</v>
      </c>
      <c r="CF3933" s="5">
        <v>42950</v>
      </c>
      <c r="CG3933" s="2"/>
      <c r="CH3933" s="2"/>
      <c r="CI3933" s="2">
        <v>1</v>
      </c>
      <c r="CJ3933" s="2">
        <v>1</v>
      </c>
      <c r="CK3933" s="2">
        <v>21</v>
      </c>
      <c r="CL3933" s="2" t="s">
        <v>86</v>
      </c>
      <c r="CM3933" s="2"/>
    </row>
    <row r="3934" spans="1:91">
      <c r="A3934" s="2" t="s">
        <v>71</v>
      </c>
      <c r="B3934" s="2" t="s">
        <v>72</v>
      </c>
      <c r="C3934" s="2" t="s">
        <v>73</v>
      </c>
      <c r="D3934" s="2"/>
      <c r="E3934" s="2" t="str">
        <f>"FES1162565982"</f>
        <v>FES1162565982</v>
      </c>
      <c r="F3934" s="3">
        <v>42948</v>
      </c>
      <c r="G3934" s="2">
        <v>201802</v>
      </c>
      <c r="H3934" s="2" t="s">
        <v>74</v>
      </c>
      <c r="I3934" s="2" t="s">
        <v>75</v>
      </c>
      <c r="J3934" s="2" t="s">
        <v>76</v>
      </c>
      <c r="K3934" s="2" t="s">
        <v>77</v>
      </c>
      <c r="L3934" s="2" t="s">
        <v>417</v>
      </c>
      <c r="M3934" s="2" t="s">
        <v>417</v>
      </c>
      <c r="N3934" s="2" t="s">
        <v>1414</v>
      </c>
      <c r="O3934" s="2" t="s">
        <v>100</v>
      </c>
      <c r="P3934" s="2" t="str">
        <f>"2170582530                    "</f>
        <v xml:space="preserve">2170582530                    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3.63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2">
        <v>0</v>
      </c>
      <c r="BD3934" s="2">
        <v>0</v>
      </c>
      <c r="BE3934" s="2">
        <v>0</v>
      </c>
      <c r="BF3934" s="2">
        <v>0</v>
      </c>
      <c r="BG3934" s="2">
        <v>0</v>
      </c>
      <c r="BH3934" s="2">
        <v>1</v>
      </c>
      <c r="BI3934" s="2">
        <v>1</v>
      </c>
      <c r="BJ3934" s="2">
        <v>0.2</v>
      </c>
      <c r="BK3934" s="2">
        <v>1</v>
      </c>
      <c r="BL3934" s="2">
        <v>41.07</v>
      </c>
      <c r="BM3934" s="2">
        <v>5.75</v>
      </c>
      <c r="BN3934" s="2">
        <v>46.82</v>
      </c>
      <c r="BO3934" s="2">
        <v>46.82</v>
      </c>
      <c r="BP3934" s="2"/>
      <c r="BQ3934" s="2" t="s">
        <v>108</v>
      </c>
      <c r="BR3934" s="2" t="s">
        <v>84</v>
      </c>
      <c r="BS3934" s="3">
        <v>42949</v>
      </c>
      <c r="BT3934" s="4">
        <v>0.58680555555555558</v>
      </c>
      <c r="BU3934" s="2" t="s">
        <v>3658</v>
      </c>
      <c r="BV3934" s="2" t="s">
        <v>86</v>
      </c>
      <c r="BW3934" s="2"/>
      <c r="BX3934" s="2"/>
      <c r="BY3934" s="2">
        <v>1200</v>
      </c>
      <c r="BZ3934" s="2" t="s">
        <v>27</v>
      </c>
      <c r="CA3934" s="2" t="s">
        <v>148</v>
      </c>
      <c r="CB3934" s="2"/>
      <c r="CC3934" s="2" t="s">
        <v>417</v>
      </c>
      <c r="CD3934" s="2">
        <v>7646</v>
      </c>
      <c r="CE3934" s="2" t="s">
        <v>3630</v>
      </c>
      <c r="CF3934" s="5">
        <v>42949</v>
      </c>
      <c r="CG3934" s="2"/>
      <c r="CH3934" s="2"/>
      <c r="CI3934" s="2">
        <v>1</v>
      </c>
      <c r="CJ3934" s="2">
        <v>1</v>
      </c>
      <c r="CK3934" s="2">
        <v>21</v>
      </c>
      <c r="CL3934" s="2" t="s">
        <v>86</v>
      </c>
      <c r="CM3934" s="2"/>
    </row>
    <row r="3935" spans="1:91">
      <c r="A3935" s="2" t="s">
        <v>71</v>
      </c>
      <c r="B3935" s="2" t="s">
        <v>72</v>
      </c>
      <c r="C3935" s="2" t="s">
        <v>73</v>
      </c>
      <c r="D3935" s="2"/>
      <c r="E3935" s="2" t="str">
        <f>"FES1162565951"</f>
        <v>FES1162565951</v>
      </c>
      <c r="F3935" s="3">
        <v>42948</v>
      </c>
      <c r="G3935" s="2">
        <v>201802</v>
      </c>
      <c r="H3935" s="2" t="s">
        <v>74</v>
      </c>
      <c r="I3935" s="2" t="s">
        <v>75</v>
      </c>
      <c r="J3935" s="2" t="s">
        <v>76</v>
      </c>
      <c r="K3935" s="2" t="s">
        <v>77</v>
      </c>
      <c r="L3935" s="2" t="s">
        <v>105</v>
      </c>
      <c r="M3935" s="2" t="s">
        <v>106</v>
      </c>
      <c r="N3935" s="2" t="s">
        <v>3231</v>
      </c>
      <c r="O3935" s="2" t="s">
        <v>100</v>
      </c>
      <c r="P3935" s="2" t="str">
        <f>"2170582505                    "</f>
        <v xml:space="preserve">2170582505                    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6.35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0</v>
      </c>
      <c r="AV3935" s="2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2">
        <v>0</v>
      </c>
      <c r="BD3935" s="2">
        <v>0</v>
      </c>
      <c r="BE3935" s="2">
        <v>0</v>
      </c>
      <c r="BF3935" s="2">
        <v>0</v>
      </c>
      <c r="BG3935" s="2">
        <v>0</v>
      </c>
      <c r="BH3935" s="2">
        <v>1</v>
      </c>
      <c r="BI3935" s="2">
        <v>2.2000000000000002</v>
      </c>
      <c r="BJ3935" s="2">
        <v>3.3</v>
      </c>
      <c r="BK3935" s="2">
        <v>3.5</v>
      </c>
      <c r="BL3935" s="2">
        <v>71.87</v>
      </c>
      <c r="BM3935" s="2">
        <v>10.06</v>
      </c>
      <c r="BN3935" s="2">
        <v>81.93</v>
      </c>
      <c r="BO3935" s="2">
        <v>81.93</v>
      </c>
      <c r="BP3935" s="2"/>
      <c r="BQ3935" s="2" t="s">
        <v>108</v>
      </c>
      <c r="BR3935" s="2" t="s">
        <v>84</v>
      </c>
      <c r="BS3935" s="3">
        <v>42949</v>
      </c>
      <c r="BT3935" s="4">
        <v>0.42083333333333334</v>
      </c>
      <c r="BU3935" s="2" t="s">
        <v>3232</v>
      </c>
      <c r="BV3935" s="2" t="s">
        <v>95</v>
      </c>
      <c r="BW3935" s="2"/>
      <c r="BX3935" s="2"/>
      <c r="BY3935" s="2">
        <v>16735.490000000002</v>
      </c>
      <c r="BZ3935" s="2" t="s">
        <v>27</v>
      </c>
      <c r="CA3935" s="2"/>
      <c r="CB3935" s="2"/>
      <c r="CC3935" s="2" t="s">
        <v>106</v>
      </c>
      <c r="CD3935" s="2">
        <v>7945</v>
      </c>
      <c r="CE3935" s="2" t="s">
        <v>259</v>
      </c>
      <c r="CF3935" s="5">
        <v>42950</v>
      </c>
      <c r="CG3935" s="2"/>
      <c r="CH3935" s="2"/>
      <c r="CI3935" s="2">
        <v>1</v>
      </c>
      <c r="CJ3935" s="2">
        <v>1</v>
      </c>
      <c r="CK3935" s="2">
        <v>21</v>
      </c>
      <c r="CL3935" s="2" t="s">
        <v>86</v>
      </c>
      <c r="CM3935" s="2"/>
    </row>
    <row r="3936" spans="1:91">
      <c r="A3936" s="2" t="s">
        <v>71</v>
      </c>
      <c r="B3936" s="2" t="s">
        <v>72</v>
      </c>
      <c r="C3936" s="2" t="s">
        <v>73</v>
      </c>
      <c r="D3936" s="2"/>
      <c r="E3936" s="2" t="str">
        <f>"FES1162565998"</f>
        <v>FES1162565998</v>
      </c>
      <c r="F3936" s="3">
        <v>42948</v>
      </c>
      <c r="G3936" s="2">
        <v>201802</v>
      </c>
      <c r="H3936" s="2" t="s">
        <v>74</v>
      </c>
      <c r="I3936" s="2" t="s">
        <v>75</v>
      </c>
      <c r="J3936" s="2" t="s">
        <v>76</v>
      </c>
      <c r="K3936" s="2" t="s">
        <v>77</v>
      </c>
      <c r="L3936" s="2" t="s">
        <v>105</v>
      </c>
      <c r="M3936" s="2" t="s">
        <v>106</v>
      </c>
      <c r="N3936" s="2" t="s">
        <v>705</v>
      </c>
      <c r="O3936" s="2" t="s">
        <v>100</v>
      </c>
      <c r="P3936" s="2" t="str">
        <f>"2170582547                    "</f>
        <v xml:space="preserve">2170582547                    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3.63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0</v>
      </c>
      <c r="AV3936" s="2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2">
        <v>0</v>
      </c>
      <c r="BD3936" s="2">
        <v>0</v>
      </c>
      <c r="BE3936" s="2">
        <v>0</v>
      </c>
      <c r="BF3936" s="2">
        <v>0</v>
      </c>
      <c r="BG3936" s="2">
        <v>0</v>
      </c>
      <c r="BH3936" s="2">
        <v>1</v>
      </c>
      <c r="BI3936" s="2">
        <v>1.3</v>
      </c>
      <c r="BJ3936" s="2">
        <v>1.4</v>
      </c>
      <c r="BK3936" s="2">
        <v>1.5</v>
      </c>
      <c r="BL3936" s="2">
        <v>41.07</v>
      </c>
      <c r="BM3936" s="2">
        <v>5.75</v>
      </c>
      <c r="BN3936" s="2">
        <v>46.82</v>
      </c>
      <c r="BO3936" s="2">
        <v>46.82</v>
      </c>
      <c r="BP3936" s="2"/>
      <c r="BQ3936" s="2" t="s">
        <v>108</v>
      </c>
      <c r="BR3936" s="2" t="s">
        <v>84</v>
      </c>
      <c r="BS3936" s="3">
        <v>42949</v>
      </c>
      <c r="BT3936" s="4">
        <v>0.39097222222222222</v>
      </c>
      <c r="BU3936" s="2" t="s">
        <v>706</v>
      </c>
      <c r="BV3936" s="2" t="s">
        <v>95</v>
      </c>
      <c r="BW3936" s="2"/>
      <c r="BX3936" s="2"/>
      <c r="BY3936" s="2">
        <v>6907.19</v>
      </c>
      <c r="BZ3936" s="2" t="s">
        <v>27</v>
      </c>
      <c r="CA3936" s="2" t="s">
        <v>488</v>
      </c>
      <c r="CB3936" s="2"/>
      <c r="CC3936" s="2" t="s">
        <v>106</v>
      </c>
      <c r="CD3936" s="2">
        <v>7441</v>
      </c>
      <c r="CE3936" s="2" t="s">
        <v>259</v>
      </c>
      <c r="CF3936" s="5">
        <v>42950</v>
      </c>
      <c r="CG3936" s="2"/>
      <c r="CH3936" s="2"/>
      <c r="CI3936" s="2">
        <v>1</v>
      </c>
      <c r="CJ3936" s="2">
        <v>1</v>
      </c>
      <c r="CK3936" s="2">
        <v>21</v>
      </c>
      <c r="CL3936" s="2" t="s">
        <v>86</v>
      </c>
      <c r="CM3936" s="2"/>
    </row>
    <row r="3937" spans="1:91">
      <c r="A3937" s="2" t="s">
        <v>71</v>
      </c>
      <c r="B3937" s="2" t="s">
        <v>72</v>
      </c>
      <c r="C3937" s="2" t="s">
        <v>73</v>
      </c>
      <c r="D3937" s="2"/>
      <c r="E3937" s="2" t="str">
        <f>"FES1162565850"</f>
        <v>FES1162565850</v>
      </c>
      <c r="F3937" s="3">
        <v>42948</v>
      </c>
      <c r="G3937" s="2">
        <v>201802</v>
      </c>
      <c r="H3937" s="2" t="s">
        <v>74</v>
      </c>
      <c r="I3937" s="2" t="s">
        <v>75</v>
      </c>
      <c r="J3937" s="2" t="s">
        <v>76</v>
      </c>
      <c r="K3937" s="2" t="s">
        <v>77</v>
      </c>
      <c r="L3937" s="2" t="s">
        <v>78</v>
      </c>
      <c r="M3937" s="2" t="s">
        <v>79</v>
      </c>
      <c r="N3937" s="2" t="s">
        <v>3743</v>
      </c>
      <c r="O3937" s="2" t="s">
        <v>100</v>
      </c>
      <c r="P3937" s="2" t="str">
        <f>"2170579789                    "</f>
        <v xml:space="preserve">2170579789                    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3.63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2">
        <v>0</v>
      </c>
      <c r="BD3937" s="2">
        <v>0</v>
      </c>
      <c r="BE3937" s="2">
        <v>0</v>
      </c>
      <c r="BF3937" s="2">
        <v>0</v>
      </c>
      <c r="BG3937" s="2">
        <v>0</v>
      </c>
      <c r="BH3937" s="2">
        <v>1</v>
      </c>
      <c r="BI3937" s="2">
        <v>1</v>
      </c>
      <c r="BJ3937" s="2">
        <v>0.2</v>
      </c>
      <c r="BK3937" s="2">
        <v>1</v>
      </c>
      <c r="BL3937" s="2">
        <v>41.07</v>
      </c>
      <c r="BM3937" s="2">
        <v>5.75</v>
      </c>
      <c r="BN3937" s="2">
        <v>46.82</v>
      </c>
      <c r="BO3937" s="2">
        <v>46.82</v>
      </c>
      <c r="BP3937" s="2"/>
      <c r="BQ3937" s="2" t="s">
        <v>108</v>
      </c>
      <c r="BR3937" s="2" t="s">
        <v>84</v>
      </c>
      <c r="BS3937" s="3">
        <v>42949</v>
      </c>
      <c r="BT3937" s="4">
        <v>0.4375</v>
      </c>
      <c r="BU3937" s="2" t="s">
        <v>3744</v>
      </c>
      <c r="BV3937" s="2" t="s">
        <v>95</v>
      </c>
      <c r="BW3937" s="2"/>
      <c r="BX3937" s="2"/>
      <c r="BY3937" s="2">
        <v>1200</v>
      </c>
      <c r="BZ3937" s="2" t="s">
        <v>27</v>
      </c>
      <c r="CA3937" s="2" t="s">
        <v>3745</v>
      </c>
      <c r="CB3937" s="2"/>
      <c r="CC3937" s="2" t="s">
        <v>79</v>
      </c>
      <c r="CD3937" s="2">
        <v>9301</v>
      </c>
      <c r="CE3937" s="2" t="s">
        <v>3630</v>
      </c>
      <c r="CF3937" s="5">
        <v>42950</v>
      </c>
      <c r="CG3937" s="2"/>
      <c r="CH3937" s="2"/>
      <c r="CI3937" s="2">
        <v>1</v>
      </c>
      <c r="CJ3937" s="2">
        <v>1</v>
      </c>
      <c r="CK3937" s="2">
        <v>21</v>
      </c>
      <c r="CL3937" s="2" t="s">
        <v>86</v>
      </c>
      <c r="CM3937" s="2"/>
    </row>
    <row r="3938" spans="1:91">
      <c r="A3938" s="2" t="s">
        <v>71</v>
      </c>
      <c r="B3938" s="2" t="s">
        <v>72</v>
      </c>
      <c r="C3938" s="2" t="s">
        <v>73</v>
      </c>
      <c r="D3938" s="2"/>
      <c r="E3938" s="2" t="str">
        <f>"FES1162565947"</f>
        <v>FES1162565947</v>
      </c>
      <c r="F3938" s="3">
        <v>42948</v>
      </c>
      <c r="G3938" s="2">
        <v>201802</v>
      </c>
      <c r="H3938" s="2" t="s">
        <v>74</v>
      </c>
      <c r="I3938" s="2" t="s">
        <v>75</v>
      </c>
      <c r="J3938" s="2" t="s">
        <v>76</v>
      </c>
      <c r="K3938" s="2" t="s">
        <v>77</v>
      </c>
      <c r="L3938" s="2" t="s">
        <v>1229</v>
      </c>
      <c r="M3938" s="2" t="s">
        <v>1230</v>
      </c>
      <c r="N3938" s="2" t="s">
        <v>1231</v>
      </c>
      <c r="O3938" s="2" t="s">
        <v>100</v>
      </c>
      <c r="P3938" s="2" t="str">
        <f>"2170582339                    "</f>
        <v xml:space="preserve">2170582339                    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2.83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2">
        <v>0</v>
      </c>
      <c r="BD3938" s="2">
        <v>0</v>
      </c>
      <c r="BE3938" s="2">
        <v>0</v>
      </c>
      <c r="BF3938" s="2">
        <v>0</v>
      </c>
      <c r="BG3938" s="2">
        <v>0</v>
      </c>
      <c r="BH3938" s="2">
        <v>1</v>
      </c>
      <c r="BI3938" s="2">
        <v>1</v>
      </c>
      <c r="BJ3938" s="2">
        <v>0.2</v>
      </c>
      <c r="BK3938" s="2">
        <v>1</v>
      </c>
      <c r="BL3938" s="2">
        <v>32.08</v>
      </c>
      <c r="BM3938" s="2">
        <v>4.49</v>
      </c>
      <c r="BN3938" s="2">
        <v>36.57</v>
      </c>
      <c r="BO3938" s="2">
        <v>36.57</v>
      </c>
      <c r="BP3938" s="2"/>
      <c r="BQ3938" s="2" t="s">
        <v>108</v>
      </c>
      <c r="BR3938" s="2" t="s">
        <v>84</v>
      </c>
      <c r="BS3938" s="3">
        <v>42949</v>
      </c>
      <c r="BT3938" s="4">
        <v>0.41666666666666669</v>
      </c>
      <c r="BU3938" s="2" t="s">
        <v>1232</v>
      </c>
      <c r="BV3938" s="2" t="s">
        <v>95</v>
      </c>
      <c r="BW3938" s="2"/>
      <c r="BX3938" s="2"/>
      <c r="BY3938" s="2">
        <v>1200</v>
      </c>
      <c r="BZ3938" s="2" t="s">
        <v>27</v>
      </c>
      <c r="CA3938" s="2"/>
      <c r="CB3938" s="2"/>
      <c r="CC3938" s="2" t="s">
        <v>1230</v>
      </c>
      <c r="CD3938" s="2">
        <v>1449</v>
      </c>
      <c r="CE3938" s="2" t="s">
        <v>104</v>
      </c>
      <c r="CF3938" s="5">
        <v>42950</v>
      </c>
      <c r="CG3938" s="2"/>
      <c r="CH3938" s="2"/>
      <c r="CI3938" s="2">
        <v>1</v>
      </c>
      <c r="CJ3938" s="2">
        <v>1</v>
      </c>
      <c r="CK3938" s="2">
        <v>22</v>
      </c>
      <c r="CL3938" s="2" t="s">
        <v>86</v>
      </c>
      <c r="CM3938" s="2"/>
    </row>
    <row r="3939" spans="1:91">
      <c r="A3939" s="2" t="s">
        <v>71</v>
      </c>
      <c r="B3939" s="2" t="s">
        <v>72</v>
      </c>
      <c r="C3939" s="2" t="s">
        <v>73</v>
      </c>
      <c r="D3939" s="2"/>
      <c r="E3939" s="2" t="str">
        <f>"FES1162566001"</f>
        <v>FES1162566001</v>
      </c>
      <c r="F3939" s="3">
        <v>42948</v>
      </c>
      <c r="G3939" s="2">
        <v>201802</v>
      </c>
      <c r="H3939" s="2" t="s">
        <v>74</v>
      </c>
      <c r="I3939" s="2" t="s">
        <v>75</v>
      </c>
      <c r="J3939" s="2" t="s">
        <v>76</v>
      </c>
      <c r="K3939" s="2" t="s">
        <v>77</v>
      </c>
      <c r="L3939" s="2" t="s">
        <v>244</v>
      </c>
      <c r="M3939" s="2" t="s">
        <v>245</v>
      </c>
      <c r="N3939" s="2" t="s">
        <v>3746</v>
      </c>
      <c r="O3939" s="2" t="s">
        <v>100</v>
      </c>
      <c r="P3939" s="2" t="str">
        <f>"2170582551                    "</f>
        <v xml:space="preserve">2170582551                    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2.83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0</v>
      </c>
      <c r="AV3939" s="2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2">
        <v>0</v>
      </c>
      <c r="BD3939" s="2">
        <v>0</v>
      </c>
      <c r="BE3939" s="2">
        <v>0</v>
      </c>
      <c r="BF3939" s="2">
        <v>0</v>
      </c>
      <c r="BG3939" s="2">
        <v>0</v>
      </c>
      <c r="BH3939" s="2">
        <v>1</v>
      </c>
      <c r="BI3939" s="2">
        <v>1</v>
      </c>
      <c r="BJ3939" s="2">
        <v>0.2</v>
      </c>
      <c r="BK3939" s="2">
        <v>1</v>
      </c>
      <c r="BL3939" s="2">
        <v>32.08</v>
      </c>
      <c r="BM3939" s="2">
        <v>4.49</v>
      </c>
      <c r="BN3939" s="2">
        <v>36.57</v>
      </c>
      <c r="BO3939" s="2">
        <v>36.57</v>
      </c>
      <c r="BP3939" s="2"/>
      <c r="BQ3939" s="2" t="s">
        <v>108</v>
      </c>
      <c r="BR3939" s="2" t="s">
        <v>84</v>
      </c>
      <c r="BS3939" s="3">
        <v>42949</v>
      </c>
      <c r="BT3939" s="4">
        <v>0.36458333333333331</v>
      </c>
      <c r="BU3939" s="2" t="s">
        <v>2681</v>
      </c>
      <c r="BV3939" s="2" t="s">
        <v>95</v>
      </c>
      <c r="BW3939" s="2"/>
      <c r="BX3939" s="2"/>
      <c r="BY3939" s="2">
        <v>1200</v>
      </c>
      <c r="BZ3939" s="2" t="s">
        <v>27</v>
      </c>
      <c r="CA3939" s="2" t="s">
        <v>499</v>
      </c>
      <c r="CB3939" s="2"/>
      <c r="CC3939" s="2" t="s">
        <v>245</v>
      </c>
      <c r="CD3939" s="2">
        <v>1459</v>
      </c>
      <c r="CE3939" s="2" t="s">
        <v>104</v>
      </c>
      <c r="CF3939" s="5">
        <v>42950</v>
      </c>
      <c r="CG3939" s="2"/>
      <c r="CH3939" s="2"/>
      <c r="CI3939" s="2">
        <v>1</v>
      </c>
      <c r="CJ3939" s="2">
        <v>1</v>
      </c>
      <c r="CK3939" s="2">
        <v>22</v>
      </c>
      <c r="CL3939" s="2" t="s">
        <v>86</v>
      </c>
      <c r="CM3939" s="2"/>
    </row>
    <row r="3940" spans="1:91">
      <c r="A3940" s="2" t="s">
        <v>71</v>
      </c>
      <c r="B3940" s="2" t="s">
        <v>72</v>
      </c>
      <c r="C3940" s="2" t="s">
        <v>73</v>
      </c>
      <c r="D3940" s="2"/>
      <c r="E3940" s="2" t="str">
        <f>"FES1162566032"</f>
        <v>FES1162566032</v>
      </c>
      <c r="F3940" s="3">
        <v>42948</v>
      </c>
      <c r="G3940" s="2">
        <v>201802</v>
      </c>
      <c r="H3940" s="2" t="s">
        <v>74</v>
      </c>
      <c r="I3940" s="2" t="s">
        <v>75</v>
      </c>
      <c r="J3940" s="2" t="s">
        <v>76</v>
      </c>
      <c r="K3940" s="2" t="s">
        <v>77</v>
      </c>
      <c r="L3940" s="2" t="s">
        <v>105</v>
      </c>
      <c r="M3940" s="2" t="s">
        <v>106</v>
      </c>
      <c r="N3940" s="2" t="s">
        <v>107</v>
      </c>
      <c r="O3940" s="2" t="s">
        <v>100</v>
      </c>
      <c r="P3940" s="2" t="str">
        <f>"2170582582                    "</f>
        <v xml:space="preserve">2170582582                    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3.63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0</v>
      </c>
      <c r="AV3940" s="2">
        <v>0</v>
      </c>
      <c r="AW3940" s="2">
        <v>0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2">
        <v>0</v>
      </c>
      <c r="BD3940" s="2">
        <v>0</v>
      </c>
      <c r="BE3940" s="2">
        <v>0</v>
      </c>
      <c r="BF3940" s="2">
        <v>0</v>
      </c>
      <c r="BG3940" s="2">
        <v>0</v>
      </c>
      <c r="BH3940" s="2">
        <v>1</v>
      </c>
      <c r="BI3940" s="2">
        <v>1</v>
      </c>
      <c r="BJ3940" s="2">
        <v>0.2</v>
      </c>
      <c r="BK3940" s="2">
        <v>1</v>
      </c>
      <c r="BL3940" s="2">
        <v>41.07</v>
      </c>
      <c r="BM3940" s="2">
        <v>5.75</v>
      </c>
      <c r="BN3940" s="2">
        <v>46.82</v>
      </c>
      <c r="BO3940" s="2">
        <v>46.82</v>
      </c>
      <c r="BP3940" s="2"/>
      <c r="BQ3940" s="2" t="s">
        <v>108</v>
      </c>
      <c r="BR3940" s="2" t="s">
        <v>84</v>
      </c>
      <c r="BS3940" s="3">
        <v>42949</v>
      </c>
      <c r="BT3940" s="4">
        <v>0.40138888888888885</v>
      </c>
      <c r="BU3940" s="2" t="s">
        <v>3702</v>
      </c>
      <c r="BV3940" s="2" t="s">
        <v>95</v>
      </c>
      <c r="BW3940" s="2"/>
      <c r="BX3940" s="2"/>
      <c r="BY3940" s="2">
        <v>1200</v>
      </c>
      <c r="BZ3940" s="2" t="s">
        <v>27</v>
      </c>
      <c r="CA3940" s="2" t="s">
        <v>856</v>
      </c>
      <c r="CB3940" s="2"/>
      <c r="CC3940" s="2" t="s">
        <v>106</v>
      </c>
      <c r="CD3940" s="2">
        <v>7405</v>
      </c>
      <c r="CE3940" s="2" t="s">
        <v>3630</v>
      </c>
      <c r="CF3940" s="5">
        <v>42949</v>
      </c>
      <c r="CG3940" s="2"/>
      <c r="CH3940" s="2"/>
      <c r="CI3940" s="2">
        <v>1</v>
      </c>
      <c r="CJ3940" s="2">
        <v>1</v>
      </c>
      <c r="CK3940" s="2">
        <v>21</v>
      </c>
      <c r="CL3940" s="2" t="s">
        <v>86</v>
      </c>
      <c r="CM3940" s="2"/>
    </row>
    <row r="3941" spans="1:91">
      <c r="A3941" s="2" t="s">
        <v>71</v>
      </c>
      <c r="B3941" s="2" t="s">
        <v>72</v>
      </c>
      <c r="C3941" s="2" t="s">
        <v>73</v>
      </c>
      <c r="D3941" s="2"/>
      <c r="E3941" s="2" t="str">
        <f>"FES1162565945"</f>
        <v>FES1162565945</v>
      </c>
      <c r="F3941" s="3">
        <v>42948</v>
      </c>
      <c r="G3941" s="2">
        <v>201802</v>
      </c>
      <c r="H3941" s="2" t="s">
        <v>74</v>
      </c>
      <c r="I3941" s="2" t="s">
        <v>75</v>
      </c>
      <c r="J3941" s="2" t="s">
        <v>76</v>
      </c>
      <c r="K3941" s="2" t="s">
        <v>77</v>
      </c>
      <c r="L3941" s="2" t="s">
        <v>1202</v>
      </c>
      <c r="M3941" s="2" t="s">
        <v>1203</v>
      </c>
      <c r="N3941" s="2" t="s">
        <v>3414</v>
      </c>
      <c r="O3941" s="2" t="s">
        <v>100</v>
      </c>
      <c r="P3941" s="2" t="str">
        <f>"2170582102                    "</f>
        <v xml:space="preserve">2170582102                    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2.83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0</v>
      </c>
      <c r="AV3941" s="2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2">
        <v>0</v>
      </c>
      <c r="BD3941" s="2">
        <v>0</v>
      </c>
      <c r="BE3941" s="2">
        <v>0</v>
      </c>
      <c r="BF3941" s="2">
        <v>0</v>
      </c>
      <c r="BG3941" s="2">
        <v>0</v>
      </c>
      <c r="BH3941" s="2">
        <v>1</v>
      </c>
      <c r="BI3941" s="2">
        <v>1</v>
      </c>
      <c r="BJ3941" s="2">
        <v>0.2</v>
      </c>
      <c r="BK3941" s="2">
        <v>1</v>
      </c>
      <c r="BL3941" s="2">
        <v>32.08</v>
      </c>
      <c r="BM3941" s="2">
        <v>4.49</v>
      </c>
      <c r="BN3941" s="2">
        <v>36.57</v>
      </c>
      <c r="BO3941" s="2">
        <v>36.57</v>
      </c>
      <c r="BP3941" s="2"/>
      <c r="BQ3941" s="2" t="s">
        <v>108</v>
      </c>
      <c r="BR3941" s="2" t="s">
        <v>84</v>
      </c>
      <c r="BS3941" s="3">
        <v>42949</v>
      </c>
      <c r="BT3941" s="4">
        <v>0.41875000000000001</v>
      </c>
      <c r="BU3941" s="2" t="s">
        <v>3747</v>
      </c>
      <c r="BV3941" s="2" t="s">
        <v>95</v>
      </c>
      <c r="BW3941" s="2"/>
      <c r="BX3941" s="2"/>
      <c r="BY3941" s="2">
        <v>1200</v>
      </c>
      <c r="BZ3941" s="2" t="s">
        <v>27</v>
      </c>
      <c r="CA3941" s="2" t="s">
        <v>1305</v>
      </c>
      <c r="CB3941" s="2"/>
      <c r="CC3941" s="2" t="s">
        <v>1203</v>
      </c>
      <c r="CD3941" s="2">
        <v>1501</v>
      </c>
      <c r="CE3941" s="2" t="s">
        <v>104</v>
      </c>
      <c r="CF3941" s="5">
        <v>42950</v>
      </c>
      <c r="CG3941" s="2"/>
      <c r="CH3941" s="2"/>
      <c r="CI3941" s="2">
        <v>1</v>
      </c>
      <c r="CJ3941" s="2">
        <v>1</v>
      </c>
      <c r="CK3941" s="2">
        <v>22</v>
      </c>
      <c r="CL3941" s="2" t="s">
        <v>86</v>
      </c>
      <c r="CM3941" s="2"/>
    </row>
    <row r="3942" spans="1:91">
      <c r="A3942" s="2" t="s">
        <v>71</v>
      </c>
      <c r="B3942" s="2" t="s">
        <v>72</v>
      </c>
      <c r="C3942" s="2" t="s">
        <v>73</v>
      </c>
      <c r="D3942" s="2"/>
      <c r="E3942" s="2" t="str">
        <f>"FES1162565930"</f>
        <v>FES1162565930</v>
      </c>
      <c r="F3942" s="3">
        <v>42948</v>
      </c>
      <c r="G3942" s="2">
        <v>201802</v>
      </c>
      <c r="H3942" s="2" t="s">
        <v>74</v>
      </c>
      <c r="I3942" s="2" t="s">
        <v>75</v>
      </c>
      <c r="J3942" s="2" t="s">
        <v>76</v>
      </c>
      <c r="K3942" s="2" t="s">
        <v>77</v>
      </c>
      <c r="L3942" s="2" t="s">
        <v>74</v>
      </c>
      <c r="M3942" s="2" t="s">
        <v>75</v>
      </c>
      <c r="N3942" s="2" t="s">
        <v>3422</v>
      </c>
      <c r="O3942" s="2" t="s">
        <v>100</v>
      </c>
      <c r="P3942" s="2" t="str">
        <f>"2170575236                    "</f>
        <v xml:space="preserve">2170575236                    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2.83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0</v>
      </c>
      <c r="AV3942" s="2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2">
        <v>0</v>
      </c>
      <c r="BD3942" s="2">
        <v>0</v>
      </c>
      <c r="BE3942" s="2">
        <v>0</v>
      </c>
      <c r="BF3942" s="2">
        <v>0</v>
      </c>
      <c r="BG3942" s="2">
        <v>0</v>
      </c>
      <c r="BH3942" s="2">
        <v>1</v>
      </c>
      <c r="BI3942" s="2">
        <v>1</v>
      </c>
      <c r="BJ3942" s="2">
        <v>0.2</v>
      </c>
      <c r="BK3942" s="2">
        <v>1</v>
      </c>
      <c r="BL3942" s="2">
        <v>32.08</v>
      </c>
      <c r="BM3942" s="2">
        <v>4.49</v>
      </c>
      <c r="BN3942" s="2">
        <v>36.57</v>
      </c>
      <c r="BO3942" s="2">
        <v>36.57</v>
      </c>
      <c r="BP3942" s="2"/>
      <c r="BQ3942" s="2" t="s">
        <v>108</v>
      </c>
      <c r="BR3942" s="2" t="s">
        <v>84</v>
      </c>
      <c r="BS3942" s="3">
        <v>42949</v>
      </c>
      <c r="BT3942" s="4">
        <v>0.33680555555555558</v>
      </c>
      <c r="BU3942" s="2" t="s">
        <v>3748</v>
      </c>
      <c r="BV3942" s="2" t="s">
        <v>95</v>
      </c>
      <c r="BW3942" s="2"/>
      <c r="BX3942" s="2"/>
      <c r="BY3942" s="2">
        <v>1200</v>
      </c>
      <c r="BZ3942" s="2" t="s">
        <v>27</v>
      </c>
      <c r="CA3942" s="2" t="s">
        <v>194</v>
      </c>
      <c r="CB3942" s="2"/>
      <c r="CC3942" s="2" t="s">
        <v>75</v>
      </c>
      <c r="CD3942" s="2">
        <v>1665</v>
      </c>
      <c r="CE3942" s="2" t="s">
        <v>104</v>
      </c>
      <c r="CF3942" s="5">
        <v>42950</v>
      </c>
      <c r="CG3942" s="2"/>
      <c r="CH3942" s="2"/>
      <c r="CI3942" s="2">
        <v>1</v>
      </c>
      <c r="CJ3942" s="2">
        <v>1</v>
      </c>
      <c r="CK3942" s="2">
        <v>22</v>
      </c>
      <c r="CL3942" s="2" t="s">
        <v>86</v>
      </c>
      <c r="CM3942" s="2"/>
    </row>
    <row r="3943" spans="1:91">
      <c r="A3943" s="2" t="s">
        <v>71</v>
      </c>
      <c r="B3943" s="2" t="s">
        <v>72</v>
      </c>
      <c r="C3943" s="2" t="s">
        <v>73</v>
      </c>
      <c r="D3943" s="2"/>
      <c r="E3943" s="2" t="str">
        <f>"FES1162565869"</f>
        <v>FES1162565869</v>
      </c>
      <c r="F3943" s="3">
        <v>42948</v>
      </c>
      <c r="G3943" s="2">
        <v>201802</v>
      </c>
      <c r="H3943" s="2" t="s">
        <v>74</v>
      </c>
      <c r="I3943" s="2" t="s">
        <v>75</v>
      </c>
      <c r="J3943" s="2" t="s">
        <v>76</v>
      </c>
      <c r="K3943" s="2" t="s">
        <v>77</v>
      </c>
      <c r="L3943" s="2" t="s">
        <v>446</v>
      </c>
      <c r="M3943" s="2" t="s">
        <v>447</v>
      </c>
      <c r="N3943" s="2" t="s">
        <v>861</v>
      </c>
      <c r="O3943" s="2" t="s">
        <v>100</v>
      </c>
      <c r="P3943" s="2" t="str">
        <f>"2170582434                    "</f>
        <v xml:space="preserve">2170582434                    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5.0999999999999996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0</v>
      </c>
      <c r="AV3943" s="2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2">
        <v>0</v>
      </c>
      <c r="BD3943" s="2">
        <v>0</v>
      </c>
      <c r="BE3943" s="2">
        <v>0</v>
      </c>
      <c r="BF3943" s="2">
        <v>0</v>
      </c>
      <c r="BG3943" s="2">
        <v>0</v>
      </c>
      <c r="BH3943" s="2">
        <v>1</v>
      </c>
      <c r="BI3943" s="2">
        <v>1</v>
      </c>
      <c r="BJ3943" s="2">
        <v>0.2</v>
      </c>
      <c r="BK3943" s="2">
        <v>1</v>
      </c>
      <c r="BL3943" s="2">
        <v>57.75</v>
      </c>
      <c r="BM3943" s="2">
        <v>8.09</v>
      </c>
      <c r="BN3943" s="2">
        <v>65.84</v>
      </c>
      <c r="BO3943" s="2">
        <v>65.84</v>
      </c>
      <c r="BP3943" s="2"/>
      <c r="BQ3943" s="2" t="s">
        <v>83</v>
      </c>
      <c r="BR3943" s="2" t="s">
        <v>84</v>
      </c>
      <c r="BS3943" s="3">
        <v>42949</v>
      </c>
      <c r="BT3943" s="4">
        <v>0.43402777777777773</v>
      </c>
      <c r="BU3943" s="2" t="s">
        <v>862</v>
      </c>
      <c r="BV3943" s="2" t="s">
        <v>95</v>
      </c>
      <c r="BW3943" s="2"/>
      <c r="BX3943" s="2"/>
      <c r="BY3943" s="2">
        <v>1200</v>
      </c>
      <c r="BZ3943" s="2" t="s">
        <v>27</v>
      </c>
      <c r="CA3943" s="2"/>
      <c r="CB3943" s="2"/>
      <c r="CC3943" s="2" t="s">
        <v>447</v>
      </c>
      <c r="CD3943" s="2">
        <v>1759</v>
      </c>
      <c r="CE3943" s="2" t="s">
        <v>104</v>
      </c>
      <c r="CF3943" s="5">
        <v>42950</v>
      </c>
      <c r="CG3943" s="2"/>
      <c r="CH3943" s="2"/>
      <c r="CI3943" s="2">
        <v>1</v>
      </c>
      <c r="CJ3943" s="2">
        <v>1</v>
      </c>
      <c r="CK3943" s="2">
        <v>24</v>
      </c>
      <c r="CL3943" s="2" t="s">
        <v>86</v>
      </c>
      <c r="CM3943" s="2"/>
    </row>
    <row r="3944" spans="1:91">
      <c r="A3944" s="2" t="s">
        <v>71</v>
      </c>
      <c r="B3944" s="2" t="s">
        <v>72</v>
      </c>
      <c r="C3944" s="2" t="s">
        <v>73</v>
      </c>
      <c r="D3944" s="2"/>
      <c r="E3944" s="2" t="str">
        <f>"FES1162565870"</f>
        <v>FES1162565870</v>
      </c>
      <c r="F3944" s="3">
        <v>42948</v>
      </c>
      <c r="G3944" s="2">
        <v>201802</v>
      </c>
      <c r="H3944" s="2" t="s">
        <v>74</v>
      </c>
      <c r="I3944" s="2" t="s">
        <v>75</v>
      </c>
      <c r="J3944" s="2" t="s">
        <v>76</v>
      </c>
      <c r="K3944" s="2" t="s">
        <v>77</v>
      </c>
      <c r="L3944" s="2" t="s">
        <v>74</v>
      </c>
      <c r="M3944" s="2" t="s">
        <v>75</v>
      </c>
      <c r="N3944" s="2" t="s">
        <v>407</v>
      </c>
      <c r="O3944" s="2" t="s">
        <v>100</v>
      </c>
      <c r="P3944" s="2" t="str">
        <f>"2170582435                    "</f>
        <v xml:space="preserve">2170582435                    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2.83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0</v>
      </c>
      <c r="AV3944" s="2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0</v>
      </c>
      <c r="BC3944" s="2">
        <v>0</v>
      </c>
      <c r="BD3944" s="2">
        <v>0</v>
      </c>
      <c r="BE3944" s="2">
        <v>0</v>
      </c>
      <c r="BF3944" s="2">
        <v>0</v>
      </c>
      <c r="BG3944" s="2">
        <v>0</v>
      </c>
      <c r="BH3944" s="2">
        <v>1</v>
      </c>
      <c r="BI3944" s="2">
        <v>1</v>
      </c>
      <c r="BJ3944" s="2">
        <v>0.2</v>
      </c>
      <c r="BK3944" s="2">
        <v>1</v>
      </c>
      <c r="BL3944" s="2">
        <v>32.08</v>
      </c>
      <c r="BM3944" s="2">
        <v>4.49</v>
      </c>
      <c r="BN3944" s="2">
        <v>36.57</v>
      </c>
      <c r="BO3944" s="2">
        <v>36.57</v>
      </c>
      <c r="BP3944" s="2"/>
      <c r="BQ3944" s="2" t="s">
        <v>108</v>
      </c>
      <c r="BR3944" s="2" t="s">
        <v>84</v>
      </c>
      <c r="BS3944" s="3">
        <v>42949</v>
      </c>
      <c r="BT3944" s="4">
        <v>0.33402777777777781</v>
      </c>
      <c r="BU3944" s="2" t="s">
        <v>935</v>
      </c>
      <c r="BV3944" s="2" t="s">
        <v>95</v>
      </c>
      <c r="BW3944" s="2"/>
      <c r="BX3944" s="2"/>
      <c r="BY3944" s="2">
        <v>1200</v>
      </c>
      <c r="BZ3944" s="2" t="s">
        <v>27</v>
      </c>
      <c r="CA3944" s="2" t="s">
        <v>267</v>
      </c>
      <c r="CB3944" s="2"/>
      <c r="CC3944" s="2" t="s">
        <v>75</v>
      </c>
      <c r="CD3944" s="2">
        <v>1645</v>
      </c>
      <c r="CE3944" s="2" t="s">
        <v>104</v>
      </c>
      <c r="CF3944" s="5">
        <v>42950</v>
      </c>
      <c r="CG3944" s="2"/>
      <c r="CH3944" s="2"/>
      <c r="CI3944" s="2">
        <v>1</v>
      </c>
      <c r="CJ3944" s="2">
        <v>1</v>
      </c>
      <c r="CK3944" s="2">
        <v>22</v>
      </c>
      <c r="CL3944" s="2" t="s">
        <v>86</v>
      </c>
      <c r="CM3944" s="2"/>
    </row>
    <row r="3945" spans="1:91">
      <c r="A3945" s="2" t="s">
        <v>71</v>
      </c>
      <c r="B3945" s="2" t="s">
        <v>72</v>
      </c>
      <c r="C3945" s="2" t="s">
        <v>73</v>
      </c>
      <c r="D3945" s="2"/>
      <c r="E3945" s="2" t="str">
        <f>"FES1162565933"</f>
        <v>FES1162565933</v>
      </c>
      <c r="F3945" s="3">
        <v>42948</v>
      </c>
      <c r="G3945" s="2">
        <v>201802</v>
      </c>
      <c r="H3945" s="2" t="s">
        <v>74</v>
      </c>
      <c r="I3945" s="2" t="s">
        <v>75</v>
      </c>
      <c r="J3945" s="2" t="s">
        <v>76</v>
      </c>
      <c r="K3945" s="2" t="s">
        <v>77</v>
      </c>
      <c r="L3945" s="2" t="s">
        <v>170</v>
      </c>
      <c r="M3945" s="2" t="s">
        <v>171</v>
      </c>
      <c r="N3945" s="2" t="s">
        <v>2252</v>
      </c>
      <c r="O3945" s="2" t="s">
        <v>100</v>
      </c>
      <c r="P3945" s="2" t="str">
        <f>"217058514                     "</f>
        <v xml:space="preserve">217058514                     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2.83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2">
        <v>0</v>
      </c>
      <c r="BD3945" s="2">
        <v>0</v>
      </c>
      <c r="BE3945" s="2">
        <v>0</v>
      </c>
      <c r="BF3945" s="2">
        <v>0</v>
      </c>
      <c r="BG3945" s="2">
        <v>0</v>
      </c>
      <c r="BH3945" s="2">
        <v>1</v>
      </c>
      <c r="BI3945" s="2">
        <v>1</v>
      </c>
      <c r="BJ3945" s="2">
        <v>0.2</v>
      </c>
      <c r="BK3945" s="2">
        <v>1</v>
      </c>
      <c r="BL3945" s="2">
        <v>32.08</v>
      </c>
      <c r="BM3945" s="2">
        <v>4.49</v>
      </c>
      <c r="BN3945" s="2">
        <v>36.57</v>
      </c>
      <c r="BO3945" s="2">
        <v>36.57</v>
      </c>
      <c r="BP3945" s="2"/>
      <c r="BQ3945" s="2" t="s">
        <v>3615</v>
      </c>
      <c r="BR3945" s="2" t="s">
        <v>84</v>
      </c>
      <c r="BS3945" s="3">
        <v>42949</v>
      </c>
      <c r="BT3945" s="4">
        <v>0.67222222222222217</v>
      </c>
      <c r="BU3945" s="2" t="s">
        <v>3749</v>
      </c>
      <c r="BV3945" s="2" t="s">
        <v>86</v>
      </c>
      <c r="BW3945" s="2"/>
      <c r="BX3945" s="2"/>
      <c r="BY3945" s="2">
        <v>1200</v>
      </c>
      <c r="BZ3945" s="2" t="s">
        <v>27</v>
      </c>
      <c r="CA3945" s="2" t="s">
        <v>2028</v>
      </c>
      <c r="CB3945" s="2"/>
      <c r="CC3945" s="2" t="s">
        <v>171</v>
      </c>
      <c r="CD3945" s="2">
        <v>1428</v>
      </c>
      <c r="CE3945" s="2" t="s">
        <v>104</v>
      </c>
      <c r="CF3945" s="5">
        <v>42950</v>
      </c>
      <c r="CG3945" s="2"/>
      <c r="CH3945" s="2"/>
      <c r="CI3945" s="2">
        <v>1</v>
      </c>
      <c r="CJ3945" s="2">
        <v>1</v>
      </c>
      <c r="CK3945" s="2">
        <v>22</v>
      </c>
      <c r="CL3945" s="2" t="s">
        <v>86</v>
      </c>
      <c r="CM3945" s="2"/>
    </row>
    <row r="3946" spans="1:91">
      <c r="A3946" s="2" t="s">
        <v>71</v>
      </c>
      <c r="B3946" s="2" t="s">
        <v>72</v>
      </c>
      <c r="C3946" s="2" t="s">
        <v>73</v>
      </c>
      <c r="D3946" s="2"/>
      <c r="E3946" s="2" t="str">
        <f>"FES1162566043"</f>
        <v>FES1162566043</v>
      </c>
      <c r="F3946" s="3">
        <v>42948</v>
      </c>
      <c r="G3946" s="2">
        <v>201802</v>
      </c>
      <c r="H3946" s="2" t="s">
        <v>74</v>
      </c>
      <c r="I3946" s="2" t="s">
        <v>75</v>
      </c>
      <c r="J3946" s="2" t="s">
        <v>76</v>
      </c>
      <c r="K3946" s="2" t="s">
        <v>77</v>
      </c>
      <c r="L3946" s="2" t="s">
        <v>164</v>
      </c>
      <c r="M3946" s="2" t="s">
        <v>165</v>
      </c>
      <c r="N3946" s="2" t="s">
        <v>3750</v>
      </c>
      <c r="O3946" s="2" t="s">
        <v>100</v>
      </c>
      <c r="P3946" s="2" t="str">
        <f>"2170582602                    "</f>
        <v xml:space="preserve">2170582602                    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3.63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0</v>
      </c>
      <c r="AV3946" s="2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2">
        <v>0</v>
      </c>
      <c r="BD3946" s="2">
        <v>0</v>
      </c>
      <c r="BE3946" s="2">
        <v>0</v>
      </c>
      <c r="BF3946" s="2">
        <v>0</v>
      </c>
      <c r="BG3946" s="2">
        <v>0</v>
      </c>
      <c r="BH3946" s="2">
        <v>1</v>
      </c>
      <c r="BI3946" s="2">
        <v>1</v>
      </c>
      <c r="BJ3946" s="2">
        <v>0.2</v>
      </c>
      <c r="BK3946" s="2">
        <v>1</v>
      </c>
      <c r="BL3946" s="2">
        <v>41.07</v>
      </c>
      <c r="BM3946" s="2">
        <v>5.75</v>
      </c>
      <c r="BN3946" s="2">
        <v>46.82</v>
      </c>
      <c r="BO3946" s="2">
        <v>46.82</v>
      </c>
      <c r="BP3946" s="2"/>
      <c r="BQ3946" s="2" t="s">
        <v>83</v>
      </c>
      <c r="BR3946" s="2" t="s">
        <v>84</v>
      </c>
      <c r="BS3946" s="3">
        <v>42949</v>
      </c>
      <c r="BT3946" s="4">
        <v>0.40625</v>
      </c>
      <c r="BU3946" s="2" t="s">
        <v>3751</v>
      </c>
      <c r="BV3946" s="2" t="s">
        <v>95</v>
      </c>
      <c r="BW3946" s="2"/>
      <c r="BX3946" s="2"/>
      <c r="BY3946" s="2">
        <v>1200</v>
      </c>
      <c r="BZ3946" s="2" t="s">
        <v>27</v>
      </c>
      <c r="CA3946" s="2" t="s">
        <v>1193</v>
      </c>
      <c r="CB3946" s="2"/>
      <c r="CC3946" s="2" t="s">
        <v>165</v>
      </c>
      <c r="CD3946" s="2">
        <v>6850</v>
      </c>
      <c r="CE3946" s="2" t="s">
        <v>3630</v>
      </c>
      <c r="CF3946" s="5">
        <v>42950</v>
      </c>
      <c r="CG3946" s="2"/>
      <c r="CH3946" s="2"/>
      <c r="CI3946" s="2">
        <v>3</v>
      </c>
      <c r="CJ3946" s="2">
        <v>1</v>
      </c>
      <c r="CK3946" s="2">
        <v>21</v>
      </c>
      <c r="CL3946" s="2" t="s">
        <v>86</v>
      </c>
      <c r="CM3946" s="2"/>
    </row>
    <row r="3947" spans="1:91">
      <c r="A3947" s="2" t="s">
        <v>71</v>
      </c>
      <c r="B3947" s="2" t="s">
        <v>72</v>
      </c>
      <c r="C3947" s="2" t="s">
        <v>73</v>
      </c>
      <c r="D3947" s="2"/>
      <c r="E3947" s="2" t="str">
        <f>"FES1162565932"</f>
        <v>FES1162565932</v>
      </c>
      <c r="F3947" s="3">
        <v>42948</v>
      </c>
      <c r="G3947" s="2">
        <v>201802</v>
      </c>
      <c r="H3947" s="2" t="s">
        <v>74</v>
      </c>
      <c r="I3947" s="2" t="s">
        <v>75</v>
      </c>
      <c r="J3947" s="2" t="s">
        <v>76</v>
      </c>
      <c r="K3947" s="2" t="s">
        <v>77</v>
      </c>
      <c r="L3947" s="2" t="s">
        <v>268</v>
      </c>
      <c r="M3947" s="2" t="s">
        <v>269</v>
      </c>
      <c r="N3947" s="2" t="s">
        <v>368</v>
      </c>
      <c r="O3947" s="2" t="s">
        <v>100</v>
      </c>
      <c r="P3947" s="2" t="str">
        <f>"2170578883                    "</f>
        <v xml:space="preserve">2170578883                    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3.63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0</v>
      </c>
      <c r="AV3947" s="2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2">
        <v>0</v>
      </c>
      <c r="BD3947" s="2">
        <v>0</v>
      </c>
      <c r="BE3947" s="2">
        <v>0</v>
      </c>
      <c r="BF3947" s="2">
        <v>0</v>
      </c>
      <c r="BG3947" s="2">
        <v>0</v>
      </c>
      <c r="BH3947" s="2">
        <v>1</v>
      </c>
      <c r="BI3947" s="2">
        <v>1</v>
      </c>
      <c r="BJ3947" s="2">
        <v>0.2</v>
      </c>
      <c r="BK3947" s="2">
        <v>1</v>
      </c>
      <c r="BL3947" s="2">
        <v>41.07</v>
      </c>
      <c r="BM3947" s="2">
        <v>5.75</v>
      </c>
      <c r="BN3947" s="2">
        <v>46.82</v>
      </c>
      <c r="BO3947" s="2">
        <v>46.82</v>
      </c>
      <c r="BP3947" s="2"/>
      <c r="BQ3947" s="2" t="s">
        <v>108</v>
      </c>
      <c r="BR3947" s="2" t="s">
        <v>84</v>
      </c>
      <c r="BS3947" s="3">
        <v>42949</v>
      </c>
      <c r="BT3947" s="4">
        <v>0.34652777777777777</v>
      </c>
      <c r="BU3947" s="2" t="s">
        <v>369</v>
      </c>
      <c r="BV3947" s="2" t="s">
        <v>95</v>
      </c>
      <c r="BW3947" s="2"/>
      <c r="BX3947" s="2"/>
      <c r="BY3947" s="2">
        <v>1200</v>
      </c>
      <c r="BZ3947" s="2" t="s">
        <v>27</v>
      </c>
      <c r="CA3947" s="2"/>
      <c r="CB3947" s="2"/>
      <c r="CC3947" s="2" t="s">
        <v>269</v>
      </c>
      <c r="CD3947" s="2">
        <v>157</v>
      </c>
      <c r="CE3947" s="2" t="s">
        <v>3630</v>
      </c>
      <c r="CF3947" s="5">
        <v>42950</v>
      </c>
      <c r="CG3947" s="2"/>
      <c r="CH3947" s="2"/>
      <c r="CI3947" s="2">
        <v>1</v>
      </c>
      <c r="CJ3947" s="2">
        <v>1</v>
      </c>
      <c r="CK3947" s="2">
        <v>21</v>
      </c>
      <c r="CL3947" s="2" t="s">
        <v>86</v>
      </c>
      <c r="CM3947" s="2"/>
    </row>
    <row r="3948" spans="1:91">
      <c r="A3948" s="2" t="s">
        <v>71</v>
      </c>
      <c r="B3948" s="2" t="s">
        <v>72</v>
      </c>
      <c r="C3948" s="2" t="s">
        <v>73</v>
      </c>
      <c r="D3948" s="2"/>
      <c r="E3948" s="2" t="str">
        <f>"FES1162565999"</f>
        <v>FES1162565999</v>
      </c>
      <c r="F3948" s="3">
        <v>42948</v>
      </c>
      <c r="G3948" s="2">
        <v>201802</v>
      </c>
      <c r="H3948" s="2" t="s">
        <v>74</v>
      </c>
      <c r="I3948" s="2" t="s">
        <v>75</v>
      </c>
      <c r="J3948" s="2" t="s">
        <v>76</v>
      </c>
      <c r="K3948" s="2" t="s">
        <v>77</v>
      </c>
      <c r="L3948" s="2" t="s">
        <v>268</v>
      </c>
      <c r="M3948" s="2" t="s">
        <v>269</v>
      </c>
      <c r="N3948" s="2" t="s">
        <v>442</v>
      </c>
      <c r="O3948" s="2" t="s">
        <v>100</v>
      </c>
      <c r="P3948" s="2" t="str">
        <f>"2170582548                    "</f>
        <v xml:space="preserve">2170582548                    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3.63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2">
        <v>0</v>
      </c>
      <c r="BD3948" s="2">
        <v>0</v>
      </c>
      <c r="BE3948" s="2">
        <v>0</v>
      </c>
      <c r="BF3948" s="2">
        <v>0</v>
      </c>
      <c r="BG3948" s="2">
        <v>0</v>
      </c>
      <c r="BH3948" s="2">
        <v>1</v>
      </c>
      <c r="BI3948" s="2">
        <v>1</v>
      </c>
      <c r="BJ3948" s="2">
        <v>0.2</v>
      </c>
      <c r="BK3948" s="2">
        <v>1</v>
      </c>
      <c r="BL3948" s="2">
        <v>41.07</v>
      </c>
      <c r="BM3948" s="2">
        <v>5.75</v>
      </c>
      <c r="BN3948" s="2">
        <v>46.82</v>
      </c>
      <c r="BO3948" s="2">
        <v>46.82</v>
      </c>
      <c r="BP3948" s="2"/>
      <c r="BQ3948" s="2" t="s">
        <v>83</v>
      </c>
      <c r="BR3948" s="2" t="s">
        <v>84</v>
      </c>
      <c r="BS3948" s="3">
        <v>42949</v>
      </c>
      <c r="BT3948" s="4">
        <v>0.38541666666666669</v>
      </c>
      <c r="BU3948" s="2" t="s">
        <v>443</v>
      </c>
      <c r="BV3948" s="2" t="s">
        <v>95</v>
      </c>
      <c r="BW3948" s="2"/>
      <c r="BX3948" s="2"/>
      <c r="BY3948" s="2">
        <v>1200</v>
      </c>
      <c r="BZ3948" s="2" t="s">
        <v>27</v>
      </c>
      <c r="CA3948" s="2" t="s">
        <v>445</v>
      </c>
      <c r="CB3948" s="2"/>
      <c r="CC3948" s="2" t="s">
        <v>269</v>
      </c>
      <c r="CD3948" s="2">
        <v>1</v>
      </c>
      <c r="CE3948" s="2" t="s">
        <v>3630</v>
      </c>
      <c r="CF3948" s="5">
        <v>42950</v>
      </c>
      <c r="CG3948" s="2"/>
      <c r="CH3948" s="2"/>
      <c r="CI3948" s="2">
        <v>1</v>
      </c>
      <c r="CJ3948" s="2">
        <v>1</v>
      </c>
      <c r="CK3948" s="2">
        <v>21</v>
      </c>
      <c r="CL3948" s="2" t="s">
        <v>86</v>
      </c>
      <c r="CM3948" s="2"/>
    </row>
    <row r="3949" spans="1:91">
      <c r="A3949" s="2" t="s">
        <v>71</v>
      </c>
      <c r="B3949" s="2" t="s">
        <v>72</v>
      </c>
      <c r="C3949" s="2" t="s">
        <v>73</v>
      </c>
      <c r="D3949" s="2"/>
      <c r="E3949" s="2" t="str">
        <f>"FES1162565983"</f>
        <v>FES1162565983</v>
      </c>
      <c r="F3949" s="3">
        <v>42948</v>
      </c>
      <c r="G3949" s="2">
        <v>201802</v>
      </c>
      <c r="H3949" s="2" t="s">
        <v>74</v>
      </c>
      <c r="I3949" s="2" t="s">
        <v>75</v>
      </c>
      <c r="J3949" s="2" t="s">
        <v>76</v>
      </c>
      <c r="K3949" s="2" t="s">
        <v>77</v>
      </c>
      <c r="L3949" s="2" t="s">
        <v>321</v>
      </c>
      <c r="M3949" s="2" t="s">
        <v>322</v>
      </c>
      <c r="N3949" s="2" t="s">
        <v>323</v>
      </c>
      <c r="O3949" s="2" t="s">
        <v>100</v>
      </c>
      <c r="P3949" s="2" t="str">
        <f>"2170582535                    "</f>
        <v xml:space="preserve">2170582535                    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3.63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0</v>
      </c>
      <c r="BA3949" s="2">
        <v>0</v>
      </c>
      <c r="BB3949" s="2">
        <v>0</v>
      </c>
      <c r="BC3949" s="2">
        <v>0</v>
      </c>
      <c r="BD3949" s="2">
        <v>0</v>
      </c>
      <c r="BE3949" s="2">
        <v>0</v>
      </c>
      <c r="BF3949" s="2">
        <v>0</v>
      </c>
      <c r="BG3949" s="2">
        <v>0</v>
      </c>
      <c r="BH3949" s="2">
        <v>2</v>
      </c>
      <c r="BI3949" s="2">
        <v>2</v>
      </c>
      <c r="BJ3949" s="2">
        <v>0.5</v>
      </c>
      <c r="BK3949" s="2">
        <v>2</v>
      </c>
      <c r="BL3949" s="2">
        <v>41.07</v>
      </c>
      <c r="BM3949" s="2">
        <v>5.75</v>
      </c>
      <c r="BN3949" s="2">
        <v>46.82</v>
      </c>
      <c r="BO3949" s="2">
        <v>46.82</v>
      </c>
      <c r="BP3949" s="2"/>
      <c r="BQ3949" s="2" t="s">
        <v>3643</v>
      </c>
      <c r="BR3949" s="2" t="s">
        <v>84</v>
      </c>
      <c r="BS3949" s="3">
        <v>42949</v>
      </c>
      <c r="BT3949" s="4">
        <v>0.41111111111111115</v>
      </c>
      <c r="BU3949" s="2" t="s">
        <v>324</v>
      </c>
      <c r="BV3949" s="2" t="s">
        <v>95</v>
      </c>
      <c r="BW3949" s="2"/>
      <c r="BX3949" s="2"/>
      <c r="BY3949" s="2">
        <v>2400</v>
      </c>
      <c r="BZ3949" s="2" t="s">
        <v>27</v>
      </c>
      <c r="CA3949" s="2" t="s">
        <v>103</v>
      </c>
      <c r="CB3949" s="2"/>
      <c r="CC3949" s="2" t="s">
        <v>322</v>
      </c>
      <c r="CD3949" s="2">
        <v>6220</v>
      </c>
      <c r="CE3949" s="2" t="s">
        <v>2494</v>
      </c>
      <c r="CF3949" s="5">
        <v>42950</v>
      </c>
      <c r="CG3949" s="2"/>
      <c r="CH3949" s="2"/>
      <c r="CI3949" s="2">
        <v>1</v>
      </c>
      <c r="CJ3949" s="2">
        <v>1</v>
      </c>
      <c r="CK3949" s="2">
        <v>21</v>
      </c>
      <c r="CL3949" s="2" t="s">
        <v>86</v>
      </c>
      <c r="CM3949" s="2"/>
    </row>
    <row r="3950" spans="1:91">
      <c r="A3950" s="2" t="s">
        <v>71</v>
      </c>
      <c r="B3950" s="2" t="s">
        <v>72</v>
      </c>
      <c r="C3950" s="2" t="s">
        <v>73</v>
      </c>
      <c r="D3950" s="2"/>
      <c r="E3950" s="2" t="str">
        <f>"FES1162565899"</f>
        <v>FES1162565899</v>
      </c>
      <c r="F3950" s="3">
        <v>42948</v>
      </c>
      <c r="G3950" s="2">
        <v>201802</v>
      </c>
      <c r="H3950" s="2" t="s">
        <v>74</v>
      </c>
      <c r="I3950" s="2" t="s">
        <v>75</v>
      </c>
      <c r="J3950" s="2" t="s">
        <v>76</v>
      </c>
      <c r="K3950" s="2" t="s">
        <v>77</v>
      </c>
      <c r="L3950" s="2" t="s">
        <v>74</v>
      </c>
      <c r="M3950" s="2" t="s">
        <v>75</v>
      </c>
      <c r="N3950" s="2" t="s">
        <v>407</v>
      </c>
      <c r="O3950" s="2" t="s">
        <v>100</v>
      </c>
      <c r="P3950" s="2" t="str">
        <f>"2170582466                    "</f>
        <v xml:space="preserve">2170582466                    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2.83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0</v>
      </c>
      <c r="AU3950" s="2">
        <v>0</v>
      </c>
      <c r="AV3950" s="2">
        <v>0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2">
        <v>0</v>
      </c>
      <c r="BD3950" s="2">
        <v>0</v>
      </c>
      <c r="BE3950" s="2">
        <v>0</v>
      </c>
      <c r="BF3950" s="2">
        <v>0</v>
      </c>
      <c r="BG3950" s="2">
        <v>0</v>
      </c>
      <c r="BH3950" s="2">
        <v>1</v>
      </c>
      <c r="BI3950" s="2">
        <v>8</v>
      </c>
      <c r="BJ3950" s="2">
        <v>3.3</v>
      </c>
      <c r="BK3950" s="2">
        <v>8</v>
      </c>
      <c r="BL3950" s="2">
        <v>32.08</v>
      </c>
      <c r="BM3950" s="2">
        <v>4.49</v>
      </c>
      <c r="BN3950" s="2">
        <v>36.57</v>
      </c>
      <c r="BO3950" s="2">
        <v>36.57</v>
      </c>
      <c r="BP3950" s="2"/>
      <c r="BQ3950" s="2" t="s">
        <v>108</v>
      </c>
      <c r="BR3950" s="2" t="s">
        <v>84</v>
      </c>
      <c r="BS3950" s="3">
        <v>42949</v>
      </c>
      <c r="BT3950" s="4">
        <v>0.33333333333333331</v>
      </c>
      <c r="BU3950" s="2" t="s">
        <v>935</v>
      </c>
      <c r="BV3950" s="2" t="s">
        <v>95</v>
      </c>
      <c r="BW3950" s="2"/>
      <c r="BX3950" s="2"/>
      <c r="BY3950" s="2">
        <v>16742.88</v>
      </c>
      <c r="BZ3950" s="2" t="s">
        <v>27</v>
      </c>
      <c r="CA3950" s="2" t="s">
        <v>267</v>
      </c>
      <c r="CB3950" s="2"/>
      <c r="CC3950" s="2" t="s">
        <v>75</v>
      </c>
      <c r="CD3950" s="2">
        <v>1645</v>
      </c>
      <c r="CE3950" s="2" t="s">
        <v>89</v>
      </c>
      <c r="CF3950" s="5">
        <v>42950</v>
      </c>
      <c r="CG3950" s="2"/>
      <c r="CH3950" s="2"/>
      <c r="CI3950" s="2">
        <v>1</v>
      </c>
      <c r="CJ3950" s="2">
        <v>1</v>
      </c>
      <c r="CK3950" s="2">
        <v>22</v>
      </c>
      <c r="CL3950" s="2" t="s">
        <v>86</v>
      </c>
      <c r="CM3950" s="2"/>
    </row>
    <row r="3951" spans="1:91">
      <c r="A3951" s="2" t="s">
        <v>71</v>
      </c>
      <c r="B3951" s="2" t="s">
        <v>72</v>
      </c>
      <c r="C3951" s="2" t="s">
        <v>73</v>
      </c>
      <c r="D3951" s="2"/>
      <c r="E3951" s="2" t="str">
        <f>"FES1162566028"</f>
        <v>FES1162566028</v>
      </c>
      <c r="F3951" s="3">
        <v>42948</v>
      </c>
      <c r="G3951" s="2">
        <v>201802</v>
      </c>
      <c r="H3951" s="2" t="s">
        <v>74</v>
      </c>
      <c r="I3951" s="2" t="s">
        <v>75</v>
      </c>
      <c r="J3951" s="2" t="s">
        <v>76</v>
      </c>
      <c r="K3951" s="2" t="s">
        <v>77</v>
      </c>
      <c r="L3951" s="2" t="s">
        <v>105</v>
      </c>
      <c r="M3951" s="2" t="s">
        <v>106</v>
      </c>
      <c r="N3951" s="2" t="s">
        <v>465</v>
      </c>
      <c r="O3951" s="2" t="s">
        <v>100</v>
      </c>
      <c r="P3951" s="2" t="str">
        <f>"2170582586                    "</f>
        <v xml:space="preserve">2170582586                    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3.63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0</v>
      </c>
      <c r="AV3951" s="2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2">
        <v>0</v>
      </c>
      <c r="BD3951" s="2">
        <v>0</v>
      </c>
      <c r="BE3951" s="2">
        <v>0</v>
      </c>
      <c r="BF3951" s="2">
        <v>0</v>
      </c>
      <c r="BG3951" s="2">
        <v>0</v>
      </c>
      <c r="BH3951" s="2">
        <v>1</v>
      </c>
      <c r="BI3951" s="2">
        <v>1</v>
      </c>
      <c r="BJ3951" s="2">
        <v>0.2</v>
      </c>
      <c r="BK3951" s="2">
        <v>1</v>
      </c>
      <c r="BL3951" s="2">
        <v>41.07</v>
      </c>
      <c r="BM3951" s="2">
        <v>5.75</v>
      </c>
      <c r="BN3951" s="2">
        <v>46.82</v>
      </c>
      <c r="BO3951" s="2">
        <v>46.82</v>
      </c>
      <c r="BP3951" s="2"/>
      <c r="BQ3951" s="2" t="s">
        <v>288</v>
      </c>
      <c r="BR3951" s="2" t="s">
        <v>84</v>
      </c>
      <c r="BS3951" s="3">
        <v>42949</v>
      </c>
      <c r="BT3951" s="4">
        <v>0.43611111111111112</v>
      </c>
      <c r="BU3951" s="2" t="s">
        <v>466</v>
      </c>
      <c r="BV3951" s="2" t="s">
        <v>95</v>
      </c>
      <c r="BW3951" s="2"/>
      <c r="BX3951" s="2"/>
      <c r="BY3951" s="2">
        <v>1200</v>
      </c>
      <c r="BZ3951" s="2" t="s">
        <v>27</v>
      </c>
      <c r="CA3951" s="2"/>
      <c r="CB3951" s="2"/>
      <c r="CC3951" s="2" t="s">
        <v>106</v>
      </c>
      <c r="CD3951" s="2">
        <v>7945</v>
      </c>
      <c r="CE3951" s="2" t="s">
        <v>3630</v>
      </c>
      <c r="CF3951" s="5">
        <v>42950</v>
      </c>
      <c r="CG3951" s="2"/>
      <c r="CH3951" s="2"/>
      <c r="CI3951" s="2">
        <v>1</v>
      </c>
      <c r="CJ3951" s="2">
        <v>1</v>
      </c>
      <c r="CK3951" s="2">
        <v>21</v>
      </c>
      <c r="CL3951" s="2" t="s">
        <v>86</v>
      </c>
      <c r="CM3951" s="2"/>
    </row>
    <row r="3952" spans="1:91">
      <c r="A3952" s="2" t="s">
        <v>71</v>
      </c>
      <c r="B3952" s="2" t="s">
        <v>72</v>
      </c>
      <c r="C3952" s="2" t="s">
        <v>73</v>
      </c>
      <c r="D3952" s="2"/>
      <c r="E3952" s="2" t="str">
        <f>"FES1162566048"</f>
        <v>FES1162566048</v>
      </c>
      <c r="F3952" s="3">
        <v>42948</v>
      </c>
      <c r="G3952" s="2">
        <v>201802</v>
      </c>
      <c r="H3952" s="2" t="s">
        <v>74</v>
      </c>
      <c r="I3952" s="2" t="s">
        <v>75</v>
      </c>
      <c r="J3952" s="2" t="s">
        <v>76</v>
      </c>
      <c r="K3952" s="2" t="s">
        <v>77</v>
      </c>
      <c r="L3952" s="2" t="s">
        <v>164</v>
      </c>
      <c r="M3952" s="2" t="s">
        <v>165</v>
      </c>
      <c r="N3952" s="2" t="s">
        <v>2301</v>
      </c>
      <c r="O3952" s="2" t="s">
        <v>100</v>
      </c>
      <c r="P3952" s="2" t="str">
        <f>"2170582605                    "</f>
        <v xml:space="preserve">2170582605                    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3.63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0</v>
      </c>
      <c r="AV3952" s="2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0</v>
      </c>
      <c r="BC3952" s="2">
        <v>0</v>
      </c>
      <c r="BD3952" s="2">
        <v>0</v>
      </c>
      <c r="BE3952" s="2">
        <v>0</v>
      </c>
      <c r="BF3952" s="2">
        <v>0</v>
      </c>
      <c r="BG3952" s="2">
        <v>0</v>
      </c>
      <c r="BH3952" s="2">
        <v>1</v>
      </c>
      <c r="BI3952" s="2">
        <v>1</v>
      </c>
      <c r="BJ3952" s="2">
        <v>0.2</v>
      </c>
      <c r="BK3952" s="2">
        <v>1</v>
      </c>
      <c r="BL3952" s="2">
        <v>41.07</v>
      </c>
      <c r="BM3952" s="2">
        <v>5.75</v>
      </c>
      <c r="BN3952" s="2">
        <v>46.82</v>
      </c>
      <c r="BO3952" s="2">
        <v>46.82</v>
      </c>
      <c r="BP3952" s="2"/>
      <c r="BQ3952" s="2" t="s">
        <v>83</v>
      </c>
      <c r="BR3952" s="2" t="s">
        <v>84</v>
      </c>
      <c r="BS3952" s="3">
        <v>42949</v>
      </c>
      <c r="BT3952" s="4">
        <v>0.40625</v>
      </c>
      <c r="BU3952" s="2" t="s">
        <v>3751</v>
      </c>
      <c r="BV3952" s="2" t="s">
        <v>95</v>
      </c>
      <c r="BW3952" s="2"/>
      <c r="BX3952" s="2"/>
      <c r="BY3952" s="2">
        <v>1200</v>
      </c>
      <c r="BZ3952" s="2" t="s">
        <v>27</v>
      </c>
      <c r="CA3952" s="2" t="s">
        <v>1193</v>
      </c>
      <c r="CB3952" s="2"/>
      <c r="CC3952" s="2" t="s">
        <v>165</v>
      </c>
      <c r="CD3952" s="2">
        <v>6850</v>
      </c>
      <c r="CE3952" s="2" t="s">
        <v>3630</v>
      </c>
      <c r="CF3952" s="5">
        <v>42950</v>
      </c>
      <c r="CG3952" s="2"/>
      <c r="CH3952" s="2"/>
      <c r="CI3952" s="2">
        <v>3</v>
      </c>
      <c r="CJ3952" s="2">
        <v>1</v>
      </c>
      <c r="CK3952" s="2">
        <v>21</v>
      </c>
      <c r="CL3952" s="2" t="s">
        <v>86</v>
      </c>
      <c r="CM3952" s="2"/>
    </row>
    <row r="3953" spans="1:91">
      <c r="A3953" s="2" t="s">
        <v>71</v>
      </c>
      <c r="B3953" s="2" t="s">
        <v>72</v>
      </c>
      <c r="C3953" s="2" t="s">
        <v>73</v>
      </c>
      <c r="D3953" s="2"/>
      <c r="E3953" s="2" t="str">
        <f>"FES1162566030"</f>
        <v>FES1162566030</v>
      </c>
      <c r="F3953" s="3">
        <v>42948</v>
      </c>
      <c r="G3953" s="2">
        <v>201802</v>
      </c>
      <c r="H3953" s="2" t="s">
        <v>74</v>
      </c>
      <c r="I3953" s="2" t="s">
        <v>75</v>
      </c>
      <c r="J3953" s="2" t="s">
        <v>76</v>
      </c>
      <c r="K3953" s="2" t="s">
        <v>77</v>
      </c>
      <c r="L3953" s="2" t="s">
        <v>97</v>
      </c>
      <c r="M3953" s="2" t="s">
        <v>98</v>
      </c>
      <c r="N3953" s="2" t="s">
        <v>3752</v>
      </c>
      <c r="O3953" s="2" t="s">
        <v>100</v>
      </c>
      <c r="P3953" s="2" t="str">
        <f>"2170582580                    "</f>
        <v xml:space="preserve">2170582580                    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3.63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2">
        <v>0</v>
      </c>
      <c r="BD3953" s="2">
        <v>0</v>
      </c>
      <c r="BE3953" s="2">
        <v>0</v>
      </c>
      <c r="BF3953" s="2">
        <v>0</v>
      </c>
      <c r="BG3953" s="2">
        <v>0</v>
      </c>
      <c r="BH3953" s="2">
        <v>1</v>
      </c>
      <c r="BI3953" s="2">
        <v>1</v>
      </c>
      <c r="BJ3953" s="2">
        <v>0.2</v>
      </c>
      <c r="BK3953" s="2">
        <v>1</v>
      </c>
      <c r="BL3953" s="2">
        <v>41.07</v>
      </c>
      <c r="BM3953" s="2">
        <v>5.75</v>
      </c>
      <c r="BN3953" s="2">
        <v>46.82</v>
      </c>
      <c r="BO3953" s="2">
        <v>46.82</v>
      </c>
      <c r="BP3953" s="2"/>
      <c r="BQ3953" s="2" t="s">
        <v>2577</v>
      </c>
      <c r="BR3953" s="2" t="s">
        <v>84</v>
      </c>
      <c r="BS3953" s="3">
        <v>42949</v>
      </c>
      <c r="BT3953" s="4">
        <v>0.34375</v>
      </c>
      <c r="BU3953" s="2" t="s">
        <v>3753</v>
      </c>
      <c r="BV3953" s="2" t="s">
        <v>95</v>
      </c>
      <c r="BW3953" s="2"/>
      <c r="BX3953" s="2"/>
      <c r="BY3953" s="2">
        <v>1200</v>
      </c>
      <c r="BZ3953" s="2" t="s">
        <v>27</v>
      </c>
      <c r="CA3953" s="2" t="s">
        <v>213</v>
      </c>
      <c r="CB3953" s="2"/>
      <c r="CC3953" s="2" t="s">
        <v>98</v>
      </c>
      <c r="CD3953" s="2">
        <v>6001</v>
      </c>
      <c r="CE3953" s="2" t="s">
        <v>104</v>
      </c>
      <c r="CF3953" s="5">
        <v>42950</v>
      </c>
      <c r="CG3953" s="2"/>
      <c r="CH3953" s="2"/>
      <c r="CI3953" s="2">
        <v>1</v>
      </c>
      <c r="CJ3953" s="2">
        <v>1</v>
      </c>
      <c r="CK3953" s="2">
        <v>21</v>
      </c>
      <c r="CL3953" s="2" t="s">
        <v>86</v>
      </c>
      <c r="CM3953" s="2"/>
    </row>
    <row r="3954" spans="1:91">
      <c r="A3954" s="2" t="s">
        <v>71</v>
      </c>
      <c r="B3954" s="2" t="s">
        <v>72</v>
      </c>
      <c r="C3954" s="2" t="s">
        <v>73</v>
      </c>
      <c r="D3954" s="2"/>
      <c r="E3954" s="2" t="str">
        <f>"FES1162565997"</f>
        <v>FES1162565997</v>
      </c>
      <c r="F3954" s="3">
        <v>42948</v>
      </c>
      <c r="G3954" s="2">
        <v>201802</v>
      </c>
      <c r="H3954" s="2" t="s">
        <v>74</v>
      </c>
      <c r="I3954" s="2" t="s">
        <v>75</v>
      </c>
      <c r="J3954" s="2" t="s">
        <v>76</v>
      </c>
      <c r="K3954" s="2" t="s">
        <v>77</v>
      </c>
      <c r="L3954" s="2" t="s">
        <v>306</v>
      </c>
      <c r="M3954" s="2" t="s">
        <v>307</v>
      </c>
      <c r="N3954" s="2" t="s">
        <v>1573</v>
      </c>
      <c r="O3954" s="2" t="s">
        <v>100</v>
      </c>
      <c r="P3954" s="2" t="str">
        <f>"2170582538                    "</f>
        <v xml:space="preserve">2170582538                    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3.63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2">
        <v>0</v>
      </c>
      <c r="BD3954" s="2">
        <v>0</v>
      </c>
      <c r="BE3954" s="2">
        <v>0</v>
      </c>
      <c r="BF3954" s="2">
        <v>0</v>
      </c>
      <c r="BG3954" s="2">
        <v>0</v>
      </c>
      <c r="BH3954" s="2">
        <v>1</v>
      </c>
      <c r="BI3954" s="2">
        <v>1</v>
      </c>
      <c r="BJ3954" s="2">
        <v>0.2</v>
      </c>
      <c r="BK3954" s="2">
        <v>1</v>
      </c>
      <c r="BL3954" s="2">
        <v>41.07</v>
      </c>
      <c r="BM3954" s="2">
        <v>5.75</v>
      </c>
      <c r="BN3954" s="2">
        <v>46.82</v>
      </c>
      <c r="BO3954" s="2">
        <v>46.82</v>
      </c>
      <c r="BP3954" s="2"/>
      <c r="BQ3954" s="2" t="s">
        <v>83</v>
      </c>
      <c r="BR3954" s="2" t="s">
        <v>84</v>
      </c>
      <c r="BS3954" s="3">
        <v>42949</v>
      </c>
      <c r="BT3954" s="4">
        <v>0.3972222222222222</v>
      </c>
      <c r="BU3954" s="2" t="s">
        <v>1574</v>
      </c>
      <c r="BV3954" s="2" t="s">
        <v>95</v>
      </c>
      <c r="BW3954" s="2"/>
      <c r="BX3954" s="2"/>
      <c r="BY3954" s="2">
        <v>1200</v>
      </c>
      <c r="BZ3954" s="2" t="s">
        <v>27</v>
      </c>
      <c r="CA3954" s="2" t="s">
        <v>1575</v>
      </c>
      <c r="CB3954" s="2"/>
      <c r="CC3954" s="2" t="s">
        <v>307</v>
      </c>
      <c r="CD3954" s="2">
        <v>1939</v>
      </c>
      <c r="CE3954" s="2" t="s">
        <v>3630</v>
      </c>
      <c r="CF3954" s="5">
        <v>42950</v>
      </c>
      <c r="CG3954" s="2"/>
      <c r="CH3954" s="2"/>
      <c r="CI3954" s="2">
        <v>1</v>
      </c>
      <c r="CJ3954" s="2">
        <v>1</v>
      </c>
      <c r="CK3954" s="2">
        <v>21</v>
      </c>
      <c r="CL3954" s="2" t="s">
        <v>86</v>
      </c>
      <c r="CM3954" s="2"/>
    </row>
    <row r="3955" spans="1:91">
      <c r="A3955" s="2" t="s">
        <v>71</v>
      </c>
      <c r="B3955" s="2" t="s">
        <v>72</v>
      </c>
      <c r="C3955" s="2" t="s">
        <v>73</v>
      </c>
      <c r="D3955" s="2"/>
      <c r="E3955" s="2" t="str">
        <f>"FES1162566035"</f>
        <v>FES1162566035</v>
      </c>
      <c r="F3955" s="3">
        <v>42948</v>
      </c>
      <c r="G3955" s="2">
        <v>201802</v>
      </c>
      <c r="H3955" s="2" t="s">
        <v>74</v>
      </c>
      <c r="I3955" s="2" t="s">
        <v>75</v>
      </c>
      <c r="J3955" s="2" t="s">
        <v>76</v>
      </c>
      <c r="K3955" s="2" t="s">
        <v>77</v>
      </c>
      <c r="L3955" s="2" t="s">
        <v>446</v>
      </c>
      <c r="M3955" s="2" t="s">
        <v>447</v>
      </c>
      <c r="N3955" s="2" t="s">
        <v>448</v>
      </c>
      <c r="O3955" s="2" t="s">
        <v>100</v>
      </c>
      <c r="P3955" s="2" t="str">
        <f>"2170582588                    "</f>
        <v xml:space="preserve">2170582588                    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5.0999999999999996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2">
        <v>0</v>
      </c>
      <c r="BD3955" s="2">
        <v>0</v>
      </c>
      <c r="BE3955" s="2">
        <v>0</v>
      </c>
      <c r="BF3955" s="2">
        <v>0</v>
      </c>
      <c r="BG3955" s="2">
        <v>0</v>
      </c>
      <c r="BH3955" s="2">
        <v>1</v>
      </c>
      <c r="BI3955" s="2">
        <v>1</v>
      </c>
      <c r="BJ3955" s="2">
        <v>0.2</v>
      </c>
      <c r="BK3955" s="2">
        <v>1</v>
      </c>
      <c r="BL3955" s="2">
        <v>57.75</v>
      </c>
      <c r="BM3955" s="2">
        <v>8.09</v>
      </c>
      <c r="BN3955" s="2">
        <v>65.84</v>
      </c>
      <c r="BO3955" s="2">
        <v>65.84</v>
      </c>
      <c r="BP3955" s="2"/>
      <c r="BQ3955" s="2" t="s">
        <v>83</v>
      </c>
      <c r="BR3955" s="2" t="s">
        <v>84</v>
      </c>
      <c r="BS3955" s="3">
        <v>42949</v>
      </c>
      <c r="BT3955" s="4">
        <v>0.41666666666666669</v>
      </c>
      <c r="BU3955" s="2" t="s">
        <v>3754</v>
      </c>
      <c r="BV3955" s="2" t="s">
        <v>95</v>
      </c>
      <c r="BW3955" s="2"/>
      <c r="BX3955" s="2"/>
      <c r="BY3955" s="2">
        <v>1200</v>
      </c>
      <c r="BZ3955" s="2" t="s">
        <v>27</v>
      </c>
      <c r="CA3955" s="2" t="s">
        <v>148</v>
      </c>
      <c r="CB3955" s="2"/>
      <c r="CC3955" s="2" t="s">
        <v>447</v>
      </c>
      <c r="CD3955" s="2">
        <v>1759</v>
      </c>
      <c r="CE3955" s="2" t="s">
        <v>104</v>
      </c>
      <c r="CF3955" s="5">
        <v>42950</v>
      </c>
      <c r="CG3955" s="2"/>
      <c r="CH3955" s="2"/>
      <c r="CI3955" s="2">
        <v>1</v>
      </c>
      <c r="CJ3955" s="2">
        <v>1</v>
      </c>
      <c r="CK3955" s="2">
        <v>24</v>
      </c>
      <c r="CL3955" s="2" t="s">
        <v>86</v>
      </c>
      <c r="CM3955" s="2"/>
    </row>
    <row r="3956" spans="1:91">
      <c r="A3956" s="2" t="s">
        <v>71</v>
      </c>
      <c r="B3956" s="2" t="s">
        <v>72</v>
      </c>
      <c r="C3956" s="2" t="s">
        <v>73</v>
      </c>
      <c r="D3956" s="2"/>
      <c r="E3956" s="2" t="str">
        <f>"FES1162565952"</f>
        <v>FES1162565952</v>
      </c>
      <c r="F3956" s="3">
        <v>42948</v>
      </c>
      <c r="G3956" s="2">
        <v>201802</v>
      </c>
      <c r="H3956" s="2" t="s">
        <v>74</v>
      </c>
      <c r="I3956" s="2" t="s">
        <v>75</v>
      </c>
      <c r="J3956" s="2" t="s">
        <v>76</v>
      </c>
      <c r="K3956" s="2" t="s">
        <v>77</v>
      </c>
      <c r="L3956" s="2" t="s">
        <v>895</v>
      </c>
      <c r="M3956" s="2" t="s">
        <v>896</v>
      </c>
      <c r="N3956" s="2" t="s">
        <v>3755</v>
      </c>
      <c r="O3956" s="2" t="s">
        <v>100</v>
      </c>
      <c r="P3956" s="2" t="str">
        <f>"2170582506                    "</f>
        <v xml:space="preserve">2170582506                    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13.38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0</v>
      </c>
      <c r="AV3956" s="2">
        <v>0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2">
        <v>0</v>
      </c>
      <c r="BD3956" s="2">
        <v>0</v>
      </c>
      <c r="BE3956" s="2">
        <v>0</v>
      </c>
      <c r="BF3956" s="2">
        <v>0</v>
      </c>
      <c r="BG3956" s="2">
        <v>0</v>
      </c>
      <c r="BH3956" s="2">
        <v>1</v>
      </c>
      <c r="BI3956" s="2">
        <v>4</v>
      </c>
      <c r="BJ3956" s="2">
        <v>1.5</v>
      </c>
      <c r="BK3956" s="2">
        <v>4</v>
      </c>
      <c r="BL3956" s="2">
        <v>151.44</v>
      </c>
      <c r="BM3956" s="2">
        <v>21.2</v>
      </c>
      <c r="BN3956" s="2">
        <v>172.64</v>
      </c>
      <c r="BO3956" s="2">
        <v>172.64</v>
      </c>
      <c r="BP3956" s="2"/>
      <c r="BQ3956" s="2" t="s">
        <v>108</v>
      </c>
      <c r="BR3956" s="2" t="s">
        <v>84</v>
      </c>
      <c r="BS3956" s="3">
        <v>42949</v>
      </c>
      <c r="BT3956" s="4">
        <v>0.375</v>
      </c>
      <c r="BU3956" s="2" t="s">
        <v>3756</v>
      </c>
      <c r="BV3956" s="2" t="s">
        <v>95</v>
      </c>
      <c r="BW3956" s="2"/>
      <c r="BX3956" s="2"/>
      <c r="BY3956" s="2">
        <v>7655.17</v>
      </c>
      <c r="BZ3956" s="2" t="s">
        <v>27</v>
      </c>
      <c r="CA3956" s="2" t="s">
        <v>900</v>
      </c>
      <c r="CB3956" s="2"/>
      <c r="CC3956" s="2" t="s">
        <v>896</v>
      </c>
      <c r="CD3956" s="2">
        <v>9445</v>
      </c>
      <c r="CE3956" s="2" t="s">
        <v>259</v>
      </c>
      <c r="CF3956" s="5">
        <v>42951</v>
      </c>
      <c r="CG3956" s="2"/>
      <c r="CH3956" s="2"/>
      <c r="CI3956" s="2">
        <v>3</v>
      </c>
      <c r="CJ3956" s="2">
        <v>1</v>
      </c>
      <c r="CK3956" s="2">
        <v>23</v>
      </c>
      <c r="CL3956" s="2" t="s">
        <v>86</v>
      </c>
      <c r="CM3956" s="2"/>
    </row>
    <row r="3957" spans="1:91">
      <c r="A3957" s="2" t="s">
        <v>71</v>
      </c>
      <c r="B3957" s="2" t="s">
        <v>72</v>
      </c>
      <c r="C3957" s="2" t="s">
        <v>73</v>
      </c>
      <c r="D3957" s="2"/>
      <c r="E3957" s="2" t="str">
        <f>"FES1162566020"</f>
        <v>FES1162566020</v>
      </c>
      <c r="F3957" s="3">
        <v>42948</v>
      </c>
      <c r="G3957" s="2">
        <v>201802</v>
      </c>
      <c r="H3957" s="2" t="s">
        <v>74</v>
      </c>
      <c r="I3957" s="2" t="s">
        <v>75</v>
      </c>
      <c r="J3957" s="2" t="s">
        <v>76</v>
      </c>
      <c r="K3957" s="2" t="s">
        <v>77</v>
      </c>
      <c r="L3957" s="2" t="s">
        <v>417</v>
      </c>
      <c r="M3957" s="2" t="s">
        <v>417</v>
      </c>
      <c r="N3957" s="2" t="s">
        <v>458</v>
      </c>
      <c r="O3957" s="2" t="s">
        <v>100</v>
      </c>
      <c r="P3957" s="2" t="str">
        <f>"2170582573                    "</f>
        <v xml:space="preserve">2170582573                    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6.35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0</v>
      </c>
      <c r="AU3957" s="2">
        <v>0</v>
      </c>
      <c r="AV3957" s="2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2">
        <v>0</v>
      </c>
      <c r="BD3957" s="2">
        <v>0</v>
      </c>
      <c r="BE3957" s="2">
        <v>0</v>
      </c>
      <c r="BF3957" s="2">
        <v>0</v>
      </c>
      <c r="BG3957" s="2">
        <v>0</v>
      </c>
      <c r="BH3957" s="2">
        <v>1</v>
      </c>
      <c r="BI3957" s="2">
        <v>3.4</v>
      </c>
      <c r="BJ3957" s="2">
        <v>1.8</v>
      </c>
      <c r="BK3957" s="2">
        <v>3.5</v>
      </c>
      <c r="BL3957" s="2">
        <v>71.87</v>
      </c>
      <c r="BM3957" s="2">
        <v>10.06</v>
      </c>
      <c r="BN3957" s="2">
        <v>81.93</v>
      </c>
      <c r="BO3957" s="2">
        <v>81.93</v>
      </c>
      <c r="BP3957" s="2"/>
      <c r="BQ3957" s="2" t="s">
        <v>83</v>
      </c>
      <c r="BR3957" s="2" t="s">
        <v>84</v>
      </c>
      <c r="BS3957" s="3">
        <v>42949</v>
      </c>
      <c r="BT3957" s="4">
        <v>0.58402777777777781</v>
      </c>
      <c r="BU3957" s="2" t="s">
        <v>3757</v>
      </c>
      <c r="BV3957" s="2" t="s">
        <v>86</v>
      </c>
      <c r="BW3957" s="2"/>
      <c r="BX3957" s="2"/>
      <c r="BY3957" s="2">
        <v>8866.34</v>
      </c>
      <c r="BZ3957" s="2" t="s">
        <v>27</v>
      </c>
      <c r="CA3957" s="2" t="s">
        <v>148</v>
      </c>
      <c r="CB3957" s="2"/>
      <c r="CC3957" s="2" t="s">
        <v>417</v>
      </c>
      <c r="CD3957" s="2">
        <v>7646</v>
      </c>
      <c r="CE3957" s="2" t="s">
        <v>259</v>
      </c>
      <c r="CF3957" s="5">
        <v>42949</v>
      </c>
      <c r="CG3957" s="2"/>
      <c r="CH3957" s="2"/>
      <c r="CI3957" s="2">
        <v>1</v>
      </c>
      <c r="CJ3957" s="2">
        <v>1</v>
      </c>
      <c r="CK3957" s="2">
        <v>21</v>
      </c>
      <c r="CL3957" s="2" t="s">
        <v>86</v>
      </c>
      <c r="CM3957" s="2"/>
    </row>
    <row r="3958" spans="1:91">
      <c r="A3958" s="2" t="s">
        <v>71</v>
      </c>
      <c r="B3958" s="2" t="s">
        <v>72</v>
      </c>
      <c r="C3958" s="2" t="s">
        <v>73</v>
      </c>
      <c r="D3958" s="2"/>
      <c r="E3958" s="2" t="str">
        <f>"FES1162566047"</f>
        <v>FES1162566047</v>
      </c>
      <c r="F3958" s="3">
        <v>42948</v>
      </c>
      <c r="G3958" s="2">
        <v>201802</v>
      </c>
      <c r="H3958" s="2" t="s">
        <v>74</v>
      </c>
      <c r="I3958" s="2" t="s">
        <v>75</v>
      </c>
      <c r="J3958" s="2" t="s">
        <v>76</v>
      </c>
      <c r="K3958" s="2" t="s">
        <v>77</v>
      </c>
      <c r="L3958" s="2" t="s">
        <v>417</v>
      </c>
      <c r="M3958" s="2" t="s">
        <v>417</v>
      </c>
      <c r="N3958" s="2" t="s">
        <v>418</v>
      </c>
      <c r="O3958" s="2" t="s">
        <v>100</v>
      </c>
      <c r="P3958" s="2" t="str">
        <f>"2170582566                    "</f>
        <v xml:space="preserve">2170582566                    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3.63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0</v>
      </c>
      <c r="AV3958" s="2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2">
        <v>0</v>
      </c>
      <c r="BD3958" s="2">
        <v>0</v>
      </c>
      <c r="BE3958" s="2">
        <v>0</v>
      </c>
      <c r="BF3958" s="2">
        <v>0</v>
      </c>
      <c r="BG3958" s="2">
        <v>0</v>
      </c>
      <c r="BH3958" s="2">
        <v>1</v>
      </c>
      <c r="BI3958" s="2">
        <v>1</v>
      </c>
      <c r="BJ3958" s="2">
        <v>0.2</v>
      </c>
      <c r="BK3958" s="2">
        <v>1</v>
      </c>
      <c r="BL3958" s="2">
        <v>41.07</v>
      </c>
      <c r="BM3958" s="2">
        <v>5.75</v>
      </c>
      <c r="BN3958" s="2">
        <v>46.82</v>
      </c>
      <c r="BO3958" s="2">
        <v>46.82</v>
      </c>
      <c r="BP3958" s="2"/>
      <c r="BQ3958" s="2" t="s">
        <v>83</v>
      </c>
      <c r="BR3958" s="2" t="s">
        <v>84</v>
      </c>
      <c r="BS3958" s="3">
        <v>42949</v>
      </c>
      <c r="BT3958" s="4">
        <v>0.63194444444444442</v>
      </c>
      <c r="BU3958" s="2" t="s">
        <v>3758</v>
      </c>
      <c r="BV3958" s="2" t="s">
        <v>86</v>
      </c>
      <c r="BW3958" s="2"/>
      <c r="BX3958" s="2"/>
      <c r="BY3958" s="2">
        <v>1200</v>
      </c>
      <c r="BZ3958" s="2" t="s">
        <v>27</v>
      </c>
      <c r="CA3958" s="2" t="s">
        <v>148</v>
      </c>
      <c r="CB3958" s="2"/>
      <c r="CC3958" s="2" t="s">
        <v>417</v>
      </c>
      <c r="CD3958" s="2">
        <v>7646</v>
      </c>
      <c r="CE3958" s="2" t="s">
        <v>3630</v>
      </c>
      <c r="CF3958" s="5">
        <v>42949</v>
      </c>
      <c r="CG3958" s="2"/>
      <c r="CH3958" s="2"/>
      <c r="CI3958" s="2">
        <v>1</v>
      </c>
      <c r="CJ3958" s="2">
        <v>1</v>
      </c>
      <c r="CK3958" s="2">
        <v>21</v>
      </c>
      <c r="CL3958" s="2" t="s">
        <v>86</v>
      </c>
      <c r="CM3958" s="2"/>
    </row>
    <row r="3959" spans="1:91">
      <c r="A3959" s="2" t="s">
        <v>71</v>
      </c>
      <c r="B3959" s="2" t="s">
        <v>72</v>
      </c>
      <c r="C3959" s="2" t="s">
        <v>73</v>
      </c>
      <c r="D3959" s="2"/>
      <c r="E3959" s="2" t="str">
        <f>"029907761376"</f>
        <v>029907761376</v>
      </c>
      <c r="F3959" s="3">
        <v>42948</v>
      </c>
      <c r="G3959" s="2">
        <v>201802</v>
      </c>
      <c r="H3959" s="2" t="s">
        <v>149</v>
      </c>
      <c r="I3959" s="2" t="s">
        <v>150</v>
      </c>
      <c r="J3959" s="2" t="s">
        <v>3759</v>
      </c>
      <c r="K3959" s="2" t="s">
        <v>77</v>
      </c>
      <c r="L3959" s="2" t="s">
        <v>74</v>
      </c>
      <c r="M3959" s="2" t="s">
        <v>75</v>
      </c>
      <c r="N3959" s="2" t="s">
        <v>118</v>
      </c>
      <c r="O3959" s="2" t="s">
        <v>81</v>
      </c>
      <c r="P3959" s="2" t="str">
        <f>"                              "</f>
        <v xml:space="preserve">                              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6.8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0</v>
      </c>
      <c r="AU3959" s="2">
        <v>0</v>
      </c>
      <c r="AV3959" s="2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2">
        <v>0</v>
      </c>
      <c r="BD3959" s="2">
        <v>0</v>
      </c>
      <c r="BE3959" s="2">
        <v>0</v>
      </c>
      <c r="BF3959" s="2">
        <v>0</v>
      </c>
      <c r="BG3959" s="2">
        <v>0</v>
      </c>
      <c r="BH3959" s="2">
        <v>1</v>
      </c>
      <c r="BI3959" s="2">
        <v>3.1</v>
      </c>
      <c r="BJ3959" s="2">
        <v>9.8000000000000007</v>
      </c>
      <c r="BK3959" s="2">
        <v>10</v>
      </c>
      <c r="BL3959" s="2">
        <v>82</v>
      </c>
      <c r="BM3959" s="2">
        <v>11.48</v>
      </c>
      <c r="BN3959" s="2">
        <v>93.48</v>
      </c>
      <c r="BO3959" s="2">
        <v>93.48</v>
      </c>
      <c r="BP3959" s="2"/>
      <c r="BQ3959" s="2"/>
      <c r="BR3959" s="2"/>
      <c r="BS3959" s="3">
        <v>42949</v>
      </c>
      <c r="BT3959" s="4">
        <v>0.48055555555555557</v>
      </c>
      <c r="BU3959" s="2" t="s">
        <v>2545</v>
      </c>
      <c r="BV3959" s="2" t="s">
        <v>95</v>
      </c>
      <c r="BW3959" s="2"/>
      <c r="BX3959" s="2"/>
      <c r="BY3959" s="2">
        <v>49000</v>
      </c>
      <c r="BZ3959" s="2"/>
      <c r="CA3959" s="2"/>
      <c r="CB3959" s="2"/>
      <c r="CC3959" s="2" t="s">
        <v>75</v>
      </c>
      <c r="CD3959" s="2">
        <v>1600</v>
      </c>
      <c r="CE3959" s="2" t="s">
        <v>89</v>
      </c>
      <c r="CF3959" s="5">
        <v>42950</v>
      </c>
      <c r="CG3959" s="2"/>
      <c r="CH3959" s="2"/>
      <c r="CI3959" s="2">
        <v>0</v>
      </c>
      <c r="CJ3959" s="2">
        <v>0</v>
      </c>
      <c r="CK3959" s="2" t="s">
        <v>180</v>
      </c>
      <c r="CL3959" s="2" t="s">
        <v>86</v>
      </c>
      <c r="CM3959" s="2"/>
    </row>
    <row r="3960" spans="1:91">
      <c r="A3960" s="2" t="s">
        <v>71</v>
      </c>
      <c r="B3960" s="2" t="s">
        <v>72</v>
      </c>
      <c r="C3960" s="2" t="s">
        <v>73</v>
      </c>
      <c r="D3960" s="2"/>
      <c r="E3960" s="2" t="str">
        <f>"080001697127"</f>
        <v>080001697127</v>
      </c>
      <c r="F3960" s="3">
        <v>42948</v>
      </c>
      <c r="G3960" s="2">
        <v>201802</v>
      </c>
      <c r="H3960" s="2" t="s">
        <v>237</v>
      </c>
      <c r="I3960" s="2" t="s">
        <v>238</v>
      </c>
      <c r="J3960" s="2" t="s">
        <v>399</v>
      </c>
      <c r="K3960" s="2" t="s">
        <v>77</v>
      </c>
      <c r="L3960" s="2" t="s">
        <v>74</v>
      </c>
      <c r="M3960" s="2" t="s">
        <v>75</v>
      </c>
      <c r="N3960" s="2" t="s">
        <v>118</v>
      </c>
      <c r="O3960" s="2" t="s">
        <v>81</v>
      </c>
      <c r="P3960" s="2" t="str">
        <f>"ZA1000657044                  "</f>
        <v xml:space="preserve">ZA1000657044                  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6.8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0</v>
      </c>
      <c r="AV3960" s="2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2">
        <v>0</v>
      </c>
      <c r="BD3960" s="2">
        <v>0</v>
      </c>
      <c r="BE3960" s="2">
        <v>0</v>
      </c>
      <c r="BF3960" s="2">
        <v>0</v>
      </c>
      <c r="BG3960" s="2">
        <v>0</v>
      </c>
      <c r="BH3960" s="2">
        <v>2</v>
      </c>
      <c r="BI3960" s="2">
        <v>4</v>
      </c>
      <c r="BJ3960" s="2">
        <v>3</v>
      </c>
      <c r="BK3960" s="2">
        <v>4</v>
      </c>
      <c r="BL3960" s="2">
        <v>82</v>
      </c>
      <c r="BM3960" s="2">
        <v>11.48</v>
      </c>
      <c r="BN3960" s="2">
        <v>93.48</v>
      </c>
      <c r="BO3960" s="2">
        <v>93.48</v>
      </c>
      <c r="BP3960" s="2" t="s">
        <v>3760</v>
      </c>
      <c r="BQ3960" s="2" t="s">
        <v>1053</v>
      </c>
      <c r="BR3960" s="2" t="s">
        <v>3761</v>
      </c>
      <c r="BS3960" s="3">
        <v>42949</v>
      </c>
      <c r="BT3960" s="4">
        <v>0.48125000000000001</v>
      </c>
      <c r="BU3960" s="2" t="s">
        <v>2993</v>
      </c>
      <c r="BV3960" s="2" t="s">
        <v>95</v>
      </c>
      <c r="BW3960" s="2"/>
      <c r="BX3960" s="2"/>
      <c r="BY3960" s="2">
        <v>15180</v>
      </c>
      <c r="BZ3960" s="2"/>
      <c r="CA3960" s="2" t="s">
        <v>953</v>
      </c>
      <c r="CB3960" s="2"/>
      <c r="CC3960" s="2" t="s">
        <v>75</v>
      </c>
      <c r="CD3960" s="2">
        <v>1600</v>
      </c>
      <c r="CE3960" s="2" t="s">
        <v>89</v>
      </c>
      <c r="CF3960" s="5">
        <v>42950</v>
      </c>
      <c r="CG3960" s="2"/>
      <c r="CH3960" s="2"/>
      <c r="CI3960" s="2">
        <v>0</v>
      </c>
      <c r="CJ3960" s="2">
        <v>0</v>
      </c>
      <c r="CK3960" s="2" t="s">
        <v>180</v>
      </c>
      <c r="CL3960" s="2" t="s">
        <v>86</v>
      </c>
      <c r="CM3960" s="2"/>
    </row>
    <row r="3961" spans="1:91">
      <c r="A3961" s="2" t="s">
        <v>71</v>
      </c>
      <c r="B3961" s="2" t="s">
        <v>72</v>
      </c>
      <c r="C3961" s="2" t="s">
        <v>73</v>
      </c>
      <c r="D3961" s="2"/>
      <c r="E3961" s="2" t="str">
        <f>"FES1162565841"</f>
        <v>FES1162565841</v>
      </c>
      <c r="F3961" s="3">
        <v>42948</v>
      </c>
      <c r="G3961" s="2">
        <v>201802</v>
      </c>
      <c r="H3961" s="2" t="s">
        <v>74</v>
      </c>
      <c r="I3961" s="2" t="s">
        <v>75</v>
      </c>
      <c r="J3961" s="2" t="s">
        <v>76</v>
      </c>
      <c r="K3961" s="2" t="s">
        <v>77</v>
      </c>
      <c r="L3961" s="2" t="s">
        <v>604</v>
      </c>
      <c r="M3961" s="2" t="s">
        <v>605</v>
      </c>
      <c r="N3961" s="2" t="s">
        <v>1907</v>
      </c>
      <c r="O3961" s="2" t="s">
        <v>81</v>
      </c>
      <c r="P3961" s="2" t="str">
        <f>"2170581620                    "</f>
        <v xml:space="preserve">2170581620                    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5.96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0</v>
      </c>
      <c r="AV3961" s="2">
        <v>0</v>
      </c>
      <c r="AW3961" s="2">
        <v>0</v>
      </c>
      <c r="AX3961" s="2">
        <v>0</v>
      </c>
      <c r="AY3961" s="2">
        <v>0</v>
      </c>
      <c r="AZ3961" s="2">
        <v>0</v>
      </c>
      <c r="BA3961" s="2">
        <v>0</v>
      </c>
      <c r="BB3961" s="2">
        <v>0</v>
      </c>
      <c r="BC3961" s="2">
        <v>0</v>
      </c>
      <c r="BD3961" s="2">
        <v>0</v>
      </c>
      <c r="BE3961" s="2">
        <v>0</v>
      </c>
      <c r="BF3961" s="2">
        <v>0</v>
      </c>
      <c r="BG3961" s="2">
        <v>0</v>
      </c>
      <c r="BH3961" s="2">
        <v>2</v>
      </c>
      <c r="BI3961" s="2">
        <v>18.399999999999999</v>
      </c>
      <c r="BJ3961" s="2">
        <v>8.9</v>
      </c>
      <c r="BK3961" s="2">
        <v>19</v>
      </c>
      <c r="BL3961" s="2">
        <v>72.489999999999995</v>
      </c>
      <c r="BM3961" s="2">
        <v>10.15</v>
      </c>
      <c r="BN3961" s="2">
        <v>82.64</v>
      </c>
      <c r="BO3961" s="2">
        <v>82.64</v>
      </c>
      <c r="BP3961" s="2"/>
      <c r="BQ3961" s="2" t="s">
        <v>1540</v>
      </c>
      <c r="BR3961" s="2" t="s">
        <v>84</v>
      </c>
      <c r="BS3961" s="3">
        <v>42949</v>
      </c>
      <c r="BT3961" s="4">
        <v>0.67361111111111116</v>
      </c>
      <c r="BU3961" s="2" t="s">
        <v>3762</v>
      </c>
      <c r="BV3961" s="2" t="s">
        <v>95</v>
      </c>
      <c r="BW3961" s="2"/>
      <c r="BX3961" s="2"/>
      <c r="BY3961" s="2">
        <v>44301.1</v>
      </c>
      <c r="BZ3961" s="2"/>
      <c r="CA3961" s="2" t="s">
        <v>3763</v>
      </c>
      <c r="CB3961" s="2"/>
      <c r="CC3961" s="2" t="s">
        <v>605</v>
      </c>
      <c r="CD3961" s="2">
        <v>4126</v>
      </c>
      <c r="CE3961" s="2" t="s">
        <v>89</v>
      </c>
      <c r="CF3961" s="5">
        <v>42951</v>
      </c>
      <c r="CG3961" s="2"/>
      <c r="CH3961" s="2"/>
      <c r="CI3961" s="2">
        <v>0</v>
      </c>
      <c r="CJ3961" s="2">
        <v>0</v>
      </c>
      <c r="CK3961" s="2" t="s">
        <v>153</v>
      </c>
      <c r="CL3961" s="2" t="s">
        <v>86</v>
      </c>
      <c r="CM3961" s="2"/>
    </row>
    <row r="3962" spans="1:91">
      <c r="A3962" s="2" t="s">
        <v>71</v>
      </c>
      <c r="B3962" s="2" t="s">
        <v>72</v>
      </c>
      <c r="C3962" s="2" t="s">
        <v>73</v>
      </c>
      <c r="D3962" s="2"/>
      <c r="E3962" s="2" t="str">
        <f>"FES1162565320"</f>
        <v>FES1162565320</v>
      </c>
      <c r="F3962" s="3">
        <v>42943</v>
      </c>
      <c r="G3962" s="2">
        <v>201802</v>
      </c>
      <c r="H3962" s="2" t="s">
        <v>74</v>
      </c>
      <c r="I3962" s="2" t="s">
        <v>75</v>
      </c>
      <c r="J3962" s="2" t="s">
        <v>76</v>
      </c>
      <c r="K3962" s="2" t="s">
        <v>77</v>
      </c>
      <c r="L3962" s="2" t="s">
        <v>252</v>
      </c>
      <c r="M3962" s="2" t="s">
        <v>106</v>
      </c>
      <c r="N3962" s="2" t="s">
        <v>2729</v>
      </c>
      <c r="O3962" s="2" t="s">
        <v>81</v>
      </c>
      <c r="P3962" s="2" t="str">
        <f>"2170575263                    "</f>
        <v xml:space="preserve">2170575263                    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21.41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2">
        <v>0</v>
      </c>
      <c r="BD3962" s="2">
        <v>0</v>
      </c>
      <c r="BE3962" s="2">
        <v>0</v>
      </c>
      <c r="BF3962" s="2">
        <v>0</v>
      </c>
      <c r="BG3962" s="2">
        <v>0</v>
      </c>
      <c r="BH3962" s="2">
        <v>3</v>
      </c>
      <c r="BI3962" s="2">
        <v>58.5</v>
      </c>
      <c r="BJ3962" s="2">
        <v>21.3</v>
      </c>
      <c r="BK3962" s="2">
        <v>59</v>
      </c>
      <c r="BL3962" s="2">
        <v>247.37</v>
      </c>
      <c r="BM3962" s="2">
        <v>34.630000000000003</v>
      </c>
      <c r="BN3962" s="2">
        <v>282</v>
      </c>
      <c r="BO3962" s="2">
        <v>282</v>
      </c>
      <c r="BP3962" s="2"/>
      <c r="BQ3962" s="2" t="s">
        <v>83</v>
      </c>
      <c r="BR3962" s="2" t="s">
        <v>84</v>
      </c>
      <c r="BS3962" s="3">
        <v>42950</v>
      </c>
      <c r="BT3962" s="4">
        <v>0.65763888888888888</v>
      </c>
      <c r="BU3962" s="2" t="s">
        <v>3764</v>
      </c>
      <c r="BV3962" s="2" t="s">
        <v>86</v>
      </c>
      <c r="BW3962" s="2" t="s">
        <v>110</v>
      </c>
      <c r="BX3962" s="2" t="s">
        <v>1314</v>
      </c>
      <c r="BY3962" s="2">
        <v>106608.52</v>
      </c>
      <c r="BZ3962" s="2"/>
      <c r="CA3962" s="2" t="s">
        <v>1644</v>
      </c>
      <c r="CB3962" s="2"/>
      <c r="CC3962" s="2" t="s">
        <v>106</v>
      </c>
      <c r="CD3962" s="2">
        <v>7580</v>
      </c>
      <c r="CE3962" s="2" t="s">
        <v>89</v>
      </c>
      <c r="CF3962" s="5">
        <v>42951</v>
      </c>
      <c r="CG3962" s="2"/>
      <c r="CH3962" s="2"/>
      <c r="CI3962" s="2">
        <v>0</v>
      </c>
      <c r="CJ3962" s="2">
        <v>0</v>
      </c>
      <c r="CK3962" s="2" t="s">
        <v>136</v>
      </c>
      <c r="CL3962" s="2" t="s">
        <v>86</v>
      </c>
      <c r="CM3962" s="2"/>
    </row>
    <row r="3963" spans="1:91">
      <c r="A3963" s="2" t="s">
        <v>71</v>
      </c>
      <c r="B3963" s="2" t="s">
        <v>72</v>
      </c>
      <c r="C3963" s="2" t="s">
        <v>73</v>
      </c>
      <c r="D3963" s="2"/>
      <c r="E3963" s="2" t="str">
        <f>"080001695827"</f>
        <v>080001695827</v>
      </c>
      <c r="F3963" s="3">
        <v>42948</v>
      </c>
      <c r="G3963" s="2">
        <v>201802</v>
      </c>
      <c r="H3963" s="2" t="s">
        <v>206</v>
      </c>
      <c r="I3963" s="2" t="s">
        <v>207</v>
      </c>
      <c r="J3963" s="2" t="s">
        <v>650</v>
      </c>
      <c r="K3963" s="2" t="s">
        <v>77</v>
      </c>
      <c r="L3963" s="2" t="s">
        <v>74</v>
      </c>
      <c r="M3963" s="2" t="s">
        <v>75</v>
      </c>
      <c r="N3963" s="2" t="s">
        <v>118</v>
      </c>
      <c r="O3963" s="2" t="s">
        <v>81</v>
      </c>
      <c r="P3963" s="2" t="str">
        <f>"ZA1000656736                  "</f>
        <v xml:space="preserve">ZA1000656736                  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6.24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2">
        <v>0</v>
      </c>
      <c r="BD3963" s="2">
        <v>0</v>
      </c>
      <c r="BE3963" s="2">
        <v>0</v>
      </c>
      <c r="BF3963" s="2">
        <v>0</v>
      </c>
      <c r="BG3963" s="2">
        <v>0</v>
      </c>
      <c r="BH3963" s="2">
        <v>1</v>
      </c>
      <c r="BI3963" s="2">
        <v>1</v>
      </c>
      <c r="BJ3963" s="2">
        <v>0.2</v>
      </c>
      <c r="BK3963" s="2">
        <v>1</v>
      </c>
      <c r="BL3963" s="2">
        <v>75.59</v>
      </c>
      <c r="BM3963" s="2">
        <v>10.58</v>
      </c>
      <c r="BN3963" s="2">
        <v>86.17</v>
      </c>
      <c r="BO3963" s="2">
        <v>86.17</v>
      </c>
      <c r="BP3963" s="2" t="s">
        <v>3765</v>
      </c>
      <c r="BQ3963" s="2" t="s">
        <v>1053</v>
      </c>
      <c r="BR3963" s="2" t="s">
        <v>3766</v>
      </c>
      <c r="BS3963" s="3">
        <v>42949</v>
      </c>
      <c r="BT3963" s="4">
        <v>0.4826388888888889</v>
      </c>
      <c r="BU3963" s="2" t="s">
        <v>3767</v>
      </c>
      <c r="BV3963" s="2"/>
      <c r="BW3963" s="2"/>
      <c r="BX3963" s="2"/>
      <c r="BY3963" s="2">
        <v>1024</v>
      </c>
      <c r="BZ3963" s="2"/>
      <c r="CA3963" s="2" t="s">
        <v>148</v>
      </c>
      <c r="CB3963" s="2"/>
      <c r="CC3963" s="2" t="s">
        <v>75</v>
      </c>
      <c r="CD3963" s="2">
        <v>1600</v>
      </c>
      <c r="CE3963" s="2" t="s">
        <v>89</v>
      </c>
      <c r="CF3963" s="5">
        <v>42950</v>
      </c>
      <c r="CG3963" s="2"/>
      <c r="CH3963" s="2"/>
      <c r="CI3963" s="2">
        <v>0</v>
      </c>
      <c r="CJ3963" s="2">
        <v>0</v>
      </c>
      <c r="CK3963" s="2" t="s">
        <v>3620</v>
      </c>
      <c r="CL3963" s="2" t="s">
        <v>86</v>
      </c>
      <c r="CM3963" s="2"/>
    </row>
    <row r="3964" spans="1:91">
      <c r="A3964" s="2" t="s">
        <v>71</v>
      </c>
      <c r="B3964" s="2" t="s">
        <v>72</v>
      </c>
      <c r="C3964" s="2" t="s">
        <v>73</v>
      </c>
      <c r="D3964" s="2"/>
      <c r="E3964" s="2" t="str">
        <f>"FES1162565845"</f>
        <v>FES1162565845</v>
      </c>
      <c r="F3964" s="3">
        <v>42948</v>
      </c>
      <c r="G3964" s="2">
        <v>201802</v>
      </c>
      <c r="H3964" s="2" t="s">
        <v>74</v>
      </c>
      <c r="I3964" s="2" t="s">
        <v>75</v>
      </c>
      <c r="J3964" s="2" t="s">
        <v>76</v>
      </c>
      <c r="K3964" s="2" t="s">
        <v>77</v>
      </c>
      <c r="L3964" s="2" t="s">
        <v>362</v>
      </c>
      <c r="M3964" s="2" t="s">
        <v>363</v>
      </c>
      <c r="N3964" s="2" t="s">
        <v>683</v>
      </c>
      <c r="O3964" s="2" t="s">
        <v>81</v>
      </c>
      <c r="P3964" s="2" t="str">
        <f>"2170577472                    "</f>
        <v xml:space="preserve">2170577472                    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10.02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0</v>
      </c>
      <c r="AV3964" s="2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2">
        <v>0</v>
      </c>
      <c r="BD3964" s="2">
        <v>0</v>
      </c>
      <c r="BE3964" s="2">
        <v>0</v>
      </c>
      <c r="BF3964" s="2">
        <v>0</v>
      </c>
      <c r="BG3964" s="2">
        <v>0</v>
      </c>
      <c r="BH3964" s="2">
        <v>1</v>
      </c>
      <c r="BI3964" s="2">
        <v>23.9</v>
      </c>
      <c r="BJ3964" s="2">
        <v>6.9</v>
      </c>
      <c r="BK3964" s="2">
        <v>24</v>
      </c>
      <c r="BL3964" s="2">
        <v>118.43</v>
      </c>
      <c r="BM3964" s="2">
        <v>16.579999999999998</v>
      </c>
      <c r="BN3964" s="2">
        <v>135.01</v>
      </c>
      <c r="BO3964" s="2">
        <v>135.01</v>
      </c>
      <c r="BP3964" s="2"/>
      <c r="BQ3964" s="2" t="s">
        <v>108</v>
      </c>
      <c r="BR3964" s="2" t="s">
        <v>84</v>
      </c>
      <c r="BS3964" s="3">
        <v>42949</v>
      </c>
      <c r="BT3964" s="4">
        <v>0.42291666666666666</v>
      </c>
      <c r="BU3964" s="2" t="s">
        <v>684</v>
      </c>
      <c r="BV3964" s="2" t="s">
        <v>95</v>
      </c>
      <c r="BW3964" s="2"/>
      <c r="BX3964" s="2"/>
      <c r="BY3964" s="2">
        <v>34435.58</v>
      </c>
      <c r="BZ3964" s="2"/>
      <c r="CA3964" s="2" t="s">
        <v>685</v>
      </c>
      <c r="CB3964" s="2"/>
      <c r="CC3964" s="2" t="s">
        <v>363</v>
      </c>
      <c r="CD3964" s="2">
        <v>3201</v>
      </c>
      <c r="CE3964" s="2" t="s">
        <v>89</v>
      </c>
      <c r="CF3964" s="5">
        <v>42950</v>
      </c>
      <c r="CG3964" s="2"/>
      <c r="CH3964" s="2"/>
      <c r="CI3964" s="2">
        <v>0</v>
      </c>
      <c r="CJ3964" s="2">
        <v>0</v>
      </c>
      <c r="CK3964" s="2" t="s">
        <v>624</v>
      </c>
      <c r="CL3964" s="2" t="s">
        <v>86</v>
      </c>
      <c r="CM3964" s="2"/>
    </row>
    <row r="3965" spans="1:91">
      <c r="A3965" s="2" t="s">
        <v>71</v>
      </c>
      <c r="B3965" s="2" t="s">
        <v>72</v>
      </c>
      <c r="C3965" s="2" t="s">
        <v>73</v>
      </c>
      <c r="D3965" s="2"/>
      <c r="E3965" s="2" t="str">
        <f>"080001697148"</f>
        <v>080001697148</v>
      </c>
      <c r="F3965" s="3">
        <v>42948</v>
      </c>
      <c r="G3965" s="2">
        <v>201802</v>
      </c>
      <c r="H3965" s="2" t="s">
        <v>237</v>
      </c>
      <c r="I3965" s="2" t="s">
        <v>238</v>
      </c>
      <c r="J3965" s="2" t="s">
        <v>669</v>
      </c>
      <c r="K3965" s="2" t="s">
        <v>77</v>
      </c>
      <c r="L3965" s="2" t="s">
        <v>74</v>
      </c>
      <c r="M3965" s="2" t="s">
        <v>75</v>
      </c>
      <c r="N3965" s="2" t="s">
        <v>118</v>
      </c>
      <c r="O3965" s="2" t="s">
        <v>81</v>
      </c>
      <c r="P3965" s="2" t="str">
        <f>"za1000650621                  "</f>
        <v xml:space="preserve">za1000650621                  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6.8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0</v>
      </c>
      <c r="AV3965" s="2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2">
        <v>0</v>
      </c>
      <c r="BD3965" s="2">
        <v>0</v>
      </c>
      <c r="BE3965" s="2">
        <v>0</v>
      </c>
      <c r="BF3965" s="2">
        <v>0</v>
      </c>
      <c r="BG3965" s="2">
        <v>0</v>
      </c>
      <c r="BH3965" s="2">
        <v>1</v>
      </c>
      <c r="BI3965" s="2">
        <v>6</v>
      </c>
      <c r="BJ3965" s="2">
        <v>3.3</v>
      </c>
      <c r="BK3965" s="2">
        <v>6</v>
      </c>
      <c r="BL3965" s="2">
        <v>82</v>
      </c>
      <c r="BM3965" s="2">
        <v>11.48</v>
      </c>
      <c r="BN3965" s="2">
        <v>93.48</v>
      </c>
      <c r="BO3965" s="2">
        <v>93.48</v>
      </c>
      <c r="BP3965" s="2" t="s">
        <v>3768</v>
      </c>
      <c r="BQ3965" s="2" t="s">
        <v>1053</v>
      </c>
      <c r="BR3965" s="2" t="s">
        <v>3769</v>
      </c>
      <c r="BS3965" s="3">
        <v>42949</v>
      </c>
      <c r="BT3965" s="4">
        <v>0.48055555555555557</v>
      </c>
      <c r="BU3965" s="2" t="s">
        <v>147</v>
      </c>
      <c r="BV3965" s="2" t="s">
        <v>95</v>
      </c>
      <c r="BW3965" s="2"/>
      <c r="BX3965" s="2"/>
      <c r="BY3965" s="2">
        <v>16530</v>
      </c>
      <c r="BZ3965" s="2"/>
      <c r="CA3965" s="2" t="s">
        <v>148</v>
      </c>
      <c r="CB3965" s="2"/>
      <c r="CC3965" s="2" t="s">
        <v>75</v>
      </c>
      <c r="CD3965" s="2">
        <v>1600</v>
      </c>
      <c r="CE3965" s="2" t="s">
        <v>89</v>
      </c>
      <c r="CF3965" s="5">
        <v>42950</v>
      </c>
      <c r="CG3965" s="2"/>
      <c r="CH3965" s="2"/>
      <c r="CI3965" s="2">
        <v>0</v>
      </c>
      <c r="CJ3965" s="2">
        <v>0</v>
      </c>
      <c r="CK3965" s="2" t="s">
        <v>180</v>
      </c>
      <c r="CL3965" s="2" t="s">
        <v>86</v>
      </c>
      <c r="CM3965" s="2"/>
    </row>
    <row r="3966" spans="1:91">
      <c r="A3966" s="2" t="s">
        <v>71</v>
      </c>
      <c r="B3966" s="2" t="s">
        <v>72</v>
      </c>
      <c r="C3966" s="2" t="s">
        <v>73</v>
      </c>
      <c r="D3966" s="2"/>
      <c r="E3966" s="2" t="str">
        <f>"FES1162565839"</f>
        <v>FES1162565839</v>
      </c>
      <c r="F3966" s="3">
        <v>42948</v>
      </c>
      <c r="G3966" s="2">
        <v>201802</v>
      </c>
      <c r="H3966" s="2" t="s">
        <v>74</v>
      </c>
      <c r="I3966" s="2" t="s">
        <v>75</v>
      </c>
      <c r="J3966" s="2" t="s">
        <v>76</v>
      </c>
      <c r="K3966" s="2" t="s">
        <v>77</v>
      </c>
      <c r="L3966" s="2" t="s">
        <v>137</v>
      </c>
      <c r="M3966" s="2" t="s">
        <v>138</v>
      </c>
      <c r="N3966" s="2" t="s">
        <v>368</v>
      </c>
      <c r="O3966" s="2" t="s">
        <v>81</v>
      </c>
      <c r="P3966" s="2" t="str">
        <f>"2170578883                    "</f>
        <v xml:space="preserve">2170578883                    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10.86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0</v>
      </c>
      <c r="AV3966" s="2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2">
        <v>0</v>
      </c>
      <c r="BD3966" s="2">
        <v>0</v>
      </c>
      <c r="BE3966" s="2">
        <v>0</v>
      </c>
      <c r="BF3966" s="2">
        <v>0</v>
      </c>
      <c r="BG3966" s="2">
        <v>0</v>
      </c>
      <c r="BH3966" s="2">
        <v>2</v>
      </c>
      <c r="BI3966" s="2">
        <v>39</v>
      </c>
      <c r="BJ3966" s="2">
        <v>17.2</v>
      </c>
      <c r="BK3966" s="2">
        <v>39</v>
      </c>
      <c r="BL3966" s="2">
        <v>127.97</v>
      </c>
      <c r="BM3966" s="2">
        <v>17.920000000000002</v>
      </c>
      <c r="BN3966" s="2">
        <v>145.88999999999999</v>
      </c>
      <c r="BO3966" s="2">
        <v>145.88999999999999</v>
      </c>
      <c r="BP3966" s="2"/>
      <c r="BQ3966" s="2" t="s">
        <v>108</v>
      </c>
      <c r="BR3966" s="2" t="s">
        <v>84</v>
      </c>
      <c r="BS3966" s="3">
        <v>42949</v>
      </c>
      <c r="BT3966" s="4">
        <v>0.34722222222222227</v>
      </c>
      <c r="BU3966" s="2" t="s">
        <v>369</v>
      </c>
      <c r="BV3966" s="2"/>
      <c r="BW3966" s="2"/>
      <c r="BX3966" s="2"/>
      <c r="BY3966" s="2">
        <v>86188.03</v>
      </c>
      <c r="BZ3966" s="2"/>
      <c r="CA3966" s="2"/>
      <c r="CB3966" s="2"/>
      <c r="CC3966" s="2" t="s">
        <v>138</v>
      </c>
      <c r="CD3966" s="2">
        <v>157</v>
      </c>
      <c r="CE3966" s="2" t="s">
        <v>1190</v>
      </c>
      <c r="CF3966" s="5">
        <v>42950</v>
      </c>
      <c r="CG3966" s="2"/>
      <c r="CH3966" s="2"/>
      <c r="CI3966" s="2">
        <v>0</v>
      </c>
      <c r="CJ3966" s="2">
        <v>0</v>
      </c>
      <c r="CK3966" s="2" t="s">
        <v>143</v>
      </c>
      <c r="CL3966" s="2" t="s">
        <v>86</v>
      </c>
      <c r="CM3966" s="2"/>
    </row>
    <row r="3967" spans="1:91">
      <c r="A3967" s="2" t="s">
        <v>71</v>
      </c>
      <c r="B3967" s="2" t="s">
        <v>72</v>
      </c>
      <c r="C3967" s="2" t="s">
        <v>73</v>
      </c>
      <c r="D3967" s="2"/>
      <c r="E3967" s="2" t="str">
        <f>"RFES1162565169"</f>
        <v>RFES1162565169</v>
      </c>
      <c r="F3967" s="3">
        <v>42949</v>
      </c>
      <c r="G3967" s="2">
        <v>201802</v>
      </c>
      <c r="H3967" s="2" t="s">
        <v>244</v>
      </c>
      <c r="I3967" s="2" t="s">
        <v>245</v>
      </c>
      <c r="J3967" s="2" t="s">
        <v>246</v>
      </c>
      <c r="K3967" s="2" t="s">
        <v>77</v>
      </c>
      <c r="L3967" s="2" t="s">
        <v>74</v>
      </c>
      <c r="M3967" s="2" t="s">
        <v>75</v>
      </c>
      <c r="N3967" s="2" t="s">
        <v>76</v>
      </c>
      <c r="O3967" s="2" t="s">
        <v>100</v>
      </c>
      <c r="P3967" s="2" t="str">
        <f>"217059533                     "</f>
        <v xml:space="preserve">217059533                     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3.13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0</v>
      </c>
      <c r="AV3967" s="2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2">
        <v>0</v>
      </c>
      <c r="BD3967" s="2">
        <v>0</v>
      </c>
      <c r="BE3967" s="2">
        <v>0</v>
      </c>
      <c r="BF3967" s="2">
        <v>0</v>
      </c>
      <c r="BG3967" s="2">
        <v>0</v>
      </c>
      <c r="BH3967" s="2">
        <v>1</v>
      </c>
      <c r="BI3967" s="2">
        <v>4.2</v>
      </c>
      <c r="BJ3967" s="2">
        <v>5.4</v>
      </c>
      <c r="BK3967" s="2">
        <v>6</v>
      </c>
      <c r="BL3967" s="2">
        <v>32.380000000000003</v>
      </c>
      <c r="BM3967" s="2">
        <v>4.53</v>
      </c>
      <c r="BN3967" s="2">
        <v>36.909999999999997</v>
      </c>
      <c r="BO3967" s="2">
        <v>36.909999999999997</v>
      </c>
      <c r="BP3967" s="2"/>
      <c r="BQ3967" s="2" t="s">
        <v>84</v>
      </c>
      <c r="BR3967" s="2" t="s">
        <v>209</v>
      </c>
      <c r="BS3967" s="3">
        <v>42950</v>
      </c>
      <c r="BT3967" s="4">
        <v>0.50486111111111109</v>
      </c>
      <c r="BU3967" s="2" t="s">
        <v>3770</v>
      </c>
      <c r="BV3967" s="2" t="s">
        <v>86</v>
      </c>
      <c r="BW3967" s="2"/>
      <c r="BX3967" s="2"/>
      <c r="BY3967" s="2">
        <v>26868.959999999999</v>
      </c>
      <c r="BZ3967" s="2" t="s">
        <v>27</v>
      </c>
      <c r="CA3967" s="2" t="s">
        <v>328</v>
      </c>
      <c r="CB3967" s="2"/>
      <c r="CC3967" s="2" t="s">
        <v>75</v>
      </c>
      <c r="CD3967" s="2">
        <v>1600</v>
      </c>
      <c r="CE3967" s="2" t="s">
        <v>948</v>
      </c>
      <c r="CF3967" s="5">
        <v>42950</v>
      </c>
      <c r="CG3967" s="2"/>
      <c r="CH3967" s="2"/>
      <c r="CI3967" s="2">
        <v>1</v>
      </c>
      <c r="CJ3967" s="2">
        <v>1</v>
      </c>
      <c r="CK3967" s="2">
        <v>22</v>
      </c>
      <c r="CL3967" s="2" t="s">
        <v>86</v>
      </c>
      <c r="CM3967" s="2"/>
    </row>
    <row r="3968" spans="1:91">
      <c r="A3968" s="2" t="s">
        <v>71</v>
      </c>
      <c r="B3968" s="2" t="s">
        <v>72</v>
      </c>
      <c r="C3968" s="2" t="s">
        <v>73</v>
      </c>
      <c r="D3968" s="2"/>
      <c r="E3968" s="2" t="str">
        <f>"FES1162566014"</f>
        <v>FES1162566014</v>
      </c>
      <c r="F3968" s="3">
        <v>42949</v>
      </c>
      <c r="G3968" s="2">
        <v>201802</v>
      </c>
      <c r="H3968" s="2" t="s">
        <v>74</v>
      </c>
      <c r="I3968" s="2" t="s">
        <v>75</v>
      </c>
      <c r="J3968" s="2" t="s">
        <v>76</v>
      </c>
      <c r="K3968" s="2" t="s">
        <v>77</v>
      </c>
      <c r="L3968" s="2" t="s">
        <v>311</v>
      </c>
      <c r="M3968" s="2" t="s">
        <v>312</v>
      </c>
      <c r="N3968" s="2" t="s">
        <v>1759</v>
      </c>
      <c r="O3968" s="2" t="s">
        <v>100</v>
      </c>
      <c r="P3968" s="2" t="str">
        <f>"2170582228                    "</f>
        <v xml:space="preserve">2170582228                    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3.13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0</v>
      </c>
      <c r="BA3968" s="2">
        <v>0</v>
      </c>
      <c r="BB3968" s="2">
        <v>0</v>
      </c>
      <c r="BC3968" s="2">
        <v>0</v>
      </c>
      <c r="BD3968" s="2">
        <v>0</v>
      </c>
      <c r="BE3968" s="2">
        <v>0</v>
      </c>
      <c r="BF3968" s="2">
        <v>0</v>
      </c>
      <c r="BG3968" s="2">
        <v>0</v>
      </c>
      <c r="BH3968" s="2">
        <v>1</v>
      </c>
      <c r="BI3968" s="2">
        <v>1.1000000000000001</v>
      </c>
      <c r="BJ3968" s="2">
        <v>1.6</v>
      </c>
      <c r="BK3968" s="2">
        <v>2</v>
      </c>
      <c r="BL3968" s="2">
        <v>32.380000000000003</v>
      </c>
      <c r="BM3968" s="2">
        <v>4.53</v>
      </c>
      <c r="BN3968" s="2">
        <v>36.909999999999997</v>
      </c>
      <c r="BO3968" s="2">
        <v>36.909999999999997</v>
      </c>
      <c r="BP3968" s="2"/>
      <c r="BQ3968" s="2" t="s">
        <v>83</v>
      </c>
      <c r="BR3968" s="2" t="s">
        <v>84</v>
      </c>
      <c r="BS3968" s="3">
        <v>42950</v>
      </c>
      <c r="BT3968" s="4">
        <v>0.3923611111111111</v>
      </c>
      <c r="BU3968" s="2" t="s">
        <v>3771</v>
      </c>
      <c r="BV3968" s="2" t="s">
        <v>95</v>
      </c>
      <c r="BW3968" s="2"/>
      <c r="BX3968" s="2"/>
      <c r="BY3968" s="2">
        <v>8245.8700000000008</v>
      </c>
      <c r="BZ3968" s="2" t="s">
        <v>27</v>
      </c>
      <c r="CA3968" s="2" t="s">
        <v>889</v>
      </c>
      <c r="CB3968" s="2"/>
      <c r="CC3968" s="2" t="s">
        <v>312</v>
      </c>
      <c r="CD3968" s="2">
        <v>1559</v>
      </c>
      <c r="CE3968" s="2" t="s">
        <v>104</v>
      </c>
      <c r="CF3968" s="5">
        <v>42951</v>
      </c>
      <c r="CG3968" s="2"/>
      <c r="CH3968" s="2"/>
      <c r="CI3968" s="2">
        <v>1</v>
      </c>
      <c r="CJ3968" s="2">
        <v>1</v>
      </c>
      <c r="CK3968" s="2">
        <v>22</v>
      </c>
      <c r="CL3968" s="2" t="s">
        <v>86</v>
      </c>
      <c r="CM3968" s="2"/>
    </row>
    <row r="3969" spans="1:91">
      <c r="A3969" s="2" t="s">
        <v>71</v>
      </c>
      <c r="B3969" s="2" t="s">
        <v>72</v>
      </c>
      <c r="C3969" s="2" t="s">
        <v>73</v>
      </c>
      <c r="D3969" s="2"/>
      <c r="E3969" s="2" t="str">
        <f>"FES1162566575"</f>
        <v>FES1162566575</v>
      </c>
      <c r="F3969" s="3">
        <v>42949</v>
      </c>
      <c r="G3969" s="2">
        <v>201802</v>
      </c>
      <c r="H3969" s="2" t="s">
        <v>74</v>
      </c>
      <c r="I3969" s="2" t="s">
        <v>75</v>
      </c>
      <c r="J3969" s="2" t="s">
        <v>76</v>
      </c>
      <c r="K3969" s="2" t="s">
        <v>77</v>
      </c>
      <c r="L3969" s="2" t="s">
        <v>417</v>
      </c>
      <c r="M3969" s="2" t="s">
        <v>417</v>
      </c>
      <c r="N3969" s="2" t="s">
        <v>1414</v>
      </c>
      <c r="O3969" s="2" t="s">
        <v>100</v>
      </c>
      <c r="P3969" s="2" t="str">
        <f>"2170582928                    "</f>
        <v xml:space="preserve">2170582928                    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4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2">
        <v>0</v>
      </c>
      <c r="BD3969" s="2">
        <v>0</v>
      </c>
      <c r="BE3969" s="2">
        <v>0</v>
      </c>
      <c r="BF3969" s="2">
        <v>0</v>
      </c>
      <c r="BG3969" s="2">
        <v>0</v>
      </c>
      <c r="BH3969" s="2">
        <v>1</v>
      </c>
      <c r="BI3969" s="2">
        <v>1</v>
      </c>
      <c r="BJ3969" s="2">
        <v>0.2</v>
      </c>
      <c r="BK3969" s="2">
        <v>1</v>
      </c>
      <c r="BL3969" s="2">
        <v>41.44</v>
      </c>
      <c r="BM3969" s="2">
        <v>5.8</v>
      </c>
      <c r="BN3969" s="2">
        <v>47.24</v>
      </c>
      <c r="BO3969" s="2">
        <v>47.24</v>
      </c>
      <c r="BP3969" s="2"/>
      <c r="BQ3969" s="2" t="s">
        <v>108</v>
      </c>
      <c r="BR3969" s="2" t="s">
        <v>84</v>
      </c>
      <c r="BS3969" s="3">
        <v>42950</v>
      </c>
      <c r="BT3969" s="4">
        <v>0.53472222222222221</v>
      </c>
      <c r="BU3969" s="2" t="s">
        <v>2118</v>
      </c>
      <c r="BV3969" s="2" t="s">
        <v>95</v>
      </c>
      <c r="BW3969" s="2"/>
      <c r="BX3969" s="2"/>
      <c r="BY3969" s="2">
        <v>1200</v>
      </c>
      <c r="BZ3969" s="2" t="s">
        <v>27</v>
      </c>
      <c r="CA3969" s="2" t="s">
        <v>460</v>
      </c>
      <c r="CB3969" s="2"/>
      <c r="CC3969" s="2" t="s">
        <v>417</v>
      </c>
      <c r="CD3969" s="2">
        <v>7646</v>
      </c>
      <c r="CE3969" s="2" t="s">
        <v>104</v>
      </c>
      <c r="CF3969" s="5">
        <v>42951</v>
      </c>
      <c r="CG3969" s="2"/>
      <c r="CH3969" s="2"/>
      <c r="CI3969" s="2">
        <v>1</v>
      </c>
      <c r="CJ3969" s="2">
        <v>1</v>
      </c>
      <c r="CK3969" s="2">
        <v>21</v>
      </c>
      <c r="CL3969" s="2" t="s">
        <v>86</v>
      </c>
      <c r="CM3969" s="2"/>
    </row>
    <row r="3970" spans="1:91">
      <c r="A3970" s="2" t="s">
        <v>71</v>
      </c>
      <c r="B3970" s="2" t="s">
        <v>72</v>
      </c>
      <c r="C3970" s="2" t="s">
        <v>73</v>
      </c>
      <c r="D3970" s="2"/>
      <c r="E3970" s="2" t="str">
        <f>"FES1162566124"</f>
        <v>FES1162566124</v>
      </c>
      <c r="F3970" s="3">
        <v>42949</v>
      </c>
      <c r="G3970" s="2">
        <v>201802</v>
      </c>
      <c r="H3970" s="2" t="s">
        <v>74</v>
      </c>
      <c r="I3970" s="2" t="s">
        <v>75</v>
      </c>
      <c r="J3970" s="2" t="s">
        <v>76</v>
      </c>
      <c r="K3970" s="2" t="s">
        <v>77</v>
      </c>
      <c r="L3970" s="2" t="s">
        <v>268</v>
      </c>
      <c r="M3970" s="2" t="s">
        <v>269</v>
      </c>
      <c r="N3970" s="2" t="s">
        <v>368</v>
      </c>
      <c r="O3970" s="2" t="s">
        <v>100</v>
      </c>
      <c r="P3970" s="2" t="str">
        <f>"2170575580                    "</f>
        <v xml:space="preserve">2170575580                    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4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0</v>
      </c>
      <c r="AV3970" s="2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2">
        <v>0</v>
      </c>
      <c r="BD3970" s="2">
        <v>0</v>
      </c>
      <c r="BE3970" s="2">
        <v>0</v>
      </c>
      <c r="BF3970" s="2">
        <v>0</v>
      </c>
      <c r="BG3970" s="2">
        <v>0</v>
      </c>
      <c r="BH3970" s="2">
        <v>1</v>
      </c>
      <c r="BI3970" s="2">
        <v>1</v>
      </c>
      <c r="BJ3970" s="2">
        <v>0.2</v>
      </c>
      <c r="BK3970" s="2">
        <v>1</v>
      </c>
      <c r="BL3970" s="2">
        <v>41.44</v>
      </c>
      <c r="BM3970" s="2">
        <v>5.8</v>
      </c>
      <c r="BN3970" s="2">
        <v>47.24</v>
      </c>
      <c r="BO3970" s="2">
        <v>47.24</v>
      </c>
      <c r="BP3970" s="2"/>
      <c r="BQ3970" s="2" t="s">
        <v>108</v>
      </c>
      <c r="BR3970" s="2" t="s">
        <v>84</v>
      </c>
      <c r="BS3970" s="3">
        <v>42950</v>
      </c>
      <c r="BT3970" s="4">
        <v>0.35416666666666669</v>
      </c>
      <c r="BU3970" s="2" t="s">
        <v>369</v>
      </c>
      <c r="BV3970" s="2" t="s">
        <v>95</v>
      </c>
      <c r="BW3970" s="2"/>
      <c r="BX3970" s="2"/>
      <c r="BY3970" s="2">
        <v>1200</v>
      </c>
      <c r="BZ3970" s="2" t="s">
        <v>27</v>
      </c>
      <c r="CA3970" s="2"/>
      <c r="CB3970" s="2"/>
      <c r="CC3970" s="2" t="s">
        <v>269</v>
      </c>
      <c r="CD3970" s="2">
        <v>157</v>
      </c>
      <c r="CE3970" s="2" t="s">
        <v>104</v>
      </c>
      <c r="CF3970" s="5">
        <v>42951</v>
      </c>
      <c r="CG3970" s="2"/>
      <c r="CH3970" s="2"/>
      <c r="CI3970" s="2">
        <v>1</v>
      </c>
      <c r="CJ3970" s="2">
        <v>1</v>
      </c>
      <c r="CK3970" s="2">
        <v>21</v>
      </c>
      <c r="CL3970" s="2" t="s">
        <v>86</v>
      </c>
      <c r="CM3970" s="2"/>
    </row>
    <row r="3971" spans="1:91">
      <c r="A3971" s="2" t="s">
        <v>71</v>
      </c>
      <c r="B3971" s="2" t="s">
        <v>72</v>
      </c>
      <c r="C3971" s="2" t="s">
        <v>73</v>
      </c>
      <c r="D3971" s="2"/>
      <c r="E3971" s="2" t="str">
        <f>"FES1162566500"</f>
        <v>FES1162566500</v>
      </c>
      <c r="F3971" s="3">
        <v>42949</v>
      </c>
      <c r="G3971" s="2">
        <v>201802</v>
      </c>
      <c r="H3971" s="2" t="s">
        <v>74</v>
      </c>
      <c r="I3971" s="2" t="s">
        <v>75</v>
      </c>
      <c r="J3971" s="2" t="s">
        <v>76</v>
      </c>
      <c r="K3971" s="2" t="s">
        <v>77</v>
      </c>
      <c r="L3971" s="2" t="s">
        <v>321</v>
      </c>
      <c r="M3971" s="2" t="s">
        <v>322</v>
      </c>
      <c r="N3971" s="2" t="s">
        <v>323</v>
      </c>
      <c r="O3971" s="2" t="s">
        <v>100</v>
      </c>
      <c r="P3971" s="2" t="str">
        <f>"2170582860                    "</f>
        <v xml:space="preserve">2170582860                    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4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2">
        <v>0</v>
      </c>
      <c r="BD3971" s="2">
        <v>0</v>
      </c>
      <c r="BE3971" s="2">
        <v>0</v>
      </c>
      <c r="BF3971" s="2">
        <v>0</v>
      </c>
      <c r="BG3971" s="2">
        <v>0</v>
      </c>
      <c r="BH3971" s="2">
        <v>1</v>
      </c>
      <c r="BI3971" s="2">
        <v>1</v>
      </c>
      <c r="BJ3971" s="2">
        <v>0.2</v>
      </c>
      <c r="BK3971" s="2">
        <v>1</v>
      </c>
      <c r="BL3971" s="2">
        <v>41.44</v>
      </c>
      <c r="BM3971" s="2">
        <v>5.8</v>
      </c>
      <c r="BN3971" s="2">
        <v>47.24</v>
      </c>
      <c r="BO3971" s="2">
        <v>47.24</v>
      </c>
      <c r="BP3971" s="2"/>
      <c r="BQ3971" s="2" t="s">
        <v>83</v>
      </c>
      <c r="BR3971" s="2" t="s">
        <v>84</v>
      </c>
      <c r="BS3971" s="3">
        <v>42950</v>
      </c>
      <c r="BT3971" s="4">
        <v>0.4236111111111111</v>
      </c>
      <c r="BU3971" s="2" t="s">
        <v>324</v>
      </c>
      <c r="BV3971" s="2" t="s">
        <v>95</v>
      </c>
      <c r="BW3971" s="2"/>
      <c r="BX3971" s="2"/>
      <c r="BY3971" s="2">
        <v>1200</v>
      </c>
      <c r="BZ3971" s="2" t="s">
        <v>27</v>
      </c>
      <c r="CA3971" s="2" t="s">
        <v>103</v>
      </c>
      <c r="CB3971" s="2"/>
      <c r="CC3971" s="2" t="s">
        <v>322</v>
      </c>
      <c r="CD3971" s="2">
        <v>6220</v>
      </c>
      <c r="CE3971" s="2" t="s">
        <v>104</v>
      </c>
      <c r="CF3971" s="5">
        <v>42951</v>
      </c>
      <c r="CG3971" s="2"/>
      <c r="CH3971" s="2"/>
      <c r="CI3971" s="2">
        <v>1</v>
      </c>
      <c r="CJ3971" s="2">
        <v>1</v>
      </c>
      <c r="CK3971" s="2">
        <v>21</v>
      </c>
      <c r="CL3971" s="2" t="s">
        <v>86</v>
      </c>
      <c r="CM3971" s="2"/>
    </row>
    <row r="3972" spans="1:91">
      <c r="A3972" s="2" t="s">
        <v>71</v>
      </c>
      <c r="B3972" s="2" t="s">
        <v>72</v>
      </c>
      <c r="C3972" s="2" t="s">
        <v>73</v>
      </c>
      <c r="D3972" s="2"/>
      <c r="E3972" s="2" t="str">
        <f>"FES1162566508"</f>
        <v>FES1162566508</v>
      </c>
      <c r="F3972" s="3">
        <v>42949</v>
      </c>
      <c r="G3972" s="2">
        <v>201802</v>
      </c>
      <c r="H3972" s="2" t="s">
        <v>74</v>
      </c>
      <c r="I3972" s="2" t="s">
        <v>75</v>
      </c>
      <c r="J3972" s="2" t="s">
        <v>76</v>
      </c>
      <c r="K3972" s="2" t="s">
        <v>77</v>
      </c>
      <c r="L3972" s="2" t="s">
        <v>174</v>
      </c>
      <c r="M3972" s="2" t="s">
        <v>175</v>
      </c>
      <c r="N3972" s="2" t="s">
        <v>2764</v>
      </c>
      <c r="O3972" s="2" t="s">
        <v>100</v>
      </c>
      <c r="P3972" s="2" t="str">
        <f>"2170582865                    "</f>
        <v xml:space="preserve">2170582865                    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4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0</v>
      </c>
      <c r="AV3972" s="2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2">
        <v>0</v>
      </c>
      <c r="BD3972" s="2">
        <v>0</v>
      </c>
      <c r="BE3972" s="2">
        <v>0</v>
      </c>
      <c r="BF3972" s="2">
        <v>0</v>
      </c>
      <c r="BG3972" s="2">
        <v>0</v>
      </c>
      <c r="BH3972" s="2">
        <v>1</v>
      </c>
      <c r="BI3972" s="2">
        <v>1</v>
      </c>
      <c r="BJ3972" s="2">
        <v>0.2</v>
      </c>
      <c r="BK3972" s="2">
        <v>1</v>
      </c>
      <c r="BL3972" s="2">
        <v>41.44</v>
      </c>
      <c r="BM3972" s="2">
        <v>5.8</v>
      </c>
      <c r="BN3972" s="2">
        <v>47.24</v>
      </c>
      <c r="BO3972" s="2">
        <v>47.24</v>
      </c>
      <c r="BP3972" s="2"/>
      <c r="BQ3972" s="2" t="s">
        <v>83</v>
      </c>
      <c r="BR3972" s="2" t="s">
        <v>84</v>
      </c>
      <c r="BS3972" s="3">
        <v>42950</v>
      </c>
      <c r="BT3972" s="4">
        <v>0.37013888888888885</v>
      </c>
      <c r="BU3972" s="2" t="s">
        <v>3772</v>
      </c>
      <c r="BV3972" s="2" t="s">
        <v>95</v>
      </c>
      <c r="BW3972" s="2"/>
      <c r="BX3972" s="2"/>
      <c r="BY3972" s="2">
        <v>1200</v>
      </c>
      <c r="BZ3972" s="2" t="s">
        <v>27</v>
      </c>
      <c r="CA3972" s="2" t="s">
        <v>1420</v>
      </c>
      <c r="CB3972" s="2"/>
      <c r="CC3972" s="2" t="s">
        <v>175</v>
      </c>
      <c r="CD3972" s="2">
        <v>5201</v>
      </c>
      <c r="CE3972" s="2" t="s">
        <v>104</v>
      </c>
      <c r="CF3972" s="5">
        <v>42954</v>
      </c>
      <c r="CG3972" s="2"/>
      <c r="CH3972" s="2"/>
      <c r="CI3972" s="2">
        <v>1</v>
      </c>
      <c r="CJ3972" s="2">
        <v>1</v>
      </c>
      <c r="CK3972" s="2">
        <v>21</v>
      </c>
      <c r="CL3972" s="2" t="s">
        <v>86</v>
      </c>
      <c r="CM3972" s="2"/>
    </row>
    <row r="3973" spans="1:91">
      <c r="A3973" s="2" t="s">
        <v>71</v>
      </c>
      <c r="B3973" s="2" t="s">
        <v>72</v>
      </c>
      <c r="C3973" s="2" t="s">
        <v>73</v>
      </c>
      <c r="D3973" s="2"/>
      <c r="E3973" s="2" t="str">
        <f>"FES1162566513"</f>
        <v>FES1162566513</v>
      </c>
      <c r="F3973" s="3">
        <v>42949</v>
      </c>
      <c r="G3973" s="2">
        <v>201802</v>
      </c>
      <c r="H3973" s="2" t="s">
        <v>74</v>
      </c>
      <c r="I3973" s="2" t="s">
        <v>75</v>
      </c>
      <c r="J3973" s="2" t="s">
        <v>76</v>
      </c>
      <c r="K3973" s="2" t="s">
        <v>77</v>
      </c>
      <c r="L3973" s="2" t="s">
        <v>97</v>
      </c>
      <c r="M3973" s="2" t="s">
        <v>98</v>
      </c>
      <c r="N3973" s="2" t="s">
        <v>822</v>
      </c>
      <c r="O3973" s="2" t="s">
        <v>100</v>
      </c>
      <c r="P3973" s="2" t="str">
        <f>"2170578467                    "</f>
        <v xml:space="preserve">2170578467                    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4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0</v>
      </c>
      <c r="AV3973" s="2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2">
        <v>0</v>
      </c>
      <c r="BD3973" s="2">
        <v>0</v>
      </c>
      <c r="BE3973" s="2">
        <v>0</v>
      </c>
      <c r="BF3973" s="2">
        <v>0</v>
      </c>
      <c r="BG3973" s="2">
        <v>0</v>
      </c>
      <c r="BH3973" s="2">
        <v>1</v>
      </c>
      <c r="BI3973" s="2">
        <v>1</v>
      </c>
      <c r="BJ3973" s="2">
        <v>0.2</v>
      </c>
      <c r="BK3973" s="2">
        <v>1</v>
      </c>
      <c r="BL3973" s="2">
        <v>41.44</v>
      </c>
      <c r="BM3973" s="2">
        <v>5.8</v>
      </c>
      <c r="BN3973" s="2">
        <v>47.24</v>
      </c>
      <c r="BO3973" s="2">
        <v>47.24</v>
      </c>
      <c r="BP3973" s="2"/>
      <c r="BQ3973" s="2" t="s">
        <v>83</v>
      </c>
      <c r="BR3973" s="2" t="s">
        <v>84</v>
      </c>
      <c r="BS3973" s="3">
        <v>42950</v>
      </c>
      <c r="BT3973" s="4">
        <v>0.3298611111111111</v>
      </c>
      <c r="BU3973" s="2" t="s">
        <v>1081</v>
      </c>
      <c r="BV3973" s="2" t="s">
        <v>95</v>
      </c>
      <c r="BW3973" s="2"/>
      <c r="BX3973" s="2"/>
      <c r="BY3973" s="2">
        <v>1200</v>
      </c>
      <c r="BZ3973" s="2" t="s">
        <v>27</v>
      </c>
      <c r="CA3973" s="2" t="s">
        <v>294</v>
      </c>
      <c r="CB3973" s="2"/>
      <c r="CC3973" s="2" t="s">
        <v>98</v>
      </c>
      <c r="CD3973" s="2">
        <v>6001</v>
      </c>
      <c r="CE3973" s="2" t="s">
        <v>104</v>
      </c>
      <c r="CF3973" s="5">
        <v>42951</v>
      </c>
      <c r="CG3973" s="2"/>
      <c r="CH3973" s="2"/>
      <c r="CI3973" s="2">
        <v>1</v>
      </c>
      <c r="CJ3973" s="2">
        <v>1</v>
      </c>
      <c r="CK3973" s="2">
        <v>21</v>
      </c>
      <c r="CL3973" s="2" t="s">
        <v>86</v>
      </c>
      <c r="CM3973" s="2"/>
    </row>
    <row r="3974" spans="1:91">
      <c r="A3974" s="2" t="s">
        <v>71</v>
      </c>
      <c r="B3974" s="2" t="s">
        <v>72</v>
      </c>
      <c r="C3974" s="2" t="s">
        <v>73</v>
      </c>
      <c r="D3974" s="2"/>
      <c r="E3974" s="2" t="str">
        <f>"FES1162566359"</f>
        <v>FES1162566359</v>
      </c>
      <c r="F3974" s="3">
        <v>42949</v>
      </c>
      <c r="G3974" s="2">
        <v>201802</v>
      </c>
      <c r="H3974" s="2" t="s">
        <v>74</v>
      </c>
      <c r="I3974" s="2" t="s">
        <v>75</v>
      </c>
      <c r="J3974" s="2" t="s">
        <v>76</v>
      </c>
      <c r="K3974" s="2" t="s">
        <v>77</v>
      </c>
      <c r="L3974" s="2" t="s">
        <v>74</v>
      </c>
      <c r="M3974" s="2" t="s">
        <v>75</v>
      </c>
      <c r="N3974" s="2" t="s">
        <v>2004</v>
      </c>
      <c r="O3974" s="2" t="s">
        <v>100</v>
      </c>
      <c r="P3974" s="2" t="str">
        <f>"2170580115                    "</f>
        <v xml:space="preserve">2170580115                    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3.13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0</v>
      </c>
      <c r="AV3974" s="2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2">
        <v>0</v>
      </c>
      <c r="BD3974" s="2">
        <v>0</v>
      </c>
      <c r="BE3974" s="2">
        <v>0</v>
      </c>
      <c r="BF3974" s="2">
        <v>0</v>
      </c>
      <c r="BG3974" s="2">
        <v>0</v>
      </c>
      <c r="BH3974" s="2">
        <v>1</v>
      </c>
      <c r="BI3974" s="2">
        <v>1</v>
      </c>
      <c r="BJ3974" s="2">
        <v>0.2</v>
      </c>
      <c r="BK3974" s="2">
        <v>1</v>
      </c>
      <c r="BL3974" s="2">
        <v>32.380000000000003</v>
      </c>
      <c r="BM3974" s="2">
        <v>4.53</v>
      </c>
      <c r="BN3974" s="2">
        <v>36.909999999999997</v>
      </c>
      <c r="BO3974" s="2">
        <v>36.909999999999997</v>
      </c>
      <c r="BP3974" s="2"/>
      <c r="BQ3974" s="2" t="s">
        <v>83</v>
      </c>
      <c r="BR3974" s="2" t="s">
        <v>84</v>
      </c>
      <c r="BS3974" s="3">
        <v>42950</v>
      </c>
      <c r="BT3974" s="4">
        <v>0.35069444444444442</v>
      </c>
      <c r="BU3974" s="2" t="s">
        <v>3773</v>
      </c>
      <c r="BV3974" s="2" t="s">
        <v>95</v>
      </c>
      <c r="BW3974" s="2"/>
      <c r="BX3974" s="2"/>
      <c r="BY3974" s="2">
        <v>1200</v>
      </c>
      <c r="BZ3974" s="2" t="s">
        <v>27</v>
      </c>
      <c r="CA3974" s="2"/>
      <c r="CB3974" s="2"/>
      <c r="CC3974" s="2" t="s">
        <v>75</v>
      </c>
      <c r="CD3974" s="2">
        <v>1666</v>
      </c>
      <c r="CE3974" s="2" t="s">
        <v>104</v>
      </c>
      <c r="CF3974" s="5">
        <v>42950</v>
      </c>
      <c r="CG3974" s="2"/>
      <c r="CH3974" s="2"/>
      <c r="CI3974" s="2">
        <v>1</v>
      </c>
      <c r="CJ3974" s="2">
        <v>1</v>
      </c>
      <c r="CK3974" s="2">
        <v>22</v>
      </c>
      <c r="CL3974" s="2" t="s">
        <v>86</v>
      </c>
      <c r="CM3974" s="2"/>
    </row>
    <row r="3975" spans="1:91">
      <c r="A3975" s="2" t="s">
        <v>71</v>
      </c>
      <c r="B3975" s="2" t="s">
        <v>72</v>
      </c>
      <c r="C3975" s="2" t="s">
        <v>73</v>
      </c>
      <c r="D3975" s="2"/>
      <c r="E3975" s="2" t="str">
        <f>"FES1162566335"</f>
        <v>FES1162566335</v>
      </c>
      <c r="F3975" s="3">
        <v>42949</v>
      </c>
      <c r="G3975" s="2">
        <v>201802</v>
      </c>
      <c r="H3975" s="2" t="s">
        <v>74</v>
      </c>
      <c r="I3975" s="2" t="s">
        <v>75</v>
      </c>
      <c r="J3975" s="2" t="s">
        <v>76</v>
      </c>
      <c r="K3975" s="2" t="s">
        <v>77</v>
      </c>
      <c r="L3975" s="2" t="s">
        <v>170</v>
      </c>
      <c r="M3975" s="2" t="s">
        <v>171</v>
      </c>
      <c r="N3975" s="2" t="s">
        <v>1935</v>
      </c>
      <c r="O3975" s="2" t="s">
        <v>100</v>
      </c>
      <c r="P3975" s="2" t="str">
        <f>"2170582746                    "</f>
        <v xml:space="preserve">2170582746                    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3.13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0</v>
      </c>
      <c r="AV3975" s="2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2">
        <v>0</v>
      </c>
      <c r="BD3975" s="2">
        <v>0</v>
      </c>
      <c r="BE3975" s="2">
        <v>0</v>
      </c>
      <c r="BF3975" s="2">
        <v>0</v>
      </c>
      <c r="BG3975" s="2">
        <v>0</v>
      </c>
      <c r="BH3975" s="2">
        <v>1</v>
      </c>
      <c r="BI3975" s="2">
        <v>1</v>
      </c>
      <c r="BJ3975" s="2">
        <v>0.2</v>
      </c>
      <c r="BK3975" s="2">
        <v>1</v>
      </c>
      <c r="BL3975" s="2">
        <v>32.380000000000003</v>
      </c>
      <c r="BM3975" s="2">
        <v>4.53</v>
      </c>
      <c r="BN3975" s="2">
        <v>36.909999999999997</v>
      </c>
      <c r="BO3975" s="2">
        <v>36.909999999999997</v>
      </c>
      <c r="BP3975" s="2"/>
      <c r="BQ3975" s="2" t="s">
        <v>83</v>
      </c>
      <c r="BR3975" s="2" t="s">
        <v>84</v>
      </c>
      <c r="BS3975" s="3">
        <v>42950</v>
      </c>
      <c r="BT3975" s="4">
        <v>0.3840277777777778</v>
      </c>
      <c r="BU3975" s="2" t="s">
        <v>1936</v>
      </c>
      <c r="BV3975" s="2" t="s">
        <v>95</v>
      </c>
      <c r="BW3975" s="2"/>
      <c r="BX3975" s="2"/>
      <c r="BY3975" s="2">
        <v>1200</v>
      </c>
      <c r="BZ3975" s="2" t="s">
        <v>27</v>
      </c>
      <c r="CA3975" s="2" t="s">
        <v>1441</v>
      </c>
      <c r="CB3975" s="2"/>
      <c r="CC3975" s="2" t="s">
        <v>171</v>
      </c>
      <c r="CD3975" s="2">
        <v>1406</v>
      </c>
      <c r="CE3975" s="2" t="s">
        <v>104</v>
      </c>
      <c r="CF3975" s="5">
        <v>42951</v>
      </c>
      <c r="CG3975" s="2"/>
      <c r="CH3975" s="2"/>
      <c r="CI3975" s="2">
        <v>1</v>
      </c>
      <c r="CJ3975" s="2">
        <v>1</v>
      </c>
      <c r="CK3975" s="2">
        <v>22</v>
      </c>
      <c r="CL3975" s="2" t="s">
        <v>86</v>
      </c>
      <c r="CM3975" s="2"/>
    </row>
    <row r="3976" spans="1:91">
      <c r="A3976" s="2" t="s">
        <v>71</v>
      </c>
      <c r="B3976" s="2" t="s">
        <v>72</v>
      </c>
      <c r="C3976" s="2" t="s">
        <v>73</v>
      </c>
      <c r="D3976" s="2"/>
      <c r="E3976" s="2" t="str">
        <f>"FES1162566140"</f>
        <v>FES1162566140</v>
      </c>
      <c r="F3976" s="3">
        <v>42949</v>
      </c>
      <c r="G3976" s="2">
        <v>201802</v>
      </c>
      <c r="H3976" s="2" t="s">
        <v>74</v>
      </c>
      <c r="I3976" s="2" t="s">
        <v>75</v>
      </c>
      <c r="J3976" s="2" t="s">
        <v>76</v>
      </c>
      <c r="K3976" s="2" t="s">
        <v>77</v>
      </c>
      <c r="L3976" s="2" t="s">
        <v>362</v>
      </c>
      <c r="M3976" s="2" t="s">
        <v>363</v>
      </c>
      <c r="N3976" s="2" t="s">
        <v>683</v>
      </c>
      <c r="O3976" s="2" t="s">
        <v>100</v>
      </c>
      <c r="P3976" s="2" t="str">
        <f>"21705879677                   "</f>
        <v xml:space="preserve">21705879677                   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4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2">
        <v>0</v>
      </c>
      <c r="BD3976" s="2">
        <v>0</v>
      </c>
      <c r="BE3976" s="2">
        <v>0</v>
      </c>
      <c r="BF3976" s="2">
        <v>0</v>
      </c>
      <c r="BG3976" s="2">
        <v>0</v>
      </c>
      <c r="BH3976" s="2">
        <v>1</v>
      </c>
      <c r="BI3976" s="2">
        <v>1</v>
      </c>
      <c r="BJ3976" s="2">
        <v>0.2</v>
      </c>
      <c r="BK3976" s="2">
        <v>1</v>
      </c>
      <c r="BL3976" s="2">
        <v>41.44</v>
      </c>
      <c r="BM3976" s="2">
        <v>5.8</v>
      </c>
      <c r="BN3976" s="2">
        <v>47.24</v>
      </c>
      <c r="BO3976" s="2">
        <v>47.24</v>
      </c>
      <c r="BP3976" s="2"/>
      <c r="BQ3976" s="2" t="s">
        <v>108</v>
      </c>
      <c r="BR3976" s="2" t="s">
        <v>84</v>
      </c>
      <c r="BS3976" s="3">
        <v>42950</v>
      </c>
      <c r="BT3976" s="4">
        <v>0.375</v>
      </c>
      <c r="BU3976" s="2" t="s">
        <v>805</v>
      </c>
      <c r="BV3976" s="2" t="s">
        <v>95</v>
      </c>
      <c r="BW3976" s="2"/>
      <c r="BX3976" s="2"/>
      <c r="BY3976" s="2">
        <v>1200</v>
      </c>
      <c r="BZ3976" s="2" t="s">
        <v>27</v>
      </c>
      <c r="CA3976" s="2"/>
      <c r="CB3976" s="2"/>
      <c r="CC3976" s="2" t="s">
        <v>363</v>
      </c>
      <c r="CD3976" s="2">
        <v>3201</v>
      </c>
      <c r="CE3976" s="2" t="s">
        <v>104</v>
      </c>
      <c r="CF3976" s="5">
        <v>42954</v>
      </c>
      <c r="CG3976" s="2"/>
      <c r="CH3976" s="2"/>
      <c r="CI3976" s="2">
        <v>1</v>
      </c>
      <c r="CJ3976" s="2">
        <v>1</v>
      </c>
      <c r="CK3976" s="2">
        <v>21</v>
      </c>
      <c r="CL3976" s="2" t="s">
        <v>86</v>
      </c>
      <c r="CM3976" s="2"/>
    </row>
    <row r="3977" spans="1:91">
      <c r="A3977" s="2" t="s">
        <v>71</v>
      </c>
      <c r="B3977" s="2" t="s">
        <v>72</v>
      </c>
      <c r="C3977" s="2" t="s">
        <v>73</v>
      </c>
      <c r="D3977" s="2"/>
      <c r="E3977" s="2" t="str">
        <f>"FES1162566224"</f>
        <v>FES1162566224</v>
      </c>
      <c r="F3977" s="3">
        <v>42949</v>
      </c>
      <c r="G3977" s="2">
        <v>201802</v>
      </c>
      <c r="H3977" s="2" t="s">
        <v>74</v>
      </c>
      <c r="I3977" s="2" t="s">
        <v>75</v>
      </c>
      <c r="J3977" s="2" t="s">
        <v>76</v>
      </c>
      <c r="K3977" s="2" t="s">
        <v>77</v>
      </c>
      <c r="L3977" s="2" t="s">
        <v>268</v>
      </c>
      <c r="M3977" s="2" t="s">
        <v>269</v>
      </c>
      <c r="N3977" s="2" t="s">
        <v>3774</v>
      </c>
      <c r="O3977" s="2" t="s">
        <v>100</v>
      </c>
      <c r="P3977" s="2" t="str">
        <f>"21700582283                   "</f>
        <v xml:space="preserve">21700582283                   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4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2">
        <v>0</v>
      </c>
      <c r="BD3977" s="2">
        <v>0</v>
      </c>
      <c r="BE3977" s="2">
        <v>0</v>
      </c>
      <c r="BF3977" s="2">
        <v>0</v>
      </c>
      <c r="BG3977" s="2">
        <v>0</v>
      </c>
      <c r="BH3977" s="2">
        <v>1</v>
      </c>
      <c r="BI3977" s="2">
        <v>2</v>
      </c>
      <c r="BJ3977" s="2">
        <v>0.2</v>
      </c>
      <c r="BK3977" s="2">
        <v>2</v>
      </c>
      <c r="BL3977" s="2">
        <v>41.44</v>
      </c>
      <c r="BM3977" s="2">
        <v>5.8</v>
      </c>
      <c r="BN3977" s="2">
        <v>47.24</v>
      </c>
      <c r="BO3977" s="2">
        <v>47.24</v>
      </c>
      <c r="BP3977" s="2"/>
      <c r="BQ3977" s="2" t="s">
        <v>83</v>
      </c>
      <c r="BR3977" s="2" t="s">
        <v>84</v>
      </c>
      <c r="BS3977" s="3">
        <v>42950</v>
      </c>
      <c r="BT3977" s="4">
        <v>0.44444444444444442</v>
      </c>
      <c r="BU3977" s="2" t="s">
        <v>2323</v>
      </c>
      <c r="BV3977" s="2" t="s">
        <v>95</v>
      </c>
      <c r="BW3977" s="2"/>
      <c r="BX3977" s="2"/>
      <c r="BY3977" s="2">
        <v>1200</v>
      </c>
      <c r="BZ3977" s="2" t="s">
        <v>27</v>
      </c>
      <c r="CA3977" s="2" t="s">
        <v>272</v>
      </c>
      <c r="CB3977" s="2"/>
      <c r="CC3977" s="2" t="s">
        <v>269</v>
      </c>
      <c r="CD3977" s="2">
        <v>200</v>
      </c>
      <c r="CE3977" s="2" t="s">
        <v>104</v>
      </c>
      <c r="CF3977" s="5">
        <v>42951</v>
      </c>
      <c r="CG3977" s="2"/>
      <c r="CH3977" s="2"/>
      <c r="CI3977" s="2">
        <v>1</v>
      </c>
      <c r="CJ3977" s="2">
        <v>1</v>
      </c>
      <c r="CK3977" s="2">
        <v>21</v>
      </c>
      <c r="CL3977" s="2" t="s">
        <v>86</v>
      </c>
      <c r="CM3977" s="2"/>
    </row>
    <row r="3978" spans="1:91">
      <c r="A3978" s="2" t="s">
        <v>71</v>
      </c>
      <c r="B3978" s="2" t="s">
        <v>72</v>
      </c>
      <c r="C3978" s="2" t="s">
        <v>73</v>
      </c>
      <c r="D3978" s="2"/>
      <c r="E3978" s="2" t="str">
        <f>"FES116566362"</f>
        <v>FES116566362</v>
      </c>
      <c r="F3978" s="3">
        <v>42949</v>
      </c>
      <c r="G3978" s="2">
        <v>201802</v>
      </c>
      <c r="H3978" s="2" t="s">
        <v>74</v>
      </c>
      <c r="I3978" s="2" t="s">
        <v>75</v>
      </c>
      <c r="J3978" s="2" t="s">
        <v>76</v>
      </c>
      <c r="K3978" s="2" t="s">
        <v>77</v>
      </c>
      <c r="L3978" s="2" t="s">
        <v>268</v>
      </c>
      <c r="M3978" s="2" t="s">
        <v>269</v>
      </c>
      <c r="N3978" s="2" t="s">
        <v>3645</v>
      </c>
      <c r="O3978" s="2" t="s">
        <v>100</v>
      </c>
      <c r="P3978" s="2" t="str">
        <f>"2170580194                    "</f>
        <v xml:space="preserve">2170580194                    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4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2">
        <v>0</v>
      </c>
      <c r="BD3978" s="2">
        <v>0</v>
      </c>
      <c r="BE3978" s="2">
        <v>0</v>
      </c>
      <c r="BF3978" s="2">
        <v>0</v>
      </c>
      <c r="BG3978" s="2">
        <v>0</v>
      </c>
      <c r="BH3978" s="2">
        <v>1</v>
      </c>
      <c r="BI3978" s="2">
        <v>1</v>
      </c>
      <c r="BJ3978" s="2">
        <v>0.2</v>
      </c>
      <c r="BK3978" s="2">
        <v>1</v>
      </c>
      <c r="BL3978" s="2">
        <v>41.44</v>
      </c>
      <c r="BM3978" s="2">
        <v>5.8</v>
      </c>
      <c r="BN3978" s="2">
        <v>47.24</v>
      </c>
      <c r="BO3978" s="2">
        <v>47.24</v>
      </c>
      <c r="BP3978" s="2"/>
      <c r="BQ3978" s="2" t="s">
        <v>83</v>
      </c>
      <c r="BR3978" s="2" t="s">
        <v>84</v>
      </c>
      <c r="BS3978" s="3">
        <v>42950</v>
      </c>
      <c r="BT3978" s="4">
        <v>0.47569444444444442</v>
      </c>
      <c r="BU3978" s="2" t="s">
        <v>1475</v>
      </c>
      <c r="BV3978" s="2" t="s">
        <v>86</v>
      </c>
      <c r="BW3978" s="2" t="s">
        <v>1007</v>
      </c>
      <c r="BX3978" s="2" t="s">
        <v>1008</v>
      </c>
      <c r="BY3978" s="2">
        <v>1200</v>
      </c>
      <c r="BZ3978" s="2" t="s">
        <v>27</v>
      </c>
      <c r="CA3978" s="2"/>
      <c r="CB3978" s="2"/>
      <c r="CC3978" s="2" t="s">
        <v>269</v>
      </c>
      <c r="CD3978" s="2">
        <v>184</v>
      </c>
      <c r="CE3978" s="2" t="s">
        <v>104</v>
      </c>
      <c r="CF3978" s="2"/>
      <c r="CG3978" s="2"/>
      <c r="CH3978" s="2"/>
      <c r="CI3978" s="2">
        <v>1</v>
      </c>
      <c r="CJ3978" s="2">
        <v>1</v>
      </c>
      <c r="CK3978" s="2">
        <v>21</v>
      </c>
      <c r="CL3978" s="2" t="s">
        <v>86</v>
      </c>
      <c r="CM3978" s="2"/>
    </row>
    <row r="3979" spans="1:91">
      <c r="A3979" s="2" t="s">
        <v>71</v>
      </c>
      <c r="B3979" s="2" t="s">
        <v>72</v>
      </c>
      <c r="C3979" s="2" t="s">
        <v>73</v>
      </c>
      <c r="D3979" s="2"/>
      <c r="E3979" s="2" t="str">
        <f>"FES1162566222"</f>
        <v>FES1162566222</v>
      </c>
      <c r="F3979" s="3">
        <v>42949</v>
      </c>
      <c r="G3979" s="2">
        <v>201802</v>
      </c>
      <c r="H3979" s="2" t="s">
        <v>74</v>
      </c>
      <c r="I3979" s="2" t="s">
        <v>75</v>
      </c>
      <c r="J3979" s="2" t="s">
        <v>76</v>
      </c>
      <c r="K3979" s="2" t="s">
        <v>77</v>
      </c>
      <c r="L3979" s="2" t="s">
        <v>268</v>
      </c>
      <c r="M3979" s="2" t="s">
        <v>269</v>
      </c>
      <c r="N3979" s="2" t="s">
        <v>493</v>
      </c>
      <c r="O3979" s="2" t="s">
        <v>100</v>
      </c>
      <c r="P3979" s="2" t="str">
        <f>"2170582272                    "</f>
        <v xml:space="preserve">2170582272                    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4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2">
        <v>0</v>
      </c>
      <c r="BD3979" s="2">
        <v>0</v>
      </c>
      <c r="BE3979" s="2">
        <v>0</v>
      </c>
      <c r="BF3979" s="2">
        <v>0</v>
      </c>
      <c r="BG3979" s="2">
        <v>0</v>
      </c>
      <c r="BH3979" s="2">
        <v>1</v>
      </c>
      <c r="BI3979" s="2">
        <v>1</v>
      </c>
      <c r="BJ3979" s="2">
        <v>0.2</v>
      </c>
      <c r="BK3979" s="2">
        <v>1</v>
      </c>
      <c r="BL3979" s="2">
        <v>41.44</v>
      </c>
      <c r="BM3979" s="2">
        <v>5.8</v>
      </c>
      <c r="BN3979" s="2">
        <v>47.24</v>
      </c>
      <c r="BO3979" s="2">
        <v>47.24</v>
      </c>
      <c r="BP3979" s="2"/>
      <c r="BQ3979" s="2" t="s">
        <v>83</v>
      </c>
      <c r="BR3979" s="2" t="s">
        <v>84</v>
      </c>
      <c r="BS3979" s="3">
        <v>42950</v>
      </c>
      <c r="BT3979" s="4">
        <v>0.43055555555555558</v>
      </c>
      <c r="BU3979" s="2" t="s">
        <v>3775</v>
      </c>
      <c r="BV3979" s="2" t="s">
        <v>95</v>
      </c>
      <c r="BW3979" s="2"/>
      <c r="BX3979" s="2"/>
      <c r="BY3979" s="2">
        <v>1200</v>
      </c>
      <c r="BZ3979" s="2" t="s">
        <v>27</v>
      </c>
      <c r="CA3979" s="2" t="s">
        <v>272</v>
      </c>
      <c r="CB3979" s="2"/>
      <c r="CC3979" s="2" t="s">
        <v>269</v>
      </c>
      <c r="CD3979" s="2">
        <v>200</v>
      </c>
      <c r="CE3979" s="2" t="s">
        <v>104</v>
      </c>
      <c r="CF3979" s="5">
        <v>42951</v>
      </c>
      <c r="CG3979" s="2"/>
      <c r="CH3979" s="2"/>
      <c r="CI3979" s="2">
        <v>1</v>
      </c>
      <c r="CJ3979" s="2">
        <v>1</v>
      </c>
      <c r="CK3979" s="2">
        <v>21</v>
      </c>
      <c r="CL3979" s="2" t="s">
        <v>86</v>
      </c>
      <c r="CM3979" s="2"/>
    </row>
    <row r="3980" spans="1:91">
      <c r="A3980" s="2" t="s">
        <v>71</v>
      </c>
      <c r="B3980" s="2" t="s">
        <v>72</v>
      </c>
      <c r="C3980" s="2" t="s">
        <v>73</v>
      </c>
      <c r="D3980" s="2"/>
      <c r="E3980" s="2" t="str">
        <f>"FES1162566499"</f>
        <v>FES1162566499</v>
      </c>
      <c r="F3980" s="3">
        <v>42949</v>
      </c>
      <c r="G3980" s="2">
        <v>201802</v>
      </c>
      <c r="H3980" s="2" t="s">
        <v>74</v>
      </c>
      <c r="I3980" s="2" t="s">
        <v>75</v>
      </c>
      <c r="J3980" s="2" t="s">
        <v>76</v>
      </c>
      <c r="K3980" s="2" t="s">
        <v>77</v>
      </c>
      <c r="L3980" s="2" t="s">
        <v>221</v>
      </c>
      <c r="M3980" s="2" t="s">
        <v>222</v>
      </c>
      <c r="N3980" s="2" t="s">
        <v>415</v>
      </c>
      <c r="O3980" s="2" t="s">
        <v>100</v>
      </c>
      <c r="P3980" s="2" t="str">
        <f>"2170582857                    "</f>
        <v xml:space="preserve">2170582857                    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4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2">
        <v>0</v>
      </c>
      <c r="BD3980" s="2">
        <v>0</v>
      </c>
      <c r="BE3980" s="2">
        <v>0</v>
      </c>
      <c r="BF3980" s="2">
        <v>0</v>
      </c>
      <c r="BG3980" s="2">
        <v>0</v>
      </c>
      <c r="BH3980" s="2">
        <v>1</v>
      </c>
      <c r="BI3980" s="2">
        <v>1</v>
      </c>
      <c r="BJ3980" s="2">
        <v>0.2</v>
      </c>
      <c r="BK3980" s="2">
        <v>1</v>
      </c>
      <c r="BL3980" s="2">
        <v>41.44</v>
      </c>
      <c r="BM3980" s="2">
        <v>5.8</v>
      </c>
      <c r="BN3980" s="2">
        <v>47.24</v>
      </c>
      <c r="BO3980" s="2">
        <v>47.24</v>
      </c>
      <c r="BP3980" s="2"/>
      <c r="BQ3980" s="2" t="s">
        <v>108</v>
      </c>
      <c r="BR3980" s="2" t="s">
        <v>84</v>
      </c>
      <c r="BS3980" s="3">
        <v>42950</v>
      </c>
      <c r="BT3980" s="4">
        <v>0.34583333333333338</v>
      </c>
      <c r="BU3980" s="2" t="s">
        <v>3776</v>
      </c>
      <c r="BV3980" s="2" t="s">
        <v>95</v>
      </c>
      <c r="BW3980" s="2"/>
      <c r="BX3980" s="2"/>
      <c r="BY3980" s="2">
        <v>1200</v>
      </c>
      <c r="BZ3980" s="2" t="s">
        <v>27</v>
      </c>
      <c r="CA3980" s="2" t="s">
        <v>3640</v>
      </c>
      <c r="CB3980" s="2"/>
      <c r="CC3980" s="2" t="s">
        <v>222</v>
      </c>
      <c r="CD3980" s="2">
        <v>4302</v>
      </c>
      <c r="CE3980" s="2" t="s">
        <v>104</v>
      </c>
      <c r="CF3980" s="5">
        <v>42951</v>
      </c>
      <c r="CG3980" s="2"/>
      <c r="CH3980" s="2"/>
      <c r="CI3980" s="2">
        <v>1</v>
      </c>
      <c r="CJ3980" s="2">
        <v>1</v>
      </c>
      <c r="CK3980" s="2">
        <v>21</v>
      </c>
      <c r="CL3980" s="2" t="s">
        <v>86</v>
      </c>
      <c r="CM3980" s="2"/>
    </row>
    <row r="3981" spans="1:91">
      <c r="A3981" s="2" t="s">
        <v>71</v>
      </c>
      <c r="B3981" s="2" t="s">
        <v>72</v>
      </c>
      <c r="C3981" s="2" t="s">
        <v>73</v>
      </c>
      <c r="D3981" s="2"/>
      <c r="E3981" s="2" t="str">
        <f>"FES1162566248"</f>
        <v>FES1162566248</v>
      </c>
      <c r="F3981" s="3">
        <v>42949</v>
      </c>
      <c r="G3981" s="2">
        <v>201802</v>
      </c>
      <c r="H3981" s="2" t="s">
        <v>74</v>
      </c>
      <c r="I3981" s="2" t="s">
        <v>75</v>
      </c>
      <c r="J3981" s="2" t="s">
        <v>76</v>
      </c>
      <c r="K3981" s="2" t="s">
        <v>77</v>
      </c>
      <c r="L3981" s="2" t="s">
        <v>417</v>
      </c>
      <c r="M3981" s="2" t="s">
        <v>417</v>
      </c>
      <c r="N3981" s="2" t="s">
        <v>1309</v>
      </c>
      <c r="O3981" s="2" t="s">
        <v>100</v>
      </c>
      <c r="P3981" s="2" t="str">
        <f>"2170582610                    "</f>
        <v xml:space="preserve">2170582610                    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6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0</v>
      </c>
      <c r="AV3981" s="2">
        <v>0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2">
        <v>0</v>
      </c>
      <c r="BD3981" s="2">
        <v>0</v>
      </c>
      <c r="BE3981" s="2">
        <v>0</v>
      </c>
      <c r="BF3981" s="2">
        <v>0</v>
      </c>
      <c r="BG3981" s="2">
        <v>0</v>
      </c>
      <c r="BH3981" s="2">
        <v>1</v>
      </c>
      <c r="BI3981" s="2">
        <v>2.6</v>
      </c>
      <c r="BJ3981" s="2">
        <v>1.4</v>
      </c>
      <c r="BK3981" s="2">
        <v>3</v>
      </c>
      <c r="BL3981" s="2">
        <v>62.16</v>
      </c>
      <c r="BM3981" s="2">
        <v>8.6999999999999993</v>
      </c>
      <c r="BN3981" s="2">
        <v>70.86</v>
      </c>
      <c r="BO3981" s="2">
        <v>70.86</v>
      </c>
      <c r="BP3981" s="2"/>
      <c r="BQ3981" s="2" t="s">
        <v>83</v>
      </c>
      <c r="BR3981" s="2" t="s">
        <v>84</v>
      </c>
      <c r="BS3981" s="3">
        <v>42950</v>
      </c>
      <c r="BT3981" s="4">
        <v>0.46527777777777773</v>
      </c>
      <c r="BU3981" s="2" t="s">
        <v>653</v>
      </c>
      <c r="BV3981" s="2" t="s">
        <v>95</v>
      </c>
      <c r="BW3981" s="2"/>
      <c r="BX3981" s="2"/>
      <c r="BY3981" s="2">
        <v>6896.58</v>
      </c>
      <c r="BZ3981" s="2" t="s">
        <v>27</v>
      </c>
      <c r="CA3981" s="2" t="s">
        <v>460</v>
      </c>
      <c r="CB3981" s="2"/>
      <c r="CC3981" s="2" t="s">
        <v>417</v>
      </c>
      <c r="CD3981" s="2">
        <v>7646</v>
      </c>
      <c r="CE3981" s="2" t="s">
        <v>89</v>
      </c>
      <c r="CF3981" s="5">
        <v>42950</v>
      </c>
      <c r="CG3981" s="2"/>
      <c r="CH3981" s="2"/>
      <c r="CI3981" s="2">
        <v>1</v>
      </c>
      <c r="CJ3981" s="2">
        <v>1</v>
      </c>
      <c r="CK3981" s="2">
        <v>21</v>
      </c>
      <c r="CL3981" s="2" t="s">
        <v>86</v>
      </c>
      <c r="CM3981" s="2"/>
    </row>
    <row r="3982" spans="1:91">
      <c r="A3982" s="2" t="s">
        <v>71</v>
      </c>
      <c r="B3982" s="2" t="s">
        <v>72</v>
      </c>
      <c r="C3982" s="2" t="s">
        <v>73</v>
      </c>
      <c r="D3982" s="2"/>
      <c r="E3982" s="2" t="str">
        <f>"FES1162566354"</f>
        <v>FES1162566354</v>
      </c>
      <c r="F3982" s="3">
        <v>42949</v>
      </c>
      <c r="G3982" s="2">
        <v>201802</v>
      </c>
      <c r="H3982" s="2" t="s">
        <v>74</v>
      </c>
      <c r="I3982" s="2" t="s">
        <v>75</v>
      </c>
      <c r="J3982" s="2" t="s">
        <v>76</v>
      </c>
      <c r="K3982" s="2" t="s">
        <v>77</v>
      </c>
      <c r="L3982" s="2" t="s">
        <v>74</v>
      </c>
      <c r="M3982" s="2" t="s">
        <v>75</v>
      </c>
      <c r="N3982" s="2" t="s">
        <v>3777</v>
      </c>
      <c r="O3982" s="2" t="s">
        <v>100</v>
      </c>
      <c r="P3982" s="2" t="str">
        <f>"217079976                     "</f>
        <v xml:space="preserve">217079976                     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3.13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0</v>
      </c>
      <c r="BB3982" s="2">
        <v>0</v>
      </c>
      <c r="BC3982" s="2">
        <v>0</v>
      </c>
      <c r="BD3982" s="2">
        <v>0</v>
      </c>
      <c r="BE3982" s="2">
        <v>0</v>
      </c>
      <c r="BF3982" s="2">
        <v>0</v>
      </c>
      <c r="BG3982" s="2">
        <v>0</v>
      </c>
      <c r="BH3982" s="2">
        <v>1</v>
      </c>
      <c r="BI3982" s="2">
        <v>2</v>
      </c>
      <c r="BJ3982" s="2">
        <v>3.3</v>
      </c>
      <c r="BK3982" s="2">
        <v>4</v>
      </c>
      <c r="BL3982" s="2">
        <v>32.380000000000003</v>
      </c>
      <c r="BM3982" s="2">
        <v>4.53</v>
      </c>
      <c r="BN3982" s="2">
        <v>36.909999999999997</v>
      </c>
      <c r="BO3982" s="2">
        <v>36.909999999999997</v>
      </c>
      <c r="BP3982" s="2"/>
      <c r="BQ3982" s="2" t="s">
        <v>3778</v>
      </c>
      <c r="BR3982" s="2" t="s">
        <v>84</v>
      </c>
      <c r="BS3982" s="3">
        <v>42950</v>
      </c>
      <c r="BT3982" s="4">
        <v>0.41666666666666669</v>
      </c>
      <c r="BU3982" s="2" t="s">
        <v>3779</v>
      </c>
      <c r="BV3982" s="2" t="s">
        <v>95</v>
      </c>
      <c r="BW3982" s="2"/>
      <c r="BX3982" s="2"/>
      <c r="BY3982" s="2">
        <v>16675.2</v>
      </c>
      <c r="BZ3982" s="2" t="s">
        <v>27</v>
      </c>
      <c r="CA3982" s="2"/>
      <c r="CB3982" s="2"/>
      <c r="CC3982" s="2" t="s">
        <v>75</v>
      </c>
      <c r="CD3982" s="2">
        <v>1600</v>
      </c>
      <c r="CE3982" s="2" t="s">
        <v>89</v>
      </c>
      <c r="CF3982" s="5">
        <v>42950</v>
      </c>
      <c r="CG3982" s="2"/>
      <c r="CH3982" s="2"/>
      <c r="CI3982" s="2">
        <v>1</v>
      </c>
      <c r="CJ3982" s="2">
        <v>1</v>
      </c>
      <c r="CK3982" s="2">
        <v>22</v>
      </c>
      <c r="CL3982" s="2" t="s">
        <v>86</v>
      </c>
      <c r="CM3982" s="2"/>
    </row>
    <row r="3983" spans="1:91">
      <c r="A3983" s="2" t="s">
        <v>71</v>
      </c>
      <c r="B3983" s="2" t="s">
        <v>72</v>
      </c>
      <c r="C3983" s="2" t="s">
        <v>73</v>
      </c>
      <c r="D3983" s="2"/>
      <c r="E3983" s="2" t="str">
        <f>"FES1162566330"</f>
        <v>FES1162566330</v>
      </c>
      <c r="F3983" s="3">
        <v>42949</v>
      </c>
      <c r="G3983" s="2">
        <v>201802</v>
      </c>
      <c r="H3983" s="2" t="s">
        <v>74</v>
      </c>
      <c r="I3983" s="2" t="s">
        <v>75</v>
      </c>
      <c r="J3983" s="2" t="s">
        <v>76</v>
      </c>
      <c r="K3983" s="2" t="s">
        <v>77</v>
      </c>
      <c r="L3983" s="2" t="s">
        <v>74</v>
      </c>
      <c r="M3983" s="2" t="s">
        <v>75</v>
      </c>
      <c r="N3983" s="2" t="s">
        <v>407</v>
      </c>
      <c r="O3983" s="2" t="s">
        <v>100</v>
      </c>
      <c r="P3983" s="2" t="str">
        <f>"2170580983                    "</f>
        <v xml:space="preserve">2170580983                    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3.13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0</v>
      </c>
      <c r="AV3983" s="2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2">
        <v>0</v>
      </c>
      <c r="BD3983" s="2">
        <v>0</v>
      </c>
      <c r="BE3983" s="2">
        <v>0</v>
      </c>
      <c r="BF3983" s="2">
        <v>0</v>
      </c>
      <c r="BG3983" s="2">
        <v>0</v>
      </c>
      <c r="BH3983" s="2">
        <v>1</v>
      </c>
      <c r="BI3983" s="2">
        <v>3.1</v>
      </c>
      <c r="BJ3983" s="2">
        <v>1.7</v>
      </c>
      <c r="BK3983" s="2">
        <v>4</v>
      </c>
      <c r="BL3983" s="2">
        <v>32.380000000000003</v>
      </c>
      <c r="BM3983" s="2">
        <v>4.53</v>
      </c>
      <c r="BN3983" s="2">
        <v>36.909999999999997</v>
      </c>
      <c r="BO3983" s="2">
        <v>36.909999999999997</v>
      </c>
      <c r="BP3983" s="2"/>
      <c r="BQ3983" s="2" t="s">
        <v>108</v>
      </c>
      <c r="BR3983" s="2" t="s">
        <v>84</v>
      </c>
      <c r="BS3983" s="3">
        <v>42950</v>
      </c>
      <c r="BT3983" s="4">
        <v>0.33333333333333331</v>
      </c>
      <c r="BU3983" s="2" t="s">
        <v>935</v>
      </c>
      <c r="BV3983" s="2" t="s">
        <v>95</v>
      </c>
      <c r="BW3983" s="2"/>
      <c r="BX3983" s="2"/>
      <c r="BY3983" s="2">
        <v>8381.6</v>
      </c>
      <c r="BZ3983" s="2" t="s">
        <v>27</v>
      </c>
      <c r="CA3983" s="2" t="s">
        <v>267</v>
      </c>
      <c r="CB3983" s="2"/>
      <c r="CC3983" s="2" t="s">
        <v>75</v>
      </c>
      <c r="CD3983" s="2">
        <v>1645</v>
      </c>
      <c r="CE3983" s="2" t="s">
        <v>89</v>
      </c>
      <c r="CF3983" s="5">
        <v>42951</v>
      </c>
      <c r="CG3983" s="2"/>
      <c r="CH3983" s="2"/>
      <c r="CI3983" s="2">
        <v>1</v>
      </c>
      <c r="CJ3983" s="2">
        <v>1</v>
      </c>
      <c r="CK3983" s="2">
        <v>22</v>
      </c>
      <c r="CL3983" s="2" t="s">
        <v>86</v>
      </c>
      <c r="CM3983" s="2"/>
    </row>
    <row r="3984" spans="1:91">
      <c r="A3984" s="2" t="s">
        <v>71</v>
      </c>
      <c r="B3984" s="2" t="s">
        <v>72</v>
      </c>
      <c r="C3984" s="2" t="s">
        <v>73</v>
      </c>
      <c r="D3984" s="2"/>
      <c r="E3984" s="2" t="str">
        <f>"FES1162566344"</f>
        <v>FES1162566344</v>
      </c>
      <c r="F3984" s="3">
        <v>42949</v>
      </c>
      <c r="G3984" s="2">
        <v>201802</v>
      </c>
      <c r="H3984" s="2" t="s">
        <v>74</v>
      </c>
      <c r="I3984" s="2" t="s">
        <v>75</v>
      </c>
      <c r="J3984" s="2" t="s">
        <v>76</v>
      </c>
      <c r="K3984" s="2" t="s">
        <v>77</v>
      </c>
      <c r="L3984" s="2" t="s">
        <v>137</v>
      </c>
      <c r="M3984" s="2" t="s">
        <v>138</v>
      </c>
      <c r="N3984" s="2" t="s">
        <v>3780</v>
      </c>
      <c r="O3984" s="2" t="s">
        <v>100</v>
      </c>
      <c r="P3984" s="2" t="str">
        <f>"21705876952                   "</f>
        <v xml:space="preserve">21705876952                   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4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2">
        <v>0</v>
      </c>
      <c r="BD3984" s="2">
        <v>0</v>
      </c>
      <c r="BE3984" s="2">
        <v>0</v>
      </c>
      <c r="BF3984" s="2">
        <v>0</v>
      </c>
      <c r="BG3984" s="2">
        <v>0</v>
      </c>
      <c r="BH3984" s="2">
        <v>1</v>
      </c>
      <c r="BI3984" s="2">
        <v>1.4</v>
      </c>
      <c r="BJ3984" s="2">
        <v>1.6</v>
      </c>
      <c r="BK3984" s="2">
        <v>2</v>
      </c>
      <c r="BL3984" s="2">
        <v>41.44</v>
      </c>
      <c r="BM3984" s="2">
        <v>5.8</v>
      </c>
      <c r="BN3984" s="2">
        <v>47.24</v>
      </c>
      <c r="BO3984" s="2">
        <v>47.24</v>
      </c>
      <c r="BP3984" s="2"/>
      <c r="BQ3984" s="2"/>
      <c r="BR3984" s="2" t="s">
        <v>84</v>
      </c>
      <c r="BS3984" s="3">
        <v>42950</v>
      </c>
      <c r="BT3984" s="4">
        <v>0.3743055555555555</v>
      </c>
      <c r="BU3984" s="2" t="s">
        <v>3781</v>
      </c>
      <c r="BV3984" s="2" t="s">
        <v>95</v>
      </c>
      <c r="BW3984" s="2"/>
      <c r="BX3984" s="2"/>
      <c r="BY3984" s="2">
        <v>7994.25</v>
      </c>
      <c r="BZ3984" s="2" t="s">
        <v>27</v>
      </c>
      <c r="CA3984" s="2"/>
      <c r="CB3984" s="2"/>
      <c r="CC3984" s="2" t="s">
        <v>138</v>
      </c>
      <c r="CD3984" s="2">
        <v>46</v>
      </c>
      <c r="CE3984" s="2" t="s">
        <v>89</v>
      </c>
      <c r="CF3984" s="5">
        <v>42958</v>
      </c>
      <c r="CG3984" s="2"/>
      <c r="CH3984" s="2"/>
      <c r="CI3984" s="2">
        <v>1</v>
      </c>
      <c r="CJ3984" s="2">
        <v>1</v>
      </c>
      <c r="CK3984" s="2">
        <v>21</v>
      </c>
      <c r="CL3984" s="2" t="s">
        <v>86</v>
      </c>
      <c r="CM3984" s="2"/>
    </row>
    <row r="3985" spans="1:91">
      <c r="A3985" s="2" t="s">
        <v>71</v>
      </c>
      <c r="B3985" s="2" t="s">
        <v>72</v>
      </c>
      <c r="C3985" s="2" t="s">
        <v>73</v>
      </c>
      <c r="D3985" s="2"/>
      <c r="E3985" s="2" t="str">
        <f>"FES1162566136"</f>
        <v>FES1162566136</v>
      </c>
      <c r="F3985" s="3">
        <v>42949</v>
      </c>
      <c r="G3985" s="2">
        <v>201802</v>
      </c>
      <c r="H3985" s="2" t="s">
        <v>74</v>
      </c>
      <c r="I3985" s="2" t="s">
        <v>75</v>
      </c>
      <c r="J3985" s="2" t="s">
        <v>76</v>
      </c>
      <c r="K3985" s="2" t="s">
        <v>77</v>
      </c>
      <c r="L3985" s="2" t="s">
        <v>362</v>
      </c>
      <c r="M3985" s="2" t="s">
        <v>363</v>
      </c>
      <c r="N3985" s="2" t="s">
        <v>683</v>
      </c>
      <c r="O3985" s="2" t="s">
        <v>100</v>
      </c>
      <c r="P3985" s="2" t="str">
        <f>"2170579346                    "</f>
        <v xml:space="preserve">2170579346                    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4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0</v>
      </c>
      <c r="BA3985" s="2">
        <v>0</v>
      </c>
      <c r="BB3985" s="2">
        <v>0</v>
      </c>
      <c r="BC3985" s="2">
        <v>0</v>
      </c>
      <c r="BD3985" s="2">
        <v>0</v>
      </c>
      <c r="BE3985" s="2">
        <v>0</v>
      </c>
      <c r="BF3985" s="2">
        <v>0</v>
      </c>
      <c r="BG3985" s="2">
        <v>0</v>
      </c>
      <c r="BH3985" s="2">
        <v>1</v>
      </c>
      <c r="BI3985" s="2">
        <v>1</v>
      </c>
      <c r="BJ3985" s="2">
        <v>0.2</v>
      </c>
      <c r="BK3985" s="2">
        <v>1</v>
      </c>
      <c r="BL3985" s="2">
        <v>41.44</v>
      </c>
      <c r="BM3985" s="2">
        <v>5.8</v>
      </c>
      <c r="BN3985" s="2">
        <v>47.24</v>
      </c>
      <c r="BO3985" s="2">
        <v>47.24</v>
      </c>
      <c r="BP3985" s="2"/>
      <c r="BQ3985" s="2" t="s">
        <v>108</v>
      </c>
      <c r="BR3985" s="2" t="s">
        <v>84</v>
      </c>
      <c r="BS3985" s="3">
        <v>42950</v>
      </c>
      <c r="BT3985" s="4">
        <v>0.375</v>
      </c>
      <c r="BU3985" s="2" t="s">
        <v>805</v>
      </c>
      <c r="BV3985" s="2" t="s">
        <v>95</v>
      </c>
      <c r="BW3985" s="2"/>
      <c r="BX3985" s="2"/>
      <c r="BY3985" s="2">
        <v>1200</v>
      </c>
      <c r="BZ3985" s="2" t="s">
        <v>27</v>
      </c>
      <c r="CA3985" s="2"/>
      <c r="CB3985" s="2"/>
      <c r="CC3985" s="2" t="s">
        <v>363</v>
      </c>
      <c r="CD3985" s="2">
        <v>3201</v>
      </c>
      <c r="CE3985" s="2" t="s">
        <v>104</v>
      </c>
      <c r="CF3985" s="5">
        <v>42954</v>
      </c>
      <c r="CG3985" s="2"/>
      <c r="CH3985" s="2"/>
      <c r="CI3985" s="2">
        <v>1</v>
      </c>
      <c r="CJ3985" s="2">
        <v>1</v>
      </c>
      <c r="CK3985" s="2">
        <v>21</v>
      </c>
      <c r="CL3985" s="2" t="s">
        <v>86</v>
      </c>
      <c r="CM3985" s="2"/>
    </row>
    <row r="3986" spans="1:91">
      <c r="A3986" s="2" t="s">
        <v>71</v>
      </c>
      <c r="B3986" s="2" t="s">
        <v>72</v>
      </c>
      <c r="C3986" s="2" t="s">
        <v>73</v>
      </c>
      <c r="D3986" s="2"/>
      <c r="E3986" s="2" t="str">
        <f>"FES1162566148"</f>
        <v>FES1162566148</v>
      </c>
      <c r="F3986" s="3">
        <v>42949</v>
      </c>
      <c r="G3986" s="2">
        <v>201802</v>
      </c>
      <c r="H3986" s="2" t="s">
        <v>74</v>
      </c>
      <c r="I3986" s="2" t="s">
        <v>75</v>
      </c>
      <c r="J3986" s="2" t="s">
        <v>76</v>
      </c>
      <c r="K3986" s="2" t="s">
        <v>77</v>
      </c>
      <c r="L3986" s="2" t="s">
        <v>362</v>
      </c>
      <c r="M3986" s="2" t="s">
        <v>363</v>
      </c>
      <c r="N3986" s="2" t="s">
        <v>683</v>
      </c>
      <c r="O3986" s="2" t="s">
        <v>100</v>
      </c>
      <c r="P3986" s="2" t="str">
        <f>"2170579943                    "</f>
        <v xml:space="preserve">2170579943                    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7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0</v>
      </c>
      <c r="AV3986" s="2">
        <v>0</v>
      </c>
      <c r="AW3986" s="2">
        <v>0</v>
      </c>
      <c r="AX3986" s="2">
        <v>0</v>
      </c>
      <c r="AY3986" s="2">
        <v>0</v>
      </c>
      <c r="AZ3986" s="2">
        <v>0</v>
      </c>
      <c r="BA3986" s="2">
        <v>0</v>
      </c>
      <c r="BB3986" s="2">
        <v>0</v>
      </c>
      <c r="BC3986" s="2">
        <v>0</v>
      </c>
      <c r="BD3986" s="2">
        <v>0</v>
      </c>
      <c r="BE3986" s="2">
        <v>0</v>
      </c>
      <c r="BF3986" s="2">
        <v>0</v>
      </c>
      <c r="BG3986" s="2">
        <v>0</v>
      </c>
      <c r="BH3986" s="2">
        <v>1</v>
      </c>
      <c r="BI3986" s="2">
        <v>3.1</v>
      </c>
      <c r="BJ3986" s="2">
        <v>1</v>
      </c>
      <c r="BK3986" s="2">
        <v>3.5</v>
      </c>
      <c r="BL3986" s="2">
        <v>72.52</v>
      </c>
      <c r="BM3986" s="2">
        <v>10.15</v>
      </c>
      <c r="BN3986" s="2">
        <v>82.67</v>
      </c>
      <c r="BO3986" s="2">
        <v>82.67</v>
      </c>
      <c r="BP3986" s="2"/>
      <c r="BQ3986" s="2" t="s">
        <v>108</v>
      </c>
      <c r="BR3986" s="2" t="s">
        <v>84</v>
      </c>
      <c r="BS3986" s="3">
        <v>42950</v>
      </c>
      <c r="BT3986" s="4">
        <v>0.375</v>
      </c>
      <c r="BU3986" s="2" t="s">
        <v>805</v>
      </c>
      <c r="BV3986" s="2" t="s">
        <v>95</v>
      </c>
      <c r="BW3986" s="2"/>
      <c r="BX3986" s="2"/>
      <c r="BY3986" s="2">
        <v>4901.4399999999996</v>
      </c>
      <c r="BZ3986" s="2" t="s">
        <v>27</v>
      </c>
      <c r="CA3986" s="2"/>
      <c r="CB3986" s="2"/>
      <c r="CC3986" s="2" t="s">
        <v>363</v>
      </c>
      <c r="CD3986" s="2">
        <v>3201</v>
      </c>
      <c r="CE3986" s="2" t="s">
        <v>89</v>
      </c>
      <c r="CF3986" s="5">
        <v>42954</v>
      </c>
      <c r="CG3986" s="2"/>
      <c r="CH3986" s="2"/>
      <c r="CI3986" s="2">
        <v>1</v>
      </c>
      <c r="CJ3986" s="2">
        <v>1</v>
      </c>
      <c r="CK3986" s="2">
        <v>21</v>
      </c>
      <c r="CL3986" s="2" t="s">
        <v>86</v>
      </c>
      <c r="CM3986" s="2"/>
    </row>
    <row r="3987" spans="1:91">
      <c r="A3987" s="2" t="s">
        <v>71</v>
      </c>
      <c r="B3987" s="2" t="s">
        <v>72</v>
      </c>
      <c r="C3987" s="2" t="s">
        <v>73</v>
      </c>
      <c r="D3987" s="2"/>
      <c r="E3987" s="2" t="str">
        <f>"FES1162566432"</f>
        <v>FES1162566432</v>
      </c>
      <c r="F3987" s="3">
        <v>42949</v>
      </c>
      <c r="G3987" s="2">
        <v>201802</v>
      </c>
      <c r="H3987" s="2" t="s">
        <v>74</v>
      </c>
      <c r="I3987" s="2" t="s">
        <v>75</v>
      </c>
      <c r="J3987" s="2" t="s">
        <v>76</v>
      </c>
      <c r="K3987" s="2" t="s">
        <v>77</v>
      </c>
      <c r="L3987" s="2" t="s">
        <v>149</v>
      </c>
      <c r="M3987" s="2" t="s">
        <v>150</v>
      </c>
      <c r="N3987" s="2" t="s">
        <v>482</v>
      </c>
      <c r="O3987" s="2" t="s">
        <v>100</v>
      </c>
      <c r="P3987" s="2" t="str">
        <f>"2170582792                    "</f>
        <v xml:space="preserve">2170582792                    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4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0</v>
      </c>
      <c r="BA3987" s="2">
        <v>0</v>
      </c>
      <c r="BB3987" s="2">
        <v>0</v>
      </c>
      <c r="BC3987" s="2">
        <v>0</v>
      </c>
      <c r="BD3987" s="2">
        <v>0</v>
      </c>
      <c r="BE3987" s="2">
        <v>0</v>
      </c>
      <c r="BF3987" s="2">
        <v>0</v>
      </c>
      <c r="BG3987" s="2">
        <v>0</v>
      </c>
      <c r="BH3987" s="2">
        <v>1</v>
      </c>
      <c r="BI3987" s="2">
        <v>1</v>
      </c>
      <c r="BJ3987" s="2">
        <v>0.2</v>
      </c>
      <c r="BK3987" s="2">
        <v>1</v>
      </c>
      <c r="BL3987" s="2">
        <v>41.44</v>
      </c>
      <c r="BM3987" s="2">
        <v>5.8</v>
      </c>
      <c r="BN3987" s="2">
        <v>47.24</v>
      </c>
      <c r="BO3987" s="2">
        <v>47.24</v>
      </c>
      <c r="BP3987" s="2"/>
      <c r="BQ3987" s="2" t="s">
        <v>83</v>
      </c>
      <c r="BR3987" s="2" t="s">
        <v>84</v>
      </c>
      <c r="BS3987" s="3">
        <v>42950</v>
      </c>
      <c r="BT3987" s="4">
        <v>0.38819444444444445</v>
      </c>
      <c r="BU3987" s="2" t="s">
        <v>2390</v>
      </c>
      <c r="BV3987" s="2" t="s">
        <v>95</v>
      </c>
      <c r="BW3987" s="2"/>
      <c r="BX3987" s="2"/>
      <c r="BY3987" s="2">
        <v>1200</v>
      </c>
      <c r="BZ3987" s="2" t="s">
        <v>27</v>
      </c>
      <c r="CA3987" s="2" t="s">
        <v>682</v>
      </c>
      <c r="CB3987" s="2"/>
      <c r="CC3987" s="2" t="s">
        <v>150</v>
      </c>
      <c r="CD3987" s="2">
        <v>4001</v>
      </c>
      <c r="CE3987" s="2" t="s">
        <v>104</v>
      </c>
      <c r="CF3987" s="5">
        <v>42951</v>
      </c>
      <c r="CG3987" s="2"/>
      <c r="CH3987" s="2"/>
      <c r="CI3987" s="2">
        <v>1</v>
      </c>
      <c r="CJ3987" s="2">
        <v>1</v>
      </c>
      <c r="CK3987" s="2">
        <v>21</v>
      </c>
      <c r="CL3987" s="2" t="s">
        <v>86</v>
      </c>
      <c r="CM3987" s="2"/>
    </row>
    <row r="3988" spans="1:91">
      <c r="A3988" s="2" t="s">
        <v>71</v>
      </c>
      <c r="B3988" s="2" t="s">
        <v>72</v>
      </c>
      <c r="C3988" s="2" t="s">
        <v>73</v>
      </c>
      <c r="D3988" s="2"/>
      <c r="E3988" s="2" t="str">
        <f>"FES1162566365"</f>
        <v>FES1162566365</v>
      </c>
      <c r="F3988" s="3">
        <v>42949</v>
      </c>
      <c r="G3988" s="2">
        <v>201802</v>
      </c>
      <c r="H3988" s="2" t="s">
        <v>74</v>
      </c>
      <c r="I3988" s="2" t="s">
        <v>75</v>
      </c>
      <c r="J3988" s="2" t="s">
        <v>76</v>
      </c>
      <c r="K3988" s="2" t="s">
        <v>77</v>
      </c>
      <c r="L3988" s="2" t="s">
        <v>244</v>
      </c>
      <c r="M3988" s="2" t="s">
        <v>245</v>
      </c>
      <c r="N3988" s="2" t="s">
        <v>1175</v>
      </c>
      <c r="O3988" s="2" t="s">
        <v>100</v>
      </c>
      <c r="P3988" s="2" t="str">
        <f>"2170580260                    "</f>
        <v xml:space="preserve">2170580260                    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3.13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0</v>
      </c>
      <c r="AZ3988" s="2">
        <v>0</v>
      </c>
      <c r="BA3988" s="2">
        <v>0</v>
      </c>
      <c r="BB3988" s="2">
        <v>0</v>
      </c>
      <c r="BC3988" s="2">
        <v>0</v>
      </c>
      <c r="BD3988" s="2">
        <v>0</v>
      </c>
      <c r="BE3988" s="2">
        <v>0</v>
      </c>
      <c r="BF3988" s="2">
        <v>0</v>
      </c>
      <c r="BG3988" s="2">
        <v>0</v>
      </c>
      <c r="BH3988" s="2">
        <v>1</v>
      </c>
      <c r="BI3988" s="2">
        <v>1</v>
      </c>
      <c r="BJ3988" s="2">
        <v>0.2</v>
      </c>
      <c r="BK3988" s="2">
        <v>1</v>
      </c>
      <c r="BL3988" s="2">
        <v>32.380000000000003</v>
      </c>
      <c r="BM3988" s="2">
        <v>4.53</v>
      </c>
      <c r="BN3988" s="2">
        <v>36.909999999999997</v>
      </c>
      <c r="BO3988" s="2">
        <v>36.909999999999997</v>
      </c>
      <c r="BP3988" s="2"/>
      <c r="BQ3988" s="2" t="s">
        <v>83</v>
      </c>
      <c r="BR3988" s="2" t="s">
        <v>84</v>
      </c>
      <c r="BS3988" s="3">
        <v>42950</v>
      </c>
      <c r="BT3988" s="4">
        <v>0.33124999999999999</v>
      </c>
      <c r="BU3988" s="2" t="s">
        <v>1176</v>
      </c>
      <c r="BV3988" s="2" t="s">
        <v>95</v>
      </c>
      <c r="BW3988" s="2"/>
      <c r="BX3988" s="2"/>
      <c r="BY3988" s="2">
        <v>1200</v>
      </c>
      <c r="BZ3988" s="2" t="s">
        <v>27</v>
      </c>
      <c r="CA3988" s="2" t="s">
        <v>499</v>
      </c>
      <c r="CB3988" s="2"/>
      <c r="CC3988" s="2" t="s">
        <v>245</v>
      </c>
      <c r="CD3988" s="2">
        <v>1459</v>
      </c>
      <c r="CE3988" s="2" t="s">
        <v>104</v>
      </c>
      <c r="CF3988" s="5">
        <v>42951</v>
      </c>
      <c r="CG3988" s="2"/>
      <c r="CH3988" s="2"/>
      <c r="CI3988" s="2">
        <v>1</v>
      </c>
      <c r="CJ3988" s="2">
        <v>1</v>
      </c>
      <c r="CK3988" s="2">
        <v>22</v>
      </c>
      <c r="CL3988" s="2" t="s">
        <v>86</v>
      </c>
      <c r="CM3988" s="2"/>
    </row>
    <row r="3989" spans="1:91">
      <c r="A3989" s="2" t="s">
        <v>71</v>
      </c>
      <c r="B3989" s="2" t="s">
        <v>72</v>
      </c>
      <c r="C3989" s="2" t="s">
        <v>73</v>
      </c>
      <c r="D3989" s="2"/>
      <c r="E3989" s="2" t="str">
        <f>"FES1162566108"</f>
        <v>FES1162566108</v>
      </c>
      <c r="F3989" s="3">
        <v>42949</v>
      </c>
      <c r="G3989" s="2">
        <v>201802</v>
      </c>
      <c r="H3989" s="2" t="s">
        <v>74</v>
      </c>
      <c r="I3989" s="2" t="s">
        <v>75</v>
      </c>
      <c r="J3989" s="2" t="s">
        <v>76</v>
      </c>
      <c r="K3989" s="2" t="s">
        <v>77</v>
      </c>
      <c r="L3989" s="2" t="s">
        <v>149</v>
      </c>
      <c r="M3989" s="2" t="s">
        <v>150</v>
      </c>
      <c r="N3989" s="2" t="s">
        <v>3782</v>
      </c>
      <c r="O3989" s="2" t="s">
        <v>100</v>
      </c>
      <c r="P3989" s="2" t="str">
        <f>"2170582649                    "</f>
        <v xml:space="preserve">2170582649                    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6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0</v>
      </c>
      <c r="AV3989" s="2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2">
        <v>0</v>
      </c>
      <c r="BD3989" s="2">
        <v>0</v>
      </c>
      <c r="BE3989" s="2">
        <v>0</v>
      </c>
      <c r="BF3989" s="2">
        <v>0</v>
      </c>
      <c r="BG3989" s="2">
        <v>0</v>
      </c>
      <c r="BH3989" s="2">
        <v>1</v>
      </c>
      <c r="BI3989" s="2">
        <v>1.1000000000000001</v>
      </c>
      <c r="BJ3989" s="2">
        <v>2.6</v>
      </c>
      <c r="BK3989" s="2">
        <v>3</v>
      </c>
      <c r="BL3989" s="2">
        <v>62.16</v>
      </c>
      <c r="BM3989" s="2">
        <v>8.6999999999999993</v>
      </c>
      <c r="BN3989" s="2">
        <v>70.86</v>
      </c>
      <c r="BO3989" s="2">
        <v>70.86</v>
      </c>
      <c r="BP3989" s="2"/>
      <c r="BQ3989" s="2" t="s">
        <v>83</v>
      </c>
      <c r="BR3989" s="2" t="s">
        <v>84</v>
      </c>
      <c r="BS3989" s="3">
        <v>42950</v>
      </c>
      <c r="BT3989" s="4">
        <v>0.34513888888888888</v>
      </c>
      <c r="BU3989" s="2" t="s">
        <v>3783</v>
      </c>
      <c r="BV3989" s="2" t="s">
        <v>95</v>
      </c>
      <c r="BW3989" s="2"/>
      <c r="BX3989" s="2"/>
      <c r="BY3989" s="2">
        <v>12949.46</v>
      </c>
      <c r="BZ3989" s="2" t="s">
        <v>27</v>
      </c>
      <c r="CA3989" s="2" t="s">
        <v>235</v>
      </c>
      <c r="CB3989" s="2"/>
      <c r="CC3989" s="2" t="s">
        <v>150</v>
      </c>
      <c r="CD3989" s="2">
        <v>4052</v>
      </c>
      <c r="CE3989" s="2" t="s">
        <v>89</v>
      </c>
      <c r="CF3989" s="5">
        <v>42951</v>
      </c>
      <c r="CG3989" s="2"/>
      <c r="CH3989" s="2"/>
      <c r="CI3989" s="2">
        <v>1</v>
      </c>
      <c r="CJ3989" s="2">
        <v>1</v>
      </c>
      <c r="CK3989" s="2">
        <v>21</v>
      </c>
      <c r="CL3989" s="2" t="s">
        <v>86</v>
      </c>
      <c r="CM3989" s="2"/>
    </row>
    <row r="3990" spans="1:91">
      <c r="A3990" s="2" t="s">
        <v>71</v>
      </c>
      <c r="B3990" s="2" t="s">
        <v>72</v>
      </c>
      <c r="C3990" s="2" t="s">
        <v>73</v>
      </c>
      <c r="D3990" s="2"/>
      <c r="E3990" s="2" t="str">
        <f>"FES1162566425"</f>
        <v>FES1162566425</v>
      </c>
      <c r="F3990" s="3">
        <v>42949</v>
      </c>
      <c r="G3990" s="2">
        <v>201802</v>
      </c>
      <c r="H3990" s="2" t="s">
        <v>74</v>
      </c>
      <c r="I3990" s="2" t="s">
        <v>75</v>
      </c>
      <c r="J3990" s="2" t="s">
        <v>76</v>
      </c>
      <c r="K3990" s="2" t="s">
        <v>77</v>
      </c>
      <c r="L3990" s="2" t="s">
        <v>144</v>
      </c>
      <c r="M3990" s="2" t="s">
        <v>145</v>
      </c>
      <c r="N3990" s="2" t="s">
        <v>146</v>
      </c>
      <c r="O3990" s="2" t="s">
        <v>100</v>
      </c>
      <c r="P3990" s="2" t="str">
        <f>"2170582789                    "</f>
        <v xml:space="preserve">2170582789                    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3.13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2">
        <v>0</v>
      </c>
      <c r="BD3990" s="2">
        <v>0</v>
      </c>
      <c r="BE3990" s="2">
        <v>0</v>
      </c>
      <c r="BF3990" s="2">
        <v>0</v>
      </c>
      <c r="BG3990" s="2">
        <v>0</v>
      </c>
      <c r="BH3990" s="2">
        <v>1</v>
      </c>
      <c r="BI3990" s="2">
        <v>1</v>
      </c>
      <c r="BJ3990" s="2">
        <v>0.2</v>
      </c>
      <c r="BK3990" s="2">
        <v>1</v>
      </c>
      <c r="BL3990" s="2">
        <v>32.380000000000003</v>
      </c>
      <c r="BM3990" s="2">
        <v>4.53</v>
      </c>
      <c r="BN3990" s="2">
        <v>36.909999999999997</v>
      </c>
      <c r="BO3990" s="2">
        <v>36.909999999999997</v>
      </c>
      <c r="BP3990" s="2"/>
      <c r="BQ3990" s="2" t="s">
        <v>83</v>
      </c>
      <c r="BR3990" s="2" t="s">
        <v>84</v>
      </c>
      <c r="BS3990" s="3">
        <v>42950</v>
      </c>
      <c r="BT3990" s="4">
        <v>0.36041666666666666</v>
      </c>
      <c r="BU3990" s="2" t="s">
        <v>2624</v>
      </c>
      <c r="BV3990" s="2" t="s">
        <v>95</v>
      </c>
      <c r="BW3990" s="2"/>
      <c r="BX3990" s="2"/>
      <c r="BY3990" s="2">
        <v>1200</v>
      </c>
      <c r="BZ3990" s="2" t="s">
        <v>27</v>
      </c>
      <c r="CA3990" s="2" t="s">
        <v>729</v>
      </c>
      <c r="CB3990" s="2"/>
      <c r="CC3990" s="2" t="s">
        <v>145</v>
      </c>
      <c r="CD3990" s="2">
        <v>2094</v>
      </c>
      <c r="CE3990" s="2" t="s">
        <v>104</v>
      </c>
      <c r="CF3990" s="5">
        <v>42951</v>
      </c>
      <c r="CG3990" s="2"/>
      <c r="CH3990" s="2"/>
      <c r="CI3990" s="2">
        <v>1</v>
      </c>
      <c r="CJ3990" s="2">
        <v>1</v>
      </c>
      <c r="CK3990" s="2">
        <v>22</v>
      </c>
      <c r="CL3990" s="2" t="s">
        <v>86</v>
      </c>
      <c r="CM3990" s="2"/>
    </row>
    <row r="3991" spans="1:91">
      <c r="A3991" s="2" t="s">
        <v>71</v>
      </c>
      <c r="B3991" s="2" t="s">
        <v>72</v>
      </c>
      <c r="C3991" s="2" t="s">
        <v>73</v>
      </c>
      <c r="D3991" s="2"/>
      <c r="E3991" s="2" t="str">
        <f>"FES1162566490"</f>
        <v>FES1162566490</v>
      </c>
      <c r="F3991" s="3">
        <v>42949</v>
      </c>
      <c r="G3991" s="2">
        <v>201802</v>
      </c>
      <c r="H3991" s="2" t="s">
        <v>74</v>
      </c>
      <c r="I3991" s="2" t="s">
        <v>75</v>
      </c>
      <c r="J3991" s="2" t="s">
        <v>76</v>
      </c>
      <c r="K3991" s="2" t="s">
        <v>77</v>
      </c>
      <c r="L3991" s="2" t="s">
        <v>268</v>
      </c>
      <c r="M3991" s="2" t="s">
        <v>269</v>
      </c>
      <c r="N3991" s="2" t="s">
        <v>964</v>
      </c>
      <c r="O3991" s="2" t="s">
        <v>100</v>
      </c>
      <c r="P3991" s="2" t="str">
        <f>"2170582847                    "</f>
        <v xml:space="preserve">2170582847                    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7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0</v>
      </c>
      <c r="AV3991" s="2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2">
        <v>0</v>
      </c>
      <c r="BD3991" s="2">
        <v>0</v>
      </c>
      <c r="BE3991" s="2">
        <v>0</v>
      </c>
      <c r="BF3991" s="2">
        <v>0</v>
      </c>
      <c r="BG3991" s="2">
        <v>0</v>
      </c>
      <c r="BH3991" s="2">
        <v>1</v>
      </c>
      <c r="BI3991" s="2">
        <v>3.5</v>
      </c>
      <c r="BJ3991" s="2">
        <v>0.8</v>
      </c>
      <c r="BK3991" s="2">
        <v>3.5</v>
      </c>
      <c r="BL3991" s="2">
        <v>72.52</v>
      </c>
      <c r="BM3991" s="2">
        <v>10.15</v>
      </c>
      <c r="BN3991" s="2">
        <v>82.67</v>
      </c>
      <c r="BO3991" s="2">
        <v>82.67</v>
      </c>
      <c r="BP3991" s="2"/>
      <c r="BQ3991" s="2" t="s">
        <v>3784</v>
      </c>
      <c r="BR3991" s="2" t="s">
        <v>84</v>
      </c>
      <c r="BS3991" s="3">
        <v>42968</v>
      </c>
      <c r="BT3991" s="4">
        <v>0.41666666666666669</v>
      </c>
      <c r="BU3991" s="2" t="s">
        <v>3785</v>
      </c>
      <c r="BV3991" s="2" t="s">
        <v>86</v>
      </c>
      <c r="BW3991" s="2" t="s">
        <v>1007</v>
      </c>
      <c r="BX3991" s="2" t="s">
        <v>3786</v>
      </c>
      <c r="BY3991" s="2">
        <v>3996.72</v>
      </c>
      <c r="BZ3991" s="2"/>
      <c r="CA3991" s="2"/>
      <c r="CB3991" s="2"/>
      <c r="CC3991" s="2" t="s">
        <v>269</v>
      </c>
      <c r="CD3991" s="2">
        <v>157</v>
      </c>
      <c r="CE3991" s="2" t="s">
        <v>948</v>
      </c>
      <c r="CF3991" s="5">
        <v>42969</v>
      </c>
      <c r="CG3991" s="2"/>
      <c r="CH3991" s="2"/>
      <c r="CI3991" s="2">
        <v>1</v>
      </c>
      <c r="CJ3991" s="2">
        <v>13</v>
      </c>
      <c r="CK3991" s="2">
        <v>21</v>
      </c>
      <c r="CL3991" s="2" t="s">
        <v>86</v>
      </c>
      <c r="CM3991" s="2"/>
    </row>
    <row r="3992" spans="1:91">
      <c r="A3992" s="2" t="s">
        <v>71</v>
      </c>
      <c r="B3992" s="2" t="s">
        <v>72</v>
      </c>
      <c r="C3992" s="2" t="s">
        <v>73</v>
      </c>
      <c r="D3992" s="2"/>
      <c r="E3992" s="2" t="str">
        <f>"FES1162566467"</f>
        <v>FES1162566467</v>
      </c>
      <c r="F3992" s="3">
        <v>42949</v>
      </c>
      <c r="G3992" s="2">
        <v>201802</v>
      </c>
      <c r="H3992" s="2" t="s">
        <v>74</v>
      </c>
      <c r="I3992" s="2" t="s">
        <v>75</v>
      </c>
      <c r="J3992" s="2" t="s">
        <v>76</v>
      </c>
      <c r="K3992" s="2" t="s">
        <v>77</v>
      </c>
      <c r="L3992" s="2" t="s">
        <v>159</v>
      </c>
      <c r="M3992" s="2" t="s">
        <v>160</v>
      </c>
      <c r="N3992" s="2" t="s">
        <v>1465</v>
      </c>
      <c r="O3992" s="2" t="s">
        <v>100</v>
      </c>
      <c r="P3992" s="2" t="str">
        <f>"2170582823                    "</f>
        <v xml:space="preserve">2170582823                    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5.63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0</v>
      </c>
      <c r="AV3992" s="2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2">
        <v>0</v>
      </c>
      <c r="BD3992" s="2">
        <v>0</v>
      </c>
      <c r="BE3992" s="2">
        <v>0</v>
      </c>
      <c r="BF3992" s="2">
        <v>0</v>
      </c>
      <c r="BG3992" s="2">
        <v>0</v>
      </c>
      <c r="BH3992" s="2">
        <v>1</v>
      </c>
      <c r="BI3992" s="2">
        <v>1.6</v>
      </c>
      <c r="BJ3992" s="2">
        <v>0.7</v>
      </c>
      <c r="BK3992" s="2">
        <v>2</v>
      </c>
      <c r="BL3992" s="2">
        <v>58.28</v>
      </c>
      <c r="BM3992" s="2">
        <v>8.16</v>
      </c>
      <c r="BN3992" s="2">
        <v>66.44</v>
      </c>
      <c r="BO3992" s="2">
        <v>66.44</v>
      </c>
      <c r="BP3992" s="2"/>
      <c r="BQ3992" s="2" t="s">
        <v>209</v>
      </c>
      <c r="BR3992" s="2" t="s">
        <v>84</v>
      </c>
      <c r="BS3992" s="3">
        <v>42963</v>
      </c>
      <c r="BT3992" s="4">
        <v>0.41666666666666669</v>
      </c>
      <c r="BU3992" s="2" t="s">
        <v>2509</v>
      </c>
      <c r="BV3992" s="2" t="s">
        <v>86</v>
      </c>
      <c r="BW3992" s="2" t="s">
        <v>110</v>
      </c>
      <c r="BX3992" s="2" t="s">
        <v>444</v>
      </c>
      <c r="BY3992" s="2">
        <v>3372.72</v>
      </c>
      <c r="BZ3992" s="2"/>
      <c r="CA3992" s="2" t="s">
        <v>956</v>
      </c>
      <c r="CB3992" s="2"/>
      <c r="CC3992" s="2" t="s">
        <v>160</v>
      </c>
      <c r="CD3992" s="2">
        <v>407</v>
      </c>
      <c r="CE3992" s="2" t="s">
        <v>948</v>
      </c>
      <c r="CF3992" s="5">
        <v>42964</v>
      </c>
      <c r="CG3992" s="2"/>
      <c r="CH3992" s="2"/>
      <c r="CI3992" s="2">
        <v>1</v>
      </c>
      <c r="CJ3992" s="2">
        <v>10</v>
      </c>
      <c r="CK3992" s="2">
        <v>24</v>
      </c>
      <c r="CL3992" s="2" t="s">
        <v>86</v>
      </c>
      <c r="CM3992" s="2"/>
    </row>
    <row r="3993" spans="1:91">
      <c r="A3993" s="2" t="s">
        <v>71</v>
      </c>
      <c r="B3993" s="2" t="s">
        <v>72</v>
      </c>
      <c r="C3993" s="2" t="s">
        <v>73</v>
      </c>
      <c r="D3993" s="2"/>
      <c r="E3993" s="2" t="str">
        <f>"FES1162566334"</f>
        <v>FES1162566334</v>
      </c>
      <c r="F3993" s="3">
        <v>42949</v>
      </c>
      <c r="G3993" s="2">
        <v>201802</v>
      </c>
      <c r="H3993" s="2" t="s">
        <v>74</v>
      </c>
      <c r="I3993" s="2" t="s">
        <v>75</v>
      </c>
      <c r="J3993" s="2" t="s">
        <v>76</v>
      </c>
      <c r="K3993" s="2" t="s">
        <v>77</v>
      </c>
      <c r="L3993" s="2" t="s">
        <v>244</v>
      </c>
      <c r="M3993" s="2" t="s">
        <v>245</v>
      </c>
      <c r="N3993" s="2" t="s">
        <v>421</v>
      </c>
      <c r="O3993" s="2" t="s">
        <v>358</v>
      </c>
      <c r="P3993" s="2" t="str">
        <f>"2170582698                    "</f>
        <v xml:space="preserve">2170582698                    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4.88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2">
        <v>0</v>
      </c>
      <c r="BD3993" s="2">
        <v>0</v>
      </c>
      <c r="BE3993" s="2">
        <v>0</v>
      </c>
      <c r="BF3993" s="2">
        <v>0</v>
      </c>
      <c r="BG3993" s="2">
        <v>0</v>
      </c>
      <c r="BH3993" s="2">
        <v>1</v>
      </c>
      <c r="BI3993" s="2">
        <v>13</v>
      </c>
      <c r="BJ3993" s="2">
        <v>5.4</v>
      </c>
      <c r="BK3993" s="2">
        <v>13</v>
      </c>
      <c r="BL3993" s="2">
        <v>50.53</v>
      </c>
      <c r="BM3993" s="2">
        <v>7.07</v>
      </c>
      <c r="BN3993" s="2">
        <v>57.6</v>
      </c>
      <c r="BO3993" s="2">
        <v>57.6</v>
      </c>
      <c r="BP3993" s="2"/>
      <c r="BQ3993" s="2" t="s">
        <v>83</v>
      </c>
      <c r="BR3993" s="2" t="s">
        <v>84</v>
      </c>
      <c r="BS3993" s="3">
        <v>42951</v>
      </c>
      <c r="BT3993" s="4">
        <v>0.41319444444444442</v>
      </c>
      <c r="BU3993" s="2" t="s">
        <v>3787</v>
      </c>
      <c r="BV3993" s="2" t="s">
        <v>86</v>
      </c>
      <c r="BW3993" s="2" t="s">
        <v>124</v>
      </c>
      <c r="BX3993" s="2" t="s">
        <v>498</v>
      </c>
      <c r="BY3993" s="2">
        <v>27047.11</v>
      </c>
      <c r="BZ3993" s="2" t="s">
        <v>27</v>
      </c>
      <c r="CA3993" s="2" t="s">
        <v>328</v>
      </c>
      <c r="CB3993" s="2"/>
      <c r="CC3993" s="2" t="s">
        <v>245</v>
      </c>
      <c r="CD3993" s="2">
        <v>1459</v>
      </c>
      <c r="CE3993" s="2" t="s">
        <v>89</v>
      </c>
      <c r="CF3993" s="5">
        <v>42954</v>
      </c>
      <c r="CG3993" s="2"/>
      <c r="CH3993" s="2"/>
      <c r="CI3993" s="2">
        <v>1</v>
      </c>
      <c r="CJ3993" s="2">
        <v>2</v>
      </c>
      <c r="CK3993" s="2">
        <v>32</v>
      </c>
      <c r="CL3993" s="2" t="s">
        <v>86</v>
      </c>
      <c r="CM3993" s="2"/>
    </row>
    <row r="3994" spans="1:91">
      <c r="A3994" s="2" t="s">
        <v>71</v>
      </c>
      <c r="B3994" s="2" t="s">
        <v>72</v>
      </c>
      <c r="C3994" s="2" t="s">
        <v>73</v>
      </c>
      <c r="D3994" s="2"/>
      <c r="E3994" s="2" t="str">
        <f>"FES1162566326"</f>
        <v>FES1162566326</v>
      </c>
      <c r="F3994" s="3">
        <v>42949</v>
      </c>
      <c r="G3994" s="2">
        <v>201802</v>
      </c>
      <c r="H3994" s="2" t="s">
        <v>74</v>
      </c>
      <c r="I3994" s="2" t="s">
        <v>75</v>
      </c>
      <c r="J3994" s="2" t="s">
        <v>76</v>
      </c>
      <c r="K3994" s="2" t="s">
        <v>77</v>
      </c>
      <c r="L3994" s="2" t="s">
        <v>710</v>
      </c>
      <c r="M3994" s="2" t="s">
        <v>711</v>
      </c>
      <c r="N3994" s="2" t="s">
        <v>3738</v>
      </c>
      <c r="O3994" s="2" t="s">
        <v>100</v>
      </c>
      <c r="P3994" s="2" t="str">
        <f>"2170579696                    "</f>
        <v xml:space="preserve">2170579696                    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7.75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0</v>
      </c>
      <c r="AV3994" s="2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2">
        <v>0</v>
      </c>
      <c r="BD3994" s="2">
        <v>0</v>
      </c>
      <c r="BE3994" s="2">
        <v>0</v>
      </c>
      <c r="BF3994" s="2">
        <v>0</v>
      </c>
      <c r="BG3994" s="2">
        <v>0</v>
      </c>
      <c r="BH3994" s="2">
        <v>1</v>
      </c>
      <c r="BI3994" s="2">
        <v>1</v>
      </c>
      <c r="BJ3994" s="2">
        <v>0.2</v>
      </c>
      <c r="BK3994" s="2">
        <v>1</v>
      </c>
      <c r="BL3994" s="2">
        <v>80.290000000000006</v>
      </c>
      <c r="BM3994" s="2">
        <v>11.24</v>
      </c>
      <c r="BN3994" s="2">
        <v>91.53</v>
      </c>
      <c r="BO3994" s="2">
        <v>91.53</v>
      </c>
      <c r="BP3994" s="2"/>
      <c r="BQ3994" s="2" t="s">
        <v>83</v>
      </c>
      <c r="BR3994" s="2" t="s">
        <v>84</v>
      </c>
      <c r="BS3994" s="3">
        <v>42950</v>
      </c>
      <c r="BT3994" s="4">
        <v>0.48958333333333331</v>
      </c>
      <c r="BU3994" s="2" t="s">
        <v>3788</v>
      </c>
      <c r="BV3994" s="2" t="s">
        <v>95</v>
      </c>
      <c r="BW3994" s="2"/>
      <c r="BX3994" s="2"/>
      <c r="BY3994" s="2">
        <v>1200</v>
      </c>
      <c r="BZ3994" s="2" t="s">
        <v>27</v>
      </c>
      <c r="CA3994" s="2"/>
      <c r="CB3994" s="2"/>
      <c r="CC3994" s="2" t="s">
        <v>711</v>
      </c>
      <c r="CD3994" s="2">
        <v>4339</v>
      </c>
      <c r="CE3994" s="2" t="s">
        <v>104</v>
      </c>
      <c r="CF3994" s="5">
        <v>42951</v>
      </c>
      <c r="CG3994" s="2"/>
      <c r="CH3994" s="2"/>
      <c r="CI3994" s="2">
        <v>1</v>
      </c>
      <c r="CJ3994" s="2">
        <v>1</v>
      </c>
      <c r="CK3994" s="2">
        <v>23</v>
      </c>
      <c r="CL3994" s="2" t="s">
        <v>86</v>
      </c>
      <c r="CM3994" s="2"/>
    </row>
    <row r="3995" spans="1:91">
      <c r="A3995" s="2" t="s">
        <v>71</v>
      </c>
      <c r="B3995" s="2" t="s">
        <v>72</v>
      </c>
      <c r="C3995" s="2" t="s">
        <v>73</v>
      </c>
      <c r="D3995" s="2"/>
      <c r="E3995" s="2" t="str">
        <f>"FES1162565743"</f>
        <v>FES1162565743</v>
      </c>
      <c r="F3995" s="3">
        <v>42949</v>
      </c>
      <c r="G3995" s="2">
        <v>201802</v>
      </c>
      <c r="H3995" s="2" t="s">
        <v>74</v>
      </c>
      <c r="I3995" s="2" t="s">
        <v>75</v>
      </c>
      <c r="J3995" s="2" t="s">
        <v>76</v>
      </c>
      <c r="K3995" s="2" t="s">
        <v>77</v>
      </c>
      <c r="L3995" s="2" t="s">
        <v>97</v>
      </c>
      <c r="M3995" s="2" t="s">
        <v>98</v>
      </c>
      <c r="N3995" s="2" t="s">
        <v>119</v>
      </c>
      <c r="O3995" s="2" t="s">
        <v>100</v>
      </c>
      <c r="P3995" s="2" t="str">
        <f>"2170580190                    "</f>
        <v xml:space="preserve">2170580190                    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4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0</v>
      </c>
      <c r="AU3995" s="2">
        <v>0</v>
      </c>
      <c r="AV3995" s="2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2">
        <v>0</v>
      </c>
      <c r="BD3995" s="2">
        <v>0</v>
      </c>
      <c r="BE3995" s="2">
        <v>0</v>
      </c>
      <c r="BF3995" s="2">
        <v>0</v>
      </c>
      <c r="BG3995" s="2">
        <v>0</v>
      </c>
      <c r="BH3995" s="2">
        <v>1</v>
      </c>
      <c r="BI3995" s="2">
        <v>1</v>
      </c>
      <c r="BJ3995" s="2">
        <v>0.2</v>
      </c>
      <c r="BK3995" s="2">
        <v>1</v>
      </c>
      <c r="BL3995" s="2">
        <v>41.44</v>
      </c>
      <c r="BM3995" s="2">
        <v>5.8</v>
      </c>
      <c r="BN3995" s="2">
        <v>47.24</v>
      </c>
      <c r="BO3995" s="2">
        <v>47.24</v>
      </c>
      <c r="BP3995" s="2"/>
      <c r="BQ3995" s="2" t="s">
        <v>108</v>
      </c>
      <c r="BR3995" s="2" t="s">
        <v>84</v>
      </c>
      <c r="BS3995" s="3">
        <v>42950</v>
      </c>
      <c r="BT3995" s="4">
        <v>0.31736111111111115</v>
      </c>
      <c r="BU3995" s="2" t="s">
        <v>2350</v>
      </c>
      <c r="BV3995" s="2" t="s">
        <v>95</v>
      </c>
      <c r="BW3995" s="2"/>
      <c r="BX3995" s="2"/>
      <c r="BY3995" s="2">
        <v>1200</v>
      </c>
      <c r="BZ3995" s="2" t="s">
        <v>27</v>
      </c>
      <c r="CA3995" s="2" t="s">
        <v>213</v>
      </c>
      <c r="CB3995" s="2"/>
      <c r="CC3995" s="2" t="s">
        <v>98</v>
      </c>
      <c r="CD3995" s="2">
        <v>6001</v>
      </c>
      <c r="CE3995" s="2" t="s">
        <v>104</v>
      </c>
      <c r="CF3995" s="5">
        <v>42951</v>
      </c>
      <c r="CG3995" s="2"/>
      <c r="CH3995" s="2"/>
      <c r="CI3995" s="2">
        <v>1</v>
      </c>
      <c r="CJ3995" s="2">
        <v>1</v>
      </c>
      <c r="CK3995" s="2">
        <v>21</v>
      </c>
      <c r="CL3995" s="2" t="s">
        <v>86</v>
      </c>
      <c r="CM3995" s="2"/>
    </row>
    <row r="3996" spans="1:91">
      <c r="A3996" s="2" t="s">
        <v>71</v>
      </c>
      <c r="B3996" s="2" t="s">
        <v>72</v>
      </c>
      <c r="C3996" s="2" t="s">
        <v>73</v>
      </c>
      <c r="D3996" s="2"/>
      <c r="E3996" s="2" t="str">
        <f>"FES1162566298"</f>
        <v>FES1162566298</v>
      </c>
      <c r="F3996" s="3">
        <v>42949</v>
      </c>
      <c r="G3996" s="2">
        <v>201802</v>
      </c>
      <c r="H3996" s="2" t="s">
        <v>74</v>
      </c>
      <c r="I3996" s="2" t="s">
        <v>75</v>
      </c>
      <c r="J3996" s="2" t="s">
        <v>76</v>
      </c>
      <c r="K3996" s="2" t="s">
        <v>77</v>
      </c>
      <c r="L3996" s="2" t="s">
        <v>417</v>
      </c>
      <c r="M3996" s="2" t="s">
        <v>417</v>
      </c>
      <c r="N3996" s="2" t="s">
        <v>475</v>
      </c>
      <c r="O3996" s="2" t="s">
        <v>100</v>
      </c>
      <c r="P3996" s="2" t="str">
        <f>"2170582734                    "</f>
        <v xml:space="preserve">2170582734                    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4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0</v>
      </c>
      <c r="AY3996" s="2">
        <v>0</v>
      </c>
      <c r="AZ3996" s="2">
        <v>0</v>
      </c>
      <c r="BA3996" s="2">
        <v>0</v>
      </c>
      <c r="BB3996" s="2">
        <v>0</v>
      </c>
      <c r="BC3996" s="2">
        <v>0</v>
      </c>
      <c r="BD3996" s="2">
        <v>0</v>
      </c>
      <c r="BE3996" s="2">
        <v>0</v>
      </c>
      <c r="BF3996" s="2">
        <v>0</v>
      </c>
      <c r="BG3996" s="2">
        <v>0</v>
      </c>
      <c r="BH3996" s="2">
        <v>1</v>
      </c>
      <c r="BI3996" s="2">
        <v>2</v>
      </c>
      <c r="BJ3996" s="2">
        <v>2</v>
      </c>
      <c r="BK3996" s="2">
        <v>2</v>
      </c>
      <c r="BL3996" s="2">
        <v>41.44</v>
      </c>
      <c r="BM3996" s="2">
        <v>5.8</v>
      </c>
      <c r="BN3996" s="2">
        <v>47.24</v>
      </c>
      <c r="BO3996" s="2">
        <v>47.24</v>
      </c>
      <c r="BP3996" s="2"/>
      <c r="BQ3996" s="2" t="s">
        <v>108</v>
      </c>
      <c r="BR3996" s="2" t="s">
        <v>84</v>
      </c>
      <c r="BS3996" s="3">
        <v>42950</v>
      </c>
      <c r="BT3996" s="4">
        <v>0.4694444444444445</v>
      </c>
      <c r="BU3996" s="2" t="s">
        <v>476</v>
      </c>
      <c r="BV3996" s="2" t="s">
        <v>95</v>
      </c>
      <c r="BW3996" s="2"/>
      <c r="BX3996" s="2"/>
      <c r="BY3996" s="2">
        <v>9900</v>
      </c>
      <c r="BZ3996" s="2" t="s">
        <v>27</v>
      </c>
      <c r="CA3996" s="2" t="s">
        <v>460</v>
      </c>
      <c r="CB3996" s="2"/>
      <c r="CC3996" s="2" t="s">
        <v>417</v>
      </c>
      <c r="CD3996" s="2">
        <v>7646</v>
      </c>
      <c r="CE3996" s="2" t="s">
        <v>89</v>
      </c>
      <c r="CF3996" s="5">
        <v>42950</v>
      </c>
      <c r="CG3996" s="2"/>
      <c r="CH3996" s="2"/>
      <c r="CI3996" s="2">
        <v>1</v>
      </c>
      <c r="CJ3996" s="2">
        <v>1</v>
      </c>
      <c r="CK3996" s="2">
        <v>21</v>
      </c>
      <c r="CL3996" s="2" t="s">
        <v>86</v>
      </c>
      <c r="CM3996" s="2"/>
    </row>
    <row r="3997" spans="1:91">
      <c r="A3997" s="2" t="s">
        <v>71</v>
      </c>
      <c r="B3997" s="2" t="s">
        <v>72</v>
      </c>
      <c r="C3997" s="2" t="s">
        <v>73</v>
      </c>
      <c r="D3997" s="2"/>
      <c r="E3997" s="2" t="str">
        <f>"FES1162566199"</f>
        <v>FES1162566199</v>
      </c>
      <c r="F3997" s="3">
        <v>42949</v>
      </c>
      <c r="G3997" s="2">
        <v>201802</v>
      </c>
      <c r="H3997" s="2" t="s">
        <v>74</v>
      </c>
      <c r="I3997" s="2" t="s">
        <v>75</v>
      </c>
      <c r="J3997" s="2" t="s">
        <v>76</v>
      </c>
      <c r="K3997" s="2" t="s">
        <v>77</v>
      </c>
      <c r="L3997" s="2" t="s">
        <v>417</v>
      </c>
      <c r="M3997" s="2" t="s">
        <v>417</v>
      </c>
      <c r="N3997" s="2" t="s">
        <v>475</v>
      </c>
      <c r="O3997" s="2" t="s">
        <v>100</v>
      </c>
      <c r="P3997" s="2" t="str">
        <f>"2170581914                    "</f>
        <v xml:space="preserve">2170581914                    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4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2">
        <v>0</v>
      </c>
      <c r="BD3997" s="2">
        <v>0</v>
      </c>
      <c r="BE3997" s="2">
        <v>0</v>
      </c>
      <c r="BF3997" s="2">
        <v>0</v>
      </c>
      <c r="BG3997" s="2">
        <v>0</v>
      </c>
      <c r="BH3997" s="2">
        <v>1</v>
      </c>
      <c r="BI3997" s="2">
        <v>1</v>
      </c>
      <c r="BJ3997" s="2">
        <v>0.2</v>
      </c>
      <c r="BK3997" s="2">
        <v>1</v>
      </c>
      <c r="BL3997" s="2">
        <v>41.44</v>
      </c>
      <c r="BM3997" s="2">
        <v>5.8</v>
      </c>
      <c r="BN3997" s="2">
        <v>47.24</v>
      </c>
      <c r="BO3997" s="2">
        <v>47.24</v>
      </c>
      <c r="BP3997" s="2"/>
      <c r="BQ3997" s="2" t="s">
        <v>108</v>
      </c>
      <c r="BR3997" s="2" t="s">
        <v>84</v>
      </c>
      <c r="BS3997" s="3">
        <v>42950</v>
      </c>
      <c r="BT3997" s="4">
        <v>0.4694444444444445</v>
      </c>
      <c r="BU3997" s="2" t="s">
        <v>476</v>
      </c>
      <c r="BV3997" s="2" t="s">
        <v>95</v>
      </c>
      <c r="BW3997" s="2"/>
      <c r="BX3997" s="2"/>
      <c r="BY3997" s="2">
        <v>1200</v>
      </c>
      <c r="BZ3997" s="2" t="s">
        <v>27</v>
      </c>
      <c r="CA3997" s="2" t="s">
        <v>460</v>
      </c>
      <c r="CB3997" s="2"/>
      <c r="CC3997" s="2" t="s">
        <v>417</v>
      </c>
      <c r="CD3997" s="2">
        <v>7646</v>
      </c>
      <c r="CE3997" s="2" t="s">
        <v>104</v>
      </c>
      <c r="CF3997" s="5">
        <v>42950</v>
      </c>
      <c r="CG3997" s="2"/>
      <c r="CH3997" s="2"/>
      <c r="CI3997" s="2">
        <v>1</v>
      </c>
      <c r="CJ3997" s="2">
        <v>1</v>
      </c>
      <c r="CK3997" s="2">
        <v>21</v>
      </c>
      <c r="CL3997" s="2" t="s">
        <v>86</v>
      </c>
      <c r="CM3997" s="2"/>
    </row>
    <row r="3998" spans="1:91">
      <c r="A3998" s="2" t="s">
        <v>71</v>
      </c>
      <c r="B3998" s="2" t="s">
        <v>72</v>
      </c>
      <c r="C3998" s="2" t="s">
        <v>73</v>
      </c>
      <c r="D3998" s="2"/>
      <c r="E3998" s="2" t="str">
        <f>"FES1162566433"</f>
        <v>FES1162566433</v>
      </c>
      <c r="F3998" s="3">
        <v>42949</v>
      </c>
      <c r="G3998" s="2">
        <v>201802</v>
      </c>
      <c r="H3998" s="2" t="s">
        <v>74</v>
      </c>
      <c r="I3998" s="2" t="s">
        <v>75</v>
      </c>
      <c r="J3998" s="2" t="s">
        <v>76</v>
      </c>
      <c r="K3998" s="2" t="s">
        <v>77</v>
      </c>
      <c r="L3998" s="2" t="s">
        <v>221</v>
      </c>
      <c r="M3998" s="2" t="s">
        <v>222</v>
      </c>
      <c r="N3998" s="2" t="s">
        <v>1275</v>
      </c>
      <c r="O3998" s="2" t="s">
        <v>100</v>
      </c>
      <c r="P3998" s="2" t="str">
        <f>"2170582793                    "</f>
        <v xml:space="preserve">2170582793                    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4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0</v>
      </c>
      <c r="BA3998" s="2">
        <v>0</v>
      </c>
      <c r="BB3998" s="2">
        <v>0</v>
      </c>
      <c r="BC3998" s="2">
        <v>0</v>
      </c>
      <c r="BD3998" s="2">
        <v>0</v>
      </c>
      <c r="BE3998" s="2">
        <v>0</v>
      </c>
      <c r="BF3998" s="2">
        <v>0</v>
      </c>
      <c r="BG3998" s="2">
        <v>0</v>
      </c>
      <c r="BH3998" s="2">
        <v>1</v>
      </c>
      <c r="BI3998" s="2">
        <v>1</v>
      </c>
      <c r="BJ3998" s="2">
        <v>0.2</v>
      </c>
      <c r="BK3998" s="2">
        <v>1</v>
      </c>
      <c r="BL3998" s="2">
        <v>41.44</v>
      </c>
      <c r="BM3998" s="2">
        <v>5.8</v>
      </c>
      <c r="BN3998" s="2">
        <v>47.24</v>
      </c>
      <c r="BO3998" s="2">
        <v>47.24</v>
      </c>
      <c r="BP3998" s="2"/>
      <c r="BQ3998" s="2" t="s">
        <v>1534</v>
      </c>
      <c r="BR3998" s="2" t="s">
        <v>84</v>
      </c>
      <c r="BS3998" s="3">
        <v>42950</v>
      </c>
      <c r="BT3998" s="4">
        <v>0.38472222222222219</v>
      </c>
      <c r="BU3998" s="2" t="s">
        <v>1535</v>
      </c>
      <c r="BV3998" s="2" t="s">
        <v>95</v>
      </c>
      <c r="BW3998" s="2"/>
      <c r="BX3998" s="2"/>
      <c r="BY3998" s="2">
        <v>1200</v>
      </c>
      <c r="BZ3998" s="2" t="s">
        <v>27</v>
      </c>
      <c r="CA3998" s="2" t="s">
        <v>1536</v>
      </c>
      <c r="CB3998" s="2"/>
      <c r="CC3998" s="2" t="s">
        <v>222</v>
      </c>
      <c r="CD3998" s="2">
        <v>4300</v>
      </c>
      <c r="CE3998" s="2" t="s">
        <v>104</v>
      </c>
      <c r="CF3998" s="5">
        <v>42951</v>
      </c>
      <c r="CG3998" s="2"/>
      <c r="CH3998" s="2"/>
      <c r="CI3998" s="2">
        <v>1</v>
      </c>
      <c r="CJ3998" s="2">
        <v>1</v>
      </c>
      <c r="CK3998" s="2">
        <v>21</v>
      </c>
      <c r="CL3998" s="2" t="s">
        <v>86</v>
      </c>
      <c r="CM3998" s="2"/>
    </row>
    <row r="3999" spans="1:91">
      <c r="A3999" s="2" t="s">
        <v>71</v>
      </c>
      <c r="B3999" s="2" t="s">
        <v>72</v>
      </c>
      <c r="C3999" s="2" t="s">
        <v>73</v>
      </c>
      <c r="D3999" s="2"/>
      <c r="E3999" s="2" t="str">
        <f>"FES1162566177"</f>
        <v>FES1162566177</v>
      </c>
      <c r="F3999" s="3">
        <v>42949</v>
      </c>
      <c r="G3999" s="2">
        <v>201802</v>
      </c>
      <c r="H3999" s="2" t="s">
        <v>74</v>
      </c>
      <c r="I3999" s="2" t="s">
        <v>75</v>
      </c>
      <c r="J3999" s="2" t="s">
        <v>76</v>
      </c>
      <c r="K3999" s="2" t="s">
        <v>77</v>
      </c>
      <c r="L3999" s="2" t="s">
        <v>201</v>
      </c>
      <c r="M3999" s="2" t="s">
        <v>202</v>
      </c>
      <c r="N3999" s="2" t="s">
        <v>409</v>
      </c>
      <c r="O3999" s="2" t="s">
        <v>100</v>
      </c>
      <c r="P3999" s="2" t="str">
        <f>"2170581217                    "</f>
        <v xml:space="preserve">2170581217                    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4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0</v>
      </c>
      <c r="AV3999" s="2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0</v>
      </c>
      <c r="BB3999" s="2">
        <v>0</v>
      </c>
      <c r="BC3999" s="2">
        <v>0</v>
      </c>
      <c r="BD3999" s="2">
        <v>0</v>
      </c>
      <c r="BE3999" s="2">
        <v>0</v>
      </c>
      <c r="BF3999" s="2">
        <v>0</v>
      </c>
      <c r="BG3999" s="2">
        <v>0</v>
      </c>
      <c r="BH3999" s="2">
        <v>1</v>
      </c>
      <c r="BI3999" s="2">
        <v>1</v>
      </c>
      <c r="BJ3999" s="2">
        <v>0.2</v>
      </c>
      <c r="BK3999" s="2">
        <v>1</v>
      </c>
      <c r="BL3999" s="2">
        <v>41.44</v>
      </c>
      <c r="BM3999" s="2">
        <v>5.8</v>
      </c>
      <c r="BN3999" s="2">
        <v>47.24</v>
      </c>
      <c r="BO3999" s="2">
        <v>47.24</v>
      </c>
      <c r="BP3999" s="2"/>
      <c r="BQ3999" s="2" t="s">
        <v>485</v>
      </c>
      <c r="BR3999" s="2" t="s">
        <v>84</v>
      </c>
      <c r="BS3999" s="3">
        <v>42950</v>
      </c>
      <c r="BT3999" s="4">
        <v>0.41666666666666669</v>
      </c>
      <c r="BU3999" s="2" t="s">
        <v>3789</v>
      </c>
      <c r="BV3999" s="2" t="s">
        <v>95</v>
      </c>
      <c r="BW3999" s="2"/>
      <c r="BX3999" s="2"/>
      <c r="BY3999" s="2">
        <v>1200</v>
      </c>
      <c r="BZ3999" s="2" t="s">
        <v>27</v>
      </c>
      <c r="CA3999" s="2"/>
      <c r="CB3999" s="2"/>
      <c r="CC3999" s="2" t="s">
        <v>202</v>
      </c>
      <c r="CD3999" s="2">
        <v>7130</v>
      </c>
      <c r="CE3999" s="2" t="s">
        <v>104</v>
      </c>
      <c r="CF3999" s="5">
        <v>42951</v>
      </c>
      <c r="CG3999" s="2"/>
      <c r="CH3999" s="2"/>
      <c r="CI3999" s="2">
        <v>1</v>
      </c>
      <c r="CJ3999" s="2">
        <v>1</v>
      </c>
      <c r="CK3999" s="2">
        <v>21</v>
      </c>
      <c r="CL3999" s="2" t="s">
        <v>86</v>
      </c>
      <c r="CM3999" s="2"/>
    </row>
    <row r="4000" spans="1:91">
      <c r="A4000" s="2" t="s">
        <v>71</v>
      </c>
      <c r="B4000" s="2" t="s">
        <v>72</v>
      </c>
      <c r="C4000" s="2" t="s">
        <v>73</v>
      </c>
      <c r="D4000" s="2"/>
      <c r="E4000" s="2" t="str">
        <f>"FES1162566471"</f>
        <v>FES1162566471</v>
      </c>
      <c r="F4000" s="3">
        <v>42949</v>
      </c>
      <c r="G4000" s="2">
        <v>201802</v>
      </c>
      <c r="H4000" s="2" t="s">
        <v>74</v>
      </c>
      <c r="I4000" s="2" t="s">
        <v>75</v>
      </c>
      <c r="J4000" s="2" t="s">
        <v>76</v>
      </c>
      <c r="K4000" s="2" t="s">
        <v>77</v>
      </c>
      <c r="L4000" s="2" t="s">
        <v>149</v>
      </c>
      <c r="M4000" s="2" t="s">
        <v>150</v>
      </c>
      <c r="N4000" s="2" t="s">
        <v>427</v>
      </c>
      <c r="O4000" s="2" t="s">
        <v>100</v>
      </c>
      <c r="P4000" s="2" t="str">
        <f>"2170582831                    "</f>
        <v xml:space="preserve">2170582831                    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4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2">
        <v>0</v>
      </c>
      <c r="BD4000" s="2">
        <v>0</v>
      </c>
      <c r="BE4000" s="2">
        <v>0</v>
      </c>
      <c r="BF4000" s="2">
        <v>0</v>
      </c>
      <c r="BG4000" s="2">
        <v>0</v>
      </c>
      <c r="BH4000" s="2">
        <v>1</v>
      </c>
      <c r="BI4000" s="2">
        <v>1</v>
      </c>
      <c r="BJ4000" s="2">
        <v>0.2</v>
      </c>
      <c r="BK4000" s="2">
        <v>1</v>
      </c>
      <c r="BL4000" s="2">
        <v>41.44</v>
      </c>
      <c r="BM4000" s="2">
        <v>5.8</v>
      </c>
      <c r="BN4000" s="2">
        <v>47.24</v>
      </c>
      <c r="BO4000" s="2">
        <v>47.24</v>
      </c>
      <c r="BP4000" s="2"/>
      <c r="BQ4000" s="2" t="s">
        <v>1917</v>
      </c>
      <c r="BR4000" s="2" t="s">
        <v>84</v>
      </c>
      <c r="BS4000" s="3">
        <v>42950</v>
      </c>
      <c r="BT4000" s="4">
        <v>0.39027777777777778</v>
      </c>
      <c r="BU4000" s="2" t="s">
        <v>224</v>
      </c>
      <c r="BV4000" s="2" t="s">
        <v>95</v>
      </c>
      <c r="BW4000" s="2"/>
      <c r="BX4000" s="2"/>
      <c r="BY4000" s="2">
        <v>1200</v>
      </c>
      <c r="BZ4000" s="2" t="s">
        <v>27</v>
      </c>
      <c r="CA4000" s="2" t="s">
        <v>429</v>
      </c>
      <c r="CB4000" s="2"/>
      <c r="CC4000" s="2" t="s">
        <v>150</v>
      </c>
      <c r="CD4000" s="2">
        <v>4001</v>
      </c>
      <c r="CE4000" s="2" t="s">
        <v>104</v>
      </c>
      <c r="CF4000" s="5">
        <v>42951</v>
      </c>
      <c r="CG4000" s="2"/>
      <c r="CH4000" s="2"/>
      <c r="CI4000" s="2">
        <v>1</v>
      </c>
      <c r="CJ4000" s="2">
        <v>1</v>
      </c>
      <c r="CK4000" s="2">
        <v>21</v>
      </c>
      <c r="CL4000" s="2" t="s">
        <v>86</v>
      </c>
      <c r="CM4000" s="2"/>
    </row>
    <row r="4001" spans="1:91">
      <c r="A4001" s="2" t="s">
        <v>71</v>
      </c>
      <c r="B4001" s="2" t="s">
        <v>72</v>
      </c>
      <c r="C4001" s="2" t="s">
        <v>73</v>
      </c>
      <c r="D4001" s="2"/>
      <c r="E4001" s="2" t="str">
        <f>"FES1162566360"</f>
        <v>FES1162566360</v>
      </c>
      <c r="F4001" s="3">
        <v>42949</v>
      </c>
      <c r="G4001" s="2">
        <v>201802</v>
      </c>
      <c r="H4001" s="2" t="s">
        <v>74</v>
      </c>
      <c r="I4001" s="2" t="s">
        <v>75</v>
      </c>
      <c r="J4001" s="2" t="s">
        <v>76</v>
      </c>
      <c r="K4001" s="2" t="s">
        <v>77</v>
      </c>
      <c r="L4001" s="2" t="s">
        <v>362</v>
      </c>
      <c r="M4001" s="2" t="s">
        <v>363</v>
      </c>
      <c r="N4001" s="2" t="s">
        <v>546</v>
      </c>
      <c r="O4001" s="2" t="s">
        <v>100</v>
      </c>
      <c r="P4001" s="2" t="str">
        <f>"2170580153                    "</f>
        <v xml:space="preserve">2170580153                    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4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0</v>
      </c>
      <c r="AV4001" s="2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2">
        <v>0</v>
      </c>
      <c r="BD4001" s="2">
        <v>0</v>
      </c>
      <c r="BE4001" s="2">
        <v>0</v>
      </c>
      <c r="BF4001" s="2">
        <v>0</v>
      </c>
      <c r="BG4001" s="2">
        <v>0</v>
      </c>
      <c r="BH4001" s="2">
        <v>1</v>
      </c>
      <c r="BI4001" s="2">
        <v>1</v>
      </c>
      <c r="BJ4001" s="2">
        <v>0.2</v>
      </c>
      <c r="BK4001" s="2">
        <v>1</v>
      </c>
      <c r="BL4001" s="2">
        <v>41.44</v>
      </c>
      <c r="BM4001" s="2">
        <v>5.8</v>
      </c>
      <c r="BN4001" s="2">
        <v>47.24</v>
      </c>
      <c r="BO4001" s="2">
        <v>47.24</v>
      </c>
      <c r="BP4001" s="2"/>
      <c r="BQ4001" s="2" t="s">
        <v>209</v>
      </c>
      <c r="BR4001" s="2" t="s">
        <v>84</v>
      </c>
      <c r="BS4001" s="3">
        <v>42950</v>
      </c>
      <c r="BT4001" s="4">
        <v>0.40972222222222227</v>
      </c>
      <c r="BU4001" s="2" t="s">
        <v>1848</v>
      </c>
      <c r="BV4001" s="2" t="s">
        <v>95</v>
      </c>
      <c r="BW4001" s="2"/>
      <c r="BX4001" s="2"/>
      <c r="BY4001" s="2">
        <v>1200</v>
      </c>
      <c r="BZ4001" s="2" t="s">
        <v>27</v>
      </c>
      <c r="CA4001" s="2" t="s">
        <v>379</v>
      </c>
      <c r="CB4001" s="2"/>
      <c r="CC4001" s="2" t="s">
        <v>363</v>
      </c>
      <c r="CD4001" s="2">
        <v>3201</v>
      </c>
      <c r="CE4001" s="2" t="s">
        <v>104</v>
      </c>
      <c r="CF4001" s="5">
        <v>42954</v>
      </c>
      <c r="CG4001" s="2"/>
      <c r="CH4001" s="2"/>
      <c r="CI4001" s="2">
        <v>1</v>
      </c>
      <c r="CJ4001" s="2">
        <v>1</v>
      </c>
      <c r="CK4001" s="2">
        <v>21</v>
      </c>
      <c r="CL4001" s="2" t="s">
        <v>86</v>
      </c>
      <c r="CM4001" s="2"/>
    </row>
    <row r="4002" spans="1:91">
      <c r="A4002" s="2" t="s">
        <v>71</v>
      </c>
      <c r="B4002" s="2" t="s">
        <v>72</v>
      </c>
      <c r="C4002" s="2" t="s">
        <v>73</v>
      </c>
      <c r="D4002" s="2"/>
      <c r="E4002" s="2" t="str">
        <f>"FES1162566482"</f>
        <v>FES1162566482</v>
      </c>
      <c r="F4002" s="3">
        <v>42949</v>
      </c>
      <c r="G4002" s="2">
        <v>201802</v>
      </c>
      <c r="H4002" s="2" t="s">
        <v>74</v>
      </c>
      <c r="I4002" s="2" t="s">
        <v>75</v>
      </c>
      <c r="J4002" s="2" t="s">
        <v>76</v>
      </c>
      <c r="K4002" s="2" t="s">
        <v>77</v>
      </c>
      <c r="L4002" s="2" t="s">
        <v>206</v>
      </c>
      <c r="M4002" s="2" t="s">
        <v>207</v>
      </c>
      <c r="N4002" s="2" t="s">
        <v>3790</v>
      </c>
      <c r="O4002" s="2" t="s">
        <v>100</v>
      </c>
      <c r="P4002" s="2" t="str">
        <f>"2170582841                    "</f>
        <v xml:space="preserve">2170582841                    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5.63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0</v>
      </c>
      <c r="AU4002" s="2">
        <v>0</v>
      </c>
      <c r="AV4002" s="2">
        <v>0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2">
        <v>0</v>
      </c>
      <c r="BD4002" s="2">
        <v>0</v>
      </c>
      <c r="BE4002" s="2">
        <v>0</v>
      </c>
      <c r="BF4002" s="2">
        <v>0</v>
      </c>
      <c r="BG4002" s="2">
        <v>0</v>
      </c>
      <c r="BH4002" s="2">
        <v>1</v>
      </c>
      <c r="BI4002" s="2">
        <v>1</v>
      </c>
      <c r="BJ4002" s="2">
        <v>0.2</v>
      </c>
      <c r="BK4002" s="2">
        <v>1</v>
      </c>
      <c r="BL4002" s="2">
        <v>58.28</v>
      </c>
      <c r="BM4002" s="2">
        <v>8.16</v>
      </c>
      <c r="BN4002" s="2">
        <v>66.44</v>
      </c>
      <c r="BO4002" s="2">
        <v>66.44</v>
      </c>
      <c r="BP4002" s="2"/>
      <c r="BQ4002" s="2" t="s">
        <v>83</v>
      </c>
      <c r="BR4002" s="2" t="s">
        <v>84</v>
      </c>
      <c r="BS4002" s="3">
        <v>42950</v>
      </c>
      <c r="BT4002" s="4">
        <v>0.5</v>
      </c>
      <c r="BU4002" s="2" t="s">
        <v>3791</v>
      </c>
      <c r="BV4002" s="2" t="s">
        <v>95</v>
      </c>
      <c r="BW4002" s="2"/>
      <c r="BX4002" s="2"/>
      <c r="BY4002" s="2">
        <v>1200</v>
      </c>
      <c r="BZ4002" s="2" t="s">
        <v>27</v>
      </c>
      <c r="CA4002" s="2" t="s">
        <v>640</v>
      </c>
      <c r="CB4002" s="2"/>
      <c r="CC4002" s="2" t="s">
        <v>207</v>
      </c>
      <c r="CD4002" s="2">
        <v>250</v>
      </c>
      <c r="CE4002" s="2" t="s">
        <v>104</v>
      </c>
      <c r="CF4002" s="5">
        <v>42954</v>
      </c>
      <c r="CG4002" s="2"/>
      <c r="CH4002" s="2"/>
      <c r="CI4002" s="2">
        <v>1</v>
      </c>
      <c r="CJ4002" s="2">
        <v>1</v>
      </c>
      <c r="CK4002" s="2">
        <v>24</v>
      </c>
      <c r="CL4002" s="2" t="s">
        <v>86</v>
      </c>
      <c r="CM4002" s="2"/>
    </row>
    <row r="4003" spans="1:91">
      <c r="A4003" s="2" t="s">
        <v>71</v>
      </c>
      <c r="B4003" s="2" t="s">
        <v>72</v>
      </c>
      <c r="C4003" s="2" t="s">
        <v>73</v>
      </c>
      <c r="D4003" s="2"/>
      <c r="E4003" s="2" t="str">
        <f>"FES1162566444"</f>
        <v>FES1162566444</v>
      </c>
      <c r="F4003" s="3">
        <v>42949</v>
      </c>
      <c r="G4003" s="2">
        <v>201802</v>
      </c>
      <c r="H4003" s="2" t="s">
        <v>74</v>
      </c>
      <c r="I4003" s="2" t="s">
        <v>75</v>
      </c>
      <c r="J4003" s="2" t="s">
        <v>76</v>
      </c>
      <c r="K4003" s="2" t="s">
        <v>77</v>
      </c>
      <c r="L4003" s="2" t="s">
        <v>268</v>
      </c>
      <c r="M4003" s="2" t="s">
        <v>269</v>
      </c>
      <c r="N4003" s="2" t="s">
        <v>279</v>
      </c>
      <c r="O4003" s="2" t="s">
        <v>100</v>
      </c>
      <c r="P4003" s="2" t="str">
        <f>"2170582766                    "</f>
        <v xml:space="preserve">2170582766                    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4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0</v>
      </c>
      <c r="AV4003" s="2">
        <v>0</v>
      </c>
      <c r="AW4003" s="2">
        <v>0</v>
      </c>
      <c r="AX4003" s="2">
        <v>0</v>
      </c>
      <c r="AY4003" s="2">
        <v>0</v>
      </c>
      <c r="AZ4003" s="2">
        <v>0</v>
      </c>
      <c r="BA4003" s="2">
        <v>0</v>
      </c>
      <c r="BB4003" s="2">
        <v>0</v>
      </c>
      <c r="BC4003" s="2">
        <v>0</v>
      </c>
      <c r="BD4003" s="2">
        <v>0</v>
      </c>
      <c r="BE4003" s="2">
        <v>0</v>
      </c>
      <c r="BF4003" s="2">
        <v>0</v>
      </c>
      <c r="BG4003" s="2">
        <v>0</v>
      </c>
      <c r="BH4003" s="2">
        <v>1</v>
      </c>
      <c r="BI4003" s="2">
        <v>1</v>
      </c>
      <c r="BJ4003" s="2">
        <v>0.2</v>
      </c>
      <c r="BK4003" s="2">
        <v>1</v>
      </c>
      <c r="BL4003" s="2">
        <v>41.44</v>
      </c>
      <c r="BM4003" s="2">
        <v>5.8</v>
      </c>
      <c r="BN4003" s="2">
        <v>47.24</v>
      </c>
      <c r="BO4003" s="2">
        <v>47.24</v>
      </c>
      <c r="BP4003" s="2"/>
      <c r="BQ4003" s="2" t="s">
        <v>83</v>
      </c>
      <c r="BR4003" s="2" t="s">
        <v>84</v>
      </c>
      <c r="BS4003" s="3">
        <v>42950</v>
      </c>
      <c r="BT4003" s="4">
        <v>0.64027777777777783</v>
      </c>
      <c r="BU4003" s="2" t="s">
        <v>3792</v>
      </c>
      <c r="BV4003" s="2" t="s">
        <v>86</v>
      </c>
      <c r="BW4003" s="2" t="s">
        <v>1007</v>
      </c>
      <c r="BX4003" s="2" t="s">
        <v>1008</v>
      </c>
      <c r="BY4003" s="2">
        <v>1200</v>
      </c>
      <c r="BZ4003" s="2" t="s">
        <v>27</v>
      </c>
      <c r="CA4003" s="2" t="s">
        <v>981</v>
      </c>
      <c r="CB4003" s="2"/>
      <c r="CC4003" s="2" t="s">
        <v>269</v>
      </c>
      <c r="CD4003" s="2">
        <v>117</v>
      </c>
      <c r="CE4003" s="2" t="s">
        <v>104</v>
      </c>
      <c r="CF4003" s="5">
        <v>42950</v>
      </c>
      <c r="CG4003" s="2"/>
      <c r="CH4003" s="2"/>
      <c r="CI4003" s="2">
        <v>1</v>
      </c>
      <c r="CJ4003" s="2">
        <v>1</v>
      </c>
      <c r="CK4003" s="2">
        <v>21</v>
      </c>
      <c r="CL4003" s="2" t="s">
        <v>86</v>
      </c>
      <c r="CM4003" s="2"/>
    </row>
    <row r="4004" spans="1:91">
      <c r="A4004" s="2" t="s">
        <v>71</v>
      </c>
      <c r="B4004" s="2" t="s">
        <v>72</v>
      </c>
      <c r="C4004" s="2" t="s">
        <v>73</v>
      </c>
      <c r="D4004" s="2"/>
      <c r="E4004" s="2" t="str">
        <f>"FES1162566346"</f>
        <v>FES1162566346</v>
      </c>
      <c r="F4004" s="3">
        <v>42949</v>
      </c>
      <c r="G4004" s="2">
        <v>201802</v>
      </c>
      <c r="H4004" s="2" t="s">
        <v>74</v>
      </c>
      <c r="I4004" s="2" t="s">
        <v>75</v>
      </c>
      <c r="J4004" s="2" t="s">
        <v>76</v>
      </c>
      <c r="K4004" s="2" t="s">
        <v>77</v>
      </c>
      <c r="L4004" s="2" t="s">
        <v>237</v>
      </c>
      <c r="M4004" s="2" t="s">
        <v>238</v>
      </c>
      <c r="N4004" s="2" t="s">
        <v>1986</v>
      </c>
      <c r="O4004" s="2" t="s">
        <v>100</v>
      </c>
      <c r="P4004" s="2" t="str">
        <f>"217058069                     "</f>
        <v xml:space="preserve">217058069                     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4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2">
        <v>0</v>
      </c>
      <c r="BD4004" s="2">
        <v>0</v>
      </c>
      <c r="BE4004" s="2">
        <v>0</v>
      </c>
      <c r="BF4004" s="2">
        <v>0</v>
      </c>
      <c r="BG4004" s="2">
        <v>0</v>
      </c>
      <c r="BH4004" s="2">
        <v>1</v>
      </c>
      <c r="BI4004" s="2">
        <v>1</v>
      </c>
      <c r="BJ4004" s="2">
        <v>0.2</v>
      </c>
      <c r="BK4004" s="2">
        <v>1</v>
      </c>
      <c r="BL4004" s="2">
        <v>41.44</v>
      </c>
      <c r="BM4004" s="2">
        <v>5.8</v>
      </c>
      <c r="BN4004" s="2">
        <v>47.24</v>
      </c>
      <c r="BO4004" s="2">
        <v>47.24</v>
      </c>
      <c r="BP4004" s="2"/>
      <c r="BQ4004" s="2" t="s">
        <v>3793</v>
      </c>
      <c r="BR4004" s="2" t="s">
        <v>84</v>
      </c>
      <c r="BS4004" s="3">
        <v>42950</v>
      </c>
      <c r="BT4004" s="4">
        <v>0.34652777777777777</v>
      </c>
      <c r="BU4004" s="2" t="s">
        <v>1651</v>
      </c>
      <c r="BV4004" s="2" t="s">
        <v>95</v>
      </c>
      <c r="BW4004" s="2"/>
      <c r="BX4004" s="2"/>
      <c r="BY4004" s="2">
        <v>1200</v>
      </c>
      <c r="BZ4004" s="2" t="s">
        <v>27</v>
      </c>
      <c r="CA4004" s="2" t="s">
        <v>401</v>
      </c>
      <c r="CB4004" s="2"/>
      <c r="CC4004" s="2" t="s">
        <v>238</v>
      </c>
      <c r="CD4004" s="2">
        <v>3610</v>
      </c>
      <c r="CE4004" s="2" t="s">
        <v>104</v>
      </c>
      <c r="CF4004" s="5">
        <v>42951</v>
      </c>
      <c r="CG4004" s="2"/>
      <c r="CH4004" s="2"/>
      <c r="CI4004" s="2">
        <v>1</v>
      </c>
      <c r="CJ4004" s="2">
        <v>1</v>
      </c>
      <c r="CK4004" s="2">
        <v>21</v>
      </c>
      <c r="CL4004" s="2" t="s">
        <v>86</v>
      </c>
      <c r="CM4004" s="2"/>
    </row>
    <row r="4005" spans="1:91">
      <c r="A4005" s="2" t="s">
        <v>71</v>
      </c>
      <c r="B4005" s="2" t="s">
        <v>72</v>
      </c>
      <c r="C4005" s="2" t="s">
        <v>73</v>
      </c>
      <c r="D4005" s="2"/>
      <c r="E4005" s="2" t="str">
        <f>"FES1162566442"</f>
        <v>FES1162566442</v>
      </c>
      <c r="F4005" s="3">
        <v>42949</v>
      </c>
      <c r="G4005" s="2">
        <v>201802</v>
      </c>
      <c r="H4005" s="2" t="s">
        <v>74</v>
      </c>
      <c r="I4005" s="2" t="s">
        <v>75</v>
      </c>
      <c r="J4005" s="2" t="s">
        <v>76</v>
      </c>
      <c r="K4005" s="2" t="s">
        <v>77</v>
      </c>
      <c r="L4005" s="2" t="s">
        <v>268</v>
      </c>
      <c r="M4005" s="2" t="s">
        <v>269</v>
      </c>
      <c r="N4005" s="2" t="s">
        <v>402</v>
      </c>
      <c r="O4005" s="2" t="s">
        <v>100</v>
      </c>
      <c r="P4005" s="2" t="str">
        <f>"2170582739                    "</f>
        <v xml:space="preserve">2170582739                    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4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0</v>
      </c>
      <c r="AV4005" s="2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2">
        <v>0</v>
      </c>
      <c r="BD4005" s="2">
        <v>0</v>
      </c>
      <c r="BE4005" s="2">
        <v>0</v>
      </c>
      <c r="BF4005" s="2">
        <v>0</v>
      </c>
      <c r="BG4005" s="2">
        <v>0</v>
      </c>
      <c r="BH4005" s="2">
        <v>1</v>
      </c>
      <c r="BI4005" s="2">
        <v>1</v>
      </c>
      <c r="BJ4005" s="2">
        <v>0.2</v>
      </c>
      <c r="BK4005" s="2">
        <v>1</v>
      </c>
      <c r="BL4005" s="2">
        <v>41.44</v>
      </c>
      <c r="BM4005" s="2">
        <v>5.8</v>
      </c>
      <c r="BN4005" s="2">
        <v>47.24</v>
      </c>
      <c r="BO4005" s="2">
        <v>47.24</v>
      </c>
      <c r="BP4005" s="2"/>
      <c r="BQ4005" s="2" t="s">
        <v>83</v>
      </c>
      <c r="BR4005" s="2" t="s">
        <v>84</v>
      </c>
      <c r="BS4005" s="3">
        <v>42950</v>
      </c>
      <c r="BT4005" s="4">
        <v>0.64097222222222217</v>
      </c>
      <c r="BU4005" s="2" t="s">
        <v>3792</v>
      </c>
      <c r="BV4005" s="2" t="s">
        <v>86</v>
      </c>
      <c r="BW4005" s="2" t="s">
        <v>1007</v>
      </c>
      <c r="BX4005" s="2" t="s">
        <v>1008</v>
      </c>
      <c r="BY4005" s="2">
        <v>1200</v>
      </c>
      <c r="BZ4005" s="2" t="s">
        <v>27</v>
      </c>
      <c r="CA4005" s="2" t="s">
        <v>981</v>
      </c>
      <c r="CB4005" s="2"/>
      <c r="CC4005" s="2" t="s">
        <v>269</v>
      </c>
      <c r="CD4005" s="2">
        <v>82</v>
      </c>
      <c r="CE4005" s="2" t="s">
        <v>104</v>
      </c>
      <c r="CF4005" s="5">
        <v>42950</v>
      </c>
      <c r="CG4005" s="2"/>
      <c r="CH4005" s="2"/>
      <c r="CI4005" s="2">
        <v>1</v>
      </c>
      <c r="CJ4005" s="2">
        <v>1</v>
      </c>
      <c r="CK4005" s="2">
        <v>21</v>
      </c>
      <c r="CL4005" s="2" t="s">
        <v>86</v>
      </c>
      <c r="CM4005" s="2"/>
    </row>
    <row r="4006" spans="1:91">
      <c r="A4006" s="2" t="s">
        <v>71</v>
      </c>
      <c r="B4006" s="2" t="s">
        <v>72</v>
      </c>
      <c r="C4006" s="2" t="s">
        <v>73</v>
      </c>
      <c r="D4006" s="2"/>
      <c r="E4006" s="2" t="str">
        <f>"FES1162566491"</f>
        <v>FES1162566491</v>
      </c>
      <c r="F4006" s="3">
        <v>42949</v>
      </c>
      <c r="G4006" s="2">
        <v>201802</v>
      </c>
      <c r="H4006" s="2" t="s">
        <v>74</v>
      </c>
      <c r="I4006" s="2" t="s">
        <v>75</v>
      </c>
      <c r="J4006" s="2" t="s">
        <v>76</v>
      </c>
      <c r="K4006" s="2" t="s">
        <v>77</v>
      </c>
      <c r="L4006" s="2" t="s">
        <v>339</v>
      </c>
      <c r="M4006" s="2" t="s">
        <v>340</v>
      </c>
      <c r="N4006" s="2" t="s">
        <v>1341</v>
      </c>
      <c r="O4006" s="2" t="s">
        <v>100</v>
      </c>
      <c r="P4006" s="2" t="str">
        <f>"2170582849                    "</f>
        <v xml:space="preserve">2170582849                    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4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2">
        <v>0</v>
      </c>
      <c r="BD4006" s="2">
        <v>0</v>
      </c>
      <c r="BE4006" s="2">
        <v>0</v>
      </c>
      <c r="BF4006" s="2">
        <v>0</v>
      </c>
      <c r="BG4006" s="2">
        <v>0</v>
      </c>
      <c r="BH4006" s="2">
        <v>1</v>
      </c>
      <c r="BI4006" s="2">
        <v>1</v>
      </c>
      <c r="BJ4006" s="2">
        <v>0.2</v>
      </c>
      <c r="BK4006" s="2">
        <v>1</v>
      </c>
      <c r="BL4006" s="2">
        <v>41.44</v>
      </c>
      <c r="BM4006" s="2">
        <v>5.8</v>
      </c>
      <c r="BN4006" s="2">
        <v>47.24</v>
      </c>
      <c r="BO4006" s="2">
        <v>47.24</v>
      </c>
      <c r="BP4006" s="2"/>
      <c r="BQ4006" s="2" t="s">
        <v>83</v>
      </c>
      <c r="BR4006" s="2" t="s">
        <v>84</v>
      </c>
      <c r="BS4006" s="3">
        <v>42950</v>
      </c>
      <c r="BT4006" s="4">
        <v>0.40902777777777777</v>
      </c>
      <c r="BU4006" s="2" t="s">
        <v>3794</v>
      </c>
      <c r="BV4006" s="2" t="s">
        <v>95</v>
      </c>
      <c r="BW4006" s="2"/>
      <c r="BX4006" s="2"/>
      <c r="BY4006" s="2">
        <v>1200</v>
      </c>
      <c r="BZ4006" s="2" t="s">
        <v>27</v>
      </c>
      <c r="CA4006" s="2" t="s">
        <v>3795</v>
      </c>
      <c r="CB4006" s="2"/>
      <c r="CC4006" s="2" t="s">
        <v>340</v>
      </c>
      <c r="CD4006" s="2">
        <v>1947</v>
      </c>
      <c r="CE4006" s="2" t="s">
        <v>104</v>
      </c>
      <c r="CF4006" s="5">
        <v>42951</v>
      </c>
      <c r="CG4006" s="2"/>
      <c r="CH4006" s="2"/>
      <c r="CI4006" s="2">
        <v>1</v>
      </c>
      <c r="CJ4006" s="2">
        <v>1</v>
      </c>
      <c r="CK4006" s="2">
        <v>21</v>
      </c>
      <c r="CL4006" s="2" t="s">
        <v>86</v>
      </c>
      <c r="CM4006" s="2"/>
    </row>
    <row r="4007" spans="1:91">
      <c r="A4007" s="2" t="s">
        <v>71</v>
      </c>
      <c r="B4007" s="2" t="s">
        <v>72</v>
      </c>
      <c r="C4007" s="2" t="s">
        <v>73</v>
      </c>
      <c r="D4007" s="2"/>
      <c r="E4007" s="2" t="str">
        <f>"FES1162566368"</f>
        <v>FES1162566368</v>
      </c>
      <c r="F4007" s="3">
        <v>42949</v>
      </c>
      <c r="G4007" s="2">
        <v>201802</v>
      </c>
      <c r="H4007" s="2" t="s">
        <v>74</v>
      </c>
      <c r="I4007" s="2" t="s">
        <v>75</v>
      </c>
      <c r="J4007" s="2" t="s">
        <v>76</v>
      </c>
      <c r="K4007" s="2" t="s">
        <v>77</v>
      </c>
      <c r="L4007" s="2" t="s">
        <v>604</v>
      </c>
      <c r="M4007" s="2" t="s">
        <v>605</v>
      </c>
      <c r="N4007" s="2" t="s">
        <v>3796</v>
      </c>
      <c r="O4007" s="2" t="s">
        <v>100</v>
      </c>
      <c r="P4007" s="2" t="str">
        <f>"2170580293                    "</f>
        <v xml:space="preserve">2170580293                    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4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2">
        <v>0</v>
      </c>
      <c r="BD4007" s="2">
        <v>0</v>
      </c>
      <c r="BE4007" s="2">
        <v>0</v>
      </c>
      <c r="BF4007" s="2">
        <v>0</v>
      </c>
      <c r="BG4007" s="2">
        <v>0</v>
      </c>
      <c r="BH4007" s="2">
        <v>1</v>
      </c>
      <c r="BI4007" s="2">
        <v>1</v>
      </c>
      <c r="BJ4007" s="2">
        <v>0.2</v>
      </c>
      <c r="BK4007" s="2">
        <v>1</v>
      </c>
      <c r="BL4007" s="2">
        <v>41.44</v>
      </c>
      <c r="BM4007" s="2">
        <v>5.8</v>
      </c>
      <c r="BN4007" s="2">
        <v>47.24</v>
      </c>
      <c r="BO4007" s="2">
        <v>47.24</v>
      </c>
      <c r="BP4007" s="2"/>
      <c r="BQ4007" s="2"/>
      <c r="BR4007" s="2" t="s">
        <v>84</v>
      </c>
      <c r="BS4007" s="3">
        <v>42950</v>
      </c>
      <c r="BT4007" s="4">
        <v>0.34791666666666665</v>
      </c>
      <c r="BU4007" s="2" t="s">
        <v>3797</v>
      </c>
      <c r="BV4007" s="2" t="s">
        <v>95</v>
      </c>
      <c r="BW4007" s="2"/>
      <c r="BX4007" s="2"/>
      <c r="BY4007" s="2">
        <v>1200</v>
      </c>
      <c r="BZ4007" s="2" t="s">
        <v>27</v>
      </c>
      <c r="CA4007" s="2" t="s">
        <v>840</v>
      </c>
      <c r="CB4007" s="2"/>
      <c r="CC4007" s="2" t="s">
        <v>605</v>
      </c>
      <c r="CD4007" s="2">
        <v>4126</v>
      </c>
      <c r="CE4007" s="2" t="s">
        <v>104</v>
      </c>
      <c r="CF4007" s="5">
        <v>42951</v>
      </c>
      <c r="CG4007" s="2"/>
      <c r="CH4007" s="2"/>
      <c r="CI4007" s="2">
        <v>1</v>
      </c>
      <c r="CJ4007" s="2">
        <v>1</v>
      </c>
      <c r="CK4007" s="2">
        <v>21</v>
      </c>
      <c r="CL4007" s="2" t="s">
        <v>86</v>
      </c>
      <c r="CM4007" s="2"/>
    </row>
    <row r="4008" spans="1:91">
      <c r="A4008" s="2" t="s">
        <v>71</v>
      </c>
      <c r="B4008" s="2" t="s">
        <v>72</v>
      </c>
      <c r="C4008" s="2" t="s">
        <v>73</v>
      </c>
      <c r="D4008" s="2"/>
      <c r="E4008" s="2" t="str">
        <f>"FES1162566300"</f>
        <v>FES1162566300</v>
      </c>
      <c r="F4008" s="3">
        <v>42949</v>
      </c>
      <c r="G4008" s="2">
        <v>201802</v>
      </c>
      <c r="H4008" s="2" t="s">
        <v>74</v>
      </c>
      <c r="I4008" s="2" t="s">
        <v>75</v>
      </c>
      <c r="J4008" s="2" t="s">
        <v>76</v>
      </c>
      <c r="K4008" s="2" t="s">
        <v>77</v>
      </c>
      <c r="L4008" s="2" t="s">
        <v>221</v>
      </c>
      <c r="M4008" s="2" t="s">
        <v>222</v>
      </c>
      <c r="N4008" s="2" t="s">
        <v>3638</v>
      </c>
      <c r="O4008" s="2" t="s">
        <v>100</v>
      </c>
      <c r="P4008" s="2" t="str">
        <f>"2170582736                    "</f>
        <v xml:space="preserve">2170582736                    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4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0</v>
      </c>
      <c r="AV4008" s="2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2">
        <v>0</v>
      </c>
      <c r="BD4008" s="2">
        <v>0</v>
      </c>
      <c r="BE4008" s="2">
        <v>0</v>
      </c>
      <c r="BF4008" s="2">
        <v>0</v>
      </c>
      <c r="BG4008" s="2">
        <v>0</v>
      </c>
      <c r="BH4008" s="2">
        <v>1</v>
      </c>
      <c r="BI4008" s="2">
        <v>1</v>
      </c>
      <c r="BJ4008" s="2">
        <v>0.2</v>
      </c>
      <c r="BK4008" s="2">
        <v>1</v>
      </c>
      <c r="BL4008" s="2">
        <v>41.44</v>
      </c>
      <c r="BM4008" s="2">
        <v>5.8</v>
      </c>
      <c r="BN4008" s="2">
        <v>47.24</v>
      </c>
      <c r="BO4008" s="2">
        <v>47.24</v>
      </c>
      <c r="BP4008" s="2"/>
      <c r="BQ4008" s="2" t="s">
        <v>108</v>
      </c>
      <c r="BR4008" s="2" t="s">
        <v>84</v>
      </c>
      <c r="BS4008" s="3">
        <v>42950</v>
      </c>
      <c r="BT4008" s="4">
        <v>0.35555555555555557</v>
      </c>
      <c r="BU4008" s="2" t="s">
        <v>3798</v>
      </c>
      <c r="BV4008" s="2" t="s">
        <v>95</v>
      </c>
      <c r="BW4008" s="2"/>
      <c r="BX4008" s="2"/>
      <c r="BY4008" s="2">
        <v>1200</v>
      </c>
      <c r="BZ4008" s="2" t="s">
        <v>27</v>
      </c>
      <c r="CA4008" s="2" t="s">
        <v>3640</v>
      </c>
      <c r="CB4008" s="2"/>
      <c r="CC4008" s="2" t="s">
        <v>222</v>
      </c>
      <c r="CD4008" s="2">
        <v>4300</v>
      </c>
      <c r="CE4008" s="2" t="s">
        <v>104</v>
      </c>
      <c r="CF4008" s="5">
        <v>42951</v>
      </c>
      <c r="CG4008" s="2"/>
      <c r="CH4008" s="2"/>
      <c r="CI4008" s="2">
        <v>1</v>
      </c>
      <c r="CJ4008" s="2">
        <v>1</v>
      </c>
      <c r="CK4008" s="2">
        <v>21</v>
      </c>
      <c r="CL4008" s="2" t="s">
        <v>86</v>
      </c>
      <c r="CM4008" s="2"/>
    </row>
    <row r="4009" spans="1:91">
      <c r="A4009" s="2" t="s">
        <v>71</v>
      </c>
      <c r="B4009" s="2" t="s">
        <v>72</v>
      </c>
      <c r="C4009" s="2" t="s">
        <v>73</v>
      </c>
      <c r="D4009" s="2"/>
      <c r="E4009" s="2" t="str">
        <f>"FES1162566232"</f>
        <v>FES1162566232</v>
      </c>
      <c r="F4009" s="3">
        <v>42949</v>
      </c>
      <c r="G4009" s="2">
        <v>201802</v>
      </c>
      <c r="H4009" s="2" t="s">
        <v>74</v>
      </c>
      <c r="I4009" s="2" t="s">
        <v>75</v>
      </c>
      <c r="J4009" s="2" t="s">
        <v>76</v>
      </c>
      <c r="K4009" s="2" t="s">
        <v>77</v>
      </c>
      <c r="L4009" s="2" t="s">
        <v>306</v>
      </c>
      <c r="M4009" s="2" t="s">
        <v>307</v>
      </c>
      <c r="N4009" s="2" t="s">
        <v>2697</v>
      </c>
      <c r="O4009" s="2" t="s">
        <v>100</v>
      </c>
      <c r="P4009" s="2" t="str">
        <f>"2170582358                    "</f>
        <v xml:space="preserve">2170582358                    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4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2">
        <v>0</v>
      </c>
      <c r="BD4009" s="2">
        <v>0</v>
      </c>
      <c r="BE4009" s="2">
        <v>0</v>
      </c>
      <c r="BF4009" s="2">
        <v>0</v>
      </c>
      <c r="BG4009" s="2">
        <v>0</v>
      </c>
      <c r="BH4009" s="2">
        <v>1</v>
      </c>
      <c r="BI4009" s="2">
        <v>1</v>
      </c>
      <c r="BJ4009" s="2">
        <v>0.2</v>
      </c>
      <c r="BK4009" s="2">
        <v>1</v>
      </c>
      <c r="BL4009" s="2">
        <v>41.44</v>
      </c>
      <c r="BM4009" s="2">
        <v>5.8</v>
      </c>
      <c r="BN4009" s="2">
        <v>47.24</v>
      </c>
      <c r="BO4009" s="2">
        <v>47.24</v>
      </c>
      <c r="BP4009" s="2"/>
      <c r="BQ4009" s="2"/>
      <c r="BR4009" s="2" t="s">
        <v>84</v>
      </c>
      <c r="BS4009" s="3">
        <v>42950</v>
      </c>
      <c r="BT4009" s="4">
        <v>0.43402777777777773</v>
      </c>
      <c r="BU4009" s="2" t="s">
        <v>3799</v>
      </c>
      <c r="BV4009" s="2" t="s">
        <v>95</v>
      </c>
      <c r="BW4009" s="2"/>
      <c r="BX4009" s="2"/>
      <c r="BY4009" s="2">
        <v>1200</v>
      </c>
      <c r="BZ4009" s="2" t="s">
        <v>27</v>
      </c>
      <c r="CA4009" s="2" t="s">
        <v>148</v>
      </c>
      <c r="CB4009" s="2"/>
      <c r="CC4009" s="2" t="s">
        <v>307</v>
      </c>
      <c r="CD4009" s="2">
        <v>1876</v>
      </c>
      <c r="CE4009" s="2" t="s">
        <v>104</v>
      </c>
      <c r="CF4009" s="5">
        <v>42951</v>
      </c>
      <c r="CG4009" s="2"/>
      <c r="CH4009" s="2"/>
      <c r="CI4009" s="2">
        <v>1</v>
      </c>
      <c r="CJ4009" s="2">
        <v>1</v>
      </c>
      <c r="CK4009" s="2">
        <v>21</v>
      </c>
      <c r="CL4009" s="2" t="s">
        <v>86</v>
      </c>
      <c r="CM4009" s="2"/>
    </row>
    <row r="4010" spans="1:91">
      <c r="A4010" s="2" t="s">
        <v>71</v>
      </c>
      <c r="B4010" s="2" t="s">
        <v>72</v>
      </c>
      <c r="C4010" s="2" t="s">
        <v>73</v>
      </c>
      <c r="D4010" s="2"/>
      <c r="E4010" s="2" t="str">
        <f>"FES1162566305"</f>
        <v>FES1162566305</v>
      </c>
      <c r="F4010" s="3">
        <v>42949</v>
      </c>
      <c r="G4010" s="2">
        <v>201802</v>
      </c>
      <c r="H4010" s="2" t="s">
        <v>74</v>
      </c>
      <c r="I4010" s="2" t="s">
        <v>75</v>
      </c>
      <c r="J4010" s="2" t="s">
        <v>76</v>
      </c>
      <c r="K4010" s="2" t="s">
        <v>77</v>
      </c>
      <c r="L4010" s="2" t="s">
        <v>221</v>
      </c>
      <c r="M4010" s="2" t="s">
        <v>222</v>
      </c>
      <c r="N4010" s="2" t="s">
        <v>415</v>
      </c>
      <c r="O4010" s="2" t="s">
        <v>100</v>
      </c>
      <c r="P4010" s="2" t="str">
        <f>"21705873025                   "</f>
        <v xml:space="preserve">21705873025                   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4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0</v>
      </c>
      <c r="AV4010" s="2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0</v>
      </c>
      <c r="BB4010" s="2">
        <v>0</v>
      </c>
      <c r="BC4010" s="2">
        <v>0</v>
      </c>
      <c r="BD4010" s="2">
        <v>0</v>
      </c>
      <c r="BE4010" s="2">
        <v>0</v>
      </c>
      <c r="BF4010" s="2">
        <v>0</v>
      </c>
      <c r="BG4010" s="2">
        <v>0</v>
      </c>
      <c r="BH4010" s="2">
        <v>1</v>
      </c>
      <c r="BI4010" s="2">
        <v>1</v>
      </c>
      <c r="BJ4010" s="2">
        <v>0.2</v>
      </c>
      <c r="BK4010" s="2">
        <v>1</v>
      </c>
      <c r="BL4010" s="2">
        <v>41.44</v>
      </c>
      <c r="BM4010" s="2">
        <v>5.8</v>
      </c>
      <c r="BN4010" s="2">
        <v>47.24</v>
      </c>
      <c r="BO4010" s="2">
        <v>47.24</v>
      </c>
      <c r="BP4010" s="2"/>
      <c r="BQ4010" s="2" t="s">
        <v>108</v>
      </c>
      <c r="BR4010" s="2" t="s">
        <v>84</v>
      </c>
      <c r="BS4010" s="3">
        <v>42950</v>
      </c>
      <c r="BT4010" s="4">
        <v>0.34583333333333338</v>
      </c>
      <c r="BU4010" s="2" t="s">
        <v>3776</v>
      </c>
      <c r="BV4010" s="2" t="s">
        <v>95</v>
      </c>
      <c r="BW4010" s="2"/>
      <c r="BX4010" s="2"/>
      <c r="BY4010" s="2">
        <v>1200</v>
      </c>
      <c r="BZ4010" s="2" t="s">
        <v>27</v>
      </c>
      <c r="CA4010" s="2" t="s">
        <v>3640</v>
      </c>
      <c r="CB4010" s="2"/>
      <c r="CC4010" s="2" t="s">
        <v>222</v>
      </c>
      <c r="CD4010" s="2">
        <v>4302</v>
      </c>
      <c r="CE4010" s="2" t="s">
        <v>104</v>
      </c>
      <c r="CF4010" s="5">
        <v>42951</v>
      </c>
      <c r="CG4010" s="2"/>
      <c r="CH4010" s="2"/>
      <c r="CI4010" s="2">
        <v>1</v>
      </c>
      <c r="CJ4010" s="2">
        <v>1</v>
      </c>
      <c r="CK4010" s="2">
        <v>21</v>
      </c>
      <c r="CL4010" s="2" t="s">
        <v>86</v>
      </c>
      <c r="CM4010" s="2"/>
    </row>
    <row r="4011" spans="1:91">
      <c r="A4011" s="2" t="s">
        <v>71</v>
      </c>
      <c r="B4011" s="2" t="s">
        <v>72</v>
      </c>
      <c r="C4011" s="2" t="s">
        <v>73</v>
      </c>
      <c r="D4011" s="2"/>
      <c r="E4011" s="2" t="str">
        <f>"FES1162566435"</f>
        <v>FES1162566435</v>
      </c>
      <c r="F4011" s="3">
        <v>42949</v>
      </c>
      <c r="G4011" s="2">
        <v>201802</v>
      </c>
      <c r="H4011" s="2" t="s">
        <v>74</v>
      </c>
      <c r="I4011" s="2" t="s">
        <v>75</v>
      </c>
      <c r="J4011" s="2" t="s">
        <v>76</v>
      </c>
      <c r="K4011" s="2" t="s">
        <v>77</v>
      </c>
      <c r="L4011" s="2" t="s">
        <v>105</v>
      </c>
      <c r="M4011" s="2" t="s">
        <v>106</v>
      </c>
      <c r="N4011" s="2" t="s">
        <v>3800</v>
      </c>
      <c r="O4011" s="2" t="s">
        <v>100</v>
      </c>
      <c r="P4011" s="2" t="str">
        <f>"2170582796                    "</f>
        <v xml:space="preserve">2170582796                    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4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0</v>
      </c>
      <c r="AV4011" s="2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2">
        <v>0</v>
      </c>
      <c r="BD4011" s="2">
        <v>0</v>
      </c>
      <c r="BE4011" s="2">
        <v>0</v>
      </c>
      <c r="BF4011" s="2">
        <v>0</v>
      </c>
      <c r="BG4011" s="2">
        <v>0</v>
      </c>
      <c r="BH4011" s="2">
        <v>1</v>
      </c>
      <c r="BI4011" s="2">
        <v>1</v>
      </c>
      <c r="BJ4011" s="2">
        <v>0.2</v>
      </c>
      <c r="BK4011" s="2">
        <v>1</v>
      </c>
      <c r="BL4011" s="2">
        <v>41.44</v>
      </c>
      <c r="BM4011" s="2">
        <v>5.8</v>
      </c>
      <c r="BN4011" s="2">
        <v>47.24</v>
      </c>
      <c r="BO4011" s="2">
        <v>47.24</v>
      </c>
      <c r="BP4011" s="2"/>
      <c r="BQ4011" s="2"/>
      <c r="BR4011" s="2" t="s">
        <v>84</v>
      </c>
      <c r="BS4011" s="3">
        <v>42950</v>
      </c>
      <c r="BT4011" s="4">
        <v>0.37013888888888885</v>
      </c>
      <c r="BU4011" s="2" t="s">
        <v>2956</v>
      </c>
      <c r="BV4011" s="2" t="s">
        <v>95</v>
      </c>
      <c r="BW4011" s="2"/>
      <c r="BX4011" s="2"/>
      <c r="BY4011" s="2">
        <v>1200</v>
      </c>
      <c r="BZ4011" s="2" t="s">
        <v>27</v>
      </c>
      <c r="CA4011" s="2" t="s">
        <v>291</v>
      </c>
      <c r="CB4011" s="2"/>
      <c r="CC4011" s="2" t="s">
        <v>106</v>
      </c>
      <c r="CD4011" s="2">
        <v>7441</v>
      </c>
      <c r="CE4011" s="2" t="s">
        <v>104</v>
      </c>
      <c r="CF4011" s="5">
        <v>42951</v>
      </c>
      <c r="CG4011" s="2"/>
      <c r="CH4011" s="2"/>
      <c r="CI4011" s="2">
        <v>1</v>
      </c>
      <c r="CJ4011" s="2">
        <v>1</v>
      </c>
      <c r="CK4011" s="2">
        <v>21</v>
      </c>
      <c r="CL4011" s="2" t="s">
        <v>86</v>
      </c>
      <c r="CM4011" s="2"/>
    </row>
    <row r="4012" spans="1:91">
      <c r="A4012" s="2" t="s">
        <v>71</v>
      </c>
      <c r="B4012" s="2" t="s">
        <v>72</v>
      </c>
      <c r="C4012" s="2" t="s">
        <v>73</v>
      </c>
      <c r="D4012" s="2"/>
      <c r="E4012" s="2" t="str">
        <f>"FES1162566303"</f>
        <v>FES1162566303</v>
      </c>
      <c r="F4012" s="3">
        <v>42949</v>
      </c>
      <c r="G4012" s="2">
        <v>201802</v>
      </c>
      <c r="H4012" s="2" t="s">
        <v>74</v>
      </c>
      <c r="I4012" s="2" t="s">
        <v>75</v>
      </c>
      <c r="J4012" s="2" t="s">
        <v>76</v>
      </c>
      <c r="K4012" s="2" t="s">
        <v>77</v>
      </c>
      <c r="L4012" s="2" t="s">
        <v>221</v>
      </c>
      <c r="M4012" s="2" t="s">
        <v>222</v>
      </c>
      <c r="N4012" s="2" t="s">
        <v>415</v>
      </c>
      <c r="O4012" s="2" t="s">
        <v>100</v>
      </c>
      <c r="P4012" s="2" t="str">
        <f>"2170582743                    "</f>
        <v xml:space="preserve">2170582743                    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14.01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0</v>
      </c>
      <c r="AV4012" s="2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2">
        <v>0</v>
      </c>
      <c r="BD4012" s="2">
        <v>0</v>
      </c>
      <c r="BE4012" s="2">
        <v>0</v>
      </c>
      <c r="BF4012" s="2">
        <v>0</v>
      </c>
      <c r="BG4012" s="2">
        <v>0</v>
      </c>
      <c r="BH4012" s="2">
        <v>1</v>
      </c>
      <c r="BI4012" s="2">
        <v>4</v>
      </c>
      <c r="BJ4012" s="2">
        <v>6.6</v>
      </c>
      <c r="BK4012" s="2">
        <v>7</v>
      </c>
      <c r="BL4012" s="2">
        <v>145.05000000000001</v>
      </c>
      <c r="BM4012" s="2">
        <v>20.309999999999999</v>
      </c>
      <c r="BN4012" s="2">
        <v>165.36</v>
      </c>
      <c r="BO4012" s="2">
        <v>165.36</v>
      </c>
      <c r="BP4012" s="2"/>
      <c r="BQ4012" s="2" t="s">
        <v>108</v>
      </c>
      <c r="BR4012" s="2" t="s">
        <v>84</v>
      </c>
      <c r="BS4012" s="3">
        <v>42950</v>
      </c>
      <c r="BT4012" s="4">
        <v>0.34583333333333338</v>
      </c>
      <c r="BU4012" s="2" t="s">
        <v>3776</v>
      </c>
      <c r="BV4012" s="2" t="s">
        <v>95</v>
      </c>
      <c r="BW4012" s="2"/>
      <c r="BX4012" s="2"/>
      <c r="BY4012" s="2">
        <v>32868.99</v>
      </c>
      <c r="BZ4012" s="2" t="s">
        <v>27</v>
      </c>
      <c r="CA4012" s="2" t="s">
        <v>3640</v>
      </c>
      <c r="CB4012" s="2"/>
      <c r="CC4012" s="2" t="s">
        <v>222</v>
      </c>
      <c r="CD4012" s="2">
        <v>4302</v>
      </c>
      <c r="CE4012" s="2" t="s">
        <v>1623</v>
      </c>
      <c r="CF4012" s="5">
        <v>42951</v>
      </c>
      <c r="CG4012" s="2"/>
      <c r="CH4012" s="2"/>
      <c r="CI4012" s="2">
        <v>1</v>
      </c>
      <c r="CJ4012" s="2">
        <v>1</v>
      </c>
      <c r="CK4012" s="2">
        <v>21</v>
      </c>
      <c r="CL4012" s="2" t="s">
        <v>86</v>
      </c>
      <c r="CM4012" s="2"/>
    </row>
    <row r="4013" spans="1:91">
      <c r="A4013" s="2" t="s">
        <v>71</v>
      </c>
      <c r="B4013" s="2" t="s">
        <v>72</v>
      </c>
      <c r="C4013" s="2" t="s">
        <v>73</v>
      </c>
      <c r="D4013" s="2"/>
      <c r="E4013" s="2" t="str">
        <f>"FES1162566391"</f>
        <v>FES1162566391</v>
      </c>
      <c r="F4013" s="3">
        <v>42949</v>
      </c>
      <c r="G4013" s="2">
        <v>201802</v>
      </c>
      <c r="H4013" s="2" t="s">
        <v>74</v>
      </c>
      <c r="I4013" s="2" t="s">
        <v>75</v>
      </c>
      <c r="J4013" s="2" t="s">
        <v>76</v>
      </c>
      <c r="K4013" s="2" t="s">
        <v>77</v>
      </c>
      <c r="L4013" s="2" t="s">
        <v>604</v>
      </c>
      <c r="M4013" s="2" t="s">
        <v>605</v>
      </c>
      <c r="N4013" s="2" t="s">
        <v>391</v>
      </c>
      <c r="O4013" s="2" t="s">
        <v>100</v>
      </c>
      <c r="P4013" s="2" t="str">
        <f>"2170581298                    "</f>
        <v xml:space="preserve">2170581298                    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4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0</v>
      </c>
      <c r="AV4013" s="2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2">
        <v>0</v>
      </c>
      <c r="BD4013" s="2">
        <v>0</v>
      </c>
      <c r="BE4013" s="2">
        <v>0</v>
      </c>
      <c r="BF4013" s="2">
        <v>0</v>
      </c>
      <c r="BG4013" s="2">
        <v>0</v>
      </c>
      <c r="BH4013" s="2">
        <v>1</v>
      </c>
      <c r="BI4013" s="2">
        <v>1</v>
      </c>
      <c r="BJ4013" s="2">
        <v>0.2</v>
      </c>
      <c r="BK4013" s="2">
        <v>1</v>
      </c>
      <c r="BL4013" s="2">
        <v>41.44</v>
      </c>
      <c r="BM4013" s="2">
        <v>5.8</v>
      </c>
      <c r="BN4013" s="2">
        <v>47.24</v>
      </c>
      <c r="BO4013" s="2">
        <v>47.24</v>
      </c>
      <c r="BP4013" s="2"/>
      <c r="BQ4013" s="2" t="s">
        <v>83</v>
      </c>
      <c r="BR4013" s="2" t="s">
        <v>84</v>
      </c>
      <c r="BS4013" s="3">
        <v>42950</v>
      </c>
      <c r="BT4013" s="4">
        <v>0.3611111111111111</v>
      </c>
      <c r="BU4013" s="2" t="s">
        <v>431</v>
      </c>
      <c r="BV4013" s="2" t="s">
        <v>95</v>
      </c>
      <c r="BW4013" s="2"/>
      <c r="BX4013" s="2"/>
      <c r="BY4013" s="2">
        <v>1200</v>
      </c>
      <c r="BZ4013" s="2" t="s">
        <v>27</v>
      </c>
      <c r="CA4013" s="2" t="s">
        <v>840</v>
      </c>
      <c r="CB4013" s="2"/>
      <c r="CC4013" s="2" t="s">
        <v>605</v>
      </c>
      <c r="CD4013" s="2">
        <v>4126</v>
      </c>
      <c r="CE4013" s="2" t="s">
        <v>104</v>
      </c>
      <c r="CF4013" s="5">
        <v>42951</v>
      </c>
      <c r="CG4013" s="2"/>
      <c r="CH4013" s="2"/>
      <c r="CI4013" s="2">
        <v>1</v>
      </c>
      <c r="CJ4013" s="2">
        <v>1</v>
      </c>
      <c r="CK4013" s="2">
        <v>21</v>
      </c>
      <c r="CL4013" s="2" t="s">
        <v>86</v>
      </c>
      <c r="CM4013" s="2"/>
    </row>
    <row r="4014" spans="1:91">
      <c r="A4014" s="2" t="s">
        <v>71</v>
      </c>
      <c r="B4014" s="2" t="s">
        <v>72</v>
      </c>
      <c r="C4014" s="2" t="s">
        <v>73</v>
      </c>
      <c r="D4014" s="2"/>
      <c r="E4014" s="2" t="str">
        <f>"FES1162566153"</f>
        <v>FES1162566153</v>
      </c>
      <c r="F4014" s="3">
        <v>42949</v>
      </c>
      <c r="G4014" s="2">
        <v>201802</v>
      </c>
      <c r="H4014" s="2" t="s">
        <v>74</v>
      </c>
      <c r="I4014" s="2" t="s">
        <v>75</v>
      </c>
      <c r="J4014" s="2" t="s">
        <v>76</v>
      </c>
      <c r="K4014" s="2" t="s">
        <v>77</v>
      </c>
      <c r="L4014" s="2" t="s">
        <v>362</v>
      </c>
      <c r="M4014" s="2" t="s">
        <v>363</v>
      </c>
      <c r="N4014" s="2" t="s">
        <v>683</v>
      </c>
      <c r="O4014" s="2" t="s">
        <v>100</v>
      </c>
      <c r="P4014" s="2" t="str">
        <f>"2170580364                    "</f>
        <v xml:space="preserve">2170580364                    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14.01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2">
        <v>0</v>
      </c>
      <c r="BD4014" s="2">
        <v>0</v>
      </c>
      <c r="BE4014" s="2">
        <v>0</v>
      </c>
      <c r="BF4014" s="2">
        <v>0</v>
      </c>
      <c r="BG4014" s="2">
        <v>0</v>
      </c>
      <c r="BH4014" s="2">
        <v>2</v>
      </c>
      <c r="BI4014" s="2">
        <v>7</v>
      </c>
      <c r="BJ4014" s="2">
        <v>2.5</v>
      </c>
      <c r="BK4014" s="2">
        <v>7</v>
      </c>
      <c r="BL4014" s="2">
        <v>145.05000000000001</v>
      </c>
      <c r="BM4014" s="2">
        <v>20.309999999999999</v>
      </c>
      <c r="BN4014" s="2">
        <v>165.36</v>
      </c>
      <c r="BO4014" s="2">
        <v>165.36</v>
      </c>
      <c r="BP4014" s="2"/>
      <c r="BQ4014" s="2" t="s">
        <v>108</v>
      </c>
      <c r="BR4014" s="2" t="s">
        <v>84</v>
      </c>
      <c r="BS4014" s="3">
        <v>42950</v>
      </c>
      <c r="BT4014" s="4">
        <v>0.375</v>
      </c>
      <c r="BU4014" s="2" t="s">
        <v>805</v>
      </c>
      <c r="BV4014" s="2" t="s">
        <v>95</v>
      </c>
      <c r="BW4014" s="2"/>
      <c r="BX4014" s="2"/>
      <c r="BY4014" s="2">
        <v>12464.46</v>
      </c>
      <c r="BZ4014" s="2" t="s">
        <v>27</v>
      </c>
      <c r="CA4014" s="2"/>
      <c r="CB4014" s="2"/>
      <c r="CC4014" s="2" t="s">
        <v>363</v>
      </c>
      <c r="CD4014" s="2">
        <v>3201</v>
      </c>
      <c r="CE4014" s="2" t="s">
        <v>3801</v>
      </c>
      <c r="CF4014" s="5">
        <v>42954</v>
      </c>
      <c r="CG4014" s="2"/>
      <c r="CH4014" s="2"/>
      <c r="CI4014" s="2">
        <v>1</v>
      </c>
      <c r="CJ4014" s="2">
        <v>1</v>
      </c>
      <c r="CK4014" s="2">
        <v>21</v>
      </c>
      <c r="CL4014" s="2" t="s">
        <v>86</v>
      </c>
      <c r="CM4014" s="2"/>
    </row>
    <row r="4015" spans="1:91">
      <c r="A4015" s="2" t="s">
        <v>71</v>
      </c>
      <c r="B4015" s="2" t="s">
        <v>72</v>
      </c>
      <c r="C4015" s="2" t="s">
        <v>73</v>
      </c>
      <c r="D4015" s="2"/>
      <c r="E4015" s="2" t="str">
        <f>"FES1162566149"</f>
        <v>FES1162566149</v>
      </c>
      <c r="F4015" s="3">
        <v>42949</v>
      </c>
      <c r="G4015" s="2">
        <v>201802</v>
      </c>
      <c r="H4015" s="2" t="s">
        <v>74</v>
      </c>
      <c r="I4015" s="2" t="s">
        <v>75</v>
      </c>
      <c r="J4015" s="2" t="s">
        <v>76</v>
      </c>
      <c r="K4015" s="2" t="s">
        <v>77</v>
      </c>
      <c r="L4015" s="2" t="s">
        <v>362</v>
      </c>
      <c r="M4015" s="2" t="s">
        <v>363</v>
      </c>
      <c r="N4015" s="2" t="s">
        <v>683</v>
      </c>
      <c r="O4015" s="2" t="s">
        <v>100</v>
      </c>
      <c r="P4015" s="2" t="str">
        <f>"2170579944                    "</f>
        <v xml:space="preserve">2170579944                    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10.01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0</v>
      </c>
      <c r="AV4015" s="2">
        <v>0</v>
      </c>
      <c r="AW4015" s="2">
        <v>0</v>
      </c>
      <c r="AX4015" s="2">
        <v>0</v>
      </c>
      <c r="AY4015" s="2">
        <v>0</v>
      </c>
      <c r="AZ4015" s="2">
        <v>0</v>
      </c>
      <c r="BA4015" s="2">
        <v>0</v>
      </c>
      <c r="BB4015" s="2">
        <v>0</v>
      </c>
      <c r="BC4015" s="2">
        <v>0</v>
      </c>
      <c r="BD4015" s="2">
        <v>0</v>
      </c>
      <c r="BE4015" s="2">
        <v>0</v>
      </c>
      <c r="BF4015" s="2">
        <v>0</v>
      </c>
      <c r="BG4015" s="2">
        <v>0</v>
      </c>
      <c r="BH4015" s="2">
        <v>1</v>
      </c>
      <c r="BI4015" s="2">
        <v>5</v>
      </c>
      <c r="BJ4015" s="2">
        <v>1.3</v>
      </c>
      <c r="BK4015" s="2">
        <v>5</v>
      </c>
      <c r="BL4015" s="2">
        <v>103.61</v>
      </c>
      <c r="BM4015" s="2">
        <v>14.51</v>
      </c>
      <c r="BN4015" s="2">
        <v>118.12</v>
      </c>
      <c r="BO4015" s="2">
        <v>118.12</v>
      </c>
      <c r="BP4015" s="2"/>
      <c r="BQ4015" s="2" t="s">
        <v>108</v>
      </c>
      <c r="BR4015" s="2" t="s">
        <v>84</v>
      </c>
      <c r="BS4015" s="3">
        <v>42950</v>
      </c>
      <c r="BT4015" s="4">
        <v>0.375</v>
      </c>
      <c r="BU4015" s="2" t="s">
        <v>805</v>
      </c>
      <c r="BV4015" s="2" t="s">
        <v>95</v>
      </c>
      <c r="BW4015" s="2"/>
      <c r="BX4015" s="2"/>
      <c r="BY4015" s="2">
        <v>6737.5</v>
      </c>
      <c r="BZ4015" s="2" t="s">
        <v>27</v>
      </c>
      <c r="CA4015" s="2"/>
      <c r="CB4015" s="2"/>
      <c r="CC4015" s="2" t="s">
        <v>363</v>
      </c>
      <c r="CD4015" s="2">
        <v>3201</v>
      </c>
      <c r="CE4015" s="2" t="s">
        <v>89</v>
      </c>
      <c r="CF4015" s="5">
        <v>42954</v>
      </c>
      <c r="CG4015" s="2"/>
      <c r="CH4015" s="2"/>
      <c r="CI4015" s="2">
        <v>1</v>
      </c>
      <c r="CJ4015" s="2">
        <v>1</v>
      </c>
      <c r="CK4015" s="2">
        <v>21</v>
      </c>
      <c r="CL4015" s="2" t="s">
        <v>86</v>
      </c>
      <c r="CM4015" s="2"/>
    </row>
    <row r="4016" spans="1:91">
      <c r="A4016" s="2" t="s">
        <v>71</v>
      </c>
      <c r="B4016" s="2" t="s">
        <v>72</v>
      </c>
      <c r="C4016" s="2" t="s">
        <v>73</v>
      </c>
      <c r="D4016" s="2"/>
      <c r="E4016" s="2" t="str">
        <f>"FES1162566144"</f>
        <v>FES1162566144</v>
      </c>
      <c r="F4016" s="3">
        <v>42949</v>
      </c>
      <c r="G4016" s="2">
        <v>201802</v>
      </c>
      <c r="H4016" s="2" t="s">
        <v>74</v>
      </c>
      <c r="I4016" s="2" t="s">
        <v>75</v>
      </c>
      <c r="J4016" s="2" t="s">
        <v>76</v>
      </c>
      <c r="K4016" s="2" t="s">
        <v>77</v>
      </c>
      <c r="L4016" s="2" t="s">
        <v>362</v>
      </c>
      <c r="M4016" s="2" t="s">
        <v>363</v>
      </c>
      <c r="N4016" s="2" t="s">
        <v>683</v>
      </c>
      <c r="O4016" s="2" t="s">
        <v>100</v>
      </c>
      <c r="P4016" s="2" t="str">
        <f>"2170579682                    "</f>
        <v xml:space="preserve">2170579682                    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12.01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2">
        <v>0</v>
      </c>
      <c r="BD4016" s="2">
        <v>0</v>
      </c>
      <c r="BE4016" s="2">
        <v>0</v>
      </c>
      <c r="BF4016" s="2">
        <v>0</v>
      </c>
      <c r="BG4016" s="2">
        <v>0</v>
      </c>
      <c r="BH4016" s="2">
        <v>1</v>
      </c>
      <c r="BI4016" s="2">
        <v>6</v>
      </c>
      <c r="BJ4016" s="2">
        <v>1.7</v>
      </c>
      <c r="BK4016" s="2">
        <v>6</v>
      </c>
      <c r="BL4016" s="2">
        <v>124.33</v>
      </c>
      <c r="BM4016" s="2">
        <v>17.41</v>
      </c>
      <c r="BN4016" s="2">
        <v>141.74</v>
      </c>
      <c r="BO4016" s="2">
        <v>141.74</v>
      </c>
      <c r="BP4016" s="2"/>
      <c r="BQ4016" s="2" t="s">
        <v>108</v>
      </c>
      <c r="BR4016" s="2" t="s">
        <v>84</v>
      </c>
      <c r="BS4016" s="3">
        <v>42950</v>
      </c>
      <c r="BT4016" s="4">
        <v>0.375</v>
      </c>
      <c r="BU4016" s="2" t="s">
        <v>805</v>
      </c>
      <c r="BV4016" s="2" t="s">
        <v>95</v>
      </c>
      <c r="BW4016" s="2"/>
      <c r="BX4016" s="2"/>
      <c r="BY4016" s="2">
        <v>8279.7099999999991</v>
      </c>
      <c r="BZ4016" s="2" t="s">
        <v>27</v>
      </c>
      <c r="CA4016" s="2"/>
      <c r="CB4016" s="2"/>
      <c r="CC4016" s="2" t="s">
        <v>363</v>
      </c>
      <c r="CD4016" s="2">
        <v>3201</v>
      </c>
      <c r="CE4016" s="2" t="s">
        <v>948</v>
      </c>
      <c r="CF4016" s="5">
        <v>42954</v>
      </c>
      <c r="CG4016" s="2"/>
      <c r="CH4016" s="2"/>
      <c r="CI4016" s="2">
        <v>1</v>
      </c>
      <c r="CJ4016" s="2">
        <v>1</v>
      </c>
      <c r="CK4016" s="2">
        <v>21</v>
      </c>
      <c r="CL4016" s="2" t="s">
        <v>86</v>
      </c>
      <c r="CM4016" s="2"/>
    </row>
    <row r="4017" spans="1:91">
      <c r="A4017" s="2" t="s">
        <v>71</v>
      </c>
      <c r="B4017" s="2" t="s">
        <v>72</v>
      </c>
      <c r="C4017" s="2" t="s">
        <v>73</v>
      </c>
      <c r="D4017" s="2"/>
      <c r="E4017" s="2" t="str">
        <f>"FES1162565742"</f>
        <v>FES1162565742</v>
      </c>
      <c r="F4017" s="3">
        <v>42949</v>
      </c>
      <c r="G4017" s="2">
        <v>201802</v>
      </c>
      <c r="H4017" s="2" t="s">
        <v>74</v>
      </c>
      <c r="I4017" s="2" t="s">
        <v>75</v>
      </c>
      <c r="J4017" s="2" t="s">
        <v>76</v>
      </c>
      <c r="K4017" s="2" t="s">
        <v>77</v>
      </c>
      <c r="L4017" s="2" t="s">
        <v>97</v>
      </c>
      <c r="M4017" s="2" t="s">
        <v>98</v>
      </c>
      <c r="N4017" s="2" t="s">
        <v>292</v>
      </c>
      <c r="O4017" s="2" t="s">
        <v>100</v>
      </c>
      <c r="P4017" s="2" t="str">
        <f>"2170579493                    "</f>
        <v xml:space="preserve">2170579493                    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4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0</v>
      </c>
      <c r="AV4017" s="2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2">
        <v>0</v>
      </c>
      <c r="BD4017" s="2">
        <v>0</v>
      </c>
      <c r="BE4017" s="2">
        <v>0</v>
      </c>
      <c r="BF4017" s="2">
        <v>0</v>
      </c>
      <c r="BG4017" s="2">
        <v>0</v>
      </c>
      <c r="BH4017" s="2">
        <v>1</v>
      </c>
      <c r="BI4017" s="2">
        <v>1</v>
      </c>
      <c r="BJ4017" s="2">
        <v>0.2</v>
      </c>
      <c r="BK4017" s="2">
        <v>1</v>
      </c>
      <c r="BL4017" s="2">
        <v>41.44</v>
      </c>
      <c r="BM4017" s="2">
        <v>5.8</v>
      </c>
      <c r="BN4017" s="2">
        <v>47.24</v>
      </c>
      <c r="BO4017" s="2">
        <v>47.24</v>
      </c>
      <c r="BP4017" s="2"/>
      <c r="BQ4017" s="2" t="s">
        <v>83</v>
      </c>
      <c r="BR4017" s="2" t="s">
        <v>84</v>
      </c>
      <c r="BS4017" s="3">
        <v>42950</v>
      </c>
      <c r="BT4017" s="4">
        <v>0.31944444444444448</v>
      </c>
      <c r="BU4017" s="2" t="s">
        <v>293</v>
      </c>
      <c r="BV4017" s="2" t="s">
        <v>95</v>
      </c>
      <c r="BW4017" s="2"/>
      <c r="BX4017" s="2"/>
      <c r="BY4017" s="2">
        <v>1200</v>
      </c>
      <c r="BZ4017" s="2" t="s">
        <v>27</v>
      </c>
      <c r="CA4017" s="2" t="s">
        <v>294</v>
      </c>
      <c r="CB4017" s="2"/>
      <c r="CC4017" s="2" t="s">
        <v>98</v>
      </c>
      <c r="CD4017" s="2">
        <v>6001</v>
      </c>
      <c r="CE4017" s="2" t="s">
        <v>104</v>
      </c>
      <c r="CF4017" s="5">
        <v>42951</v>
      </c>
      <c r="CG4017" s="2"/>
      <c r="CH4017" s="2"/>
      <c r="CI4017" s="2">
        <v>1</v>
      </c>
      <c r="CJ4017" s="2">
        <v>1</v>
      </c>
      <c r="CK4017" s="2">
        <v>21</v>
      </c>
      <c r="CL4017" s="2" t="s">
        <v>86</v>
      </c>
      <c r="CM4017" s="2"/>
    </row>
    <row r="4018" spans="1:91">
      <c r="A4018" s="2" t="s">
        <v>71</v>
      </c>
      <c r="B4018" s="2" t="s">
        <v>72</v>
      </c>
      <c r="C4018" s="2" t="s">
        <v>73</v>
      </c>
      <c r="D4018" s="2"/>
      <c r="E4018" s="2" t="str">
        <f>"FES1162566517"</f>
        <v>FES1162566517</v>
      </c>
      <c r="F4018" s="3">
        <v>42949</v>
      </c>
      <c r="G4018" s="2">
        <v>201802</v>
      </c>
      <c r="H4018" s="2" t="s">
        <v>74</v>
      </c>
      <c r="I4018" s="2" t="s">
        <v>75</v>
      </c>
      <c r="J4018" s="2" t="s">
        <v>76</v>
      </c>
      <c r="K4018" s="2" t="s">
        <v>77</v>
      </c>
      <c r="L4018" s="2" t="s">
        <v>105</v>
      </c>
      <c r="M4018" s="2" t="s">
        <v>106</v>
      </c>
      <c r="N4018" s="2" t="s">
        <v>705</v>
      </c>
      <c r="O4018" s="2" t="s">
        <v>100</v>
      </c>
      <c r="P4018" s="2" t="str">
        <f>"2170581598                    "</f>
        <v xml:space="preserve">2170581598                    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4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0</v>
      </c>
      <c r="AU4018" s="2">
        <v>0</v>
      </c>
      <c r="AV4018" s="2">
        <v>0</v>
      </c>
      <c r="AW4018" s="2">
        <v>0</v>
      </c>
      <c r="AX4018" s="2">
        <v>0</v>
      </c>
      <c r="AY4018" s="2">
        <v>0</v>
      </c>
      <c r="AZ4018" s="2">
        <v>0</v>
      </c>
      <c r="BA4018" s="2">
        <v>0</v>
      </c>
      <c r="BB4018" s="2">
        <v>0</v>
      </c>
      <c r="BC4018" s="2">
        <v>0</v>
      </c>
      <c r="BD4018" s="2">
        <v>0</v>
      </c>
      <c r="BE4018" s="2">
        <v>0</v>
      </c>
      <c r="BF4018" s="2">
        <v>0</v>
      </c>
      <c r="BG4018" s="2">
        <v>0</v>
      </c>
      <c r="BH4018" s="2">
        <v>1</v>
      </c>
      <c r="BI4018" s="2">
        <v>1</v>
      </c>
      <c r="BJ4018" s="2">
        <v>0.2</v>
      </c>
      <c r="BK4018" s="2">
        <v>1</v>
      </c>
      <c r="BL4018" s="2">
        <v>41.44</v>
      </c>
      <c r="BM4018" s="2">
        <v>5.8</v>
      </c>
      <c r="BN4018" s="2">
        <v>47.24</v>
      </c>
      <c r="BO4018" s="2">
        <v>47.24</v>
      </c>
      <c r="BP4018" s="2"/>
      <c r="BQ4018" s="2" t="s">
        <v>108</v>
      </c>
      <c r="BR4018" s="2" t="s">
        <v>84</v>
      </c>
      <c r="BS4018" s="3">
        <v>42950</v>
      </c>
      <c r="BT4018" s="4">
        <v>0.45347222222222222</v>
      </c>
      <c r="BU4018" s="2" t="s">
        <v>904</v>
      </c>
      <c r="BV4018" s="2" t="s">
        <v>95</v>
      </c>
      <c r="BW4018" s="2"/>
      <c r="BX4018" s="2"/>
      <c r="BY4018" s="2">
        <v>1200</v>
      </c>
      <c r="BZ4018" s="2" t="s">
        <v>27</v>
      </c>
      <c r="CA4018" s="2" t="s">
        <v>488</v>
      </c>
      <c r="CB4018" s="2"/>
      <c r="CC4018" s="2" t="s">
        <v>106</v>
      </c>
      <c r="CD4018" s="2">
        <v>7441</v>
      </c>
      <c r="CE4018" s="2" t="s">
        <v>104</v>
      </c>
      <c r="CF4018" s="5">
        <v>42951</v>
      </c>
      <c r="CG4018" s="2"/>
      <c r="CH4018" s="2"/>
      <c r="CI4018" s="2">
        <v>1</v>
      </c>
      <c r="CJ4018" s="2">
        <v>1</v>
      </c>
      <c r="CK4018" s="2">
        <v>21</v>
      </c>
      <c r="CL4018" s="2" t="s">
        <v>86</v>
      </c>
      <c r="CM4018" s="2"/>
    </row>
    <row r="4019" spans="1:91">
      <c r="A4019" s="2" t="s">
        <v>71</v>
      </c>
      <c r="B4019" s="2" t="s">
        <v>72</v>
      </c>
      <c r="C4019" s="2" t="s">
        <v>73</v>
      </c>
      <c r="D4019" s="2"/>
      <c r="E4019" s="2" t="str">
        <f>"FES1162566548"</f>
        <v>FES1162566548</v>
      </c>
      <c r="F4019" s="3">
        <v>42949</v>
      </c>
      <c r="G4019" s="2">
        <v>201802</v>
      </c>
      <c r="H4019" s="2" t="s">
        <v>74</v>
      </c>
      <c r="I4019" s="2" t="s">
        <v>75</v>
      </c>
      <c r="J4019" s="2" t="s">
        <v>76</v>
      </c>
      <c r="K4019" s="2" t="s">
        <v>77</v>
      </c>
      <c r="L4019" s="2" t="s">
        <v>105</v>
      </c>
      <c r="M4019" s="2" t="s">
        <v>106</v>
      </c>
      <c r="N4019" s="2" t="s">
        <v>870</v>
      </c>
      <c r="O4019" s="2" t="s">
        <v>100</v>
      </c>
      <c r="P4019" s="2" t="str">
        <f>"2170581428                    "</f>
        <v xml:space="preserve">2170581428                    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4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0</v>
      </c>
      <c r="AU4019" s="2">
        <v>0</v>
      </c>
      <c r="AV4019" s="2">
        <v>0</v>
      </c>
      <c r="AW4019" s="2">
        <v>0</v>
      </c>
      <c r="AX4019" s="2">
        <v>0</v>
      </c>
      <c r="AY4019" s="2">
        <v>0</v>
      </c>
      <c r="AZ4019" s="2">
        <v>0</v>
      </c>
      <c r="BA4019" s="2">
        <v>0</v>
      </c>
      <c r="BB4019" s="2">
        <v>0</v>
      </c>
      <c r="BC4019" s="2">
        <v>0</v>
      </c>
      <c r="BD4019" s="2">
        <v>0</v>
      </c>
      <c r="BE4019" s="2">
        <v>0</v>
      </c>
      <c r="BF4019" s="2">
        <v>0</v>
      </c>
      <c r="BG4019" s="2">
        <v>0</v>
      </c>
      <c r="BH4019" s="2">
        <v>1</v>
      </c>
      <c r="BI4019" s="2">
        <v>1</v>
      </c>
      <c r="BJ4019" s="2">
        <v>0.2</v>
      </c>
      <c r="BK4019" s="2">
        <v>1</v>
      </c>
      <c r="BL4019" s="2">
        <v>41.44</v>
      </c>
      <c r="BM4019" s="2">
        <v>5.8</v>
      </c>
      <c r="BN4019" s="2">
        <v>47.24</v>
      </c>
      <c r="BO4019" s="2">
        <v>47.24</v>
      </c>
      <c r="BP4019" s="2"/>
      <c r="BQ4019" s="2" t="s">
        <v>83</v>
      </c>
      <c r="BR4019" s="2" t="s">
        <v>84</v>
      </c>
      <c r="BS4019" s="3">
        <v>42950</v>
      </c>
      <c r="BT4019" s="4">
        <v>0.69930555555555562</v>
      </c>
      <c r="BU4019" s="2" t="s">
        <v>3802</v>
      </c>
      <c r="BV4019" s="2" t="s">
        <v>86</v>
      </c>
      <c r="BW4019" s="2" t="s">
        <v>336</v>
      </c>
      <c r="BX4019" s="2" t="s">
        <v>116</v>
      </c>
      <c r="BY4019" s="2">
        <v>1200</v>
      </c>
      <c r="BZ4019" s="2" t="s">
        <v>27</v>
      </c>
      <c r="CA4019" s="2" t="s">
        <v>1322</v>
      </c>
      <c r="CB4019" s="2"/>
      <c r="CC4019" s="2" t="s">
        <v>106</v>
      </c>
      <c r="CD4019" s="2">
        <v>8000</v>
      </c>
      <c r="CE4019" s="2" t="s">
        <v>104</v>
      </c>
      <c r="CF4019" s="5">
        <v>42951</v>
      </c>
      <c r="CG4019" s="2"/>
      <c r="CH4019" s="2"/>
      <c r="CI4019" s="2">
        <v>1</v>
      </c>
      <c r="CJ4019" s="2">
        <v>1</v>
      </c>
      <c r="CK4019" s="2">
        <v>21</v>
      </c>
      <c r="CL4019" s="2" t="s">
        <v>86</v>
      </c>
      <c r="CM4019" s="2"/>
    </row>
    <row r="4020" spans="1:91">
      <c r="A4020" s="2" t="s">
        <v>71</v>
      </c>
      <c r="B4020" s="2" t="s">
        <v>72</v>
      </c>
      <c r="C4020" s="2" t="s">
        <v>73</v>
      </c>
      <c r="D4020" s="2"/>
      <c r="E4020" s="2" t="str">
        <f>"FES1162566376"</f>
        <v>FES1162566376</v>
      </c>
      <c r="F4020" s="3">
        <v>42949</v>
      </c>
      <c r="G4020" s="2">
        <v>201802</v>
      </c>
      <c r="H4020" s="2" t="s">
        <v>74</v>
      </c>
      <c r="I4020" s="2" t="s">
        <v>75</v>
      </c>
      <c r="J4020" s="2" t="s">
        <v>76</v>
      </c>
      <c r="K4020" s="2" t="s">
        <v>77</v>
      </c>
      <c r="L4020" s="2" t="s">
        <v>170</v>
      </c>
      <c r="M4020" s="2" t="s">
        <v>171</v>
      </c>
      <c r="N4020" s="2" t="s">
        <v>3803</v>
      </c>
      <c r="O4020" s="2" t="s">
        <v>100</v>
      </c>
      <c r="P4020" s="2" t="str">
        <f>"2170580504                    "</f>
        <v xml:space="preserve">2170580504                    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3.13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2">
        <v>0</v>
      </c>
      <c r="BD4020" s="2">
        <v>0</v>
      </c>
      <c r="BE4020" s="2">
        <v>0</v>
      </c>
      <c r="BF4020" s="2">
        <v>0</v>
      </c>
      <c r="BG4020" s="2">
        <v>0</v>
      </c>
      <c r="BH4020" s="2">
        <v>1</v>
      </c>
      <c r="BI4020" s="2">
        <v>1</v>
      </c>
      <c r="BJ4020" s="2">
        <v>0.2</v>
      </c>
      <c r="BK4020" s="2">
        <v>1</v>
      </c>
      <c r="BL4020" s="2">
        <v>32.380000000000003</v>
      </c>
      <c r="BM4020" s="2">
        <v>4.53</v>
      </c>
      <c r="BN4020" s="2">
        <v>36.909999999999997</v>
      </c>
      <c r="BO4020" s="2">
        <v>36.909999999999997</v>
      </c>
      <c r="BP4020" s="2"/>
      <c r="BQ4020" s="2" t="s">
        <v>83</v>
      </c>
      <c r="BR4020" s="2" t="s">
        <v>84</v>
      </c>
      <c r="BS4020" s="3">
        <v>42950</v>
      </c>
      <c r="BT4020" s="4">
        <v>0.4375</v>
      </c>
      <c r="BU4020" s="2" t="s">
        <v>3804</v>
      </c>
      <c r="BV4020" s="2" t="s">
        <v>95</v>
      </c>
      <c r="BW4020" s="2"/>
      <c r="BX4020" s="2"/>
      <c r="BY4020" s="2">
        <v>1200</v>
      </c>
      <c r="BZ4020" s="2" t="s">
        <v>27</v>
      </c>
      <c r="CA4020" s="2" t="s">
        <v>492</v>
      </c>
      <c r="CB4020" s="2"/>
      <c r="CC4020" s="2" t="s">
        <v>171</v>
      </c>
      <c r="CD4020" s="2">
        <v>1428</v>
      </c>
      <c r="CE4020" s="2" t="s">
        <v>104</v>
      </c>
      <c r="CF4020" s="5">
        <v>42951</v>
      </c>
      <c r="CG4020" s="2"/>
      <c r="CH4020" s="2"/>
      <c r="CI4020" s="2">
        <v>1</v>
      </c>
      <c r="CJ4020" s="2">
        <v>1</v>
      </c>
      <c r="CK4020" s="2">
        <v>22</v>
      </c>
      <c r="CL4020" s="2" t="s">
        <v>86</v>
      </c>
      <c r="CM4020" s="2"/>
    </row>
    <row r="4021" spans="1:91">
      <c r="A4021" s="2" t="s">
        <v>71</v>
      </c>
      <c r="B4021" s="2" t="s">
        <v>72</v>
      </c>
      <c r="C4021" s="2" t="s">
        <v>73</v>
      </c>
      <c r="D4021" s="2"/>
      <c r="E4021" s="2" t="str">
        <f>"FES1162566570"</f>
        <v>FES1162566570</v>
      </c>
      <c r="F4021" s="3">
        <v>42949</v>
      </c>
      <c r="G4021" s="2">
        <v>201802</v>
      </c>
      <c r="H4021" s="2" t="s">
        <v>74</v>
      </c>
      <c r="I4021" s="2" t="s">
        <v>75</v>
      </c>
      <c r="J4021" s="2" t="s">
        <v>76</v>
      </c>
      <c r="K4021" s="2" t="s">
        <v>77</v>
      </c>
      <c r="L4021" s="2" t="s">
        <v>510</v>
      </c>
      <c r="M4021" s="2" t="s">
        <v>511</v>
      </c>
      <c r="N4021" s="2" t="s">
        <v>2342</v>
      </c>
      <c r="O4021" s="2" t="s">
        <v>100</v>
      </c>
      <c r="P4021" s="2" t="str">
        <f>"2170582921                    "</f>
        <v xml:space="preserve">2170582921                    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7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0</v>
      </c>
      <c r="BA4021" s="2">
        <v>0</v>
      </c>
      <c r="BB4021" s="2">
        <v>0</v>
      </c>
      <c r="BC4021" s="2">
        <v>0</v>
      </c>
      <c r="BD4021" s="2">
        <v>0</v>
      </c>
      <c r="BE4021" s="2">
        <v>0</v>
      </c>
      <c r="BF4021" s="2">
        <v>0</v>
      </c>
      <c r="BG4021" s="2">
        <v>0</v>
      </c>
      <c r="BH4021" s="2">
        <v>1</v>
      </c>
      <c r="BI4021" s="2">
        <v>3.1</v>
      </c>
      <c r="BJ4021" s="2">
        <v>1.8</v>
      </c>
      <c r="BK4021" s="2">
        <v>3.5</v>
      </c>
      <c r="BL4021" s="2">
        <v>72.52</v>
      </c>
      <c r="BM4021" s="2">
        <v>10.15</v>
      </c>
      <c r="BN4021" s="2">
        <v>82.67</v>
      </c>
      <c r="BO4021" s="2">
        <v>82.67</v>
      </c>
      <c r="BP4021" s="2"/>
      <c r="BQ4021" s="2" t="s">
        <v>3805</v>
      </c>
      <c r="BR4021" s="2" t="s">
        <v>84</v>
      </c>
      <c r="BS4021" s="3">
        <v>42950</v>
      </c>
      <c r="BT4021" s="4">
        <v>0.31388888888888888</v>
      </c>
      <c r="BU4021" s="2" t="s">
        <v>2343</v>
      </c>
      <c r="BV4021" s="2" t="s">
        <v>95</v>
      </c>
      <c r="BW4021" s="2"/>
      <c r="BX4021" s="2"/>
      <c r="BY4021" s="2">
        <v>9221.01</v>
      </c>
      <c r="BZ4021" s="2" t="s">
        <v>27</v>
      </c>
      <c r="CA4021" s="2" t="s">
        <v>514</v>
      </c>
      <c r="CB4021" s="2"/>
      <c r="CC4021" s="2" t="s">
        <v>511</v>
      </c>
      <c r="CD4021" s="2">
        <v>6230</v>
      </c>
      <c r="CE4021" s="2" t="s">
        <v>89</v>
      </c>
      <c r="CF4021" s="5">
        <v>42951</v>
      </c>
      <c r="CG4021" s="2"/>
      <c r="CH4021" s="2"/>
      <c r="CI4021" s="2">
        <v>1</v>
      </c>
      <c r="CJ4021" s="2">
        <v>1</v>
      </c>
      <c r="CK4021" s="2">
        <v>21</v>
      </c>
      <c r="CL4021" s="2" t="s">
        <v>86</v>
      </c>
      <c r="CM4021" s="2"/>
    </row>
    <row r="4022" spans="1:91">
      <c r="A4022" s="2" t="s">
        <v>71</v>
      </c>
      <c r="B4022" s="2" t="s">
        <v>72</v>
      </c>
      <c r="C4022" s="2" t="s">
        <v>73</v>
      </c>
      <c r="D4022" s="2"/>
      <c r="E4022" s="2" t="str">
        <f>"FES1162566524"</f>
        <v>FES1162566524</v>
      </c>
      <c r="F4022" s="3">
        <v>42949</v>
      </c>
      <c r="G4022" s="2">
        <v>201802</v>
      </c>
      <c r="H4022" s="2" t="s">
        <v>74</v>
      </c>
      <c r="I4022" s="2" t="s">
        <v>75</v>
      </c>
      <c r="J4022" s="2" t="s">
        <v>76</v>
      </c>
      <c r="K4022" s="2" t="s">
        <v>77</v>
      </c>
      <c r="L4022" s="2" t="s">
        <v>105</v>
      </c>
      <c r="M4022" s="2" t="s">
        <v>106</v>
      </c>
      <c r="N4022" s="2" t="s">
        <v>348</v>
      </c>
      <c r="O4022" s="2" t="s">
        <v>100</v>
      </c>
      <c r="P4022" s="2" t="str">
        <f>"2170582507                    "</f>
        <v xml:space="preserve">2170582507                    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4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0</v>
      </c>
      <c r="AV4022" s="2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2">
        <v>0</v>
      </c>
      <c r="BD4022" s="2">
        <v>0</v>
      </c>
      <c r="BE4022" s="2">
        <v>0</v>
      </c>
      <c r="BF4022" s="2">
        <v>0</v>
      </c>
      <c r="BG4022" s="2">
        <v>0</v>
      </c>
      <c r="BH4022" s="2">
        <v>1</v>
      </c>
      <c r="BI4022" s="2">
        <v>2</v>
      </c>
      <c r="BJ4022" s="2">
        <v>0.2</v>
      </c>
      <c r="BK4022" s="2">
        <v>2</v>
      </c>
      <c r="BL4022" s="2">
        <v>41.44</v>
      </c>
      <c r="BM4022" s="2">
        <v>5.8</v>
      </c>
      <c r="BN4022" s="2">
        <v>47.24</v>
      </c>
      <c r="BO4022" s="2">
        <v>47.24</v>
      </c>
      <c r="BP4022" s="2"/>
      <c r="BQ4022" s="2" t="s">
        <v>108</v>
      </c>
      <c r="BR4022" s="2" t="s">
        <v>84</v>
      </c>
      <c r="BS4022" s="3">
        <v>42950</v>
      </c>
      <c r="BT4022" s="4">
        <v>0.70000000000000007</v>
      </c>
      <c r="BU4022" s="2" t="s">
        <v>3806</v>
      </c>
      <c r="BV4022" s="2" t="s">
        <v>86</v>
      </c>
      <c r="BW4022" s="2" t="s">
        <v>336</v>
      </c>
      <c r="BX4022" s="2" t="s">
        <v>116</v>
      </c>
      <c r="BY4022" s="2">
        <v>1200</v>
      </c>
      <c r="BZ4022" s="2" t="s">
        <v>27</v>
      </c>
      <c r="CA4022" s="2" t="s">
        <v>1322</v>
      </c>
      <c r="CB4022" s="2"/>
      <c r="CC4022" s="2" t="s">
        <v>106</v>
      </c>
      <c r="CD4022" s="2">
        <v>7945</v>
      </c>
      <c r="CE4022" s="2" t="s">
        <v>104</v>
      </c>
      <c r="CF4022" s="5">
        <v>42951</v>
      </c>
      <c r="CG4022" s="2"/>
      <c r="CH4022" s="2"/>
      <c r="CI4022" s="2">
        <v>1</v>
      </c>
      <c r="CJ4022" s="2">
        <v>1</v>
      </c>
      <c r="CK4022" s="2">
        <v>21</v>
      </c>
      <c r="CL4022" s="2" t="s">
        <v>86</v>
      </c>
      <c r="CM4022" s="2"/>
    </row>
    <row r="4023" spans="1:91">
      <c r="A4023" s="2" t="s">
        <v>71</v>
      </c>
      <c r="B4023" s="2" t="s">
        <v>72</v>
      </c>
      <c r="C4023" s="2" t="s">
        <v>73</v>
      </c>
      <c r="D4023" s="2"/>
      <c r="E4023" s="2" t="str">
        <f>"FES1162566525"</f>
        <v>FES1162566525</v>
      </c>
      <c r="F4023" s="3">
        <v>42949</v>
      </c>
      <c r="G4023" s="2">
        <v>201802</v>
      </c>
      <c r="H4023" s="2" t="s">
        <v>74</v>
      </c>
      <c r="I4023" s="2" t="s">
        <v>75</v>
      </c>
      <c r="J4023" s="2" t="s">
        <v>76</v>
      </c>
      <c r="K4023" s="2" t="s">
        <v>77</v>
      </c>
      <c r="L4023" s="2" t="s">
        <v>417</v>
      </c>
      <c r="M4023" s="2" t="s">
        <v>417</v>
      </c>
      <c r="N4023" s="2" t="s">
        <v>1414</v>
      </c>
      <c r="O4023" s="2" t="s">
        <v>100</v>
      </c>
      <c r="P4023" s="2" t="str">
        <f>"2170582530                    "</f>
        <v xml:space="preserve">2170582530                    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9.01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0</v>
      </c>
      <c r="AV4023" s="2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2">
        <v>0</v>
      </c>
      <c r="BD4023" s="2">
        <v>0</v>
      </c>
      <c r="BE4023" s="2">
        <v>0</v>
      </c>
      <c r="BF4023" s="2">
        <v>0</v>
      </c>
      <c r="BG4023" s="2">
        <v>0</v>
      </c>
      <c r="BH4023" s="2">
        <v>1</v>
      </c>
      <c r="BI4023" s="2">
        <v>4.4000000000000004</v>
      </c>
      <c r="BJ4023" s="2">
        <v>1.6</v>
      </c>
      <c r="BK4023" s="2">
        <v>4.5</v>
      </c>
      <c r="BL4023" s="2">
        <v>93.25</v>
      </c>
      <c r="BM4023" s="2">
        <v>13.06</v>
      </c>
      <c r="BN4023" s="2">
        <v>106.31</v>
      </c>
      <c r="BO4023" s="2">
        <v>106.31</v>
      </c>
      <c r="BP4023" s="2"/>
      <c r="BQ4023" s="2" t="s">
        <v>108</v>
      </c>
      <c r="BR4023" s="2" t="s">
        <v>84</v>
      </c>
      <c r="BS4023" s="3">
        <v>42950</v>
      </c>
      <c r="BT4023" s="4">
        <v>0.53472222222222221</v>
      </c>
      <c r="BU4023" s="2" t="s">
        <v>2118</v>
      </c>
      <c r="BV4023" s="2" t="s">
        <v>95</v>
      </c>
      <c r="BW4023" s="2"/>
      <c r="BX4023" s="2"/>
      <c r="BY4023" s="2">
        <v>7998.85</v>
      </c>
      <c r="BZ4023" s="2" t="s">
        <v>27</v>
      </c>
      <c r="CA4023" s="2" t="s">
        <v>460</v>
      </c>
      <c r="CB4023" s="2"/>
      <c r="CC4023" s="2" t="s">
        <v>417</v>
      </c>
      <c r="CD4023" s="2">
        <v>7646</v>
      </c>
      <c r="CE4023" s="2" t="s">
        <v>104</v>
      </c>
      <c r="CF4023" s="5">
        <v>42951</v>
      </c>
      <c r="CG4023" s="2"/>
      <c r="CH4023" s="2"/>
      <c r="CI4023" s="2">
        <v>1</v>
      </c>
      <c r="CJ4023" s="2">
        <v>1</v>
      </c>
      <c r="CK4023" s="2">
        <v>21</v>
      </c>
      <c r="CL4023" s="2" t="s">
        <v>86</v>
      </c>
      <c r="CM4023" s="2"/>
    </row>
    <row r="4024" spans="1:91">
      <c r="A4024" s="2" t="s">
        <v>71</v>
      </c>
      <c r="B4024" s="2" t="s">
        <v>72</v>
      </c>
      <c r="C4024" s="2" t="s">
        <v>73</v>
      </c>
      <c r="D4024" s="2"/>
      <c r="E4024" s="2" t="str">
        <f>"FES1162566165"</f>
        <v>FES1162566165</v>
      </c>
      <c r="F4024" s="3">
        <v>42949</v>
      </c>
      <c r="G4024" s="2">
        <v>201802</v>
      </c>
      <c r="H4024" s="2" t="s">
        <v>74</v>
      </c>
      <c r="I4024" s="2" t="s">
        <v>75</v>
      </c>
      <c r="J4024" s="2" t="s">
        <v>76</v>
      </c>
      <c r="K4024" s="2" t="s">
        <v>77</v>
      </c>
      <c r="L4024" s="2" t="s">
        <v>170</v>
      </c>
      <c r="M4024" s="2" t="s">
        <v>171</v>
      </c>
      <c r="N4024" s="2" t="s">
        <v>3609</v>
      </c>
      <c r="O4024" s="2" t="s">
        <v>100</v>
      </c>
      <c r="P4024" s="2" t="str">
        <f>"2170580671                    "</f>
        <v xml:space="preserve">2170580671                    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3.13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0</v>
      </c>
      <c r="AV4024" s="2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2">
        <v>0</v>
      </c>
      <c r="BD4024" s="2">
        <v>0</v>
      </c>
      <c r="BE4024" s="2">
        <v>0</v>
      </c>
      <c r="BF4024" s="2">
        <v>0</v>
      </c>
      <c r="BG4024" s="2">
        <v>0</v>
      </c>
      <c r="BH4024" s="2">
        <v>1</v>
      </c>
      <c r="BI4024" s="2">
        <v>1.2</v>
      </c>
      <c r="BJ4024" s="2">
        <v>3.3</v>
      </c>
      <c r="BK4024" s="2">
        <v>4</v>
      </c>
      <c r="BL4024" s="2">
        <v>32.380000000000003</v>
      </c>
      <c r="BM4024" s="2">
        <v>4.53</v>
      </c>
      <c r="BN4024" s="2">
        <v>36.909999999999997</v>
      </c>
      <c r="BO4024" s="2">
        <v>36.909999999999997</v>
      </c>
      <c r="BP4024" s="2"/>
      <c r="BQ4024" s="2" t="s">
        <v>83</v>
      </c>
      <c r="BR4024" s="2" t="s">
        <v>84</v>
      </c>
      <c r="BS4024" s="3">
        <v>42950</v>
      </c>
      <c r="BT4024" s="4">
        <v>0.3840277777777778</v>
      </c>
      <c r="BU4024" s="2" t="s">
        <v>1936</v>
      </c>
      <c r="BV4024" s="2" t="s">
        <v>95</v>
      </c>
      <c r="BW4024" s="2"/>
      <c r="BX4024" s="2"/>
      <c r="BY4024" s="2">
        <v>16524.2</v>
      </c>
      <c r="BZ4024" s="2" t="s">
        <v>27</v>
      </c>
      <c r="CA4024" s="2" t="s">
        <v>1441</v>
      </c>
      <c r="CB4024" s="2"/>
      <c r="CC4024" s="2" t="s">
        <v>171</v>
      </c>
      <c r="CD4024" s="2">
        <v>1406</v>
      </c>
      <c r="CE4024" s="2" t="s">
        <v>89</v>
      </c>
      <c r="CF4024" s="5">
        <v>42951</v>
      </c>
      <c r="CG4024" s="2"/>
      <c r="CH4024" s="2"/>
      <c r="CI4024" s="2">
        <v>1</v>
      </c>
      <c r="CJ4024" s="2">
        <v>1</v>
      </c>
      <c r="CK4024" s="2">
        <v>22</v>
      </c>
      <c r="CL4024" s="2" t="s">
        <v>86</v>
      </c>
      <c r="CM4024" s="2"/>
    </row>
    <row r="4025" spans="1:91">
      <c r="A4025" s="2" t="s">
        <v>71</v>
      </c>
      <c r="B4025" s="2" t="s">
        <v>72</v>
      </c>
      <c r="C4025" s="2" t="s">
        <v>73</v>
      </c>
      <c r="D4025" s="2"/>
      <c r="E4025" s="2" t="str">
        <f>"FES1162566272"</f>
        <v>FES1162566272</v>
      </c>
      <c r="F4025" s="3">
        <v>42949</v>
      </c>
      <c r="G4025" s="2">
        <v>201802</v>
      </c>
      <c r="H4025" s="2" t="s">
        <v>74</v>
      </c>
      <c r="I4025" s="2" t="s">
        <v>75</v>
      </c>
      <c r="J4025" s="2" t="s">
        <v>76</v>
      </c>
      <c r="K4025" s="2" t="s">
        <v>77</v>
      </c>
      <c r="L4025" s="2" t="s">
        <v>149</v>
      </c>
      <c r="M4025" s="2" t="s">
        <v>150</v>
      </c>
      <c r="N4025" s="2" t="s">
        <v>2082</v>
      </c>
      <c r="O4025" s="2" t="s">
        <v>100</v>
      </c>
      <c r="P4025" s="2" t="str">
        <f>"2170582695                    "</f>
        <v xml:space="preserve">2170582695                    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36.020000000000003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0</v>
      </c>
      <c r="AV4025" s="2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2">
        <v>0</v>
      </c>
      <c r="BD4025" s="2">
        <v>0</v>
      </c>
      <c r="BE4025" s="2">
        <v>0</v>
      </c>
      <c r="BF4025" s="2">
        <v>0</v>
      </c>
      <c r="BG4025" s="2">
        <v>0</v>
      </c>
      <c r="BH4025" s="2">
        <v>2</v>
      </c>
      <c r="BI4025" s="2">
        <v>18</v>
      </c>
      <c r="BJ4025" s="2">
        <v>3.2</v>
      </c>
      <c r="BK4025" s="2">
        <v>18</v>
      </c>
      <c r="BL4025" s="2">
        <v>372.98</v>
      </c>
      <c r="BM4025" s="2">
        <v>52.22</v>
      </c>
      <c r="BN4025" s="2">
        <v>425.2</v>
      </c>
      <c r="BO4025" s="2">
        <v>425.2</v>
      </c>
      <c r="BP4025" s="2"/>
      <c r="BQ4025" s="2" t="s">
        <v>2083</v>
      </c>
      <c r="BR4025" s="2" t="s">
        <v>84</v>
      </c>
      <c r="BS4025" s="3">
        <v>42950</v>
      </c>
      <c r="BT4025" s="4">
        <v>0.38194444444444442</v>
      </c>
      <c r="BU4025" s="2" t="s">
        <v>3807</v>
      </c>
      <c r="BV4025" s="2" t="s">
        <v>95</v>
      </c>
      <c r="BW4025" s="2"/>
      <c r="BX4025" s="2"/>
      <c r="BY4025" s="2">
        <v>16007.15</v>
      </c>
      <c r="BZ4025" s="2" t="s">
        <v>27</v>
      </c>
      <c r="CA4025" s="2" t="s">
        <v>1163</v>
      </c>
      <c r="CB4025" s="2"/>
      <c r="CC4025" s="2" t="s">
        <v>150</v>
      </c>
      <c r="CD4025" s="2">
        <v>4001</v>
      </c>
      <c r="CE4025" s="2" t="s">
        <v>259</v>
      </c>
      <c r="CF4025" s="5">
        <v>42951</v>
      </c>
      <c r="CG4025" s="2"/>
      <c r="CH4025" s="2"/>
      <c r="CI4025" s="2">
        <v>1</v>
      </c>
      <c r="CJ4025" s="2">
        <v>1</v>
      </c>
      <c r="CK4025" s="2">
        <v>21</v>
      </c>
      <c r="CL4025" s="2" t="s">
        <v>86</v>
      </c>
      <c r="CM4025" s="2"/>
    </row>
    <row r="4026" spans="1:91">
      <c r="A4026" s="2" t="s">
        <v>71</v>
      </c>
      <c r="B4026" s="2" t="s">
        <v>72</v>
      </c>
      <c r="C4026" s="2" t="s">
        <v>73</v>
      </c>
      <c r="D4026" s="2"/>
      <c r="E4026" s="2" t="str">
        <f>"FES1162565834"</f>
        <v>FES1162565834</v>
      </c>
      <c r="F4026" s="3">
        <v>42949</v>
      </c>
      <c r="G4026" s="2">
        <v>201802</v>
      </c>
      <c r="H4026" s="2" t="s">
        <v>74</v>
      </c>
      <c r="I4026" s="2" t="s">
        <v>75</v>
      </c>
      <c r="J4026" s="2" t="s">
        <v>76</v>
      </c>
      <c r="K4026" s="2" t="s">
        <v>77</v>
      </c>
      <c r="L4026" s="2" t="s">
        <v>74</v>
      </c>
      <c r="M4026" s="2" t="s">
        <v>75</v>
      </c>
      <c r="N4026" s="2" t="s">
        <v>402</v>
      </c>
      <c r="O4026" s="2" t="s">
        <v>100</v>
      </c>
      <c r="P4026" s="2" t="str">
        <f>"2170581640                    "</f>
        <v xml:space="preserve">2170581640                    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4.25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0</v>
      </c>
      <c r="AV4026" s="2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2">
        <v>0</v>
      </c>
      <c r="BD4026" s="2">
        <v>0</v>
      </c>
      <c r="BE4026" s="2">
        <v>0</v>
      </c>
      <c r="BF4026" s="2">
        <v>0</v>
      </c>
      <c r="BG4026" s="2">
        <v>0</v>
      </c>
      <c r="BH4026" s="2">
        <v>1</v>
      </c>
      <c r="BI4026" s="2">
        <v>7.1</v>
      </c>
      <c r="BJ4026" s="2">
        <v>10.1</v>
      </c>
      <c r="BK4026" s="2">
        <v>11</v>
      </c>
      <c r="BL4026" s="2">
        <v>44.03</v>
      </c>
      <c r="BM4026" s="2">
        <v>6.16</v>
      </c>
      <c r="BN4026" s="2">
        <v>50.19</v>
      </c>
      <c r="BO4026" s="2">
        <v>50.19</v>
      </c>
      <c r="BP4026" s="2"/>
      <c r="BQ4026" s="2" t="s">
        <v>403</v>
      </c>
      <c r="BR4026" s="2" t="s">
        <v>84</v>
      </c>
      <c r="BS4026" s="3">
        <v>42950</v>
      </c>
      <c r="BT4026" s="4">
        <v>0.37847222222222227</v>
      </c>
      <c r="BU4026" s="2" t="s">
        <v>3808</v>
      </c>
      <c r="BV4026" s="2" t="s">
        <v>95</v>
      </c>
      <c r="BW4026" s="2"/>
      <c r="BX4026" s="2"/>
      <c r="BY4026" s="2">
        <v>50607.69</v>
      </c>
      <c r="BZ4026" s="2" t="s">
        <v>27</v>
      </c>
      <c r="CA4026" s="2"/>
      <c r="CB4026" s="2"/>
      <c r="CC4026" s="2" t="s">
        <v>75</v>
      </c>
      <c r="CD4026" s="2">
        <v>1665</v>
      </c>
      <c r="CE4026" s="2" t="s">
        <v>948</v>
      </c>
      <c r="CF4026" s="5">
        <v>42950</v>
      </c>
      <c r="CG4026" s="2"/>
      <c r="CH4026" s="2"/>
      <c r="CI4026" s="2">
        <v>1</v>
      </c>
      <c r="CJ4026" s="2">
        <v>1</v>
      </c>
      <c r="CK4026" s="2">
        <v>22</v>
      </c>
      <c r="CL4026" s="2" t="s">
        <v>86</v>
      </c>
      <c r="CM4026" s="2"/>
    </row>
    <row r="4027" spans="1:91">
      <c r="A4027" s="2" t="s">
        <v>71</v>
      </c>
      <c r="B4027" s="2" t="s">
        <v>72</v>
      </c>
      <c r="C4027" s="2" t="s">
        <v>73</v>
      </c>
      <c r="D4027" s="2"/>
      <c r="E4027" s="2" t="str">
        <f>"FES1162566487"</f>
        <v>FES1162566487</v>
      </c>
      <c r="F4027" s="3">
        <v>42949</v>
      </c>
      <c r="G4027" s="2">
        <v>201802</v>
      </c>
      <c r="H4027" s="2" t="s">
        <v>74</v>
      </c>
      <c r="I4027" s="2" t="s">
        <v>75</v>
      </c>
      <c r="J4027" s="2" t="s">
        <v>76</v>
      </c>
      <c r="K4027" s="2" t="s">
        <v>77</v>
      </c>
      <c r="L4027" s="2" t="s">
        <v>74</v>
      </c>
      <c r="M4027" s="2" t="s">
        <v>75</v>
      </c>
      <c r="N4027" s="2" t="s">
        <v>1707</v>
      </c>
      <c r="O4027" s="2" t="s">
        <v>100</v>
      </c>
      <c r="P4027" s="2" t="str">
        <f>"2170582806                    "</f>
        <v xml:space="preserve">2170582806                    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3.13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0</v>
      </c>
      <c r="AV4027" s="2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0</v>
      </c>
      <c r="BC4027" s="2">
        <v>0</v>
      </c>
      <c r="BD4027" s="2">
        <v>0</v>
      </c>
      <c r="BE4027" s="2">
        <v>0</v>
      </c>
      <c r="BF4027" s="2">
        <v>0</v>
      </c>
      <c r="BG4027" s="2">
        <v>0</v>
      </c>
      <c r="BH4027" s="2">
        <v>1</v>
      </c>
      <c r="BI4027" s="2">
        <v>1</v>
      </c>
      <c r="BJ4027" s="2">
        <v>0.2</v>
      </c>
      <c r="BK4027" s="2">
        <v>1</v>
      </c>
      <c r="BL4027" s="2">
        <v>32.380000000000003</v>
      </c>
      <c r="BM4027" s="2">
        <v>4.53</v>
      </c>
      <c r="BN4027" s="2">
        <v>36.909999999999997</v>
      </c>
      <c r="BO4027" s="2">
        <v>36.909999999999997</v>
      </c>
      <c r="BP4027" s="2"/>
      <c r="BQ4027" s="2"/>
      <c r="BR4027" s="2" t="s">
        <v>84</v>
      </c>
      <c r="BS4027" s="3">
        <v>42950</v>
      </c>
      <c r="BT4027" s="4">
        <v>0.34027777777777773</v>
      </c>
      <c r="BU4027" s="2" t="s">
        <v>3809</v>
      </c>
      <c r="BV4027" s="2" t="s">
        <v>95</v>
      </c>
      <c r="BW4027" s="2"/>
      <c r="BX4027" s="2"/>
      <c r="BY4027" s="2">
        <v>1200</v>
      </c>
      <c r="BZ4027" s="2" t="s">
        <v>27</v>
      </c>
      <c r="CA4027" s="2"/>
      <c r="CB4027" s="2"/>
      <c r="CC4027" s="2" t="s">
        <v>75</v>
      </c>
      <c r="CD4027" s="2">
        <v>1666</v>
      </c>
      <c r="CE4027" s="2" t="s">
        <v>104</v>
      </c>
      <c r="CF4027" s="5">
        <v>42950</v>
      </c>
      <c r="CG4027" s="2"/>
      <c r="CH4027" s="2"/>
      <c r="CI4027" s="2">
        <v>1</v>
      </c>
      <c r="CJ4027" s="2">
        <v>1</v>
      </c>
      <c r="CK4027" s="2">
        <v>22</v>
      </c>
      <c r="CL4027" s="2" t="s">
        <v>86</v>
      </c>
      <c r="CM4027" s="2"/>
    </row>
    <row r="4028" spans="1:91">
      <c r="A4028" s="2" t="s">
        <v>71</v>
      </c>
      <c r="B4028" s="2" t="s">
        <v>72</v>
      </c>
      <c r="C4028" s="2" t="s">
        <v>73</v>
      </c>
      <c r="D4028" s="2"/>
      <c r="E4028" s="2" t="str">
        <f>"FES1162566114"</f>
        <v>FES1162566114</v>
      </c>
      <c r="F4028" s="3">
        <v>42949</v>
      </c>
      <c r="G4028" s="2">
        <v>201802</v>
      </c>
      <c r="H4028" s="2" t="s">
        <v>74</v>
      </c>
      <c r="I4028" s="2" t="s">
        <v>75</v>
      </c>
      <c r="J4028" s="2" t="s">
        <v>76</v>
      </c>
      <c r="K4028" s="2" t="s">
        <v>77</v>
      </c>
      <c r="L4028" s="2" t="s">
        <v>105</v>
      </c>
      <c r="M4028" s="2" t="s">
        <v>106</v>
      </c>
      <c r="N4028" s="2" t="s">
        <v>705</v>
      </c>
      <c r="O4028" s="2" t="s">
        <v>100</v>
      </c>
      <c r="P4028" s="2" t="str">
        <f>"2170582677                    "</f>
        <v xml:space="preserve">2170582677                    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6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0</v>
      </c>
      <c r="AV4028" s="2">
        <v>0</v>
      </c>
      <c r="AW4028" s="2">
        <v>0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2">
        <v>0</v>
      </c>
      <c r="BD4028" s="2">
        <v>0</v>
      </c>
      <c r="BE4028" s="2">
        <v>0</v>
      </c>
      <c r="BF4028" s="2">
        <v>0</v>
      </c>
      <c r="BG4028" s="2">
        <v>0</v>
      </c>
      <c r="BH4028" s="2">
        <v>1</v>
      </c>
      <c r="BI4028" s="2">
        <v>2.7</v>
      </c>
      <c r="BJ4028" s="2">
        <v>1.4</v>
      </c>
      <c r="BK4028" s="2">
        <v>3</v>
      </c>
      <c r="BL4028" s="2">
        <v>62.16</v>
      </c>
      <c r="BM4028" s="2">
        <v>8.6999999999999993</v>
      </c>
      <c r="BN4028" s="2">
        <v>70.86</v>
      </c>
      <c r="BO4028" s="2">
        <v>70.86</v>
      </c>
      <c r="BP4028" s="2"/>
      <c r="BQ4028" s="2" t="s">
        <v>108</v>
      </c>
      <c r="BR4028" s="2" t="s">
        <v>84</v>
      </c>
      <c r="BS4028" s="3">
        <v>42950</v>
      </c>
      <c r="BT4028" s="4">
        <v>0.45277777777777778</v>
      </c>
      <c r="BU4028" s="2" t="s">
        <v>904</v>
      </c>
      <c r="BV4028" s="2" t="s">
        <v>95</v>
      </c>
      <c r="BW4028" s="2"/>
      <c r="BX4028" s="2"/>
      <c r="BY4028" s="2">
        <v>7079.51</v>
      </c>
      <c r="BZ4028" s="2" t="s">
        <v>27</v>
      </c>
      <c r="CA4028" s="2" t="s">
        <v>488</v>
      </c>
      <c r="CB4028" s="2"/>
      <c r="CC4028" s="2" t="s">
        <v>106</v>
      </c>
      <c r="CD4028" s="2">
        <v>7441</v>
      </c>
      <c r="CE4028" s="2" t="s">
        <v>89</v>
      </c>
      <c r="CF4028" s="5">
        <v>42951</v>
      </c>
      <c r="CG4028" s="2"/>
      <c r="CH4028" s="2"/>
      <c r="CI4028" s="2">
        <v>1</v>
      </c>
      <c r="CJ4028" s="2">
        <v>1</v>
      </c>
      <c r="CK4028" s="2">
        <v>21</v>
      </c>
      <c r="CL4028" s="2" t="s">
        <v>86</v>
      </c>
      <c r="CM4028" s="2"/>
    </row>
    <row r="4029" spans="1:91">
      <c r="A4029" s="2" t="s">
        <v>71</v>
      </c>
      <c r="B4029" s="2" t="s">
        <v>72</v>
      </c>
      <c r="C4029" s="2" t="s">
        <v>73</v>
      </c>
      <c r="D4029" s="2"/>
      <c r="E4029" s="2" t="str">
        <f>"FES1162566343"</f>
        <v>FES1162566343</v>
      </c>
      <c r="F4029" s="3">
        <v>42949</v>
      </c>
      <c r="G4029" s="2">
        <v>201802</v>
      </c>
      <c r="H4029" s="2" t="s">
        <v>74</v>
      </c>
      <c r="I4029" s="2" t="s">
        <v>75</v>
      </c>
      <c r="J4029" s="2" t="s">
        <v>76</v>
      </c>
      <c r="K4029" s="2" t="s">
        <v>77</v>
      </c>
      <c r="L4029" s="2" t="s">
        <v>149</v>
      </c>
      <c r="M4029" s="2" t="s">
        <v>150</v>
      </c>
      <c r="N4029" s="2" t="s">
        <v>435</v>
      </c>
      <c r="O4029" s="2" t="s">
        <v>100</v>
      </c>
      <c r="P4029" s="2" t="str">
        <f>"2170575444                    "</f>
        <v xml:space="preserve">2170575444                    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8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0</v>
      </c>
      <c r="AV4029" s="2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2">
        <v>0</v>
      </c>
      <c r="BD4029" s="2">
        <v>0</v>
      </c>
      <c r="BE4029" s="2">
        <v>0</v>
      </c>
      <c r="BF4029" s="2">
        <v>0</v>
      </c>
      <c r="BG4029" s="2">
        <v>0</v>
      </c>
      <c r="BH4029" s="2">
        <v>1</v>
      </c>
      <c r="BI4029" s="2">
        <v>4</v>
      </c>
      <c r="BJ4029" s="2">
        <v>2.5</v>
      </c>
      <c r="BK4029" s="2">
        <v>4</v>
      </c>
      <c r="BL4029" s="2">
        <v>82.88</v>
      </c>
      <c r="BM4029" s="2">
        <v>11.6</v>
      </c>
      <c r="BN4029" s="2">
        <v>94.48</v>
      </c>
      <c r="BO4029" s="2">
        <v>94.48</v>
      </c>
      <c r="BP4029" s="2"/>
      <c r="BQ4029" s="2" t="s">
        <v>83</v>
      </c>
      <c r="BR4029" s="2" t="s">
        <v>84</v>
      </c>
      <c r="BS4029" s="3">
        <v>42950</v>
      </c>
      <c r="BT4029" s="4">
        <v>0.39097222222222222</v>
      </c>
      <c r="BU4029" s="2" t="s">
        <v>2077</v>
      </c>
      <c r="BV4029" s="2" t="s">
        <v>95</v>
      </c>
      <c r="BW4029" s="2"/>
      <c r="BX4029" s="2"/>
      <c r="BY4029" s="2">
        <v>12504.73</v>
      </c>
      <c r="BZ4029" s="2" t="s">
        <v>27</v>
      </c>
      <c r="CA4029" s="2" t="s">
        <v>429</v>
      </c>
      <c r="CB4029" s="2"/>
      <c r="CC4029" s="2" t="s">
        <v>150</v>
      </c>
      <c r="CD4029" s="2">
        <v>4001</v>
      </c>
      <c r="CE4029" s="2" t="s">
        <v>89</v>
      </c>
      <c r="CF4029" s="5">
        <v>42951</v>
      </c>
      <c r="CG4029" s="2"/>
      <c r="CH4029" s="2"/>
      <c r="CI4029" s="2">
        <v>1</v>
      </c>
      <c r="CJ4029" s="2">
        <v>1</v>
      </c>
      <c r="CK4029" s="2">
        <v>21</v>
      </c>
      <c r="CL4029" s="2" t="s">
        <v>86</v>
      </c>
      <c r="CM4029" s="2"/>
    </row>
    <row r="4030" spans="1:91">
      <c r="A4030" s="2" t="s">
        <v>71</v>
      </c>
      <c r="B4030" s="2" t="s">
        <v>72</v>
      </c>
      <c r="C4030" s="2" t="s">
        <v>73</v>
      </c>
      <c r="D4030" s="2"/>
      <c r="E4030" s="2" t="str">
        <f>"FES1162566133"</f>
        <v>FES1162566133</v>
      </c>
      <c r="F4030" s="3">
        <v>42949</v>
      </c>
      <c r="G4030" s="2">
        <v>201802</v>
      </c>
      <c r="H4030" s="2" t="s">
        <v>74</v>
      </c>
      <c r="I4030" s="2" t="s">
        <v>75</v>
      </c>
      <c r="J4030" s="2" t="s">
        <v>76</v>
      </c>
      <c r="K4030" s="2" t="s">
        <v>77</v>
      </c>
      <c r="L4030" s="2" t="s">
        <v>1663</v>
      </c>
      <c r="M4030" s="2" t="s">
        <v>1664</v>
      </c>
      <c r="N4030" s="2" t="s">
        <v>1996</v>
      </c>
      <c r="O4030" s="2" t="s">
        <v>100</v>
      </c>
      <c r="P4030" s="2" t="str">
        <f>"2170578894                    "</f>
        <v xml:space="preserve">2170578894                    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5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0</v>
      </c>
      <c r="AV4030" s="2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2">
        <v>0</v>
      </c>
      <c r="BD4030" s="2">
        <v>0</v>
      </c>
      <c r="BE4030" s="2">
        <v>0</v>
      </c>
      <c r="BF4030" s="2">
        <v>0</v>
      </c>
      <c r="BG4030" s="2">
        <v>0</v>
      </c>
      <c r="BH4030" s="2">
        <v>1</v>
      </c>
      <c r="BI4030" s="2">
        <v>2.1</v>
      </c>
      <c r="BJ4030" s="2">
        <v>1.9</v>
      </c>
      <c r="BK4030" s="2">
        <v>2.5</v>
      </c>
      <c r="BL4030" s="2">
        <v>51.8</v>
      </c>
      <c r="BM4030" s="2">
        <v>7.25</v>
      </c>
      <c r="BN4030" s="2">
        <v>59.05</v>
      </c>
      <c r="BO4030" s="2">
        <v>59.05</v>
      </c>
      <c r="BP4030" s="2"/>
      <c r="BQ4030" s="2" t="s">
        <v>83</v>
      </c>
      <c r="BR4030" s="2" t="s">
        <v>84</v>
      </c>
      <c r="BS4030" s="3">
        <v>42950</v>
      </c>
      <c r="BT4030" s="4">
        <v>0.52569444444444446</v>
      </c>
      <c r="BU4030" s="2" t="s">
        <v>2936</v>
      </c>
      <c r="BV4030" s="2" t="s">
        <v>95</v>
      </c>
      <c r="BW4030" s="2"/>
      <c r="BX4030" s="2"/>
      <c r="BY4030" s="2">
        <v>9343.7099999999991</v>
      </c>
      <c r="BZ4030" s="2" t="s">
        <v>27</v>
      </c>
      <c r="CA4030" s="2" t="s">
        <v>1668</v>
      </c>
      <c r="CB4030" s="2"/>
      <c r="CC4030" s="2" t="s">
        <v>1664</v>
      </c>
      <c r="CD4030" s="2">
        <v>3310</v>
      </c>
      <c r="CE4030" s="2" t="s">
        <v>89</v>
      </c>
      <c r="CF4030" s="5">
        <v>42954</v>
      </c>
      <c r="CG4030" s="2"/>
      <c r="CH4030" s="2"/>
      <c r="CI4030" s="2">
        <v>1</v>
      </c>
      <c r="CJ4030" s="2">
        <v>1</v>
      </c>
      <c r="CK4030" s="2">
        <v>21</v>
      </c>
      <c r="CL4030" s="2" t="s">
        <v>86</v>
      </c>
      <c r="CM4030" s="2"/>
    </row>
    <row r="4031" spans="1:91">
      <c r="A4031" s="2" t="s">
        <v>71</v>
      </c>
      <c r="B4031" s="2" t="s">
        <v>72</v>
      </c>
      <c r="C4031" s="2" t="s">
        <v>73</v>
      </c>
      <c r="D4031" s="2"/>
      <c r="E4031" s="2" t="str">
        <f>"FES1162566563"</f>
        <v>FES1162566563</v>
      </c>
      <c r="F4031" s="3">
        <v>42949</v>
      </c>
      <c r="G4031" s="2">
        <v>201802</v>
      </c>
      <c r="H4031" s="2" t="s">
        <v>74</v>
      </c>
      <c r="I4031" s="2" t="s">
        <v>75</v>
      </c>
      <c r="J4031" s="2" t="s">
        <v>76</v>
      </c>
      <c r="K4031" s="2" t="s">
        <v>77</v>
      </c>
      <c r="L4031" s="2" t="s">
        <v>321</v>
      </c>
      <c r="M4031" s="2" t="s">
        <v>322</v>
      </c>
      <c r="N4031" s="2" t="s">
        <v>323</v>
      </c>
      <c r="O4031" s="2" t="s">
        <v>100</v>
      </c>
      <c r="P4031" s="2" t="str">
        <f>"2170582535                    "</f>
        <v xml:space="preserve">2170582535                    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4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0</v>
      </c>
      <c r="AV4031" s="2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2">
        <v>0</v>
      </c>
      <c r="BD4031" s="2">
        <v>0</v>
      </c>
      <c r="BE4031" s="2">
        <v>0</v>
      </c>
      <c r="BF4031" s="2">
        <v>0</v>
      </c>
      <c r="BG4031" s="2">
        <v>0</v>
      </c>
      <c r="BH4031" s="2">
        <v>1</v>
      </c>
      <c r="BI4031" s="2">
        <v>1</v>
      </c>
      <c r="BJ4031" s="2">
        <v>0.2</v>
      </c>
      <c r="BK4031" s="2">
        <v>1</v>
      </c>
      <c r="BL4031" s="2">
        <v>41.44</v>
      </c>
      <c r="BM4031" s="2">
        <v>5.8</v>
      </c>
      <c r="BN4031" s="2">
        <v>47.24</v>
      </c>
      <c r="BO4031" s="2">
        <v>47.24</v>
      </c>
      <c r="BP4031" s="2"/>
      <c r="BQ4031" s="2" t="s">
        <v>83</v>
      </c>
      <c r="BR4031" s="2" t="s">
        <v>84</v>
      </c>
      <c r="BS4031" s="3">
        <v>42950</v>
      </c>
      <c r="BT4031" s="4">
        <v>0.4236111111111111</v>
      </c>
      <c r="BU4031" s="2" t="s">
        <v>324</v>
      </c>
      <c r="BV4031" s="2" t="s">
        <v>95</v>
      </c>
      <c r="BW4031" s="2"/>
      <c r="BX4031" s="2"/>
      <c r="BY4031" s="2">
        <v>1200</v>
      </c>
      <c r="BZ4031" s="2" t="s">
        <v>27</v>
      </c>
      <c r="CA4031" s="2" t="s">
        <v>103</v>
      </c>
      <c r="CB4031" s="2"/>
      <c r="CC4031" s="2" t="s">
        <v>322</v>
      </c>
      <c r="CD4031" s="2">
        <v>6220</v>
      </c>
      <c r="CE4031" s="2" t="s">
        <v>104</v>
      </c>
      <c r="CF4031" s="5">
        <v>42951</v>
      </c>
      <c r="CG4031" s="2"/>
      <c r="CH4031" s="2"/>
      <c r="CI4031" s="2">
        <v>1</v>
      </c>
      <c r="CJ4031" s="2">
        <v>1</v>
      </c>
      <c r="CK4031" s="2">
        <v>21</v>
      </c>
      <c r="CL4031" s="2" t="s">
        <v>86</v>
      </c>
      <c r="CM4031" s="2"/>
    </row>
    <row r="4032" spans="1:91">
      <c r="A4032" s="2" t="s">
        <v>71</v>
      </c>
      <c r="B4032" s="2" t="s">
        <v>72</v>
      </c>
      <c r="C4032" s="2" t="s">
        <v>73</v>
      </c>
      <c r="D4032" s="2"/>
      <c r="E4032" s="2" t="str">
        <f>"FES1162566558"</f>
        <v>FES1162566558</v>
      </c>
      <c r="F4032" s="3">
        <v>42949</v>
      </c>
      <c r="G4032" s="2">
        <v>201802</v>
      </c>
      <c r="H4032" s="2" t="s">
        <v>74</v>
      </c>
      <c r="I4032" s="2" t="s">
        <v>75</v>
      </c>
      <c r="J4032" s="2" t="s">
        <v>76</v>
      </c>
      <c r="K4032" s="2" t="s">
        <v>77</v>
      </c>
      <c r="L4032" s="2" t="s">
        <v>97</v>
      </c>
      <c r="M4032" s="2" t="s">
        <v>98</v>
      </c>
      <c r="N4032" s="2" t="s">
        <v>3810</v>
      </c>
      <c r="O4032" s="2" t="s">
        <v>100</v>
      </c>
      <c r="P4032" s="2" t="str">
        <f>"2170581282                    "</f>
        <v xml:space="preserve">2170581282                    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4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0</v>
      </c>
      <c r="AV4032" s="2">
        <v>0</v>
      </c>
      <c r="AW4032" s="2">
        <v>0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2">
        <v>0</v>
      </c>
      <c r="BD4032" s="2">
        <v>0</v>
      </c>
      <c r="BE4032" s="2">
        <v>0</v>
      </c>
      <c r="BF4032" s="2">
        <v>0</v>
      </c>
      <c r="BG4032" s="2">
        <v>0</v>
      </c>
      <c r="BH4032" s="2">
        <v>1</v>
      </c>
      <c r="BI4032" s="2">
        <v>1</v>
      </c>
      <c r="BJ4032" s="2">
        <v>0.2</v>
      </c>
      <c r="BK4032" s="2">
        <v>1</v>
      </c>
      <c r="BL4032" s="2">
        <v>41.44</v>
      </c>
      <c r="BM4032" s="2">
        <v>5.8</v>
      </c>
      <c r="BN4032" s="2">
        <v>47.24</v>
      </c>
      <c r="BO4032" s="2">
        <v>47.24</v>
      </c>
      <c r="BP4032" s="2"/>
      <c r="BQ4032" s="2" t="s">
        <v>83</v>
      </c>
      <c r="BR4032" s="2" t="s">
        <v>84</v>
      </c>
      <c r="BS4032" s="3">
        <v>42950</v>
      </c>
      <c r="BT4032" s="4">
        <v>0.36458333333333331</v>
      </c>
      <c r="BU4032" s="2" t="s">
        <v>1958</v>
      </c>
      <c r="BV4032" s="2" t="s">
        <v>95</v>
      </c>
      <c r="BW4032" s="2"/>
      <c r="BX4032" s="2"/>
      <c r="BY4032" s="2">
        <v>1200</v>
      </c>
      <c r="BZ4032" s="2" t="s">
        <v>27</v>
      </c>
      <c r="CA4032" s="2" t="s">
        <v>294</v>
      </c>
      <c r="CB4032" s="2"/>
      <c r="CC4032" s="2" t="s">
        <v>98</v>
      </c>
      <c r="CD4032" s="2">
        <v>6001</v>
      </c>
      <c r="CE4032" s="2" t="s">
        <v>104</v>
      </c>
      <c r="CF4032" s="5">
        <v>42951</v>
      </c>
      <c r="CG4032" s="2"/>
      <c r="CH4032" s="2"/>
      <c r="CI4032" s="2">
        <v>1</v>
      </c>
      <c r="CJ4032" s="2">
        <v>1</v>
      </c>
      <c r="CK4032" s="2">
        <v>21</v>
      </c>
      <c r="CL4032" s="2" t="s">
        <v>86</v>
      </c>
      <c r="CM4032" s="2"/>
    </row>
    <row r="4033" spans="1:91">
      <c r="A4033" s="2" t="s">
        <v>71</v>
      </c>
      <c r="B4033" s="2" t="s">
        <v>72</v>
      </c>
      <c r="C4033" s="2" t="s">
        <v>73</v>
      </c>
      <c r="D4033" s="2"/>
      <c r="E4033" s="2" t="str">
        <f>"FES1162566562"</f>
        <v>FES1162566562</v>
      </c>
      <c r="F4033" s="3">
        <v>42949</v>
      </c>
      <c r="G4033" s="2">
        <v>201802</v>
      </c>
      <c r="H4033" s="2" t="s">
        <v>74</v>
      </c>
      <c r="I4033" s="2" t="s">
        <v>75</v>
      </c>
      <c r="J4033" s="2" t="s">
        <v>76</v>
      </c>
      <c r="K4033" s="2" t="s">
        <v>77</v>
      </c>
      <c r="L4033" s="2" t="s">
        <v>97</v>
      </c>
      <c r="M4033" s="2" t="s">
        <v>98</v>
      </c>
      <c r="N4033" s="2" t="s">
        <v>3810</v>
      </c>
      <c r="O4033" s="2" t="s">
        <v>100</v>
      </c>
      <c r="P4033" s="2" t="str">
        <f>"2170582919                    "</f>
        <v xml:space="preserve">2170582919                    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4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0</v>
      </c>
      <c r="BB4033" s="2">
        <v>0</v>
      </c>
      <c r="BC4033" s="2">
        <v>0</v>
      </c>
      <c r="BD4033" s="2">
        <v>0</v>
      </c>
      <c r="BE4033" s="2">
        <v>0</v>
      </c>
      <c r="BF4033" s="2">
        <v>0</v>
      </c>
      <c r="BG4033" s="2">
        <v>0</v>
      </c>
      <c r="BH4033" s="2">
        <v>1</v>
      </c>
      <c r="BI4033" s="2">
        <v>1</v>
      </c>
      <c r="BJ4033" s="2">
        <v>0.2</v>
      </c>
      <c r="BK4033" s="2">
        <v>1</v>
      </c>
      <c r="BL4033" s="2">
        <v>41.44</v>
      </c>
      <c r="BM4033" s="2">
        <v>5.8</v>
      </c>
      <c r="BN4033" s="2">
        <v>47.24</v>
      </c>
      <c r="BO4033" s="2">
        <v>47.24</v>
      </c>
      <c r="BP4033" s="2"/>
      <c r="BQ4033" s="2" t="s">
        <v>83</v>
      </c>
      <c r="BR4033" s="2" t="s">
        <v>84</v>
      </c>
      <c r="BS4033" s="3">
        <v>42950</v>
      </c>
      <c r="BT4033" s="4">
        <v>0.36458333333333331</v>
      </c>
      <c r="BU4033" s="2" t="s">
        <v>1958</v>
      </c>
      <c r="BV4033" s="2" t="s">
        <v>95</v>
      </c>
      <c r="BW4033" s="2"/>
      <c r="BX4033" s="2"/>
      <c r="BY4033" s="2">
        <v>1200</v>
      </c>
      <c r="BZ4033" s="2" t="s">
        <v>27</v>
      </c>
      <c r="CA4033" s="2" t="s">
        <v>294</v>
      </c>
      <c r="CB4033" s="2"/>
      <c r="CC4033" s="2" t="s">
        <v>98</v>
      </c>
      <c r="CD4033" s="2">
        <v>6001</v>
      </c>
      <c r="CE4033" s="2" t="s">
        <v>104</v>
      </c>
      <c r="CF4033" s="5">
        <v>42951</v>
      </c>
      <c r="CG4033" s="2"/>
      <c r="CH4033" s="2"/>
      <c r="CI4033" s="2">
        <v>1</v>
      </c>
      <c r="CJ4033" s="2">
        <v>1</v>
      </c>
      <c r="CK4033" s="2">
        <v>21</v>
      </c>
      <c r="CL4033" s="2" t="s">
        <v>86</v>
      </c>
      <c r="CM4033" s="2"/>
    </row>
    <row r="4034" spans="1:91">
      <c r="A4034" s="2" t="s">
        <v>71</v>
      </c>
      <c r="B4034" s="2" t="s">
        <v>72</v>
      </c>
      <c r="C4034" s="2" t="s">
        <v>73</v>
      </c>
      <c r="D4034" s="2"/>
      <c r="E4034" s="2" t="str">
        <f>"FES1162566550"</f>
        <v>FES1162566550</v>
      </c>
      <c r="F4034" s="3">
        <v>42949</v>
      </c>
      <c r="G4034" s="2">
        <v>201802</v>
      </c>
      <c r="H4034" s="2" t="s">
        <v>74</v>
      </c>
      <c r="I4034" s="2" t="s">
        <v>75</v>
      </c>
      <c r="J4034" s="2" t="s">
        <v>76</v>
      </c>
      <c r="K4034" s="2" t="s">
        <v>77</v>
      </c>
      <c r="L4034" s="2" t="s">
        <v>144</v>
      </c>
      <c r="M4034" s="2" t="s">
        <v>145</v>
      </c>
      <c r="N4034" s="2" t="s">
        <v>1630</v>
      </c>
      <c r="O4034" s="2" t="s">
        <v>100</v>
      </c>
      <c r="P4034" s="2" t="str">
        <f>"2170582900                    "</f>
        <v xml:space="preserve">2170582900                    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3.13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0</v>
      </c>
      <c r="AZ4034" s="2">
        <v>0</v>
      </c>
      <c r="BA4034" s="2">
        <v>0</v>
      </c>
      <c r="BB4034" s="2">
        <v>0</v>
      </c>
      <c r="BC4034" s="2">
        <v>0</v>
      </c>
      <c r="BD4034" s="2">
        <v>0</v>
      </c>
      <c r="BE4034" s="2">
        <v>0</v>
      </c>
      <c r="BF4034" s="2">
        <v>0</v>
      </c>
      <c r="BG4034" s="2">
        <v>0</v>
      </c>
      <c r="BH4034" s="2">
        <v>1</v>
      </c>
      <c r="BI4034" s="2">
        <v>1</v>
      </c>
      <c r="BJ4034" s="2">
        <v>0.2</v>
      </c>
      <c r="BK4034" s="2">
        <v>1</v>
      </c>
      <c r="BL4034" s="2">
        <v>32.380000000000003</v>
      </c>
      <c r="BM4034" s="2">
        <v>4.53</v>
      </c>
      <c r="BN4034" s="2">
        <v>36.909999999999997</v>
      </c>
      <c r="BO4034" s="2">
        <v>36.909999999999997</v>
      </c>
      <c r="BP4034" s="2"/>
      <c r="BQ4034" s="2" t="s">
        <v>1927</v>
      </c>
      <c r="BR4034" s="2" t="s">
        <v>84</v>
      </c>
      <c r="BS4034" s="3">
        <v>42950</v>
      </c>
      <c r="BT4034" s="4">
        <v>0.38194444444444442</v>
      </c>
      <c r="BU4034" s="2" t="s">
        <v>3811</v>
      </c>
      <c r="BV4034" s="2" t="s">
        <v>95</v>
      </c>
      <c r="BW4034" s="2"/>
      <c r="BX4034" s="2"/>
      <c r="BY4034" s="2">
        <v>1200</v>
      </c>
      <c r="BZ4034" s="2" t="s">
        <v>27</v>
      </c>
      <c r="CA4034" s="2" t="s">
        <v>729</v>
      </c>
      <c r="CB4034" s="2"/>
      <c r="CC4034" s="2" t="s">
        <v>145</v>
      </c>
      <c r="CD4034" s="2">
        <v>2001</v>
      </c>
      <c r="CE4034" s="2" t="s">
        <v>104</v>
      </c>
      <c r="CF4034" s="5">
        <v>42951</v>
      </c>
      <c r="CG4034" s="2"/>
      <c r="CH4034" s="2"/>
      <c r="CI4034" s="2">
        <v>1</v>
      </c>
      <c r="CJ4034" s="2">
        <v>1</v>
      </c>
      <c r="CK4034" s="2">
        <v>22</v>
      </c>
      <c r="CL4034" s="2" t="s">
        <v>86</v>
      </c>
      <c r="CM4034" s="2"/>
    </row>
    <row r="4035" spans="1:91">
      <c r="A4035" s="2" t="s">
        <v>71</v>
      </c>
      <c r="B4035" s="2" t="s">
        <v>72</v>
      </c>
      <c r="C4035" s="2" t="s">
        <v>73</v>
      </c>
      <c r="D4035" s="2"/>
      <c r="E4035" s="2" t="str">
        <f>"FES1162566452"</f>
        <v>FES1162566452</v>
      </c>
      <c r="F4035" s="3">
        <v>42949</v>
      </c>
      <c r="G4035" s="2">
        <v>201802</v>
      </c>
      <c r="H4035" s="2" t="s">
        <v>74</v>
      </c>
      <c r="I4035" s="2" t="s">
        <v>75</v>
      </c>
      <c r="J4035" s="2" t="s">
        <v>76</v>
      </c>
      <c r="K4035" s="2" t="s">
        <v>77</v>
      </c>
      <c r="L4035" s="2" t="s">
        <v>105</v>
      </c>
      <c r="M4035" s="2" t="s">
        <v>106</v>
      </c>
      <c r="N4035" s="2" t="s">
        <v>397</v>
      </c>
      <c r="O4035" s="2" t="s">
        <v>100</v>
      </c>
      <c r="P4035" s="2" t="str">
        <f>"2170582807                    "</f>
        <v xml:space="preserve">2170582807                    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4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2">
        <v>0</v>
      </c>
      <c r="BD4035" s="2">
        <v>0</v>
      </c>
      <c r="BE4035" s="2">
        <v>0</v>
      </c>
      <c r="BF4035" s="2">
        <v>0</v>
      </c>
      <c r="BG4035" s="2">
        <v>0</v>
      </c>
      <c r="BH4035" s="2">
        <v>1</v>
      </c>
      <c r="BI4035" s="2">
        <v>1</v>
      </c>
      <c r="BJ4035" s="2">
        <v>0.2</v>
      </c>
      <c r="BK4035" s="2">
        <v>1</v>
      </c>
      <c r="BL4035" s="2">
        <v>41.44</v>
      </c>
      <c r="BM4035" s="2">
        <v>5.8</v>
      </c>
      <c r="BN4035" s="2">
        <v>47.24</v>
      </c>
      <c r="BO4035" s="2">
        <v>47.24</v>
      </c>
      <c r="BP4035" s="2"/>
      <c r="BQ4035" s="2" t="s">
        <v>108</v>
      </c>
      <c r="BR4035" s="2" t="s">
        <v>84</v>
      </c>
      <c r="BS4035" s="3">
        <v>42950</v>
      </c>
      <c r="BT4035" s="4">
        <v>0.40833333333333338</v>
      </c>
      <c r="BU4035" s="2" t="s">
        <v>1226</v>
      </c>
      <c r="BV4035" s="2" t="s">
        <v>95</v>
      </c>
      <c r="BW4035" s="2"/>
      <c r="BX4035" s="2"/>
      <c r="BY4035" s="2">
        <v>1200</v>
      </c>
      <c r="BZ4035" s="2" t="s">
        <v>27</v>
      </c>
      <c r="CA4035" s="2" t="s">
        <v>302</v>
      </c>
      <c r="CB4035" s="2"/>
      <c r="CC4035" s="2" t="s">
        <v>106</v>
      </c>
      <c r="CD4035" s="2">
        <v>7530</v>
      </c>
      <c r="CE4035" s="2" t="s">
        <v>104</v>
      </c>
      <c r="CF4035" s="5">
        <v>42951</v>
      </c>
      <c r="CG4035" s="2"/>
      <c r="CH4035" s="2"/>
      <c r="CI4035" s="2">
        <v>1</v>
      </c>
      <c r="CJ4035" s="2">
        <v>1</v>
      </c>
      <c r="CK4035" s="2">
        <v>21</v>
      </c>
      <c r="CL4035" s="2" t="s">
        <v>86</v>
      </c>
      <c r="CM4035" s="2"/>
    </row>
    <row r="4036" spans="1:91">
      <c r="A4036" s="2" t="s">
        <v>71</v>
      </c>
      <c r="B4036" s="2" t="s">
        <v>72</v>
      </c>
      <c r="C4036" s="2" t="s">
        <v>73</v>
      </c>
      <c r="D4036" s="2"/>
      <c r="E4036" s="2" t="str">
        <f>"FES1162566468"</f>
        <v>FES1162566468</v>
      </c>
      <c r="F4036" s="3">
        <v>42949</v>
      </c>
      <c r="G4036" s="2">
        <v>201802</v>
      </c>
      <c r="H4036" s="2" t="s">
        <v>74</v>
      </c>
      <c r="I4036" s="2" t="s">
        <v>75</v>
      </c>
      <c r="J4036" s="2" t="s">
        <v>76</v>
      </c>
      <c r="K4036" s="2" t="s">
        <v>77</v>
      </c>
      <c r="L4036" s="2" t="s">
        <v>216</v>
      </c>
      <c r="M4036" s="2" t="s">
        <v>217</v>
      </c>
      <c r="N4036" s="2" t="s">
        <v>1588</v>
      </c>
      <c r="O4036" s="2" t="s">
        <v>100</v>
      </c>
      <c r="P4036" s="2" t="str">
        <f>"2170577901                    "</f>
        <v xml:space="preserve">2170577901                    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3.13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2">
        <v>0</v>
      </c>
      <c r="BD4036" s="2">
        <v>0</v>
      </c>
      <c r="BE4036" s="2">
        <v>0</v>
      </c>
      <c r="BF4036" s="2">
        <v>0</v>
      </c>
      <c r="BG4036" s="2">
        <v>0</v>
      </c>
      <c r="BH4036" s="2">
        <v>1</v>
      </c>
      <c r="BI4036" s="2">
        <v>2.2000000000000002</v>
      </c>
      <c r="BJ4036" s="2">
        <v>0.9</v>
      </c>
      <c r="BK4036" s="2">
        <v>3</v>
      </c>
      <c r="BL4036" s="2">
        <v>32.380000000000003</v>
      </c>
      <c r="BM4036" s="2">
        <v>4.53</v>
      </c>
      <c r="BN4036" s="2">
        <v>36.909999999999997</v>
      </c>
      <c r="BO4036" s="2">
        <v>36.909999999999997</v>
      </c>
      <c r="BP4036" s="2"/>
      <c r="BQ4036" s="2" t="s">
        <v>83</v>
      </c>
      <c r="BR4036" s="2" t="s">
        <v>84</v>
      </c>
      <c r="BS4036" s="3">
        <v>42950</v>
      </c>
      <c r="BT4036" s="4">
        <v>0.51736111111111105</v>
      </c>
      <c r="BU4036" s="2" t="s">
        <v>3812</v>
      </c>
      <c r="BV4036" s="2" t="s">
        <v>86</v>
      </c>
      <c r="BW4036" s="2" t="s">
        <v>110</v>
      </c>
      <c r="BX4036" s="2" t="s">
        <v>327</v>
      </c>
      <c r="BY4036" s="2">
        <v>4440.75</v>
      </c>
      <c r="BZ4036" s="2" t="s">
        <v>27</v>
      </c>
      <c r="CA4036" s="2" t="s">
        <v>220</v>
      </c>
      <c r="CB4036" s="2"/>
      <c r="CC4036" s="2" t="s">
        <v>217</v>
      </c>
      <c r="CD4036" s="2">
        <v>1451</v>
      </c>
      <c r="CE4036" s="2" t="s">
        <v>89</v>
      </c>
      <c r="CF4036" s="5">
        <v>42951</v>
      </c>
      <c r="CG4036" s="2"/>
      <c r="CH4036" s="2"/>
      <c r="CI4036" s="2">
        <v>1</v>
      </c>
      <c r="CJ4036" s="2">
        <v>1</v>
      </c>
      <c r="CK4036" s="2">
        <v>22</v>
      </c>
      <c r="CL4036" s="2" t="s">
        <v>86</v>
      </c>
      <c r="CM4036" s="2"/>
    </row>
    <row r="4037" spans="1:91">
      <c r="A4037" s="2" t="s">
        <v>71</v>
      </c>
      <c r="B4037" s="2" t="s">
        <v>72</v>
      </c>
      <c r="C4037" s="2" t="s">
        <v>73</v>
      </c>
      <c r="D4037" s="2"/>
      <c r="E4037" s="2" t="str">
        <f>"FES1162566512"</f>
        <v>FES1162566512</v>
      </c>
      <c r="F4037" s="3">
        <v>42949</v>
      </c>
      <c r="G4037" s="2">
        <v>201802</v>
      </c>
      <c r="H4037" s="2" t="s">
        <v>74</v>
      </c>
      <c r="I4037" s="2" t="s">
        <v>75</v>
      </c>
      <c r="J4037" s="2" t="s">
        <v>76</v>
      </c>
      <c r="K4037" s="2" t="s">
        <v>77</v>
      </c>
      <c r="L4037" s="2" t="s">
        <v>268</v>
      </c>
      <c r="M4037" s="2" t="s">
        <v>269</v>
      </c>
      <c r="N4037" s="2" t="s">
        <v>3813</v>
      </c>
      <c r="O4037" s="2" t="s">
        <v>100</v>
      </c>
      <c r="P4037" s="2" t="str">
        <f>"2170582747                    "</f>
        <v xml:space="preserve">2170582747                    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4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0</v>
      </c>
      <c r="AV4037" s="2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2">
        <v>0</v>
      </c>
      <c r="BD4037" s="2">
        <v>0</v>
      </c>
      <c r="BE4037" s="2">
        <v>0</v>
      </c>
      <c r="BF4037" s="2">
        <v>0</v>
      </c>
      <c r="BG4037" s="2">
        <v>0</v>
      </c>
      <c r="BH4037" s="2">
        <v>1</v>
      </c>
      <c r="BI4037" s="2">
        <v>1</v>
      </c>
      <c r="BJ4037" s="2">
        <v>0.2</v>
      </c>
      <c r="BK4037" s="2">
        <v>1</v>
      </c>
      <c r="BL4037" s="2">
        <v>41.44</v>
      </c>
      <c r="BM4037" s="2">
        <v>5.8</v>
      </c>
      <c r="BN4037" s="2">
        <v>47.24</v>
      </c>
      <c r="BO4037" s="2">
        <v>47.24</v>
      </c>
      <c r="BP4037" s="2"/>
      <c r="BQ4037" s="2"/>
      <c r="BR4037" s="2" t="s">
        <v>84</v>
      </c>
      <c r="BS4037" s="3">
        <v>42950</v>
      </c>
      <c r="BT4037" s="4">
        <v>0.44791666666666669</v>
      </c>
      <c r="BU4037" s="2" t="s">
        <v>3814</v>
      </c>
      <c r="BV4037" s="2" t="s">
        <v>95</v>
      </c>
      <c r="BW4037" s="2"/>
      <c r="BX4037" s="2"/>
      <c r="BY4037" s="2">
        <v>1200</v>
      </c>
      <c r="BZ4037" s="2" t="s">
        <v>27</v>
      </c>
      <c r="CA4037" s="2" t="s">
        <v>272</v>
      </c>
      <c r="CB4037" s="2"/>
      <c r="CC4037" s="2" t="s">
        <v>269</v>
      </c>
      <c r="CD4037" s="2">
        <v>200</v>
      </c>
      <c r="CE4037" s="2" t="s">
        <v>104</v>
      </c>
      <c r="CF4037" s="5">
        <v>42951</v>
      </c>
      <c r="CG4037" s="2"/>
      <c r="CH4037" s="2"/>
      <c r="CI4037" s="2">
        <v>1</v>
      </c>
      <c r="CJ4037" s="2">
        <v>1</v>
      </c>
      <c r="CK4037" s="2">
        <v>21</v>
      </c>
      <c r="CL4037" s="2" t="s">
        <v>86</v>
      </c>
      <c r="CM4037" s="2"/>
    </row>
    <row r="4038" spans="1:91">
      <c r="A4038" s="2" t="s">
        <v>71</v>
      </c>
      <c r="B4038" s="2" t="s">
        <v>72</v>
      </c>
      <c r="C4038" s="2" t="s">
        <v>73</v>
      </c>
      <c r="D4038" s="2"/>
      <c r="E4038" s="2" t="str">
        <f>"FES1162566426"</f>
        <v>FES1162566426</v>
      </c>
      <c r="F4038" s="3">
        <v>42949</v>
      </c>
      <c r="G4038" s="2">
        <v>201802</v>
      </c>
      <c r="H4038" s="2" t="s">
        <v>74</v>
      </c>
      <c r="I4038" s="2" t="s">
        <v>75</v>
      </c>
      <c r="J4038" s="2" t="s">
        <v>76</v>
      </c>
      <c r="K4038" s="2" t="s">
        <v>77</v>
      </c>
      <c r="L4038" s="2" t="s">
        <v>144</v>
      </c>
      <c r="M4038" s="2" t="s">
        <v>145</v>
      </c>
      <c r="N4038" s="2" t="s">
        <v>146</v>
      </c>
      <c r="O4038" s="2" t="s">
        <v>100</v>
      </c>
      <c r="P4038" s="2" t="str">
        <f>"2170582784                    "</f>
        <v xml:space="preserve">2170582784                    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3.13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0</v>
      </c>
      <c r="AV4038" s="2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2">
        <v>0</v>
      </c>
      <c r="BD4038" s="2">
        <v>0</v>
      </c>
      <c r="BE4038" s="2">
        <v>0</v>
      </c>
      <c r="BF4038" s="2">
        <v>0</v>
      </c>
      <c r="BG4038" s="2">
        <v>0</v>
      </c>
      <c r="BH4038" s="2">
        <v>1</v>
      </c>
      <c r="BI4038" s="2">
        <v>1</v>
      </c>
      <c r="BJ4038" s="2">
        <v>0.2</v>
      </c>
      <c r="BK4038" s="2">
        <v>1</v>
      </c>
      <c r="BL4038" s="2">
        <v>32.380000000000003</v>
      </c>
      <c r="BM4038" s="2">
        <v>4.53</v>
      </c>
      <c r="BN4038" s="2">
        <v>36.909999999999997</v>
      </c>
      <c r="BO4038" s="2">
        <v>36.909999999999997</v>
      </c>
      <c r="BP4038" s="2"/>
      <c r="BQ4038" s="2" t="s">
        <v>83</v>
      </c>
      <c r="BR4038" s="2" t="s">
        <v>84</v>
      </c>
      <c r="BS4038" s="3">
        <v>42950</v>
      </c>
      <c r="BT4038" s="4">
        <v>0.3576388888888889</v>
      </c>
      <c r="BU4038" s="2" t="s">
        <v>2643</v>
      </c>
      <c r="BV4038" s="2" t="s">
        <v>95</v>
      </c>
      <c r="BW4038" s="2"/>
      <c r="BX4038" s="2"/>
      <c r="BY4038" s="2">
        <v>1200</v>
      </c>
      <c r="BZ4038" s="2" t="s">
        <v>27</v>
      </c>
      <c r="CA4038" s="2" t="s">
        <v>729</v>
      </c>
      <c r="CB4038" s="2"/>
      <c r="CC4038" s="2" t="s">
        <v>145</v>
      </c>
      <c r="CD4038" s="2">
        <v>2094</v>
      </c>
      <c r="CE4038" s="2" t="s">
        <v>104</v>
      </c>
      <c r="CF4038" s="5">
        <v>42950</v>
      </c>
      <c r="CG4038" s="2"/>
      <c r="CH4038" s="2"/>
      <c r="CI4038" s="2">
        <v>1</v>
      </c>
      <c r="CJ4038" s="2">
        <v>1</v>
      </c>
      <c r="CK4038" s="2">
        <v>22</v>
      </c>
      <c r="CL4038" s="2" t="s">
        <v>86</v>
      </c>
      <c r="CM4038" s="2"/>
    </row>
    <row r="4039" spans="1:91">
      <c r="A4039" s="2" t="s">
        <v>71</v>
      </c>
      <c r="B4039" s="2" t="s">
        <v>72</v>
      </c>
      <c r="C4039" s="2" t="s">
        <v>73</v>
      </c>
      <c r="D4039" s="2"/>
      <c r="E4039" s="2" t="str">
        <f>"FES1162566561"</f>
        <v>FES1162566561</v>
      </c>
      <c r="F4039" s="3">
        <v>42949</v>
      </c>
      <c r="G4039" s="2">
        <v>201802</v>
      </c>
      <c r="H4039" s="2" t="s">
        <v>74</v>
      </c>
      <c r="I4039" s="2" t="s">
        <v>75</v>
      </c>
      <c r="J4039" s="2" t="s">
        <v>76</v>
      </c>
      <c r="K4039" s="2" t="s">
        <v>77</v>
      </c>
      <c r="L4039" s="2" t="s">
        <v>321</v>
      </c>
      <c r="M4039" s="2" t="s">
        <v>322</v>
      </c>
      <c r="N4039" s="2" t="s">
        <v>323</v>
      </c>
      <c r="O4039" s="2" t="s">
        <v>100</v>
      </c>
      <c r="P4039" s="2" t="str">
        <f>"2170582128                    "</f>
        <v xml:space="preserve">2170582128                    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4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0</v>
      </c>
      <c r="AV4039" s="2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2">
        <v>0</v>
      </c>
      <c r="BD4039" s="2">
        <v>0</v>
      </c>
      <c r="BE4039" s="2">
        <v>0</v>
      </c>
      <c r="BF4039" s="2">
        <v>0</v>
      </c>
      <c r="BG4039" s="2">
        <v>0</v>
      </c>
      <c r="BH4039" s="2">
        <v>1</v>
      </c>
      <c r="BI4039" s="2">
        <v>1</v>
      </c>
      <c r="BJ4039" s="2">
        <v>0.2</v>
      </c>
      <c r="BK4039" s="2">
        <v>1</v>
      </c>
      <c r="BL4039" s="2">
        <v>41.44</v>
      </c>
      <c r="BM4039" s="2">
        <v>5.8</v>
      </c>
      <c r="BN4039" s="2">
        <v>47.24</v>
      </c>
      <c r="BO4039" s="2">
        <v>47.24</v>
      </c>
      <c r="BP4039" s="2"/>
      <c r="BQ4039" s="2" t="s">
        <v>83</v>
      </c>
      <c r="BR4039" s="2" t="s">
        <v>84</v>
      </c>
      <c r="BS4039" s="3">
        <v>42950</v>
      </c>
      <c r="BT4039" s="4">
        <v>0.4236111111111111</v>
      </c>
      <c r="BU4039" s="2" t="s">
        <v>324</v>
      </c>
      <c r="BV4039" s="2" t="s">
        <v>95</v>
      </c>
      <c r="BW4039" s="2"/>
      <c r="BX4039" s="2"/>
      <c r="BY4039" s="2">
        <v>1200</v>
      </c>
      <c r="BZ4039" s="2" t="s">
        <v>27</v>
      </c>
      <c r="CA4039" s="2" t="s">
        <v>103</v>
      </c>
      <c r="CB4039" s="2"/>
      <c r="CC4039" s="2" t="s">
        <v>322</v>
      </c>
      <c r="CD4039" s="2">
        <v>6220</v>
      </c>
      <c r="CE4039" s="2" t="s">
        <v>104</v>
      </c>
      <c r="CF4039" s="5">
        <v>42951</v>
      </c>
      <c r="CG4039" s="2"/>
      <c r="CH4039" s="2"/>
      <c r="CI4039" s="2">
        <v>1</v>
      </c>
      <c r="CJ4039" s="2">
        <v>1</v>
      </c>
      <c r="CK4039" s="2">
        <v>21</v>
      </c>
      <c r="CL4039" s="2" t="s">
        <v>86</v>
      </c>
      <c r="CM4039" s="2"/>
    </row>
    <row r="4040" spans="1:91">
      <c r="A4040" s="2" t="s">
        <v>71</v>
      </c>
      <c r="B4040" s="2" t="s">
        <v>72</v>
      </c>
      <c r="C4040" s="2" t="s">
        <v>73</v>
      </c>
      <c r="D4040" s="2"/>
      <c r="E4040" s="2" t="str">
        <f>"FES1162566255"</f>
        <v>FES1162566255</v>
      </c>
      <c r="F4040" s="3">
        <v>42949</v>
      </c>
      <c r="G4040" s="2">
        <v>201802</v>
      </c>
      <c r="H4040" s="2" t="s">
        <v>74</v>
      </c>
      <c r="I4040" s="2" t="s">
        <v>75</v>
      </c>
      <c r="J4040" s="2" t="s">
        <v>76</v>
      </c>
      <c r="K4040" s="2" t="s">
        <v>77</v>
      </c>
      <c r="L4040" s="2" t="s">
        <v>149</v>
      </c>
      <c r="M4040" s="2" t="s">
        <v>150</v>
      </c>
      <c r="N4040" s="2" t="s">
        <v>3815</v>
      </c>
      <c r="O4040" s="2" t="s">
        <v>100</v>
      </c>
      <c r="P4040" s="2" t="str">
        <f>"2170582682                    "</f>
        <v xml:space="preserve">2170582682                    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8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2">
        <v>0</v>
      </c>
      <c r="BD4040" s="2">
        <v>0</v>
      </c>
      <c r="BE4040" s="2">
        <v>0</v>
      </c>
      <c r="BF4040" s="2">
        <v>0</v>
      </c>
      <c r="BG4040" s="2">
        <v>0</v>
      </c>
      <c r="BH4040" s="2">
        <v>1</v>
      </c>
      <c r="BI4040" s="2">
        <v>3</v>
      </c>
      <c r="BJ4040" s="2">
        <v>3.8</v>
      </c>
      <c r="BK4040" s="2">
        <v>4</v>
      </c>
      <c r="BL4040" s="2">
        <v>82.88</v>
      </c>
      <c r="BM4040" s="2">
        <v>11.6</v>
      </c>
      <c r="BN4040" s="2">
        <v>94.48</v>
      </c>
      <c r="BO4040" s="2">
        <v>94.48</v>
      </c>
      <c r="BP4040" s="2"/>
      <c r="BQ4040" s="2" t="s">
        <v>83</v>
      </c>
      <c r="BR4040" s="2" t="s">
        <v>84</v>
      </c>
      <c r="BS4040" s="3">
        <v>42950</v>
      </c>
      <c r="BT4040" s="4">
        <v>0.43611111111111112</v>
      </c>
      <c r="BU4040" s="2" t="s">
        <v>3816</v>
      </c>
      <c r="BV4040" s="2" t="s">
        <v>95</v>
      </c>
      <c r="BW4040" s="2"/>
      <c r="BX4040" s="2"/>
      <c r="BY4040" s="2">
        <v>19242.830000000002</v>
      </c>
      <c r="BZ4040" s="2" t="s">
        <v>27</v>
      </c>
      <c r="CA4040" s="2" t="s">
        <v>401</v>
      </c>
      <c r="CB4040" s="2"/>
      <c r="CC4040" s="2" t="s">
        <v>150</v>
      </c>
      <c r="CD4040" s="2">
        <v>4001</v>
      </c>
      <c r="CE4040" s="2" t="s">
        <v>948</v>
      </c>
      <c r="CF4040" s="5">
        <v>42951</v>
      </c>
      <c r="CG4040" s="2"/>
      <c r="CH4040" s="2"/>
      <c r="CI4040" s="2">
        <v>1</v>
      </c>
      <c r="CJ4040" s="2">
        <v>1</v>
      </c>
      <c r="CK4040" s="2">
        <v>21</v>
      </c>
      <c r="CL4040" s="2" t="s">
        <v>86</v>
      </c>
      <c r="CM4040" s="2"/>
    </row>
    <row r="4041" spans="1:91">
      <c r="A4041" s="2" t="s">
        <v>71</v>
      </c>
      <c r="B4041" s="2" t="s">
        <v>72</v>
      </c>
      <c r="C4041" s="2" t="s">
        <v>73</v>
      </c>
      <c r="D4041" s="2"/>
      <c r="E4041" s="2" t="str">
        <f>"FES1162566427"</f>
        <v>FES1162566427</v>
      </c>
      <c r="F4041" s="3">
        <v>42949</v>
      </c>
      <c r="G4041" s="2">
        <v>201802</v>
      </c>
      <c r="H4041" s="2" t="s">
        <v>74</v>
      </c>
      <c r="I4041" s="2" t="s">
        <v>75</v>
      </c>
      <c r="J4041" s="2" t="s">
        <v>76</v>
      </c>
      <c r="K4041" s="2" t="s">
        <v>77</v>
      </c>
      <c r="L4041" s="2" t="s">
        <v>74</v>
      </c>
      <c r="M4041" s="2" t="s">
        <v>75</v>
      </c>
      <c r="N4041" s="2" t="s">
        <v>192</v>
      </c>
      <c r="O4041" s="2" t="s">
        <v>100</v>
      </c>
      <c r="P4041" s="2" t="str">
        <f>"2170582785                    "</f>
        <v xml:space="preserve">2170582785                    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3.13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0</v>
      </c>
      <c r="AV4041" s="2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2">
        <v>0</v>
      </c>
      <c r="BD4041" s="2">
        <v>0</v>
      </c>
      <c r="BE4041" s="2">
        <v>0</v>
      </c>
      <c r="BF4041" s="2">
        <v>0</v>
      </c>
      <c r="BG4041" s="2">
        <v>0</v>
      </c>
      <c r="BH4041" s="2">
        <v>1</v>
      </c>
      <c r="BI4041" s="2">
        <v>1</v>
      </c>
      <c r="BJ4041" s="2">
        <v>1.1000000000000001</v>
      </c>
      <c r="BK4041" s="2">
        <v>2</v>
      </c>
      <c r="BL4041" s="2">
        <v>32.380000000000003</v>
      </c>
      <c r="BM4041" s="2">
        <v>4.53</v>
      </c>
      <c r="BN4041" s="2">
        <v>36.909999999999997</v>
      </c>
      <c r="BO4041" s="2">
        <v>36.909999999999997</v>
      </c>
      <c r="BP4041" s="2"/>
      <c r="BQ4041" s="2" t="s">
        <v>1934</v>
      </c>
      <c r="BR4041" s="2" t="s">
        <v>84</v>
      </c>
      <c r="BS4041" s="3">
        <v>42950</v>
      </c>
      <c r="BT4041" s="4">
        <v>0.41666666666666669</v>
      </c>
      <c r="BU4041" s="2" t="s">
        <v>2635</v>
      </c>
      <c r="BV4041" s="2" t="s">
        <v>95</v>
      </c>
      <c r="BW4041" s="2"/>
      <c r="BX4041" s="2"/>
      <c r="BY4041" s="2">
        <v>5320</v>
      </c>
      <c r="BZ4041" s="2" t="s">
        <v>27</v>
      </c>
      <c r="CA4041" s="2"/>
      <c r="CB4041" s="2"/>
      <c r="CC4041" s="2" t="s">
        <v>75</v>
      </c>
      <c r="CD4041" s="2">
        <v>1665</v>
      </c>
      <c r="CE4041" s="2" t="s">
        <v>89</v>
      </c>
      <c r="CF4041" s="5">
        <v>42950</v>
      </c>
      <c r="CG4041" s="2"/>
      <c r="CH4041" s="2"/>
      <c r="CI4041" s="2">
        <v>1</v>
      </c>
      <c r="CJ4041" s="2">
        <v>1</v>
      </c>
      <c r="CK4041" s="2">
        <v>22</v>
      </c>
      <c r="CL4041" s="2" t="s">
        <v>86</v>
      </c>
      <c r="CM4041" s="2"/>
    </row>
    <row r="4042" spans="1:91">
      <c r="A4042" s="2" t="s">
        <v>71</v>
      </c>
      <c r="B4042" s="2" t="s">
        <v>72</v>
      </c>
      <c r="C4042" s="2" t="s">
        <v>73</v>
      </c>
      <c r="D4042" s="2"/>
      <c r="E4042" s="2" t="str">
        <f>"FES1162566308"</f>
        <v>FES1162566308</v>
      </c>
      <c r="F4042" s="3">
        <v>42949</v>
      </c>
      <c r="G4042" s="2">
        <v>201802</v>
      </c>
      <c r="H4042" s="2" t="s">
        <v>74</v>
      </c>
      <c r="I4042" s="2" t="s">
        <v>75</v>
      </c>
      <c r="J4042" s="2" t="s">
        <v>76</v>
      </c>
      <c r="K4042" s="2" t="s">
        <v>77</v>
      </c>
      <c r="L4042" s="2" t="s">
        <v>231</v>
      </c>
      <c r="M4042" s="2" t="s">
        <v>232</v>
      </c>
      <c r="N4042" s="2" t="s">
        <v>233</v>
      </c>
      <c r="O4042" s="2" t="s">
        <v>100</v>
      </c>
      <c r="P4042" s="2" t="str">
        <f>"2170577532                    "</f>
        <v xml:space="preserve">2170577532                    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4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0</v>
      </c>
      <c r="AV4042" s="2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2">
        <v>0</v>
      </c>
      <c r="BD4042" s="2">
        <v>0</v>
      </c>
      <c r="BE4042" s="2">
        <v>0</v>
      </c>
      <c r="BF4042" s="2">
        <v>0</v>
      </c>
      <c r="BG4042" s="2">
        <v>0</v>
      </c>
      <c r="BH4042" s="2">
        <v>1</v>
      </c>
      <c r="BI4042" s="2">
        <v>1</v>
      </c>
      <c r="BJ4042" s="2">
        <v>0.2</v>
      </c>
      <c r="BK4042" s="2">
        <v>1</v>
      </c>
      <c r="BL4042" s="2">
        <v>41.44</v>
      </c>
      <c r="BM4042" s="2">
        <v>5.8</v>
      </c>
      <c r="BN4042" s="2">
        <v>47.24</v>
      </c>
      <c r="BO4042" s="2">
        <v>47.24</v>
      </c>
      <c r="BP4042" s="2"/>
      <c r="BQ4042" s="2" t="s">
        <v>83</v>
      </c>
      <c r="BR4042" s="2" t="s">
        <v>84</v>
      </c>
      <c r="BS4042" s="3">
        <v>42950</v>
      </c>
      <c r="BT4042" s="4">
        <v>0.36319444444444443</v>
      </c>
      <c r="BU4042" s="2" t="s">
        <v>1557</v>
      </c>
      <c r="BV4042" s="2" t="s">
        <v>95</v>
      </c>
      <c r="BW4042" s="2"/>
      <c r="BX4042" s="2"/>
      <c r="BY4042" s="2">
        <v>1200</v>
      </c>
      <c r="BZ4042" s="2" t="s">
        <v>27</v>
      </c>
      <c r="CA4042" s="2" t="s">
        <v>235</v>
      </c>
      <c r="CB4042" s="2"/>
      <c r="CC4042" s="2" t="s">
        <v>232</v>
      </c>
      <c r="CD4042" s="2">
        <v>4026</v>
      </c>
      <c r="CE4042" s="2" t="s">
        <v>104</v>
      </c>
      <c r="CF4042" s="5">
        <v>42951</v>
      </c>
      <c r="CG4042" s="2"/>
      <c r="CH4042" s="2"/>
      <c r="CI4042" s="2">
        <v>1</v>
      </c>
      <c r="CJ4042" s="2">
        <v>1</v>
      </c>
      <c r="CK4042" s="2">
        <v>21</v>
      </c>
      <c r="CL4042" s="2" t="s">
        <v>86</v>
      </c>
      <c r="CM4042" s="2"/>
    </row>
    <row r="4043" spans="1:91">
      <c r="A4043" s="2" t="s">
        <v>71</v>
      </c>
      <c r="B4043" s="2" t="s">
        <v>72</v>
      </c>
      <c r="C4043" s="2" t="s">
        <v>73</v>
      </c>
      <c r="D4043" s="2"/>
      <c r="E4043" s="2" t="str">
        <f>"FES1162566551"</f>
        <v>FES1162566551</v>
      </c>
      <c r="F4043" s="3">
        <v>42949</v>
      </c>
      <c r="G4043" s="2">
        <v>201802</v>
      </c>
      <c r="H4043" s="2" t="s">
        <v>74</v>
      </c>
      <c r="I4043" s="2" t="s">
        <v>75</v>
      </c>
      <c r="J4043" s="2" t="s">
        <v>76</v>
      </c>
      <c r="K4043" s="2" t="s">
        <v>77</v>
      </c>
      <c r="L4043" s="2" t="s">
        <v>97</v>
      </c>
      <c r="M4043" s="2" t="s">
        <v>98</v>
      </c>
      <c r="N4043" s="2" t="s">
        <v>2205</v>
      </c>
      <c r="O4043" s="2" t="s">
        <v>100</v>
      </c>
      <c r="P4043" s="2" t="str">
        <f>"2170582902                    "</f>
        <v xml:space="preserve">2170582902                    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4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0</v>
      </c>
      <c r="AV4043" s="2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2">
        <v>0</v>
      </c>
      <c r="BD4043" s="2">
        <v>0</v>
      </c>
      <c r="BE4043" s="2">
        <v>0</v>
      </c>
      <c r="BF4043" s="2">
        <v>0</v>
      </c>
      <c r="BG4043" s="2">
        <v>0</v>
      </c>
      <c r="BH4043" s="2">
        <v>1</v>
      </c>
      <c r="BI4043" s="2">
        <v>2</v>
      </c>
      <c r="BJ4043" s="2">
        <v>1.6</v>
      </c>
      <c r="BK4043" s="2">
        <v>2</v>
      </c>
      <c r="BL4043" s="2">
        <v>41.44</v>
      </c>
      <c r="BM4043" s="2">
        <v>5.8</v>
      </c>
      <c r="BN4043" s="2">
        <v>47.24</v>
      </c>
      <c r="BO4043" s="2">
        <v>47.24</v>
      </c>
      <c r="BP4043" s="2"/>
      <c r="BQ4043" s="2" t="s">
        <v>83</v>
      </c>
      <c r="BR4043" s="2" t="s">
        <v>84</v>
      </c>
      <c r="BS4043" s="3">
        <v>42950</v>
      </c>
      <c r="BT4043" s="4">
        <v>0.3354166666666667</v>
      </c>
      <c r="BU4043" s="2" t="s">
        <v>3817</v>
      </c>
      <c r="BV4043" s="2" t="s">
        <v>95</v>
      </c>
      <c r="BW4043" s="2"/>
      <c r="BX4043" s="2"/>
      <c r="BY4043" s="2">
        <v>8143.42</v>
      </c>
      <c r="BZ4043" s="2" t="s">
        <v>27</v>
      </c>
      <c r="CA4043" s="2" t="s">
        <v>213</v>
      </c>
      <c r="CB4043" s="2"/>
      <c r="CC4043" s="2" t="s">
        <v>98</v>
      </c>
      <c r="CD4043" s="2">
        <v>6001</v>
      </c>
      <c r="CE4043" s="2" t="s">
        <v>89</v>
      </c>
      <c r="CF4043" s="5">
        <v>42951</v>
      </c>
      <c r="CG4043" s="2"/>
      <c r="CH4043" s="2"/>
      <c r="CI4043" s="2">
        <v>1</v>
      </c>
      <c r="CJ4043" s="2">
        <v>1</v>
      </c>
      <c r="CK4043" s="2">
        <v>21</v>
      </c>
      <c r="CL4043" s="2" t="s">
        <v>86</v>
      </c>
      <c r="CM4043" s="2"/>
    </row>
    <row r="4044" spans="1:91">
      <c r="A4044" s="2" t="s">
        <v>71</v>
      </c>
      <c r="B4044" s="2" t="s">
        <v>72</v>
      </c>
      <c r="C4044" s="2" t="s">
        <v>73</v>
      </c>
      <c r="D4044" s="2"/>
      <c r="E4044" s="2" t="str">
        <f>"FES1162566532"</f>
        <v>FES1162566532</v>
      </c>
      <c r="F4044" s="3">
        <v>42949</v>
      </c>
      <c r="G4044" s="2">
        <v>201802</v>
      </c>
      <c r="H4044" s="2" t="s">
        <v>74</v>
      </c>
      <c r="I4044" s="2" t="s">
        <v>75</v>
      </c>
      <c r="J4044" s="2" t="s">
        <v>76</v>
      </c>
      <c r="K4044" s="2" t="s">
        <v>77</v>
      </c>
      <c r="L4044" s="2" t="s">
        <v>924</v>
      </c>
      <c r="M4044" s="2" t="s">
        <v>925</v>
      </c>
      <c r="N4044" s="2" t="s">
        <v>1684</v>
      </c>
      <c r="O4044" s="2" t="s">
        <v>100</v>
      </c>
      <c r="P4044" s="2" t="str">
        <f>"2170582877                    "</f>
        <v xml:space="preserve">2170582877                    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6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0</v>
      </c>
      <c r="AV4044" s="2">
        <v>0</v>
      </c>
      <c r="AW4044" s="2">
        <v>0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2">
        <v>0</v>
      </c>
      <c r="BD4044" s="2">
        <v>0</v>
      </c>
      <c r="BE4044" s="2">
        <v>0</v>
      </c>
      <c r="BF4044" s="2">
        <v>0</v>
      </c>
      <c r="BG4044" s="2">
        <v>0</v>
      </c>
      <c r="BH4044" s="2">
        <v>1</v>
      </c>
      <c r="BI4044" s="2">
        <v>2.1</v>
      </c>
      <c r="BJ4044" s="2">
        <v>2.6</v>
      </c>
      <c r="BK4044" s="2">
        <v>3</v>
      </c>
      <c r="BL4044" s="2">
        <v>62.16</v>
      </c>
      <c r="BM4044" s="2">
        <v>8.6999999999999993</v>
      </c>
      <c r="BN4044" s="2">
        <v>70.86</v>
      </c>
      <c r="BO4044" s="2">
        <v>70.86</v>
      </c>
      <c r="BP4044" s="2"/>
      <c r="BQ4044" s="2" t="s">
        <v>83</v>
      </c>
      <c r="BR4044" s="2" t="s">
        <v>84</v>
      </c>
      <c r="BS4044" s="3">
        <v>42950</v>
      </c>
      <c r="BT4044" s="4">
        <v>0.3743055555555555</v>
      </c>
      <c r="BU4044" s="2" t="s">
        <v>3818</v>
      </c>
      <c r="BV4044" s="2" t="s">
        <v>95</v>
      </c>
      <c r="BW4044" s="2"/>
      <c r="BX4044" s="2"/>
      <c r="BY4044" s="2">
        <v>12982.76</v>
      </c>
      <c r="BZ4044" s="2" t="s">
        <v>27</v>
      </c>
      <c r="CA4044" s="2" t="s">
        <v>205</v>
      </c>
      <c r="CB4044" s="2"/>
      <c r="CC4044" s="2" t="s">
        <v>925</v>
      </c>
      <c r="CD4044" s="2">
        <v>7600</v>
      </c>
      <c r="CE4044" s="2" t="s">
        <v>104</v>
      </c>
      <c r="CF4044" s="5">
        <v>42950</v>
      </c>
      <c r="CG4044" s="2"/>
      <c r="CH4044" s="2"/>
      <c r="CI4044" s="2">
        <v>1</v>
      </c>
      <c r="CJ4044" s="2">
        <v>1</v>
      </c>
      <c r="CK4044" s="2">
        <v>21</v>
      </c>
      <c r="CL4044" s="2" t="s">
        <v>86</v>
      </c>
      <c r="CM4044" s="2"/>
    </row>
    <row r="4045" spans="1:91">
      <c r="A4045" s="2" t="s">
        <v>71</v>
      </c>
      <c r="B4045" s="2" t="s">
        <v>72</v>
      </c>
      <c r="C4045" s="2" t="s">
        <v>73</v>
      </c>
      <c r="D4045" s="2"/>
      <c r="E4045" s="2" t="str">
        <f>"FES1162566381"</f>
        <v>FES1162566381</v>
      </c>
      <c r="F4045" s="3">
        <v>42949</v>
      </c>
      <c r="G4045" s="2">
        <v>201802</v>
      </c>
      <c r="H4045" s="2" t="s">
        <v>74</v>
      </c>
      <c r="I4045" s="2" t="s">
        <v>75</v>
      </c>
      <c r="J4045" s="2" t="s">
        <v>76</v>
      </c>
      <c r="K4045" s="2" t="s">
        <v>77</v>
      </c>
      <c r="L4045" s="2" t="s">
        <v>237</v>
      </c>
      <c r="M4045" s="2" t="s">
        <v>238</v>
      </c>
      <c r="N4045" s="2" t="s">
        <v>3819</v>
      </c>
      <c r="O4045" s="2" t="s">
        <v>100</v>
      </c>
      <c r="P4045" s="2" t="str">
        <f>"2170580552                    "</f>
        <v xml:space="preserve">2170580552                    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7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2">
        <v>0</v>
      </c>
      <c r="BD4045" s="2">
        <v>0</v>
      </c>
      <c r="BE4045" s="2">
        <v>0</v>
      </c>
      <c r="BF4045" s="2">
        <v>0</v>
      </c>
      <c r="BG4045" s="2">
        <v>0</v>
      </c>
      <c r="BH4045" s="2">
        <v>1</v>
      </c>
      <c r="BI4045" s="2">
        <v>3.1</v>
      </c>
      <c r="BJ4045" s="2">
        <v>1</v>
      </c>
      <c r="BK4045" s="2">
        <v>3.5</v>
      </c>
      <c r="BL4045" s="2">
        <v>72.52</v>
      </c>
      <c r="BM4045" s="2">
        <v>10.15</v>
      </c>
      <c r="BN4045" s="2">
        <v>82.67</v>
      </c>
      <c r="BO4045" s="2">
        <v>82.67</v>
      </c>
      <c r="BP4045" s="2"/>
      <c r="BQ4045" s="2" t="s">
        <v>83</v>
      </c>
      <c r="BR4045" s="2" t="s">
        <v>84</v>
      </c>
      <c r="BS4045" s="3">
        <v>42950</v>
      </c>
      <c r="BT4045" s="4">
        <v>0.40902777777777777</v>
      </c>
      <c r="BU4045" s="2" t="s">
        <v>3820</v>
      </c>
      <c r="BV4045" s="2" t="s">
        <v>95</v>
      </c>
      <c r="BW4045" s="2"/>
      <c r="BX4045" s="2"/>
      <c r="BY4045" s="2">
        <v>4924.8</v>
      </c>
      <c r="BZ4045" s="2" t="s">
        <v>27</v>
      </c>
      <c r="CA4045" s="2" t="s">
        <v>401</v>
      </c>
      <c r="CB4045" s="2"/>
      <c r="CC4045" s="2" t="s">
        <v>238</v>
      </c>
      <c r="CD4045" s="2">
        <v>3610</v>
      </c>
      <c r="CE4045" s="2" t="s">
        <v>89</v>
      </c>
      <c r="CF4045" s="5">
        <v>42951</v>
      </c>
      <c r="CG4045" s="2"/>
      <c r="CH4045" s="2"/>
      <c r="CI4045" s="2">
        <v>1</v>
      </c>
      <c r="CJ4045" s="2">
        <v>1</v>
      </c>
      <c r="CK4045" s="2">
        <v>21</v>
      </c>
      <c r="CL4045" s="2" t="s">
        <v>86</v>
      </c>
      <c r="CM4045" s="2"/>
    </row>
    <row r="4046" spans="1:91">
      <c r="A4046" s="2" t="s">
        <v>71</v>
      </c>
      <c r="B4046" s="2" t="s">
        <v>72</v>
      </c>
      <c r="C4046" s="2" t="s">
        <v>73</v>
      </c>
      <c r="D4046" s="2"/>
      <c r="E4046" s="2" t="str">
        <f>"FES1162566431"</f>
        <v>FES1162566431</v>
      </c>
      <c r="F4046" s="3">
        <v>42949</v>
      </c>
      <c r="G4046" s="2">
        <v>201802</v>
      </c>
      <c r="H4046" s="2" t="s">
        <v>74</v>
      </c>
      <c r="I4046" s="2" t="s">
        <v>75</v>
      </c>
      <c r="J4046" s="2" t="s">
        <v>76</v>
      </c>
      <c r="K4046" s="2" t="s">
        <v>77</v>
      </c>
      <c r="L4046" s="2" t="s">
        <v>144</v>
      </c>
      <c r="M4046" s="2" t="s">
        <v>145</v>
      </c>
      <c r="N4046" s="2" t="s">
        <v>1964</v>
      </c>
      <c r="O4046" s="2" t="s">
        <v>100</v>
      </c>
      <c r="P4046" s="2" t="str">
        <f>"2170582791                    "</f>
        <v xml:space="preserve">2170582791                    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3.13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2">
        <v>0</v>
      </c>
      <c r="BD4046" s="2">
        <v>0</v>
      </c>
      <c r="BE4046" s="2">
        <v>0</v>
      </c>
      <c r="BF4046" s="2">
        <v>0</v>
      </c>
      <c r="BG4046" s="2">
        <v>0</v>
      </c>
      <c r="BH4046" s="2">
        <v>1</v>
      </c>
      <c r="BI4046" s="2">
        <v>2</v>
      </c>
      <c r="BJ4046" s="2">
        <v>0.2</v>
      </c>
      <c r="BK4046" s="2">
        <v>2</v>
      </c>
      <c r="BL4046" s="2">
        <v>32.380000000000003</v>
      </c>
      <c r="BM4046" s="2">
        <v>4.53</v>
      </c>
      <c r="BN4046" s="2">
        <v>36.909999999999997</v>
      </c>
      <c r="BO4046" s="2">
        <v>36.909999999999997</v>
      </c>
      <c r="BP4046" s="2"/>
      <c r="BQ4046" s="2" t="s">
        <v>83</v>
      </c>
      <c r="BR4046" s="2" t="s">
        <v>84</v>
      </c>
      <c r="BS4046" s="3">
        <v>42950</v>
      </c>
      <c r="BT4046" s="4">
        <v>0.35833333333333334</v>
      </c>
      <c r="BU4046" s="2" t="s">
        <v>1965</v>
      </c>
      <c r="BV4046" s="2" t="s">
        <v>95</v>
      </c>
      <c r="BW4046" s="2"/>
      <c r="BX4046" s="2"/>
      <c r="BY4046" s="2">
        <v>1200</v>
      </c>
      <c r="BZ4046" s="2" t="s">
        <v>27</v>
      </c>
      <c r="CA4046" s="2" t="s">
        <v>923</v>
      </c>
      <c r="CB4046" s="2"/>
      <c r="CC4046" s="2" t="s">
        <v>145</v>
      </c>
      <c r="CD4046" s="2">
        <v>2093</v>
      </c>
      <c r="CE4046" s="2" t="s">
        <v>104</v>
      </c>
      <c r="CF4046" s="5">
        <v>42951</v>
      </c>
      <c r="CG4046" s="2"/>
      <c r="CH4046" s="2"/>
      <c r="CI4046" s="2">
        <v>1</v>
      </c>
      <c r="CJ4046" s="2">
        <v>1</v>
      </c>
      <c r="CK4046" s="2">
        <v>22</v>
      </c>
      <c r="CL4046" s="2" t="s">
        <v>86</v>
      </c>
      <c r="CM4046" s="2"/>
    </row>
    <row r="4047" spans="1:91">
      <c r="A4047" s="2" t="s">
        <v>71</v>
      </c>
      <c r="B4047" s="2" t="s">
        <v>72</v>
      </c>
      <c r="C4047" s="2" t="s">
        <v>73</v>
      </c>
      <c r="D4047" s="2"/>
      <c r="E4047" s="2" t="str">
        <f>"FES1162566439"</f>
        <v>FES1162566439</v>
      </c>
      <c r="F4047" s="3">
        <v>42949</v>
      </c>
      <c r="G4047" s="2">
        <v>201802</v>
      </c>
      <c r="H4047" s="2" t="s">
        <v>74</v>
      </c>
      <c r="I4047" s="2" t="s">
        <v>75</v>
      </c>
      <c r="J4047" s="2" t="s">
        <v>76</v>
      </c>
      <c r="K4047" s="2" t="s">
        <v>77</v>
      </c>
      <c r="L4047" s="2" t="s">
        <v>144</v>
      </c>
      <c r="M4047" s="2" t="s">
        <v>145</v>
      </c>
      <c r="N4047" s="2" t="s">
        <v>146</v>
      </c>
      <c r="O4047" s="2" t="s">
        <v>100</v>
      </c>
      <c r="P4047" s="2" t="str">
        <f>"2170582800                    "</f>
        <v xml:space="preserve">2170582800                    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3.13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0</v>
      </c>
      <c r="AV4047" s="2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2">
        <v>0</v>
      </c>
      <c r="BD4047" s="2">
        <v>0</v>
      </c>
      <c r="BE4047" s="2">
        <v>0</v>
      </c>
      <c r="BF4047" s="2">
        <v>0</v>
      </c>
      <c r="BG4047" s="2">
        <v>0</v>
      </c>
      <c r="BH4047" s="2">
        <v>1</v>
      </c>
      <c r="BI4047" s="2">
        <v>1</v>
      </c>
      <c r="BJ4047" s="2">
        <v>0.2</v>
      </c>
      <c r="BK4047" s="2">
        <v>1</v>
      </c>
      <c r="BL4047" s="2">
        <v>32.380000000000003</v>
      </c>
      <c r="BM4047" s="2">
        <v>4.53</v>
      </c>
      <c r="BN4047" s="2">
        <v>36.909999999999997</v>
      </c>
      <c r="BO4047" s="2">
        <v>36.909999999999997</v>
      </c>
      <c r="BP4047" s="2"/>
      <c r="BQ4047" s="2" t="s">
        <v>83</v>
      </c>
      <c r="BR4047" s="2" t="s">
        <v>84</v>
      </c>
      <c r="BS4047" s="3">
        <v>42950</v>
      </c>
      <c r="BT4047" s="4">
        <v>0.35972222222222222</v>
      </c>
      <c r="BU4047" s="2" t="s">
        <v>2624</v>
      </c>
      <c r="BV4047" s="2" t="s">
        <v>95</v>
      </c>
      <c r="BW4047" s="2"/>
      <c r="BX4047" s="2"/>
      <c r="BY4047" s="2">
        <v>1200</v>
      </c>
      <c r="BZ4047" s="2" t="s">
        <v>27</v>
      </c>
      <c r="CA4047" s="2" t="s">
        <v>729</v>
      </c>
      <c r="CB4047" s="2"/>
      <c r="CC4047" s="2" t="s">
        <v>145</v>
      </c>
      <c r="CD4047" s="2">
        <v>2094</v>
      </c>
      <c r="CE4047" s="2" t="s">
        <v>104</v>
      </c>
      <c r="CF4047" s="5">
        <v>42951</v>
      </c>
      <c r="CG4047" s="2"/>
      <c r="CH4047" s="2"/>
      <c r="CI4047" s="2">
        <v>1</v>
      </c>
      <c r="CJ4047" s="2">
        <v>1</v>
      </c>
      <c r="CK4047" s="2">
        <v>22</v>
      </c>
      <c r="CL4047" s="2" t="s">
        <v>86</v>
      </c>
      <c r="CM4047" s="2"/>
    </row>
    <row r="4048" spans="1:91">
      <c r="A4048" s="2" t="s">
        <v>71</v>
      </c>
      <c r="B4048" s="2" t="s">
        <v>72</v>
      </c>
      <c r="C4048" s="2" t="s">
        <v>73</v>
      </c>
      <c r="D4048" s="2"/>
      <c r="E4048" s="2" t="str">
        <f>"FES1162566297"</f>
        <v>FES1162566297</v>
      </c>
      <c r="F4048" s="3">
        <v>42949</v>
      </c>
      <c r="G4048" s="2">
        <v>201802</v>
      </c>
      <c r="H4048" s="2" t="s">
        <v>74</v>
      </c>
      <c r="I4048" s="2" t="s">
        <v>75</v>
      </c>
      <c r="J4048" s="2" t="s">
        <v>76</v>
      </c>
      <c r="K4048" s="2" t="s">
        <v>77</v>
      </c>
      <c r="L4048" s="2" t="s">
        <v>715</v>
      </c>
      <c r="M4048" s="2" t="s">
        <v>716</v>
      </c>
      <c r="N4048" s="2" t="s">
        <v>717</v>
      </c>
      <c r="O4048" s="2" t="s">
        <v>100</v>
      </c>
      <c r="P4048" s="2" t="str">
        <f>"2170582730                    "</f>
        <v xml:space="preserve">2170582730                    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4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0</v>
      </c>
      <c r="AV4048" s="2">
        <v>0</v>
      </c>
      <c r="AW4048" s="2">
        <v>0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2">
        <v>0</v>
      </c>
      <c r="BD4048" s="2">
        <v>0</v>
      </c>
      <c r="BE4048" s="2">
        <v>0</v>
      </c>
      <c r="BF4048" s="2">
        <v>0</v>
      </c>
      <c r="BG4048" s="2">
        <v>0</v>
      </c>
      <c r="BH4048" s="2">
        <v>1</v>
      </c>
      <c r="BI4048" s="2">
        <v>1</v>
      </c>
      <c r="BJ4048" s="2">
        <v>0.2</v>
      </c>
      <c r="BK4048" s="2">
        <v>1</v>
      </c>
      <c r="BL4048" s="2">
        <v>41.44</v>
      </c>
      <c r="BM4048" s="2">
        <v>5.8</v>
      </c>
      <c r="BN4048" s="2">
        <v>47.24</v>
      </c>
      <c r="BO4048" s="2">
        <v>47.24</v>
      </c>
      <c r="BP4048" s="2"/>
      <c r="BQ4048" s="2" t="s">
        <v>108</v>
      </c>
      <c r="BR4048" s="2" t="s">
        <v>84</v>
      </c>
      <c r="BS4048" s="3">
        <v>42950</v>
      </c>
      <c r="BT4048" s="4">
        <v>0.47083333333333338</v>
      </c>
      <c r="BU4048" s="2" t="s">
        <v>2560</v>
      </c>
      <c r="BV4048" s="2" t="s">
        <v>95</v>
      </c>
      <c r="BW4048" s="2"/>
      <c r="BX4048" s="2"/>
      <c r="BY4048" s="2">
        <v>1200</v>
      </c>
      <c r="BZ4048" s="2" t="s">
        <v>27</v>
      </c>
      <c r="CA4048" s="2" t="s">
        <v>566</v>
      </c>
      <c r="CB4048" s="2"/>
      <c r="CC4048" s="2" t="s">
        <v>716</v>
      </c>
      <c r="CD4048" s="2">
        <v>3290</v>
      </c>
      <c r="CE4048" s="2" t="s">
        <v>104</v>
      </c>
      <c r="CF4048" s="5">
        <v>42954</v>
      </c>
      <c r="CG4048" s="2"/>
      <c r="CH4048" s="2"/>
      <c r="CI4048" s="2">
        <v>1</v>
      </c>
      <c r="CJ4048" s="2">
        <v>1</v>
      </c>
      <c r="CK4048" s="2">
        <v>21</v>
      </c>
      <c r="CL4048" s="2" t="s">
        <v>86</v>
      </c>
      <c r="CM4048" s="2"/>
    </row>
    <row r="4049" spans="1:91">
      <c r="A4049" s="2" t="s">
        <v>71</v>
      </c>
      <c r="B4049" s="2" t="s">
        <v>72</v>
      </c>
      <c r="C4049" s="2" t="s">
        <v>73</v>
      </c>
      <c r="D4049" s="2"/>
      <c r="E4049" s="2" t="str">
        <f>"FES1162566347"</f>
        <v>FES1162566347</v>
      </c>
      <c r="F4049" s="3">
        <v>42949</v>
      </c>
      <c r="G4049" s="2">
        <v>201802</v>
      </c>
      <c r="H4049" s="2" t="s">
        <v>74</v>
      </c>
      <c r="I4049" s="2" t="s">
        <v>75</v>
      </c>
      <c r="J4049" s="2" t="s">
        <v>76</v>
      </c>
      <c r="K4049" s="2" t="s">
        <v>77</v>
      </c>
      <c r="L4049" s="2" t="s">
        <v>268</v>
      </c>
      <c r="M4049" s="2" t="s">
        <v>269</v>
      </c>
      <c r="N4049" s="2" t="s">
        <v>635</v>
      </c>
      <c r="O4049" s="2" t="s">
        <v>100</v>
      </c>
      <c r="P4049" s="2" t="str">
        <f>"217058929                     "</f>
        <v xml:space="preserve">217058929                     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4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2">
        <v>0</v>
      </c>
      <c r="BD4049" s="2">
        <v>0</v>
      </c>
      <c r="BE4049" s="2">
        <v>0</v>
      </c>
      <c r="BF4049" s="2">
        <v>0</v>
      </c>
      <c r="BG4049" s="2">
        <v>0</v>
      </c>
      <c r="BH4049" s="2">
        <v>1</v>
      </c>
      <c r="BI4049" s="2">
        <v>1</v>
      </c>
      <c r="BJ4049" s="2">
        <v>0.2</v>
      </c>
      <c r="BK4049" s="2">
        <v>1</v>
      </c>
      <c r="BL4049" s="2">
        <v>41.44</v>
      </c>
      <c r="BM4049" s="2">
        <v>5.8</v>
      </c>
      <c r="BN4049" s="2">
        <v>47.24</v>
      </c>
      <c r="BO4049" s="2">
        <v>47.24</v>
      </c>
      <c r="BP4049" s="2"/>
      <c r="BQ4049" s="2" t="s">
        <v>83</v>
      </c>
      <c r="BR4049" s="2" t="s">
        <v>84</v>
      </c>
      <c r="BS4049" s="3">
        <v>42950</v>
      </c>
      <c r="BT4049" s="4">
        <v>0.70624999999999993</v>
      </c>
      <c r="BU4049" s="2" t="s">
        <v>664</v>
      </c>
      <c r="BV4049" s="2" t="s">
        <v>86</v>
      </c>
      <c r="BW4049" s="2" t="s">
        <v>1007</v>
      </c>
      <c r="BX4049" s="2" t="s">
        <v>1008</v>
      </c>
      <c r="BY4049" s="2">
        <v>1200</v>
      </c>
      <c r="BZ4049" s="2" t="s">
        <v>27</v>
      </c>
      <c r="CA4049" s="2" t="s">
        <v>638</v>
      </c>
      <c r="CB4049" s="2"/>
      <c r="CC4049" s="2" t="s">
        <v>269</v>
      </c>
      <c r="CD4049" s="2">
        <v>184</v>
      </c>
      <c r="CE4049" s="2" t="s">
        <v>104</v>
      </c>
      <c r="CF4049" s="5">
        <v>42950</v>
      </c>
      <c r="CG4049" s="2"/>
      <c r="CH4049" s="2"/>
      <c r="CI4049" s="2">
        <v>1</v>
      </c>
      <c r="CJ4049" s="2">
        <v>1</v>
      </c>
      <c r="CK4049" s="2">
        <v>21</v>
      </c>
      <c r="CL4049" s="2" t="s">
        <v>86</v>
      </c>
      <c r="CM4049" s="2"/>
    </row>
    <row r="4050" spans="1:91">
      <c r="A4050" s="2" t="s">
        <v>71</v>
      </c>
      <c r="B4050" s="2" t="s">
        <v>72</v>
      </c>
      <c r="C4050" s="2" t="s">
        <v>73</v>
      </c>
      <c r="D4050" s="2"/>
      <c r="E4050" s="2" t="str">
        <f>"FES1162566463"</f>
        <v>FES1162566463</v>
      </c>
      <c r="F4050" s="3">
        <v>42949</v>
      </c>
      <c r="G4050" s="2">
        <v>201802</v>
      </c>
      <c r="H4050" s="2" t="s">
        <v>74</v>
      </c>
      <c r="I4050" s="2" t="s">
        <v>75</v>
      </c>
      <c r="J4050" s="2" t="s">
        <v>76</v>
      </c>
      <c r="K4050" s="2" t="s">
        <v>77</v>
      </c>
      <c r="L4050" s="2" t="s">
        <v>149</v>
      </c>
      <c r="M4050" s="2" t="s">
        <v>150</v>
      </c>
      <c r="N4050" s="2" t="s">
        <v>758</v>
      </c>
      <c r="O4050" s="2" t="s">
        <v>100</v>
      </c>
      <c r="P4050" s="2" t="str">
        <f>"2170582820                    "</f>
        <v xml:space="preserve">2170582820                    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4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0</v>
      </c>
      <c r="AV4050" s="2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2">
        <v>0</v>
      </c>
      <c r="BD4050" s="2">
        <v>0</v>
      </c>
      <c r="BE4050" s="2">
        <v>0</v>
      </c>
      <c r="BF4050" s="2">
        <v>0</v>
      </c>
      <c r="BG4050" s="2">
        <v>0</v>
      </c>
      <c r="BH4050" s="2">
        <v>1</v>
      </c>
      <c r="BI4050" s="2">
        <v>1</v>
      </c>
      <c r="BJ4050" s="2">
        <v>0.2</v>
      </c>
      <c r="BK4050" s="2">
        <v>1</v>
      </c>
      <c r="BL4050" s="2">
        <v>41.44</v>
      </c>
      <c r="BM4050" s="2">
        <v>5.8</v>
      </c>
      <c r="BN4050" s="2">
        <v>47.24</v>
      </c>
      <c r="BO4050" s="2">
        <v>47.24</v>
      </c>
      <c r="BP4050" s="2"/>
      <c r="BQ4050" s="2" t="s">
        <v>209</v>
      </c>
      <c r="BR4050" s="2" t="s">
        <v>84</v>
      </c>
      <c r="BS4050" s="3">
        <v>42950</v>
      </c>
      <c r="BT4050" s="4">
        <v>0.36180555555555555</v>
      </c>
      <c r="BU4050" s="2" t="s">
        <v>3821</v>
      </c>
      <c r="BV4050" s="2" t="s">
        <v>95</v>
      </c>
      <c r="BW4050" s="2"/>
      <c r="BX4050" s="2"/>
      <c r="BY4050" s="2">
        <v>1200</v>
      </c>
      <c r="BZ4050" s="2" t="s">
        <v>27</v>
      </c>
      <c r="CA4050" s="2" t="s">
        <v>1163</v>
      </c>
      <c r="CB4050" s="2"/>
      <c r="CC4050" s="2" t="s">
        <v>150</v>
      </c>
      <c r="CD4050" s="2">
        <v>4052</v>
      </c>
      <c r="CE4050" s="2" t="s">
        <v>104</v>
      </c>
      <c r="CF4050" s="5">
        <v>42951</v>
      </c>
      <c r="CG4050" s="2"/>
      <c r="CH4050" s="2"/>
      <c r="CI4050" s="2">
        <v>1</v>
      </c>
      <c r="CJ4050" s="2">
        <v>1</v>
      </c>
      <c r="CK4050" s="2">
        <v>21</v>
      </c>
      <c r="CL4050" s="2" t="s">
        <v>86</v>
      </c>
      <c r="CM4050" s="2"/>
    </row>
    <row r="4051" spans="1:91">
      <c r="A4051" s="2" t="s">
        <v>71</v>
      </c>
      <c r="B4051" s="2" t="s">
        <v>72</v>
      </c>
      <c r="C4051" s="2" t="s">
        <v>73</v>
      </c>
      <c r="D4051" s="2"/>
      <c r="E4051" s="2" t="str">
        <f>"FES1162566125"</f>
        <v>FES1162566125</v>
      </c>
      <c r="F4051" s="3">
        <v>42949</v>
      </c>
      <c r="G4051" s="2">
        <v>201802</v>
      </c>
      <c r="H4051" s="2" t="s">
        <v>74</v>
      </c>
      <c r="I4051" s="2" t="s">
        <v>75</v>
      </c>
      <c r="J4051" s="2" t="s">
        <v>76</v>
      </c>
      <c r="K4051" s="2" t="s">
        <v>77</v>
      </c>
      <c r="L4051" s="2" t="s">
        <v>362</v>
      </c>
      <c r="M4051" s="2" t="s">
        <v>363</v>
      </c>
      <c r="N4051" s="2" t="s">
        <v>683</v>
      </c>
      <c r="O4051" s="2" t="s">
        <v>100</v>
      </c>
      <c r="P4051" s="2" t="str">
        <f>"2170575660                    "</f>
        <v xml:space="preserve">2170575660                    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18.010000000000002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0</v>
      </c>
      <c r="AV4051" s="2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2">
        <v>0</v>
      </c>
      <c r="BD4051" s="2">
        <v>0</v>
      </c>
      <c r="BE4051" s="2">
        <v>0</v>
      </c>
      <c r="BF4051" s="2">
        <v>0</v>
      </c>
      <c r="BG4051" s="2">
        <v>0</v>
      </c>
      <c r="BH4051" s="2">
        <v>1</v>
      </c>
      <c r="BI4051" s="2">
        <v>8.8000000000000007</v>
      </c>
      <c r="BJ4051" s="2">
        <v>3.2</v>
      </c>
      <c r="BK4051" s="2">
        <v>9</v>
      </c>
      <c r="BL4051" s="2">
        <v>186.49</v>
      </c>
      <c r="BM4051" s="2">
        <v>26.11</v>
      </c>
      <c r="BN4051" s="2">
        <v>212.6</v>
      </c>
      <c r="BO4051" s="2">
        <v>212.6</v>
      </c>
      <c r="BP4051" s="2"/>
      <c r="BQ4051" s="2" t="s">
        <v>108</v>
      </c>
      <c r="BR4051" s="2" t="s">
        <v>84</v>
      </c>
      <c r="BS4051" s="3">
        <v>42950</v>
      </c>
      <c r="BT4051" s="4">
        <v>0.375</v>
      </c>
      <c r="BU4051" s="2" t="s">
        <v>805</v>
      </c>
      <c r="BV4051" s="2" t="s">
        <v>95</v>
      </c>
      <c r="BW4051" s="2"/>
      <c r="BX4051" s="2"/>
      <c r="BY4051" s="2">
        <v>16092.89</v>
      </c>
      <c r="BZ4051" s="2" t="s">
        <v>27</v>
      </c>
      <c r="CA4051" s="2"/>
      <c r="CB4051" s="2"/>
      <c r="CC4051" s="2" t="s">
        <v>363</v>
      </c>
      <c r="CD4051" s="2">
        <v>3201</v>
      </c>
      <c r="CE4051" s="2" t="s">
        <v>89</v>
      </c>
      <c r="CF4051" s="5">
        <v>42954</v>
      </c>
      <c r="CG4051" s="2"/>
      <c r="CH4051" s="2"/>
      <c r="CI4051" s="2">
        <v>1</v>
      </c>
      <c r="CJ4051" s="2">
        <v>1</v>
      </c>
      <c r="CK4051" s="2">
        <v>21</v>
      </c>
      <c r="CL4051" s="2" t="s">
        <v>86</v>
      </c>
      <c r="CM4051" s="2"/>
    </row>
    <row r="4052" spans="1:91">
      <c r="A4052" s="2" t="s">
        <v>71</v>
      </c>
      <c r="B4052" s="2" t="s">
        <v>72</v>
      </c>
      <c r="C4052" s="2" t="s">
        <v>73</v>
      </c>
      <c r="D4052" s="2"/>
      <c r="E4052" s="2" t="str">
        <f>"FES1162566537"</f>
        <v>FES1162566537</v>
      </c>
      <c r="F4052" s="3">
        <v>42949</v>
      </c>
      <c r="G4052" s="2">
        <v>201802</v>
      </c>
      <c r="H4052" s="2" t="s">
        <v>74</v>
      </c>
      <c r="I4052" s="2" t="s">
        <v>75</v>
      </c>
      <c r="J4052" s="2" t="s">
        <v>76</v>
      </c>
      <c r="K4052" s="2" t="s">
        <v>77</v>
      </c>
      <c r="L4052" s="2" t="s">
        <v>105</v>
      </c>
      <c r="M4052" s="2" t="s">
        <v>106</v>
      </c>
      <c r="N4052" s="2" t="s">
        <v>397</v>
      </c>
      <c r="O4052" s="2" t="s">
        <v>100</v>
      </c>
      <c r="P4052" s="2" t="str">
        <f>"2170582884                    "</f>
        <v xml:space="preserve">2170582884                    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37.020000000000003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0</v>
      </c>
      <c r="AU4052" s="2">
        <v>0</v>
      </c>
      <c r="AV4052" s="2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0</v>
      </c>
      <c r="BB4052" s="2">
        <v>0</v>
      </c>
      <c r="BC4052" s="2">
        <v>0</v>
      </c>
      <c r="BD4052" s="2">
        <v>0</v>
      </c>
      <c r="BE4052" s="2">
        <v>0</v>
      </c>
      <c r="BF4052" s="2">
        <v>0</v>
      </c>
      <c r="BG4052" s="2">
        <v>0</v>
      </c>
      <c r="BH4052" s="2">
        <v>1</v>
      </c>
      <c r="BI4052" s="2">
        <v>6</v>
      </c>
      <c r="BJ4052" s="2">
        <v>18.3</v>
      </c>
      <c r="BK4052" s="2">
        <v>18.5</v>
      </c>
      <c r="BL4052" s="2">
        <v>383.34</v>
      </c>
      <c r="BM4052" s="2">
        <v>53.67</v>
      </c>
      <c r="BN4052" s="2">
        <v>437.01</v>
      </c>
      <c r="BO4052" s="2">
        <v>437.01</v>
      </c>
      <c r="BP4052" s="2"/>
      <c r="BQ4052" s="2" t="s">
        <v>83</v>
      </c>
      <c r="BR4052" s="2" t="s">
        <v>84</v>
      </c>
      <c r="BS4052" s="3">
        <v>42950</v>
      </c>
      <c r="BT4052" s="4">
        <v>0.37986111111111115</v>
      </c>
      <c r="BU4052" s="2" t="s">
        <v>779</v>
      </c>
      <c r="BV4052" s="2" t="s">
        <v>95</v>
      </c>
      <c r="BW4052" s="2"/>
      <c r="BX4052" s="2"/>
      <c r="BY4052" s="2">
        <v>91264</v>
      </c>
      <c r="BZ4052" s="2" t="s">
        <v>27</v>
      </c>
      <c r="CA4052" s="2" t="s">
        <v>112</v>
      </c>
      <c r="CB4052" s="2"/>
      <c r="CC4052" s="2" t="s">
        <v>106</v>
      </c>
      <c r="CD4052" s="2">
        <v>7405</v>
      </c>
      <c r="CE4052" s="2" t="s">
        <v>89</v>
      </c>
      <c r="CF4052" s="5">
        <v>42951</v>
      </c>
      <c r="CG4052" s="2"/>
      <c r="CH4052" s="2"/>
      <c r="CI4052" s="2">
        <v>1</v>
      </c>
      <c r="CJ4052" s="2">
        <v>1</v>
      </c>
      <c r="CK4052" s="2">
        <v>21</v>
      </c>
      <c r="CL4052" s="2" t="s">
        <v>86</v>
      </c>
      <c r="CM4052" s="2"/>
    </row>
    <row r="4053" spans="1:91">
      <c r="A4053" s="2" t="s">
        <v>71</v>
      </c>
      <c r="B4053" s="2" t="s">
        <v>72</v>
      </c>
      <c r="C4053" s="2" t="s">
        <v>73</v>
      </c>
      <c r="D4053" s="2"/>
      <c r="E4053" s="2" t="str">
        <f>"FES1162566217"</f>
        <v>FES1162566217</v>
      </c>
      <c r="F4053" s="3">
        <v>42949</v>
      </c>
      <c r="G4053" s="2">
        <v>201802</v>
      </c>
      <c r="H4053" s="2" t="s">
        <v>74</v>
      </c>
      <c r="I4053" s="2" t="s">
        <v>75</v>
      </c>
      <c r="J4053" s="2" t="s">
        <v>76</v>
      </c>
      <c r="K4053" s="2" t="s">
        <v>77</v>
      </c>
      <c r="L4053" s="2" t="s">
        <v>164</v>
      </c>
      <c r="M4053" s="2" t="s">
        <v>165</v>
      </c>
      <c r="N4053" s="2" t="s">
        <v>3594</v>
      </c>
      <c r="O4053" s="2" t="s">
        <v>100</v>
      </c>
      <c r="P4053" s="2" t="str">
        <f>"2170582211                    "</f>
        <v xml:space="preserve">2170582211                    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4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2">
        <v>0</v>
      </c>
      <c r="BD4053" s="2">
        <v>0</v>
      </c>
      <c r="BE4053" s="2">
        <v>0</v>
      </c>
      <c r="BF4053" s="2">
        <v>0</v>
      </c>
      <c r="BG4053" s="2">
        <v>0</v>
      </c>
      <c r="BH4053" s="2">
        <v>1</v>
      </c>
      <c r="BI4053" s="2">
        <v>2</v>
      </c>
      <c r="BJ4053" s="2">
        <v>1.5</v>
      </c>
      <c r="BK4053" s="2">
        <v>2</v>
      </c>
      <c r="BL4053" s="2">
        <v>41.44</v>
      </c>
      <c r="BM4053" s="2">
        <v>5.8</v>
      </c>
      <c r="BN4053" s="2">
        <v>47.24</v>
      </c>
      <c r="BO4053" s="2">
        <v>47.24</v>
      </c>
      <c r="BP4053" s="2"/>
      <c r="BQ4053" s="2" t="s">
        <v>3595</v>
      </c>
      <c r="BR4053" s="2" t="s">
        <v>84</v>
      </c>
      <c r="BS4053" s="3">
        <v>42950</v>
      </c>
      <c r="BT4053" s="4">
        <v>0.42499999999999999</v>
      </c>
      <c r="BU4053" s="2" t="s">
        <v>3822</v>
      </c>
      <c r="BV4053" s="2" t="s">
        <v>95</v>
      </c>
      <c r="BW4053" s="2"/>
      <c r="BX4053" s="2"/>
      <c r="BY4053" s="2">
        <v>7540</v>
      </c>
      <c r="BZ4053" s="2" t="s">
        <v>27</v>
      </c>
      <c r="CA4053" s="2" t="s">
        <v>2114</v>
      </c>
      <c r="CB4053" s="2"/>
      <c r="CC4053" s="2" t="s">
        <v>165</v>
      </c>
      <c r="CD4053" s="2">
        <v>6850</v>
      </c>
      <c r="CE4053" s="2" t="s">
        <v>89</v>
      </c>
      <c r="CF4053" s="5">
        <v>42951</v>
      </c>
      <c r="CG4053" s="2"/>
      <c r="CH4053" s="2"/>
      <c r="CI4053" s="2">
        <v>3</v>
      </c>
      <c r="CJ4053" s="2">
        <v>1</v>
      </c>
      <c r="CK4053" s="2">
        <v>21</v>
      </c>
      <c r="CL4053" s="2" t="s">
        <v>86</v>
      </c>
      <c r="CM4053" s="2"/>
    </row>
    <row r="4054" spans="1:91">
      <c r="A4054" s="2" t="s">
        <v>71</v>
      </c>
      <c r="B4054" s="2" t="s">
        <v>72</v>
      </c>
      <c r="C4054" s="2" t="s">
        <v>73</v>
      </c>
      <c r="D4054" s="2"/>
      <c r="E4054" s="2" t="str">
        <f>"FES1162566137"</f>
        <v>FES1162566137</v>
      </c>
      <c r="F4054" s="3">
        <v>42949</v>
      </c>
      <c r="G4054" s="2">
        <v>201802</v>
      </c>
      <c r="H4054" s="2" t="s">
        <v>74</v>
      </c>
      <c r="I4054" s="2" t="s">
        <v>75</v>
      </c>
      <c r="J4054" s="2" t="s">
        <v>76</v>
      </c>
      <c r="K4054" s="2" t="s">
        <v>77</v>
      </c>
      <c r="L4054" s="2" t="s">
        <v>362</v>
      </c>
      <c r="M4054" s="2" t="s">
        <v>363</v>
      </c>
      <c r="N4054" s="2" t="s">
        <v>683</v>
      </c>
      <c r="O4054" s="2" t="s">
        <v>100</v>
      </c>
      <c r="P4054" s="2" t="str">
        <f>"2170579396                    "</f>
        <v xml:space="preserve">2170579396                    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38.020000000000003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0</v>
      </c>
      <c r="AU4054" s="2">
        <v>0</v>
      </c>
      <c r="AV4054" s="2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2">
        <v>0</v>
      </c>
      <c r="BD4054" s="2">
        <v>0</v>
      </c>
      <c r="BE4054" s="2">
        <v>0</v>
      </c>
      <c r="BF4054" s="2">
        <v>0</v>
      </c>
      <c r="BG4054" s="2">
        <v>0</v>
      </c>
      <c r="BH4054" s="2">
        <v>3</v>
      </c>
      <c r="BI4054" s="2">
        <v>15.3</v>
      </c>
      <c r="BJ4054" s="2">
        <v>18.899999999999999</v>
      </c>
      <c r="BK4054" s="2">
        <v>19</v>
      </c>
      <c r="BL4054" s="2">
        <v>393.7</v>
      </c>
      <c r="BM4054" s="2">
        <v>55.12</v>
      </c>
      <c r="BN4054" s="2">
        <v>448.82</v>
      </c>
      <c r="BO4054" s="2">
        <v>448.82</v>
      </c>
      <c r="BP4054" s="2"/>
      <c r="BQ4054" s="2" t="s">
        <v>108</v>
      </c>
      <c r="BR4054" s="2" t="s">
        <v>84</v>
      </c>
      <c r="BS4054" s="3">
        <v>42950</v>
      </c>
      <c r="BT4054" s="4">
        <v>0.375</v>
      </c>
      <c r="BU4054" s="2" t="s">
        <v>805</v>
      </c>
      <c r="BV4054" s="2" t="s">
        <v>95</v>
      </c>
      <c r="BW4054" s="2"/>
      <c r="BX4054" s="2"/>
      <c r="BY4054" s="2">
        <v>94422.22</v>
      </c>
      <c r="BZ4054" s="2" t="s">
        <v>27</v>
      </c>
      <c r="CA4054" s="2"/>
      <c r="CB4054" s="2"/>
      <c r="CC4054" s="2" t="s">
        <v>363</v>
      </c>
      <c r="CD4054" s="2">
        <v>3201</v>
      </c>
      <c r="CE4054" s="2" t="s">
        <v>3823</v>
      </c>
      <c r="CF4054" s="5">
        <v>42954</v>
      </c>
      <c r="CG4054" s="2"/>
      <c r="CH4054" s="2"/>
      <c r="CI4054" s="2">
        <v>1</v>
      </c>
      <c r="CJ4054" s="2">
        <v>1</v>
      </c>
      <c r="CK4054" s="2">
        <v>21</v>
      </c>
      <c r="CL4054" s="2" t="s">
        <v>86</v>
      </c>
      <c r="CM4054" s="2"/>
    </row>
    <row r="4055" spans="1:91">
      <c r="A4055" s="2" t="s">
        <v>71</v>
      </c>
      <c r="B4055" s="2" t="s">
        <v>72</v>
      </c>
      <c r="C4055" s="2" t="s">
        <v>73</v>
      </c>
      <c r="D4055" s="2"/>
      <c r="E4055" s="2" t="str">
        <f>"FES1162566493"</f>
        <v>FES1162566493</v>
      </c>
      <c r="F4055" s="3">
        <v>42949</v>
      </c>
      <c r="G4055" s="2">
        <v>201802</v>
      </c>
      <c r="H4055" s="2" t="s">
        <v>74</v>
      </c>
      <c r="I4055" s="2" t="s">
        <v>75</v>
      </c>
      <c r="J4055" s="2" t="s">
        <v>76</v>
      </c>
      <c r="K4055" s="2" t="s">
        <v>77</v>
      </c>
      <c r="L4055" s="2" t="s">
        <v>244</v>
      </c>
      <c r="M4055" s="2" t="s">
        <v>245</v>
      </c>
      <c r="N4055" s="2" t="s">
        <v>882</v>
      </c>
      <c r="O4055" s="2" t="s">
        <v>100</v>
      </c>
      <c r="P4055" s="2" t="str">
        <f>"2170582852                    "</f>
        <v xml:space="preserve">2170582852                    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3.88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0</v>
      </c>
      <c r="AV4055" s="2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2">
        <v>0</v>
      </c>
      <c r="BD4055" s="2">
        <v>0</v>
      </c>
      <c r="BE4055" s="2">
        <v>0</v>
      </c>
      <c r="BF4055" s="2">
        <v>0</v>
      </c>
      <c r="BG4055" s="2">
        <v>0</v>
      </c>
      <c r="BH4055" s="2">
        <v>1</v>
      </c>
      <c r="BI4055" s="2">
        <v>7.5</v>
      </c>
      <c r="BJ4055" s="2">
        <v>9.5</v>
      </c>
      <c r="BK4055" s="2">
        <v>10</v>
      </c>
      <c r="BL4055" s="2">
        <v>40.15</v>
      </c>
      <c r="BM4055" s="2">
        <v>5.62</v>
      </c>
      <c r="BN4055" s="2">
        <v>45.77</v>
      </c>
      <c r="BO4055" s="2">
        <v>45.77</v>
      </c>
      <c r="BP4055" s="2"/>
      <c r="BQ4055" s="2" t="s">
        <v>83</v>
      </c>
      <c r="BR4055" s="2" t="s">
        <v>84</v>
      </c>
      <c r="BS4055" s="3">
        <v>42950</v>
      </c>
      <c r="BT4055" s="4">
        <v>0.31597222222222221</v>
      </c>
      <c r="BU4055" s="2" t="s">
        <v>883</v>
      </c>
      <c r="BV4055" s="2" t="s">
        <v>95</v>
      </c>
      <c r="BW4055" s="2"/>
      <c r="BX4055" s="2"/>
      <c r="BY4055" s="2">
        <v>47262.6</v>
      </c>
      <c r="BZ4055" s="2" t="s">
        <v>27</v>
      </c>
      <c r="CA4055" s="2" t="s">
        <v>733</v>
      </c>
      <c r="CB4055" s="2"/>
      <c r="CC4055" s="2" t="s">
        <v>245</v>
      </c>
      <c r="CD4055" s="2">
        <v>1459</v>
      </c>
      <c r="CE4055" s="2" t="s">
        <v>89</v>
      </c>
      <c r="CF4055" s="5">
        <v>42951</v>
      </c>
      <c r="CG4055" s="2"/>
      <c r="CH4055" s="2"/>
      <c r="CI4055" s="2">
        <v>1</v>
      </c>
      <c r="CJ4055" s="2">
        <v>1</v>
      </c>
      <c r="CK4055" s="2">
        <v>22</v>
      </c>
      <c r="CL4055" s="2" t="s">
        <v>86</v>
      </c>
      <c r="CM4055" s="2"/>
    </row>
    <row r="4056" spans="1:91">
      <c r="A4056" s="2" t="s">
        <v>71</v>
      </c>
      <c r="B4056" s="2" t="s">
        <v>72</v>
      </c>
      <c r="C4056" s="2" t="s">
        <v>73</v>
      </c>
      <c r="D4056" s="2"/>
      <c r="E4056" s="2" t="str">
        <f>"FES1162566287"</f>
        <v>FES1162566287</v>
      </c>
      <c r="F4056" s="3">
        <v>42949</v>
      </c>
      <c r="G4056" s="2">
        <v>201802</v>
      </c>
      <c r="H4056" s="2" t="s">
        <v>74</v>
      </c>
      <c r="I4056" s="2" t="s">
        <v>75</v>
      </c>
      <c r="J4056" s="2" t="s">
        <v>76</v>
      </c>
      <c r="K4056" s="2" t="s">
        <v>77</v>
      </c>
      <c r="L4056" s="2" t="s">
        <v>417</v>
      </c>
      <c r="M4056" s="2" t="s">
        <v>417</v>
      </c>
      <c r="N4056" s="2" t="s">
        <v>1309</v>
      </c>
      <c r="O4056" s="2" t="s">
        <v>100</v>
      </c>
      <c r="P4056" s="2" t="str">
        <f>"2170582722                    "</f>
        <v xml:space="preserve">2170582722                    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14.01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0</v>
      </c>
      <c r="AV4056" s="2">
        <v>0</v>
      </c>
      <c r="AW4056" s="2">
        <v>0</v>
      </c>
      <c r="AX4056" s="2">
        <v>0</v>
      </c>
      <c r="AY4056" s="2">
        <v>0</v>
      </c>
      <c r="AZ4056" s="2">
        <v>0</v>
      </c>
      <c r="BA4056" s="2">
        <v>0</v>
      </c>
      <c r="BB4056" s="2">
        <v>0</v>
      </c>
      <c r="BC4056" s="2">
        <v>0</v>
      </c>
      <c r="BD4056" s="2">
        <v>0</v>
      </c>
      <c r="BE4056" s="2">
        <v>0</v>
      </c>
      <c r="BF4056" s="2">
        <v>0</v>
      </c>
      <c r="BG4056" s="2">
        <v>0</v>
      </c>
      <c r="BH4056" s="2">
        <v>1</v>
      </c>
      <c r="BI4056" s="2">
        <v>7</v>
      </c>
      <c r="BJ4056" s="2">
        <v>4.0999999999999996</v>
      </c>
      <c r="BK4056" s="2">
        <v>7</v>
      </c>
      <c r="BL4056" s="2">
        <v>145.05000000000001</v>
      </c>
      <c r="BM4056" s="2">
        <v>20.309999999999999</v>
      </c>
      <c r="BN4056" s="2">
        <v>165.36</v>
      </c>
      <c r="BO4056" s="2">
        <v>165.36</v>
      </c>
      <c r="BP4056" s="2"/>
      <c r="BQ4056" s="2" t="s">
        <v>83</v>
      </c>
      <c r="BR4056" s="2" t="s">
        <v>84</v>
      </c>
      <c r="BS4056" s="3">
        <v>42950</v>
      </c>
      <c r="BT4056" s="4">
        <v>0.46527777777777773</v>
      </c>
      <c r="BU4056" s="2" t="s">
        <v>653</v>
      </c>
      <c r="BV4056" s="2" t="s">
        <v>95</v>
      </c>
      <c r="BW4056" s="2"/>
      <c r="BX4056" s="2"/>
      <c r="BY4056" s="2">
        <v>20358</v>
      </c>
      <c r="BZ4056" s="2" t="s">
        <v>27</v>
      </c>
      <c r="CA4056" s="2" t="s">
        <v>460</v>
      </c>
      <c r="CB4056" s="2"/>
      <c r="CC4056" s="2" t="s">
        <v>417</v>
      </c>
      <c r="CD4056" s="2">
        <v>7646</v>
      </c>
      <c r="CE4056" s="2" t="s">
        <v>89</v>
      </c>
      <c r="CF4056" s="5">
        <v>42950</v>
      </c>
      <c r="CG4056" s="2"/>
      <c r="CH4056" s="2"/>
      <c r="CI4056" s="2">
        <v>1</v>
      </c>
      <c r="CJ4056" s="2">
        <v>1</v>
      </c>
      <c r="CK4056" s="2">
        <v>21</v>
      </c>
      <c r="CL4056" s="2" t="s">
        <v>86</v>
      </c>
      <c r="CM4056" s="2"/>
    </row>
    <row r="4057" spans="1:91">
      <c r="A4057" s="2" t="s">
        <v>71</v>
      </c>
      <c r="B4057" s="2" t="s">
        <v>72</v>
      </c>
      <c r="C4057" s="2" t="s">
        <v>73</v>
      </c>
      <c r="D4057" s="2"/>
      <c r="E4057" s="2" t="str">
        <f>"FES1162566266"</f>
        <v>FES1162566266</v>
      </c>
      <c r="F4057" s="3">
        <v>42949</v>
      </c>
      <c r="G4057" s="2">
        <v>201802</v>
      </c>
      <c r="H4057" s="2" t="s">
        <v>74</v>
      </c>
      <c r="I4057" s="2" t="s">
        <v>75</v>
      </c>
      <c r="J4057" s="2" t="s">
        <v>76</v>
      </c>
      <c r="K4057" s="2" t="s">
        <v>77</v>
      </c>
      <c r="L4057" s="2" t="s">
        <v>149</v>
      </c>
      <c r="M4057" s="2" t="s">
        <v>150</v>
      </c>
      <c r="N4057" s="2" t="s">
        <v>3824</v>
      </c>
      <c r="O4057" s="2" t="s">
        <v>100</v>
      </c>
      <c r="P4057" s="2" t="str">
        <f>"2170582696                    "</f>
        <v xml:space="preserve">2170582696                    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4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0</v>
      </c>
      <c r="AU4057" s="2">
        <v>0</v>
      </c>
      <c r="AV4057" s="2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2">
        <v>0</v>
      </c>
      <c r="BD4057" s="2">
        <v>0</v>
      </c>
      <c r="BE4057" s="2">
        <v>0</v>
      </c>
      <c r="BF4057" s="2">
        <v>0</v>
      </c>
      <c r="BG4057" s="2">
        <v>0</v>
      </c>
      <c r="BH4057" s="2">
        <v>1</v>
      </c>
      <c r="BI4057" s="2">
        <v>1</v>
      </c>
      <c r="BJ4057" s="2">
        <v>1.6</v>
      </c>
      <c r="BK4057" s="2">
        <v>2</v>
      </c>
      <c r="BL4057" s="2">
        <v>41.44</v>
      </c>
      <c r="BM4057" s="2">
        <v>5.8</v>
      </c>
      <c r="BN4057" s="2">
        <v>47.24</v>
      </c>
      <c r="BO4057" s="2">
        <v>47.24</v>
      </c>
      <c r="BP4057" s="2"/>
      <c r="BQ4057" s="2" t="s">
        <v>3825</v>
      </c>
      <c r="BR4057" s="2" t="s">
        <v>84</v>
      </c>
      <c r="BS4057" s="3">
        <v>42950</v>
      </c>
      <c r="BT4057" s="4">
        <v>0.4236111111111111</v>
      </c>
      <c r="BU4057" s="2" t="s">
        <v>3826</v>
      </c>
      <c r="BV4057" s="2" t="s">
        <v>95</v>
      </c>
      <c r="BW4057" s="2"/>
      <c r="BX4057" s="2"/>
      <c r="BY4057" s="2">
        <v>7842.17</v>
      </c>
      <c r="BZ4057" s="2" t="s">
        <v>27</v>
      </c>
      <c r="CA4057" s="2" t="s">
        <v>1163</v>
      </c>
      <c r="CB4057" s="2"/>
      <c r="CC4057" s="2" t="s">
        <v>150</v>
      </c>
      <c r="CD4057" s="2">
        <v>4052</v>
      </c>
      <c r="CE4057" s="2" t="s">
        <v>89</v>
      </c>
      <c r="CF4057" s="5">
        <v>42951</v>
      </c>
      <c r="CG4057" s="2"/>
      <c r="CH4057" s="2"/>
      <c r="CI4057" s="2">
        <v>1</v>
      </c>
      <c r="CJ4057" s="2">
        <v>1</v>
      </c>
      <c r="CK4057" s="2">
        <v>21</v>
      </c>
      <c r="CL4057" s="2" t="s">
        <v>86</v>
      </c>
      <c r="CM4057" s="2"/>
    </row>
    <row r="4058" spans="1:91">
      <c r="A4058" s="2" t="s">
        <v>71</v>
      </c>
      <c r="B4058" s="2" t="s">
        <v>72</v>
      </c>
      <c r="C4058" s="2" t="s">
        <v>73</v>
      </c>
      <c r="D4058" s="2"/>
      <c r="E4058" s="2" t="str">
        <f>"FES1162566311"</f>
        <v>FES1162566311</v>
      </c>
      <c r="F4058" s="3">
        <v>42949</v>
      </c>
      <c r="G4058" s="2">
        <v>201802</v>
      </c>
      <c r="H4058" s="2" t="s">
        <v>74</v>
      </c>
      <c r="I4058" s="2" t="s">
        <v>75</v>
      </c>
      <c r="J4058" s="2" t="s">
        <v>76</v>
      </c>
      <c r="K4058" s="2" t="s">
        <v>77</v>
      </c>
      <c r="L4058" s="2" t="s">
        <v>470</v>
      </c>
      <c r="M4058" s="2" t="s">
        <v>471</v>
      </c>
      <c r="N4058" s="2" t="s">
        <v>2209</v>
      </c>
      <c r="O4058" s="2" t="s">
        <v>100</v>
      </c>
      <c r="P4058" s="2" t="str">
        <f>"2170578253                    "</f>
        <v xml:space="preserve">2170578253                    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4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2">
        <v>0</v>
      </c>
      <c r="BD4058" s="2">
        <v>0</v>
      </c>
      <c r="BE4058" s="2">
        <v>0</v>
      </c>
      <c r="BF4058" s="2">
        <v>0</v>
      </c>
      <c r="BG4058" s="2">
        <v>0</v>
      </c>
      <c r="BH4058" s="2">
        <v>1</v>
      </c>
      <c r="BI4058" s="2">
        <v>1</v>
      </c>
      <c r="BJ4058" s="2">
        <v>0.2</v>
      </c>
      <c r="BK4058" s="2">
        <v>1</v>
      </c>
      <c r="BL4058" s="2">
        <v>41.44</v>
      </c>
      <c r="BM4058" s="2">
        <v>5.8</v>
      </c>
      <c r="BN4058" s="2">
        <v>47.24</v>
      </c>
      <c r="BO4058" s="2">
        <v>47.24</v>
      </c>
      <c r="BP4058" s="2"/>
      <c r="BQ4058" s="2" t="s">
        <v>83</v>
      </c>
      <c r="BR4058" s="2" t="s">
        <v>84</v>
      </c>
      <c r="BS4058" s="3">
        <v>42950</v>
      </c>
      <c r="BT4058" s="4">
        <v>0.39583333333333331</v>
      </c>
      <c r="BU4058" s="2" t="s">
        <v>3390</v>
      </c>
      <c r="BV4058" s="2" t="s">
        <v>95</v>
      </c>
      <c r="BW4058" s="2"/>
      <c r="BX4058" s="2"/>
      <c r="BY4058" s="2">
        <v>1200</v>
      </c>
      <c r="BZ4058" s="2" t="s">
        <v>27</v>
      </c>
      <c r="CA4058" s="2" t="s">
        <v>148</v>
      </c>
      <c r="CB4058" s="2"/>
      <c r="CC4058" s="2" t="s">
        <v>471</v>
      </c>
      <c r="CD4058" s="2">
        <v>1900</v>
      </c>
      <c r="CE4058" s="2" t="s">
        <v>104</v>
      </c>
      <c r="CF4058" s="5">
        <v>42951</v>
      </c>
      <c r="CG4058" s="2"/>
      <c r="CH4058" s="2"/>
      <c r="CI4058" s="2">
        <v>1</v>
      </c>
      <c r="CJ4058" s="2">
        <v>1</v>
      </c>
      <c r="CK4058" s="2">
        <v>21</v>
      </c>
      <c r="CL4058" s="2" t="s">
        <v>86</v>
      </c>
      <c r="CM4058" s="2"/>
    </row>
    <row r="4059" spans="1:91">
      <c r="A4059" s="2" t="s">
        <v>71</v>
      </c>
      <c r="B4059" s="2" t="s">
        <v>72</v>
      </c>
      <c r="C4059" s="2" t="s">
        <v>73</v>
      </c>
      <c r="D4059" s="2"/>
      <c r="E4059" s="2" t="str">
        <f>"FES1162566364"</f>
        <v>FES1162566364</v>
      </c>
      <c r="F4059" s="3">
        <v>42949</v>
      </c>
      <c r="G4059" s="2">
        <v>201802</v>
      </c>
      <c r="H4059" s="2" t="s">
        <v>74</v>
      </c>
      <c r="I4059" s="2" t="s">
        <v>75</v>
      </c>
      <c r="J4059" s="2" t="s">
        <v>76</v>
      </c>
      <c r="K4059" s="2" t="s">
        <v>77</v>
      </c>
      <c r="L4059" s="2" t="s">
        <v>144</v>
      </c>
      <c r="M4059" s="2" t="s">
        <v>145</v>
      </c>
      <c r="N4059" s="2" t="s">
        <v>3827</v>
      </c>
      <c r="O4059" s="2" t="s">
        <v>100</v>
      </c>
      <c r="P4059" s="2" t="str">
        <f>"2170580257                    "</f>
        <v xml:space="preserve">2170580257                    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3.13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0</v>
      </c>
      <c r="AV4059" s="2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2">
        <v>0</v>
      </c>
      <c r="BD4059" s="2">
        <v>0</v>
      </c>
      <c r="BE4059" s="2">
        <v>0</v>
      </c>
      <c r="BF4059" s="2">
        <v>0</v>
      </c>
      <c r="BG4059" s="2">
        <v>0</v>
      </c>
      <c r="BH4059" s="2">
        <v>1</v>
      </c>
      <c r="BI4059" s="2">
        <v>1</v>
      </c>
      <c r="BJ4059" s="2">
        <v>0.2</v>
      </c>
      <c r="BK4059" s="2">
        <v>1</v>
      </c>
      <c r="BL4059" s="2">
        <v>32.380000000000003</v>
      </c>
      <c r="BM4059" s="2">
        <v>4.53</v>
      </c>
      <c r="BN4059" s="2">
        <v>36.909999999999997</v>
      </c>
      <c r="BO4059" s="2">
        <v>36.909999999999997</v>
      </c>
      <c r="BP4059" s="2"/>
      <c r="BQ4059" s="2" t="s">
        <v>83</v>
      </c>
      <c r="BR4059" s="2" t="s">
        <v>84</v>
      </c>
      <c r="BS4059" s="3">
        <v>42950</v>
      </c>
      <c r="BT4059" s="4">
        <v>0.59444444444444444</v>
      </c>
      <c r="BU4059" s="2" t="s">
        <v>3828</v>
      </c>
      <c r="BV4059" s="2" t="s">
        <v>86</v>
      </c>
      <c r="BW4059" s="2" t="s">
        <v>124</v>
      </c>
      <c r="BX4059" s="2" t="s">
        <v>199</v>
      </c>
      <c r="BY4059" s="2">
        <v>1200</v>
      </c>
      <c r="BZ4059" s="2" t="s">
        <v>27</v>
      </c>
      <c r="CA4059" s="2"/>
      <c r="CB4059" s="2"/>
      <c r="CC4059" s="2" t="s">
        <v>145</v>
      </c>
      <c r="CD4059" s="2">
        <v>1821</v>
      </c>
      <c r="CE4059" s="2" t="s">
        <v>104</v>
      </c>
      <c r="CF4059" s="5">
        <v>42951</v>
      </c>
      <c r="CG4059" s="2"/>
      <c r="CH4059" s="2"/>
      <c r="CI4059" s="2">
        <v>1</v>
      </c>
      <c r="CJ4059" s="2">
        <v>1</v>
      </c>
      <c r="CK4059" s="2">
        <v>22</v>
      </c>
      <c r="CL4059" s="2" t="s">
        <v>86</v>
      </c>
      <c r="CM4059" s="2"/>
    </row>
    <row r="4060" spans="1:91">
      <c r="A4060" s="2" t="s">
        <v>71</v>
      </c>
      <c r="B4060" s="2" t="s">
        <v>72</v>
      </c>
      <c r="C4060" s="2" t="s">
        <v>73</v>
      </c>
      <c r="D4060" s="2"/>
      <c r="E4060" s="2" t="str">
        <f>"FES1162566116"</f>
        <v>FES1162566116</v>
      </c>
      <c r="F4060" s="3">
        <v>42949</v>
      </c>
      <c r="G4060" s="2">
        <v>201802</v>
      </c>
      <c r="H4060" s="2" t="s">
        <v>74</v>
      </c>
      <c r="I4060" s="2" t="s">
        <v>75</v>
      </c>
      <c r="J4060" s="2" t="s">
        <v>76</v>
      </c>
      <c r="K4060" s="2" t="s">
        <v>77</v>
      </c>
      <c r="L4060" s="2" t="s">
        <v>105</v>
      </c>
      <c r="M4060" s="2" t="s">
        <v>106</v>
      </c>
      <c r="N4060" s="2" t="s">
        <v>705</v>
      </c>
      <c r="O4060" s="2" t="s">
        <v>100</v>
      </c>
      <c r="P4060" s="2" t="str">
        <f>"2170582679                    "</f>
        <v xml:space="preserve">2170582679                    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8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0</v>
      </c>
      <c r="AU4060" s="2">
        <v>0</v>
      </c>
      <c r="AV4060" s="2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2">
        <v>0</v>
      </c>
      <c r="BD4060" s="2">
        <v>0</v>
      </c>
      <c r="BE4060" s="2">
        <v>0</v>
      </c>
      <c r="BF4060" s="2">
        <v>0</v>
      </c>
      <c r="BG4060" s="2">
        <v>0</v>
      </c>
      <c r="BH4060" s="2">
        <v>1</v>
      </c>
      <c r="BI4060" s="2">
        <v>3.9</v>
      </c>
      <c r="BJ4060" s="2">
        <v>1.6</v>
      </c>
      <c r="BK4060" s="2">
        <v>4</v>
      </c>
      <c r="BL4060" s="2">
        <v>82.88</v>
      </c>
      <c r="BM4060" s="2">
        <v>11.6</v>
      </c>
      <c r="BN4060" s="2">
        <v>94.48</v>
      </c>
      <c r="BO4060" s="2">
        <v>94.48</v>
      </c>
      <c r="BP4060" s="2"/>
      <c r="BQ4060" s="2" t="s">
        <v>108</v>
      </c>
      <c r="BR4060" s="2" t="s">
        <v>84</v>
      </c>
      <c r="BS4060" s="3">
        <v>42950</v>
      </c>
      <c r="BT4060" s="4">
        <v>0.45208333333333334</v>
      </c>
      <c r="BU4060" s="2" t="s">
        <v>904</v>
      </c>
      <c r="BV4060" s="2" t="s">
        <v>95</v>
      </c>
      <c r="BW4060" s="2"/>
      <c r="BX4060" s="2"/>
      <c r="BY4060" s="2">
        <v>8166.73</v>
      </c>
      <c r="BZ4060" s="2" t="s">
        <v>27</v>
      </c>
      <c r="CA4060" s="2" t="s">
        <v>488</v>
      </c>
      <c r="CB4060" s="2"/>
      <c r="CC4060" s="2" t="s">
        <v>106</v>
      </c>
      <c r="CD4060" s="2">
        <v>7441</v>
      </c>
      <c r="CE4060" s="2" t="s">
        <v>89</v>
      </c>
      <c r="CF4060" s="5">
        <v>42951</v>
      </c>
      <c r="CG4060" s="2"/>
      <c r="CH4060" s="2"/>
      <c r="CI4060" s="2">
        <v>1</v>
      </c>
      <c r="CJ4060" s="2">
        <v>1</v>
      </c>
      <c r="CK4060" s="2">
        <v>21</v>
      </c>
      <c r="CL4060" s="2" t="s">
        <v>86</v>
      </c>
      <c r="CM4060" s="2"/>
    </row>
    <row r="4061" spans="1:91">
      <c r="A4061" s="2" t="s">
        <v>71</v>
      </c>
      <c r="B4061" s="2" t="s">
        <v>72</v>
      </c>
      <c r="C4061" s="2" t="s">
        <v>73</v>
      </c>
      <c r="D4061" s="2"/>
      <c r="E4061" s="2" t="str">
        <f>"FES1162566243"</f>
        <v>FES1162566243</v>
      </c>
      <c r="F4061" s="3">
        <v>42950</v>
      </c>
      <c r="G4061" s="2">
        <v>201802</v>
      </c>
      <c r="H4061" s="2" t="s">
        <v>74</v>
      </c>
      <c r="I4061" s="2" t="s">
        <v>75</v>
      </c>
      <c r="J4061" s="2" t="s">
        <v>76</v>
      </c>
      <c r="K4061" s="2" t="s">
        <v>77</v>
      </c>
      <c r="L4061" s="2" t="s">
        <v>353</v>
      </c>
      <c r="M4061" s="2" t="s">
        <v>354</v>
      </c>
      <c r="N4061" s="2" t="s">
        <v>355</v>
      </c>
      <c r="O4061" s="2" t="s">
        <v>100</v>
      </c>
      <c r="P4061" s="2" t="str">
        <f>"2170582567                    "</f>
        <v xml:space="preserve">2170582567                    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6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2">
        <v>0</v>
      </c>
      <c r="BD4061" s="2">
        <v>0</v>
      </c>
      <c r="BE4061" s="2">
        <v>0</v>
      </c>
      <c r="BF4061" s="2">
        <v>0</v>
      </c>
      <c r="BG4061" s="2">
        <v>0</v>
      </c>
      <c r="BH4061" s="2">
        <v>2</v>
      </c>
      <c r="BI4061" s="2">
        <v>2.8</v>
      </c>
      <c r="BJ4061" s="2">
        <v>1.2</v>
      </c>
      <c r="BK4061" s="2">
        <v>3</v>
      </c>
      <c r="BL4061" s="2">
        <v>62.16</v>
      </c>
      <c r="BM4061" s="2">
        <v>8.6999999999999993</v>
      </c>
      <c r="BN4061" s="2">
        <v>70.86</v>
      </c>
      <c r="BO4061" s="2">
        <v>70.86</v>
      </c>
      <c r="BP4061" s="2"/>
      <c r="BQ4061" s="2" t="s">
        <v>83</v>
      </c>
      <c r="BR4061" s="2" t="s">
        <v>84</v>
      </c>
      <c r="BS4061" s="3">
        <v>42952</v>
      </c>
      <c r="BT4061" s="4">
        <v>0.45833333333333331</v>
      </c>
      <c r="BU4061" s="2" t="s">
        <v>3088</v>
      </c>
      <c r="BV4061" s="2" t="s">
        <v>86</v>
      </c>
      <c r="BW4061" s="2" t="s">
        <v>1042</v>
      </c>
      <c r="BX4061" s="2" t="s">
        <v>3829</v>
      </c>
      <c r="BY4061" s="2">
        <v>6240.13</v>
      </c>
      <c r="BZ4061" s="2" t="s">
        <v>27</v>
      </c>
      <c r="CA4061" s="2"/>
      <c r="CB4061" s="2"/>
      <c r="CC4061" s="2" t="s">
        <v>354</v>
      </c>
      <c r="CD4061" s="2">
        <v>3699</v>
      </c>
      <c r="CE4061" s="2" t="s">
        <v>104</v>
      </c>
      <c r="CF4061" s="5">
        <v>42955</v>
      </c>
      <c r="CG4061" s="2"/>
      <c r="CH4061" s="2"/>
      <c r="CI4061" s="2">
        <v>1</v>
      </c>
      <c r="CJ4061" s="2">
        <v>2</v>
      </c>
      <c r="CK4061" s="2">
        <v>21</v>
      </c>
      <c r="CL4061" s="2" t="s">
        <v>86</v>
      </c>
      <c r="CM4061" s="2"/>
    </row>
    <row r="4062" spans="1:91">
      <c r="A4062" s="2" t="s">
        <v>71</v>
      </c>
      <c r="B4062" s="2" t="s">
        <v>72</v>
      </c>
      <c r="C4062" s="2" t="s">
        <v>73</v>
      </c>
      <c r="D4062" s="2"/>
      <c r="E4062" s="2" t="str">
        <f>"FES1162566501"</f>
        <v>FES1162566501</v>
      </c>
      <c r="F4062" s="3">
        <v>42949</v>
      </c>
      <c r="G4062" s="2">
        <v>201802</v>
      </c>
      <c r="H4062" s="2" t="s">
        <v>74</v>
      </c>
      <c r="I4062" s="2" t="s">
        <v>75</v>
      </c>
      <c r="J4062" s="2" t="s">
        <v>76</v>
      </c>
      <c r="K4062" s="2" t="s">
        <v>77</v>
      </c>
      <c r="L4062" s="2" t="s">
        <v>437</v>
      </c>
      <c r="M4062" s="2" t="s">
        <v>438</v>
      </c>
      <c r="N4062" s="2" t="s">
        <v>749</v>
      </c>
      <c r="O4062" s="2" t="s">
        <v>100</v>
      </c>
      <c r="P4062" s="2" t="str">
        <f>"2170582861                    "</f>
        <v xml:space="preserve">2170582861                    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6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0</v>
      </c>
      <c r="AV4062" s="2">
        <v>0</v>
      </c>
      <c r="AW4062" s="2">
        <v>0</v>
      </c>
      <c r="AX4062" s="2">
        <v>0</v>
      </c>
      <c r="AY4062" s="2">
        <v>0</v>
      </c>
      <c r="AZ4062" s="2">
        <v>0</v>
      </c>
      <c r="BA4062" s="2">
        <v>0</v>
      </c>
      <c r="BB4062" s="2">
        <v>0</v>
      </c>
      <c r="BC4062" s="2">
        <v>0</v>
      </c>
      <c r="BD4062" s="2">
        <v>0</v>
      </c>
      <c r="BE4062" s="2">
        <v>0</v>
      </c>
      <c r="BF4062" s="2">
        <v>0</v>
      </c>
      <c r="BG4062" s="2">
        <v>0</v>
      </c>
      <c r="BH4062" s="2">
        <v>1</v>
      </c>
      <c r="BI4062" s="2">
        <v>2</v>
      </c>
      <c r="BJ4062" s="2">
        <v>3</v>
      </c>
      <c r="BK4062" s="2">
        <v>3</v>
      </c>
      <c r="BL4062" s="2">
        <v>62.16</v>
      </c>
      <c r="BM4062" s="2">
        <v>8.6999999999999993</v>
      </c>
      <c r="BN4062" s="2">
        <v>70.86</v>
      </c>
      <c r="BO4062" s="2">
        <v>70.86</v>
      </c>
      <c r="BP4062" s="2"/>
      <c r="BQ4062" s="2" t="s">
        <v>108</v>
      </c>
      <c r="BR4062" s="2" t="s">
        <v>84</v>
      </c>
      <c r="BS4062" s="3">
        <v>42950</v>
      </c>
      <c r="BT4062" s="4">
        <v>0.43055555555555558</v>
      </c>
      <c r="BU4062" s="2" t="s">
        <v>1408</v>
      </c>
      <c r="BV4062" s="2" t="s">
        <v>95</v>
      </c>
      <c r="BW4062" s="2"/>
      <c r="BX4062" s="2"/>
      <c r="BY4062" s="2">
        <v>15028</v>
      </c>
      <c r="BZ4062" s="2" t="s">
        <v>27</v>
      </c>
      <c r="CA4062" s="2" t="s">
        <v>441</v>
      </c>
      <c r="CB4062" s="2"/>
      <c r="CC4062" s="2" t="s">
        <v>438</v>
      </c>
      <c r="CD4062" s="2">
        <v>6536</v>
      </c>
      <c r="CE4062" s="2" t="s">
        <v>89</v>
      </c>
      <c r="CF4062" s="5">
        <v>42951</v>
      </c>
      <c r="CG4062" s="2"/>
      <c r="CH4062" s="2"/>
      <c r="CI4062" s="2">
        <v>1</v>
      </c>
      <c r="CJ4062" s="2">
        <v>1</v>
      </c>
      <c r="CK4062" s="2">
        <v>21</v>
      </c>
      <c r="CL4062" s="2" t="s">
        <v>86</v>
      </c>
      <c r="CM4062" s="2"/>
    </row>
    <row r="4063" spans="1:91">
      <c r="A4063" s="2" t="s">
        <v>71</v>
      </c>
      <c r="B4063" s="2" t="s">
        <v>72</v>
      </c>
      <c r="C4063" s="2" t="s">
        <v>73</v>
      </c>
      <c r="D4063" s="2"/>
      <c r="E4063" s="2" t="str">
        <f>"FES1162566157"</f>
        <v>FES1162566157</v>
      </c>
      <c r="F4063" s="3">
        <v>42949</v>
      </c>
      <c r="G4063" s="2">
        <v>201802</v>
      </c>
      <c r="H4063" s="2" t="s">
        <v>74</v>
      </c>
      <c r="I4063" s="2" t="s">
        <v>75</v>
      </c>
      <c r="J4063" s="2" t="s">
        <v>76</v>
      </c>
      <c r="K4063" s="2" t="s">
        <v>77</v>
      </c>
      <c r="L4063" s="2" t="s">
        <v>244</v>
      </c>
      <c r="M4063" s="2" t="s">
        <v>245</v>
      </c>
      <c r="N4063" s="2" t="s">
        <v>581</v>
      </c>
      <c r="O4063" s="2" t="s">
        <v>100</v>
      </c>
      <c r="P4063" s="2" t="str">
        <f>"2170580559                    "</f>
        <v xml:space="preserve">2170580559                    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3.13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0</v>
      </c>
      <c r="AV4063" s="2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2">
        <v>0</v>
      </c>
      <c r="BD4063" s="2">
        <v>0</v>
      </c>
      <c r="BE4063" s="2">
        <v>0</v>
      </c>
      <c r="BF4063" s="2">
        <v>0</v>
      </c>
      <c r="BG4063" s="2">
        <v>0</v>
      </c>
      <c r="BH4063" s="2">
        <v>1</v>
      </c>
      <c r="BI4063" s="2">
        <v>1</v>
      </c>
      <c r="BJ4063" s="2">
        <v>2</v>
      </c>
      <c r="BK4063" s="2">
        <v>2</v>
      </c>
      <c r="BL4063" s="2">
        <v>32.380000000000003</v>
      </c>
      <c r="BM4063" s="2">
        <v>4.53</v>
      </c>
      <c r="BN4063" s="2">
        <v>36.909999999999997</v>
      </c>
      <c r="BO4063" s="2">
        <v>36.909999999999997</v>
      </c>
      <c r="BP4063" s="2"/>
      <c r="BQ4063" s="2" t="s">
        <v>209</v>
      </c>
      <c r="BR4063" s="2" t="s">
        <v>84</v>
      </c>
      <c r="BS4063" s="3">
        <v>42950</v>
      </c>
      <c r="BT4063" s="4">
        <v>0.51041666666666663</v>
      </c>
      <c r="BU4063" s="2" t="s">
        <v>330</v>
      </c>
      <c r="BV4063" s="2" t="s">
        <v>86</v>
      </c>
      <c r="BW4063" s="2" t="s">
        <v>110</v>
      </c>
      <c r="BX4063" s="2" t="s">
        <v>327</v>
      </c>
      <c r="BY4063" s="2">
        <v>10134.450000000001</v>
      </c>
      <c r="BZ4063" s="2" t="s">
        <v>27</v>
      </c>
      <c r="CA4063" s="2"/>
      <c r="CB4063" s="2"/>
      <c r="CC4063" s="2" t="s">
        <v>245</v>
      </c>
      <c r="CD4063" s="2">
        <v>1459</v>
      </c>
      <c r="CE4063" s="2" t="s">
        <v>89</v>
      </c>
      <c r="CF4063" s="5">
        <v>42951</v>
      </c>
      <c r="CG4063" s="2"/>
      <c r="CH4063" s="2"/>
      <c r="CI4063" s="2">
        <v>1</v>
      </c>
      <c r="CJ4063" s="2">
        <v>1</v>
      </c>
      <c r="CK4063" s="2">
        <v>22</v>
      </c>
      <c r="CL4063" s="2" t="s">
        <v>86</v>
      </c>
      <c r="CM4063" s="2"/>
    </row>
    <row r="4064" spans="1:91">
      <c r="A4064" s="2" t="s">
        <v>71</v>
      </c>
      <c r="B4064" s="2" t="s">
        <v>72</v>
      </c>
      <c r="C4064" s="2" t="s">
        <v>73</v>
      </c>
      <c r="D4064" s="2"/>
      <c r="E4064" s="2" t="str">
        <f>"FES1162566416"</f>
        <v>FES1162566416</v>
      </c>
      <c r="F4064" s="3">
        <v>42949</v>
      </c>
      <c r="G4064" s="2">
        <v>201802</v>
      </c>
      <c r="H4064" s="2" t="s">
        <v>74</v>
      </c>
      <c r="I4064" s="2" t="s">
        <v>75</v>
      </c>
      <c r="J4064" s="2" t="s">
        <v>76</v>
      </c>
      <c r="K4064" s="2" t="s">
        <v>77</v>
      </c>
      <c r="L4064" s="2" t="s">
        <v>105</v>
      </c>
      <c r="M4064" s="2" t="s">
        <v>106</v>
      </c>
      <c r="N4064" s="2" t="s">
        <v>534</v>
      </c>
      <c r="O4064" s="2" t="s">
        <v>100</v>
      </c>
      <c r="P4064" s="2" t="str">
        <f>"2170582773                    "</f>
        <v xml:space="preserve">2170582773                    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4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2">
        <v>0</v>
      </c>
      <c r="BD4064" s="2">
        <v>0</v>
      </c>
      <c r="BE4064" s="2">
        <v>0</v>
      </c>
      <c r="BF4064" s="2">
        <v>0</v>
      </c>
      <c r="BG4064" s="2">
        <v>0</v>
      </c>
      <c r="BH4064" s="2">
        <v>1</v>
      </c>
      <c r="BI4064" s="2">
        <v>1</v>
      </c>
      <c r="BJ4064" s="2">
        <v>0.2</v>
      </c>
      <c r="BK4064" s="2">
        <v>1</v>
      </c>
      <c r="BL4064" s="2">
        <v>41.44</v>
      </c>
      <c r="BM4064" s="2">
        <v>5.8</v>
      </c>
      <c r="BN4064" s="2">
        <v>47.24</v>
      </c>
      <c r="BO4064" s="2">
        <v>47.24</v>
      </c>
      <c r="BP4064" s="2"/>
      <c r="BQ4064" s="2" t="s">
        <v>2535</v>
      </c>
      <c r="BR4064" s="2" t="s">
        <v>84</v>
      </c>
      <c r="BS4064" s="3">
        <v>42950</v>
      </c>
      <c r="BT4064" s="4">
        <v>0.3611111111111111</v>
      </c>
      <c r="BU4064" s="2" t="s">
        <v>3830</v>
      </c>
      <c r="BV4064" s="2" t="s">
        <v>95</v>
      </c>
      <c r="BW4064" s="2"/>
      <c r="BX4064" s="2"/>
      <c r="BY4064" s="2">
        <v>1200</v>
      </c>
      <c r="BZ4064" s="2" t="s">
        <v>27</v>
      </c>
      <c r="CA4064" s="2" t="s">
        <v>112</v>
      </c>
      <c r="CB4064" s="2"/>
      <c r="CC4064" s="2" t="s">
        <v>106</v>
      </c>
      <c r="CD4064" s="2">
        <v>7405</v>
      </c>
      <c r="CE4064" s="2" t="s">
        <v>104</v>
      </c>
      <c r="CF4064" s="5">
        <v>42951</v>
      </c>
      <c r="CG4064" s="2"/>
      <c r="CH4064" s="2"/>
      <c r="CI4064" s="2">
        <v>1</v>
      </c>
      <c r="CJ4064" s="2">
        <v>1</v>
      </c>
      <c r="CK4064" s="2">
        <v>21</v>
      </c>
      <c r="CL4064" s="2" t="s">
        <v>86</v>
      </c>
      <c r="CM4064" s="2"/>
    </row>
    <row r="4065" spans="1:91">
      <c r="A4065" s="2" t="s">
        <v>71</v>
      </c>
      <c r="B4065" s="2" t="s">
        <v>72</v>
      </c>
      <c r="C4065" s="2" t="s">
        <v>73</v>
      </c>
      <c r="D4065" s="2"/>
      <c r="E4065" s="2" t="str">
        <f>"FES1162566201"</f>
        <v>FES1162566201</v>
      </c>
      <c r="F4065" s="3">
        <v>42949</v>
      </c>
      <c r="G4065" s="2">
        <v>201802</v>
      </c>
      <c r="H4065" s="2" t="s">
        <v>74</v>
      </c>
      <c r="I4065" s="2" t="s">
        <v>75</v>
      </c>
      <c r="J4065" s="2" t="s">
        <v>76</v>
      </c>
      <c r="K4065" s="2" t="s">
        <v>77</v>
      </c>
      <c r="L4065" s="2" t="s">
        <v>2834</v>
      </c>
      <c r="M4065" s="2" t="s">
        <v>2835</v>
      </c>
      <c r="N4065" s="2" t="s">
        <v>2842</v>
      </c>
      <c r="O4065" s="2" t="s">
        <v>100</v>
      </c>
      <c r="P4065" s="2" t="str">
        <f>"2170581973                    "</f>
        <v xml:space="preserve">2170581973                    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5.63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0</v>
      </c>
      <c r="AV4065" s="2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2">
        <v>0</v>
      </c>
      <c r="BD4065" s="2">
        <v>0</v>
      </c>
      <c r="BE4065" s="2">
        <v>0</v>
      </c>
      <c r="BF4065" s="2">
        <v>0</v>
      </c>
      <c r="BG4065" s="2">
        <v>0</v>
      </c>
      <c r="BH4065" s="2">
        <v>1</v>
      </c>
      <c r="BI4065" s="2">
        <v>1</v>
      </c>
      <c r="BJ4065" s="2">
        <v>0.2</v>
      </c>
      <c r="BK4065" s="2">
        <v>1</v>
      </c>
      <c r="BL4065" s="2">
        <v>58.28</v>
      </c>
      <c r="BM4065" s="2">
        <v>8.16</v>
      </c>
      <c r="BN4065" s="2">
        <v>66.44</v>
      </c>
      <c r="BO4065" s="2">
        <v>66.44</v>
      </c>
      <c r="BP4065" s="2"/>
      <c r="BQ4065" s="2" t="s">
        <v>83</v>
      </c>
      <c r="BR4065" s="2" t="s">
        <v>84</v>
      </c>
      <c r="BS4065" s="3">
        <v>42950</v>
      </c>
      <c r="BT4065" s="4">
        <v>0.69652777777777775</v>
      </c>
      <c r="BU4065" s="2" t="s">
        <v>3831</v>
      </c>
      <c r="BV4065" s="2" t="s">
        <v>86</v>
      </c>
      <c r="BW4065" s="2" t="s">
        <v>1007</v>
      </c>
      <c r="BX4065" s="2" t="s">
        <v>3786</v>
      </c>
      <c r="BY4065" s="2">
        <v>1200</v>
      </c>
      <c r="BZ4065" s="2" t="s">
        <v>27</v>
      </c>
      <c r="CA4065" s="2"/>
      <c r="CB4065" s="2"/>
      <c r="CC4065" s="2" t="s">
        <v>2835</v>
      </c>
      <c r="CD4065" s="2">
        <v>1779</v>
      </c>
      <c r="CE4065" s="2" t="s">
        <v>104</v>
      </c>
      <c r="CF4065" s="5">
        <v>42951</v>
      </c>
      <c r="CG4065" s="2"/>
      <c r="CH4065" s="2"/>
      <c r="CI4065" s="2">
        <v>1</v>
      </c>
      <c r="CJ4065" s="2">
        <v>1</v>
      </c>
      <c r="CK4065" s="2">
        <v>24</v>
      </c>
      <c r="CL4065" s="2" t="s">
        <v>86</v>
      </c>
      <c r="CM4065" s="2"/>
    </row>
    <row r="4066" spans="1:91">
      <c r="A4066" s="2" t="s">
        <v>71</v>
      </c>
      <c r="B4066" s="2" t="s">
        <v>72</v>
      </c>
      <c r="C4066" s="2" t="s">
        <v>73</v>
      </c>
      <c r="D4066" s="2"/>
      <c r="E4066" s="2" t="str">
        <f>"FES1162566299"</f>
        <v>FES1162566299</v>
      </c>
      <c r="F4066" s="3">
        <v>42949</v>
      </c>
      <c r="G4066" s="2">
        <v>201802</v>
      </c>
      <c r="H4066" s="2" t="s">
        <v>74</v>
      </c>
      <c r="I4066" s="2" t="s">
        <v>75</v>
      </c>
      <c r="J4066" s="2" t="s">
        <v>76</v>
      </c>
      <c r="K4066" s="2" t="s">
        <v>77</v>
      </c>
      <c r="L4066" s="2" t="s">
        <v>539</v>
      </c>
      <c r="M4066" s="2" t="s">
        <v>540</v>
      </c>
      <c r="N4066" s="2" t="s">
        <v>1753</v>
      </c>
      <c r="O4066" s="2" t="s">
        <v>100</v>
      </c>
      <c r="P4066" s="2" t="str">
        <f>"21705682735                   "</f>
        <v xml:space="preserve">21705682735                   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3.13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0</v>
      </c>
      <c r="AU4066" s="2">
        <v>0</v>
      </c>
      <c r="AV4066" s="2">
        <v>0</v>
      </c>
      <c r="AW4066" s="2">
        <v>0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2">
        <v>0</v>
      </c>
      <c r="BD4066" s="2">
        <v>0</v>
      </c>
      <c r="BE4066" s="2">
        <v>0</v>
      </c>
      <c r="BF4066" s="2">
        <v>0</v>
      </c>
      <c r="BG4066" s="2">
        <v>0</v>
      </c>
      <c r="BH4066" s="2">
        <v>1</v>
      </c>
      <c r="BI4066" s="2">
        <v>3</v>
      </c>
      <c r="BJ4066" s="2">
        <v>1.6</v>
      </c>
      <c r="BK4066" s="2">
        <v>3</v>
      </c>
      <c r="BL4066" s="2">
        <v>32.380000000000003</v>
      </c>
      <c r="BM4066" s="2">
        <v>4.53</v>
      </c>
      <c r="BN4066" s="2">
        <v>36.909999999999997</v>
      </c>
      <c r="BO4066" s="2">
        <v>36.909999999999997</v>
      </c>
      <c r="BP4066" s="2"/>
      <c r="BQ4066" s="2" t="s">
        <v>209</v>
      </c>
      <c r="BR4066" s="2" t="s">
        <v>84</v>
      </c>
      <c r="BS4066" s="3">
        <v>42950</v>
      </c>
      <c r="BT4066" s="4">
        <v>0.40763888888888888</v>
      </c>
      <c r="BU4066" s="2" t="s">
        <v>1754</v>
      </c>
      <c r="BV4066" s="2" t="s">
        <v>95</v>
      </c>
      <c r="BW4066" s="2"/>
      <c r="BX4066" s="2"/>
      <c r="BY4066" s="2">
        <v>7930.67</v>
      </c>
      <c r="BZ4066" s="2" t="s">
        <v>27</v>
      </c>
      <c r="CA4066" s="2" t="s">
        <v>722</v>
      </c>
      <c r="CB4066" s="2"/>
      <c r="CC4066" s="2" t="s">
        <v>540</v>
      </c>
      <c r="CD4066" s="2">
        <v>2163</v>
      </c>
      <c r="CE4066" s="2" t="s">
        <v>89</v>
      </c>
      <c r="CF4066" s="5">
        <v>42951</v>
      </c>
      <c r="CG4066" s="2"/>
      <c r="CH4066" s="2"/>
      <c r="CI4066" s="2">
        <v>1</v>
      </c>
      <c r="CJ4066" s="2">
        <v>1</v>
      </c>
      <c r="CK4066" s="2">
        <v>22</v>
      </c>
      <c r="CL4066" s="2" t="s">
        <v>86</v>
      </c>
      <c r="CM4066" s="2"/>
    </row>
    <row r="4067" spans="1:91">
      <c r="A4067" s="2" t="s">
        <v>71</v>
      </c>
      <c r="B4067" s="2" t="s">
        <v>72</v>
      </c>
      <c r="C4067" s="2" t="s">
        <v>73</v>
      </c>
      <c r="D4067" s="2"/>
      <c r="E4067" s="2" t="str">
        <f>"FES1162566176"</f>
        <v>FES1162566176</v>
      </c>
      <c r="F4067" s="3">
        <v>42949</v>
      </c>
      <c r="G4067" s="2">
        <v>201802</v>
      </c>
      <c r="H4067" s="2" t="s">
        <v>74</v>
      </c>
      <c r="I4067" s="2" t="s">
        <v>75</v>
      </c>
      <c r="J4067" s="2" t="s">
        <v>76</v>
      </c>
      <c r="K4067" s="2" t="s">
        <v>77</v>
      </c>
      <c r="L4067" s="2" t="s">
        <v>846</v>
      </c>
      <c r="M4067" s="2" t="s">
        <v>847</v>
      </c>
      <c r="N4067" s="2" t="s">
        <v>848</v>
      </c>
      <c r="O4067" s="2" t="s">
        <v>100</v>
      </c>
      <c r="P4067" s="2" t="str">
        <f>"217065981202                  "</f>
        <v xml:space="preserve">217065981202                  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48.03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0</v>
      </c>
      <c r="AV4067" s="2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2">
        <v>0</v>
      </c>
      <c r="BD4067" s="2">
        <v>0</v>
      </c>
      <c r="BE4067" s="2">
        <v>0</v>
      </c>
      <c r="BF4067" s="2">
        <v>0</v>
      </c>
      <c r="BG4067" s="2">
        <v>0</v>
      </c>
      <c r="BH4067" s="2">
        <v>2</v>
      </c>
      <c r="BI4067" s="2">
        <v>5.9</v>
      </c>
      <c r="BJ4067" s="2">
        <v>13.2</v>
      </c>
      <c r="BK4067" s="2">
        <v>13.5</v>
      </c>
      <c r="BL4067" s="2">
        <v>497.31</v>
      </c>
      <c r="BM4067" s="2">
        <v>69.62</v>
      </c>
      <c r="BN4067" s="2">
        <v>566.92999999999995</v>
      </c>
      <c r="BO4067" s="2">
        <v>566.92999999999995</v>
      </c>
      <c r="BP4067" s="2"/>
      <c r="BQ4067" s="2"/>
      <c r="BR4067" s="2" t="s">
        <v>84</v>
      </c>
      <c r="BS4067" s="3">
        <v>42950</v>
      </c>
      <c r="BT4067" s="4">
        <v>0.60486111111111118</v>
      </c>
      <c r="BU4067" s="2" t="s">
        <v>3628</v>
      </c>
      <c r="BV4067" s="2" t="s">
        <v>86</v>
      </c>
      <c r="BW4067" s="2" t="s">
        <v>110</v>
      </c>
      <c r="BX4067" s="2" t="s">
        <v>1314</v>
      </c>
      <c r="BY4067" s="2">
        <v>66118.600000000006</v>
      </c>
      <c r="BZ4067" s="2" t="s">
        <v>27</v>
      </c>
      <c r="CA4067" s="2" t="s">
        <v>850</v>
      </c>
      <c r="CB4067" s="2"/>
      <c r="CC4067" s="2" t="s">
        <v>847</v>
      </c>
      <c r="CD4067" s="2">
        <v>7349</v>
      </c>
      <c r="CE4067" s="2" t="s">
        <v>89</v>
      </c>
      <c r="CF4067" s="5">
        <v>42951</v>
      </c>
      <c r="CG4067" s="2"/>
      <c r="CH4067" s="2"/>
      <c r="CI4067" s="2">
        <v>1</v>
      </c>
      <c r="CJ4067" s="2">
        <v>1</v>
      </c>
      <c r="CK4067" s="2">
        <v>23</v>
      </c>
      <c r="CL4067" s="2" t="s">
        <v>86</v>
      </c>
      <c r="CM4067" s="2"/>
    </row>
    <row r="4068" spans="1:91">
      <c r="A4068" s="2" t="s">
        <v>71</v>
      </c>
      <c r="B4068" s="2" t="s">
        <v>72</v>
      </c>
      <c r="C4068" s="2" t="s">
        <v>73</v>
      </c>
      <c r="D4068" s="2"/>
      <c r="E4068" s="2" t="str">
        <f>"FES1162566494"</f>
        <v>FES1162566494</v>
      </c>
      <c r="F4068" s="3">
        <v>42949</v>
      </c>
      <c r="G4068" s="2">
        <v>201802</v>
      </c>
      <c r="H4068" s="2" t="s">
        <v>74</v>
      </c>
      <c r="I4068" s="2" t="s">
        <v>75</v>
      </c>
      <c r="J4068" s="2" t="s">
        <v>76</v>
      </c>
      <c r="K4068" s="2" t="s">
        <v>77</v>
      </c>
      <c r="L4068" s="2" t="s">
        <v>149</v>
      </c>
      <c r="M4068" s="2" t="s">
        <v>150</v>
      </c>
      <c r="N4068" s="2" t="s">
        <v>1268</v>
      </c>
      <c r="O4068" s="2" t="s">
        <v>100</v>
      </c>
      <c r="P4068" s="2" t="str">
        <f>"2170582854                    "</f>
        <v xml:space="preserve">2170582854                    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29.02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0</v>
      </c>
      <c r="AU4068" s="2">
        <v>0</v>
      </c>
      <c r="AV4068" s="2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2">
        <v>0</v>
      </c>
      <c r="BD4068" s="2">
        <v>0</v>
      </c>
      <c r="BE4068" s="2">
        <v>0</v>
      </c>
      <c r="BF4068" s="2">
        <v>0</v>
      </c>
      <c r="BG4068" s="2">
        <v>0</v>
      </c>
      <c r="BH4068" s="2">
        <v>1</v>
      </c>
      <c r="BI4068" s="2">
        <v>14.3</v>
      </c>
      <c r="BJ4068" s="2">
        <v>9.1</v>
      </c>
      <c r="BK4068" s="2">
        <v>14.5</v>
      </c>
      <c r="BL4068" s="2">
        <v>300.45999999999998</v>
      </c>
      <c r="BM4068" s="2">
        <v>42.06</v>
      </c>
      <c r="BN4068" s="2">
        <v>342.52</v>
      </c>
      <c r="BO4068" s="2">
        <v>342.52</v>
      </c>
      <c r="BP4068" s="2"/>
      <c r="BQ4068" s="2" t="s">
        <v>83</v>
      </c>
      <c r="BR4068" s="2" t="s">
        <v>84</v>
      </c>
      <c r="BS4068" s="3">
        <v>42950</v>
      </c>
      <c r="BT4068" s="4">
        <v>0.36041666666666666</v>
      </c>
      <c r="BU4068" s="2" t="s">
        <v>3832</v>
      </c>
      <c r="BV4068" s="2" t="s">
        <v>95</v>
      </c>
      <c r="BW4068" s="2"/>
      <c r="BX4068" s="2"/>
      <c r="BY4068" s="2">
        <v>45287.42</v>
      </c>
      <c r="BZ4068" s="2" t="s">
        <v>27</v>
      </c>
      <c r="CA4068" s="2" t="s">
        <v>682</v>
      </c>
      <c r="CB4068" s="2"/>
      <c r="CC4068" s="2" t="s">
        <v>150</v>
      </c>
      <c r="CD4068" s="2">
        <v>4001</v>
      </c>
      <c r="CE4068" s="2" t="s">
        <v>89</v>
      </c>
      <c r="CF4068" s="5">
        <v>42951</v>
      </c>
      <c r="CG4068" s="2"/>
      <c r="CH4068" s="2"/>
      <c r="CI4068" s="2">
        <v>1</v>
      </c>
      <c r="CJ4068" s="2">
        <v>1</v>
      </c>
      <c r="CK4068" s="2">
        <v>21</v>
      </c>
      <c r="CL4068" s="2" t="s">
        <v>86</v>
      </c>
      <c r="CM4068" s="2"/>
    </row>
    <row r="4069" spans="1:91">
      <c r="A4069" s="2" t="s">
        <v>71</v>
      </c>
      <c r="B4069" s="2" t="s">
        <v>72</v>
      </c>
      <c r="C4069" s="2" t="s">
        <v>73</v>
      </c>
      <c r="D4069" s="2"/>
      <c r="E4069" s="2" t="str">
        <f>"FES1162566147"</f>
        <v>FES1162566147</v>
      </c>
      <c r="F4069" s="3">
        <v>42949</v>
      </c>
      <c r="G4069" s="2">
        <v>201802</v>
      </c>
      <c r="H4069" s="2" t="s">
        <v>74</v>
      </c>
      <c r="I4069" s="2" t="s">
        <v>75</v>
      </c>
      <c r="J4069" s="2" t="s">
        <v>76</v>
      </c>
      <c r="K4069" s="2" t="s">
        <v>77</v>
      </c>
      <c r="L4069" s="2" t="s">
        <v>268</v>
      </c>
      <c r="M4069" s="2" t="s">
        <v>269</v>
      </c>
      <c r="N4069" s="2" t="s">
        <v>635</v>
      </c>
      <c r="O4069" s="2" t="s">
        <v>100</v>
      </c>
      <c r="P4069" s="2" t="str">
        <f>"21705879936                   "</f>
        <v xml:space="preserve">21705879936                   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6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0</v>
      </c>
      <c r="AU4069" s="2">
        <v>0</v>
      </c>
      <c r="AV4069" s="2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2">
        <v>0</v>
      </c>
      <c r="BD4069" s="2">
        <v>0</v>
      </c>
      <c r="BE4069" s="2">
        <v>0</v>
      </c>
      <c r="BF4069" s="2">
        <v>0</v>
      </c>
      <c r="BG4069" s="2">
        <v>0</v>
      </c>
      <c r="BH4069" s="2">
        <v>1</v>
      </c>
      <c r="BI4069" s="2">
        <v>1</v>
      </c>
      <c r="BJ4069" s="2">
        <v>2.8</v>
      </c>
      <c r="BK4069" s="2">
        <v>3</v>
      </c>
      <c r="BL4069" s="2">
        <v>62.16</v>
      </c>
      <c r="BM4069" s="2">
        <v>8.6999999999999993</v>
      </c>
      <c r="BN4069" s="2">
        <v>70.86</v>
      </c>
      <c r="BO4069" s="2">
        <v>70.86</v>
      </c>
      <c r="BP4069" s="2"/>
      <c r="BQ4069" s="2" t="s">
        <v>636</v>
      </c>
      <c r="BR4069" s="2" t="s">
        <v>84</v>
      </c>
      <c r="BS4069" s="3">
        <v>42950</v>
      </c>
      <c r="BT4069" s="4">
        <v>0.45833333333333331</v>
      </c>
      <c r="BU4069" s="2" t="s">
        <v>664</v>
      </c>
      <c r="BV4069" s="2" t="s">
        <v>86</v>
      </c>
      <c r="BW4069" s="2" t="s">
        <v>1007</v>
      </c>
      <c r="BX4069" s="2" t="s">
        <v>1008</v>
      </c>
      <c r="BY4069" s="2">
        <v>14112</v>
      </c>
      <c r="BZ4069" s="2" t="s">
        <v>27</v>
      </c>
      <c r="CA4069" s="2" t="s">
        <v>638</v>
      </c>
      <c r="CB4069" s="2"/>
      <c r="CC4069" s="2" t="s">
        <v>269</v>
      </c>
      <c r="CD4069" s="2">
        <v>184</v>
      </c>
      <c r="CE4069" s="2" t="s">
        <v>948</v>
      </c>
      <c r="CF4069" s="5">
        <v>42950</v>
      </c>
      <c r="CG4069" s="2"/>
      <c r="CH4069" s="2"/>
      <c r="CI4069" s="2">
        <v>1</v>
      </c>
      <c r="CJ4069" s="2">
        <v>1</v>
      </c>
      <c r="CK4069" s="2">
        <v>21</v>
      </c>
      <c r="CL4069" s="2" t="s">
        <v>86</v>
      </c>
      <c r="CM4069" s="2"/>
    </row>
    <row r="4070" spans="1:91">
      <c r="A4070" s="2" t="s">
        <v>71</v>
      </c>
      <c r="B4070" s="2" t="s">
        <v>72</v>
      </c>
      <c r="C4070" s="2" t="s">
        <v>73</v>
      </c>
      <c r="D4070" s="2"/>
      <c r="E4070" s="2" t="str">
        <f>"FES1162566413"</f>
        <v>FES1162566413</v>
      </c>
      <c r="F4070" s="3">
        <v>42949</v>
      </c>
      <c r="G4070" s="2">
        <v>201802</v>
      </c>
      <c r="H4070" s="2" t="s">
        <v>74</v>
      </c>
      <c r="I4070" s="2" t="s">
        <v>75</v>
      </c>
      <c r="J4070" s="2" t="s">
        <v>76</v>
      </c>
      <c r="K4070" s="2" t="s">
        <v>77</v>
      </c>
      <c r="L4070" s="2" t="s">
        <v>841</v>
      </c>
      <c r="M4070" s="2" t="s">
        <v>842</v>
      </c>
      <c r="N4070" s="2" t="s">
        <v>843</v>
      </c>
      <c r="O4070" s="2" t="s">
        <v>100</v>
      </c>
      <c r="P4070" s="2" t="str">
        <f>"2170582767                    "</f>
        <v xml:space="preserve">2170582767                    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7.75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0</v>
      </c>
      <c r="AU4070" s="2">
        <v>0</v>
      </c>
      <c r="AV4070" s="2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2">
        <v>0</v>
      </c>
      <c r="BD4070" s="2">
        <v>0</v>
      </c>
      <c r="BE4070" s="2">
        <v>0</v>
      </c>
      <c r="BF4070" s="2">
        <v>0</v>
      </c>
      <c r="BG4070" s="2">
        <v>0</v>
      </c>
      <c r="BH4070" s="2">
        <v>1</v>
      </c>
      <c r="BI4070" s="2">
        <v>1</v>
      </c>
      <c r="BJ4070" s="2">
        <v>0.2</v>
      </c>
      <c r="BK4070" s="2">
        <v>1</v>
      </c>
      <c r="BL4070" s="2">
        <v>80.290000000000006</v>
      </c>
      <c r="BM4070" s="2">
        <v>11.24</v>
      </c>
      <c r="BN4070" s="2">
        <v>91.53</v>
      </c>
      <c r="BO4070" s="2">
        <v>91.53</v>
      </c>
      <c r="BP4070" s="2"/>
      <c r="BQ4070" s="2" t="s">
        <v>83</v>
      </c>
      <c r="BR4070" s="2" t="s">
        <v>84</v>
      </c>
      <c r="BS4070" s="3">
        <v>42951</v>
      </c>
      <c r="BT4070" s="4">
        <v>0.58333333333333337</v>
      </c>
      <c r="BU4070" s="2" t="s">
        <v>844</v>
      </c>
      <c r="BV4070" s="2" t="s">
        <v>95</v>
      </c>
      <c r="BW4070" s="2"/>
      <c r="BX4070" s="2"/>
      <c r="BY4070" s="2">
        <v>1200</v>
      </c>
      <c r="BZ4070" s="2"/>
      <c r="CA4070" s="2" t="s">
        <v>845</v>
      </c>
      <c r="CB4070" s="2"/>
      <c r="CC4070" s="2" t="s">
        <v>842</v>
      </c>
      <c r="CD4070" s="2">
        <v>3370</v>
      </c>
      <c r="CE4070" s="2" t="s">
        <v>104</v>
      </c>
      <c r="CF4070" s="5">
        <v>42955</v>
      </c>
      <c r="CG4070" s="2"/>
      <c r="CH4070" s="2"/>
      <c r="CI4070" s="2">
        <v>3</v>
      </c>
      <c r="CJ4070" s="2">
        <v>2</v>
      </c>
      <c r="CK4070" s="2">
        <v>23</v>
      </c>
      <c r="CL4070" s="2" t="s">
        <v>86</v>
      </c>
      <c r="CM4070" s="2"/>
    </row>
    <row r="4071" spans="1:91">
      <c r="A4071" s="2" t="s">
        <v>71</v>
      </c>
      <c r="B4071" s="2" t="s">
        <v>72</v>
      </c>
      <c r="C4071" s="2" t="s">
        <v>73</v>
      </c>
      <c r="D4071" s="2"/>
      <c r="E4071" s="2" t="str">
        <f>"FES1162566474"</f>
        <v>FES1162566474</v>
      </c>
      <c r="F4071" s="3">
        <v>42949</v>
      </c>
      <c r="G4071" s="2">
        <v>201802</v>
      </c>
      <c r="H4071" s="2" t="s">
        <v>74</v>
      </c>
      <c r="I4071" s="2" t="s">
        <v>75</v>
      </c>
      <c r="J4071" s="2" t="s">
        <v>76</v>
      </c>
      <c r="K4071" s="2" t="s">
        <v>77</v>
      </c>
      <c r="L4071" s="2" t="s">
        <v>170</v>
      </c>
      <c r="M4071" s="2" t="s">
        <v>171</v>
      </c>
      <c r="N4071" s="2" t="s">
        <v>1846</v>
      </c>
      <c r="O4071" s="2" t="s">
        <v>100</v>
      </c>
      <c r="P4071" s="2" t="str">
        <f>"2170582834                    "</f>
        <v xml:space="preserve">2170582834                    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3.13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0</v>
      </c>
      <c r="AU4071" s="2">
        <v>0</v>
      </c>
      <c r="AV4071" s="2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2">
        <v>0</v>
      </c>
      <c r="BD4071" s="2">
        <v>0</v>
      </c>
      <c r="BE4071" s="2">
        <v>0</v>
      </c>
      <c r="BF4071" s="2">
        <v>0</v>
      </c>
      <c r="BG4071" s="2">
        <v>0</v>
      </c>
      <c r="BH4071" s="2">
        <v>1</v>
      </c>
      <c r="BI4071" s="2">
        <v>1</v>
      </c>
      <c r="BJ4071" s="2">
        <v>0.2</v>
      </c>
      <c r="BK4071" s="2">
        <v>1</v>
      </c>
      <c r="BL4071" s="2">
        <v>32.380000000000003</v>
      </c>
      <c r="BM4071" s="2">
        <v>4.53</v>
      </c>
      <c r="BN4071" s="2">
        <v>36.909999999999997</v>
      </c>
      <c r="BO4071" s="2">
        <v>36.909999999999997</v>
      </c>
      <c r="BP4071" s="2"/>
      <c r="BQ4071" s="2" t="s">
        <v>108</v>
      </c>
      <c r="BR4071" s="2" t="s">
        <v>84</v>
      </c>
      <c r="BS4071" s="3">
        <v>42950</v>
      </c>
      <c r="BT4071" s="4">
        <v>0.31944444444444448</v>
      </c>
      <c r="BU4071" s="2" t="s">
        <v>1136</v>
      </c>
      <c r="BV4071" s="2" t="s">
        <v>95</v>
      </c>
      <c r="BW4071" s="2"/>
      <c r="BX4071" s="2"/>
      <c r="BY4071" s="2">
        <v>1200</v>
      </c>
      <c r="BZ4071" s="2" t="s">
        <v>27</v>
      </c>
      <c r="CA4071" s="2" t="s">
        <v>1617</v>
      </c>
      <c r="CB4071" s="2"/>
      <c r="CC4071" s="2" t="s">
        <v>171</v>
      </c>
      <c r="CD4071" s="2">
        <v>1401</v>
      </c>
      <c r="CE4071" s="2" t="s">
        <v>104</v>
      </c>
      <c r="CF4071" s="5">
        <v>42951</v>
      </c>
      <c r="CG4071" s="2"/>
      <c r="CH4071" s="2"/>
      <c r="CI4071" s="2">
        <v>1</v>
      </c>
      <c r="CJ4071" s="2">
        <v>1</v>
      </c>
      <c r="CK4071" s="2">
        <v>22</v>
      </c>
      <c r="CL4071" s="2" t="s">
        <v>86</v>
      </c>
      <c r="CM4071" s="2"/>
    </row>
    <row r="4072" spans="1:91">
      <c r="A4072" s="2" t="s">
        <v>71</v>
      </c>
      <c r="B4072" s="2" t="s">
        <v>72</v>
      </c>
      <c r="C4072" s="2" t="s">
        <v>73</v>
      </c>
      <c r="D4072" s="2"/>
      <c r="E4072" s="2" t="str">
        <f>"FES1162566510"</f>
        <v>FES1162566510</v>
      </c>
      <c r="F4072" s="3">
        <v>42949</v>
      </c>
      <c r="G4072" s="2">
        <v>201802</v>
      </c>
      <c r="H4072" s="2" t="s">
        <v>74</v>
      </c>
      <c r="I4072" s="2" t="s">
        <v>75</v>
      </c>
      <c r="J4072" s="2" t="s">
        <v>76</v>
      </c>
      <c r="K4072" s="2" t="s">
        <v>77</v>
      </c>
      <c r="L4072" s="2" t="s">
        <v>174</v>
      </c>
      <c r="M4072" s="2" t="s">
        <v>175</v>
      </c>
      <c r="N4072" s="2" t="s">
        <v>930</v>
      </c>
      <c r="O4072" s="2" t="s">
        <v>100</v>
      </c>
      <c r="P4072" s="2" t="str">
        <f>"2170582868                    "</f>
        <v xml:space="preserve">2170582868                    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4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0</v>
      </c>
      <c r="AZ4072" s="2">
        <v>0</v>
      </c>
      <c r="BA4072" s="2">
        <v>0</v>
      </c>
      <c r="BB4072" s="2">
        <v>0</v>
      </c>
      <c r="BC4072" s="2">
        <v>0</v>
      </c>
      <c r="BD4072" s="2">
        <v>0</v>
      </c>
      <c r="BE4072" s="2">
        <v>0</v>
      </c>
      <c r="BF4072" s="2">
        <v>0</v>
      </c>
      <c r="BG4072" s="2">
        <v>0</v>
      </c>
      <c r="BH4072" s="2">
        <v>1</v>
      </c>
      <c r="BI4072" s="2">
        <v>1</v>
      </c>
      <c r="BJ4072" s="2">
        <v>0.2</v>
      </c>
      <c r="BK4072" s="2">
        <v>1</v>
      </c>
      <c r="BL4072" s="2">
        <v>41.44</v>
      </c>
      <c r="BM4072" s="2">
        <v>5.8</v>
      </c>
      <c r="BN4072" s="2">
        <v>47.24</v>
      </c>
      <c r="BO4072" s="2">
        <v>47.24</v>
      </c>
      <c r="BP4072" s="2"/>
      <c r="BQ4072" s="2" t="s">
        <v>83</v>
      </c>
      <c r="BR4072" s="2" t="s">
        <v>84</v>
      </c>
      <c r="BS4072" s="3">
        <v>42950</v>
      </c>
      <c r="BT4072" s="4">
        <v>0.43194444444444446</v>
      </c>
      <c r="BU4072" s="2" t="s">
        <v>3555</v>
      </c>
      <c r="BV4072" s="2" t="s">
        <v>95</v>
      </c>
      <c r="BW4072" s="2"/>
      <c r="BX4072" s="2"/>
      <c r="BY4072" s="2">
        <v>1200</v>
      </c>
      <c r="BZ4072" s="2" t="s">
        <v>27</v>
      </c>
      <c r="CA4072" s="2" t="s">
        <v>1373</v>
      </c>
      <c r="CB4072" s="2"/>
      <c r="CC4072" s="2" t="s">
        <v>175</v>
      </c>
      <c r="CD4072" s="2">
        <v>5201</v>
      </c>
      <c r="CE4072" s="2" t="s">
        <v>104</v>
      </c>
      <c r="CF4072" s="5">
        <v>42954</v>
      </c>
      <c r="CG4072" s="2"/>
      <c r="CH4072" s="2"/>
      <c r="CI4072" s="2">
        <v>1</v>
      </c>
      <c r="CJ4072" s="2">
        <v>1</v>
      </c>
      <c r="CK4072" s="2">
        <v>21</v>
      </c>
      <c r="CL4072" s="2" t="s">
        <v>86</v>
      </c>
      <c r="CM4072" s="2"/>
    </row>
    <row r="4073" spans="1:91">
      <c r="A4073" s="2" t="s">
        <v>71</v>
      </c>
      <c r="B4073" s="2" t="s">
        <v>72</v>
      </c>
      <c r="C4073" s="2" t="s">
        <v>73</v>
      </c>
      <c r="D4073" s="2"/>
      <c r="E4073" s="2" t="str">
        <f>"FES1162566422"</f>
        <v>FES1162566422</v>
      </c>
      <c r="F4073" s="3">
        <v>42949</v>
      </c>
      <c r="G4073" s="2">
        <v>201802</v>
      </c>
      <c r="H4073" s="2" t="s">
        <v>74</v>
      </c>
      <c r="I4073" s="2" t="s">
        <v>75</v>
      </c>
      <c r="J4073" s="2" t="s">
        <v>76</v>
      </c>
      <c r="K4073" s="2" t="s">
        <v>77</v>
      </c>
      <c r="L4073" s="2" t="s">
        <v>311</v>
      </c>
      <c r="M4073" s="2" t="s">
        <v>312</v>
      </c>
      <c r="N4073" s="2" t="s">
        <v>313</v>
      </c>
      <c r="O4073" s="2" t="s">
        <v>100</v>
      </c>
      <c r="P4073" s="2" t="str">
        <f>"2170582779                    "</f>
        <v xml:space="preserve">2170582779                    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3.13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0</v>
      </c>
      <c r="AZ4073" s="2">
        <v>0</v>
      </c>
      <c r="BA4073" s="2">
        <v>0</v>
      </c>
      <c r="BB4073" s="2">
        <v>0</v>
      </c>
      <c r="BC4073" s="2">
        <v>0</v>
      </c>
      <c r="BD4073" s="2">
        <v>0</v>
      </c>
      <c r="BE4073" s="2">
        <v>0</v>
      </c>
      <c r="BF4073" s="2">
        <v>0</v>
      </c>
      <c r="BG4073" s="2">
        <v>0</v>
      </c>
      <c r="BH4073" s="2">
        <v>1</v>
      </c>
      <c r="BI4073" s="2">
        <v>1</v>
      </c>
      <c r="BJ4073" s="2">
        <v>0.2</v>
      </c>
      <c r="BK4073" s="2">
        <v>1</v>
      </c>
      <c r="BL4073" s="2">
        <v>32.380000000000003</v>
      </c>
      <c r="BM4073" s="2">
        <v>4.53</v>
      </c>
      <c r="BN4073" s="2">
        <v>36.909999999999997</v>
      </c>
      <c r="BO4073" s="2">
        <v>36.909999999999997</v>
      </c>
      <c r="BP4073" s="2"/>
      <c r="BQ4073" s="2" t="s">
        <v>83</v>
      </c>
      <c r="BR4073" s="2" t="s">
        <v>84</v>
      </c>
      <c r="BS4073" s="3">
        <v>42950</v>
      </c>
      <c r="BT4073" s="4">
        <v>0.37152777777777773</v>
      </c>
      <c r="BU4073" s="2" t="s">
        <v>3833</v>
      </c>
      <c r="BV4073" s="2" t="s">
        <v>95</v>
      </c>
      <c r="BW4073" s="2"/>
      <c r="BX4073" s="2"/>
      <c r="BY4073" s="2">
        <v>1200</v>
      </c>
      <c r="BZ4073" s="2" t="s">
        <v>27</v>
      </c>
      <c r="CA4073" s="2" t="s">
        <v>889</v>
      </c>
      <c r="CB4073" s="2"/>
      <c r="CC4073" s="2" t="s">
        <v>312</v>
      </c>
      <c r="CD4073" s="2">
        <v>1559</v>
      </c>
      <c r="CE4073" s="2" t="s">
        <v>104</v>
      </c>
      <c r="CF4073" s="5">
        <v>42951</v>
      </c>
      <c r="CG4073" s="2"/>
      <c r="CH4073" s="2"/>
      <c r="CI4073" s="2">
        <v>1</v>
      </c>
      <c r="CJ4073" s="2">
        <v>1</v>
      </c>
      <c r="CK4073" s="2">
        <v>22</v>
      </c>
      <c r="CL4073" s="2" t="s">
        <v>86</v>
      </c>
      <c r="CM4073" s="2"/>
    </row>
    <row r="4074" spans="1:91">
      <c r="A4074" s="2" t="s">
        <v>71</v>
      </c>
      <c r="B4074" s="2" t="s">
        <v>72</v>
      </c>
      <c r="C4074" s="2" t="s">
        <v>73</v>
      </c>
      <c r="D4074" s="2"/>
      <c r="E4074" s="2" t="str">
        <f>"FES1162566541"</f>
        <v>FES1162566541</v>
      </c>
      <c r="F4074" s="3">
        <v>42949</v>
      </c>
      <c r="G4074" s="2">
        <v>201802</v>
      </c>
      <c r="H4074" s="2" t="s">
        <v>74</v>
      </c>
      <c r="I4074" s="2" t="s">
        <v>75</v>
      </c>
      <c r="J4074" s="2" t="s">
        <v>76</v>
      </c>
      <c r="K4074" s="2" t="s">
        <v>77</v>
      </c>
      <c r="L4074" s="2" t="s">
        <v>321</v>
      </c>
      <c r="M4074" s="2" t="s">
        <v>322</v>
      </c>
      <c r="N4074" s="2" t="s">
        <v>323</v>
      </c>
      <c r="O4074" s="2" t="s">
        <v>100</v>
      </c>
      <c r="P4074" s="2" t="str">
        <f>"2170580538                    "</f>
        <v xml:space="preserve">2170580538                    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4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0</v>
      </c>
      <c r="BC4074" s="2">
        <v>0</v>
      </c>
      <c r="BD4074" s="2">
        <v>0</v>
      </c>
      <c r="BE4074" s="2">
        <v>0</v>
      </c>
      <c r="BF4074" s="2">
        <v>0</v>
      </c>
      <c r="BG4074" s="2">
        <v>0</v>
      </c>
      <c r="BH4074" s="2">
        <v>1</v>
      </c>
      <c r="BI4074" s="2">
        <v>1</v>
      </c>
      <c r="BJ4074" s="2">
        <v>0.2</v>
      </c>
      <c r="BK4074" s="2">
        <v>1</v>
      </c>
      <c r="BL4074" s="2">
        <v>41.44</v>
      </c>
      <c r="BM4074" s="2">
        <v>5.8</v>
      </c>
      <c r="BN4074" s="2">
        <v>47.24</v>
      </c>
      <c r="BO4074" s="2">
        <v>47.24</v>
      </c>
      <c r="BP4074" s="2"/>
      <c r="BQ4074" s="2" t="s">
        <v>83</v>
      </c>
      <c r="BR4074" s="2" t="s">
        <v>84</v>
      </c>
      <c r="BS4074" s="3">
        <v>42950</v>
      </c>
      <c r="BT4074" s="4">
        <v>0.4236111111111111</v>
      </c>
      <c r="BU4074" s="2" t="s">
        <v>324</v>
      </c>
      <c r="BV4074" s="2" t="s">
        <v>95</v>
      </c>
      <c r="BW4074" s="2"/>
      <c r="BX4074" s="2"/>
      <c r="BY4074" s="2">
        <v>1200</v>
      </c>
      <c r="BZ4074" s="2" t="s">
        <v>27</v>
      </c>
      <c r="CA4074" s="2" t="s">
        <v>103</v>
      </c>
      <c r="CB4074" s="2"/>
      <c r="CC4074" s="2" t="s">
        <v>322</v>
      </c>
      <c r="CD4074" s="2">
        <v>6220</v>
      </c>
      <c r="CE4074" s="2" t="s">
        <v>104</v>
      </c>
      <c r="CF4074" s="5">
        <v>42951</v>
      </c>
      <c r="CG4074" s="2"/>
      <c r="CH4074" s="2"/>
      <c r="CI4074" s="2">
        <v>1</v>
      </c>
      <c r="CJ4074" s="2">
        <v>1</v>
      </c>
      <c r="CK4074" s="2">
        <v>21</v>
      </c>
      <c r="CL4074" s="2" t="s">
        <v>86</v>
      </c>
      <c r="CM4074" s="2"/>
    </row>
    <row r="4075" spans="1:91">
      <c r="A4075" s="2" t="s">
        <v>71</v>
      </c>
      <c r="B4075" s="2" t="s">
        <v>72</v>
      </c>
      <c r="C4075" s="2" t="s">
        <v>73</v>
      </c>
      <c r="D4075" s="2"/>
      <c r="E4075" s="2" t="str">
        <f>"FES1162566349"</f>
        <v>FES1162566349</v>
      </c>
      <c r="F4075" s="3">
        <v>42949</v>
      </c>
      <c r="G4075" s="2">
        <v>201802</v>
      </c>
      <c r="H4075" s="2" t="s">
        <v>74</v>
      </c>
      <c r="I4075" s="2" t="s">
        <v>75</v>
      </c>
      <c r="J4075" s="2" t="s">
        <v>76</v>
      </c>
      <c r="K4075" s="2" t="s">
        <v>77</v>
      </c>
      <c r="L4075" s="2" t="s">
        <v>144</v>
      </c>
      <c r="M4075" s="2" t="s">
        <v>145</v>
      </c>
      <c r="N4075" s="2" t="s">
        <v>146</v>
      </c>
      <c r="O4075" s="2" t="s">
        <v>100</v>
      </c>
      <c r="P4075" s="2" t="str">
        <f>"2170589292                    "</f>
        <v xml:space="preserve">2170589292                    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3.13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2">
        <v>0</v>
      </c>
      <c r="BD4075" s="2">
        <v>0</v>
      </c>
      <c r="BE4075" s="2">
        <v>0</v>
      </c>
      <c r="BF4075" s="2">
        <v>0</v>
      </c>
      <c r="BG4075" s="2">
        <v>0</v>
      </c>
      <c r="BH4075" s="2">
        <v>1</v>
      </c>
      <c r="BI4075" s="2">
        <v>7</v>
      </c>
      <c r="BJ4075" s="2">
        <v>2.2000000000000002</v>
      </c>
      <c r="BK4075" s="2">
        <v>7</v>
      </c>
      <c r="BL4075" s="2">
        <v>32.380000000000003</v>
      </c>
      <c r="BM4075" s="2">
        <v>4.53</v>
      </c>
      <c r="BN4075" s="2">
        <v>36.909999999999997</v>
      </c>
      <c r="BO4075" s="2">
        <v>36.909999999999997</v>
      </c>
      <c r="BP4075" s="2"/>
      <c r="BQ4075" s="2" t="s">
        <v>83</v>
      </c>
      <c r="BR4075" s="2" t="s">
        <v>84</v>
      </c>
      <c r="BS4075" s="3">
        <v>42950</v>
      </c>
      <c r="BT4075" s="4">
        <v>0.3611111111111111</v>
      </c>
      <c r="BU4075" s="2" t="s">
        <v>2624</v>
      </c>
      <c r="BV4075" s="2" t="s">
        <v>95</v>
      </c>
      <c r="BW4075" s="2"/>
      <c r="BX4075" s="2"/>
      <c r="BY4075" s="2">
        <v>10857.56</v>
      </c>
      <c r="BZ4075" s="2" t="s">
        <v>27</v>
      </c>
      <c r="CA4075" s="2" t="s">
        <v>729</v>
      </c>
      <c r="CB4075" s="2"/>
      <c r="CC4075" s="2" t="s">
        <v>145</v>
      </c>
      <c r="CD4075" s="2">
        <v>2094</v>
      </c>
      <c r="CE4075" s="2" t="s">
        <v>948</v>
      </c>
      <c r="CF4075" s="5">
        <v>42951</v>
      </c>
      <c r="CG4075" s="2"/>
      <c r="CH4075" s="2"/>
      <c r="CI4075" s="2">
        <v>1</v>
      </c>
      <c r="CJ4075" s="2">
        <v>1</v>
      </c>
      <c r="CK4075" s="2">
        <v>22</v>
      </c>
      <c r="CL4075" s="2" t="s">
        <v>86</v>
      </c>
      <c r="CM4075" s="2"/>
    </row>
    <row r="4076" spans="1:91">
      <c r="A4076" s="2" t="s">
        <v>71</v>
      </c>
      <c r="B4076" s="2" t="s">
        <v>72</v>
      </c>
      <c r="C4076" s="2" t="s">
        <v>73</v>
      </c>
      <c r="D4076" s="2"/>
      <c r="E4076" s="2" t="str">
        <f>"FES1162566253"</f>
        <v>FES1162566253</v>
      </c>
      <c r="F4076" s="3">
        <v>42949</v>
      </c>
      <c r="G4076" s="2">
        <v>201802</v>
      </c>
      <c r="H4076" s="2" t="s">
        <v>74</v>
      </c>
      <c r="I4076" s="2" t="s">
        <v>75</v>
      </c>
      <c r="J4076" s="2" t="s">
        <v>76</v>
      </c>
      <c r="K4076" s="2" t="s">
        <v>77</v>
      </c>
      <c r="L4076" s="2" t="s">
        <v>268</v>
      </c>
      <c r="M4076" s="2" t="s">
        <v>269</v>
      </c>
      <c r="N4076" s="2" t="s">
        <v>976</v>
      </c>
      <c r="O4076" s="2" t="s">
        <v>100</v>
      </c>
      <c r="P4076" s="2" t="str">
        <f>"2170582680                    "</f>
        <v xml:space="preserve">2170582680                    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5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0</v>
      </c>
      <c r="AV4076" s="2">
        <v>0</v>
      </c>
      <c r="AW4076" s="2">
        <v>0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2">
        <v>0</v>
      </c>
      <c r="BD4076" s="2">
        <v>0</v>
      </c>
      <c r="BE4076" s="2">
        <v>0</v>
      </c>
      <c r="BF4076" s="2">
        <v>0</v>
      </c>
      <c r="BG4076" s="2">
        <v>0</v>
      </c>
      <c r="BH4076" s="2">
        <v>1</v>
      </c>
      <c r="BI4076" s="2">
        <v>2</v>
      </c>
      <c r="BJ4076" s="2">
        <v>2.2999999999999998</v>
      </c>
      <c r="BK4076" s="2">
        <v>2.5</v>
      </c>
      <c r="BL4076" s="2">
        <v>51.8</v>
      </c>
      <c r="BM4076" s="2">
        <v>7.25</v>
      </c>
      <c r="BN4076" s="2">
        <v>59.05</v>
      </c>
      <c r="BO4076" s="2">
        <v>59.05</v>
      </c>
      <c r="BP4076" s="2"/>
      <c r="BQ4076" s="2" t="s">
        <v>3834</v>
      </c>
      <c r="BR4076" s="2" t="s">
        <v>84</v>
      </c>
      <c r="BS4076" s="3">
        <v>42962</v>
      </c>
      <c r="BT4076" s="4">
        <v>0.41666666666666669</v>
      </c>
      <c r="BU4076" s="2" t="s">
        <v>85</v>
      </c>
      <c r="BV4076" s="2" t="s">
        <v>86</v>
      </c>
      <c r="BW4076" s="2" t="s">
        <v>110</v>
      </c>
      <c r="BX4076" s="2" t="s">
        <v>444</v>
      </c>
      <c r="BY4076" s="2">
        <v>11600</v>
      </c>
      <c r="BZ4076" s="2"/>
      <c r="CA4076" s="2"/>
      <c r="CB4076" s="2"/>
      <c r="CC4076" s="2" t="s">
        <v>269</v>
      </c>
      <c r="CD4076" s="2">
        <v>157</v>
      </c>
      <c r="CE4076" s="2" t="s">
        <v>948</v>
      </c>
      <c r="CF4076" s="5">
        <v>42963</v>
      </c>
      <c r="CG4076" s="2"/>
      <c r="CH4076" s="2"/>
      <c r="CI4076" s="2">
        <v>1</v>
      </c>
      <c r="CJ4076" s="2">
        <v>9</v>
      </c>
      <c r="CK4076" s="2">
        <v>21</v>
      </c>
      <c r="CL4076" s="2" t="s">
        <v>86</v>
      </c>
      <c r="CM4076" s="2"/>
    </row>
    <row r="4077" spans="1:91">
      <c r="A4077" s="2" t="s">
        <v>71</v>
      </c>
      <c r="B4077" s="2" t="s">
        <v>72</v>
      </c>
      <c r="C4077" s="2" t="s">
        <v>73</v>
      </c>
      <c r="D4077" s="2"/>
      <c r="E4077" s="2" t="str">
        <f>"FES1162566127"</f>
        <v>FES1162566127</v>
      </c>
      <c r="F4077" s="3">
        <v>42949</v>
      </c>
      <c r="G4077" s="2">
        <v>201802</v>
      </c>
      <c r="H4077" s="2" t="s">
        <v>74</v>
      </c>
      <c r="I4077" s="2" t="s">
        <v>75</v>
      </c>
      <c r="J4077" s="2" t="s">
        <v>76</v>
      </c>
      <c r="K4077" s="2" t="s">
        <v>77</v>
      </c>
      <c r="L4077" s="2" t="s">
        <v>362</v>
      </c>
      <c r="M4077" s="2" t="s">
        <v>363</v>
      </c>
      <c r="N4077" s="2" t="s">
        <v>683</v>
      </c>
      <c r="O4077" s="2" t="s">
        <v>100</v>
      </c>
      <c r="P4077" s="2" t="str">
        <f>"2170577078                    "</f>
        <v xml:space="preserve">2170577078                    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7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0</v>
      </c>
      <c r="AV4077" s="2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2">
        <v>0</v>
      </c>
      <c r="BD4077" s="2">
        <v>0</v>
      </c>
      <c r="BE4077" s="2">
        <v>0</v>
      </c>
      <c r="BF4077" s="2">
        <v>0</v>
      </c>
      <c r="BG4077" s="2">
        <v>0</v>
      </c>
      <c r="BH4077" s="2">
        <v>1</v>
      </c>
      <c r="BI4077" s="2">
        <v>3.4</v>
      </c>
      <c r="BJ4077" s="2">
        <v>1.6</v>
      </c>
      <c r="BK4077" s="2">
        <v>3.5</v>
      </c>
      <c r="BL4077" s="2">
        <v>72.52</v>
      </c>
      <c r="BM4077" s="2">
        <v>10.15</v>
      </c>
      <c r="BN4077" s="2">
        <v>82.67</v>
      </c>
      <c r="BO4077" s="2">
        <v>82.67</v>
      </c>
      <c r="BP4077" s="2"/>
      <c r="BQ4077" s="2" t="s">
        <v>108</v>
      </c>
      <c r="BR4077" s="2" t="s">
        <v>84</v>
      </c>
      <c r="BS4077" s="3">
        <v>42950</v>
      </c>
      <c r="BT4077" s="4">
        <v>0.375</v>
      </c>
      <c r="BU4077" s="2" t="s">
        <v>805</v>
      </c>
      <c r="BV4077" s="2" t="s">
        <v>95</v>
      </c>
      <c r="BW4077" s="2"/>
      <c r="BX4077" s="2"/>
      <c r="BY4077" s="2">
        <v>8200.7000000000007</v>
      </c>
      <c r="BZ4077" s="2" t="s">
        <v>27</v>
      </c>
      <c r="CA4077" s="2"/>
      <c r="CB4077" s="2"/>
      <c r="CC4077" s="2" t="s">
        <v>363</v>
      </c>
      <c r="CD4077" s="2">
        <v>3201</v>
      </c>
      <c r="CE4077" s="2" t="s">
        <v>89</v>
      </c>
      <c r="CF4077" s="5">
        <v>42954</v>
      </c>
      <c r="CG4077" s="2"/>
      <c r="CH4077" s="2"/>
      <c r="CI4077" s="2">
        <v>1</v>
      </c>
      <c r="CJ4077" s="2">
        <v>1</v>
      </c>
      <c r="CK4077" s="2">
        <v>21</v>
      </c>
      <c r="CL4077" s="2" t="s">
        <v>86</v>
      </c>
      <c r="CM4077" s="2"/>
    </row>
    <row r="4078" spans="1:91">
      <c r="A4078" s="2" t="s">
        <v>71</v>
      </c>
      <c r="B4078" s="2" t="s">
        <v>72</v>
      </c>
      <c r="C4078" s="2" t="s">
        <v>73</v>
      </c>
      <c r="D4078" s="2"/>
      <c r="E4078" s="2" t="str">
        <f>"FES1162566315"</f>
        <v>FES1162566315</v>
      </c>
      <c r="F4078" s="3">
        <v>42949</v>
      </c>
      <c r="G4078" s="2">
        <v>201802</v>
      </c>
      <c r="H4078" s="2" t="s">
        <v>74</v>
      </c>
      <c r="I4078" s="2" t="s">
        <v>75</v>
      </c>
      <c r="J4078" s="2" t="s">
        <v>76</v>
      </c>
      <c r="K4078" s="2" t="s">
        <v>77</v>
      </c>
      <c r="L4078" s="2" t="s">
        <v>268</v>
      </c>
      <c r="M4078" s="2" t="s">
        <v>269</v>
      </c>
      <c r="N4078" s="2" t="s">
        <v>635</v>
      </c>
      <c r="O4078" s="2" t="s">
        <v>100</v>
      </c>
      <c r="P4078" s="2" t="str">
        <f>"2170587935                    "</f>
        <v xml:space="preserve">2170587935                    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7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2">
        <v>0</v>
      </c>
      <c r="BD4078" s="2">
        <v>0</v>
      </c>
      <c r="BE4078" s="2">
        <v>0</v>
      </c>
      <c r="BF4078" s="2">
        <v>0</v>
      </c>
      <c r="BG4078" s="2">
        <v>0</v>
      </c>
      <c r="BH4078" s="2">
        <v>1</v>
      </c>
      <c r="BI4078" s="2">
        <v>2</v>
      </c>
      <c r="BJ4078" s="2">
        <v>3.3</v>
      </c>
      <c r="BK4078" s="2">
        <v>3.5</v>
      </c>
      <c r="BL4078" s="2">
        <v>72.52</v>
      </c>
      <c r="BM4078" s="2">
        <v>10.15</v>
      </c>
      <c r="BN4078" s="2">
        <v>82.67</v>
      </c>
      <c r="BO4078" s="2">
        <v>82.67</v>
      </c>
      <c r="BP4078" s="2"/>
      <c r="BQ4078" s="2" t="s">
        <v>636</v>
      </c>
      <c r="BR4078" s="2" t="s">
        <v>84</v>
      </c>
      <c r="BS4078" s="3">
        <v>42950</v>
      </c>
      <c r="BT4078" s="4">
        <v>0.45833333333333331</v>
      </c>
      <c r="BU4078" s="2" t="s">
        <v>664</v>
      </c>
      <c r="BV4078" s="2" t="s">
        <v>86</v>
      </c>
      <c r="BW4078" s="2" t="s">
        <v>1007</v>
      </c>
      <c r="BX4078" s="2" t="s">
        <v>1008</v>
      </c>
      <c r="BY4078" s="2">
        <v>16545.599999999999</v>
      </c>
      <c r="BZ4078" s="2" t="s">
        <v>27</v>
      </c>
      <c r="CA4078" s="2" t="s">
        <v>638</v>
      </c>
      <c r="CB4078" s="2"/>
      <c r="CC4078" s="2" t="s">
        <v>269</v>
      </c>
      <c r="CD4078" s="2">
        <v>184</v>
      </c>
      <c r="CE4078" s="2" t="s">
        <v>89</v>
      </c>
      <c r="CF4078" s="5">
        <v>42950</v>
      </c>
      <c r="CG4078" s="2"/>
      <c r="CH4078" s="2"/>
      <c r="CI4078" s="2">
        <v>1</v>
      </c>
      <c r="CJ4078" s="2">
        <v>1</v>
      </c>
      <c r="CK4078" s="2">
        <v>21</v>
      </c>
      <c r="CL4078" s="2" t="s">
        <v>86</v>
      </c>
      <c r="CM4078" s="2"/>
    </row>
    <row r="4079" spans="1:91">
      <c r="A4079" s="2" t="s">
        <v>71</v>
      </c>
      <c r="B4079" s="2" t="s">
        <v>72</v>
      </c>
      <c r="C4079" s="2" t="s">
        <v>73</v>
      </c>
      <c r="D4079" s="2"/>
      <c r="E4079" s="2" t="str">
        <f>"FES1162566337"</f>
        <v>FES1162566337</v>
      </c>
      <c r="F4079" s="3">
        <v>42949</v>
      </c>
      <c r="G4079" s="2">
        <v>201802</v>
      </c>
      <c r="H4079" s="2" t="s">
        <v>74</v>
      </c>
      <c r="I4079" s="2" t="s">
        <v>75</v>
      </c>
      <c r="J4079" s="2" t="s">
        <v>76</v>
      </c>
      <c r="K4079" s="2" t="s">
        <v>77</v>
      </c>
      <c r="L4079" s="2" t="s">
        <v>237</v>
      </c>
      <c r="M4079" s="2" t="s">
        <v>238</v>
      </c>
      <c r="N4079" s="2" t="s">
        <v>673</v>
      </c>
      <c r="O4079" s="2" t="s">
        <v>100</v>
      </c>
      <c r="P4079" s="2" t="str">
        <f>"2170582748                    "</f>
        <v xml:space="preserve">2170582748                    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4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2">
        <v>0</v>
      </c>
      <c r="BD4079" s="2">
        <v>0</v>
      </c>
      <c r="BE4079" s="2">
        <v>0</v>
      </c>
      <c r="BF4079" s="2">
        <v>0</v>
      </c>
      <c r="BG4079" s="2">
        <v>0</v>
      </c>
      <c r="BH4079" s="2">
        <v>1</v>
      </c>
      <c r="BI4079" s="2">
        <v>1</v>
      </c>
      <c r="BJ4079" s="2">
        <v>0.2</v>
      </c>
      <c r="BK4079" s="2">
        <v>1</v>
      </c>
      <c r="BL4079" s="2">
        <v>41.44</v>
      </c>
      <c r="BM4079" s="2">
        <v>5.8</v>
      </c>
      <c r="BN4079" s="2">
        <v>47.24</v>
      </c>
      <c r="BO4079" s="2">
        <v>47.24</v>
      </c>
      <c r="BP4079" s="2"/>
      <c r="BQ4079" s="2" t="s">
        <v>83</v>
      </c>
      <c r="BR4079" s="2" t="s">
        <v>84</v>
      </c>
      <c r="BS4079" s="3">
        <v>42950</v>
      </c>
      <c r="BT4079" s="4">
        <v>0.41250000000000003</v>
      </c>
      <c r="BU4079" s="2" t="s">
        <v>674</v>
      </c>
      <c r="BV4079" s="2" t="s">
        <v>95</v>
      </c>
      <c r="BW4079" s="2"/>
      <c r="BX4079" s="2"/>
      <c r="BY4079" s="2">
        <v>1200</v>
      </c>
      <c r="BZ4079" s="2" t="s">
        <v>27</v>
      </c>
      <c r="CA4079" s="2" t="s">
        <v>401</v>
      </c>
      <c r="CB4079" s="2"/>
      <c r="CC4079" s="2" t="s">
        <v>238</v>
      </c>
      <c r="CD4079" s="2">
        <v>3610</v>
      </c>
      <c r="CE4079" s="2" t="s">
        <v>104</v>
      </c>
      <c r="CF4079" s="5">
        <v>42951</v>
      </c>
      <c r="CG4079" s="2"/>
      <c r="CH4079" s="2"/>
      <c r="CI4079" s="2">
        <v>1</v>
      </c>
      <c r="CJ4079" s="2">
        <v>1</v>
      </c>
      <c r="CK4079" s="2">
        <v>21</v>
      </c>
      <c r="CL4079" s="2" t="s">
        <v>86</v>
      </c>
      <c r="CM4079" s="2"/>
    </row>
    <row r="4080" spans="1:91">
      <c r="A4080" s="2" t="s">
        <v>71</v>
      </c>
      <c r="B4080" s="2" t="s">
        <v>72</v>
      </c>
      <c r="C4080" s="2" t="s">
        <v>73</v>
      </c>
      <c r="D4080" s="2"/>
      <c r="E4080" s="2" t="str">
        <f>"FES1162566464"</f>
        <v>FES1162566464</v>
      </c>
      <c r="F4080" s="3">
        <v>42949</v>
      </c>
      <c r="G4080" s="2">
        <v>201802</v>
      </c>
      <c r="H4080" s="2" t="s">
        <v>74</v>
      </c>
      <c r="I4080" s="2" t="s">
        <v>75</v>
      </c>
      <c r="J4080" s="2" t="s">
        <v>76</v>
      </c>
      <c r="K4080" s="2" t="s">
        <v>77</v>
      </c>
      <c r="L4080" s="2" t="s">
        <v>715</v>
      </c>
      <c r="M4080" s="2" t="s">
        <v>716</v>
      </c>
      <c r="N4080" s="2" t="s">
        <v>3835</v>
      </c>
      <c r="O4080" s="2" t="s">
        <v>100</v>
      </c>
      <c r="P4080" s="2" t="str">
        <f>"2170582821                    "</f>
        <v xml:space="preserve">2170582821                    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5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0</v>
      </c>
      <c r="AV4080" s="2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2">
        <v>0</v>
      </c>
      <c r="BD4080" s="2">
        <v>0</v>
      </c>
      <c r="BE4080" s="2">
        <v>0</v>
      </c>
      <c r="BF4080" s="2">
        <v>0</v>
      </c>
      <c r="BG4080" s="2">
        <v>0</v>
      </c>
      <c r="BH4080" s="2">
        <v>1</v>
      </c>
      <c r="BI4080" s="2">
        <v>1</v>
      </c>
      <c r="BJ4080" s="2">
        <v>2.2000000000000002</v>
      </c>
      <c r="BK4080" s="2">
        <v>2.5</v>
      </c>
      <c r="BL4080" s="2">
        <v>51.8</v>
      </c>
      <c r="BM4080" s="2">
        <v>7.25</v>
      </c>
      <c r="BN4080" s="2">
        <v>59.05</v>
      </c>
      <c r="BO4080" s="2">
        <v>59.05</v>
      </c>
      <c r="BP4080" s="2"/>
      <c r="BQ4080" s="2" t="s">
        <v>365</v>
      </c>
      <c r="BR4080" s="2" t="s">
        <v>84</v>
      </c>
      <c r="BS4080" s="3">
        <v>42950</v>
      </c>
      <c r="BT4080" s="4">
        <v>0.54375000000000007</v>
      </c>
      <c r="BU4080" s="2" t="s">
        <v>3836</v>
      </c>
      <c r="BV4080" s="2" t="s">
        <v>95</v>
      </c>
      <c r="BW4080" s="2"/>
      <c r="BX4080" s="2"/>
      <c r="BY4080" s="2">
        <v>10933</v>
      </c>
      <c r="BZ4080" s="2" t="s">
        <v>27</v>
      </c>
      <c r="CA4080" s="2" t="s">
        <v>566</v>
      </c>
      <c r="CB4080" s="2"/>
      <c r="CC4080" s="2" t="s">
        <v>716</v>
      </c>
      <c r="CD4080" s="2">
        <v>3280</v>
      </c>
      <c r="CE4080" s="2" t="s">
        <v>948</v>
      </c>
      <c r="CF4080" s="5">
        <v>42954</v>
      </c>
      <c r="CG4080" s="2"/>
      <c r="CH4080" s="2"/>
      <c r="CI4080" s="2">
        <v>1</v>
      </c>
      <c r="CJ4080" s="2">
        <v>1</v>
      </c>
      <c r="CK4080" s="2">
        <v>21</v>
      </c>
      <c r="CL4080" s="2" t="s">
        <v>86</v>
      </c>
      <c r="CM4080" s="2"/>
    </row>
    <row r="4081" spans="1:91">
      <c r="A4081" s="2" t="s">
        <v>71</v>
      </c>
      <c r="B4081" s="2" t="s">
        <v>72</v>
      </c>
      <c r="C4081" s="2" t="s">
        <v>73</v>
      </c>
      <c r="D4081" s="2"/>
      <c r="E4081" s="2" t="str">
        <f>"FES1162566449"</f>
        <v>FES1162566449</v>
      </c>
      <c r="F4081" s="3">
        <v>42949</v>
      </c>
      <c r="G4081" s="2">
        <v>201802</v>
      </c>
      <c r="H4081" s="2" t="s">
        <v>74</v>
      </c>
      <c r="I4081" s="2" t="s">
        <v>75</v>
      </c>
      <c r="J4081" s="2" t="s">
        <v>76</v>
      </c>
      <c r="K4081" s="2" t="s">
        <v>77</v>
      </c>
      <c r="L4081" s="2" t="s">
        <v>417</v>
      </c>
      <c r="M4081" s="2" t="s">
        <v>417</v>
      </c>
      <c r="N4081" s="2" t="s">
        <v>1309</v>
      </c>
      <c r="O4081" s="2" t="s">
        <v>100</v>
      </c>
      <c r="P4081" s="2" t="str">
        <f>"2170582722                    "</f>
        <v xml:space="preserve">2170582722                    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4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0</v>
      </c>
      <c r="AV4081" s="2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2">
        <v>0</v>
      </c>
      <c r="BD4081" s="2">
        <v>0</v>
      </c>
      <c r="BE4081" s="2">
        <v>0</v>
      </c>
      <c r="BF4081" s="2">
        <v>0</v>
      </c>
      <c r="BG4081" s="2">
        <v>0</v>
      </c>
      <c r="BH4081" s="2">
        <v>1</v>
      </c>
      <c r="BI4081" s="2">
        <v>1</v>
      </c>
      <c r="BJ4081" s="2">
        <v>0.2</v>
      </c>
      <c r="BK4081" s="2">
        <v>1</v>
      </c>
      <c r="BL4081" s="2">
        <v>41.44</v>
      </c>
      <c r="BM4081" s="2">
        <v>5.8</v>
      </c>
      <c r="BN4081" s="2">
        <v>47.24</v>
      </c>
      <c r="BO4081" s="2">
        <v>47.24</v>
      </c>
      <c r="BP4081" s="2"/>
      <c r="BQ4081" s="2" t="s">
        <v>83</v>
      </c>
      <c r="BR4081" s="2" t="s">
        <v>84</v>
      </c>
      <c r="BS4081" s="3">
        <v>42950</v>
      </c>
      <c r="BT4081" s="4">
        <v>0.46527777777777773</v>
      </c>
      <c r="BU4081" s="2" t="s">
        <v>653</v>
      </c>
      <c r="BV4081" s="2" t="s">
        <v>95</v>
      </c>
      <c r="BW4081" s="2"/>
      <c r="BX4081" s="2"/>
      <c r="BY4081" s="2">
        <v>1200</v>
      </c>
      <c r="BZ4081" s="2" t="s">
        <v>27</v>
      </c>
      <c r="CA4081" s="2" t="s">
        <v>460</v>
      </c>
      <c r="CB4081" s="2"/>
      <c r="CC4081" s="2" t="s">
        <v>417</v>
      </c>
      <c r="CD4081" s="2">
        <v>7646</v>
      </c>
      <c r="CE4081" s="2" t="s">
        <v>104</v>
      </c>
      <c r="CF4081" s="5">
        <v>42950</v>
      </c>
      <c r="CG4081" s="2"/>
      <c r="CH4081" s="2"/>
      <c r="CI4081" s="2">
        <v>1</v>
      </c>
      <c r="CJ4081" s="2">
        <v>1</v>
      </c>
      <c r="CK4081" s="2">
        <v>21</v>
      </c>
      <c r="CL4081" s="2" t="s">
        <v>86</v>
      </c>
      <c r="CM4081" s="2"/>
    </row>
    <row r="4082" spans="1:91">
      <c r="A4082" s="2" t="s">
        <v>71</v>
      </c>
      <c r="B4082" s="2" t="s">
        <v>72</v>
      </c>
      <c r="C4082" s="2" t="s">
        <v>73</v>
      </c>
      <c r="D4082" s="2"/>
      <c r="E4082" s="2" t="str">
        <f>"FES1162566451"</f>
        <v>FES1162566451</v>
      </c>
      <c r="F4082" s="3">
        <v>42949</v>
      </c>
      <c r="G4082" s="2">
        <v>201802</v>
      </c>
      <c r="H4082" s="2" t="s">
        <v>74</v>
      </c>
      <c r="I4082" s="2" t="s">
        <v>75</v>
      </c>
      <c r="J4082" s="2" t="s">
        <v>76</v>
      </c>
      <c r="K4082" s="2" t="s">
        <v>77</v>
      </c>
      <c r="L4082" s="2" t="s">
        <v>437</v>
      </c>
      <c r="M4082" s="2" t="s">
        <v>438</v>
      </c>
      <c r="N4082" s="2" t="s">
        <v>749</v>
      </c>
      <c r="O4082" s="2" t="s">
        <v>100</v>
      </c>
      <c r="P4082" s="2" t="str">
        <f>"2170582802                    "</f>
        <v xml:space="preserve">2170582802                    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4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0</v>
      </c>
      <c r="AY4082" s="2">
        <v>0</v>
      </c>
      <c r="AZ4082" s="2">
        <v>0</v>
      </c>
      <c r="BA4082" s="2">
        <v>0</v>
      </c>
      <c r="BB4082" s="2">
        <v>0</v>
      </c>
      <c r="BC4082" s="2">
        <v>0</v>
      </c>
      <c r="BD4082" s="2">
        <v>0</v>
      </c>
      <c r="BE4082" s="2">
        <v>0</v>
      </c>
      <c r="BF4082" s="2">
        <v>0</v>
      </c>
      <c r="BG4082" s="2">
        <v>0</v>
      </c>
      <c r="BH4082" s="2">
        <v>1</v>
      </c>
      <c r="BI4082" s="2">
        <v>1</v>
      </c>
      <c r="BJ4082" s="2">
        <v>0.2</v>
      </c>
      <c r="BK4082" s="2">
        <v>1</v>
      </c>
      <c r="BL4082" s="2">
        <v>41.44</v>
      </c>
      <c r="BM4082" s="2">
        <v>5.8</v>
      </c>
      <c r="BN4082" s="2">
        <v>47.24</v>
      </c>
      <c r="BO4082" s="2">
        <v>47.24</v>
      </c>
      <c r="BP4082" s="2"/>
      <c r="BQ4082" s="2" t="s">
        <v>108</v>
      </c>
      <c r="BR4082" s="2" t="s">
        <v>84</v>
      </c>
      <c r="BS4082" s="3">
        <v>42950</v>
      </c>
      <c r="BT4082" s="4">
        <v>0.43055555555555558</v>
      </c>
      <c r="BU4082" s="2" t="s">
        <v>1408</v>
      </c>
      <c r="BV4082" s="2" t="s">
        <v>95</v>
      </c>
      <c r="BW4082" s="2"/>
      <c r="BX4082" s="2"/>
      <c r="BY4082" s="2">
        <v>1200</v>
      </c>
      <c r="BZ4082" s="2" t="s">
        <v>27</v>
      </c>
      <c r="CA4082" s="2" t="s">
        <v>441</v>
      </c>
      <c r="CB4082" s="2"/>
      <c r="CC4082" s="2" t="s">
        <v>438</v>
      </c>
      <c r="CD4082" s="2">
        <v>6536</v>
      </c>
      <c r="CE4082" s="2" t="s">
        <v>104</v>
      </c>
      <c r="CF4082" s="5">
        <v>42951</v>
      </c>
      <c r="CG4082" s="2"/>
      <c r="CH4082" s="2"/>
      <c r="CI4082" s="2">
        <v>1</v>
      </c>
      <c r="CJ4082" s="2">
        <v>1</v>
      </c>
      <c r="CK4082" s="2">
        <v>21</v>
      </c>
      <c r="CL4082" s="2" t="s">
        <v>86</v>
      </c>
      <c r="CM4082" s="2"/>
    </row>
    <row r="4083" spans="1:91">
      <c r="A4083" s="2" t="s">
        <v>71</v>
      </c>
      <c r="B4083" s="2" t="s">
        <v>72</v>
      </c>
      <c r="C4083" s="2" t="s">
        <v>73</v>
      </c>
      <c r="D4083" s="2"/>
      <c r="E4083" s="2" t="str">
        <f>"FES1162566377"</f>
        <v>FES1162566377</v>
      </c>
      <c r="F4083" s="3">
        <v>42949</v>
      </c>
      <c r="G4083" s="2">
        <v>201802</v>
      </c>
      <c r="H4083" s="2" t="s">
        <v>74</v>
      </c>
      <c r="I4083" s="2" t="s">
        <v>75</v>
      </c>
      <c r="J4083" s="2" t="s">
        <v>76</v>
      </c>
      <c r="K4083" s="2" t="s">
        <v>77</v>
      </c>
      <c r="L4083" s="2" t="s">
        <v>1202</v>
      </c>
      <c r="M4083" s="2" t="s">
        <v>1203</v>
      </c>
      <c r="N4083" s="2" t="s">
        <v>2296</v>
      </c>
      <c r="O4083" s="2" t="s">
        <v>100</v>
      </c>
      <c r="P4083" s="2" t="str">
        <f>"2170580523                    "</f>
        <v xml:space="preserve">2170580523                    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3.13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0</v>
      </c>
      <c r="AV4083" s="2">
        <v>0</v>
      </c>
      <c r="AW4083" s="2">
        <v>0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2">
        <v>0</v>
      </c>
      <c r="BD4083" s="2">
        <v>0</v>
      </c>
      <c r="BE4083" s="2">
        <v>0</v>
      </c>
      <c r="BF4083" s="2">
        <v>0</v>
      </c>
      <c r="BG4083" s="2">
        <v>0</v>
      </c>
      <c r="BH4083" s="2">
        <v>1</v>
      </c>
      <c r="BI4083" s="2">
        <v>1</v>
      </c>
      <c r="BJ4083" s="2">
        <v>0.2</v>
      </c>
      <c r="BK4083" s="2">
        <v>1</v>
      </c>
      <c r="BL4083" s="2">
        <v>32.380000000000003</v>
      </c>
      <c r="BM4083" s="2">
        <v>4.53</v>
      </c>
      <c r="BN4083" s="2">
        <v>36.909999999999997</v>
      </c>
      <c r="BO4083" s="2">
        <v>36.909999999999997</v>
      </c>
      <c r="BP4083" s="2"/>
      <c r="BQ4083" s="2" t="s">
        <v>108</v>
      </c>
      <c r="BR4083" s="2" t="s">
        <v>84</v>
      </c>
      <c r="BS4083" s="3">
        <v>42950</v>
      </c>
      <c r="BT4083" s="4">
        <v>0.5</v>
      </c>
      <c r="BU4083" s="2" t="s">
        <v>2782</v>
      </c>
      <c r="BV4083" s="2" t="s">
        <v>86</v>
      </c>
      <c r="BW4083" s="2" t="s">
        <v>110</v>
      </c>
      <c r="BX4083" s="2" t="s">
        <v>327</v>
      </c>
      <c r="BY4083" s="2">
        <v>1200</v>
      </c>
      <c r="BZ4083" s="2" t="s">
        <v>27</v>
      </c>
      <c r="CA4083" s="2" t="s">
        <v>499</v>
      </c>
      <c r="CB4083" s="2"/>
      <c r="CC4083" s="2" t="s">
        <v>1203</v>
      </c>
      <c r="CD4083" s="2">
        <v>1501</v>
      </c>
      <c r="CE4083" s="2" t="s">
        <v>104</v>
      </c>
      <c r="CF4083" s="5">
        <v>42951</v>
      </c>
      <c r="CG4083" s="2"/>
      <c r="CH4083" s="2"/>
      <c r="CI4083" s="2">
        <v>1</v>
      </c>
      <c r="CJ4083" s="2">
        <v>1</v>
      </c>
      <c r="CK4083" s="2">
        <v>22</v>
      </c>
      <c r="CL4083" s="2" t="s">
        <v>86</v>
      </c>
      <c r="CM4083" s="2"/>
    </row>
    <row r="4084" spans="1:91">
      <c r="A4084" s="2" t="s">
        <v>71</v>
      </c>
      <c r="B4084" s="2" t="s">
        <v>72</v>
      </c>
      <c r="C4084" s="2" t="s">
        <v>73</v>
      </c>
      <c r="D4084" s="2"/>
      <c r="E4084" s="2" t="str">
        <f>"FES1162566424"</f>
        <v>FES1162566424</v>
      </c>
      <c r="F4084" s="3">
        <v>42949</v>
      </c>
      <c r="G4084" s="2">
        <v>201802</v>
      </c>
      <c r="H4084" s="2" t="s">
        <v>74</v>
      </c>
      <c r="I4084" s="2" t="s">
        <v>75</v>
      </c>
      <c r="J4084" s="2" t="s">
        <v>76</v>
      </c>
      <c r="K4084" s="2" t="s">
        <v>77</v>
      </c>
      <c r="L4084" s="2" t="s">
        <v>105</v>
      </c>
      <c r="M4084" s="2" t="s">
        <v>106</v>
      </c>
      <c r="N4084" s="2" t="s">
        <v>107</v>
      </c>
      <c r="O4084" s="2" t="s">
        <v>100</v>
      </c>
      <c r="P4084" s="2" t="str">
        <f>"2170582782                    "</f>
        <v xml:space="preserve">2170582782                    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4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0</v>
      </c>
      <c r="BA4084" s="2">
        <v>0</v>
      </c>
      <c r="BB4084" s="2">
        <v>0</v>
      </c>
      <c r="BC4084" s="2">
        <v>0</v>
      </c>
      <c r="BD4084" s="2">
        <v>0</v>
      </c>
      <c r="BE4084" s="2">
        <v>0</v>
      </c>
      <c r="BF4084" s="2">
        <v>0</v>
      </c>
      <c r="BG4084" s="2">
        <v>0</v>
      </c>
      <c r="BH4084" s="2">
        <v>1</v>
      </c>
      <c r="BI4084" s="2">
        <v>1</v>
      </c>
      <c r="BJ4084" s="2">
        <v>0.2</v>
      </c>
      <c r="BK4084" s="2">
        <v>1</v>
      </c>
      <c r="BL4084" s="2">
        <v>41.44</v>
      </c>
      <c r="BM4084" s="2">
        <v>5.8</v>
      </c>
      <c r="BN4084" s="2">
        <v>47.24</v>
      </c>
      <c r="BO4084" s="2">
        <v>47.24</v>
      </c>
      <c r="BP4084" s="2"/>
      <c r="BQ4084" s="2" t="s">
        <v>108</v>
      </c>
      <c r="BR4084" s="2" t="s">
        <v>84</v>
      </c>
      <c r="BS4084" s="3">
        <v>42950</v>
      </c>
      <c r="BT4084" s="4">
        <v>0.4055555555555555</v>
      </c>
      <c r="BU4084" s="2" t="s">
        <v>1503</v>
      </c>
      <c r="BV4084" s="2" t="s">
        <v>95</v>
      </c>
      <c r="BW4084" s="2"/>
      <c r="BX4084" s="2"/>
      <c r="BY4084" s="2">
        <v>1200</v>
      </c>
      <c r="BZ4084" s="2" t="s">
        <v>27</v>
      </c>
      <c r="CA4084" s="2" t="s">
        <v>112</v>
      </c>
      <c r="CB4084" s="2"/>
      <c r="CC4084" s="2" t="s">
        <v>106</v>
      </c>
      <c r="CD4084" s="2">
        <v>7405</v>
      </c>
      <c r="CE4084" s="2" t="s">
        <v>104</v>
      </c>
      <c r="CF4084" s="5">
        <v>42950</v>
      </c>
      <c r="CG4084" s="2"/>
      <c r="CH4084" s="2"/>
      <c r="CI4084" s="2">
        <v>1</v>
      </c>
      <c r="CJ4084" s="2">
        <v>1</v>
      </c>
      <c r="CK4084" s="2">
        <v>21</v>
      </c>
      <c r="CL4084" s="2" t="s">
        <v>86</v>
      </c>
      <c r="CM4084" s="2"/>
    </row>
    <row r="4085" spans="1:91">
      <c r="A4085" s="2" t="s">
        <v>71</v>
      </c>
      <c r="B4085" s="2" t="s">
        <v>72</v>
      </c>
      <c r="C4085" s="2" t="s">
        <v>73</v>
      </c>
      <c r="D4085" s="2"/>
      <c r="E4085" s="2" t="str">
        <f>"FES1162566540"</f>
        <v>FES1162566540</v>
      </c>
      <c r="F4085" s="3">
        <v>42949</v>
      </c>
      <c r="G4085" s="2">
        <v>201802</v>
      </c>
      <c r="H4085" s="2" t="s">
        <v>74</v>
      </c>
      <c r="I4085" s="2" t="s">
        <v>75</v>
      </c>
      <c r="J4085" s="2" t="s">
        <v>76</v>
      </c>
      <c r="K4085" s="2" t="s">
        <v>77</v>
      </c>
      <c r="L4085" s="2" t="s">
        <v>417</v>
      </c>
      <c r="M4085" s="2" t="s">
        <v>417</v>
      </c>
      <c r="N4085" s="2" t="s">
        <v>3837</v>
      </c>
      <c r="O4085" s="2" t="s">
        <v>100</v>
      </c>
      <c r="P4085" s="2" t="str">
        <f>"2170582888                    "</f>
        <v xml:space="preserve">2170582888                    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4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0</v>
      </c>
      <c r="AV4085" s="2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2">
        <v>0</v>
      </c>
      <c r="BD4085" s="2">
        <v>0</v>
      </c>
      <c r="BE4085" s="2">
        <v>0</v>
      </c>
      <c r="BF4085" s="2">
        <v>0</v>
      </c>
      <c r="BG4085" s="2">
        <v>0</v>
      </c>
      <c r="BH4085" s="2">
        <v>1</v>
      </c>
      <c r="BI4085" s="2">
        <v>1</v>
      </c>
      <c r="BJ4085" s="2">
        <v>0.2</v>
      </c>
      <c r="BK4085" s="2">
        <v>1</v>
      </c>
      <c r="BL4085" s="2">
        <v>41.44</v>
      </c>
      <c r="BM4085" s="2">
        <v>5.8</v>
      </c>
      <c r="BN4085" s="2">
        <v>47.24</v>
      </c>
      <c r="BO4085" s="2">
        <v>47.24</v>
      </c>
      <c r="BP4085" s="2"/>
      <c r="BQ4085" s="2" t="s">
        <v>365</v>
      </c>
      <c r="BR4085" s="2" t="s">
        <v>84</v>
      </c>
      <c r="BS4085" s="3">
        <v>42950</v>
      </c>
      <c r="BT4085" s="4">
        <v>0.37152777777777773</v>
      </c>
      <c r="BU4085" s="2" t="s">
        <v>3838</v>
      </c>
      <c r="BV4085" s="2" t="s">
        <v>95</v>
      </c>
      <c r="BW4085" s="2"/>
      <c r="BX4085" s="2"/>
      <c r="BY4085" s="2">
        <v>1200</v>
      </c>
      <c r="BZ4085" s="2" t="s">
        <v>27</v>
      </c>
      <c r="CA4085" s="2" t="s">
        <v>460</v>
      </c>
      <c r="CB4085" s="2"/>
      <c r="CC4085" s="2" t="s">
        <v>417</v>
      </c>
      <c r="CD4085" s="2">
        <v>7624</v>
      </c>
      <c r="CE4085" s="2" t="s">
        <v>104</v>
      </c>
      <c r="CF4085" s="5">
        <v>42950</v>
      </c>
      <c r="CG4085" s="2"/>
      <c r="CH4085" s="2"/>
      <c r="CI4085" s="2">
        <v>1</v>
      </c>
      <c r="CJ4085" s="2">
        <v>1</v>
      </c>
      <c r="CK4085" s="2">
        <v>21</v>
      </c>
      <c r="CL4085" s="2" t="s">
        <v>86</v>
      </c>
      <c r="CM4085" s="2"/>
    </row>
    <row r="4086" spans="1:91">
      <c r="A4086" s="2" t="s">
        <v>71</v>
      </c>
      <c r="B4086" s="2" t="s">
        <v>72</v>
      </c>
      <c r="C4086" s="2" t="s">
        <v>73</v>
      </c>
      <c r="D4086" s="2"/>
      <c r="E4086" s="2" t="str">
        <f>"FES1162566142"</f>
        <v>FES1162566142</v>
      </c>
      <c r="F4086" s="3">
        <v>42949</v>
      </c>
      <c r="G4086" s="2">
        <v>201802</v>
      </c>
      <c r="H4086" s="2" t="s">
        <v>74</v>
      </c>
      <c r="I4086" s="2" t="s">
        <v>75</v>
      </c>
      <c r="J4086" s="2" t="s">
        <v>76</v>
      </c>
      <c r="K4086" s="2" t="s">
        <v>77</v>
      </c>
      <c r="L4086" s="2" t="s">
        <v>362</v>
      </c>
      <c r="M4086" s="2" t="s">
        <v>363</v>
      </c>
      <c r="N4086" s="2" t="s">
        <v>683</v>
      </c>
      <c r="O4086" s="2" t="s">
        <v>100</v>
      </c>
      <c r="P4086" s="2" t="str">
        <f>"2170579679                    "</f>
        <v xml:space="preserve">2170579679                    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4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2">
        <v>0</v>
      </c>
      <c r="BD4086" s="2">
        <v>0</v>
      </c>
      <c r="BE4086" s="2">
        <v>0</v>
      </c>
      <c r="BF4086" s="2">
        <v>0</v>
      </c>
      <c r="BG4086" s="2">
        <v>0</v>
      </c>
      <c r="BH4086" s="2">
        <v>1</v>
      </c>
      <c r="BI4086" s="2">
        <v>1</v>
      </c>
      <c r="BJ4086" s="2">
        <v>0.2</v>
      </c>
      <c r="BK4086" s="2">
        <v>1</v>
      </c>
      <c r="BL4086" s="2">
        <v>41.44</v>
      </c>
      <c r="BM4086" s="2">
        <v>5.8</v>
      </c>
      <c r="BN4086" s="2">
        <v>47.24</v>
      </c>
      <c r="BO4086" s="2">
        <v>47.24</v>
      </c>
      <c r="BP4086" s="2"/>
      <c r="BQ4086" s="2" t="s">
        <v>108</v>
      </c>
      <c r="BR4086" s="2" t="s">
        <v>84</v>
      </c>
      <c r="BS4086" s="3">
        <v>42950</v>
      </c>
      <c r="BT4086" s="4">
        <v>0.375</v>
      </c>
      <c r="BU4086" s="2" t="s">
        <v>3839</v>
      </c>
      <c r="BV4086" s="2" t="s">
        <v>95</v>
      </c>
      <c r="BW4086" s="2"/>
      <c r="BX4086" s="2"/>
      <c r="BY4086" s="2">
        <v>1200</v>
      </c>
      <c r="BZ4086" s="2" t="s">
        <v>27</v>
      </c>
      <c r="CA4086" s="2"/>
      <c r="CB4086" s="2"/>
      <c r="CC4086" s="2" t="s">
        <v>363</v>
      </c>
      <c r="CD4086" s="2">
        <v>3201</v>
      </c>
      <c r="CE4086" s="2" t="s">
        <v>104</v>
      </c>
      <c r="CF4086" s="5">
        <v>42954</v>
      </c>
      <c r="CG4086" s="2"/>
      <c r="CH4086" s="2"/>
      <c r="CI4086" s="2">
        <v>1</v>
      </c>
      <c r="CJ4086" s="2">
        <v>1</v>
      </c>
      <c r="CK4086" s="2">
        <v>21</v>
      </c>
      <c r="CL4086" s="2" t="s">
        <v>86</v>
      </c>
      <c r="CM4086" s="2"/>
    </row>
    <row r="4087" spans="1:91">
      <c r="A4087" s="2" t="s">
        <v>71</v>
      </c>
      <c r="B4087" s="2" t="s">
        <v>72</v>
      </c>
      <c r="C4087" s="2" t="s">
        <v>73</v>
      </c>
      <c r="D4087" s="2"/>
      <c r="E4087" s="2" t="str">
        <f>"FES1162566419"</f>
        <v>FES1162566419</v>
      </c>
      <c r="F4087" s="3">
        <v>42949</v>
      </c>
      <c r="G4087" s="2">
        <v>201802</v>
      </c>
      <c r="H4087" s="2" t="s">
        <v>74</v>
      </c>
      <c r="I4087" s="2" t="s">
        <v>75</v>
      </c>
      <c r="J4087" s="2" t="s">
        <v>76</v>
      </c>
      <c r="K4087" s="2" t="s">
        <v>77</v>
      </c>
      <c r="L4087" s="2" t="s">
        <v>105</v>
      </c>
      <c r="M4087" s="2" t="s">
        <v>106</v>
      </c>
      <c r="N4087" s="2" t="s">
        <v>705</v>
      </c>
      <c r="O4087" s="2" t="s">
        <v>100</v>
      </c>
      <c r="P4087" s="2" t="str">
        <f>"2170582774                    "</f>
        <v xml:space="preserve">2170582774                    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4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0</v>
      </c>
      <c r="AU4087" s="2">
        <v>0</v>
      </c>
      <c r="AV4087" s="2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2">
        <v>0</v>
      </c>
      <c r="BD4087" s="2">
        <v>0</v>
      </c>
      <c r="BE4087" s="2">
        <v>0</v>
      </c>
      <c r="BF4087" s="2">
        <v>0</v>
      </c>
      <c r="BG4087" s="2">
        <v>0</v>
      </c>
      <c r="BH4087" s="2">
        <v>1</v>
      </c>
      <c r="BI4087" s="2">
        <v>1</v>
      </c>
      <c r="BJ4087" s="2">
        <v>0.2</v>
      </c>
      <c r="BK4087" s="2">
        <v>1</v>
      </c>
      <c r="BL4087" s="2">
        <v>41.44</v>
      </c>
      <c r="BM4087" s="2">
        <v>5.8</v>
      </c>
      <c r="BN4087" s="2">
        <v>47.24</v>
      </c>
      <c r="BO4087" s="2">
        <v>47.24</v>
      </c>
      <c r="BP4087" s="2"/>
      <c r="BQ4087" s="2" t="s">
        <v>108</v>
      </c>
      <c r="BR4087" s="2" t="s">
        <v>84</v>
      </c>
      <c r="BS4087" s="3">
        <v>42950</v>
      </c>
      <c r="BT4087" s="4">
        <v>0.45416666666666666</v>
      </c>
      <c r="BU4087" s="2" t="s">
        <v>904</v>
      </c>
      <c r="BV4087" s="2" t="s">
        <v>95</v>
      </c>
      <c r="BW4087" s="2"/>
      <c r="BX4087" s="2"/>
      <c r="BY4087" s="2">
        <v>1200</v>
      </c>
      <c r="BZ4087" s="2" t="s">
        <v>27</v>
      </c>
      <c r="CA4087" s="2" t="s">
        <v>488</v>
      </c>
      <c r="CB4087" s="2"/>
      <c r="CC4087" s="2" t="s">
        <v>106</v>
      </c>
      <c r="CD4087" s="2">
        <v>7441</v>
      </c>
      <c r="CE4087" s="2" t="s">
        <v>104</v>
      </c>
      <c r="CF4087" s="5">
        <v>42951</v>
      </c>
      <c r="CG4087" s="2"/>
      <c r="CH4087" s="2"/>
      <c r="CI4087" s="2">
        <v>1</v>
      </c>
      <c r="CJ4087" s="2">
        <v>1</v>
      </c>
      <c r="CK4087" s="2">
        <v>21</v>
      </c>
      <c r="CL4087" s="2" t="s">
        <v>86</v>
      </c>
      <c r="CM4087" s="2"/>
    </row>
    <row r="4088" spans="1:91">
      <c r="A4088" s="2" t="s">
        <v>71</v>
      </c>
      <c r="B4088" s="2" t="s">
        <v>72</v>
      </c>
      <c r="C4088" s="2" t="s">
        <v>73</v>
      </c>
      <c r="D4088" s="2"/>
      <c r="E4088" s="2" t="str">
        <f>"FES1162566328"</f>
        <v>FES1162566328</v>
      </c>
      <c r="F4088" s="3">
        <v>42949</v>
      </c>
      <c r="G4088" s="2">
        <v>201802</v>
      </c>
      <c r="H4088" s="2" t="s">
        <v>74</v>
      </c>
      <c r="I4088" s="2" t="s">
        <v>75</v>
      </c>
      <c r="J4088" s="2" t="s">
        <v>76</v>
      </c>
      <c r="K4088" s="2" t="s">
        <v>77</v>
      </c>
      <c r="L4088" s="2" t="s">
        <v>268</v>
      </c>
      <c r="M4088" s="2" t="s">
        <v>269</v>
      </c>
      <c r="N4088" s="2" t="s">
        <v>368</v>
      </c>
      <c r="O4088" s="2" t="s">
        <v>100</v>
      </c>
      <c r="P4088" s="2" t="str">
        <f>"2170579914                    "</f>
        <v xml:space="preserve">2170579914                    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4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0</v>
      </c>
      <c r="BB4088" s="2">
        <v>0</v>
      </c>
      <c r="BC4088" s="2">
        <v>0</v>
      </c>
      <c r="BD4088" s="2">
        <v>0</v>
      </c>
      <c r="BE4088" s="2">
        <v>0</v>
      </c>
      <c r="BF4088" s="2">
        <v>0</v>
      </c>
      <c r="BG4088" s="2">
        <v>0</v>
      </c>
      <c r="BH4088" s="2">
        <v>1</v>
      </c>
      <c r="BI4088" s="2">
        <v>1</v>
      </c>
      <c r="BJ4088" s="2">
        <v>0.2</v>
      </c>
      <c r="BK4088" s="2">
        <v>1</v>
      </c>
      <c r="BL4088" s="2">
        <v>41.44</v>
      </c>
      <c r="BM4088" s="2">
        <v>5.8</v>
      </c>
      <c r="BN4088" s="2">
        <v>47.24</v>
      </c>
      <c r="BO4088" s="2">
        <v>47.24</v>
      </c>
      <c r="BP4088" s="2"/>
      <c r="BQ4088" s="2" t="s">
        <v>108</v>
      </c>
      <c r="BR4088" s="2" t="s">
        <v>84</v>
      </c>
      <c r="BS4088" s="3">
        <v>42950</v>
      </c>
      <c r="BT4088" s="4">
        <v>0.35416666666666669</v>
      </c>
      <c r="BU4088" s="2" t="s">
        <v>369</v>
      </c>
      <c r="BV4088" s="2" t="s">
        <v>95</v>
      </c>
      <c r="BW4088" s="2"/>
      <c r="BX4088" s="2"/>
      <c r="BY4088" s="2">
        <v>1200</v>
      </c>
      <c r="BZ4088" s="2" t="s">
        <v>27</v>
      </c>
      <c r="CA4088" s="2"/>
      <c r="CB4088" s="2"/>
      <c r="CC4088" s="2" t="s">
        <v>269</v>
      </c>
      <c r="CD4088" s="2">
        <v>157</v>
      </c>
      <c r="CE4088" s="2" t="s">
        <v>104</v>
      </c>
      <c r="CF4088" s="5">
        <v>42951</v>
      </c>
      <c r="CG4088" s="2"/>
      <c r="CH4088" s="2"/>
      <c r="CI4088" s="2">
        <v>1</v>
      </c>
      <c r="CJ4088" s="2">
        <v>1</v>
      </c>
      <c r="CK4088" s="2">
        <v>21</v>
      </c>
      <c r="CL4088" s="2" t="s">
        <v>86</v>
      </c>
      <c r="CM4088" s="2"/>
    </row>
    <row r="4089" spans="1:91">
      <c r="A4089" s="2" t="s">
        <v>71</v>
      </c>
      <c r="B4089" s="2" t="s">
        <v>72</v>
      </c>
      <c r="C4089" s="2" t="s">
        <v>73</v>
      </c>
      <c r="D4089" s="2"/>
      <c r="E4089" s="2" t="str">
        <f>"FES1162566483"</f>
        <v>FES1162566483</v>
      </c>
      <c r="F4089" s="3">
        <v>42949</v>
      </c>
      <c r="G4089" s="2">
        <v>201802</v>
      </c>
      <c r="H4089" s="2" t="s">
        <v>74</v>
      </c>
      <c r="I4089" s="2" t="s">
        <v>75</v>
      </c>
      <c r="J4089" s="2" t="s">
        <v>76</v>
      </c>
      <c r="K4089" s="2" t="s">
        <v>77</v>
      </c>
      <c r="L4089" s="2" t="s">
        <v>362</v>
      </c>
      <c r="M4089" s="2" t="s">
        <v>363</v>
      </c>
      <c r="N4089" s="2" t="s">
        <v>1020</v>
      </c>
      <c r="O4089" s="2" t="s">
        <v>100</v>
      </c>
      <c r="P4089" s="2" t="str">
        <f>"2170582848                    "</f>
        <v xml:space="preserve">2170582848                    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9.01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2">
        <v>0</v>
      </c>
      <c r="BD4089" s="2">
        <v>0</v>
      </c>
      <c r="BE4089" s="2">
        <v>0</v>
      </c>
      <c r="BF4089" s="2">
        <v>0</v>
      </c>
      <c r="BG4089" s="2">
        <v>0</v>
      </c>
      <c r="BH4089" s="2">
        <v>1</v>
      </c>
      <c r="BI4089" s="2">
        <v>4.0999999999999996</v>
      </c>
      <c r="BJ4089" s="2">
        <v>1.4</v>
      </c>
      <c r="BK4089" s="2">
        <v>4.5</v>
      </c>
      <c r="BL4089" s="2">
        <v>93.25</v>
      </c>
      <c r="BM4089" s="2">
        <v>13.06</v>
      </c>
      <c r="BN4089" s="2">
        <v>106.31</v>
      </c>
      <c r="BO4089" s="2">
        <v>106.31</v>
      </c>
      <c r="BP4089" s="2"/>
      <c r="BQ4089" s="2" t="s">
        <v>209</v>
      </c>
      <c r="BR4089" s="2" t="s">
        <v>84</v>
      </c>
      <c r="BS4089" s="3">
        <v>42950</v>
      </c>
      <c r="BT4089" s="4">
        <v>0.39583333333333331</v>
      </c>
      <c r="BU4089" s="2" t="s">
        <v>1040</v>
      </c>
      <c r="BV4089" s="2" t="s">
        <v>95</v>
      </c>
      <c r="BW4089" s="2"/>
      <c r="BX4089" s="2"/>
      <c r="BY4089" s="2">
        <v>6903.16</v>
      </c>
      <c r="BZ4089" s="2" t="s">
        <v>27</v>
      </c>
      <c r="CA4089" s="2"/>
      <c r="CB4089" s="2"/>
      <c r="CC4089" s="2" t="s">
        <v>363</v>
      </c>
      <c r="CD4089" s="2">
        <v>3200</v>
      </c>
      <c r="CE4089" s="2" t="s">
        <v>89</v>
      </c>
      <c r="CF4089" s="5">
        <v>42954</v>
      </c>
      <c r="CG4089" s="2"/>
      <c r="CH4089" s="2"/>
      <c r="CI4089" s="2">
        <v>1</v>
      </c>
      <c r="CJ4089" s="2">
        <v>1</v>
      </c>
      <c r="CK4089" s="2">
        <v>21</v>
      </c>
      <c r="CL4089" s="2" t="s">
        <v>86</v>
      </c>
      <c r="CM4089" s="2"/>
    </row>
    <row r="4090" spans="1:91">
      <c r="A4090" s="2" t="s">
        <v>71</v>
      </c>
      <c r="B4090" s="2" t="s">
        <v>72</v>
      </c>
      <c r="C4090" s="2" t="s">
        <v>73</v>
      </c>
      <c r="D4090" s="2"/>
      <c r="E4090" s="2" t="str">
        <f>"FES1162566503"</f>
        <v>FES1162566503</v>
      </c>
      <c r="F4090" s="3">
        <v>42949</v>
      </c>
      <c r="G4090" s="2">
        <v>201802</v>
      </c>
      <c r="H4090" s="2" t="s">
        <v>74</v>
      </c>
      <c r="I4090" s="2" t="s">
        <v>75</v>
      </c>
      <c r="J4090" s="2" t="s">
        <v>76</v>
      </c>
      <c r="K4090" s="2" t="s">
        <v>77</v>
      </c>
      <c r="L4090" s="2" t="s">
        <v>97</v>
      </c>
      <c r="M4090" s="2" t="s">
        <v>98</v>
      </c>
      <c r="N4090" s="2" t="s">
        <v>2090</v>
      </c>
      <c r="O4090" s="2" t="s">
        <v>100</v>
      </c>
      <c r="P4090" s="2" t="str">
        <f>"2170582864                    "</f>
        <v xml:space="preserve">2170582864                    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8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0</v>
      </c>
      <c r="AV4090" s="2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2">
        <v>0</v>
      </c>
      <c r="BD4090" s="2">
        <v>0</v>
      </c>
      <c r="BE4090" s="2">
        <v>0</v>
      </c>
      <c r="BF4090" s="2">
        <v>0</v>
      </c>
      <c r="BG4090" s="2">
        <v>0</v>
      </c>
      <c r="BH4090" s="2">
        <v>1</v>
      </c>
      <c r="BI4090" s="2">
        <v>4</v>
      </c>
      <c r="BJ4090" s="2">
        <v>0.9</v>
      </c>
      <c r="BK4090" s="2">
        <v>4</v>
      </c>
      <c r="BL4090" s="2">
        <v>82.88</v>
      </c>
      <c r="BM4090" s="2">
        <v>11.6</v>
      </c>
      <c r="BN4090" s="2">
        <v>94.48</v>
      </c>
      <c r="BO4090" s="2">
        <v>94.48</v>
      </c>
      <c r="BP4090" s="2"/>
      <c r="BQ4090" s="2" t="s">
        <v>3840</v>
      </c>
      <c r="BR4090" s="2" t="s">
        <v>84</v>
      </c>
      <c r="BS4090" s="3">
        <v>42950</v>
      </c>
      <c r="BT4090" s="4">
        <v>0.35347222222222219</v>
      </c>
      <c r="BU4090" s="2" t="s">
        <v>3841</v>
      </c>
      <c r="BV4090" s="2" t="s">
        <v>95</v>
      </c>
      <c r="BW4090" s="2"/>
      <c r="BX4090" s="2"/>
      <c r="BY4090" s="2">
        <v>4451.6000000000004</v>
      </c>
      <c r="BZ4090" s="2" t="s">
        <v>27</v>
      </c>
      <c r="CA4090" s="2" t="s">
        <v>213</v>
      </c>
      <c r="CB4090" s="2"/>
      <c r="CC4090" s="2" t="s">
        <v>98</v>
      </c>
      <c r="CD4090" s="2">
        <v>6001</v>
      </c>
      <c r="CE4090" s="2" t="s">
        <v>948</v>
      </c>
      <c r="CF4090" s="5">
        <v>42951</v>
      </c>
      <c r="CG4090" s="2"/>
      <c r="CH4090" s="2"/>
      <c r="CI4090" s="2">
        <v>1</v>
      </c>
      <c r="CJ4090" s="2">
        <v>1</v>
      </c>
      <c r="CK4090" s="2">
        <v>21</v>
      </c>
      <c r="CL4090" s="2" t="s">
        <v>86</v>
      </c>
      <c r="CM4090" s="2"/>
    </row>
    <row r="4091" spans="1:91">
      <c r="A4091" s="2" t="s">
        <v>71</v>
      </c>
      <c r="B4091" s="2" t="s">
        <v>72</v>
      </c>
      <c r="C4091" s="2" t="s">
        <v>73</v>
      </c>
      <c r="D4091" s="2"/>
      <c r="E4091" s="2" t="str">
        <f>"FES1162566567"</f>
        <v>FES1162566567</v>
      </c>
      <c r="F4091" s="3">
        <v>42949</v>
      </c>
      <c r="G4091" s="2">
        <v>201802</v>
      </c>
      <c r="H4091" s="2" t="s">
        <v>74</v>
      </c>
      <c r="I4091" s="2" t="s">
        <v>75</v>
      </c>
      <c r="J4091" s="2" t="s">
        <v>76</v>
      </c>
      <c r="K4091" s="2" t="s">
        <v>77</v>
      </c>
      <c r="L4091" s="2" t="s">
        <v>437</v>
      </c>
      <c r="M4091" s="2" t="s">
        <v>438</v>
      </c>
      <c r="N4091" s="2" t="s">
        <v>749</v>
      </c>
      <c r="O4091" s="2" t="s">
        <v>100</v>
      </c>
      <c r="P4091" s="2" t="str">
        <f>"2170582918                    "</f>
        <v xml:space="preserve">2170582918                    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4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0</v>
      </c>
      <c r="AU4091" s="2">
        <v>0</v>
      </c>
      <c r="AV4091" s="2">
        <v>0</v>
      </c>
      <c r="AW4091" s="2">
        <v>0</v>
      </c>
      <c r="AX4091" s="2">
        <v>0</v>
      </c>
      <c r="AY4091" s="2">
        <v>0</v>
      </c>
      <c r="AZ4091" s="2">
        <v>0</v>
      </c>
      <c r="BA4091" s="2">
        <v>0</v>
      </c>
      <c r="BB4091" s="2">
        <v>0</v>
      </c>
      <c r="BC4091" s="2">
        <v>0</v>
      </c>
      <c r="BD4091" s="2">
        <v>0</v>
      </c>
      <c r="BE4091" s="2">
        <v>0</v>
      </c>
      <c r="BF4091" s="2">
        <v>0</v>
      </c>
      <c r="BG4091" s="2">
        <v>0</v>
      </c>
      <c r="BH4091" s="2">
        <v>1</v>
      </c>
      <c r="BI4091" s="2">
        <v>1</v>
      </c>
      <c r="BJ4091" s="2">
        <v>0.2</v>
      </c>
      <c r="BK4091" s="2">
        <v>1</v>
      </c>
      <c r="BL4091" s="2">
        <v>41.44</v>
      </c>
      <c r="BM4091" s="2">
        <v>5.8</v>
      </c>
      <c r="BN4091" s="2">
        <v>47.24</v>
      </c>
      <c r="BO4091" s="2">
        <v>47.24</v>
      </c>
      <c r="BP4091" s="2"/>
      <c r="BQ4091" s="2" t="s">
        <v>108</v>
      </c>
      <c r="BR4091" s="2" t="s">
        <v>84</v>
      </c>
      <c r="BS4091" s="3">
        <v>42950</v>
      </c>
      <c r="BT4091" s="4">
        <v>0.43055555555555558</v>
      </c>
      <c r="BU4091" s="2" t="s">
        <v>1408</v>
      </c>
      <c r="BV4091" s="2" t="s">
        <v>95</v>
      </c>
      <c r="BW4091" s="2"/>
      <c r="BX4091" s="2"/>
      <c r="BY4091" s="2">
        <v>1200</v>
      </c>
      <c r="BZ4091" s="2" t="s">
        <v>27</v>
      </c>
      <c r="CA4091" s="2" t="s">
        <v>441</v>
      </c>
      <c r="CB4091" s="2"/>
      <c r="CC4091" s="2" t="s">
        <v>438</v>
      </c>
      <c r="CD4091" s="2">
        <v>6536</v>
      </c>
      <c r="CE4091" s="2" t="s">
        <v>104</v>
      </c>
      <c r="CF4091" s="5">
        <v>42951</v>
      </c>
      <c r="CG4091" s="2"/>
      <c r="CH4091" s="2"/>
      <c r="CI4091" s="2">
        <v>1</v>
      </c>
      <c r="CJ4091" s="2">
        <v>1</v>
      </c>
      <c r="CK4091" s="2">
        <v>21</v>
      </c>
      <c r="CL4091" s="2" t="s">
        <v>86</v>
      </c>
      <c r="CM4091" s="2"/>
    </row>
    <row r="4092" spans="1:91">
      <c r="A4092" s="2" t="s">
        <v>71</v>
      </c>
      <c r="B4092" s="2" t="s">
        <v>72</v>
      </c>
      <c r="C4092" s="2" t="s">
        <v>73</v>
      </c>
      <c r="D4092" s="2"/>
      <c r="E4092" s="2" t="str">
        <f>"FES1162566237"</f>
        <v>FES1162566237</v>
      </c>
      <c r="F4092" s="3">
        <v>42949</v>
      </c>
      <c r="G4092" s="2">
        <v>201802</v>
      </c>
      <c r="H4092" s="2" t="s">
        <v>74</v>
      </c>
      <c r="I4092" s="2" t="s">
        <v>75</v>
      </c>
      <c r="J4092" s="2" t="s">
        <v>76</v>
      </c>
      <c r="K4092" s="2" t="s">
        <v>77</v>
      </c>
      <c r="L4092" s="2" t="s">
        <v>164</v>
      </c>
      <c r="M4092" s="2" t="s">
        <v>165</v>
      </c>
      <c r="N4092" s="2" t="s">
        <v>3594</v>
      </c>
      <c r="O4092" s="2" t="s">
        <v>100</v>
      </c>
      <c r="P4092" s="2" t="str">
        <f>"217082429                     "</f>
        <v xml:space="preserve">217082429                     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17.010000000000002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0</v>
      </c>
      <c r="AU4092" s="2">
        <v>0</v>
      </c>
      <c r="AV4092" s="2">
        <v>0</v>
      </c>
      <c r="AW4092" s="2">
        <v>0</v>
      </c>
      <c r="AX4092" s="2">
        <v>0</v>
      </c>
      <c r="AY4092" s="2">
        <v>0</v>
      </c>
      <c r="AZ4092" s="2">
        <v>0</v>
      </c>
      <c r="BA4092" s="2">
        <v>0</v>
      </c>
      <c r="BB4092" s="2">
        <v>0</v>
      </c>
      <c r="BC4092" s="2">
        <v>0</v>
      </c>
      <c r="BD4092" s="2">
        <v>0</v>
      </c>
      <c r="BE4092" s="2">
        <v>0</v>
      </c>
      <c r="BF4092" s="2">
        <v>0</v>
      </c>
      <c r="BG4092" s="2">
        <v>0</v>
      </c>
      <c r="BH4092" s="2">
        <v>1</v>
      </c>
      <c r="BI4092" s="2">
        <v>8.3000000000000007</v>
      </c>
      <c r="BJ4092" s="2">
        <v>3.2</v>
      </c>
      <c r="BK4092" s="2">
        <v>8.5</v>
      </c>
      <c r="BL4092" s="2">
        <v>176.13</v>
      </c>
      <c r="BM4092" s="2">
        <v>24.66</v>
      </c>
      <c r="BN4092" s="2">
        <v>200.79</v>
      </c>
      <c r="BO4092" s="2">
        <v>200.79</v>
      </c>
      <c r="BP4092" s="2"/>
      <c r="BQ4092" s="2" t="s">
        <v>3595</v>
      </c>
      <c r="BR4092" s="2" t="s">
        <v>84</v>
      </c>
      <c r="BS4092" s="3">
        <v>42950</v>
      </c>
      <c r="BT4092" s="4">
        <v>0.41666666666666669</v>
      </c>
      <c r="BU4092" s="2" t="s">
        <v>3822</v>
      </c>
      <c r="BV4092" s="2" t="s">
        <v>95</v>
      </c>
      <c r="BW4092" s="2"/>
      <c r="BX4092" s="2"/>
      <c r="BY4092" s="2">
        <v>15771.94</v>
      </c>
      <c r="BZ4092" s="2" t="s">
        <v>27</v>
      </c>
      <c r="CA4092" s="2"/>
      <c r="CB4092" s="2"/>
      <c r="CC4092" s="2" t="s">
        <v>165</v>
      </c>
      <c r="CD4092" s="2">
        <v>6850</v>
      </c>
      <c r="CE4092" s="2" t="s">
        <v>89</v>
      </c>
      <c r="CF4092" s="5">
        <v>42951</v>
      </c>
      <c r="CG4092" s="2"/>
      <c r="CH4092" s="2"/>
      <c r="CI4092" s="2">
        <v>3</v>
      </c>
      <c r="CJ4092" s="2">
        <v>1</v>
      </c>
      <c r="CK4092" s="2">
        <v>21</v>
      </c>
      <c r="CL4092" s="2" t="s">
        <v>86</v>
      </c>
      <c r="CM4092" s="2"/>
    </row>
    <row r="4093" spans="1:91">
      <c r="A4093" s="2" t="s">
        <v>71</v>
      </c>
      <c r="B4093" s="2" t="s">
        <v>72</v>
      </c>
      <c r="C4093" s="2" t="s">
        <v>73</v>
      </c>
      <c r="D4093" s="2"/>
      <c r="E4093" s="2" t="str">
        <f>"FES1162566193"</f>
        <v>FES1162566193</v>
      </c>
      <c r="F4093" s="3">
        <v>42949</v>
      </c>
      <c r="G4093" s="2">
        <v>201802</v>
      </c>
      <c r="H4093" s="2" t="s">
        <v>74</v>
      </c>
      <c r="I4093" s="2" t="s">
        <v>75</v>
      </c>
      <c r="J4093" s="2" t="s">
        <v>76</v>
      </c>
      <c r="K4093" s="2" t="s">
        <v>77</v>
      </c>
      <c r="L4093" s="2" t="s">
        <v>105</v>
      </c>
      <c r="M4093" s="2" t="s">
        <v>106</v>
      </c>
      <c r="N4093" s="2" t="s">
        <v>652</v>
      </c>
      <c r="O4093" s="2" t="s">
        <v>100</v>
      </c>
      <c r="P4093" s="2" t="str">
        <f>"2170581747                    "</f>
        <v xml:space="preserve">2170581747                    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11.01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0</v>
      </c>
      <c r="AU4093" s="2">
        <v>0</v>
      </c>
      <c r="AV4093" s="2">
        <v>0</v>
      </c>
      <c r="AW4093" s="2">
        <v>0</v>
      </c>
      <c r="AX4093" s="2">
        <v>0</v>
      </c>
      <c r="AY4093" s="2">
        <v>0</v>
      </c>
      <c r="AZ4093" s="2">
        <v>0</v>
      </c>
      <c r="BA4093" s="2">
        <v>0</v>
      </c>
      <c r="BB4093" s="2">
        <v>0</v>
      </c>
      <c r="BC4093" s="2">
        <v>0</v>
      </c>
      <c r="BD4093" s="2">
        <v>0</v>
      </c>
      <c r="BE4093" s="2">
        <v>0</v>
      </c>
      <c r="BF4093" s="2">
        <v>0</v>
      </c>
      <c r="BG4093" s="2">
        <v>0</v>
      </c>
      <c r="BH4093" s="2">
        <v>1</v>
      </c>
      <c r="BI4093" s="2">
        <v>3.3</v>
      </c>
      <c r="BJ4093" s="2">
        <v>5.5</v>
      </c>
      <c r="BK4093" s="2">
        <v>5.5</v>
      </c>
      <c r="BL4093" s="2">
        <v>113.97</v>
      </c>
      <c r="BM4093" s="2">
        <v>15.96</v>
      </c>
      <c r="BN4093" s="2">
        <v>129.93</v>
      </c>
      <c r="BO4093" s="2">
        <v>129.93</v>
      </c>
      <c r="BP4093" s="2"/>
      <c r="BQ4093" s="2" t="s">
        <v>83</v>
      </c>
      <c r="BR4093" s="2" t="s">
        <v>84</v>
      </c>
      <c r="BS4093" s="3">
        <v>42950</v>
      </c>
      <c r="BT4093" s="4">
        <v>0.32500000000000001</v>
      </c>
      <c r="BU4093" s="2" t="s">
        <v>3842</v>
      </c>
      <c r="BV4093" s="2" t="s">
        <v>95</v>
      </c>
      <c r="BW4093" s="2"/>
      <c r="BX4093" s="2"/>
      <c r="BY4093" s="2">
        <v>27350.82</v>
      </c>
      <c r="BZ4093" s="2" t="s">
        <v>27</v>
      </c>
      <c r="CA4093" s="2" t="s">
        <v>654</v>
      </c>
      <c r="CB4093" s="2"/>
      <c r="CC4093" s="2" t="s">
        <v>106</v>
      </c>
      <c r="CD4093" s="2">
        <v>7493</v>
      </c>
      <c r="CE4093" s="2" t="s">
        <v>948</v>
      </c>
      <c r="CF4093" s="5">
        <v>42951</v>
      </c>
      <c r="CG4093" s="2"/>
      <c r="CH4093" s="2"/>
      <c r="CI4093" s="2">
        <v>1</v>
      </c>
      <c r="CJ4093" s="2">
        <v>1</v>
      </c>
      <c r="CK4093" s="2">
        <v>21</v>
      </c>
      <c r="CL4093" s="2" t="s">
        <v>86</v>
      </c>
      <c r="CM4093" s="2"/>
    </row>
    <row r="4094" spans="1:91">
      <c r="A4094" s="2" t="s">
        <v>71</v>
      </c>
      <c r="B4094" s="2" t="s">
        <v>72</v>
      </c>
      <c r="C4094" s="2" t="s">
        <v>73</v>
      </c>
      <c r="D4094" s="2"/>
      <c r="E4094" s="2" t="str">
        <f>"FES1162566443"</f>
        <v>FES1162566443</v>
      </c>
      <c r="F4094" s="3">
        <v>42949</v>
      </c>
      <c r="G4094" s="2">
        <v>201802</v>
      </c>
      <c r="H4094" s="2" t="s">
        <v>74</v>
      </c>
      <c r="I4094" s="2" t="s">
        <v>75</v>
      </c>
      <c r="J4094" s="2" t="s">
        <v>76</v>
      </c>
      <c r="K4094" s="2" t="s">
        <v>77</v>
      </c>
      <c r="L4094" s="2" t="s">
        <v>343</v>
      </c>
      <c r="M4094" s="2" t="s">
        <v>344</v>
      </c>
      <c r="N4094" s="2" t="s">
        <v>1818</v>
      </c>
      <c r="O4094" s="2" t="s">
        <v>100</v>
      </c>
      <c r="P4094" s="2" t="str">
        <f>"2170582761                    "</f>
        <v xml:space="preserve">2170582761                    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13.01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0</v>
      </c>
      <c r="AU4094" s="2">
        <v>0</v>
      </c>
      <c r="AV4094" s="2">
        <v>0</v>
      </c>
      <c r="AW4094" s="2">
        <v>0</v>
      </c>
      <c r="AX4094" s="2">
        <v>0</v>
      </c>
      <c r="AY4094" s="2">
        <v>0</v>
      </c>
      <c r="AZ4094" s="2">
        <v>0</v>
      </c>
      <c r="BA4094" s="2">
        <v>0</v>
      </c>
      <c r="BB4094" s="2">
        <v>0</v>
      </c>
      <c r="BC4094" s="2">
        <v>0</v>
      </c>
      <c r="BD4094" s="2">
        <v>0</v>
      </c>
      <c r="BE4094" s="2">
        <v>0</v>
      </c>
      <c r="BF4094" s="2">
        <v>0</v>
      </c>
      <c r="BG4094" s="2">
        <v>0</v>
      </c>
      <c r="BH4094" s="2">
        <v>1</v>
      </c>
      <c r="BI4094" s="2">
        <v>3</v>
      </c>
      <c r="BJ4094" s="2">
        <v>6.5</v>
      </c>
      <c r="BK4094" s="2">
        <v>6.5</v>
      </c>
      <c r="BL4094" s="2">
        <v>134.69</v>
      </c>
      <c r="BM4094" s="2">
        <v>18.86</v>
      </c>
      <c r="BN4094" s="2">
        <v>153.55000000000001</v>
      </c>
      <c r="BO4094" s="2">
        <v>153.55000000000001</v>
      </c>
      <c r="BP4094" s="2"/>
      <c r="BQ4094" s="2" t="s">
        <v>209</v>
      </c>
      <c r="BR4094" s="2" t="s">
        <v>84</v>
      </c>
      <c r="BS4094" s="3">
        <v>42950</v>
      </c>
      <c r="BT4094" s="4">
        <v>0.46597222222222223</v>
      </c>
      <c r="BU4094" s="2" t="s">
        <v>3843</v>
      </c>
      <c r="BV4094" s="2" t="s">
        <v>86</v>
      </c>
      <c r="BW4094" s="2" t="s">
        <v>124</v>
      </c>
      <c r="BX4094" s="2" t="s">
        <v>3844</v>
      </c>
      <c r="BY4094" s="2">
        <v>32500</v>
      </c>
      <c r="BZ4094" s="2" t="s">
        <v>27</v>
      </c>
      <c r="CA4094" s="2" t="s">
        <v>3845</v>
      </c>
      <c r="CB4094" s="2"/>
      <c r="CC4094" s="2" t="s">
        <v>344</v>
      </c>
      <c r="CD4094" s="2">
        <v>4113</v>
      </c>
      <c r="CE4094" s="2" t="s">
        <v>948</v>
      </c>
      <c r="CF4094" s="5">
        <v>42950</v>
      </c>
      <c r="CG4094" s="2"/>
      <c r="CH4094" s="2"/>
      <c r="CI4094" s="2">
        <v>1</v>
      </c>
      <c r="CJ4094" s="2">
        <v>1</v>
      </c>
      <c r="CK4094" s="2">
        <v>21</v>
      </c>
      <c r="CL4094" s="2" t="s">
        <v>86</v>
      </c>
      <c r="CM4094" s="2"/>
    </row>
    <row r="4095" spans="1:91">
      <c r="A4095" s="2" t="s">
        <v>71</v>
      </c>
      <c r="B4095" s="2" t="s">
        <v>72</v>
      </c>
      <c r="C4095" s="2" t="s">
        <v>73</v>
      </c>
      <c r="D4095" s="2"/>
      <c r="E4095" s="2" t="str">
        <f>"FES1162566489"</f>
        <v>FES1162566489</v>
      </c>
      <c r="F4095" s="3">
        <v>42949</v>
      </c>
      <c r="G4095" s="2">
        <v>201802</v>
      </c>
      <c r="H4095" s="2" t="s">
        <v>74</v>
      </c>
      <c r="I4095" s="2" t="s">
        <v>75</v>
      </c>
      <c r="J4095" s="2" t="s">
        <v>76</v>
      </c>
      <c r="K4095" s="2" t="s">
        <v>77</v>
      </c>
      <c r="L4095" s="2" t="s">
        <v>97</v>
      </c>
      <c r="M4095" s="2" t="s">
        <v>98</v>
      </c>
      <c r="N4095" s="2" t="s">
        <v>292</v>
      </c>
      <c r="O4095" s="2" t="s">
        <v>100</v>
      </c>
      <c r="P4095" s="2" t="str">
        <f>"2170582846                    "</f>
        <v xml:space="preserve">2170582846                    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14.01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0</v>
      </c>
      <c r="AU4095" s="2">
        <v>0</v>
      </c>
      <c r="AV4095" s="2">
        <v>0</v>
      </c>
      <c r="AW4095" s="2">
        <v>0</v>
      </c>
      <c r="AX4095" s="2">
        <v>0</v>
      </c>
      <c r="AY4095" s="2">
        <v>0</v>
      </c>
      <c r="AZ4095" s="2">
        <v>0</v>
      </c>
      <c r="BA4095" s="2">
        <v>0</v>
      </c>
      <c r="BB4095" s="2">
        <v>0</v>
      </c>
      <c r="BC4095" s="2">
        <v>0</v>
      </c>
      <c r="BD4095" s="2">
        <v>0</v>
      </c>
      <c r="BE4095" s="2">
        <v>0</v>
      </c>
      <c r="BF4095" s="2">
        <v>0</v>
      </c>
      <c r="BG4095" s="2">
        <v>0</v>
      </c>
      <c r="BH4095" s="2">
        <v>1</v>
      </c>
      <c r="BI4095" s="2">
        <v>7</v>
      </c>
      <c r="BJ4095" s="2">
        <v>6.6</v>
      </c>
      <c r="BK4095" s="2">
        <v>7</v>
      </c>
      <c r="BL4095" s="2">
        <v>145.05000000000001</v>
      </c>
      <c r="BM4095" s="2">
        <v>20.309999999999999</v>
      </c>
      <c r="BN4095" s="2">
        <v>165.36</v>
      </c>
      <c r="BO4095" s="2">
        <v>165.36</v>
      </c>
      <c r="BP4095" s="2"/>
      <c r="BQ4095" s="2" t="s">
        <v>83</v>
      </c>
      <c r="BR4095" s="2" t="s">
        <v>84</v>
      </c>
      <c r="BS4095" s="3">
        <v>42950</v>
      </c>
      <c r="BT4095" s="4">
        <v>0.31944444444444448</v>
      </c>
      <c r="BU4095" s="2" t="s">
        <v>293</v>
      </c>
      <c r="BV4095" s="2" t="s">
        <v>95</v>
      </c>
      <c r="BW4095" s="2"/>
      <c r="BX4095" s="2"/>
      <c r="BY4095" s="2">
        <v>32877.25</v>
      </c>
      <c r="BZ4095" s="2" t="s">
        <v>27</v>
      </c>
      <c r="CA4095" s="2" t="s">
        <v>294</v>
      </c>
      <c r="CB4095" s="2"/>
      <c r="CC4095" s="2" t="s">
        <v>98</v>
      </c>
      <c r="CD4095" s="2">
        <v>6001</v>
      </c>
      <c r="CE4095" s="2" t="s">
        <v>948</v>
      </c>
      <c r="CF4095" s="5">
        <v>42951</v>
      </c>
      <c r="CG4095" s="2"/>
      <c r="CH4095" s="2"/>
      <c r="CI4095" s="2">
        <v>1</v>
      </c>
      <c r="CJ4095" s="2">
        <v>1</v>
      </c>
      <c r="CK4095" s="2">
        <v>21</v>
      </c>
      <c r="CL4095" s="2" t="s">
        <v>86</v>
      </c>
      <c r="CM4095" s="2"/>
    </row>
    <row r="4096" spans="1:91">
      <c r="A4096" s="2" t="s">
        <v>71</v>
      </c>
      <c r="B4096" s="2" t="s">
        <v>72</v>
      </c>
      <c r="C4096" s="2" t="s">
        <v>73</v>
      </c>
      <c r="D4096" s="2"/>
      <c r="E4096" s="2" t="str">
        <f>"FES1162566141"</f>
        <v>FES1162566141</v>
      </c>
      <c r="F4096" s="3">
        <v>42949</v>
      </c>
      <c r="G4096" s="2">
        <v>201802</v>
      </c>
      <c r="H4096" s="2" t="s">
        <v>74</v>
      </c>
      <c r="I4096" s="2" t="s">
        <v>75</v>
      </c>
      <c r="J4096" s="2" t="s">
        <v>76</v>
      </c>
      <c r="K4096" s="2" t="s">
        <v>77</v>
      </c>
      <c r="L4096" s="2" t="s">
        <v>362</v>
      </c>
      <c r="M4096" s="2" t="s">
        <v>363</v>
      </c>
      <c r="N4096" s="2" t="s">
        <v>683</v>
      </c>
      <c r="O4096" s="2" t="s">
        <v>100</v>
      </c>
      <c r="P4096" s="2" t="str">
        <f>"2170579678                    "</f>
        <v xml:space="preserve">2170579678                    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4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0</v>
      </c>
      <c r="AU4096" s="2">
        <v>0</v>
      </c>
      <c r="AV4096" s="2">
        <v>0</v>
      </c>
      <c r="AW4096" s="2">
        <v>0</v>
      </c>
      <c r="AX4096" s="2">
        <v>0</v>
      </c>
      <c r="AY4096" s="2">
        <v>0</v>
      </c>
      <c r="AZ4096" s="2">
        <v>0</v>
      </c>
      <c r="BA4096" s="2">
        <v>0</v>
      </c>
      <c r="BB4096" s="2">
        <v>0</v>
      </c>
      <c r="BC4096" s="2">
        <v>0</v>
      </c>
      <c r="BD4096" s="2">
        <v>0</v>
      </c>
      <c r="BE4096" s="2">
        <v>0</v>
      </c>
      <c r="BF4096" s="2">
        <v>0</v>
      </c>
      <c r="BG4096" s="2">
        <v>0</v>
      </c>
      <c r="BH4096" s="2">
        <v>1</v>
      </c>
      <c r="BI4096" s="2">
        <v>1</v>
      </c>
      <c r="BJ4096" s="2">
        <v>0.2</v>
      </c>
      <c r="BK4096" s="2">
        <v>1</v>
      </c>
      <c r="BL4096" s="2">
        <v>41.44</v>
      </c>
      <c r="BM4096" s="2">
        <v>5.8</v>
      </c>
      <c r="BN4096" s="2">
        <v>47.24</v>
      </c>
      <c r="BO4096" s="2">
        <v>47.24</v>
      </c>
      <c r="BP4096" s="2"/>
      <c r="BQ4096" s="2" t="s">
        <v>108</v>
      </c>
      <c r="BR4096" s="2" t="s">
        <v>84</v>
      </c>
      <c r="BS4096" s="3">
        <v>42950</v>
      </c>
      <c r="BT4096" s="4">
        <v>0.375</v>
      </c>
      <c r="BU4096" s="2" t="s">
        <v>805</v>
      </c>
      <c r="BV4096" s="2" t="s">
        <v>95</v>
      </c>
      <c r="BW4096" s="2"/>
      <c r="BX4096" s="2"/>
      <c r="BY4096" s="2">
        <v>1200</v>
      </c>
      <c r="BZ4096" s="2" t="s">
        <v>27</v>
      </c>
      <c r="CA4096" s="2"/>
      <c r="CB4096" s="2"/>
      <c r="CC4096" s="2" t="s">
        <v>363</v>
      </c>
      <c r="CD4096" s="2">
        <v>3201</v>
      </c>
      <c r="CE4096" s="2" t="s">
        <v>104</v>
      </c>
      <c r="CF4096" s="5">
        <v>42954</v>
      </c>
      <c r="CG4096" s="2"/>
      <c r="CH4096" s="2"/>
      <c r="CI4096" s="2">
        <v>1</v>
      </c>
      <c r="CJ4096" s="2">
        <v>1</v>
      </c>
      <c r="CK4096" s="2">
        <v>21</v>
      </c>
      <c r="CL4096" s="2" t="s">
        <v>86</v>
      </c>
      <c r="CM4096" s="2"/>
    </row>
    <row r="4097" spans="1:91">
      <c r="A4097" s="2" t="s">
        <v>71</v>
      </c>
      <c r="B4097" s="2" t="s">
        <v>72</v>
      </c>
      <c r="C4097" s="2" t="s">
        <v>73</v>
      </c>
      <c r="D4097" s="2"/>
      <c r="E4097" s="2" t="str">
        <f>"FES1162566586"</f>
        <v>FES1162566586</v>
      </c>
      <c r="F4097" s="3">
        <v>42949</v>
      </c>
      <c r="G4097" s="2">
        <v>201802</v>
      </c>
      <c r="H4097" s="2" t="s">
        <v>74</v>
      </c>
      <c r="I4097" s="2" t="s">
        <v>75</v>
      </c>
      <c r="J4097" s="2" t="s">
        <v>76</v>
      </c>
      <c r="K4097" s="2" t="s">
        <v>77</v>
      </c>
      <c r="L4097" s="2" t="s">
        <v>97</v>
      </c>
      <c r="M4097" s="2" t="s">
        <v>98</v>
      </c>
      <c r="N4097" s="2" t="s">
        <v>1041</v>
      </c>
      <c r="O4097" s="2" t="s">
        <v>100</v>
      </c>
      <c r="P4097" s="2" t="str">
        <f>"2170582017                    "</f>
        <v xml:space="preserve">2170582017                    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4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0</v>
      </c>
      <c r="AU4097" s="2">
        <v>0</v>
      </c>
      <c r="AV4097" s="2">
        <v>0</v>
      </c>
      <c r="AW4097" s="2">
        <v>0</v>
      </c>
      <c r="AX4097" s="2">
        <v>0</v>
      </c>
      <c r="AY4097" s="2">
        <v>0</v>
      </c>
      <c r="AZ4097" s="2">
        <v>0</v>
      </c>
      <c r="BA4097" s="2">
        <v>0</v>
      </c>
      <c r="BB4097" s="2">
        <v>0</v>
      </c>
      <c r="BC4097" s="2">
        <v>0</v>
      </c>
      <c r="BD4097" s="2">
        <v>0</v>
      </c>
      <c r="BE4097" s="2">
        <v>0</v>
      </c>
      <c r="BF4097" s="2">
        <v>0</v>
      </c>
      <c r="BG4097" s="2">
        <v>0</v>
      </c>
      <c r="BH4097" s="2">
        <v>1</v>
      </c>
      <c r="BI4097" s="2">
        <v>1</v>
      </c>
      <c r="BJ4097" s="2">
        <v>0.2</v>
      </c>
      <c r="BK4097" s="2">
        <v>1</v>
      </c>
      <c r="BL4097" s="2">
        <v>41.44</v>
      </c>
      <c r="BM4097" s="2">
        <v>5.8</v>
      </c>
      <c r="BN4097" s="2">
        <v>47.24</v>
      </c>
      <c r="BO4097" s="2">
        <v>47.24</v>
      </c>
      <c r="BP4097" s="2"/>
      <c r="BQ4097" s="2" t="s">
        <v>108</v>
      </c>
      <c r="BR4097" s="2" t="s">
        <v>84</v>
      </c>
      <c r="BS4097" s="3">
        <v>42950</v>
      </c>
      <c r="BT4097" s="4">
        <v>0.29166666666666669</v>
      </c>
      <c r="BU4097" s="2" t="s">
        <v>3846</v>
      </c>
      <c r="BV4097" s="2" t="s">
        <v>95</v>
      </c>
      <c r="BW4097" s="2"/>
      <c r="BX4097" s="2"/>
      <c r="BY4097" s="2">
        <v>1200</v>
      </c>
      <c r="BZ4097" s="2" t="s">
        <v>27</v>
      </c>
      <c r="CA4097" s="2" t="s">
        <v>294</v>
      </c>
      <c r="CB4097" s="2"/>
      <c r="CC4097" s="2" t="s">
        <v>98</v>
      </c>
      <c r="CD4097" s="2">
        <v>6012</v>
      </c>
      <c r="CE4097" s="2" t="s">
        <v>104</v>
      </c>
      <c r="CF4097" s="5">
        <v>42951</v>
      </c>
      <c r="CG4097" s="2"/>
      <c r="CH4097" s="2"/>
      <c r="CI4097" s="2">
        <v>1</v>
      </c>
      <c r="CJ4097" s="2">
        <v>1</v>
      </c>
      <c r="CK4097" s="2">
        <v>21</v>
      </c>
      <c r="CL4097" s="2" t="s">
        <v>86</v>
      </c>
      <c r="CM4097" s="2"/>
    </row>
    <row r="4098" spans="1:91">
      <c r="A4098" s="2" t="s">
        <v>71</v>
      </c>
      <c r="B4098" s="2" t="s">
        <v>72</v>
      </c>
      <c r="C4098" s="2" t="s">
        <v>73</v>
      </c>
      <c r="D4098" s="2"/>
      <c r="E4098" s="2" t="str">
        <f>"FES1162566143"</f>
        <v>FES1162566143</v>
      </c>
      <c r="F4098" s="3">
        <v>42949</v>
      </c>
      <c r="G4098" s="2">
        <v>201802</v>
      </c>
      <c r="H4098" s="2" t="s">
        <v>74</v>
      </c>
      <c r="I4098" s="2" t="s">
        <v>75</v>
      </c>
      <c r="J4098" s="2" t="s">
        <v>76</v>
      </c>
      <c r="K4098" s="2" t="s">
        <v>77</v>
      </c>
      <c r="L4098" s="2" t="s">
        <v>362</v>
      </c>
      <c r="M4098" s="2" t="s">
        <v>363</v>
      </c>
      <c r="N4098" s="2" t="s">
        <v>683</v>
      </c>
      <c r="O4098" s="2" t="s">
        <v>100</v>
      </c>
      <c r="P4098" s="2" t="str">
        <f>"2170579681                    "</f>
        <v xml:space="preserve">2170579681                    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4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0</v>
      </c>
      <c r="AU4098" s="2">
        <v>0</v>
      </c>
      <c r="AV4098" s="2">
        <v>0</v>
      </c>
      <c r="AW4098" s="2">
        <v>0</v>
      </c>
      <c r="AX4098" s="2">
        <v>0</v>
      </c>
      <c r="AY4098" s="2">
        <v>0</v>
      </c>
      <c r="AZ4098" s="2">
        <v>0</v>
      </c>
      <c r="BA4098" s="2">
        <v>0</v>
      </c>
      <c r="BB4098" s="2">
        <v>0</v>
      </c>
      <c r="BC4098" s="2">
        <v>0</v>
      </c>
      <c r="BD4098" s="2">
        <v>0</v>
      </c>
      <c r="BE4098" s="2">
        <v>0</v>
      </c>
      <c r="BF4098" s="2">
        <v>0</v>
      </c>
      <c r="BG4098" s="2">
        <v>0</v>
      </c>
      <c r="BH4098" s="2">
        <v>1</v>
      </c>
      <c r="BI4098" s="2">
        <v>1</v>
      </c>
      <c r="BJ4098" s="2">
        <v>0.2</v>
      </c>
      <c r="BK4098" s="2">
        <v>1</v>
      </c>
      <c r="BL4098" s="2">
        <v>41.44</v>
      </c>
      <c r="BM4098" s="2">
        <v>5.8</v>
      </c>
      <c r="BN4098" s="2">
        <v>47.24</v>
      </c>
      <c r="BO4098" s="2">
        <v>47.24</v>
      </c>
      <c r="BP4098" s="2"/>
      <c r="BQ4098" s="2" t="s">
        <v>108</v>
      </c>
      <c r="BR4098" s="2" t="s">
        <v>84</v>
      </c>
      <c r="BS4098" s="3">
        <v>42950</v>
      </c>
      <c r="BT4098" s="4">
        <v>0.375</v>
      </c>
      <c r="BU4098" s="2" t="s">
        <v>805</v>
      </c>
      <c r="BV4098" s="2" t="s">
        <v>95</v>
      </c>
      <c r="BW4098" s="2"/>
      <c r="BX4098" s="2"/>
      <c r="BY4098" s="2">
        <v>1200</v>
      </c>
      <c r="BZ4098" s="2" t="s">
        <v>27</v>
      </c>
      <c r="CA4098" s="2"/>
      <c r="CB4098" s="2"/>
      <c r="CC4098" s="2" t="s">
        <v>363</v>
      </c>
      <c r="CD4098" s="2">
        <v>3201</v>
      </c>
      <c r="CE4098" s="2" t="s">
        <v>104</v>
      </c>
      <c r="CF4098" s="5">
        <v>42954</v>
      </c>
      <c r="CG4098" s="2"/>
      <c r="CH4098" s="2"/>
      <c r="CI4098" s="2">
        <v>1</v>
      </c>
      <c r="CJ4098" s="2">
        <v>1</v>
      </c>
      <c r="CK4098" s="2">
        <v>21</v>
      </c>
      <c r="CL4098" s="2" t="s">
        <v>86</v>
      </c>
      <c r="CM4098" s="2"/>
    </row>
    <row r="4099" spans="1:91">
      <c r="A4099" s="2" t="s">
        <v>71</v>
      </c>
      <c r="B4099" s="2" t="s">
        <v>72</v>
      </c>
      <c r="C4099" s="2" t="s">
        <v>73</v>
      </c>
      <c r="D4099" s="2"/>
      <c r="E4099" s="2" t="str">
        <f>"FES1162566246"</f>
        <v>FES1162566246</v>
      </c>
      <c r="F4099" s="3">
        <v>42949</v>
      </c>
      <c r="G4099" s="2">
        <v>201802</v>
      </c>
      <c r="H4099" s="2" t="s">
        <v>74</v>
      </c>
      <c r="I4099" s="2" t="s">
        <v>75</v>
      </c>
      <c r="J4099" s="2" t="s">
        <v>76</v>
      </c>
      <c r="K4099" s="2" t="s">
        <v>77</v>
      </c>
      <c r="L4099" s="2" t="s">
        <v>268</v>
      </c>
      <c r="M4099" s="2" t="s">
        <v>269</v>
      </c>
      <c r="N4099" s="2" t="s">
        <v>442</v>
      </c>
      <c r="O4099" s="2" t="s">
        <v>100</v>
      </c>
      <c r="P4099" s="2" t="str">
        <f>"2170582598                    "</f>
        <v xml:space="preserve">2170582598                    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4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0</v>
      </c>
      <c r="AU4099" s="2">
        <v>0</v>
      </c>
      <c r="AV4099" s="2">
        <v>0</v>
      </c>
      <c r="AW4099" s="2">
        <v>0</v>
      </c>
      <c r="AX4099" s="2">
        <v>0</v>
      </c>
      <c r="AY4099" s="2">
        <v>0</v>
      </c>
      <c r="AZ4099" s="2">
        <v>0</v>
      </c>
      <c r="BA4099" s="2">
        <v>0</v>
      </c>
      <c r="BB4099" s="2">
        <v>0</v>
      </c>
      <c r="BC4099" s="2">
        <v>0</v>
      </c>
      <c r="BD4099" s="2">
        <v>0</v>
      </c>
      <c r="BE4099" s="2">
        <v>0</v>
      </c>
      <c r="BF4099" s="2">
        <v>0</v>
      </c>
      <c r="BG4099" s="2">
        <v>0</v>
      </c>
      <c r="BH4099" s="2">
        <v>1</v>
      </c>
      <c r="BI4099" s="2">
        <v>1</v>
      </c>
      <c r="BJ4099" s="2">
        <v>0.2</v>
      </c>
      <c r="BK4099" s="2">
        <v>1</v>
      </c>
      <c r="BL4099" s="2">
        <v>41.44</v>
      </c>
      <c r="BM4099" s="2">
        <v>5.8</v>
      </c>
      <c r="BN4099" s="2">
        <v>47.24</v>
      </c>
      <c r="BO4099" s="2">
        <v>47.24</v>
      </c>
      <c r="BP4099" s="2"/>
      <c r="BQ4099" s="2" t="s">
        <v>83</v>
      </c>
      <c r="BR4099" s="2" t="s">
        <v>84</v>
      </c>
      <c r="BS4099" s="3">
        <v>42950</v>
      </c>
      <c r="BT4099" s="4">
        <v>0.42708333333333331</v>
      </c>
      <c r="BU4099" s="2" t="s">
        <v>443</v>
      </c>
      <c r="BV4099" s="2" t="s">
        <v>95</v>
      </c>
      <c r="BW4099" s="2"/>
      <c r="BX4099" s="2"/>
      <c r="BY4099" s="2">
        <v>1200</v>
      </c>
      <c r="BZ4099" s="2" t="s">
        <v>27</v>
      </c>
      <c r="CA4099" s="2" t="s">
        <v>445</v>
      </c>
      <c r="CB4099" s="2"/>
      <c r="CC4099" s="2" t="s">
        <v>269</v>
      </c>
      <c r="CD4099" s="2">
        <v>1</v>
      </c>
      <c r="CE4099" s="2" t="s">
        <v>104</v>
      </c>
      <c r="CF4099" s="5">
        <v>42951</v>
      </c>
      <c r="CG4099" s="2"/>
      <c r="CH4099" s="2"/>
      <c r="CI4099" s="2">
        <v>1</v>
      </c>
      <c r="CJ4099" s="2">
        <v>1</v>
      </c>
      <c r="CK4099" s="2">
        <v>21</v>
      </c>
      <c r="CL4099" s="2" t="s">
        <v>86</v>
      </c>
      <c r="CM4099" s="2"/>
    </row>
    <row r="4100" spans="1:91">
      <c r="A4100" s="2" t="s">
        <v>71</v>
      </c>
      <c r="B4100" s="2" t="s">
        <v>72</v>
      </c>
      <c r="C4100" s="2" t="s">
        <v>73</v>
      </c>
      <c r="D4100" s="2"/>
      <c r="E4100" s="2" t="str">
        <f>"FES1162566387"</f>
        <v>FES1162566387</v>
      </c>
      <c r="F4100" s="3">
        <v>42949</v>
      </c>
      <c r="G4100" s="2">
        <v>201802</v>
      </c>
      <c r="H4100" s="2" t="s">
        <v>74</v>
      </c>
      <c r="I4100" s="2" t="s">
        <v>75</v>
      </c>
      <c r="J4100" s="2" t="s">
        <v>76</v>
      </c>
      <c r="K4100" s="2" t="s">
        <v>77</v>
      </c>
      <c r="L4100" s="2" t="s">
        <v>74</v>
      </c>
      <c r="M4100" s="2" t="s">
        <v>75</v>
      </c>
      <c r="N4100" s="2" t="s">
        <v>821</v>
      </c>
      <c r="O4100" s="2" t="s">
        <v>100</v>
      </c>
      <c r="P4100" s="2" t="str">
        <f>"2170580699                    "</f>
        <v xml:space="preserve">2170580699                    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3.13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0</v>
      </c>
      <c r="AU4100" s="2">
        <v>0</v>
      </c>
      <c r="AV4100" s="2">
        <v>0</v>
      </c>
      <c r="AW4100" s="2">
        <v>0</v>
      </c>
      <c r="AX4100" s="2">
        <v>0</v>
      </c>
      <c r="AY4100" s="2">
        <v>0</v>
      </c>
      <c r="AZ4100" s="2">
        <v>0</v>
      </c>
      <c r="BA4100" s="2">
        <v>0</v>
      </c>
      <c r="BB4100" s="2">
        <v>0</v>
      </c>
      <c r="BC4100" s="2">
        <v>0</v>
      </c>
      <c r="BD4100" s="2">
        <v>0</v>
      </c>
      <c r="BE4100" s="2">
        <v>0</v>
      </c>
      <c r="BF4100" s="2">
        <v>0</v>
      </c>
      <c r="BG4100" s="2">
        <v>0</v>
      </c>
      <c r="BH4100" s="2">
        <v>1</v>
      </c>
      <c r="BI4100" s="2">
        <v>1</v>
      </c>
      <c r="BJ4100" s="2">
        <v>0.2</v>
      </c>
      <c r="BK4100" s="2">
        <v>1</v>
      </c>
      <c r="BL4100" s="2">
        <v>32.380000000000003</v>
      </c>
      <c r="BM4100" s="2">
        <v>4.53</v>
      </c>
      <c r="BN4100" s="2">
        <v>36.909999999999997</v>
      </c>
      <c r="BO4100" s="2">
        <v>36.909999999999997</v>
      </c>
      <c r="BP4100" s="2"/>
      <c r="BQ4100" s="2" t="s">
        <v>83</v>
      </c>
      <c r="BR4100" s="2" t="s">
        <v>84</v>
      </c>
      <c r="BS4100" s="3">
        <v>42950</v>
      </c>
      <c r="BT4100" s="4">
        <v>0.32500000000000001</v>
      </c>
      <c r="BU4100" s="2" t="s">
        <v>1435</v>
      </c>
      <c r="BV4100" s="2" t="s">
        <v>95</v>
      </c>
      <c r="BW4100" s="2"/>
      <c r="BX4100" s="2"/>
      <c r="BY4100" s="2">
        <v>1200</v>
      </c>
      <c r="BZ4100" s="2" t="s">
        <v>27</v>
      </c>
      <c r="CA4100" s="2"/>
      <c r="CB4100" s="2"/>
      <c r="CC4100" s="2" t="s">
        <v>75</v>
      </c>
      <c r="CD4100" s="2">
        <v>1665</v>
      </c>
      <c r="CE4100" s="2" t="s">
        <v>104</v>
      </c>
      <c r="CF4100" s="5">
        <v>42950</v>
      </c>
      <c r="CG4100" s="2"/>
      <c r="CH4100" s="2"/>
      <c r="CI4100" s="2">
        <v>1</v>
      </c>
      <c r="CJ4100" s="2">
        <v>1</v>
      </c>
      <c r="CK4100" s="2">
        <v>22</v>
      </c>
      <c r="CL4100" s="2" t="s">
        <v>86</v>
      </c>
      <c r="CM4100" s="2"/>
    </row>
    <row r="4101" spans="1:91">
      <c r="A4101" s="2" t="s">
        <v>71</v>
      </c>
      <c r="B4101" s="2" t="s">
        <v>72</v>
      </c>
      <c r="C4101" s="2" t="s">
        <v>73</v>
      </c>
      <c r="D4101" s="2"/>
      <c r="E4101" s="2" t="str">
        <f>"FES1162566174"</f>
        <v>FES1162566174</v>
      </c>
      <c r="F4101" s="3">
        <v>42949</v>
      </c>
      <c r="G4101" s="2">
        <v>201802</v>
      </c>
      <c r="H4101" s="2" t="s">
        <v>74</v>
      </c>
      <c r="I4101" s="2" t="s">
        <v>75</v>
      </c>
      <c r="J4101" s="2" t="s">
        <v>76</v>
      </c>
      <c r="K4101" s="2" t="s">
        <v>77</v>
      </c>
      <c r="L4101" s="2" t="s">
        <v>97</v>
      </c>
      <c r="M4101" s="2" t="s">
        <v>98</v>
      </c>
      <c r="N4101" s="2" t="s">
        <v>3074</v>
      </c>
      <c r="O4101" s="2" t="s">
        <v>100</v>
      </c>
      <c r="P4101" s="2" t="str">
        <f>"                              "</f>
        <v xml:space="preserve">                              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4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0</v>
      </c>
      <c r="AU4101" s="2">
        <v>0</v>
      </c>
      <c r="AV4101" s="2">
        <v>0</v>
      </c>
      <c r="AW4101" s="2">
        <v>0</v>
      </c>
      <c r="AX4101" s="2">
        <v>0</v>
      </c>
      <c r="AY4101" s="2">
        <v>0</v>
      </c>
      <c r="AZ4101" s="2">
        <v>0</v>
      </c>
      <c r="BA4101" s="2">
        <v>0</v>
      </c>
      <c r="BB4101" s="2">
        <v>0</v>
      </c>
      <c r="BC4101" s="2">
        <v>0</v>
      </c>
      <c r="BD4101" s="2">
        <v>0</v>
      </c>
      <c r="BE4101" s="2">
        <v>0</v>
      </c>
      <c r="BF4101" s="2">
        <v>0</v>
      </c>
      <c r="BG4101" s="2">
        <v>0</v>
      </c>
      <c r="BH4101" s="2">
        <v>1</v>
      </c>
      <c r="BI4101" s="2">
        <v>1</v>
      </c>
      <c r="BJ4101" s="2">
        <v>0.2</v>
      </c>
      <c r="BK4101" s="2">
        <v>1</v>
      </c>
      <c r="BL4101" s="2">
        <v>41.44</v>
      </c>
      <c r="BM4101" s="2">
        <v>5.8</v>
      </c>
      <c r="BN4101" s="2">
        <v>47.24</v>
      </c>
      <c r="BO4101" s="2">
        <v>47.24</v>
      </c>
      <c r="BP4101" s="2"/>
      <c r="BQ4101" s="2" t="s">
        <v>3075</v>
      </c>
      <c r="BR4101" s="2" t="s">
        <v>84</v>
      </c>
      <c r="BS4101" s="3">
        <v>42950</v>
      </c>
      <c r="BT4101" s="4">
        <v>0.37708333333333338</v>
      </c>
      <c r="BU4101" s="2" t="s">
        <v>3847</v>
      </c>
      <c r="BV4101" s="2" t="s">
        <v>95</v>
      </c>
      <c r="BW4101" s="2"/>
      <c r="BX4101" s="2"/>
      <c r="BY4101" s="2">
        <v>1200</v>
      </c>
      <c r="BZ4101" s="2" t="s">
        <v>27</v>
      </c>
      <c r="CA4101" s="2"/>
      <c r="CB4101" s="2"/>
      <c r="CC4101" s="2" t="s">
        <v>98</v>
      </c>
      <c r="CD4101" s="2">
        <v>6001</v>
      </c>
      <c r="CE4101" s="2" t="s">
        <v>104</v>
      </c>
      <c r="CF4101" s="5">
        <v>42951</v>
      </c>
      <c r="CG4101" s="2"/>
      <c r="CH4101" s="2"/>
      <c r="CI4101" s="2">
        <v>1</v>
      </c>
      <c r="CJ4101" s="2">
        <v>1</v>
      </c>
      <c r="CK4101" s="2">
        <v>21</v>
      </c>
      <c r="CL4101" s="2" t="s">
        <v>86</v>
      </c>
      <c r="CM4101" s="2"/>
    </row>
    <row r="4102" spans="1:91">
      <c r="A4102" s="2" t="s">
        <v>71</v>
      </c>
      <c r="B4102" s="2" t="s">
        <v>72</v>
      </c>
      <c r="C4102" s="2" t="s">
        <v>73</v>
      </c>
      <c r="D4102" s="2"/>
      <c r="E4102" s="2" t="str">
        <f>"FES1162566164"</f>
        <v>FES1162566164</v>
      </c>
      <c r="F4102" s="3">
        <v>42949</v>
      </c>
      <c r="G4102" s="2">
        <v>201802</v>
      </c>
      <c r="H4102" s="2" t="s">
        <v>74</v>
      </c>
      <c r="I4102" s="2" t="s">
        <v>75</v>
      </c>
      <c r="J4102" s="2" t="s">
        <v>76</v>
      </c>
      <c r="K4102" s="2" t="s">
        <v>77</v>
      </c>
      <c r="L4102" s="2" t="s">
        <v>97</v>
      </c>
      <c r="M4102" s="2" t="s">
        <v>98</v>
      </c>
      <c r="N4102" s="2" t="s">
        <v>214</v>
      </c>
      <c r="O4102" s="2" t="s">
        <v>100</v>
      </c>
      <c r="P4102" s="2" t="str">
        <f>"2170580656                    "</f>
        <v xml:space="preserve">2170580656                    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4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0</v>
      </c>
      <c r="AU4102" s="2">
        <v>0</v>
      </c>
      <c r="AV4102" s="2">
        <v>0</v>
      </c>
      <c r="AW4102" s="2">
        <v>0</v>
      </c>
      <c r="AX4102" s="2">
        <v>0</v>
      </c>
      <c r="AY4102" s="2">
        <v>0</v>
      </c>
      <c r="AZ4102" s="2">
        <v>0</v>
      </c>
      <c r="BA4102" s="2">
        <v>0</v>
      </c>
      <c r="BB4102" s="2">
        <v>0</v>
      </c>
      <c r="BC4102" s="2">
        <v>0</v>
      </c>
      <c r="BD4102" s="2">
        <v>0</v>
      </c>
      <c r="BE4102" s="2">
        <v>0</v>
      </c>
      <c r="BF4102" s="2">
        <v>0</v>
      </c>
      <c r="BG4102" s="2">
        <v>0</v>
      </c>
      <c r="BH4102" s="2">
        <v>1</v>
      </c>
      <c r="BI4102" s="2">
        <v>1</v>
      </c>
      <c r="BJ4102" s="2">
        <v>0.2</v>
      </c>
      <c r="BK4102" s="2">
        <v>1</v>
      </c>
      <c r="BL4102" s="2">
        <v>41.44</v>
      </c>
      <c r="BM4102" s="2">
        <v>5.8</v>
      </c>
      <c r="BN4102" s="2">
        <v>47.24</v>
      </c>
      <c r="BO4102" s="2">
        <v>47.24</v>
      </c>
      <c r="BP4102" s="2"/>
      <c r="BQ4102" s="2" t="s">
        <v>108</v>
      </c>
      <c r="BR4102" s="2" t="s">
        <v>84</v>
      </c>
      <c r="BS4102" s="3">
        <v>42970</v>
      </c>
      <c r="BT4102" s="4">
        <v>0.58958333333333335</v>
      </c>
      <c r="BU4102" s="2" t="s">
        <v>3848</v>
      </c>
      <c r="BV4102" s="2" t="s">
        <v>86</v>
      </c>
      <c r="BW4102" s="2"/>
      <c r="BX4102" s="2"/>
      <c r="BY4102" s="2">
        <v>1200</v>
      </c>
      <c r="BZ4102" s="2"/>
      <c r="CA4102" s="2" t="s">
        <v>550</v>
      </c>
      <c r="CB4102" s="2"/>
      <c r="CC4102" s="2" t="s">
        <v>98</v>
      </c>
      <c r="CD4102" s="2">
        <v>6001</v>
      </c>
      <c r="CE4102" s="2" t="s">
        <v>104</v>
      </c>
      <c r="CF4102" s="5">
        <v>42971</v>
      </c>
      <c r="CG4102" s="2"/>
      <c r="CH4102" s="2"/>
      <c r="CI4102" s="2">
        <v>1</v>
      </c>
      <c r="CJ4102" s="2">
        <v>15</v>
      </c>
      <c r="CK4102" s="2">
        <v>21</v>
      </c>
      <c r="CL4102" s="2" t="s">
        <v>86</v>
      </c>
      <c r="CM4102" s="2"/>
    </row>
    <row r="4103" spans="1:91">
      <c r="A4103" s="2" t="s">
        <v>71</v>
      </c>
      <c r="B4103" s="2" t="s">
        <v>72</v>
      </c>
      <c r="C4103" s="2" t="s">
        <v>73</v>
      </c>
      <c r="D4103" s="2"/>
      <c r="E4103" s="2" t="str">
        <f>"FES1162566361"</f>
        <v>FES1162566361</v>
      </c>
      <c r="F4103" s="3">
        <v>42949</v>
      </c>
      <c r="G4103" s="2">
        <v>201802</v>
      </c>
      <c r="H4103" s="2" t="s">
        <v>74</v>
      </c>
      <c r="I4103" s="2" t="s">
        <v>75</v>
      </c>
      <c r="J4103" s="2" t="s">
        <v>76</v>
      </c>
      <c r="K4103" s="2" t="s">
        <v>77</v>
      </c>
      <c r="L4103" s="2" t="s">
        <v>174</v>
      </c>
      <c r="M4103" s="2" t="s">
        <v>175</v>
      </c>
      <c r="N4103" s="2" t="s">
        <v>2492</v>
      </c>
      <c r="O4103" s="2" t="s">
        <v>100</v>
      </c>
      <c r="P4103" s="2" t="str">
        <f>"2170580163                    "</f>
        <v xml:space="preserve">2170580163                    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4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0</v>
      </c>
      <c r="AU4103" s="2">
        <v>0</v>
      </c>
      <c r="AV4103" s="2">
        <v>0</v>
      </c>
      <c r="AW4103" s="2">
        <v>0</v>
      </c>
      <c r="AX4103" s="2">
        <v>0</v>
      </c>
      <c r="AY4103" s="2">
        <v>0</v>
      </c>
      <c r="AZ4103" s="2">
        <v>0</v>
      </c>
      <c r="BA4103" s="2">
        <v>0</v>
      </c>
      <c r="BB4103" s="2">
        <v>0</v>
      </c>
      <c r="BC4103" s="2">
        <v>0</v>
      </c>
      <c r="BD4103" s="2">
        <v>0</v>
      </c>
      <c r="BE4103" s="2">
        <v>0</v>
      </c>
      <c r="BF4103" s="2">
        <v>0</v>
      </c>
      <c r="BG4103" s="2">
        <v>0</v>
      </c>
      <c r="BH4103" s="2">
        <v>1</v>
      </c>
      <c r="BI4103" s="2">
        <v>1</v>
      </c>
      <c r="BJ4103" s="2">
        <v>0.2</v>
      </c>
      <c r="BK4103" s="2">
        <v>1</v>
      </c>
      <c r="BL4103" s="2">
        <v>41.44</v>
      </c>
      <c r="BM4103" s="2">
        <v>5.8</v>
      </c>
      <c r="BN4103" s="2">
        <v>47.24</v>
      </c>
      <c r="BO4103" s="2">
        <v>47.24</v>
      </c>
      <c r="BP4103" s="2"/>
      <c r="BQ4103" s="2" t="s">
        <v>209</v>
      </c>
      <c r="BR4103" s="2" t="s">
        <v>84</v>
      </c>
      <c r="BS4103" s="3">
        <v>42950</v>
      </c>
      <c r="BT4103" s="4">
        <v>0.44861111111111113</v>
      </c>
      <c r="BU4103" s="2" t="s">
        <v>3849</v>
      </c>
      <c r="BV4103" s="2" t="s">
        <v>95</v>
      </c>
      <c r="BW4103" s="2"/>
      <c r="BX4103" s="2"/>
      <c r="BY4103" s="2">
        <v>1200</v>
      </c>
      <c r="BZ4103" s="2" t="s">
        <v>27</v>
      </c>
      <c r="CA4103" s="2" t="s">
        <v>1420</v>
      </c>
      <c r="CB4103" s="2"/>
      <c r="CC4103" s="2" t="s">
        <v>175</v>
      </c>
      <c r="CD4103" s="2">
        <v>5201</v>
      </c>
      <c r="CE4103" s="2" t="s">
        <v>104</v>
      </c>
      <c r="CF4103" s="5">
        <v>42954</v>
      </c>
      <c r="CG4103" s="2"/>
      <c r="CH4103" s="2"/>
      <c r="CI4103" s="2">
        <v>1</v>
      </c>
      <c r="CJ4103" s="2">
        <v>1</v>
      </c>
      <c r="CK4103" s="2">
        <v>21</v>
      </c>
      <c r="CL4103" s="2" t="s">
        <v>86</v>
      </c>
      <c r="CM4103" s="2"/>
    </row>
    <row r="4104" spans="1:91">
      <c r="A4104" s="2" t="s">
        <v>71</v>
      </c>
      <c r="B4104" s="2" t="s">
        <v>72</v>
      </c>
      <c r="C4104" s="2" t="s">
        <v>73</v>
      </c>
      <c r="D4104" s="2"/>
      <c r="E4104" s="2" t="str">
        <f>"FES1162566309"</f>
        <v>FES1162566309</v>
      </c>
      <c r="F4104" s="3">
        <v>42949</v>
      </c>
      <c r="G4104" s="2">
        <v>201802</v>
      </c>
      <c r="H4104" s="2" t="s">
        <v>74</v>
      </c>
      <c r="I4104" s="2" t="s">
        <v>75</v>
      </c>
      <c r="J4104" s="2" t="s">
        <v>76</v>
      </c>
      <c r="K4104" s="2" t="s">
        <v>77</v>
      </c>
      <c r="L4104" s="2" t="s">
        <v>510</v>
      </c>
      <c r="M4104" s="2" t="s">
        <v>511</v>
      </c>
      <c r="N4104" s="2" t="s">
        <v>583</v>
      </c>
      <c r="O4104" s="2" t="s">
        <v>100</v>
      </c>
      <c r="P4104" s="2" t="str">
        <f>"2170577590                    "</f>
        <v xml:space="preserve">2170577590                    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5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0</v>
      </c>
      <c r="AU4104" s="2">
        <v>0</v>
      </c>
      <c r="AV4104" s="2">
        <v>0</v>
      </c>
      <c r="AW4104" s="2">
        <v>0</v>
      </c>
      <c r="AX4104" s="2">
        <v>0</v>
      </c>
      <c r="AY4104" s="2">
        <v>0</v>
      </c>
      <c r="AZ4104" s="2">
        <v>0</v>
      </c>
      <c r="BA4104" s="2">
        <v>0</v>
      </c>
      <c r="BB4104" s="2">
        <v>0</v>
      </c>
      <c r="BC4104" s="2">
        <v>0</v>
      </c>
      <c r="BD4104" s="2">
        <v>0</v>
      </c>
      <c r="BE4104" s="2">
        <v>0</v>
      </c>
      <c r="BF4104" s="2">
        <v>0</v>
      </c>
      <c r="BG4104" s="2">
        <v>0</v>
      </c>
      <c r="BH4104" s="2">
        <v>1</v>
      </c>
      <c r="BI4104" s="2">
        <v>1</v>
      </c>
      <c r="BJ4104" s="2">
        <v>2.2000000000000002</v>
      </c>
      <c r="BK4104" s="2">
        <v>2.5</v>
      </c>
      <c r="BL4104" s="2">
        <v>51.8</v>
      </c>
      <c r="BM4104" s="2">
        <v>7.25</v>
      </c>
      <c r="BN4104" s="2">
        <v>59.05</v>
      </c>
      <c r="BO4104" s="2">
        <v>59.05</v>
      </c>
      <c r="BP4104" s="2"/>
      <c r="BQ4104" s="2" t="s">
        <v>1505</v>
      </c>
      <c r="BR4104" s="2" t="s">
        <v>84</v>
      </c>
      <c r="BS4104" s="3">
        <v>42950</v>
      </c>
      <c r="BT4104" s="4">
        <v>0.32361111111111113</v>
      </c>
      <c r="BU4104" s="2" t="s">
        <v>584</v>
      </c>
      <c r="BV4104" s="2" t="s">
        <v>95</v>
      </c>
      <c r="BW4104" s="2"/>
      <c r="BX4104" s="2"/>
      <c r="BY4104" s="2">
        <v>11230.83</v>
      </c>
      <c r="BZ4104" s="2" t="s">
        <v>27</v>
      </c>
      <c r="CA4104" s="2" t="s">
        <v>514</v>
      </c>
      <c r="CB4104" s="2"/>
      <c r="CC4104" s="2" t="s">
        <v>511</v>
      </c>
      <c r="CD4104" s="2">
        <v>6229</v>
      </c>
      <c r="CE4104" s="2" t="s">
        <v>104</v>
      </c>
      <c r="CF4104" s="5">
        <v>42951</v>
      </c>
      <c r="CG4104" s="2"/>
      <c r="CH4104" s="2"/>
      <c r="CI4104" s="2">
        <v>1</v>
      </c>
      <c r="CJ4104" s="2">
        <v>1</v>
      </c>
      <c r="CK4104" s="2">
        <v>21</v>
      </c>
      <c r="CL4104" s="2" t="s">
        <v>86</v>
      </c>
      <c r="CM4104" s="2"/>
    </row>
    <row r="4105" spans="1:91">
      <c r="A4105" s="2" t="s">
        <v>71</v>
      </c>
      <c r="B4105" s="2" t="s">
        <v>72</v>
      </c>
      <c r="C4105" s="2" t="s">
        <v>73</v>
      </c>
      <c r="D4105" s="2"/>
      <c r="E4105" s="2" t="str">
        <f>"FES1162566306"</f>
        <v>FES1162566306</v>
      </c>
      <c r="F4105" s="3">
        <v>42949</v>
      </c>
      <c r="G4105" s="2">
        <v>201802</v>
      </c>
      <c r="H4105" s="2" t="s">
        <v>74</v>
      </c>
      <c r="I4105" s="2" t="s">
        <v>75</v>
      </c>
      <c r="J4105" s="2" t="s">
        <v>76</v>
      </c>
      <c r="K4105" s="2" t="s">
        <v>77</v>
      </c>
      <c r="L4105" s="2" t="s">
        <v>510</v>
      </c>
      <c r="M4105" s="2" t="s">
        <v>511</v>
      </c>
      <c r="N4105" s="2" t="s">
        <v>2112</v>
      </c>
      <c r="O4105" s="2" t="s">
        <v>100</v>
      </c>
      <c r="P4105" s="2" t="str">
        <f>"2170574772                    "</f>
        <v xml:space="preserve">2170574772                    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4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0</v>
      </c>
      <c r="AU4105" s="2">
        <v>0</v>
      </c>
      <c r="AV4105" s="2">
        <v>0</v>
      </c>
      <c r="AW4105" s="2">
        <v>0</v>
      </c>
      <c r="AX4105" s="2">
        <v>0</v>
      </c>
      <c r="AY4105" s="2">
        <v>0</v>
      </c>
      <c r="AZ4105" s="2">
        <v>0</v>
      </c>
      <c r="BA4105" s="2">
        <v>0</v>
      </c>
      <c r="BB4105" s="2">
        <v>0</v>
      </c>
      <c r="BC4105" s="2">
        <v>0</v>
      </c>
      <c r="BD4105" s="2">
        <v>0</v>
      </c>
      <c r="BE4105" s="2">
        <v>0</v>
      </c>
      <c r="BF4105" s="2">
        <v>0</v>
      </c>
      <c r="BG4105" s="2">
        <v>0</v>
      </c>
      <c r="BH4105" s="2">
        <v>1</v>
      </c>
      <c r="BI4105" s="2">
        <v>1</v>
      </c>
      <c r="BJ4105" s="2">
        <v>0.2</v>
      </c>
      <c r="BK4105" s="2">
        <v>1</v>
      </c>
      <c r="BL4105" s="2">
        <v>41.44</v>
      </c>
      <c r="BM4105" s="2">
        <v>5.8</v>
      </c>
      <c r="BN4105" s="2">
        <v>47.24</v>
      </c>
      <c r="BO4105" s="2">
        <v>47.24</v>
      </c>
      <c r="BP4105" s="2"/>
      <c r="BQ4105" s="2" t="s">
        <v>108</v>
      </c>
      <c r="BR4105" s="2" t="s">
        <v>84</v>
      </c>
      <c r="BS4105" s="3">
        <v>42950</v>
      </c>
      <c r="BT4105" s="4">
        <v>0.38819444444444445</v>
      </c>
      <c r="BU4105" s="2" t="s">
        <v>513</v>
      </c>
      <c r="BV4105" s="2" t="s">
        <v>95</v>
      </c>
      <c r="BW4105" s="2"/>
      <c r="BX4105" s="2"/>
      <c r="BY4105" s="2">
        <v>1200</v>
      </c>
      <c r="BZ4105" s="2" t="s">
        <v>27</v>
      </c>
      <c r="CA4105" s="2" t="s">
        <v>514</v>
      </c>
      <c r="CB4105" s="2"/>
      <c r="CC4105" s="2" t="s">
        <v>511</v>
      </c>
      <c r="CD4105" s="2">
        <v>6230</v>
      </c>
      <c r="CE4105" s="2" t="s">
        <v>104</v>
      </c>
      <c r="CF4105" s="5">
        <v>42951</v>
      </c>
      <c r="CG4105" s="2"/>
      <c r="CH4105" s="2"/>
      <c r="CI4105" s="2">
        <v>1</v>
      </c>
      <c r="CJ4105" s="2">
        <v>1</v>
      </c>
      <c r="CK4105" s="2">
        <v>21</v>
      </c>
      <c r="CL4105" s="2" t="s">
        <v>86</v>
      </c>
      <c r="CM4105" s="2"/>
    </row>
    <row r="4106" spans="1:91">
      <c r="A4106" s="2" t="s">
        <v>71</v>
      </c>
      <c r="B4106" s="2" t="s">
        <v>72</v>
      </c>
      <c r="C4106" s="2" t="s">
        <v>73</v>
      </c>
      <c r="D4106" s="2"/>
      <c r="E4106" s="2" t="str">
        <f>"FES1162566319"</f>
        <v>FES1162566319</v>
      </c>
      <c r="F4106" s="3">
        <v>42949</v>
      </c>
      <c r="G4106" s="2">
        <v>201802</v>
      </c>
      <c r="H4106" s="2" t="s">
        <v>74</v>
      </c>
      <c r="I4106" s="2" t="s">
        <v>75</v>
      </c>
      <c r="J4106" s="2" t="s">
        <v>76</v>
      </c>
      <c r="K4106" s="2" t="s">
        <v>77</v>
      </c>
      <c r="L4106" s="2" t="s">
        <v>97</v>
      </c>
      <c r="M4106" s="2" t="s">
        <v>98</v>
      </c>
      <c r="N4106" s="2" t="s">
        <v>248</v>
      </c>
      <c r="O4106" s="2" t="s">
        <v>100</v>
      </c>
      <c r="P4106" s="2" t="str">
        <f>"21705879488                   "</f>
        <v xml:space="preserve">21705879488                   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4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0</v>
      </c>
      <c r="AU4106" s="2">
        <v>0</v>
      </c>
      <c r="AV4106" s="2">
        <v>0</v>
      </c>
      <c r="AW4106" s="2">
        <v>0</v>
      </c>
      <c r="AX4106" s="2">
        <v>0</v>
      </c>
      <c r="AY4106" s="2">
        <v>0</v>
      </c>
      <c r="AZ4106" s="2">
        <v>0</v>
      </c>
      <c r="BA4106" s="2">
        <v>0</v>
      </c>
      <c r="BB4106" s="2">
        <v>0</v>
      </c>
      <c r="BC4106" s="2">
        <v>0</v>
      </c>
      <c r="BD4106" s="2">
        <v>0</v>
      </c>
      <c r="BE4106" s="2">
        <v>0</v>
      </c>
      <c r="BF4106" s="2">
        <v>0</v>
      </c>
      <c r="BG4106" s="2">
        <v>0</v>
      </c>
      <c r="BH4106" s="2">
        <v>1</v>
      </c>
      <c r="BI4106" s="2">
        <v>1</v>
      </c>
      <c r="BJ4106" s="2">
        <v>0.2</v>
      </c>
      <c r="BK4106" s="2">
        <v>1</v>
      </c>
      <c r="BL4106" s="2">
        <v>41.44</v>
      </c>
      <c r="BM4106" s="2">
        <v>5.8</v>
      </c>
      <c r="BN4106" s="2">
        <v>47.24</v>
      </c>
      <c r="BO4106" s="2">
        <v>47.24</v>
      </c>
      <c r="BP4106" s="2"/>
      <c r="BQ4106" s="2" t="s">
        <v>83</v>
      </c>
      <c r="BR4106" s="2" t="s">
        <v>84</v>
      </c>
      <c r="BS4106" s="3">
        <v>42950</v>
      </c>
      <c r="BT4106" s="4">
        <v>0.33333333333333331</v>
      </c>
      <c r="BU4106" s="2" t="s">
        <v>390</v>
      </c>
      <c r="BV4106" s="2" t="s">
        <v>95</v>
      </c>
      <c r="BW4106" s="2"/>
      <c r="BX4106" s="2"/>
      <c r="BY4106" s="2">
        <v>1200</v>
      </c>
      <c r="BZ4106" s="2" t="s">
        <v>27</v>
      </c>
      <c r="CA4106" s="2" t="s">
        <v>294</v>
      </c>
      <c r="CB4106" s="2"/>
      <c r="CC4106" s="2" t="s">
        <v>98</v>
      </c>
      <c r="CD4106" s="2">
        <v>6001</v>
      </c>
      <c r="CE4106" s="2" t="s">
        <v>104</v>
      </c>
      <c r="CF4106" s="5">
        <v>42951</v>
      </c>
      <c r="CG4106" s="2"/>
      <c r="CH4106" s="2"/>
      <c r="CI4106" s="2">
        <v>1</v>
      </c>
      <c r="CJ4106" s="2">
        <v>1</v>
      </c>
      <c r="CK4106" s="2">
        <v>21</v>
      </c>
      <c r="CL4106" s="2" t="s">
        <v>86</v>
      </c>
      <c r="CM4106" s="2"/>
    </row>
    <row r="4107" spans="1:91">
      <c r="A4107" s="2" t="s">
        <v>71</v>
      </c>
      <c r="B4107" s="2" t="s">
        <v>72</v>
      </c>
      <c r="C4107" s="2" t="s">
        <v>73</v>
      </c>
      <c r="D4107" s="2"/>
      <c r="E4107" s="2" t="str">
        <f>"FES1162566331"</f>
        <v>FES1162566331</v>
      </c>
      <c r="F4107" s="3">
        <v>42949</v>
      </c>
      <c r="G4107" s="2">
        <v>201802</v>
      </c>
      <c r="H4107" s="2" t="s">
        <v>74</v>
      </c>
      <c r="I4107" s="2" t="s">
        <v>75</v>
      </c>
      <c r="J4107" s="2" t="s">
        <v>76</v>
      </c>
      <c r="K4107" s="2" t="s">
        <v>77</v>
      </c>
      <c r="L4107" s="2" t="s">
        <v>174</v>
      </c>
      <c r="M4107" s="2" t="s">
        <v>175</v>
      </c>
      <c r="N4107" s="2" t="s">
        <v>3850</v>
      </c>
      <c r="O4107" s="2" t="s">
        <v>100</v>
      </c>
      <c r="P4107" s="2" t="str">
        <f>"2170581443                    "</f>
        <v xml:space="preserve">2170581443                    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4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0</v>
      </c>
      <c r="AU4107" s="2">
        <v>0</v>
      </c>
      <c r="AV4107" s="2">
        <v>0</v>
      </c>
      <c r="AW4107" s="2">
        <v>0</v>
      </c>
      <c r="AX4107" s="2">
        <v>0</v>
      </c>
      <c r="AY4107" s="2">
        <v>0</v>
      </c>
      <c r="AZ4107" s="2">
        <v>0</v>
      </c>
      <c r="BA4107" s="2">
        <v>0</v>
      </c>
      <c r="BB4107" s="2">
        <v>0</v>
      </c>
      <c r="BC4107" s="2">
        <v>0</v>
      </c>
      <c r="BD4107" s="2">
        <v>0</v>
      </c>
      <c r="BE4107" s="2">
        <v>0</v>
      </c>
      <c r="BF4107" s="2">
        <v>0</v>
      </c>
      <c r="BG4107" s="2">
        <v>0</v>
      </c>
      <c r="BH4107" s="2">
        <v>1</v>
      </c>
      <c r="BI4107" s="2">
        <v>1</v>
      </c>
      <c r="BJ4107" s="2">
        <v>0.2</v>
      </c>
      <c r="BK4107" s="2">
        <v>1</v>
      </c>
      <c r="BL4107" s="2">
        <v>41.44</v>
      </c>
      <c r="BM4107" s="2">
        <v>5.8</v>
      </c>
      <c r="BN4107" s="2">
        <v>47.24</v>
      </c>
      <c r="BO4107" s="2">
        <v>47.24</v>
      </c>
      <c r="BP4107" s="2"/>
      <c r="BQ4107" s="2" t="s">
        <v>83</v>
      </c>
      <c r="BR4107" s="2" t="s">
        <v>84</v>
      </c>
      <c r="BS4107" s="3">
        <v>42950</v>
      </c>
      <c r="BT4107" s="4">
        <v>0.42222222222222222</v>
      </c>
      <c r="BU4107" s="2" t="s">
        <v>3851</v>
      </c>
      <c r="BV4107" s="2" t="s">
        <v>95</v>
      </c>
      <c r="BW4107" s="2"/>
      <c r="BX4107" s="2"/>
      <c r="BY4107" s="2">
        <v>1200</v>
      </c>
      <c r="BZ4107" s="2" t="s">
        <v>27</v>
      </c>
      <c r="CA4107" s="2" t="s">
        <v>1698</v>
      </c>
      <c r="CB4107" s="2"/>
      <c r="CC4107" s="2" t="s">
        <v>175</v>
      </c>
      <c r="CD4107" s="2">
        <v>5247</v>
      </c>
      <c r="CE4107" s="2" t="s">
        <v>104</v>
      </c>
      <c r="CF4107" s="5">
        <v>42954</v>
      </c>
      <c r="CG4107" s="2"/>
      <c r="CH4107" s="2"/>
      <c r="CI4107" s="2">
        <v>1</v>
      </c>
      <c r="CJ4107" s="2">
        <v>1</v>
      </c>
      <c r="CK4107" s="2">
        <v>21</v>
      </c>
      <c r="CL4107" s="2" t="s">
        <v>86</v>
      </c>
      <c r="CM4107" s="2"/>
    </row>
    <row r="4108" spans="1:91">
      <c r="A4108" s="2" t="s">
        <v>71</v>
      </c>
      <c r="B4108" s="2" t="s">
        <v>72</v>
      </c>
      <c r="C4108" s="2" t="s">
        <v>73</v>
      </c>
      <c r="D4108" s="2"/>
      <c r="E4108" s="2" t="str">
        <f>"FES1162566180"</f>
        <v>FES1162566180</v>
      </c>
      <c r="F4108" s="3">
        <v>42949</v>
      </c>
      <c r="G4108" s="2">
        <v>201802</v>
      </c>
      <c r="H4108" s="2" t="s">
        <v>74</v>
      </c>
      <c r="I4108" s="2" t="s">
        <v>75</v>
      </c>
      <c r="J4108" s="2" t="s">
        <v>76</v>
      </c>
      <c r="K4108" s="2" t="s">
        <v>77</v>
      </c>
      <c r="L4108" s="2" t="s">
        <v>97</v>
      </c>
      <c r="M4108" s="2" t="s">
        <v>98</v>
      </c>
      <c r="N4108" s="2" t="s">
        <v>2205</v>
      </c>
      <c r="O4108" s="2" t="s">
        <v>100</v>
      </c>
      <c r="P4108" s="2" t="str">
        <f>"2170581262                    "</f>
        <v xml:space="preserve">2170581262                    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4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0</v>
      </c>
      <c r="AU4108" s="2">
        <v>0</v>
      </c>
      <c r="AV4108" s="2">
        <v>0</v>
      </c>
      <c r="AW4108" s="2">
        <v>0</v>
      </c>
      <c r="AX4108" s="2">
        <v>0</v>
      </c>
      <c r="AY4108" s="2">
        <v>0</v>
      </c>
      <c r="AZ4108" s="2">
        <v>0</v>
      </c>
      <c r="BA4108" s="2">
        <v>0</v>
      </c>
      <c r="BB4108" s="2">
        <v>0</v>
      </c>
      <c r="BC4108" s="2">
        <v>0</v>
      </c>
      <c r="BD4108" s="2">
        <v>0</v>
      </c>
      <c r="BE4108" s="2">
        <v>0</v>
      </c>
      <c r="BF4108" s="2">
        <v>0</v>
      </c>
      <c r="BG4108" s="2">
        <v>0</v>
      </c>
      <c r="BH4108" s="2">
        <v>1</v>
      </c>
      <c r="BI4108" s="2">
        <v>1</v>
      </c>
      <c r="BJ4108" s="2">
        <v>0.2</v>
      </c>
      <c r="BK4108" s="2">
        <v>1</v>
      </c>
      <c r="BL4108" s="2">
        <v>41.44</v>
      </c>
      <c r="BM4108" s="2">
        <v>5.8</v>
      </c>
      <c r="BN4108" s="2">
        <v>47.24</v>
      </c>
      <c r="BO4108" s="2">
        <v>47.24</v>
      </c>
      <c r="BP4108" s="2"/>
      <c r="BQ4108" s="2" t="s">
        <v>3852</v>
      </c>
      <c r="BR4108" s="2" t="s">
        <v>84</v>
      </c>
      <c r="BS4108" s="3">
        <v>42950</v>
      </c>
      <c r="BT4108" s="4">
        <v>0.33402777777777781</v>
      </c>
      <c r="BU4108" s="2" t="s">
        <v>3853</v>
      </c>
      <c r="BV4108" s="2" t="s">
        <v>95</v>
      </c>
      <c r="BW4108" s="2"/>
      <c r="BX4108" s="2"/>
      <c r="BY4108" s="2">
        <v>1200</v>
      </c>
      <c r="BZ4108" s="2" t="s">
        <v>27</v>
      </c>
      <c r="CA4108" s="2" t="s">
        <v>213</v>
      </c>
      <c r="CB4108" s="2"/>
      <c r="CC4108" s="2" t="s">
        <v>98</v>
      </c>
      <c r="CD4108" s="2">
        <v>6001</v>
      </c>
      <c r="CE4108" s="2" t="s">
        <v>104</v>
      </c>
      <c r="CF4108" s="5">
        <v>42951</v>
      </c>
      <c r="CG4108" s="2"/>
      <c r="CH4108" s="2"/>
      <c r="CI4108" s="2">
        <v>1</v>
      </c>
      <c r="CJ4108" s="2">
        <v>1</v>
      </c>
      <c r="CK4108" s="2">
        <v>21</v>
      </c>
      <c r="CL4108" s="2" t="s">
        <v>86</v>
      </c>
      <c r="CM4108" s="2"/>
    </row>
    <row r="4109" spans="1:91">
      <c r="A4109" s="2" t="s">
        <v>71</v>
      </c>
      <c r="B4109" s="2" t="s">
        <v>72</v>
      </c>
      <c r="C4109" s="2" t="s">
        <v>73</v>
      </c>
      <c r="D4109" s="2"/>
      <c r="E4109" s="2" t="str">
        <f>"FES1162566256"</f>
        <v>FES1162566256</v>
      </c>
      <c r="F4109" s="3">
        <v>42949</v>
      </c>
      <c r="G4109" s="2">
        <v>201802</v>
      </c>
      <c r="H4109" s="2" t="s">
        <v>74</v>
      </c>
      <c r="I4109" s="2" t="s">
        <v>75</v>
      </c>
      <c r="J4109" s="2" t="s">
        <v>76</v>
      </c>
      <c r="K4109" s="2" t="s">
        <v>77</v>
      </c>
      <c r="L4109" s="2" t="s">
        <v>170</v>
      </c>
      <c r="M4109" s="2" t="s">
        <v>171</v>
      </c>
      <c r="N4109" s="2" t="s">
        <v>3854</v>
      </c>
      <c r="O4109" s="2" t="s">
        <v>100</v>
      </c>
      <c r="P4109" s="2" t="str">
        <f>"2170582684                    "</f>
        <v xml:space="preserve">2170582684                    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3.13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0</v>
      </c>
      <c r="AU4109" s="2">
        <v>0</v>
      </c>
      <c r="AV4109" s="2">
        <v>0</v>
      </c>
      <c r="AW4109" s="2">
        <v>0</v>
      </c>
      <c r="AX4109" s="2">
        <v>0</v>
      </c>
      <c r="AY4109" s="2">
        <v>0</v>
      </c>
      <c r="AZ4109" s="2">
        <v>0</v>
      </c>
      <c r="BA4109" s="2">
        <v>0</v>
      </c>
      <c r="BB4109" s="2">
        <v>0</v>
      </c>
      <c r="BC4109" s="2">
        <v>0</v>
      </c>
      <c r="BD4109" s="2">
        <v>0</v>
      </c>
      <c r="BE4109" s="2">
        <v>0</v>
      </c>
      <c r="BF4109" s="2">
        <v>0</v>
      </c>
      <c r="BG4109" s="2">
        <v>0</v>
      </c>
      <c r="BH4109" s="2">
        <v>1</v>
      </c>
      <c r="BI4109" s="2">
        <v>1</v>
      </c>
      <c r="BJ4109" s="2">
        <v>0.2</v>
      </c>
      <c r="BK4109" s="2">
        <v>1</v>
      </c>
      <c r="BL4109" s="2">
        <v>32.380000000000003</v>
      </c>
      <c r="BM4109" s="2">
        <v>4.53</v>
      </c>
      <c r="BN4109" s="2">
        <v>36.909999999999997</v>
      </c>
      <c r="BO4109" s="2">
        <v>36.909999999999997</v>
      </c>
      <c r="BP4109" s="2"/>
      <c r="BQ4109" s="2"/>
      <c r="BR4109" s="2" t="s">
        <v>84</v>
      </c>
      <c r="BS4109" s="3">
        <v>42950</v>
      </c>
      <c r="BT4109" s="4">
        <v>0.4375</v>
      </c>
      <c r="BU4109" s="2" t="s">
        <v>3855</v>
      </c>
      <c r="BV4109" s="2" t="s">
        <v>95</v>
      </c>
      <c r="BW4109" s="2"/>
      <c r="BX4109" s="2"/>
      <c r="BY4109" s="2">
        <v>1200</v>
      </c>
      <c r="BZ4109" s="2" t="s">
        <v>27</v>
      </c>
      <c r="CA4109" s="2" t="s">
        <v>492</v>
      </c>
      <c r="CB4109" s="2"/>
      <c r="CC4109" s="2" t="s">
        <v>171</v>
      </c>
      <c r="CD4109" s="2">
        <v>1428</v>
      </c>
      <c r="CE4109" s="2" t="s">
        <v>104</v>
      </c>
      <c r="CF4109" s="5">
        <v>42951</v>
      </c>
      <c r="CG4109" s="2"/>
      <c r="CH4109" s="2"/>
      <c r="CI4109" s="2">
        <v>1</v>
      </c>
      <c r="CJ4109" s="2">
        <v>1</v>
      </c>
      <c r="CK4109" s="2">
        <v>22</v>
      </c>
      <c r="CL4109" s="2" t="s">
        <v>86</v>
      </c>
      <c r="CM4109" s="2"/>
    </row>
    <row r="4110" spans="1:91">
      <c r="A4110" s="2" t="s">
        <v>71</v>
      </c>
      <c r="B4110" s="2" t="s">
        <v>72</v>
      </c>
      <c r="C4110" s="2" t="s">
        <v>73</v>
      </c>
      <c r="D4110" s="2"/>
      <c r="E4110" s="2" t="str">
        <f>"FES1162566270"</f>
        <v>FES1162566270</v>
      </c>
      <c r="F4110" s="3">
        <v>42949</v>
      </c>
      <c r="G4110" s="2">
        <v>201802</v>
      </c>
      <c r="H4110" s="2" t="s">
        <v>74</v>
      </c>
      <c r="I4110" s="2" t="s">
        <v>75</v>
      </c>
      <c r="J4110" s="2" t="s">
        <v>76</v>
      </c>
      <c r="K4110" s="2" t="s">
        <v>77</v>
      </c>
      <c r="L4110" s="2" t="s">
        <v>144</v>
      </c>
      <c r="M4110" s="2" t="s">
        <v>145</v>
      </c>
      <c r="N4110" s="2" t="s">
        <v>146</v>
      </c>
      <c r="O4110" s="2" t="s">
        <v>100</v>
      </c>
      <c r="P4110" s="2" t="str">
        <f>"2170582701                    "</f>
        <v xml:space="preserve">2170582701                    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3.13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0</v>
      </c>
      <c r="AU4110" s="2">
        <v>0</v>
      </c>
      <c r="AV4110" s="2">
        <v>0</v>
      </c>
      <c r="AW4110" s="2">
        <v>0</v>
      </c>
      <c r="AX4110" s="2">
        <v>0</v>
      </c>
      <c r="AY4110" s="2">
        <v>0</v>
      </c>
      <c r="AZ4110" s="2">
        <v>0</v>
      </c>
      <c r="BA4110" s="2">
        <v>0</v>
      </c>
      <c r="BB4110" s="2">
        <v>0</v>
      </c>
      <c r="BC4110" s="2">
        <v>0</v>
      </c>
      <c r="BD4110" s="2">
        <v>0</v>
      </c>
      <c r="BE4110" s="2">
        <v>0</v>
      </c>
      <c r="BF4110" s="2">
        <v>0</v>
      </c>
      <c r="BG4110" s="2">
        <v>0</v>
      </c>
      <c r="BH4110" s="2">
        <v>1</v>
      </c>
      <c r="BI4110" s="2">
        <v>1</v>
      </c>
      <c r="BJ4110" s="2">
        <v>0.2</v>
      </c>
      <c r="BK4110" s="2">
        <v>1</v>
      </c>
      <c r="BL4110" s="2">
        <v>32.380000000000003</v>
      </c>
      <c r="BM4110" s="2">
        <v>4.53</v>
      </c>
      <c r="BN4110" s="2">
        <v>36.909999999999997</v>
      </c>
      <c r="BO4110" s="2">
        <v>36.909999999999997</v>
      </c>
      <c r="BP4110" s="2"/>
      <c r="BQ4110" s="2" t="s">
        <v>83</v>
      </c>
      <c r="BR4110" s="2" t="s">
        <v>84</v>
      </c>
      <c r="BS4110" s="3">
        <v>42950</v>
      </c>
      <c r="BT4110" s="4">
        <v>0.35833333333333334</v>
      </c>
      <c r="BU4110" s="2" t="s">
        <v>2624</v>
      </c>
      <c r="BV4110" s="2" t="s">
        <v>95</v>
      </c>
      <c r="BW4110" s="2"/>
      <c r="BX4110" s="2"/>
      <c r="BY4110" s="2">
        <v>1200</v>
      </c>
      <c r="BZ4110" s="2" t="s">
        <v>27</v>
      </c>
      <c r="CA4110" s="2" t="s">
        <v>729</v>
      </c>
      <c r="CB4110" s="2"/>
      <c r="CC4110" s="2" t="s">
        <v>145</v>
      </c>
      <c r="CD4110" s="2">
        <v>2094</v>
      </c>
      <c r="CE4110" s="2" t="s">
        <v>104</v>
      </c>
      <c r="CF4110" s="5">
        <v>42951</v>
      </c>
      <c r="CG4110" s="2"/>
      <c r="CH4110" s="2"/>
      <c r="CI4110" s="2">
        <v>1</v>
      </c>
      <c r="CJ4110" s="2">
        <v>1</v>
      </c>
      <c r="CK4110" s="2">
        <v>22</v>
      </c>
      <c r="CL4110" s="2" t="s">
        <v>86</v>
      </c>
      <c r="CM4110" s="2"/>
    </row>
    <row r="4111" spans="1:91">
      <c r="A4111" s="2" t="s">
        <v>71</v>
      </c>
      <c r="B4111" s="2" t="s">
        <v>72</v>
      </c>
      <c r="C4111" s="2" t="s">
        <v>73</v>
      </c>
      <c r="D4111" s="2"/>
      <c r="E4111" s="2" t="str">
        <f>"FES1162566388"</f>
        <v>FES1162566388</v>
      </c>
      <c r="F4111" s="3">
        <v>42949</v>
      </c>
      <c r="G4111" s="2">
        <v>201802</v>
      </c>
      <c r="H4111" s="2" t="s">
        <v>74</v>
      </c>
      <c r="I4111" s="2" t="s">
        <v>75</v>
      </c>
      <c r="J4111" s="2" t="s">
        <v>76</v>
      </c>
      <c r="K4111" s="2" t="s">
        <v>77</v>
      </c>
      <c r="L4111" s="2" t="s">
        <v>144</v>
      </c>
      <c r="M4111" s="2" t="s">
        <v>145</v>
      </c>
      <c r="N4111" s="2" t="s">
        <v>146</v>
      </c>
      <c r="O4111" s="2" t="s">
        <v>100</v>
      </c>
      <c r="P4111" s="2" t="str">
        <f>"2170580705                    "</f>
        <v xml:space="preserve">2170580705                    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3.13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0</v>
      </c>
      <c r="AU4111" s="2">
        <v>0</v>
      </c>
      <c r="AV4111" s="2">
        <v>0</v>
      </c>
      <c r="AW4111" s="2">
        <v>0</v>
      </c>
      <c r="AX4111" s="2">
        <v>0</v>
      </c>
      <c r="AY4111" s="2">
        <v>0</v>
      </c>
      <c r="AZ4111" s="2">
        <v>0</v>
      </c>
      <c r="BA4111" s="2">
        <v>0</v>
      </c>
      <c r="BB4111" s="2">
        <v>0</v>
      </c>
      <c r="BC4111" s="2">
        <v>0</v>
      </c>
      <c r="BD4111" s="2">
        <v>0</v>
      </c>
      <c r="BE4111" s="2">
        <v>0</v>
      </c>
      <c r="BF4111" s="2">
        <v>0</v>
      </c>
      <c r="BG4111" s="2">
        <v>0</v>
      </c>
      <c r="BH4111" s="2">
        <v>1</v>
      </c>
      <c r="BI4111" s="2">
        <v>1</v>
      </c>
      <c r="BJ4111" s="2">
        <v>0.2</v>
      </c>
      <c r="BK4111" s="2">
        <v>1</v>
      </c>
      <c r="BL4111" s="2">
        <v>32.380000000000003</v>
      </c>
      <c r="BM4111" s="2">
        <v>4.53</v>
      </c>
      <c r="BN4111" s="2">
        <v>36.909999999999997</v>
      </c>
      <c r="BO4111" s="2">
        <v>36.909999999999997</v>
      </c>
      <c r="BP4111" s="2"/>
      <c r="BQ4111" s="2" t="s">
        <v>83</v>
      </c>
      <c r="BR4111" s="2" t="s">
        <v>84</v>
      </c>
      <c r="BS4111" s="3">
        <v>42950</v>
      </c>
      <c r="BT4111" s="4">
        <v>0.35902777777777778</v>
      </c>
      <c r="BU4111" s="2" t="s">
        <v>2624</v>
      </c>
      <c r="BV4111" s="2" t="s">
        <v>95</v>
      </c>
      <c r="BW4111" s="2"/>
      <c r="BX4111" s="2"/>
      <c r="BY4111" s="2">
        <v>1200</v>
      </c>
      <c r="BZ4111" s="2" t="s">
        <v>27</v>
      </c>
      <c r="CA4111" s="2" t="s">
        <v>729</v>
      </c>
      <c r="CB4111" s="2"/>
      <c r="CC4111" s="2" t="s">
        <v>145</v>
      </c>
      <c r="CD4111" s="2">
        <v>2094</v>
      </c>
      <c r="CE4111" s="2" t="s">
        <v>104</v>
      </c>
      <c r="CF4111" s="5">
        <v>42951</v>
      </c>
      <c r="CG4111" s="2"/>
      <c r="CH4111" s="2"/>
      <c r="CI4111" s="2">
        <v>1</v>
      </c>
      <c r="CJ4111" s="2">
        <v>1</v>
      </c>
      <c r="CK4111" s="2">
        <v>22</v>
      </c>
      <c r="CL4111" s="2" t="s">
        <v>86</v>
      </c>
      <c r="CM4111" s="2"/>
    </row>
    <row r="4112" spans="1:91">
      <c r="A4112" s="2" t="s">
        <v>71</v>
      </c>
      <c r="B4112" s="2" t="s">
        <v>72</v>
      </c>
      <c r="C4112" s="2" t="s">
        <v>73</v>
      </c>
      <c r="D4112" s="2"/>
      <c r="E4112" s="2" t="str">
        <f>"FES1162566194"</f>
        <v>FES1162566194</v>
      </c>
      <c r="F4112" s="3">
        <v>42949</v>
      </c>
      <c r="G4112" s="2">
        <v>201802</v>
      </c>
      <c r="H4112" s="2" t="s">
        <v>74</v>
      </c>
      <c r="I4112" s="2" t="s">
        <v>75</v>
      </c>
      <c r="J4112" s="2" t="s">
        <v>76</v>
      </c>
      <c r="K4112" s="2" t="s">
        <v>77</v>
      </c>
      <c r="L4112" s="2" t="s">
        <v>97</v>
      </c>
      <c r="M4112" s="2" t="s">
        <v>98</v>
      </c>
      <c r="N4112" s="2" t="s">
        <v>250</v>
      </c>
      <c r="O4112" s="2" t="s">
        <v>100</v>
      </c>
      <c r="P4112" s="2" t="str">
        <f>"2170581756                    "</f>
        <v xml:space="preserve">2170581756                    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4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0</v>
      </c>
      <c r="AU4112" s="2">
        <v>0</v>
      </c>
      <c r="AV4112" s="2">
        <v>0</v>
      </c>
      <c r="AW4112" s="2">
        <v>0</v>
      </c>
      <c r="AX4112" s="2">
        <v>0</v>
      </c>
      <c r="AY4112" s="2">
        <v>0</v>
      </c>
      <c r="AZ4112" s="2">
        <v>0</v>
      </c>
      <c r="BA4112" s="2">
        <v>0</v>
      </c>
      <c r="BB4112" s="2">
        <v>0</v>
      </c>
      <c r="BC4112" s="2">
        <v>0</v>
      </c>
      <c r="BD4112" s="2">
        <v>0</v>
      </c>
      <c r="BE4112" s="2">
        <v>0</v>
      </c>
      <c r="BF4112" s="2">
        <v>0</v>
      </c>
      <c r="BG4112" s="2">
        <v>0</v>
      </c>
      <c r="BH4112" s="2">
        <v>1</v>
      </c>
      <c r="BI4112" s="2">
        <v>1</v>
      </c>
      <c r="BJ4112" s="2">
        <v>0.2</v>
      </c>
      <c r="BK4112" s="2">
        <v>1</v>
      </c>
      <c r="BL4112" s="2">
        <v>41.44</v>
      </c>
      <c r="BM4112" s="2">
        <v>5.8</v>
      </c>
      <c r="BN4112" s="2">
        <v>47.24</v>
      </c>
      <c r="BO4112" s="2">
        <v>47.24</v>
      </c>
      <c r="BP4112" s="2"/>
      <c r="BQ4112" s="2" t="s">
        <v>3856</v>
      </c>
      <c r="BR4112" s="2" t="s">
        <v>84</v>
      </c>
      <c r="BS4112" s="3">
        <v>42950</v>
      </c>
      <c r="BT4112" s="4">
        <v>0.2986111111111111</v>
      </c>
      <c r="BU4112" s="2" t="s">
        <v>3857</v>
      </c>
      <c r="BV4112" s="2" t="s">
        <v>95</v>
      </c>
      <c r="BW4112" s="2"/>
      <c r="BX4112" s="2"/>
      <c r="BY4112" s="2">
        <v>1200</v>
      </c>
      <c r="BZ4112" s="2" t="s">
        <v>27</v>
      </c>
      <c r="CA4112" s="2" t="s">
        <v>294</v>
      </c>
      <c r="CB4112" s="2"/>
      <c r="CC4112" s="2" t="s">
        <v>98</v>
      </c>
      <c r="CD4112" s="2">
        <v>6012</v>
      </c>
      <c r="CE4112" s="2" t="s">
        <v>104</v>
      </c>
      <c r="CF4112" s="5">
        <v>42951</v>
      </c>
      <c r="CG4112" s="2"/>
      <c r="CH4112" s="2"/>
      <c r="CI4112" s="2">
        <v>1</v>
      </c>
      <c r="CJ4112" s="2">
        <v>1</v>
      </c>
      <c r="CK4112" s="2">
        <v>21</v>
      </c>
      <c r="CL4112" s="2" t="s">
        <v>86</v>
      </c>
      <c r="CM4112" s="2"/>
    </row>
    <row r="4113" spans="1:91">
      <c r="A4113" s="2" t="s">
        <v>71</v>
      </c>
      <c r="B4113" s="2" t="s">
        <v>72</v>
      </c>
      <c r="C4113" s="2" t="s">
        <v>73</v>
      </c>
      <c r="D4113" s="2"/>
      <c r="E4113" s="2" t="str">
        <f>"FES1162566161"</f>
        <v>FES1162566161</v>
      </c>
      <c r="F4113" s="3">
        <v>42949</v>
      </c>
      <c r="G4113" s="2">
        <v>201802</v>
      </c>
      <c r="H4113" s="2" t="s">
        <v>74</v>
      </c>
      <c r="I4113" s="2" t="s">
        <v>75</v>
      </c>
      <c r="J4113" s="2" t="s">
        <v>76</v>
      </c>
      <c r="K4113" s="2" t="s">
        <v>77</v>
      </c>
      <c r="L4113" s="2" t="s">
        <v>216</v>
      </c>
      <c r="M4113" s="2" t="s">
        <v>217</v>
      </c>
      <c r="N4113" s="2" t="s">
        <v>3091</v>
      </c>
      <c r="O4113" s="2" t="s">
        <v>100</v>
      </c>
      <c r="P4113" s="2" t="str">
        <f>"2170580590                    "</f>
        <v xml:space="preserve">2170580590                    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3.13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0</v>
      </c>
      <c r="AU4113" s="2">
        <v>0</v>
      </c>
      <c r="AV4113" s="2">
        <v>0</v>
      </c>
      <c r="AW4113" s="2">
        <v>0</v>
      </c>
      <c r="AX4113" s="2">
        <v>0</v>
      </c>
      <c r="AY4113" s="2">
        <v>0</v>
      </c>
      <c r="AZ4113" s="2">
        <v>0</v>
      </c>
      <c r="BA4113" s="2">
        <v>0</v>
      </c>
      <c r="BB4113" s="2">
        <v>0</v>
      </c>
      <c r="BC4113" s="2">
        <v>0</v>
      </c>
      <c r="BD4113" s="2">
        <v>0</v>
      </c>
      <c r="BE4113" s="2">
        <v>0</v>
      </c>
      <c r="BF4113" s="2">
        <v>0</v>
      </c>
      <c r="BG4113" s="2">
        <v>0</v>
      </c>
      <c r="BH4113" s="2">
        <v>1</v>
      </c>
      <c r="BI4113" s="2">
        <v>1</v>
      </c>
      <c r="BJ4113" s="2">
        <v>0.2</v>
      </c>
      <c r="BK4113" s="2">
        <v>1</v>
      </c>
      <c r="BL4113" s="2">
        <v>32.380000000000003</v>
      </c>
      <c r="BM4113" s="2">
        <v>4.53</v>
      </c>
      <c r="BN4113" s="2">
        <v>36.909999999999997</v>
      </c>
      <c r="BO4113" s="2">
        <v>36.909999999999997</v>
      </c>
      <c r="BP4113" s="2"/>
      <c r="BQ4113" s="2" t="s">
        <v>3858</v>
      </c>
      <c r="BR4113" s="2" t="s">
        <v>84</v>
      </c>
      <c r="BS4113" s="3">
        <v>42950</v>
      </c>
      <c r="BT4113" s="4">
        <v>0.34166666666666662</v>
      </c>
      <c r="BU4113" s="2" t="s">
        <v>888</v>
      </c>
      <c r="BV4113" s="2" t="s">
        <v>95</v>
      </c>
      <c r="BW4113" s="2"/>
      <c r="BX4113" s="2"/>
      <c r="BY4113" s="2">
        <v>1200</v>
      </c>
      <c r="BZ4113" s="2" t="s">
        <v>27</v>
      </c>
      <c r="CA4113" s="2" t="s">
        <v>220</v>
      </c>
      <c r="CB4113" s="2"/>
      <c r="CC4113" s="2" t="s">
        <v>217</v>
      </c>
      <c r="CD4113" s="2">
        <v>1451</v>
      </c>
      <c r="CE4113" s="2" t="s">
        <v>104</v>
      </c>
      <c r="CF4113" s="5">
        <v>42951</v>
      </c>
      <c r="CG4113" s="2"/>
      <c r="CH4113" s="2"/>
      <c r="CI4113" s="2">
        <v>1</v>
      </c>
      <c r="CJ4113" s="2">
        <v>1</v>
      </c>
      <c r="CK4113" s="2">
        <v>22</v>
      </c>
      <c r="CL4113" s="2" t="s">
        <v>86</v>
      </c>
      <c r="CM4113" s="2"/>
    </row>
    <row r="4114" spans="1:91">
      <c r="A4114" s="2" t="s">
        <v>71</v>
      </c>
      <c r="B4114" s="2" t="s">
        <v>72</v>
      </c>
      <c r="C4114" s="2" t="s">
        <v>73</v>
      </c>
      <c r="D4114" s="2"/>
      <c r="E4114" s="2" t="str">
        <f>"FES1162566158"</f>
        <v>FES1162566158</v>
      </c>
      <c r="F4114" s="3">
        <v>42949</v>
      </c>
      <c r="G4114" s="2">
        <v>201802</v>
      </c>
      <c r="H4114" s="2" t="s">
        <v>74</v>
      </c>
      <c r="I4114" s="2" t="s">
        <v>75</v>
      </c>
      <c r="J4114" s="2" t="s">
        <v>76</v>
      </c>
      <c r="K4114" s="2" t="s">
        <v>77</v>
      </c>
      <c r="L4114" s="2" t="s">
        <v>74</v>
      </c>
      <c r="M4114" s="2" t="s">
        <v>75</v>
      </c>
      <c r="N4114" s="2" t="s">
        <v>3859</v>
      </c>
      <c r="O4114" s="2" t="s">
        <v>100</v>
      </c>
      <c r="P4114" s="2" t="str">
        <f>"2170580568                    "</f>
        <v xml:space="preserve">2170580568                    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3.13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0</v>
      </c>
      <c r="AU4114" s="2">
        <v>0</v>
      </c>
      <c r="AV4114" s="2">
        <v>0</v>
      </c>
      <c r="AW4114" s="2">
        <v>0</v>
      </c>
      <c r="AX4114" s="2">
        <v>0</v>
      </c>
      <c r="AY4114" s="2">
        <v>0</v>
      </c>
      <c r="AZ4114" s="2">
        <v>0</v>
      </c>
      <c r="BA4114" s="2">
        <v>0</v>
      </c>
      <c r="BB4114" s="2">
        <v>0</v>
      </c>
      <c r="BC4114" s="2">
        <v>0</v>
      </c>
      <c r="BD4114" s="2">
        <v>0</v>
      </c>
      <c r="BE4114" s="2">
        <v>0</v>
      </c>
      <c r="BF4114" s="2">
        <v>0</v>
      </c>
      <c r="BG4114" s="2">
        <v>0</v>
      </c>
      <c r="BH4114" s="2">
        <v>1</v>
      </c>
      <c r="BI4114" s="2">
        <v>1</v>
      </c>
      <c r="BJ4114" s="2">
        <v>0.2</v>
      </c>
      <c r="BK4114" s="2">
        <v>1</v>
      </c>
      <c r="BL4114" s="2">
        <v>32.380000000000003</v>
      </c>
      <c r="BM4114" s="2">
        <v>4.53</v>
      </c>
      <c r="BN4114" s="2">
        <v>36.909999999999997</v>
      </c>
      <c r="BO4114" s="2">
        <v>36.909999999999997</v>
      </c>
      <c r="BP4114" s="2"/>
      <c r="BQ4114" s="2" t="s">
        <v>3860</v>
      </c>
      <c r="BR4114" s="2" t="s">
        <v>84</v>
      </c>
      <c r="BS4114" s="3">
        <v>42950</v>
      </c>
      <c r="BT4114" s="4">
        <v>0.3611111111111111</v>
      </c>
      <c r="BU4114" s="2" t="s">
        <v>3861</v>
      </c>
      <c r="BV4114" s="2" t="s">
        <v>95</v>
      </c>
      <c r="BW4114" s="2"/>
      <c r="BX4114" s="2"/>
      <c r="BY4114" s="2">
        <v>1200</v>
      </c>
      <c r="BZ4114" s="2" t="s">
        <v>27</v>
      </c>
      <c r="CA4114" s="2" t="s">
        <v>331</v>
      </c>
      <c r="CB4114" s="2"/>
      <c r="CC4114" s="2" t="s">
        <v>75</v>
      </c>
      <c r="CD4114" s="2">
        <v>1624</v>
      </c>
      <c r="CE4114" s="2" t="s">
        <v>104</v>
      </c>
      <c r="CF4114" s="5">
        <v>42951</v>
      </c>
      <c r="CG4114" s="2"/>
      <c r="CH4114" s="2"/>
      <c r="CI4114" s="2">
        <v>1</v>
      </c>
      <c r="CJ4114" s="2">
        <v>1</v>
      </c>
      <c r="CK4114" s="2">
        <v>22</v>
      </c>
      <c r="CL4114" s="2" t="s">
        <v>86</v>
      </c>
      <c r="CM4114" s="2"/>
    </row>
    <row r="4115" spans="1:91">
      <c r="A4115" s="2" t="s">
        <v>71</v>
      </c>
      <c r="B4115" s="2" t="s">
        <v>72</v>
      </c>
      <c r="C4115" s="2" t="s">
        <v>73</v>
      </c>
      <c r="D4115" s="2"/>
      <c r="E4115" s="2" t="str">
        <f>"FES1162566139"</f>
        <v>FES1162566139</v>
      </c>
      <c r="F4115" s="3">
        <v>42949</v>
      </c>
      <c r="G4115" s="2">
        <v>201802</v>
      </c>
      <c r="H4115" s="2" t="s">
        <v>74</v>
      </c>
      <c r="I4115" s="2" t="s">
        <v>75</v>
      </c>
      <c r="J4115" s="2" t="s">
        <v>76</v>
      </c>
      <c r="K4115" s="2" t="s">
        <v>77</v>
      </c>
      <c r="L4115" s="2" t="s">
        <v>128</v>
      </c>
      <c r="M4115" s="2" t="s">
        <v>129</v>
      </c>
      <c r="N4115" s="2" t="s">
        <v>2256</v>
      </c>
      <c r="O4115" s="2" t="s">
        <v>100</v>
      </c>
      <c r="P4115" s="2" t="str">
        <f>"2170579597                    "</f>
        <v xml:space="preserve">2170579597                    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3.13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0</v>
      </c>
      <c r="AU4115" s="2">
        <v>0</v>
      </c>
      <c r="AV4115" s="2">
        <v>0</v>
      </c>
      <c r="AW4115" s="2">
        <v>0</v>
      </c>
      <c r="AX4115" s="2">
        <v>0</v>
      </c>
      <c r="AY4115" s="2">
        <v>0</v>
      </c>
      <c r="AZ4115" s="2">
        <v>0</v>
      </c>
      <c r="BA4115" s="2">
        <v>0</v>
      </c>
      <c r="BB4115" s="2">
        <v>0</v>
      </c>
      <c r="BC4115" s="2">
        <v>0</v>
      </c>
      <c r="BD4115" s="2">
        <v>0</v>
      </c>
      <c r="BE4115" s="2">
        <v>0</v>
      </c>
      <c r="BF4115" s="2">
        <v>0</v>
      </c>
      <c r="BG4115" s="2">
        <v>0</v>
      </c>
      <c r="BH4115" s="2">
        <v>1</v>
      </c>
      <c r="BI4115" s="2">
        <v>1</v>
      </c>
      <c r="BJ4115" s="2">
        <v>0.2</v>
      </c>
      <c r="BK4115" s="2">
        <v>1</v>
      </c>
      <c r="BL4115" s="2">
        <v>32.380000000000003</v>
      </c>
      <c r="BM4115" s="2">
        <v>4.53</v>
      </c>
      <c r="BN4115" s="2">
        <v>36.909999999999997</v>
      </c>
      <c r="BO4115" s="2">
        <v>36.909999999999997</v>
      </c>
      <c r="BP4115" s="2"/>
      <c r="BQ4115" s="2" t="s">
        <v>3862</v>
      </c>
      <c r="BR4115" s="2" t="s">
        <v>84</v>
      </c>
      <c r="BS4115" s="3">
        <v>42950</v>
      </c>
      <c r="BT4115" s="4">
        <v>0.40416666666666662</v>
      </c>
      <c r="BU4115" s="2" t="s">
        <v>330</v>
      </c>
      <c r="BV4115" s="2" t="s">
        <v>95</v>
      </c>
      <c r="BW4115" s="2"/>
      <c r="BX4115" s="2"/>
      <c r="BY4115" s="2">
        <v>1200</v>
      </c>
      <c r="BZ4115" s="2" t="s">
        <v>27</v>
      </c>
      <c r="CA4115" s="2" t="s">
        <v>923</v>
      </c>
      <c r="CB4115" s="2"/>
      <c r="CC4115" s="2" t="s">
        <v>129</v>
      </c>
      <c r="CD4115" s="2">
        <v>1725</v>
      </c>
      <c r="CE4115" s="2" t="s">
        <v>104</v>
      </c>
      <c r="CF4115" s="5">
        <v>42951</v>
      </c>
      <c r="CG4115" s="2"/>
      <c r="CH4115" s="2"/>
      <c r="CI4115" s="2">
        <v>1</v>
      </c>
      <c r="CJ4115" s="2">
        <v>1</v>
      </c>
      <c r="CK4115" s="2">
        <v>22</v>
      </c>
      <c r="CL4115" s="2" t="s">
        <v>86</v>
      </c>
      <c r="CM4115" s="2"/>
    </row>
    <row r="4116" spans="1:91">
      <c r="A4116" s="2" t="s">
        <v>71</v>
      </c>
      <c r="B4116" s="2" t="s">
        <v>72</v>
      </c>
      <c r="C4116" s="2" t="s">
        <v>73</v>
      </c>
      <c r="D4116" s="2"/>
      <c r="E4116" s="2" t="str">
        <f>"FES1162566130"</f>
        <v>FES1162566130</v>
      </c>
      <c r="F4116" s="3">
        <v>42949</v>
      </c>
      <c r="G4116" s="2">
        <v>201802</v>
      </c>
      <c r="H4116" s="2" t="s">
        <v>74</v>
      </c>
      <c r="I4116" s="2" t="s">
        <v>75</v>
      </c>
      <c r="J4116" s="2" t="s">
        <v>76</v>
      </c>
      <c r="K4116" s="2" t="s">
        <v>77</v>
      </c>
      <c r="L4116" s="2" t="s">
        <v>1202</v>
      </c>
      <c r="M4116" s="2" t="s">
        <v>1203</v>
      </c>
      <c r="N4116" s="2" t="s">
        <v>1770</v>
      </c>
      <c r="O4116" s="2" t="s">
        <v>100</v>
      </c>
      <c r="P4116" s="2" t="str">
        <f>"217057773                     "</f>
        <v xml:space="preserve">217057773                     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3.13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0</v>
      </c>
      <c r="AU4116" s="2">
        <v>0</v>
      </c>
      <c r="AV4116" s="2">
        <v>0</v>
      </c>
      <c r="AW4116" s="2">
        <v>0</v>
      </c>
      <c r="AX4116" s="2">
        <v>0</v>
      </c>
      <c r="AY4116" s="2">
        <v>0</v>
      </c>
      <c r="AZ4116" s="2">
        <v>0</v>
      </c>
      <c r="BA4116" s="2">
        <v>0</v>
      </c>
      <c r="BB4116" s="2">
        <v>0</v>
      </c>
      <c r="BC4116" s="2">
        <v>0</v>
      </c>
      <c r="BD4116" s="2">
        <v>0</v>
      </c>
      <c r="BE4116" s="2">
        <v>0</v>
      </c>
      <c r="BF4116" s="2">
        <v>0</v>
      </c>
      <c r="BG4116" s="2">
        <v>0</v>
      </c>
      <c r="BH4116" s="2">
        <v>1</v>
      </c>
      <c r="BI4116" s="2">
        <v>1</v>
      </c>
      <c r="BJ4116" s="2">
        <v>0.2</v>
      </c>
      <c r="BK4116" s="2">
        <v>1</v>
      </c>
      <c r="BL4116" s="2">
        <v>32.380000000000003</v>
      </c>
      <c r="BM4116" s="2">
        <v>4.53</v>
      </c>
      <c r="BN4116" s="2">
        <v>36.909999999999997</v>
      </c>
      <c r="BO4116" s="2">
        <v>36.909999999999997</v>
      </c>
      <c r="BP4116" s="2"/>
      <c r="BQ4116" s="2" t="s">
        <v>3863</v>
      </c>
      <c r="BR4116" s="2" t="s">
        <v>84</v>
      </c>
      <c r="BS4116" s="3">
        <v>42950</v>
      </c>
      <c r="BT4116" s="4">
        <v>0.30833333333333335</v>
      </c>
      <c r="BU4116" s="2" t="s">
        <v>1181</v>
      </c>
      <c r="BV4116" s="2" t="s">
        <v>95</v>
      </c>
      <c r="BW4116" s="2"/>
      <c r="BX4116" s="2"/>
      <c r="BY4116" s="2">
        <v>1200</v>
      </c>
      <c r="BZ4116" s="2" t="s">
        <v>27</v>
      </c>
      <c r="CA4116" s="2" t="s">
        <v>499</v>
      </c>
      <c r="CB4116" s="2"/>
      <c r="CC4116" s="2" t="s">
        <v>1203</v>
      </c>
      <c r="CD4116" s="2">
        <v>1501</v>
      </c>
      <c r="CE4116" s="2" t="s">
        <v>104</v>
      </c>
      <c r="CF4116" s="5">
        <v>42951</v>
      </c>
      <c r="CG4116" s="2"/>
      <c r="CH4116" s="2"/>
      <c r="CI4116" s="2">
        <v>1</v>
      </c>
      <c r="CJ4116" s="2">
        <v>1</v>
      </c>
      <c r="CK4116" s="2">
        <v>22</v>
      </c>
      <c r="CL4116" s="2" t="s">
        <v>86</v>
      </c>
      <c r="CM4116" s="2"/>
    </row>
    <row r="4117" spans="1:91">
      <c r="A4117" s="2" t="s">
        <v>71</v>
      </c>
      <c r="B4117" s="2" t="s">
        <v>72</v>
      </c>
      <c r="C4117" s="2" t="s">
        <v>73</v>
      </c>
      <c r="D4117" s="2"/>
      <c r="E4117" s="2" t="str">
        <f>"FES1162566170"</f>
        <v>FES1162566170</v>
      </c>
      <c r="F4117" s="3">
        <v>42949</v>
      </c>
      <c r="G4117" s="2">
        <v>201802</v>
      </c>
      <c r="H4117" s="2" t="s">
        <v>74</v>
      </c>
      <c r="I4117" s="2" t="s">
        <v>75</v>
      </c>
      <c r="J4117" s="2" t="s">
        <v>76</v>
      </c>
      <c r="K4117" s="2" t="s">
        <v>77</v>
      </c>
      <c r="L4117" s="2" t="s">
        <v>170</v>
      </c>
      <c r="M4117" s="2" t="s">
        <v>171</v>
      </c>
      <c r="N4117" s="2" t="s">
        <v>821</v>
      </c>
      <c r="O4117" s="2" t="s">
        <v>100</v>
      </c>
      <c r="P4117" s="2" t="str">
        <f>"2170580853                    "</f>
        <v xml:space="preserve">2170580853                    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3.13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0</v>
      </c>
      <c r="AU4117" s="2">
        <v>0</v>
      </c>
      <c r="AV4117" s="2">
        <v>0</v>
      </c>
      <c r="AW4117" s="2">
        <v>0</v>
      </c>
      <c r="AX4117" s="2">
        <v>0</v>
      </c>
      <c r="AY4117" s="2">
        <v>0</v>
      </c>
      <c r="AZ4117" s="2">
        <v>0</v>
      </c>
      <c r="BA4117" s="2">
        <v>0</v>
      </c>
      <c r="BB4117" s="2">
        <v>0</v>
      </c>
      <c r="BC4117" s="2">
        <v>0</v>
      </c>
      <c r="BD4117" s="2">
        <v>0</v>
      </c>
      <c r="BE4117" s="2">
        <v>0</v>
      </c>
      <c r="BF4117" s="2">
        <v>0</v>
      </c>
      <c r="BG4117" s="2">
        <v>0</v>
      </c>
      <c r="BH4117" s="2">
        <v>1</v>
      </c>
      <c r="BI4117" s="2">
        <v>3</v>
      </c>
      <c r="BJ4117" s="2">
        <v>1.4</v>
      </c>
      <c r="BK4117" s="2">
        <v>3</v>
      </c>
      <c r="BL4117" s="2">
        <v>32.380000000000003</v>
      </c>
      <c r="BM4117" s="2">
        <v>4.53</v>
      </c>
      <c r="BN4117" s="2">
        <v>36.909999999999997</v>
      </c>
      <c r="BO4117" s="2">
        <v>36.909999999999997</v>
      </c>
      <c r="BP4117" s="2"/>
      <c r="BQ4117" s="2" t="s">
        <v>1216</v>
      </c>
      <c r="BR4117" s="2" t="s">
        <v>84</v>
      </c>
      <c r="BS4117" s="3">
        <v>42950</v>
      </c>
      <c r="BT4117" s="4">
        <v>0.4375</v>
      </c>
      <c r="BU4117" s="2" t="s">
        <v>719</v>
      </c>
      <c r="BV4117" s="2" t="s">
        <v>95</v>
      </c>
      <c r="BW4117" s="2"/>
      <c r="BX4117" s="2"/>
      <c r="BY4117" s="2">
        <v>7003.93</v>
      </c>
      <c r="BZ4117" s="2" t="s">
        <v>27</v>
      </c>
      <c r="CA4117" s="2" t="s">
        <v>492</v>
      </c>
      <c r="CB4117" s="2"/>
      <c r="CC4117" s="2" t="s">
        <v>171</v>
      </c>
      <c r="CD4117" s="2">
        <v>1422</v>
      </c>
      <c r="CE4117" s="2" t="s">
        <v>89</v>
      </c>
      <c r="CF4117" s="5">
        <v>42951</v>
      </c>
      <c r="CG4117" s="2"/>
      <c r="CH4117" s="2"/>
      <c r="CI4117" s="2">
        <v>1</v>
      </c>
      <c r="CJ4117" s="2">
        <v>1</v>
      </c>
      <c r="CK4117" s="2">
        <v>22</v>
      </c>
      <c r="CL4117" s="2" t="s">
        <v>86</v>
      </c>
      <c r="CM4117" s="2"/>
    </row>
    <row r="4118" spans="1:91">
      <c r="A4118" s="2" t="s">
        <v>71</v>
      </c>
      <c r="B4118" s="2" t="s">
        <v>72</v>
      </c>
      <c r="C4118" s="2" t="s">
        <v>73</v>
      </c>
      <c r="D4118" s="2"/>
      <c r="E4118" s="2" t="str">
        <f>"FES1162566152"</f>
        <v>FES1162566152</v>
      </c>
      <c r="F4118" s="3">
        <v>42949</v>
      </c>
      <c r="G4118" s="2">
        <v>201802</v>
      </c>
      <c r="H4118" s="2" t="s">
        <v>74</v>
      </c>
      <c r="I4118" s="2" t="s">
        <v>75</v>
      </c>
      <c r="J4118" s="2" t="s">
        <v>76</v>
      </c>
      <c r="K4118" s="2" t="s">
        <v>77</v>
      </c>
      <c r="L4118" s="2" t="s">
        <v>97</v>
      </c>
      <c r="M4118" s="2" t="s">
        <v>98</v>
      </c>
      <c r="N4118" s="2" t="s">
        <v>1058</v>
      </c>
      <c r="O4118" s="2" t="s">
        <v>100</v>
      </c>
      <c r="P4118" s="2" t="str">
        <f>"2170580132                    "</f>
        <v xml:space="preserve">2170580132                    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4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0</v>
      </c>
      <c r="AU4118" s="2">
        <v>0</v>
      </c>
      <c r="AV4118" s="2">
        <v>0</v>
      </c>
      <c r="AW4118" s="2">
        <v>0</v>
      </c>
      <c r="AX4118" s="2">
        <v>0</v>
      </c>
      <c r="AY4118" s="2">
        <v>0</v>
      </c>
      <c r="AZ4118" s="2">
        <v>0</v>
      </c>
      <c r="BA4118" s="2">
        <v>0</v>
      </c>
      <c r="BB4118" s="2">
        <v>0</v>
      </c>
      <c r="BC4118" s="2">
        <v>0</v>
      </c>
      <c r="BD4118" s="2">
        <v>0</v>
      </c>
      <c r="BE4118" s="2">
        <v>0</v>
      </c>
      <c r="BF4118" s="2">
        <v>0</v>
      </c>
      <c r="BG4118" s="2">
        <v>0</v>
      </c>
      <c r="BH4118" s="2">
        <v>1</v>
      </c>
      <c r="BI4118" s="2">
        <v>1</v>
      </c>
      <c r="BJ4118" s="2">
        <v>0.2</v>
      </c>
      <c r="BK4118" s="2">
        <v>1</v>
      </c>
      <c r="BL4118" s="2">
        <v>41.44</v>
      </c>
      <c r="BM4118" s="2">
        <v>5.8</v>
      </c>
      <c r="BN4118" s="2">
        <v>47.24</v>
      </c>
      <c r="BO4118" s="2">
        <v>47.24</v>
      </c>
      <c r="BP4118" s="2"/>
      <c r="BQ4118" s="2" t="s">
        <v>108</v>
      </c>
      <c r="BR4118" s="2" t="s">
        <v>84</v>
      </c>
      <c r="BS4118" s="3">
        <v>42950</v>
      </c>
      <c r="BT4118" s="4">
        <v>0.40833333333333338</v>
      </c>
      <c r="BU4118" s="2" t="s">
        <v>1060</v>
      </c>
      <c r="BV4118" s="2" t="s">
        <v>95</v>
      </c>
      <c r="BW4118" s="2"/>
      <c r="BX4118" s="2"/>
      <c r="BY4118" s="2">
        <v>1200</v>
      </c>
      <c r="BZ4118" s="2" t="s">
        <v>27</v>
      </c>
      <c r="CA4118" s="2" t="s">
        <v>103</v>
      </c>
      <c r="CB4118" s="2"/>
      <c r="CC4118" s="2" t="s">
        <v>98</v>
      </c>
      <c r="CD4118" s="2">
        <v>6001</v>
      </c>
      <c r="CE4118" s="2" t="s">
        <v>104</v>
      </c>
      <c r="CF4118" s="5">
        <v>42951</v>
      </c>
      <c r="CG4118" s="2"/>
      <c r="CH4118" s="2"/>
      <c r="CI4118" s="2">
        <v>1</v>
      </c>
      <c r="CJ4118" s="2">
        <v>1</v>
      </c>
      <c r="CK4118" s="2">
        <v>21</v>
      </c>
      <c r="CL4118" s="2" t="s">
        <v>86</v>
      </c>
      <c r="CM4118" s="2"/>
    </row>
    <row r="4119" spans="1:91">
      <c r="A4119" s="2" t="s">
        <v>71</v>
      </c>
      <c r="B4119" s="2" t="s">
        <v>72</v>
      </c>
      <c r="C4119" s="2" t="s">
        <v>73</v>
      </c>
      <c r="D4119" s="2"/>
      <c r="E4119" s="2" t="str">
        <f>"FES1162566278"</f>
        <v>FES1162566278</v>
      </c>
      <c r="F4119" s="3">
        <v>42949</v>
      </c>
      <c r="G4119" s="2">
        <v>201802</v>
      </c>
      <c r="H4119" s="2" t="s">
        <v>74</v>
      </c>
      <c r="I4119" s="2" t="s">
        <v>75</v>
      </c>
      <c r="J4119" s="2" t="s">
        <v>76</v>
      </c>
      <c r="K4119" s="2" t="s">
        <v>77</v>
      </c>
      <c r="L4119" s="2" t="s">
        <v>1781</v>
      </c>
      <c r="M4119" s="2" t="s">
        <v>1781</v>
      </c>
      <c r="N4119" s="2" t="s">
        <v>1782</v>
      </c>
      <c r="O4119" s="2" t="s">
        <v>100</v>
      </c>
      <c r="P4119" s="2" t="str">
        <f>"2170582707                    "</f>
        <v xml:space="preserve">2170582707                    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7.75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0</v>
      </c>
      <c r="AU4119" s="2">
        <v>0</v>
      </c>
      <c r="AV4119" s="2">
        <v>0</v>
      </c>
      <c r="AW4119" s="2">
        <v>0</v>
      </c>
      <c r="AX4119" s="2">
        <v>0</v>
      </c>
      <c r="AY4119" s="2">
        <v>0</v>
      </c>
      <c r="AZ4119" s="2">
        <v>0</v>
      </c>
      <c r="BA4119" s="2">
        <v>0</v>
      </c>
      <c r="BB4119" s="2">
        <v>0</v>
      </c>
      <c r="BC4119" s="2">
        <v>0</v>
      </c>
      <c r="BD4119" s="2">
        <v>0</v>
      </c>
      <c r="BE4119" s="2">
        <v>0</v>
      </c>
      <c r="BF4119" s="2">
        <v>0</v>
      </c>
      <c r="BG4119" s="2">
        <v>0</v>
      </c>
      <c r="BH4119" s="2">
        <v>1</v>
      </c>
      <c r="BI4119" s="2">
        <v>1</v>
      </c>
      <c r="BJ4119" s="2">
        <v>0.2</v>
      </c>
      <c r="BK4119" s="2">
        <v>1</v>
      </c>
      <c r="BL4119" s="2">
        <v>80.290000000000006</v>
      </c>
      <c r="BM4119" s="2">
        <v>11.24</v>
      </c>
      <c r="BN4119" s="2">
        <v>91.53</v>
      </c>
      <c r="BO4119" s="2">
        <v>91.53</v>
      </c>
      <c r="BP4119" s="2"/>
      <c r="BQ4119" s="2" t="s">
        <v>83</v>
      </c>
      <c r="BR4119" s="2" t="s">
        <v>84</v>
      </c>
      <c r="BS4119" s="3">
        <v>42955</v>
      </c>
      <c r="BT4119" s="4">
        <v>0.41666666666666669</v>
      </c>
      <c r="BU4119" s="2" t="s">
        <v>3864</v>
      </c>
      <c r="BV4119" s="2" t="s">
        <v>95</v>
      </c>
      <c r="BW4119" s="2"/>
      <c r="BX4119" s="2"/>
      <c r="BY4119" s="2">
        <v>1200</v>
      </c>
      <c r="BZ4119" s="2"/>
      <c r="CA4119" s="2" t="s">
        <v>148</v>
      </c>
      <c r="CB4119" s="2"/>
      <c r="CC4119" s="2" t="s">
        <v>1781</v>
      </c>
      <c r="CD4119" s="2">
        <v>5470</v>
      </c>
      <c r="CE4119" s="2" t="s">
        <v>104</v>
      </c>
      <c r="CF4119" s="5">
        <v>42961</v>
      </c>
      <c r="CG4119" s="2"/>
      <c r="CH4119" s="2"/>
      <c r="CI4119" s="2">
        <v>4</v>
      </c>
      <c r="CJ4119" s="2">
        <v>4</v>
      </c>
      <c r="CK4119" s="2">
        <v>23</v>
      </c>
      <c r="CL4119" s="2" t="s">
        <v>86</v>
      </c>
      <c r="CM4119" s="2"/>
    </row>
    <row r="4120" spans="1:91">
      <c r="A4120" s="2" t="s">
        <v>71</v>
      </c>
      <c r="B4120" s="2" t="s">
        <v>72</v>
      </c>
      <c r="C4120" s="2" t="s">
        <v>73</v>
      </c>
      <c r="D4120" s="2"/>
      <c r="E4120" s="2" t="str">
        <f>"FES1162566437"</f>
        <v>FES1162566437</v>
      </c>
      <c r="F4120" s="3">
        <v>42949</v>
      </c>
      <c r="G4120" s="2">
        <v>201802</v>
      </c>
      <c r="H4120" s="2" t="s">
        <v>74</v>
      </c>
      <c r="I4120" s="2" t="s">
        <v>75</v>
      </c>
      <c r="J4120" s="2" t="s">
        <v>76</v>
      </c>
      <c r="K4120" s="2" t="s">
        <v>77</v>
      </c>
      <c r="L4120" s="2" t="s">
        <v>97</v>
      </c>
      <c r="M4120" s="2" t="s">
        <v>98</v>
      </c>
      <c r="N4120" s="2" t="s">
        <v>1252</v>
      </c>
      <c r="O4120" s="2" t="s">
        <v>100</v>
      </c>
      <c r="P4120" s="2" t="str">
        <f>"2170582798                    "</f>
        <v xml:space="preserve">2170582798                    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4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0</v>
      </c>
      <c r="AU4120" s="2">
        <v>0</v>
      </c>
      <c r="AV4120" s="2">
        <v>0</v>
      </c>
      <c r="AW4120" s="2">
        <v>0</v>
      </c>
      <c r="AX4120" s="2">
        <v>0</v>
      </c>
      <c r="AY4120" s="2">
        <v>0</v>
      </c>
      <c r="AZ4120" s="2">
        <v>0</v>
      </c>
      <c r="BA4120" s="2">
        <v>0</v>
      </c>
      <c r="BB4120" s="2">
        <v>0</v>
      </c>
      <c r="BC4120" s="2">
        <v>0</v>
      </c>
      <c r="BD4120" s="2">
        <v>0</v>
      </c>
      <c r="BE4120" s="2">
        <v>0</v>
      </c>
      <c r="BF4120" s="2">
        <v>0</v>
      </c>
      <c r="BG4120" s="2">
        <v>0</v>
      </c>
      <c r="BH4120" s="2">
        <v>1</v>
      </c>
      <c r="BI4120" s="2">
        <v>1</v>
      </c>
      <c r="BJ4120" s="2">
        <v>0.2</v>
      </c>
      <c r="BK4120" s="2">
        <v>1</v>
      </c>
      <c r="BL4120" s="2">
        <v>41.44</v>
      </c>
      <c r="BM4120" s="2">
        <v>5.8</v>
      </c>
      <c r="BN4120" s="2">
        <v>47.24</v>
      </c>
      <c r="BO4120" s="2">
        <v>47.24</v>
      </c>
      <c r="BP4120" s="2"/>
      <c r="BQ4120" s="2" t="s">
        <v>83</v>
      </c>
      <c r="BR4120" s="2" t="s">
        <v>84</v>
      </c>
      <c r="BS4120" s="3">
        <v>42950</v>
      </c>
      <c r="BT4120" s="4">
        <v>0.34375</v>
      </c>
      <c r="BU4120" s="2" t="s">
        <v>2783</v>
      </c>
      <c r="BV4120" s="2" t="s">
        <v>95</v>
      </c>
      <c r="BW4120" s="2"/>
      <c r="BX4120" s="2"/>
      <c r="BY4120" s="2">
        <v>1200</v>
      </c>
      <c r="BZ4120" s="2" t="s">
        <v>27</v>
      </c>
      <c r="CA4120" s="2" t="s">
        <v>213</v>
      </c>
      <c r="CB4120" s="2"/>
      <c r="CC4120" s="2" t="s">
        <v>98</v>
      </c>
      <c r="CD4120" s="2">
        <v>6001</v>
      </c>
      <c r="CE4120" s="2" t="s">
        <v>104</v>
      </c>
      <c r="CF4120" s="5">
        <v>42951</v>
      </c>
      <c r="CG4120" s="2"/>
      <c r="CH4120" s="2"/>
      <c r="CI4120" s="2">
        <v>1</v>
      </c>
      <c r="CJ4120" s="2">
        <v>1</v>
      </c>
      <c r="CK4120" s="2">
        <v>21</v>
      </c>
      <c r="CL4120" s="2" t="s">
        <v>86</v>
      </c>
      <c r="CM4120" s="2"/>
    </row>
    <row r="4121" spans="1:91">
      <c r="A4121" s="2" t="s">
        <v>71</v>
      </c>
      <c r="B4121" s="2" t="s">
        <v>72</v>
      </c>
      <c r="C4121" s="2" t="s">
        <v>73</v>
      </c>
      <c r="D4121" s="2"/>
      <c r="E4121" s="2" t="str">
        <f>"FES1162566252"</f>
        <v>FES1162566252</v>
      </c>
      <c r="F4121" s="3">
        <v>42949</v>
      </c>
      <c r="G4121" s="2">
        <v>201802</v>
      </c>
      <c r="H4121" s="2" t="s">
        <v>74</v>
      </c>
      <c r="I4121" s="2" t="s">
        <v>75</v>
      </c>
      <c r="J4121" s="2" t="s">
        <v>76</v>
      </c>
      <c r="K4121" s="2" t="s">
        <v>77</v>
      </c>
      <c r="L4121" s="2" t="s">
        <v>97</v>
      </c>
      <c r="M4121" s="2" t="s">
        <v>98</v>
      </c>
      <c r="N4121" s="2" t="s">
        <v>1544</v>
      </c>
      <c r="O4121" s="2" t="s">
        <v>100</v>
      </c>
      <c r="P4121" s="2" t="str">
        <f>"2170582673                    "</f>
        <v xml:space="preserve">2170582673                    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4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0</v>
      </c>
      <c r="AU4121" s="2">
        <v>0</v>
      </c>
      <c r="AV4121" s="2">
        <v>0</v>
      </c>
      <c r="AW4121" s="2">
        <v>0</v>
      </c>
      <c r="AX4121" s="2">
        <v>0</v>
      </c>
      <c r="AY4121" s="2">
        <v>0</v>
      </c>
      <c r="AZ4121" s="2">
        <v>0</v>
      </c>
      <c r="BA4121" s="2">
        <v>0</v>
      </c>
      <c r="BB4121" s="2">
        <v>0</v>
      </c>
      <c r="BC4121" s="2">
        <v>0</v>
      </c>
      <c r="BD4121" s="2">
        <v>0</v>
      </c>
      <c r="BE4121" s="2">
        <v>0</v>
      </c>
      <c r="BF4121" s="2">
        <v>0</v>
      </c>
      <c r="BG4121" s="2">
        <v>0</v>
      </c>
      <c r="BH4121" s="2">
        <v>1</v>
      </c>
      <c r="BI4121" s="2">
        <v>1</v>
      </c>
      <c r="BJ4121" s="2">
        <v>0.2</v>
      </c>
      <c r="BK4121" s="2">
        <v>1</v>
      </c>
      <c r="BL4121" s="2">
        <v>41.44</v>
      </c>
      <c r="BM4121" s="2">
        <v>5.8</v>
      </c>
      <c r="BN4121" s="2">
        <v>47.24</v>
      </c>
      <c r="BO4121" s="2">
        <v>47.24</v>
      </c>
      <c r="BP4121" s="2"/>
      <c r="BQ4121" s="2" t="s">
        <v>83</v>
      </c>
      <c r="BR4121" s="2" t="s">
        <v>84</v>
      </c>
      <c r="BS4121" s="3">
        <v>42950</v>
      </c>
      <c r="BT4121" s="4">
        <v>0.30763888888888891</v>
      </c>
      <c r="BU4121" s="2" t="s">
        <v>3865</v>
      </c>
      <c r="BV4121" s="2" t="s">
        <v>95</v>
      </c>
      <c r="BW4121" s="2"/>
      <c r="BX4121" s="2"/>
      <c r="BY4121" s="2">
        <v>1200</v>
      </c>
      <c r="BZ4121" s="2" t="s">
        <v>27</v>
      </c>
      <c r="CA4121" s="2" t="s">
        <v>600</v>
      </c>
      <c r="CB4121" s="2"/>
      <c r="CC4121" s="2" t="s">
        <v>98</v>
      </c>
      <c r="CD4121" s="2">
        <v>6045</v>
      </c>
      <c r="CE4121" s="2" t="s">
        <v>104</v>
      </c>
      <c r="CF4121" s="5">
        <v>42951</v>
      </c>
      <c r="CG4121" s="2"/>
      <c r="CH4121" s="2"/>
      <c r="CI4121" s="2">
        <v>1</v>
      </c>
      <c r="CJ4121" s="2">
        <v>1</v>
      </c>
      <c r="CK4121" s="2">
        <v>21</v>
      </c>
      <c r="CL4121" s="2" t="s">
        <v>86</v>
      </c>
      <c r="CM4121" s="2"/>
    </row>
    <row r="4122" spans="1:91">
      <c r="A4122" s="2" t="s">
        <v>71</v>
      </c>
      <c r="B4122" s="2" t="s">
        <v>72</v>
      </c>
      <c r="C4122" s="2" t="s">
        <v>73</v>
      </c>
      <c r="D4122" s="2"/>
      <c r="E4122" s="2" t="str">
        <f>"FES1162566240"</f>
        <v>FES1162566240</v>
      </c>
      <c r="F4122" s="3">
        <v>42949</v>
      </c>
      <c r="G4122" s="2">
        <v>201802</v>
      </c>
      <c r="H4122" s="2" t="s">
        <v>74</v>
      </c>
      <c r="I4122" s="2" t="s">
        <v>75</v>
      </c>
      <c r="J4122" s="2" t="s">
        <v>76</v>
      </c>
      <c r="K4122" s="2" t="s">
        <v>77</v>
      </c>
      <c r="L4122" s="2" t="s">
        <v>97</v>
      </c>
      <c r="M4122" s="2" t="s">
        <v>98</v>
      </c>
      <c r="N4122" s="2" t="s">
        <v>3277</v>
      </c>
      <c r="O4122" s="2" t="s">
        <v>100</v>
      </c>
      <c r="P4122" s="2" t="str">
        <f>"2170582470                    "</f>
        <v xml:space="preserve">2170582470                    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4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0</v>
      </c>
      <c r="AU4122" s="2">
        <v>0</v>
      </c>
      <c r="AV4122" s="2">
        <v>0</v>
      </c>
      <c r="AW4122" s="2">
        <v>0</v>
      </c>
      <c r="AX4122" s="2">
        <v>0</v>
      </c>
      <c r="AY4122" s="2">
        <v>0</v>
      </c>
      <c r="AZ4122" s="2">
        <v>0</v>
      </c>
      <c r="BA4122" s="2">
        <v>0</v>
      </c>
      <c r="BB4122" s="2">
        <v>0</v>
      </c>
      <c r="BC4122" s="2">
        <v>0</v>
      </c>
      <c r="BD4122" s="2">
        <v>0</v>
      </c>
      <c r="BE4122" s="2">
        <v>0</v>
      </c>
      <c r="BF4122" s="2">
        <v>0</v>
      </c>
      <c r="BG4122" s="2">
        <v>0</v>
      </c>
      <c r="BH4122" s="2">
        <v>1</v>
      </c>
      <c r="BI4122" s="2">
        <v>1</v>
      </c>
      <c r="BJ4122" s="2">
        <v>0.2</v>
      </c>
      <c r="BK4122" s="2">
        <v>1</v>
      </c>
      <c r="BL4122" s="2">
        <v>41.44</v>
      </c>
      <c r="BM4122" s="2">
        <v>5.8</v>
      </c>
      <c r="BN4122" s="2">
        <v>47.24</v>
      </c>
      <c r="BO4122" s="2">
        <v>47.24</v>
      </c>
      <c r="BP4122" s="2"/>
      <c r="BQ4122" s="2" t="s">
        <v>83</v>
      </c>
      <c r="BR4122" s="2" t="s">
        <v>84</v>
      </c>
      <c r="BS4122" s="3">
        <v>42950</v>
      </c>
      <c r="BT4122" s="4">
        <v>0.43055555555555558</v>
      </c>
      <c r="BU4122" s="2" t="s">
        <v>3866</v>
      </c>
      <c r="BV4122" s="2" t="s">
        <v>95</v>
      </c>
      <c r="BW4122" s="2"/>
      <c r="BX4122" s="2"/>
      <c r="BY4122" s="2">
        <v>1200</v>
      </c>
      <c r="BZ4122" s="2" t="s">
        <v>27</v>
      </c>
      <c r="CA4122" s="2" t="s">
        <v>103</v>
      </c>
      <c r="CB4122" s="2"/>
      <c r="CC4122" s="2" t="s">
        <v>98</v>
      </c>
      <c r="CD4122" s="2">
        <v>6001</v>
      </c>
      <c r="CE4122" s="2" t="s">
        <v>104</v>
      </c>
      <c r="CF4122" s="5">
        <v>42951</v>
      </c>
      <c r="CG4122" s="2"/>
      <c r="CH4122" s="2"/>
      <c r="CI4122" s="2">
        <v>1</v>
      </c>
      <c r="CJ4122" s="2">
        <v>1</v>
      </c>
      <c r="CK4122" s="2">
        <v>21</v>
      </c>
      <c r="CL4122" s="2" t="s">
        <v>86</v>
      </c>
      <c r="CM4122" s="2"/>
    </row>
    <row r="4123" spans="1:91">
      <c r="A4123" s="2" t="s">
        <v>71</v>
      </c>
      <c r="B4123" s="2" t="s">
        <v>72</v>
      </c>
      <c r="C4123" s="2" t="s">
        <v>73</v>
      </c>
      <c r="D4123" s="2"/>
      <c r="E4123" s="2" t="str">
        <f>"FES1162566218"</f>
        <v>FES1162566218</v>
      </c>
      <c r="F4123" s="3">
        <v>42949</v>
      </c>
      <c r="G4123" s="2">
        <v>201802</v>
      </c>
      <c r="H4123" s="2" t="s">
        <v>74</v>
      </c>
      <c r="I4123" s="2" t="s">
        <v>75</v>
      </c>
      <c r="J4123" s="2" t="s">
        <v>76</v>
      </c>
      <c r="K4123" s="2" t="s">
        <v>77</v>
      </c>
      <c r="L4123" s="2" t="s">
        <v>97</v>
      </c>
      <c r="M4123" s="2" t="s">
        <v>98</v>
      </c>
      <c r="N4123" s="2" t="s">
        <v>1058</v>
      </c>
      <c r="O4123" s="2" t="s">
        <v>100</v>
      </c>
      <c r="P4123" s="2" t="str">
        <f>"2170582233                    "</f>
        <v xml:space="preserve">2170582233                    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4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0</v>
      </c>
      <c r="AU4123" s="2">
        <v>0</v>
      </c>
      <c r="AV4123" s="2">
        <v>0</v>
      </c>
      <c r="AW4123" s="2">
        <v>0</v>
      </c>
      <c r="AX4123" s="2">
        <v>0</v>
      </c>
      <c r="AY4123" s="2">
        <v>0</v>
      </c>
      <c r="AZ4123" s="2">
        <v>0</v>
      </c>
      <c r="BA4123" s="2">
        <v>0</v>
      </c>
      <c r="BB4123" s="2">
        <v>0</v>
      </c>
      <c r="BC4123" s="2">
        <v>0</v>
      </c>
      <c r="BD4123" s="2">
        <v>0</v>
      </c>
      <c r="BE4123" s="2">
        <v>0</v>
      </c>
      <c r="BF4123" s="2">
        <v>0</v>
      </c>
      <c r="BG4123" s="2">
        <v>0</v>
      </c>
      <c r="BH4123" s="2">
        <v>1</v>
      </c>
      <c r="BI4123" s="2">
        <v>1</v>
      </c>
      <c r="BJ4123" s="2">
        <v>0.2</v>
      </c>
      <c r="BK4123" s="2">
        <v>1</v>
      </c>
      <c r="BL4123" s="2">
        <v>41.44</v>
      </c>
      <c r="BM4123" s="2">
        <v>5.8</v>
      </c>
      <c r="BN4123" s="2">
        <v>47.24</v>
      </c>
      <c r="BO4123" s="2">
        <v>47.24</v>
      </c>
      <c r="BP4123" s="2"/>
      <c r="BQ4123" s="2" t="s">
        <v>108</v>
      </c>
      <c r="BR4123" s="2" t="s">
        <v>84</v>
      </c>
      <c r="BS4123" s="3">
        <v>42950</v>
      </c>
      <c r="BT4123" s="4">
        <v>0.3666666666666667</v>
      </c>
      <c r="BU4123" s="2" t="s">
        <v>1060</v>
      </c>
      <c r="BV4123" s="2" t="s">
        <v>95</v>
      </c>
      <c r="BW4123" s="2"/>
      <c r="BX4123" s="2"/>
      <c r="BY4123" s="2">
        <v>1200</v>
      </c>
      <c r="BZ4123" s="2" t="s">
        <v>27</v>
      </c>
      <c r="CA4123" s="2" t="s">
        <v>103</v>
      </c>
      <c r="CB4123" s="2"/>
      <c r="CC4123" s="2" t="s">
        <v>98</v>
      </c>
      <c r="CD4123" s="2">
        <v>6001</v>
      </c>
      <c r="CE4123" s="2" t="s">
        <v>104</v>
      </c>
      <c r="CF4123" s="5">
        <v>42951</v>
      </c>
      <c r="CG4123" s="2"/>
      <c r="CH4123" s="2"/>
      <c r="CI4123" s="2">
        <v>1</v>
      </c>
      <c r="CJ4123" s="2">
        <v>1</v>
      </c>
      <c r="CK4123" s="2">
        <v>21</v>
      </c>
      <c r="CL4123" s="2" t="s">
        <v>86</v>
      </c>
      <c r="CM4123" s="2"/>
    </row>
    <row r="4124" spans="1:91">
      <c r="A4124" s="2" t="s">
        <v>71</v>
      </c>
      <c r="B4124" s="2" t="s">
        <v>72</v>
      </c>
      <c r="C4124" s="2" t="s">
        <v>73</v>
      </c>
      <c r="D4124" s="2"/>
      <c r="E4124" s="2" t="str">
        <f>"FES1162566107"</f>
        <v>FES1162566107</v>
      </c>
      <c r="F4124" s="3">
        <v>42949</v>
      </c>
      <c r="G4124" s="2">
        <v>201802</v>
      </c>
      <c r="H4124" s="2" t="s">
        <v>74</v>
      </c>
      <c r="I4124" s="2" t="s">
        <v>75</v>
      </c>
      <c r="J4124" s="2" t="s">
        <v>76</v>
      </c>
      <c r="K4124" s="2" t="s">
        <v>77</v>
      </c>
      <c r="L4124" s="2" t="s">
        <v>97</v>
      </c>
      <c r="M4124" s="2" t="s">
        <v>98</v>
      </c>
      <c r="N4124" s="2" t="s">
        <v>1041</v>
      </c>
      <c r="O4124" s="2" t="s">
        <v>100</v>
      </c>
      <c r="P4124" s="2" t="str">
        <f>"2170582668                    "</f>
        <v xml:space="preserve">2170582668                    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11.01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0</v>
      </c>
      <c r="AU4124" s="2">
        <v>0</v>
      </c>
      <c r="AV4124" s="2">
        <v>0</v>
      </c>
      <c r="AW4124" s="2">
        <v>0</v>
      </c>
      <c r="AX4124" s="2">
        <v>0</v>
      </c>
      <c r="AY4124" s="2">
        <v>0</v>
      </c>
      <c r="AZ4124" s="2">
        <v>0</v>
      </c>
      <c r="BA4124" s="2">
        <v>0</v>
      </c>
      <c r="BB4124" s="2">
        <v>0</v>
      </c>
      <c r="BC4124" s="2">
        <v>0</v>
      </c>
      <c r="BD4124" s="2">
        <v>0</v>
      </c>
      <c r="BE4124" s="2">
        <v>0</v>
      </c>
      <c r="BF4124" s="2">
        <v>0</v>
      </c>
      <c r="BG4124" s="2">
        <v>0</v>
      </c>
      <c r="BH4124" s="2">
        <v>1</v>
      </c>
      <c r="BI4124" s="2">
        <v>4</v>
      </c>
      <c r="BJ4124" s="2">
        <v>5.4</v>
      </c>
      <c r="BK4124" s="2">
        <v>5.5</v>
      </c>
      <c r="BL4124" s="2">
        <v>113.97</v>
      </c>
      <c r="BM4124" s="2">
        <v>15.96</v>
      </c>
      <c r="BN4124" s="2">
        <v>129.93</v>
      </c>
      <c r="BO4124" s="2">
        <v>129.93</v>
      </c>
      <c r="BP4124" s="2"/>
      <c r="BQ4124" s="2" t="s">
        <v>108</v>
      </c>
      <c r="BR4124" s="2" t="s">
        <v>84</v>
      </c>
      <c r="BS4124" s="3">
        <v>42950</v>
      </c>
      <c r="BT4124" s="4">
        <v>0.29166666666666669</v>
      </c>
      <c r="BU4124" s="2" t="s">
        <v>3846</v>
      </c>
      <c r="BV4124" s="2" t="s">
        <v>95</v>
      </c>
      <c r="BW4124" s="2"/>
      <c r="BX4124" s="2"/>
      <c r="BY4124" s="2">
        <v>27225</v>
      </c>
      <c r="BZ4124" s="2" t="s">
        <v>27</v>
      </c>
      <c r="CA4124" s="2" t="s">
        <v>294</v>
      </c>
      <c r="CB4124" s="2"/>
      <c r="CC4124" s="2" t="s">
        <v>98</v>
      </c>
      <c r="CD4124" s="2">
        <v>6012</v>
      </c>
      <c r="CE4124" s="2" t="s">
        <v>89</v>
      </c>
      <c r="CF4124" s="5">
        <v>42951</v>
      </c>
      <c r="CG4124" s="2"/>
      <c r="CH4124" s="2"/>
      <c r="CI4124" s="2">
        <v>1</v>
      </c>
      <c r="CJ4124" s="2">
        <v>1</v>
      </c>
      <c r="CK4124" s="2">
        <v>21</v>
      </c>
      <c r="CL4124" s="2" t="s">
        <v>86</v>
      </c>
      <c r="CM4124" s="2"/>
    </row>
    <row r="4125" spans="1:91">
      <c r="A4125" s="2" t="s">
        <v>71</v>
      </c>
      <c r="B4125" s="2" t="s">
        <v>72</v>
      </c>
      <c r="C4125" s="2" t="s">
        <v>73</v>
      </c>
      <c r="D4125" s="2"/>
      <c r="E4125" s="2" t="str">
        <f>"FES1162566366"</f>
        <v>FES1162566366</v>
      </c>
      <c r="F4125" s="3">
        <v>42949</v>
      </c>
      <c r="G4125" s="2">
        <v>201802</v>
      </c>
      <c r="H4125" s="2" t="s">
        <v>74</v>
      </c>
      <c r="I4125" s="2" t="s">
        <v>75</v>
      </c>
      <c r="J4125" s="2" t="s">
        <v>76</v>
      </c>
      <c r="K4125" s="2" t="s">
        <v>77</v>
      </c>
      <c r="L4125" s="2" t="s">
        <v>97</v>
      </c>
      <c r="M4125" s="2" t="s">
        <v>98</v>
      </c>
      <c r="N4125" s="2" t="s">
        <v>229</v>
      </c>
      <c r="O4125" s="2" t="s">
        <v>100</v>
      </c>
      <c r="P4125" s="2" t="str">
        <f>"2170580270                    "</f>
        <v xml:space="preserve">2170580270                    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9.01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0</v>
      </c>
      <c r="AU4125" s="2">
        <v>0</v>
      </c>
      <c r="AV4125" s="2">
        <v>0</v>
      </c>
      <c r="AW4125" s="2">
        <v>0</v>
      </c>
      <c r="AX4125" s="2">
        <v>0</v>
      </c>
      <c r="AY4125" s="2">
        <v>0</v>
      </c>
      <c r="AZ4125" s="2">
        <v>0</v>
      </c>
      <c r="BA4125" s="2">
        <v>0</v>
      </c>
      <c r="BB4125" s="2">
        <v>0</v>
      </c>
      <c r="BC4125" s="2">
        <v>0</v>
      </c>
      <c r="BD4125" s="2">
        <v>0</v>
      </c>
      <c r="BE4125" s="2">
        <v>0</v>
      </c>
      <c r="BF4125" s="2">
        <v>0</v>
      </c>
      <c r="BG4125" s="2">
        <v>0</v>
      </c>
      <c r="BH4125" s="2">
        <v>1</v>
      </c>
      <c r="BI4125" s="2">
        <v>4.3</v>
      </c>
      <c r="BJ4125" s="2">
        <v>3.5</v>
      </c>
      <c r="BK4125" s="2">
        <v>4.5</v>
      </c>
      <c r="BL4125" s="2">
        <v>93.25</v>
      </c>
      <c r="BM4125" s="2">
        <v>13.06</v>
      </c>
      <c r="BN4125" s="2">
        <v>106.31</v>
      </c>
      <c r="BO4125" s="2">
        <v>106.31</v>
      </c>
      <c r="BP4125" s="2"/>
      <c r="BQ4125" s="2" t="s">
        <v>83</v>
      </c>
      <c r="BR4125" s="2" t="s">
        <v>84</v>
      </c>
      <c r="BS4125" s="3">
        <v>42950</v>
      </c>
      <c r="BT4125" s="4">
        <v>0.42638888888888887</v>
      </c>
      <c r="BU4125" s="2" t="s">
        <v>560</v>
      </c>
      <c r="BV4125" s="2" t="s">
        <v>95</v>
      </c>
      <c r="BW4125" s="2"/>
      <c r="BX4125" s="2"/>
      <c r="BY4125" s="2">
        <v>17683.11</v>
      </c>
      <c r="BZ4125" s="2" t="s">
        <v>27</v>
      </c>
      <c r="CA4125" s="2" t="s">
        <v>103</v>
      </c>
      <c r="CB4125" s="2"/>
      <c r="CC4125" s="2" t="s">
        <v>98</v>
      </c>
      <c r="CD4125" s="2">
        <v>6001</v>
      </c>
      <c r="CE4125" s="2" t="s">
        <v>89</v>
      </c>
      <c r="CF4125" s="5">
        <v>42951</v>
      </c>
      <c r="CG4125" s="2"/>
      <c r="CH4125" s="2"/>
      <c r="CI4125" s="2">
        <v>1</v>
      </c>
      <c r="CJ4125" s="2">
        <v>1</v>
      </c>
      <c r="CK4125" s="2">
        <v>21</v>
      </c>
      <c r="CL4125" s="2" t="s">
        <v>86</v>
      </c>
      <c r="CM4125" s="2"/>
    </row>
    <row r="4126" spans="1:91">
      <c r="A4126" s="2" t="s">
        <v>71</v>
      </c>
      <c r="B4126" s="2" t="s">
        <v>72</v>
      </c>
      <c r="C4126" s="2" t="s">
        <v>73</v>
      </c>
      <c r="D4126" s="2"/>
      <c r="E4126" s="2" t="str">
        <f>"FES1162566389"</f>
        <v>FES1162566389</v>
      </c>
      <c r="F4126" s="3">
        <v>42949</v>
      </c>
      <c r="G4126" s="2">
        <v>201802</v>
      </c>
      <c r="H4126" s="2" t="s">
        <v>74</v>
      </c>
      <c r="I4126" s="2" t="s">
        <v>75</v>
      </c>
      <c r="J4126" s="2" t="s">
        <v>76</v>
      </c>
      <c r="K4126" s="2" t="s">
        <v>77</v>
      </c>
      <c r="L4126" s="2" t="s">
        <v>97</v>
      </c>
      <c r="M4126" s="2" t="s">
        <v>98</v>
      </c>
      <c r="N4126" s="2" t="s">
        <v>214</v>
      </c>
      <c r="O4126" s="2" t="s">
        <v>100</v>
      </c>
      <c r="P4126" s="2" t="str">
        <f>"2170580711                    "</f>
        <v xml:space="preserve">2170580711                    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4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0</v>
      </c>
      <c r="AU4126" s="2">
        <v>0</v>
      </c>
      <c r="AV4126" s="2">
        <v>0</v>
      </c>
      <c r="AW4126" s="2">
        <v>0</v>
      </c>
      <c r="AX4126" s="2">
        <v>0</v>
      </c>
      <c r="AY4126" s="2">
        <v>0</v>
      </c>
      <c r="AZ4126" s="2">
        <v>0</v>
      </c>
      <c r="BA4126" s="2">
        <v>0</v>
      </c>
      <c r="BB4126" s="2">
        <v>0</v>
      </c>
      <c r="BC4126" s="2">
        <v>0</v>
      </c>
      <c r="BD4126" s="2">
        <v>0</v>
      </c>
      <c r="BE4126" s="2">
        <v>0</v>
      </c>
      <c r="BF4126" s="2">
        <v>0</v>
      </c>
      <c r="BG4126" s="2">
        <v>0</v>
      </c>
      <c r="BH4126" s="2">
        <v>1</v>
      </c>
      <c r="BI4126" s="2">
        <v>1</v>
      </c>
      <c r="BJ4126" s="2">
        <v>1.3</v>
      </c>
      <c r="BK4126" s="2">
        <v>1.5</v>
      </c>
      <c r="BL4126" s="2">
        <v>41.44</v>
      </c>
      <c r="BM4126" s="2">
        <v>5.8</v>
      </c>
      <c r="BN4126" s="2">
        <v>47.24</v>
      </c>
      <c r="BO4126" s="2">
        <v>47.24</v>
      </c>
      <c r="BP4126" s="2"/>
      <c r="BQ4126" s="2" t="s">
        <v>108</v>
      </c>
      <c r="BR4126" s="2" t="s">
        <v>84</v>
      </c>
      <c r="BS4126" s="3">
        <v>42950</v>
      </c>
      <c r="BT4126" s="4">
        <v>0.30833333333333335</v>
      </c>
      <c r="BU4126" s="2" t="s">
        <v>3867</v>
      </c>
      <c r="BV4126" s="2" t="s">
        <v>95</v>
      </c>
      <c r="BW4126" s="2"/>
      <c r="BX4126" s="2"/>
      <c r="BY4126" s="2">
        <v>6432.73</v>
      </c>
      <c r="BZ4126" s="2" t="s">
        <v>27</v>
      </c>
      <c r="CA4126" s="2" t="s">
        <v>213</v>
      </c>
      <c r="CB4126" s="2"/>
      <c r="CC4126" s="2" t="s">
        <v>98</v>
      </c>
      <c r="CD4126" s="2">
        <v>6001</v>
      </c>
      <c r="CE4126" s="2" t="s">
        <v>89</v>
      </c>
      <c r="CF4126" s="5">
        <v>42951</v>
      </c>
      <c r="CG4126" s="2"/>
      <c r="CH4126" s="2"/>
      <c r="CI4126" s="2">
        <v>1</v>
      </c>
      <c r="CJ4126" s="2">
        <v>1</v>
      </c>
      <c r="CK4126" s="2">
        <v>21</v>
      </c>
      <c r="CL4126" s="2" t="s">
        <v>86</v>
      </c>
      <c r="CM4126" s="2"/>
    </row>
    <row r="4127" spans="1:91">
      <c r="A4127" s="2" t="s">
        <v>71</v>
      </c>
      <c r="B4127" s="2" t="s">
        <v>72</v>
      </c>
      <c r="C4127" s="2" t="s">
        <v>73</v>
      </c>
      <c r="D4127" s="2"/>
      <c r="E4127" s="2" t="str">
        <f>"FES1162566117"</f>
        <v>FES1162566117</v>
      </c>
      <c r="F4127" s="3">
        <v>42949</v>
      </c>
      <c r="G4127" s="2">
        <v>201802</v>
      </c>
      <c r="H4127" s="2" t="s">
        <v>74</v>
      </c>
      <c r="I4127" s="2" t="s">
        <v>75</v>
      </c>
      <c r="J4127" s="2" t="s">
        <v>76</v>
      </c>
      <c r="K4127" s="2" t="s">
        <v>77</v>
      </c>
      <c r="L4127" s="2" t="s">
        <v>144</v>
      </c>
      <c r="M4127" s="2" t="s">
        <v>145</v>
      </c>
      <c r="N4127" s="2" t="s">
        <v>3868</v>
      </c>
      <c r="O4127" s="2" t="s">
        <v>100</v>
      </c>
      <c r="P4127" s="2" t="str">
        <f>"2170570758                    "</f>
        <v xml:space="preserve">2170570758                    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3.13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0</v>
      </c>
      <c r="AU4127" s="2">
        <v>0</v>
      </c>
      <c r="AV4127" s="2">
        <v>0</v>
      </c>
      <c r="AW4127" s="2">
        <v>0</v>
      </c>
      <c r="AX4127" s="2">
        <v>0</v>
      </c>
      <c r="AY4127" s="2">
        <v>0</v>
      </c>
      <c r="AZ4127" s="2">
        <v>0</v>
      </c>
      <c r="BA4127" s="2">
        <v>0</v>
      </c>
      <c r="BB4127" s="2">
        <v>0</v>
      </c>
      <c r="BC4127" s="2">
        <v>0</v>
      </c>
      <c r="BD4127" s="2">
        <v>0</v>
      </c>
      <c r="BE4127" s="2">
        <v>0</v>
      </c>
      <c r="BF4127" s="2">
        <v>0</v>
      </c>
      <c r="BG4127" s="2">
        <v>0</v>
      </c>
      <c r="BH4127" s="2">
        <v>1</v>
      </c>
      <c r="BI4127" s="2">
        <v>3</v>
      </c>
      <c r="BJ4127" s="2">
        <v>3.8</v>
      </c>
      <c r="BK4127" s="2">
        <v>4</v>
      </c>
      <c r="BL4127" s="2">
        <v>32.380000000000003</v>
      </c>
      <c r="BM4127" s="2">
        <v>4.53</v>
      </c>
      <c r="BN4127" s="2">
        <v>36.909999999999997</v>
      </c>
      <c r="BO4127" s="2">
        <v>36.909999999999997</v>
      </c>
      <c r="BP4127" s="2"/>
      <c r="BQ4127" s="2" t="s">
        <v>108</v>
      </c>
      <c r="BR4127" s="2" t="s">
        <v>84</v>
      </c>
      <c r="BS4127" s="3">
        <v>42950</v>
      </c>
      <c r="BT4127" s="4">
        <v>0.34027777777777773</v>
      </c>
      <c r="BU4127" s="2" t="s">
        <v>3869</v>
      </c>
      <c r="BV4127" s="2" t="s">
        <v>95</v>
      </c>
      <c r="BW4127" s="2"/>
      <c r="BX4127" s="2"/>
      <c r="BY4127" s="2">
        <v>19200</v>
      </c>
      <c r="BZ4127" s="2" t="s">
        <v>27</v>
      </c>
      <c r="CA4127" s="2" t="s">
        <v>729</v>
      </c>
      <c r="CB4127" s="2"/>
      <c r="CC4127" s="2" t="s">
        <v>145</v>
      </c>
      <c r="CD4127" s="2">
        <v>2094</v>
      </c>
      <c r="CE4127" s="2" t="s">
        <v>89</v>
      </c>
      <c r="CF4127" s="5">
        <v>42951</v>
      </c>
      <c r="CG4127" s="2"/>
      <c r="CH4127" s="2"/>
      <c r="CI4127" s="2">
        <v>1</v>
      </c>
      <c r="CJ4127" s="2">
        <v>1</v>
      </c>
      <c r="CK4127" s="2">
        <v>22</v>
      </c>
      <c r="CL4127" s="2" t="s">
        <v>86</v>
      </c>
      <c r="CM4127" s="2"/>
    </row>
    <row r="4128" spans="1:91">
      <c r="A4128" s="2" t="s">
        <v>71</v>
      </c>
      <c r="B4128" s="2" t="s">
        <v>72</v>
      </c>
      <c r="C4128" s="2" t="s">
        <v>73</v>
      </c>
      <c r="D4128" s="2"/>
      <c r="E4128" s="2" t="str">
        <f>"FES1162566186"</f>
        <v>FES1162566186</v>
      </c>
      <c r="F4128" s="3">
        <v>42949</v>
      </c>
      <c r="G4128" s="2">
        <v>201802</v>
      </c>
      <c r="H4128" s="2" t="s">
        <v>74</v>
      </c>
      <c r="I4128" s="2" t="s">
        <v>75</v>
      </c>
      <c r="J4128" s="2" t="s">
        <v>76</v>
      </c>
      <c r="K4128" s="2" t="s">
        <v>77</v>
      </c>
      <c r="L4128" s="2" t="s">
        <v>128</v>
      </c>
      <c r="M4128" s="2" t="s">
        <v>129</v>
      </c>
      <c r="N4128" s="2" t="s">
        <v>2214</v>
      </c>
      <c r="O4128" s="2" t="s">
        <v>100</v>
      </c>
      <c r="P4128" s="2" t="str">
        <f>"2170581528                    "</f>
        <v xml:space="preserve">2170581528                    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3.13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0</v>
      </c>
      <c r="AU4128" s="2">
        <v>0</v>
      </c>
      <c r="AV4128" s="2">
        <v>0</v>
      </c>
      <c r="AW4128" s="2">
        <v>0</v>
      </c>
      <c r="AX4128" s="2">
        <v>0</v>
      </c>
      <c r="AY4128" s="2">
        <v>0</v>
      </c>
      <c r="AZ4128" s="2">
        <v>0</v>
      </c>
      <c r="BA4128" s="2">
        <v>0</v>
      </c>
      <c r="BB4128" s="2">
        <v>0</v>
      </c>
      <c r="BC4128" s="2">
        <v>0</v>
      </c>
      <c r="BD4128" s="2">
        <v>0</v>
      </c>
      <c r="BE4128" s="2">
        <v>0</v>
      </c>
      <c r="BF4128" s="2">
        <v>0</v>
      </c>
      <c r="BG4128" s="2">
        <v>0</v>
      </c>
      <c r="BH4128" s="2">
        <v>1</v>
      </c>
      <c r="BI4128" s="2">
        <v>1</v>
      </c>
      <c r="BJ4128" s="2">
        <v>0.2</v>
      </c>
      <c r="BK4128" s="2">
        <v>1</v>
      </c>
      <c r="BL4128" s="2">
        <v>32.380000000000003</v>
      </c>
      <c r="BM4128" s="2">
        <v>4.53</v>
      </c>
      <c r="BN4128" s="2">
        <v>36.909999999999997</v>
      </c>
      <c r="BO4128" s="2">
        <v>36.909999999999997</v>
      </c>
      <c r="BP4128" s="2"/>
      <c r="BQ4128" s="2" t="s">
        <v>108</v>
      </c>
      <c r="BR4128" s="2" t="s">
        <v>84</v>
      </c>
      <c r="BS4128" s="3">
        <v>42950</v>
      </c>
      <c r="BT4128" s="4">
        <v>0.3979166666666667</v>
      </c>
      <c r="BU4128" s="2" t="s">
        <v>330</v>
      </c>
      <c r="BV4128" s="2" t="s">
        <v>95</v>
      </c>
      <c r="BW4128" s="2"/>
      <c r="BX4128" s="2"/>
      <c r="BY4128" s="2">
        <v>1200</v>
      </c>
      <c r="BZ4128" s="2" t="s">
        <v>27</v>
      </c>
      <c r="CA4128" s="2" t="s">
        <v>923</v>
      </c>
      <c r="CB4128" s="2"/>
      <c r="CC4128" s="2" t="s">
        <v>129</v>
      </c>
      <c r="CD4128" s="2">
        <v>1725</v>
      </c>
      <c r="CE4128" s="2" t="s">
        <v>104</v>
      </c>
      <c r="CF4128" s="5">
        <v>42951</v>
      </c>
      <c r="CG4128" s="2"/>
      <c r="CH4128" s="2"/>
      <c r="CI4128" s="2">
        <v>1</v>
      </c>
      <c r="CJ4128" s="2">
        <v>1</v>
      </c>
      <c r="CK4128" s="2">
        <v>22</v>
      </c>
      <c r="CL4128" s="2" t="s">
        <v>86</v>
      </c>
      <c r="CM4128" s="2"/>
    </row>
    <row r="4129" spans="1:91">
      <c r="A4129" s="2" t="s">
        <v>71</v>
      </c>
      <c r="B4129" s="2" t="s">
        <v>72</v>
      </c>
      <c r="C4129" s="2" t="s">
        <v>73</v>
      </c>
      <c r="D4129" s="2"/>
      <c r="E4129" s="2" t="str">
        <f>"FES1162566229"</f>
        <v>FES1162566229</v>
      </c>
      <c r="F4129" s="3">
        <v>42949</v>
      </c>
      <c r="G4129" s="2">
        <v>201802</v>
      </c>
      <c r="H4129" s="2" t="s">
        <v>74</v>
      </c>
      <c r="I4129" s="2" t="s">
        <v>75</v>
      </c>
      <c r="J4129" s="2" t="s">
        <v>76</v>
      </c>
      <c r="K4129" s="2" t="s">
        <v>77</v>
      </c>
      <c r="L4129" s="2" t="s">
        <v>144</v>
      </c>
      <c r="M4129" s="2" t="s">
        <v>145</v>
      </c>
      <c r="N4129" s="2" t="s">
        <v>3870</v>
      </c>
      <c r="O4129" s="2" t="s">
        <v>100</v>
      </c>
      <c r="P4129" s="2" t="str">
        <f>"2170582341                    "</f>
        <v xml:space="preserve">2170582341                    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3.13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0</v>
      </c>
      <c r="AU4129" s="2">
        <v>0</v>
      </c>
      <c r="AV4129" s="2">
        <v>0</v>
      </c>
      <c r="AW4129" s="2">
        <v>0</v>
      </c>
      <c r="AX4129" s="2">
        <v>0</v>
      </c>
      <c r="AY4129" s="2">
        <v>0</v>
      </c>
      <c r="AZ4129" s="2">
        <v>0</v>
      </c>
      <c r="BA4129" s="2">
        <v>0</v>
      </c>
      <c r="BB4129" s="2">
        <v>0</v>
      </c>
      <c r="BC4129" s="2">
        <v>0</v>
      </c>
      <c r="BD4129" s="2">
        <v>0</v>
      </c>
      <c r="BE4129" s="2">
        <v>0</v>
      </c>
      <c r="BF4129" s="2">
        <v>0</v>
      </c>
      <c r="BG4129" s="2">
        <v>0</v>
      </c>
      <c r="BH4129" s="2">
        <v>1</v>
      </c>
      <c r="BI4129" s="2">
        <v>1</v>
      </c>
      <c r="BJ4129" s="2">
        <v>0.2</v>
      </c>
      <c r="BK4129" s="2">
        <v>1</v>
      </c>
      <c r="BL4129" s="2">
        <v>32.380000000000003</v>
      </c>
      <c r="BM4129" s="2">
        <v>4.53</v>
      </c>
      <c r="BN4129" s="2">
        <v>36.909999999999997</v>
      </c>
      <c r="BO4129" s="2">
        <v>36.909999999999997</v>
      </c>
      <c r="BP4129" s="2"/>
      <c r="BQ4129" s="2" t="s">
        <v>108</v>
      </c>
      <c r="BR4129" s="2" t="s">
        <v>84</v>
      </c>
      <c r="BS4129" s="3">
        <v>42950</v>
      </c>
      <c r="BT4129" s="4">
        <v>0.37152777777777773</v>
      </c>
      <c r="BU4129" s="2" t="s">
        <v>330</v>
      </c>
      <c r="BV4129" s="2" t="s">
        <v>95</v>
      </c>
      <c r="BW4129" s="2"/>
      <c r="BX4129" s="2"/>
      <c r="BY4129" s="2">
        <v>1200</v>
      </c>
      <c r="BZ4129" s="2" t="s">
        <v>27</v>
      </c>
      <c r="CA4129" s="2" t="s">
        <v>923</v>
      </c>
      <c r="CB4129" s="2"/>
      <c r="CC4129" s="2" t="s">
        <v>145</v>
      </c>
      <c r="CD4129" s="2">
        <v>2093</v>
      </c>
      <c r="CE4129" s="2" t="s">
        <v>104</v>
      </c>
      <c r="CF4129" s="5">
        <v>42951</v>
      </c>
      <c r="CG4129" s="2"/>
      <c r="CH4129" s="2"/>
      <c r="CI4129" s="2">
        <v>1</v>
      </c>
      <c r="CJ4129" s="2">
        <v>1</v>
      </c>
      <c r="CK4129" s="2">
        <v>22</v>
      </c>
      <c r="CL4129" s="2" t="s">
        <v>86</v>
      </c>
      <c r="CM4129" s="2"/>
    </row>
    <row r="4130" spans="1:91">
      <c r="A4130" s="2" t="s">
        <v>71</v>
      </c>
      <c r="B4130" s="2" t="s">
        <v>72</v>
      </c>
      <c r="C4130" s="2" t="s">
        <v>73</v>
      </c>
      <c r="D4130" s="2"/>
      <c r="E4130" s="2" t="str">
        <f>"FES1162566216"</f>
        <v>FES1162566216</v>
      </c>
      <c r="F4130" s="3">
        <v>42949</v>
      </c>
      <c r="G4130" s="2">
        <v>201802</v>
      </c>
      <c r="H4130" s="2" t="s">
        <v>74</v>
      </c>
      <c r="I4130" s="2" t="s">
        <v>75</v>
      </c>
      <c r="J4130" s="2" t="s">
        <v>76</v>
      </c>
      <c r="K4130" s="2" t="s">
        <v>77</v>
      </c>
      <c r="L4130" s="2" t="s">
        <v>311</v>
      </c>
      <c r="M4130" s="2" t="s">
        <v>312</v>
      </c>
      <c r="N4130" s="2" t="s">
        <v>2486</v>
      </c>
      <c r="O4130" s="2" t="s">
        <v>100</v>
      </c>
      <c r="P4130" s="2" t="str">
        <f>"2170582209                    "</f>
        <v xml:space="preserve">2170582209                    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3.13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0</v>
      </c>
      <c r="AU4130" s="2">
        <v>0</v>
      </c>
      <c r="AV4130" s="2">
        <v>0</v>
      </c>
      <c r="AW4130" s="2">
        <v>0</v>
      </c>
      <c r="AX4130" s="2">
        <v>0</v>
      </c>
      <c r="AY4130" s="2">
        <v>0</v>
      </c>
      <c r="AZ4130" s="2">
        <v>0</v>
      </c>
      <c r="BA4130" s="2">
        <v>0</v>
      </c>
      <c r="BB4130" s="2">
        <v>0</v>
      </c>
      <c r="BC4130" s="2">
        <v>0</v>
      </c>
      <c r="BD4130" s="2">
        <v>0</v>
      </c>
      <c r="BE4130" s="2">
        <v>0</v>
      </c>
      <c r="BF4130" s="2">
        <v>0</v>
      </c>
      <c r="BG4130" s="2">
        <v>0</v>
      </c>
      <c r="BH4130" s="2">
        <v>1</v>
      </c>
      <c r="BI4130" s="2">
        <v>1</v>
      </c>
      <c r="BJ4130" s="2">
        <v>0.2</v>
      </c>
      <c r="BK4130" s="2">
        <v>1</v>
      </c>
      <c r="BL4130" s="2">
        <v>32.380000000000003</v>
      </c>
      <c r="BM4130" s="2">
        <v>4.53</v>
      </c>
      <c r="BN4130" s="2">
        <v>36.909999999999997</v>
      </c>
      <c r="BO4130" s="2">
        <v>36.909999999999997</v>
      </c>
      <c r="BP4130" s="2"/>
      <c r="BQ4130" s="2" t="s">
        <v>108</v>
      </c>
      <c r="BR4130" s="2" t="s">
        <v>84</v>
      </c>
      <c r="BS4130" s="3">
        <v>42950</v>
      </c>
      <c r="BT4130" s="4">
        <v>0.36527777777777781</v>
      </c>
      <c r="BU4130" s="2" t="s">
        <v>2067</v>
      </c>
      <c r="BV4130" s="2" t="s">
        <v>95</v>
      </c>
      <c r="BW4130" s="2"/>
      <c r="BX4130" s="2"/>
      <c r="BY4130" s="2">
        <v>1200</v>
      </c>
      <c r="BZ4130" s="2" t="s">
        <v>27</v>
      </c>
      <c r="CA4130" s="2" t="s">
        <v>889</v>
      </c>
      <c r="CB4130" s="2"/>
      <c r="CC4130" s="2" t="s">
        <v>312</v>
      </c>
      <c r="CD4130" s="2">
        <v>1559</v>
      </c>
      <c r="CE4130" s="2" t="s">
        <v>104</v>
      </c>
      <c r="CF4130" s="5">
        <v>42951</v>
      </c>
      <c r="CG4130" s="2"/>
      <c r="CH4130" s="2"/>
      <c r="CI4130" s="2">
        <v>1</v>
      </c>
      <c r="CJ4130" s="2">
        <v>1</v>
      </c>
      <c r="CK4130" s="2">
        <v>22</v>
      </c>
      <c r="CL4130" s="2" t="s">
        <v>86</v>
      </c>
      <c r="CM4130" s="2"/>
    </row>
    <row r="4131" spans="1:91">
      <c r="A4131" s="2" t="s">
        <v>71</v>
      </c>
      <c r="B4131" s="2" t="s">
        <v>72</v>
      </c>
      <c r="C4131" s="2" t="s">
        <v>73</v>
      </c>
      <c r="D4131" s="2"/>
      <c r="E4131" s="2" t="str">
        <f>"FES1162566245"</f>
        <v>FES1162566245</v>
      </c>
      <c r="F4131" s="3">
        <v>42949</v>
      </c>
      <c r="G4131" s="2">
        <v>201802</v>
      </c>
      <c r="H4131" s="2" t="s">
        <v>74</v>
      </c>
      <c r="I4131" s="2" t="s">
        <v>75</v>
      </c>
      <c r="J4131" s="2" t="s">
        <v>76</v>
      </c>
      <c r="K4131" s="2" t="s">
        <v>77</v>
      </c>
      <c r="L4131" s="2" t="s">
        <v>539</v>
      </c>
      <c r="M4131" s="2" t="s">
        <v>540</v>
      </c>
      <c r="N4131" s="2" t="s">
        <v>1740</v>
      </c>
      <c r="O4131" s="2" t="s">
        <v>100</v>
      </c>
      <c r="P4131" s="2" t="str">
        <f>"2170582590                    "</f>
        <v xml:space="preserve">2170582590                    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3.13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0</v>
      </c>
      <c r="AU4131" s="2">
        <v>0</v>
      </c>
      <c r="AV4131" s="2">
        <v>0</v>
      </c>
      <c r="AW4131" s="2">
        <v>0</v>
      </c>
      <c r="AX4131" s="2">
        <v>0</v>
      </c>
      <c r="AY4131" s="2">
        <v>0</v>
      </c>
      <c r="AZ4131" s="2">
        <v>0</v>
      </c>
      <c r="BA4131" s="2">
        <v>0</v>
      </c>
      <c r="BB4131" s="2">
        <v>0</v>
      </c>
      <c r="BC4131" s="2">
        <v>0</v>
      </c>
      <c r="BD4131" s="2">
        <v>0</v>
      </c>
      <c r="BE4131" s="2">
        <v>0</v>
      </c>
      <c r="BF4131" s="2">
        <v>0</v>
      </c>
      <c r="BG4131" s="2">
        <v>0</v>
      </c>
      <c r="BH4131" s="2">
        <v>1</v>
      </c>
      <c r="BI4131" s="2">
        <v>1</v>
      </c>
      <c r="BJ4131" s="2">
        <v>0.2</v>
      </c>
      <c r="BK4131" s="2">
        <v>1</v>
      </c>
      <c r="BL4131" s="2">
        <v>32.380000000000003</v>
      </c>
      <c r="BM4131" s="2">
        <v>4.53</v>
      </c>
      <c r="BN4131" s="2">
        <v>36.909999999999997</v>
      </c>
      <c r="BO4131" s="2">
        <v>36.909999999999997</v>
      </c>
      <c r="BP4131" s="2"/>
      <c r="BQ4131" s="2" t="s">
        <v>108</v>
      </c>
      <c r="BR4131" s="2" t="s">
        <v>84</v>
      </c>
      <c r="BS4131" s="3">
        <v>42950</v>
      </c>
      <c r="BT4131" s="4">
        <v>0.41736111111111113</v>
      </c>
      <c r="BU4131" s="2" t="s">
        <v>3871</v>
      </c>
      <c r="BV4131" s="2" t="s">
        <v>95</v>
      </c>
      <c r="BW4131" s="2"/>
      <c r="BX4131" s="2"/>
      <c r="BY4131" s="2">
        <v>1200</v>
      </c>
      <c r="BZ4131" s="2" t="s">
        <v>27</v>
      </c>
      <c r="CA4131" s="2" t="s">
        <v>722</v>
      </c>
      <c r="CB4131" s="2"/>
      <c r="CC4131" s="2" t="s">
        <v>540</v>
      </c>
      <c r="CD4131" s="2">
        <v>2163</v>
      </c>
      <c r="CE4131" s="2" t="s">
        <v>104</v>
      </c>
      <c r="CF4131" s="5">
        <v>42951</v>
      </c>
      <c r="CG4131" s="2"/>
      <c r="CH4131" s="2"/>
      <c r="CI4131" s="2">
        <v>1</v>
      </c>
      <c r="CJ4131" s="2">
        <v>1</v>
      </c>
      <c r="CK4131" s="2">
        <v>22</v>
      </c>
      <c r="CL4131" s="2" t="s">
        <v>86</v>
      </c>
      <c r="CM4131" s="2"/>
    </row>
    <row r="4132" spans="1:91">
      <c r="A4132" s="2" t="s">
        <v>71</v>
      </c>
      <c r="B4132" s="2" t="s">
        <v>72</v>
      </c>
      <c r="C4132" s="2" t="s">
        <v>73</v>
      </c>
      <c r="D4132" s="2"/>
      <c r="E4132" s="2" t="str">
        <f>"FES1162566185"</f>
        <v>FES1162566185</v>
      </c>
      <c r="F4132" s="3">
        <v>42949</v>
      </c>
      <c r="G4132" s="2">
        <v>201802</v>
      </c>
      <c r="H4132" s="2" t="s">
        <v>74</v>
      </c>
      <c r="I4132" s="2" t="s">
        <v>75</v>
      </c>
      <c r="J4132" s="2" t="s">
        <v>76</v>
      </c>
      <c r="K4132" s="2" t="s">
        <v>77</v>
      </c>
      <c r="L4132" s="2" t="s">
        <v>1202</v>
      </c>
      <c r="M4132" s="2" t="s">
        <v>1203</v>
      </c>
      <c r="N4132" s="2" t="s">
        <v>1418</v>
      </c>
      <c r="O4132" s="2" t="s">
        <v>100</v>
      </c>
      <c r="P4132" s="2" t="str">
        <f>"2170581477                    "</f>
        <v xml:space="preserve">2170581477                    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3.13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0</v>
      </c>
      <c r="AU4132" s="2">
        <v>0</v>
      </c>
      <c r="AV4132" s="2">
        <v>0</v>
      </c>
      <c r="AW4132" s="2">
        <v>0</v>
      </c>
      <c r="AX4132" s="2">
        <v>0</v>
      </c>
      <c r="AY4132" s="2">
        <v>0</v>
      </c>
      <c r="AZ4132" s="2">
        <v>0</v>
      </c>
      <c r="BA4132" s="2">
        <v>0</v>
      </c>
      <c r="BB4132" s="2">
        <v>0</v>
      </c>
      <c r="BC4132" s="2">
        <v>0</v>
      </c>
      <c r="BD4132" s="2">
        <v>0</v>
      </c>
      <c r="BE4132" s="2">
        <v>0</v>
      </c>
      <c r="BF4132" s="2">
        <v>0</v>
      </c>
      <c r="BG4132" s="2">
        <v>0</v>
      </c>
      <c r="BH4132" s="2">
        <v>1</v>
      </c>
      <c r="BI4132" s="2">
        <v>1</v>
      </c>
      <c r="BJ4132" s="2">
        <v>0.2</v>
      </c>
      <c r="BK4132" s="2">
        <v>1</v>
      </c>
      <c r="BL4132" s="2">
        <v>32.380000000000003</v>
      </c>
      <c r="BM4132" s="2">
        <v>4.53</v>
      </c>
      <c r="BN4132" s="2">
        <v>36.909999999999997</v>
      </c>
      <c r="BO4132" s="2">
        <v>36.909999999999997</v>
      </c>
      <c r="BP4132" s="2"/>
      <c r="BQ4132" s="2" t="s">
        <v>108</v>
      </c>
      <c r="BR4132" s="2" t="s">
        <v>84</v>
      </c>
      <c r="BS4132" s="3">
        <v>42950</v>
      </c>
      <c r="BT4132" s="4">
        <v>0.29583333333333334</v>
      </c>
      <c r="BU4132" s="2" t="s">
        <v>3872</v>
      </c>
      <c r="BV4132" s="2" t="s">
        <v>95</v>
      </c>
      <c r="BW4132" s="2"/>
      <c r="BX4132" s="2"/>
      <c r="BY4132" s="2">
        <v>1200</v>
      </c>
      <c r="BZ4132" s="2" t="s">
        <v>27</v>
      </c>
      <c r="CA4132" s="2" t="s">
        <v>499</v>
      </c>
      <c r="CB4132" s="2"/>
      <c r="CC4132" s="2" t="s">
        <v>1203</v>
      </c>
      <c r="CD4132" s="2">
        <v>1500</v>
      </c>
      <c r="CE4132" s="2" t="s">
        <v>104</v>
      </c>
      <c r="CF4132" s="5">
        <v>42951</v>
      </c>
      <c r="CG4132" s="2"/>
      <c r="CH4132" s="2"/>
      <c r="CI4132" s="2">
        <v>1</v>
      </c>
      <c r="CJ4132" s="2">
        <v>1</v>
      </c>
      <c r="CK4132" s="2">
        <v>22</v>
      </c>
      <c r="CL4132" s="2" t="s">
        <v>86</v>
      </c>
      <c r="CM4132" s="2"/>
    </row>
    <row r="4133" spans="1:91">
      <c r="A4133" s="2" t="s">
        <v>71</v>
      </c>
      <c r="B4133" s="2" t="s">
        <v>72</v>
      </c>
      <c r="C4133" s="2" t="s">
        <v>73</v>
      </c>
      <c r="D4133" s="2"/>
      <c r="E4133" s="2" t="str">
        <f>"FES1162566168"</f>
        <v>FES1162566168</v>
      </c>
      <c r="F4133" s="3">
        <v>42949</v>
      </c>
      <c r="G4133" s="2">
        <v>201802</v>
      </c>
      <c r="H4133" s="2" t="s">
        <v>74</v>
      </c>
      <c r="I4133" s="2" t="s">
        <v>75</v>
      </c>
      <c r="J4133" s="2" t="s">
        <v>76</v>
      </c>
      <c r="K4133" s="2" t="s">
        <v>77</v>
      </c>
      <c r="L4133" s="2" t="s">
        <v>74</v>
      </c>
      <c r="M4133" s="2" t="s">
        <v>75</v>
      </c>
      <c r="N4133" s="2" t="s">
        <v>821</v>
      </c>
      <c r="O4133" s="2" t="s">
        <v>100</v>
      </c>
      <c r="P4133" s="2" t="str">
        <f>"2170580699                    "</f>
        <v xml:space="preserve">2170580699                    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3.13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0</v>
      </c>
      <c r="AU4133" s="2">
        <v>0</v>
      </c>
      <c r="AV4133" s="2">
        <v>0</v>
      </c>
      <c r="AW4133" s="2">
        <v>0</v>
      </c>
      <c r="AX4133" s="2">
        <v>0</v>
      </c>
      <c r="AY4133" s="2">
        <v>0</v>
      </c>
      <c r="AZ4133" s="2">
        <v>0</v>
      </c>
      <c r="BA4133" s="2">
        <v>0</v>
      </c>
      <c r="BB4133" s="2">
        <v>0</v>
      </c>
      <c r="BC4133" s="2">
        <v>0</v>
      </c>
      <c r="BD4133" s="2">
        <v>0</v>
      </c>
      <c r="BE4133" s="2">
        <v>0</v>
      </c>
      <c r="BF4133" s="2">
        <v>0</v>
      </c>
      <c r="BG4133" s="2">
        <v>0</v>
      </c>
      <c r="BH4133" s="2">
        <v>1</v>
      </c>
      <c r="BI4133" s="2">
        <v>1</v>
      </c>
      <c r="BJ4133" s="2">
        <v>0.2</v>
      </c>
      <c r="BK4133" s="2">
        <v>1</v>
      </c>
      <c r="BL4133" s="2">
        <v>32.380000000000003</v>
      </c>
      <c r="BM4133" s="2">
        <v>4.53</v>
      </c>
      <c r="BN4133" s="2">
        <v>36.909999999999997</v>
      </c>
      <c r="BO4133" s="2">
        <v>36.909999999999997</v>
      </c>
      <c r="BP4133" s="2"/>
      <c r="BQ4133" s="2" t="s">
        <v>108</v>
      </c>
      <c r="BR4133" s="2" t="s">
        <v>84</v>
      </c>
      <c r="BS4133" s="3">
        <v>42950</v>
      </c>
      <c r="BT4133" s="4">
        <v>0.32500000000000001</v>
      </c>
      <c r="BU4133" s="2" t="s">
        <v>1435</v>
      </c>
      <c r="BV4133" s="2" t="s">
        <v>95</v>
      </c>
      <c r="BW4133" s="2"/>
      <c r="BX4133" s="2"/>
      <c r="BY4133" s="2">
        <v>1200</v>
      </c>
      <c r="BZ4133" s="2" t="s">
        <v>27</v>
      </c>
      <c r="CA4133" s="2"/>
      <c r="CB4133" s="2"/>
      <c r="CC4133" s="2" t="s">
        <v>75</v>
      </c>
      <c r="CD4133" s="2">
        <v>1665</v>
      </c>
      <c r="CE4133" s="2" t="s">
        <v>104</v>
      </c>
      <c r="CF4133" s="5">
        <v>42950</v>
      </c>
      <c r="CG4133" s="2"/>
      <c r="CH4133" s="2"/>
      <c r="CI4133" s="2">
        <v>1</v>
      </c>
      <c r="CJ4133" s="2">
        <v>1</v>
      </c>
      <c r="CK4133" s="2">
        <v>22</v>
      </c>
      <c r="CL4133" s="2" t="s">
        <v>86</v>
      </c>
      <c r="CM4133" s="2"/>
    </row>
    <row r="4134" spans="1:91">
      <c r="A4134" s="2" t="s">
        <v>71</v>
      </c>
      <c r="B4134" s="2" t="s">
        <v>72</v>
      </c>
      <c r="C4134" s="2" t="s">
        <v>73</v>
      </c>
      <c r="D4134" s="2"/>
      <c r="E4134" s="2" t="str">
        <f>"FES1162566212"</f>
        <v>FES1162566212</v>
      </c>
      <c r="F4134" s="3">
        <v>42949</v>
      </c>
      <c r="G4134" s="2">
        <v>201802</v>
      </c>
      <c r="H4134" s="2" t="s">
        <v>74</v>
      </c>
      <c r="I4134" s="2" t="s">
        <v>75</v>
      </c>
      <c r="J4134" s="2" t="s">
        <v>76</v>
      </c>
      <c r="K4134" s="2" t="s">
        <v>77</v>
      </c>
      <c r="L4134" s="2" t="s">
        <v>244</v>
      </c>
      <c r="M4134" s="2" t="s">
        <v>245</v>
      </c>
      <c r="N4134" s="2" t="s">
        <v>246</v>
      </c>
      <c r="O4134" s="2" t="s">
        <v>100</v>
      </c>
      <c r="P4134" s="2" t="str">
        <f>"2170582192                    "</f>
        <v xml:space="preserve">2170582192                    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0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3.13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0</v>
      </c>
      <c r="AU4134" s="2">
        <v>0</v>
      </c>
      <c r="AV4134" s="2">
        <v>0</v>
      </c>
      <c r="AW4134" s="2">
        <v>0</v>
      </c>
      <c r="AX4134" s="2">
        <v>0</v>
      </c>
      <c r="AY4134" s="2">
        <v>0</v>
      </c>
      <c r="AZ4134" s="2">
        <v>0</v>
      </c>
      <c r="BA4134" s="2">
        <v>0</v>
      </c>
      <c r="BB4134" s="2">
        <v>0</v>
      </c>
      <c r="BC4134" s="2">
        <v>0</v>
      </c>
      <c r="BD4134" s="2">
        <v>0</v>
      </c>
      <c r="BE4134" s="2">
        <v>0</v>
      </c>
      <c r="BF4134" s="2">
        <v>0</v>
      </c>
      <c r="BG4134" s="2">
        <v>0</v>
      </c>
      <c r="BH4134" s="2">
        <v>1</v>
      </c>
      <c r="BI4134" s="2">
        <v>1</v>
      </c>
      <c r="BJ4134" s="2">
        <v>0.2</v>
      </c>
      <c r="BK4134" s="2">
        <v>1</v>
      </c>
      <c r="BL4134" s="2">
        <v>32.380000000000003</v>
      </c>
      <c r="BM4134" s="2">
        <v>4.53</v>
      </c>
      <c r="BN4134" s="2">
        <v>36.909999999999997</v>
      </c>
      <c r="BO4134" s="2">
        <v>36.909999999999997</v>
      </c>
      <c r="BP4134" s="2"/>
      <c r="BQ4134" s="2" t="s">
        <v>108</v>
      </c>
      <c r="BR4134" s="2" t="s">
        <v>84</v>
      </c>
      <c r="BS4134" s="3">
        <v>42950</v>
      </c>
      <c r="BT4134" s="4">
        <v>0.42986111111111108</v>
      </c>
      <c r="BU4134" s="2" t="s">
        <v>740</v>
      </c>
      <c r="BV4134" s="2" t="s">
        <v>95</v>
      </c>
      <c r="BW4134" s="2"/>
      <c r="BX4134" s="2"/>
      <c r="BY4134" s="2">
        <v>1200</v>
      </c>
      <c r="BZ4134" s="2" t="s">
        <v>27</v>
      </c>
      <c r="CA4134" s="2" t="s">
        <v>499</v>
      </c>
      <c r="CB4134" s="2"/>
      <c r="CC4134" s="2" t="s">
        <v>245</v>
      </c>
      <c r="CD4134" s="2">
        <v>1459</v>
      </c>
      <c r="CE4134" s="2" t="s">
        <v>104</v>
      </c>
      <c r="CF4134" s="5">
        <v>42951</v>
      </c>
      <c r="CG4134" s="2"/>
      <c r="CH4134" s="2"/>
      <c r="CI4134" s="2">
        <v>1</v>
      </c>
      <c r="CJ4134" s="2">
        <v>1</v>
      </c>
      <c r="CK4134" s="2">
        <v>22</v>
      </c>
      <c r="CL4134" s="2" t="s">
        <v>86</v>
      </c>
      <c r="CM4134" s="2"/>
    </row>
    <row r="4135" spans="1:91">
      <c r="A4135" s="2" t="s">
        <v>71</v>
      </c>
      <c r="B4135" s="2" t="s">
        <v>72</v>
      </c>
      <c r="C4135" s="2" t="s">
        <v>73</v>
      </c>
      <c r="D4135" s="2"/>
      <c r="E4135" s="2" t="str">
        <f>"FES1162566234"</f>
        <v>FES1162566234</v>
      </c>
      <c r="F4135" s="3">
        <v>42949</v>
      </c>
      <c r="G4135" s="2">
        <v>201802</v>
      </c>
      <c r="H4135" s="2" t="s">
        <v>74</v>
      </c>
      <c r="I4135" s="2" t="s">
        <v>75</v>
      </c>
      <c r="J4135" s="2" t="s">
        <v>76</v>
      </c>
      <c r="K4135" s="2" t="s">
        <v>77</v>
      </c>
      <c r="L4135" s="2" t="s">
        <v>97</v>
      </c>
      <c r="M4135" s="2" t="s">
        <v>98</v>
      </c>
      <c r="N4135" s="2" t="s">
        <v>500</v>
      </c>
      <c r="O4135" s="2" t="s">
        <v>100</v>
      </c>
      <c r="P4135" s="2" t="str">
        <f>"2170582376                    "</f>
        <v xml:space="preserve">2170582376                    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4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0</v>
      </c>
      <c r="AU4135" s="2">
        <v>0</v>
      </c>
      <c r="AV4135" s="2">
        <v>0</v>
      </c>
      <c r="AW4135" s="2">
        <v>0</v>
      </c>
      <c r="AX4135" s="2">
        <v>0</v>
      </c>
      <c r="AY4135" s="2">
        <v>0</v>
      </c>
      <c r="AZ4135" s="2">
        <v>0</v>
      </c>
      <c r="BA4135" s="2">
        <v>0</v>
      </c>
      <c r="BB4135" s="2">
        <v>0</v>
      </c>
      <c r="BC4135" s="2">
        <v>0</v>
      </c>
      <c r="BD4135" s="2">
        <v>0</v>
      </c>
      <c r="BE4135" s="2">
        <v>0</v>
      </c>
      <c r="BF4135" s="2">
        <v>0</v>
      </c>
      <c r="BG4135" s="2">
        <v>0</v>
      </c>
      <c r="BH4135" s="2">
        <v>1</v>
      </c>
      <c r="BI4135" s="2">
        <v>1</v>
      </c>
      <c r="BJ4135" s="2">
        <v>0.2</v>
      </c>
      <c r="BK4135" s="2">
        <v>1</v>
      </c>
      <c r="BL4135" s="2">
        <v>41.44</v>
      </c>
      <c r="BM4135" s="2">
        <v>5.8</v>
      </c>
      <c r="BN4135" s="2">
        <v>47.24</v>
      </c>
      <c r="BO4135" s="2">
        <v>47.24</v>
      </c>
      <c r="BP4135" s="2"/>
      <c r="BQ4135" s="2" t="s">
        <v>1321</v>
      </c>
      <c r="BR4135" s="2" t="s">
        <v>84</v>
      </c>
      <c r="BS4135" s="3">
        <v>42950</v>
      </c>
      <c r="BT4135" s="4">
        <v>0.3611111111111111</v>
      </c>
      <c r="BU4135" s="2" t="s">
        <v>2381</v>
      </c>
      <c r="BV4135" s="2" t="s">
        <v>95</v>
      </c>
      <c r="BW4135" s="2"/>
      <c r="BX4135" s="2"/>
      <c r="BY4135" s="2">
        <v>1200</v>
      </c>
      <c r="BZ4135" s="2" t="s">
        <v>27</v>
      </c>
      <c r="CA4135" s="2" t="s">
        <v>294</v>
      </c>
      <c r="CB4135" s="2"/>
      <c r="CC4135" s="2" t="s">
        <v>98</v>
      </c>
      <c r="CD4135" s="2">
        <v>6001</v>
      </c>
      <c r="CE4135" s="2" t="s">
        <v>104</v>
      </c>
      <c r="CF4135" s="5">
        <v>42951</v>
      </c>
      <c r="CG4135" s="2"/>
      <c r="CH4135" s="2"/>
      <c r="CI4135" s="2">
        <v>1</v>
      </c>
      <c r="CJ4135" s="2">
        <v>1</v>
      </c>
      <c r="CK4135" s="2">
        <v>21</v>
      </c>
      <c r="CL4135" s="2" t="s">
        <v>86</v>
      </c>
      <c r="CM4135" s="2"/>
    </row>
    <row r="4136" spans="1:91">
      <c r="A4136" s="2" t="s">
        <v>71</v>
      </c>
      <c r="B4136" s="2" t="s">
        <v>72</v>
      </c>
      <c r="C4136" s="2" t="s">
        <v>73</v>
      </c>
      <c r="D4136" s="2"/>
      <c r="E4136" s="2" t="str">
        <f>"FES1162566182"</f>
        <v>FES1162566182</v>
      </c>
      <c r="F4136" s="3">
        <v>42949</v>
      </c>
      <c r="G4136" s="2">
        <v>201802</v>
      </c>
      <c r="H4136" s="2" t="s">
        <v>74</v>
      </c>
      <c r="I4136" s="2" t="s">
        <v>75</v>
      </c>
      <c r="J4136" s="2" t="s">
        <v>76</v>
      </c>
      <c r="K4136" s="2" t="s">
        <v>77</v>
      </c>
      <c r="L4136" s="2" t="s">
        <v>170</v>
      </c>
      <c r="M4136" s="2" t="s">
        <v>171</v>
      </c>
      <c r="N4136" s="2" t="s">
        <v>2592</v>
      </c>
      <c r="O4136" s="2" t="s">
        <v>100</v>
      </c>
      <c r="P4136" s="2" t="str">
        <f>"2170581332                    "</f>
        <v xml:space="preserve">2170581332                    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3.13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0</v>
      </c>
      <c r="AU4136" s="2">
        <v>0</v>
      </c>
      <c r="AV4136" s="2">
        <v>0</v>
      </c>
      <c r="AW4136" s="2">
        <v>0</v>
      </c>
      <c r="AX4136" s="2">
        <v>0</v>
      </c>
      <c r="AY4136" s="2">
        <v>0</v>
      </c>
      <c r="AZ4136" s="2">
        <v>0</v>
      </c>
      <c r="BA4136" s="2">
        <v>0</v>
      </c>
      <c r="BB4136" s="2">
        <v>0</v>
      </c>
      <c r="BC4136" s="2">
        <v>0</v>
      </c>
      <c r="BD4136" s="2">
        <v>0</v>
      </c>
      <c r="BE4136" s="2">
        <v>0</v>
      </c>
      <c r="BF4136" s="2">
        <v>0</v>
      </c>
      <c r="BG4136" s="2">
        <v>0</v>
      </c>
      <c r="BH4136" s="2">
        <v>1</v>
      </c>
      <c r="BI4136" s="2">
        <v>2</v>
      </c>
      <c r="BJ4136" s="2">
        <v>1.3</v>
      </c>
      <c r="BK4136" s="2">
        <v>2</v>
      </c>
      <c r="BL4136" s="2">
        <v>32.380000000000003</v>
      </c>
      <c r="BM4136" s="2">
        <v>4.53</v>
      </c>
      <c r="BN4136" s="2">
        <v>36.909999999999997</v>
      </c>
      <c r="BO4136" s="2">
        <v>36.909999999999997</v>
      </c>
      <c r="BP4136" s="2" t="s">
        <v>82</v>
      </c>
      <c r="BQ4136" s="2" t="s">
        <v>83</v>
      </c>
      <c r="BR4136" s="2" t="s">
        <v>84</v>
      </c>
      <c r="BS4136" s="3">
        <v>42950</v>
      </c>
      <c r="BT4136" s="4">
        <v>0.3972222222222222</v>
      </c>
      <c r="BU4136" s="2" t="s">
        <v>1360</v>
      </c>
      <c r="BV4136" s="2" t="s">
        <v>95</v>
      </c>
      <c r="BW4136" s="2"/>
      <c r="BX4136" s="2"/>
      <c r="BY4136" s="2">
        <v>6697.15</v>
      </c>
      <c r="BZ4136" s="2" t="s">
        <v>27</v>
      </c>
      <c r="CA4136" s="2" t="s">
        <v>1617</v>
      </c>
      <c r="CB4136" s="2"/>
      <c r="CC4136" s="2" t="s">
        <v>171</v>
      </c>
      <c r="CD4136" s="2">
        <v>1401</v>
      </c>
      <c r="CE4136" s="2" t="s">
        <v>89</v>
      </c>
      <c r="CF4136" s="5">
        <v>42951</v>
      </c>
      <c r="CG4136" s="2"/>
      <c r="CH4136" s="2"/>
      <c r="CI4136" s="2">
        <v>1</v>
      </c>
      <c r="CJ4136" s="2">
        <v>1</v>
      </c>
      <c r="CK4136" s="2">
        <v>22</v>
      </c>
      <c r="CL4136" s="2" t="s">
        <v>86</v>
      </c>
      <c r="CM4136" s="2"/>
    </row>
    <row r="4137" spans="1:91">
      <c r="A4137" s="2" t="s">
        <v>71</v>
      </c>
      <c r="B4137" s="2" t="s">
        <v>72</v>
      </c>
      <c r="C4137" s="2" t="s">
        <v>73</v>
      </c>
      <c r="D4137" s="2"/>
      <c r="E4137" s="2" t="str">
        <f>"FES1162566166"</f>
        <v>FES1162566166</v>
      </c>
      <c r="F4137" s="3">
        <v>42949</v>
      </c>
      <c r="G4137" s="2">
        <v>201802</v>
      </c>
      <c r="H4137" s="2" t="s">
        <v>74</v>
      </c>
      <c r="I4137" s="2" t="s">
        <v>75</v>
      </c>
      <c r="J4137" s="2" t="s">
        <v>76</v>
      </c>
      <c r="K4137" s="2" t="s">
        <v>77</v>
      </c>
      <c r="L4137" s="2" t="s">
        <v>78</v>
      </c>
      <c r="M4137" s="2" t="s">
        <v>79</v>
      </c>
      <c r="N4137" s="2" t="s">
        <v>450</v>
      </c>
      <c r="O4137" s="2" t="s">
        <v>100</v>
      </c>
      <c r="P4137" s="2" t="str">
        <f>"2170580694                    "</f>
        <v xml:space="preserve">2170580694                    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4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0</v>
      </c>
      <c r="AU4137" s="2">
        <v>0</v>
      </c>
      <c r="AV4137" s="2">
        <v>0</v>
      </c>
      <c r="AW4137" s="2">
        <v>0</v>
      </c>
      <c r="AX4137" s="2">
        <v>0</v>
      </c>
      <c r="AY4137" s="2">
        <v>0</v>
      </c>
      <c r="AZ4137" s="2">
        <v>0</v>
      </c>
      <c r="BA4137" s="2">
        <v>0</v>
      </c>
      <c r="BB4137" s="2">
        <v>0</v>
      </c>
      <c r="BC4137" s="2">
        <v>0</v>
      </c>
      <c r="BD4137" s="2">
        <v>0</v>
      </c>
      <c r="BE4137" s="2">
        <v>0</v>
      </c>
      <c r="BF4137" s="2">
        <v>0</v>
      </c>
      <c r="BG4137" s="2">
        <v>0</v>
      </c>
      <c r="BH4137" s="2">
        <v>1</v>
      </c>
      <c r="BI4137" s="2">
        <v>1</v>
      </c>
      <c r="BJ4137" s="2">
        <v>0.2</v>
      </c>
      <c r="BK4137" s="2">
        <v>1</v>
      </c>
      <c r="BL4137" s="2">
        <v>41.44</v>
      </c>
      <c r="BM4137" s="2">
        <v>5.8</v>
      </c>
      <c r="BN4137" s="2">
        <v>47.24</v>
      </c>
      <c r="BO4137" s="2">
        <v>47.24</v>
      </c>
      <c r="BP4137" s="2"/>
      <c r="BQ4137" s="2" t="s">
        <v>451</v>
      </c>
      <c r="BR4137" s="2" t="s">
        <v>84</v>
      </c>
      <c r="BS4137" s="3">
        <v>42950</v>
      </c>
      <c r="BT4137" s="4">
        <v>0.38958333333333334</v>
      </c>
      <c r="BU4137" s="2" t="s">
        <v>236</v>
      </c>
      <c r="BV4137" s="2" t="s">
        <v>95</v>
      </c>
      <c r="BW4137" s="2"/>
      <c r="BX4137" s="2"/>
      <c r="BY4137" s="2">
        <v>1200</v>
      </c>
      <c r="BZ4137" s="2" t="s">
        <v>27</v>
      </c>
      <c r="CA4137" s="2" t="s">
        <v>518</v>
      </c>
      <c r="CB4137" s="2"/>
      <c r="CC4137" s="2" t="s">
        <v>79</v>
      </c>
      <c r="CD4137" s="2">
        <v>9300</v>
      </c>
      <c r="CE4137" s="2" t="s">
        <v>104</v>
      </c>
      <c r="CF4137" s="5">
        <v>42951</v>
      </c>
      <c r="CG4137" s="2"/>
      <c r="CH4137" s="2"/>
      <c r="CI4137" s="2">
        <v>1</v>
      </c>
      <c r="CJ4137" s="2">
        <v>1</v>
      </c>
      <c r="CK4137" s="2">
        <v>21</v>
      </c>
      <c r="CL4137" s="2" t="s">
        <v>86</v>
      </c>
      <c r="CM4137" s="2"/>
    </row>
    <row r="4138" spans="1:91">
      <c r="A4138" s="2" t="s">
        <v>71</v>
      </c>
      <c r="B4138" s="2" t="s">
        <v>72</v>
      </c>
      <c r="C4138" s="2" t="s">
        <v>73</v>
      </c>
      <c r="D4138" s="2"/>
      <c r="E4138" s="2" t="str">
        <f>"FES1162566178"</f>
        <v>FES1162566178</v>
      </c>
      <c r="F4138" s="3">
        <v>42949</v>
      </c>
      <c r="G4138" s="2">
        <v>201802</v>
      </c>
      <c r="H4138" s="2" t="s">
        <v>74</v>
      </c>
      <c r="I4138" s="2" t="s">
        <v>75</v>
      </c>
      <c r="J4138" s="2" t="s">
        <v>76</v>
      </c>
      <c r="K4138" s="2" t="s">
        <v>77</v>
      </c>
      <c r="L4138" s="2" t="s">
        <v>216</v>
      </c>
      <c r="M4138" s="2" t="s">
        <v>217</v>
      </c>
      <c r="N4138" s="2" t="s">
        <v>1111</v>
      </c>
      <c r="O4138" s="2" t="s">
        <v>100</v>
      </c>
      <c r="P4138" s="2" t="str">
        <f>"2170581257                    "</f>
        <v xml:space="preserve">2170581257                    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0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3.13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0</v>
      </c>
      <c r="AU4138" s="2">
        <v>0</v>
      </c>
      <c r="AV4138" s="2">
        <v>0</v>
      </c>
      <c r="AW4138" s="2">
        <v>0</v>
      </c>
      <c r="AX4138" s="2">
        <v>0</v>
      </c>
      <c r="AY4138" s="2">
        <v>0</v>
      </c>
      <c r="AZ4138" s="2">
        <v>0</v>
      </c>
      <c r="BA4138" s="2">
        <v>0</v>
      </c>
      <c r="BB4138" s="2">
        <v>0</v>
      </c>
      <c r="BC4138" s="2">
        <v>0</v>
      </c>
      <c r="BD4138" s="2">
        <v>0</v>
      </c>
      <c r="BE4138" s="2">
        <v>0</v>
      </c>
      <c r="BF4138" s="2">
        <v>0</v>
      </c>
      <c r="BG4138" s="2">
        <v>0</v>
      </c>
      <c r="BH4138" s="2">
        <v>1</v>
      </c>
      <c r="BI4138" s="2">
        <v>1</v>
      </c>
      <c r="BJ4138" s="2">
        <v>0.2</v>
      </c>
      <c r="BK4138" s="2">
        <v>1</v>
      </c>
      <c r="BL4138" s="2">
        <v>32.380000000000003</v>
      </c>
      <c r="BM4138" s="2">
        <v>4.53</v>
      </c>
      <c r="BN4138" s="2">
        <v>36.909999999999997</v>
      </c>
      <c r="BO4138" s="2">
        <v>36.909999999999997</v>
      </c>
      <c r="BP4138" s="2"/>
      <c r="BQ4138" s="2" t="s">
        <v>83</v>
      </c>
      <c r="BR4138" s="2" t="s">
        <v>84</v>
      </c>
      <c r="BS4138" s="3">
        <v>42950</v>
      </c>
      <c r="BT4138" s="4">
        <v>0.4513888888888889</v>
      </c>
      <c r="BU4138" s="2" t="s">
        <v>3312</v>
      </c>
      <c r="BV4138" s="2" t="s">
        <v>95</v>
      </c>
      <c r="BW4138" s="2"/>
      <c r="BX4138" s="2"/>
      <c r="BY4138" s="2">
        <v>1200</v>
      </c>
      <c r="BZ4138" s="2" t="s">
        <v>27</v>
      </c>
      <c r="CA4138" s="2" t="s">
        <v>1217</v>
      </c>
      <c r="CB4138" s="2"/>
      <c r="CC4138" s="2" t="s">
        <v>217</v>
      </c>
      <c r="CD4138" s="2">
        <v>1541</v>
      </c>
      <c r="CE4138" s="2" t="s">
        <v>104</v>
      </c>
      <c r="CF4138" s="5">
        <v>42951</v>
      </c>
      <c r="CG4138" s="2"/>
      <c r="CH4138" s="2"/>
      <c r="CI4138" s="2">
        <v>1</v>
      </c>
      <c r="CJ4138" s="2">
        <v>1</v>
      </c>
      <c r="CK4138" s="2">
        <v>22</v>
      </c>
      <c r="CL4138" s="2" t="s">
        <v>86</v>
      </c>
      <c r="CM4138" s="2"/>
    </row>
    <row r="4139" spans="1:91">
      <c r="A4139" s="2" t="s">
        <v>71</v>
      </c>
      <c r="B4139" s="2" t="s">
        <v>72</v>
      </c>
      <c r="C4139" s="2" t="s">
        <v>73</v>
      </c>
      <c r="D4139" s="2"/>
      <c r="E4139" s="2" t="str">
        <f>"FES1162566206"</f>
        <v>FES1162566206</v>
      </c>
      <c r="F4139" s="3">
        <v>42949</v>
      </c>
      <c r="G4139" s="2">
        <v>201802</v>
      </c>
      <c r="H4139" s="2" t="s">
        <v>74</v>
      </c>
      <c r="I4139" s="2" t="s">
        <v>75</v>
      </c>
      <c r="J4139" s="2" t="s">
        <v>76</v>
      </c>
      <c r="K4139" s="2" t="s">
        <v>77</v>
      </c>
      <c r="L4139" s="2" t="s">
        <v>321</v>
      </c>
      <c r="M4139" s="2" t="s">
        <v>322</v>
      </c>
      <c r="N4139" s="2" t="s">
        <v>323</v>
      </c>
      <c r="O4139" s="2" t="s">
        <v>100</v>
      </c>
      <c r="P4139" s="2" t="str">
        <f>"2170582128                    "</f>
        <v xml:space="preserve">2170582128                    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4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0</v>
      </c>
      <c r="AU4139" s="2">
        <v>0</v>
      </c>
      <c r="AV4139" s="2">
        <v>0</v>
      </c>
      <c r="AW4139" s="2">
        <v>0</v>
      </c>
      <c r="AX4139" s="2">
        <v>0</v>
      </c>
      <c r="AY4139" s="2">
        <v>0</v>
      </c>
      <c r="AZ4139" s="2">
        <v>0</v>
      </c>
      <c r="BA4139" s="2">
        <v>0</v>
      </c>
      <c r="BB4139" s="2">
        <v>0</v>
      </c>
      <c r="BC4139" s="2">
        <v>0</v>
      </c>
      <c r="BD4139" s="2">
        <v>0</v>
      </c>
      <c r="BE4139" s="2">
        <v>0</v>
      </c>
      <c r="BF4139" s="2">
        <v>0</v>
      </c>
      <c r="BG4139" s="2">
        <v>0</v>
      </c>
      <c r="BH4139" s="2">
        <v>1</v>
      </c>
      <c r="BI4139" s="2">
        <v>1</v>
      </c>
      <c r="BJ4139" s="2">
        <v>0.2</v>
      </c>
      <c r="BK4139" s="2">
        <v>1</v>
      </c>
      <c r="BL4139" s="2">
        <v>41.44</v>
      </c>
      <c r="BM4139" s="2">
        <v>5.8</v>
      </c>
      <c r="BN4139" s="2">
        <v>47.24</v>
      </c>
      <c r="BO4139" s="2">
        <v>47.24</v>
      </c>
      <c r="BP4139" s="2"/>
      <c r="BQ4139" s="2" t="s">
        <v>3643</v>
      </c>
      <c r="BR4139" s="2" t="s">
        <v>84</v>
      </c>
      <c r="BS4139" s="3">
        <v>42950</v>
      </c>
      <c r="BT4139" s="4">
        <v>0.4236111111111111</v>
      </c>
      <c r="BU4139" s="2" t="s">
        <v>324</v>
      </c>
      <c r="BV4139" s="2" t="s">
        <v>95</v>
      </c>
      <c r="BW4139" s="2"/>
      <c r="BX4139" s="2"/>
      <c r="BY4139" s="2">
        <v>1200</v>
      </c>
      <c r="BZ4139" s="2" t="s">
        <v>27</v>
      </c>
      <c r="CA4139" s="2" t="s">
        <v>103</v>
      </c>
      <c r="CB4139" s="2"/>
      <c r="CC4139" s="2" t="s">
        <v>322</v>
      </c>
      <c r="CD4139" s="2">
        <v>6220</v>
      </c>
      <c r="CE4139" s="2" t="s">
        <v>104</v>
      </c>
      <c r="CF4139" s="5">
        <v>42951</v>
      </c>
      <c r="CG4139" s="2"/>
      <c r="CH4139" s="2"/>
      <c r="CI4139" s="2">
        <v>1</v>
      </c>
      <c r="CJ4139" s="2">
        <v>1</v>
      </c>
      <c r="CK4139" s="2">
        <v>21</v>
      </c>
      <c r="CL4139" s="2" t="s">
        <v>86</v>
      </c>
      <c r="CM4139" s="2"/>
    </row>
    <row r="4140" spans="1:91">
      <c r="A4140" s="2" t="s">
        <v>71</v>
      </c>
      <c r="B4140" s="2" t="s">
        <v>72</v>
      </c>
      <c r="C4140" s="2" t="s">
        <v>73</v>
      </c>
      <c r="D4140" s="2"/>
      <c r="E4140" s="2" t="str">
        <f>"FES1162566188"</f>
        <v>FES1162566188</v>
      </c>
      <c r="F4140" s="3">
        <v>42949</v>
      </c>
      <c r="G4140" s="2">
        <v>201802</v>
      </c>
      <c r="H4140" s="2" t="s">
        <v>74</v>
      </c>
      <c r="I4140" s="2" t="s">
        <v>75</v>
      </c>
      <c r="J4140" s="2" t="s">
        <v>76</v>
      </c>
      <c r="K4140" s="2" t="s">
        <v>77</v>
      </c>
      <c r="L4140" s="2" t="s">
        <v>170</v>
      </c>
      <c r="M4140" s="2" t="s">
        <v>171</v>
      </c>
      <c r="N4140" s="2" t="s">
        <v>821</v>
      </c>
      <c r="O4140" s="2" t="s">
        <v>100</v>
      </c>
      <c r="P4140" s="2" t="str">
        <f>"2170581607                    "</f>
        <v xml:space="preserve">2170581607                    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3.13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0</v>
      </c>
      <c r="AU4140" s="2">
        <v>0</v>
      </c>
      <c r="AV4140" s="2">
        <v>0</v>
      </c>
      <c r="AW4140" s="2">
        <v>0</v>
      </c>
      <c r="AX4140" s="2">
        <v>0</v>
      </c>
      <c r="AY4140" s="2">
        <v>0</v>
      </c>
      <c r="AZ4140" s="2">
        <v>0</v>
      </c>
      <c r="BA4140" s="2">
        <v>0</v>
      </c>
      <c r="BB4140" s="2">
        <v>0</v>
      </c>
      <c r="BC4140" s="2">
        <v>0</v>
      </c>
      <c r="BD4140" s="2">
        <v>0</v>
      </c>
      <c r="BE4140" s="2">
        <v>0</v>
      </c>
      <c r="BF4140" s="2">
        <v>0</v>
      </c>
      <c r="BG4140" s="2">
        <v>0</v>
      </c>
      <c r="BH4140" s="2">
        <v>1</v>
      </c>
      <c r="BI4140" s="2">
        <v>1</v>
      </c>
      <c r="BJ4140" s="2">
        <v>0.2</v>
      </c>
      <c r="BK4140" s="2">
        <v>1</v>
      </c>
      <c r="BL4140" s="2">
        <v>32.380000000000003</v>
      </c>
      <c r="BM4140" s="2">
        <v>4.53</v>
      </c>
      <c r="BN4140" s="2">
        <v>36.909999999999997</v>
      </c>
      <c r="BO4140" s="2">
        <v>36.909999999999997</v>
      </c>
      <c r="BP4140" s="2"/>
      <c r="BQ4140" s="2" t="s">
        <v>83</v>
      </c>
      <c r="BR4140" s="2" t="s">
        <v>84</v>
      </c>
      <c r="BS4140" s="3">
        <v>42950</v>
      </c>
      <c r="BT4140" s="4">
        <v>0.4375</v>
      </c>
      <c r="BU4140" s="2" t="s">
        <v>1681</v>
      </c>
      <c r="BV4140" s="2" t="s">
        <v>95</v>
      </c>
      <c r="BW4140" s="2"/>
      <c r="BX4140" s="2"/>
      <c r="BY4140" s="2">
        <v>1200</v>
      </c>
      <c r="BZ4140" s="2" t="s">
        <v>27</v>
      </c>
      <c r="CA4140" s="2" t="s">
        <v>492</v>
      </c>
      <c r="CB4140" s="2"/>
      <c r="CC4140" s="2" t="s">
        <v>171</v>
      </c>
      <c r="CD4140" s="2">
        <v>1422</v>
      </c>
      <c r="CE4140" s="2" t="s">
        <v>104</v>
      </c>
      <c r="CF4140" s="5">
        <v>42951</v>
      </c>
      <c r="CG4140" s="2"/>
      <c r="CH4140" s="2"/>
      <c r="CI4140" s="2">
        <v>1</v>
      </c>
      <c r="CJ4140" s="2">
        <v>1</v>
      </c>
      <c r="CK4140" s="2">
        <v>22</v>
      </c>
      <c r="CL4140" s="2" t="s">
        <v>86</v>
      </c>
      <c r="CM4140" s="2"/>
    </row>
    <row r="4141" spans="1:91">
      <c r="A4141" s="2" t="s">
        <v>71</v>
      </c>
      <c r="B4141" s="2" t="s">
        <v>72</v>
      </c>
      <c r="C4141" s="2" t="s">
        <v>73</v>
      </c>
      <c r="D4141" s="2"/>
      <c r="E4141" s="2" t="str">
        <f>"FES1162566126"</f>
        <v>FES1162566126</v>
      </c>
      <c r="F4141" s="3">
        <v>42949</v>
      </c>
      <c r="G4141" s="2">
        <v>201802</v>
      </c>
      <c r="H4141" s="2" t="s">
        <v>74</v>
      </c>
      <c r="I4141" s="2" t="s">
        <v>75</v>
      </c>
      <c r="J4141" s="2" t="s">
        <v>76</v>
      </c>
      <c r="K4141" s="2" t="s">
        <v>77</v>
      </c>
      <c r="L4141" s="2" t="s">
        <v>510</v>
      </c>
      <c r="M4141" s="2" t="s">
        <v>511</v>
      </c>
      <c r="N4141" s="2" t="s">
        <v>583</v>
      </c>
      <c r="O4141" s="2" t="s">
        <v>100</v>
      </c>
      <c r="P4141" s="2" t="str">
        <f>"2170576922                    "</f>
        <v xml:space="preserve">2170576922                    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4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0</v>
      </c>
      <c r="AU4141" s="2">
        <v>0</v>
      </c>
      <c r="AV4141" s="2">
        <v>0</v>
      </c>
      <c r="AW4141" s="2">
        <v>0</v>
      </c>
      <c r="AX4141" s="2">
        <v>0</v>
      </c>
      <c r="AY4141" s="2">
        <v>0</v>
      </c>
      <c r="AZ4141" s="2">
        <v>0</v>
      </c>
      <c r="BA4141" s="2">
        <v>0</v>
      </c>
      <c r="BB4141" s="2">
        <v>0</v>
      </c>
      <c r="BC4141" s="2">
        <v>0</v>
      </c>
      <c r="BD4141" s="2">
        <v>0</v>
      </c>
      <c r="BE4141" s="2">
        <v>0</v>
      </c>
      <c r="BF4141" s="2">
        <v>0</v>
      </c>
      <c r="BG4141" s="2">
        <v>0</v>
      </c>
      <c r="BH4141" s="2">
        <v>1</v>
      </c>
      <c r="BI4141" s="2">
        <v>1</v>
      </c>
      <c r="BJ4141" s="2">
        <v>0.2</v>
      </c>
      <c r="BK4141" s="2">
        <v>1</v>
      </c>
      <c r="BL4141" s="2">
        <v>41.44</v>
      </c>
      <c r="BM4141" s="2">
        <v>5.8</v>
      </c>
      <c r="BN4141" s="2">
        <v>47.24</v>
      </c>
      <c r="BO4141" s="2">
        <v>47.24</v>
      </c>
      <c r="BP4141" s="2"/>
      <c r="BQ4141" s="2" t="s">
        <v>1505</v>
      </c>
      <c r="BR4141" s="2" t="s">
        <v>84</v>
      </c>
      <c r="BS4141" s="3">
        <v>42950</v>
      </c>
      <c r="BT4141" s="4">
        <v>0.32361111111111113</v>
      </c>
      <c r="BU4141" s="2" t="s">
        <v>584</v>
      </c>
      <c r="BV4141" s="2" t="s">
        <v>95</v>
      </c>
      <c r="BW4141" s="2"/>
      <c r="BX4141" s="2"/>
      <c r="BY4141" s="2">
        <v>1200</v>
      </c>
      <c r="BZ4141" s="2" t="s">
        <v>27</v>
      </c>
      <c r="CA4141" s="2" t="s">
        <v>514</v>
      </c>
      <c r="CB4141" s="2"/>
      <c r="CC4141" s="2" t="s">
        <v>511</v>
      </c>
      <c r="CD4141" s="2">
        <v>6229</v>
      </c>
      <c r="CE4141" s="2" t="s">
        <v>104</v>
      </c>
      <c r="CF4141" s="5">
        <v>42951</v>
      </c>
      <c r="CG4141" s="2"/>
      <c r="CH4141" s="2"/>
      <c r="CI4141" s="2">
        <v>1</v>
      </c>
      <c r="CJ4141" s="2">
        <v>1</v>
      </c>
      <c r="CK4141" s="2">
        <v>21</v>
      </c>
      <c r="CL4141" s="2" t="s">
        <v>86</v>
      </c>
      <c r="CM4141" s="2"/>
    </row>
    <row r="4142" spans="1:91">
      <c r="A4142" s="2" t="s">
        <v>71</v>
      </c>
      <c r="B4142" s="2" t="s">
        <v>72</v>
      </c>
      <c r="C4142" s="2" t="s">
        <v>73</v>
      </c>
      <c r="D4142" s="2"/>
      <c r="E4142" s="2" t="str">
        <f>"FES1162566123"</f>
        <v>FES1162566123</v>
      </c>
      <c r="F4142" s="3">
        <v>42949</v>
      </c>
      <c r="G4142" s="2">
        <v>201802</v>
      </c>
      <c r="H4142" s="2" t="s">
        <v>74</v>
      </c>
      <c r="I4142" s="2" t="s">
        <v>75</v>
      </c>
      <c r="J4142" s="2" t="s">
        <v>76</v>
      </c>
      <c r="K4142" s="2" t="s">
        <v>77</v>
      </c>
      <c r="L4142" s="2" t="s">
        <v>97</v>
      </c>
      <c r="M4142" s="2" t="s">
        <v>98</v>
      </c>
      <c r="N4142" s="2" t="s">
        <v>248</v>
      </c>
      <c r="O4142" s="2" t="s">
        <v>100</v>
      </c>
      <c r="P4142" s="2" t="str">
        <f>"2170575504                    "</f>
        <v xml:space="preserve">2170575504                    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4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0</v>
      </c>
      <c r="AU4142" s="2">
        <v>0</v>
      </c>
      <c r="AV4142" s="2">
        <v>0</v>
      </c>
      <c r="AW4142" s="2">
        <v>0</v>
      </c>
      <c r="AX4142" s="2">
        <v>0</v>
      </c>
      <c r="AY4142" s="2">
        <v>0</v>
      </c>
      <c r="AZ4142" s="2">
        <v>0</v>
      </c>
      <c r="BA4142" s="2">
        <v>0</v>
      </c>
      <c r="BB4142" s="2">
        <v>0</v>
      </c>
      <c r="BC4142" s="2">
        <v>0</v>
      </c>
      <c r="BD4142" s="2">
        <v>0</v>
      </c>
      <c r="BE4142" s="2">
        <v>0</v>
      </c>
      <c r="BF4142" s="2">
        <v>0</v>
      </c>
      <c r="BG4142" s="2">
        <v>0</v>
      </c>
      <c r="BH4142" s="2">
        <v>1</v>
      </c>
      <c r="BI4142" s="2">
        <v>1</v>
      </c>
      <c r="BJ4142" s="2">
        <v>0.2</v>
      </c>
      <c r="BK4142" s="2">
        <v>1</v>
      </c>
      <c r="BL4142" s="2">
        <v>41.44</v>
      </c>
      <c r="BM4142" s="2">
        <v>5.8</v>
      </c>
      <c r="BN4142" s="2">
        <v>47.24</v>
      </c>
      <c r="BO4142" s="2">
        <v>47.24</v>
      </c>
      <c r="BP4142" s="2"/>
      <c r="BQ4142" s="2" t="s">
        <v>83</v>
      </c>
      <c r="BR4142" s="2" t="s">
        <v>84</v>
      </c>
      <c r="BS4142" s="3">
        <v>42950</v>
      </c>
      <c r="BT4142" s="4">
        <v>0.33333333333333331</v>
      </c>
      <c r="BU4142" s="2" t="s">
        <v>390</v>
      </c>
      <c r="BV4142" s="2" t="s">
        <v>95</v>
      </c>
      <c r="BW4142" s="2"/>
      <c r="BX4142" s="2"/>
      <c r="BY4142" s="2">
        <v>1200</v>
      </c>
      <c r="BZ4142" s="2" t="s">
        <v>27</v>
      </c>
      <c r="CA4142" s="2" t="s">
        <v>294</v>
      </c>
      <c r="CB4142" s="2"/>
      <c r="CC4142" s="2" t="s">
        <v>98</v>
      </c>
      <c r="CD4142" s="2">
        <v>6001</v>
      </c>
      <c r="CE4142" s="2" t="s">
        <v>104</v>
      </c>
      <c r="CF4142" s="5">
        <v>42951</v>
      </c>
      <c r="CG4142" s="2"/>
      <c r="CH4142" s="2"/>
      <c r="CI4142" s="2">
        <v>1</v>
      </c>
      <c r="CJ4142" s="2">
        <v>1</v>
      </c>
      <c r="CK4142" s="2">
        <v>21</v>
      </c>
      <c r="CL4142" s="2" t="s">
        <v>86</v>
      </c>
      <c r="CM4142" s="2"/>
    </row>
    <row r="4143" spans="1:91">
      <c r="A4143" s="2" t="s">
        <v>71</v>
      </c>
      <c r="B4143" s="2" t="s">
        <v>72</v>
      </c>
      <c r="C4143" s="2" t="s">
        <v>73</v>
      </c>
      <c r="D4143" s="2"/>
      <c r="E4143" s="2" t="str">
        <f>"FES1162566235"</f>
        <v>FES1162566235</v>
      </c>
      <c r="F4143" s="3">
        <v>42949</v>
      </c>
      <c r="G4143" s="2">
        <v>201802</v>
      </c>
      <c r="H4143" s="2" t="s">
        <v>74</v>
      </c>
      <c r="I4143" s="2" t="s">
        <v>75</v>
      </c>
      <c r="J4143" s="2" t="s">
        <v>76</v>
      </c>
      <c r="K4143" s="2" t="s">
        <v>77</v>
      </c>
      <c r="L4143" s="2" t="s">
        <v>97</v>
      </c>
      <c r="M4143" s="2" t="s">
        <v>98</v>
      </c>
      <c r="N4143" s="2" t="s">
        <v>3310</v>
      </c>
      <c r="O4143" s="2" t="s">
        <v>100</v>
      </c>
      <c r="P4143" s="2" t="str">
        <f>"2170582382                    "</f>
        <v xml:space="preserve">2170582382                    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4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0</v>
      </c>
      <c r="AU4143" s="2">
        <v>0</v>
      </c>
      <c r="AV4143" s="2">
        <v>0</v>
      </c>
      <c r="AW4143" s="2">
        <v>0</v>
      </c>
      <c r="AX4143" s="2">
        <v>0</v>
      </c>
      <c r="AY4143" s="2">
        <v>0</v>
      </c>
      <c r="AZ4143" s="2">
        <v>0</v>
      </c>
      <c r="BA4143" s="2">
        <v>0</v>
      </c>
      <c r="BB4143" s="2">
        <v>0</v>
      </c>
      <c r="BC4143" s="2">
        <v>0</v>
      </c>
      <c r="BD4143" s="2">
        <v>0</v>
      </c>
      <c r="BE4143" s="2">
        <v>0</v>
      </c>
      <c r="BF4143" s="2">
        <v>0</v>
      </c>
      <c r="BG4143" s="2">
        <v>0</v>
      </c>
      <c r="BH4143" s="2">
        <v>1</v>
      </c>
      <c r="BI4143" s="2">
        <v>1</v>
      </c>
      <c r="BJ4143" s="2">
        <v>0.2</v>
      </c>
      <c r="BK4143" s="2">
        <v>1</v>
      </c>
      <c r="BL4143" s="2">
        <v>41.44</v>
      </c>
      <c r="BM4143" s="2">
        <v>5.8</v>
      </c>
      <c r="BN4143" s="2">
        <v>47.24</v>
      </c>
      <c r="BO4143" s="2">
        <v>47.24</v>
      </c>
      <c r="BP4143" s="2"/>
      <c r="BQ4143" s="2" t="s">
        <v>3873</v>
      </c>
      <c r="BR4143" s="2" t="s">
        <v>84</v>
      </c>
      <c r="BS4143" s="3">
        <v>42950</v>
      </c>
      <c r="BT4143" s="4">
        <v>0.4145833333333333</v>
      </c>
      <c r="BU4143" s="2" t="s">
        <v>3874</v>
      </c>
      <c r="BV4143" s="2" t="s">
        <v>95</v>
      </c>
      <c r="BW4143" s="2"/>
      <c r="BX4143" s="2"/>
      <c r="BY4143" s="2">
        <v>1200</v>
      </c>
      <c r="BZ4143" s="2" t="s">
        <v>27</v>
      </c>
      <c r="CA4143" s="2" t="s">
        <v>294</v>
      </c>
      <c r="CB4143" s="2"/>
      <c r="CC4143" s="2" t="s">
        <v>98</v>
      </c>
      <c r="CD4143" s="2">
        <v>6001</v>
      </c>
      <c r="CE4143" s="2" t="s">
        <v>104</v>
      </c>
      <c r="CF4143" s="5">
        <v>42951</v>
      </c>
      <c r="CG4143" s="2"/>
      <c r="CH4143" s="2"/>
      <c r="CI4143" s="2">
        <v>1</v>
      </c>
      <c r="CJ4143" s="2">
        <v>1</v>
      </c>
      <c r="CK4143" s="2">
        <v>21</v>
      </c>
      <c r="CL4143" s="2" t="s">
        <v>86</v>
      </c>
      <c r="CM4143" s="2"/>
    </row>
    <row r="4144" spans="1:91">
      <c r="A4144" s="2" t="s">
        <v>71</v>
      </c>
      <c r="B4144" s="2" t="s">
        <v>72</v>
      </c>
      <c r="C4144" s="2" t="s">
        <v>73</v>
      </c>
      <c r="D4144" s="2"/>
      <c r="E4144" s="2" t="str">
        <f>"FES1162566202"</f>
        <v>FES1162566202</v>
      </c>
      <c r="F4144" s="3">
        <v>42949</v>
      </c>
      <c r="G4144" s="2">
        <v>201802</v>
      </c>
      <c r="H4144" s="2" t="s">
        <v>74</v>
      </c>
      <c r="I4144" s="2" t="s">
        <v>75</v>
      </c>
      <c r="J4144" s="2" t="s">
        <v>76</v>
      </c>
      <c r="K4144" s="2" t="s">
        <v>77</v>
      </c>
      <c r="L4144" s="2" t="s">
        <v>97</v>
      </c>
      <c r="M4144" s="2" t="s">
        <v>98</v>
      </c>
      <c r="N4144" s="2" t="s">
        <v>1058</v>
      </c>
      <c r="O4144" s="2" t="s">
        <v>100</v>
      </c>
      <c r="P4144" s="2" t="str">
        <f>"2170581977                    "</f>
        <v xml:space="preserve">2170581977                    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6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0</v>
      </c>
      <c r="AU4144" s="2">
        <v>0</v>
      </c>
      <c r="AV4144" s="2">
        <v>0</v>
      </c>
      <c r="AW4144" s="2">
        <v>0</v>
      </c>
      <c r="AX4144" s="2">
        <v>0</v>
      </c>
      <c r="AY4144" s="2">
        <v>0</v>
      </c>
      <c r="AZ4144" s="2">
        <v>0</v>
      </c>
      <c r="BA4144" s="2">
        <v>0</v>
      </c>
      <c r="BB4144" s="2">
        <v>0</v>
      </c>
      <c r="BC4144" s="2">
        <v>0</v>
      </c>
      <c r="BD4144" s="2">
        <v>0</v>
      </c>
      <c r="BE4144" s="2">
        <v>0</v>
      </c>
      <c r="BF4144" s="2">
        <v>0</v>
      </c>
      <c r="BG4144" s="2">
        <v>0</v>
      </c>
      <c r="BH4144" s="2">
        <v>1</v>
      </c>
      <c r="BI4144" s="2">
        <v>2.8</v>
      </c>
      <c r="BJ4144" s="2">
        <v>1.7</v>
      </c>
      <c r="BK4144" s="2">
        <v>3</v>
      </c>
      <c r="BL4144" s="2">
        <v>62.16</v>
      </c>
      <c r="BM4144" s="2">
        <v>8.6999999999999993</v>
      </c>
      <c r="BN4144" s="2">
        <v>70.86</v>
      </c>
      <c r="BO4144" s="2">
        <v>70.86</v>
      </c>
      <c r="BP4144" s="2"/>
      <c r="BQ4144" s="2" t="s">
        <v>108</v>
      </c>
      <c r="BR4144" s="2" t="s">
        <v>84</v>
      </c>
      <c r="BS4144" s="3">
        <v>42950</v>
      </c>
      <c r="BT4144" s="4">
        <v>0.40833333333333338</v>
      </c>
      <c r="BU4144" s="2" t="s">
        <v>1060</v>
      </c>
      <c r="BV4144" s="2" t="s">
        <v>95</v>
      </c>
      <c r="BW4144" s="2"/>
      <c r="BX4144" s="2"/>
      <c r="BY4144" s="2">
        <v>8591.5400000000009</v>
      </c>
      <c r="BZ4144" s="2" t="s">
        <v>27</v>
      </c>
      <c r="CA4144" s="2" t="s">
        <v>103</v>
      </c>
      <c r="CB4144" s="2"/>
      <c r="CC4144" s="2" t="s">
        <v>98</v>
      </c>
      <c r="CD4144" s="2">
        <v>6001</v>
      </c>
      <c r="CE4144" s="2" t="s">
        <v>89</v>
      </c>
      <c r="CF4144" s="5">
        <v>42951</v>
      </c>
      <c r="CG4144" s="2"/>
      <c r="CH4144" s="2"/>
      <c r="CI4144" s="2">
        <v>1</v>
      </c>
      <c r="CJ4144" s="2">
        <v>1</v>
      </c>
      <c r="CK4144" s="2">
        <v>21</v>
      </c>
      <c r="CL4144" s="2" t="s">
        <v>86</v>
      </c>
      <c r="CM4144" s="2"/>
    </row>
    <row r="4145" spans="1:91">
      <c r="A4145" s="2" t="s">
        <v>71</v>
      </c>
      <c r="B4145" s="2" t="s">
        <v>72</v>
      </c>
      <c r="C4145" s="2" t="s">
        <v>73</v>
      </c>
      <c r="D4145" s="2"/>
      <c r="E4145" s="2" t="str">
        <f>"FES1162566280"</f>
        <v>FES1162566280</v>
      </c>
      <c r="F4145" s="3">
        <v>42949</v>
      </c>
      <c r="G4145" s="2">
        <v>201802</v>
      </c>
      <c r="H4145" s="2" t="s">
        <v>74</v>
      </c>
      <c r="I4145" s="2" t="s">
        <v>75</v>
      </c>
      <c r="J4145" s="2" t="s">
        <v>76</v>
      </c>
      <c r="K4145" s="2" t="s">
        <v>77</v>
      </c>
      <c r="L4145" s="2" t="s">
        <v>128</v>
      </c>
      <c r="M4145" s="2" t="s">
        <v>129</v>
      </c>
      <c r="N4145" s="2" t="s">
        <v>412</v>
      </c>
      <c r="O4145" s="2" t="s">
        <v>100</v>
      </c>
      <c r="P4145" s="2" t="str">
        <f>"2170582709                    "</f>
        <v xml:space="preserve">2170582709                    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3.13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0</v>
      </c>
      <c r="AU4145" s="2">
        <v>0</v>
      </c>
      <c r="AV4145" s="2">
        <v>0</v>
      </c>
      <c r="AW4145" s="2">
        <v>0</v>
      </c>
      <c r="AX4145" s="2">
        <v>0</v>
      </c>
      <c r="AY4145" s="2">
        <v>0</v>
      </c>
      <c r="AZ4145" s="2">
        <v>0</v>
      </c>
      <c r="BA4145" s="2">
        <v>0</v>
      </c>
      <c r="BB4145" s="2">
        <v>0</v>
      </c>
      <c r="BC4145" s="2">
        <v>0</v>
      </c>
      <c r="BD4145" s="2">
        <v>0</v>
      </c>
      <c r="BE4145" s="2">
        <v>0</v>
      </c>
      <c r="BF4145" s="2">
        <v>0</v>
      </c>
      <c r="BG4145" s="2">
        <v>0</v>
      </c>
      <c r="BH4145" s="2">
        <v>1</v>
      </c>
      <c r="BI4145" s="2">
        <v>1</v>
      </c>
      <c r="BJ4145" s="2">
        <v>0.2</v>
      </c>
      <c r="BK4145" s="2">
        <v>1</v>
      </c>
      <c r="BL4145" s="2">
        <v>32.380000000000003</v>
      </c>
      <c r="BM4145" s="2">
        <v>4.53</v>
      </c>
      <c r="BN4145" s="2">
        <v>36.909999999999997</v>
      </c>
      <c r="BO4145" s="2">
        <v>36.909999999999997</v>
      </c>
      <c r="BP4145" s="2"/>
      <c r="BQ4145" s="2" t="s">
        <v>209</v>
      </c>
      <c r="BR4145" s="2" t="s">
        <v>84</v>
      </c>
      <c r="BS4145" s="3">
        <v>42950</v>
      </c>
      <c r="BT4145" s="4">
        <v>0.3430555555555555</v>
      </c>
      <c r="BU4145" s="2" t="s">
        <v>330</v>
      </c>
      <c r="BV4145" s="2" t="s">
        <v>95</v>
      </c>
      <c r="BW4145" s="2"/>
      <c r="BX4145" s="2"/>
      <c r="BY4145" s="2">
        <v>1200</v>
      </c>
      <c r="BZ4145" s="2" t="s">
        <v>27</v>
      </c>
      <c r="CA4145" s="2" t="s">
        <v>923</v>
      </c>
      <c r="CB4145" s="2"/>
      <c r="CC4145" s="2" t="s">
        <v>129</v>
      </c>
      <c r="CD4145" s="2">
        <v>1709</v>
      </c>
      <c r="CE4145" s="2" t="s">
        <v>104</v>
      </c>
      <c r="CF4145" s="5">
        <v>42951</v>
      </c>
      <c r="CG4145" s="2"/>
      <c r="CH4145" s="2"/>
      <c r="CI4145" s="2">
        <v>1</v>
      </c>
      <c r="CJ4145" s="2">
        <v>1</v>
      </c>
      <c r="CK4145" s="2">
        <v>22</v>
      </c>
      <c r="CL4145" s="2" t="s">
        <v>86</v>
      </c>
      <c r="CM4145" s="2"/>
    </row>
    <row r="4146" spans="1:91">
      <c r="A4146" s="2" t="s">
        <v>71</v>
      </c>
      <c r="B4146" s="2" t="s">
        <v>72</v>
      </c>
      <c r="C4146" s="2" t="s">
        <v>73</v>
      </c>
      <c r="D4146" s="2"/>
      <c r="E4146" s="2" t="str">
        <f>"FES1162566171"</f>
        <v>FES1162566171</v>
      </c>
      <c r="F4146" s="3">
        <v>42949</v>
      </c>
      <c r="G4146" s="2">
        <v>201802</v>
      </c>
      <c r="H4146" s="2" t="s">
        <v>74</v>
      </c>
      <c r="I4146" s="2" t="s">
        <v>75</v>
      </c>
      <c r="J4146" s="2" t="s">
        <v>76</v>
      </c>
      <c r="K4146" s="2" t="s">
        <v>77</v>
      </c>
      <c r="L4146" s="2" t="s">
        <v>170</v>
      </c>
      <c r="M4146" s="2" t="s">
        <v>171</v>
      </c>
      <c r="N4146" s="2" t="s">
        <v>489</v>
      </c>
      <c r="O4146" s="2" t="s">
        <v>100</v>
      </c>
      <c r="P4146" s="2" t="str">
        <f>"2170580894                    "</f>
        <v xml:space="preserve">2170580894                    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3.13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0</v>
      </c>
      <c r="AU4146" s="2">
        <v>0</v>
      </c>
      <c r="AV4146" s="2">
        <v>0</v>
      </c>
      <c r="AW4146" s="2">
        <v>0</v>
      </c>
      <c r="AX4146" s="2">
        <v>0</v>
      </c>
      <c r="AY4146" s="2">
        <v>0</v>
      </c>
      <c r="AZ4146" s="2">
        <v>0</v>
      </c>
      <c r="BA4146" s="2">
        <v>0</v>
      </c>
      <c r="BB4146" s="2">
        <v>0</v>
      </c>
      <c r="BC4146" s="2">
        <v>0</v>
      </c>
      <c r="BD4146" s="2">
        <v>0</v>
      </c>
      <c r="BE4146" s="2">
        <v>0</v>
      </c>
      <c r="BF4146" s="2">
        <v>0</v>
      </c>
      <c r="BG4146" s="2">
        <v>0</v>
      </c>
      <c r="BH4146" s="2">
        <v>1</v>
      </c>
      <c r="BI4146" s="2">
        <v>1</v>
      </c>
      <c r="BJ4146" s="2">
        <v>0.2</v>
      </c>
      <c r="BK4146" s="2">
        <v>1</v>
      </c>
      <c r="BL4146" s="2">
        <v>32.380000000000003</v>
      </c>
      <c r="BM4146" s="2">
        <v>4.53</v>
      </c>
      <c r="BN4146" s="2">
        <v>36.909999999999997</v>
      </c>
      <c r="BO4146" s="2">
        <v>36.909999999999997</v>
      </c>
      <c r="BP4146" s="2"/>
      <c r="BQ4146" s="2" t="s">
        <v>83</v>
      </c>
      <c r="BR4146" s="2" t="s">
        <v>84</v>
      </c>
      <c r="BS4146" s="3">
        <v>42950</v>
      </c>
      <c r="BT4146" s="4">
        <v>0.4375</v>
      </c>
      <c r="BU4146" s="2" t="s">
        <v>3875</v>
      </c>
      <c r="BV4146" s="2" t="s">
        <v>95</v>
      </c>
      <c r="BW4146" s="2"/>
      <c r="BX4146" s="2"/>
      <c r="BY4146" s="2">
        <v>1200</v>
      </c>
      <c r="BZ4146" s="2" t="s">
        <v>27</v>
      </c>
      <c r="CA4146" s="2" t="s">
        <v>492</v>
      </c>
      <c r="CB4146" s="2"/>
      <c r="CC4146" s="2" t="s">
        <v>171</v>
      </c>
      <c r="CD4146" s="2">
        <v>1401</v>
      </c>
      <c r="CE4146" s="2" t="s">
        <v>104</v>
      </c>
      <c r="CF4146" s="5">
        <v>42951</v>
      </c>
      <c r="CG4146" s="2"/>
      <c r="CH4146" s="2"/>
      <c r="CI4146" s="2">
        <v>1</v>
      </c>
      <c r="CJ4146" s="2">
        <v>1</v>
      </c>
      <c r="CK4146" s="2">
        <v>22</v>
      </c>
      <c r="CL4146" s="2" t="s">
        <v>86</v>
      </c>
      <c r="CM4146" s="2"/>
    </row>
    <row r="4147" spans="1:91">
      <c r="A4147" s="2" t="s">
        <v>71</v>
      </c>
      <c r="B4147" s="2" t="s">
        <v>72</v>
      </c>
      <c r="C4147" s="2" t="s">
        <v>73</v>
      </c>
      <c r="D4147" s="2"/>
      <c r="E4147" s="2" t="str">
        <f>"FES1162566251"</f>
        <v>FES1162566251</v>
      </c>
      <c r="F4147" s="3">
        <v>42949</v>
      </c>
      <c r="G4147" s="2">
        <v>201802</v>
      </c>
      <c r="H4147" s="2" t="s">
        <v>74</v>
      </c>
      <c r="I4147" s="2" t="s">
        <v>75</v>
      </c>
      <c r="J4147" s="2" t="s">
        <v>76</v>
      </c>
      <c r="K4147" s="2" t="s">
        <v>77</v>
      </c>
      <c r="L4147" s="2" t="s">
        <v>174</v>
      </c>
      <c r="M4147" s="2" t="s">
        <v>175</v>
      </c>
      <c r="N4147" s="2" t="s">
        <v>1418</v>
      </c>
      <c r="O4147" s="2" t="s">
        <v>100</v>
      </c>
      <c r="P4147" s="2" t="str">
        <f>"2170582631                    "</f>
        <v xml:space="preserve">2170582631                    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4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0</v>
      </c>
      <c r="AU4147" s="2">
        <v>0</v>
      </c>
      <c r="AV4147" s="2">
        <v>0</v>
      </c>
      <c r="AW4147" s="2">
        <v>0</v>
      </c>
      <c r="AX4147" s="2">
        <v>0</v>
      </c>
      <c r="AY4147" s="2">
        <v>0</v>
      </c>
      <c r="AZ4147" s="2">
        <v>0</v>
      </c>
      <c r="BA4147" s="2">
        <v>0</v>
      </c>
      <c r="BB4147" s="2">
        <v>0</v>
      </c>
      <c r="BC4147" s="2">
        <v>0</v>
      </c>
      <c r="BD4147" s="2">
        <v>0</v>
      </c>
      <c r="BE4147" s="2">
        <v>0</v>
      </c>
      <c r="BF4147" s="2">
        <v>0</v>
      </c>
      <c r="BG4147" s="2">
        <v>0</v>
      </c>
      <c r="BH4147" s="2">
        <v>1</v>
      </c>
      <c r="BI4147" s="2">
        <v>1</v>
      </c>
      <c r="BJ4147" s="2">
        <v>0.2</v>
      </c>
      <c r="BK4147" s="2">
        <v>1</v>
      </c>
      <c r="BL4147" s="2">
        <v>41.44</v>
      </c>
      <c r="BM4147" s="2">
        <v>5.8</v>
      </c>
      <c r="BN4147" s="2">
        <v>47.24</v>
      </c>
      <c r="BO4147" s="2">
        <v>47.24</v>
      </c>
      <c r="BP4147" s="2"/>
      <c r="BQ4147" s="2" t="s">
        <v>108</v>
      </c>
      <c r="BR4147" s="2" t="s">
        <v>84</v>
      </c>
      <c r="BS4147" s="3">
        <v>42950</v>
      </c>
      <c r="BT4147" s="4">
        <v>0.3756944444444445</v>
      </c>
      <c r="BU4147" s="2" t="s">
        <v>2612</v>
      </c>
      <c r="BV4147" s="2" t="s">
        <v>95</v>
      </c>
      <c r="BW4147" s="2"/>
      <c r="BX4147" s="2"/>
      <c r="BY4147" s="2">
        <v>1200</v>
      </c>
      <c r="BZ4147" s="2" t="s">
        <v>27</v>
      </c>
      <c r="CA4147" s="2" t="s">
        <v>1420</v>
      </c>
      <c r="CB4147" s="2"/>
      <c r="CC4147" s="2" t="s">
        <v>175</v>
      </c>
      <c r="CD4147" s="2">
        <v>5201</v>
      </c>
      <c r="CE4147" s="2" t="s">
        <v>104</v>
      </c>
      <c r="CF4147" s="5">
        <v>42954</v>
      </c>
      <c r="CG4147" s="2"/>
      <c r="CH4147" s="2"/>
      <c r="CI4147" s="2">
        <v>1</v>
      </c>
      <c r="CJ4147" s="2">
        <v>1</v>
      </c>
      <c r="CK4147" s="2">
        <v>21</v>
      </c>
      <c r="CL4147" s="2" t="s">
        <v>86</v>
      </c>
      <c r="CM4147" s="2"/>
    </row>
    <row r="4148" spans="1:91">
      <c r="A4148" s="2" t="s">
        <v>71</v>
      </c>
      <c r="B4148" s="2" t="s">
        <v>72</v>
      </c>
      <c r="C4148" s="2" t="s">
        <v>73</v>
      </c>
      <c r="D4148" s="2"/>
      <c r="E4148" s="2" t="str">
        <f>"FES1162566286"</f>
        <v>FES1162566286</v>
      </c>
      <c r="F4148" s="3">
        <v>42949</v>
      </c>
      <c r="G4148" s="2">
        <v>201802</v>
      </c>
      <c r="H4148" s="2" t="s">
        <v>74</v>
      </c>
      <c r="I4148" s="2" t="s">
        <v>75</v>
      </c>
      <c r="J4148" s="2" t="s">
        <v>76</v>
      </c>
      <c r="K4148" s="2" t="s">
        <v>77</v>
      </c>
      <c r="L4148" s="2" t="s">
        <v>97</v>
      </c>
      <c r="M4148" s="2" t="s">
        <v>98</v>
      </c>
      <c r="N4148" s="2" t="s">
        <v>1210</v>
      </c>
      <c r="O4148" s="2" t="s">
        <v>100</v>
      </c>
      <c r="P4148" s="2" t="str">
        <f>"2170582719                    "</f>
        <v xml:space="preserve">2170582719                    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4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0</v>
      </c>
      <c r="AU4148" s="2">
        <v>0</v>
      </c>
      <c r="AV4148" s="2">
        <v>0</v>
      </c>
      <c r="AW4148" s="2">
        <v>0</v>
      </c>
      <c r="AX4148" s="2">
        <v>0</v>
      </c>
      <c r="AY4148" s="2">
        <v>0</v>
      </c>
      <c r="AZ4148" s="2">
        <v>0</v>
      </c>
      <c r="BA4148" s="2">
        <v>0</v>
      </c>
      <c r="BB4148" s="2">
        <v>0</v>
      </c>
      <c r="BC4148" s="2">
        <v>0</v>
      </c>
      <c r="BD4148" s="2">
        <v>0</v>
      </c>
      <c r="BE4148" s="2">
        <v>0</v>
      </c>
      <c r="BF4148" s="2">
        <v>0</v>
      </c>
      <c r="BG4148" s="2">
        <v>0</v>
      </c>
      <c r="BH4148" s="2">
        <v>1</v>
      </c>
      <c r="BI4148" s="2">
        <v>1</v>
      </c>
      <c r="BJ4148" s="2">
        <v>0.2</v>
      </c>
      <c r="BK4148" s="2">
        <v>1</v>
      </c>
      <c r="BL4148" s="2">
        <v>41.44</v>
      </c>
      <c r="BM4148" s="2">
        <v>5.8</v>
      </c>
      <c r="BN4148" s="2">
        <v>47.24</v>
      </c>
      <c r="BO4148" s="2">
        <v>47.24</v>
      </c>
      <c r="BP4148" s="2"/>
      <c r="BQ4148" s="2" t="s">
        <v>1621</v>
      </c>
      <c r="BR4148" s="2" t="s">
        <v>84</v>
      </c>
      <c r="BS4148" s="3">
        <v>42950</v>
      </c>
      <c r="BT4148" s="4">
        <v>0.30069444444444443</v>
      </c>
      <c r="BU4148" s="2" t="s">
        <v>3876</v>
      </c>
      <c r="BV4148" s="2" t="s">
        <v>95</v>
      </c>
      <c r="BW4148" s="2"/>
      <c r="BX4148" s="2"/>
      <c r="BY4148" s="2">
        <v>1200</v>
      </c>
      <c r="BZ4148" s="2" t="s">
        <v>27</v>
      </c>
      <c r="CA4148" s="2" t="s">
        <v>294</v>
      </c>
      <c r="CB4148" s="2"/>
      <c r="CC4148" s="2" t="s">
        <v>98</v>
      </c>
      <c r="CD4148" s="2">
        <v>6012</v>
      </c>
      <c r="CE4148" s="2" t="s">
        <v>104</v>
      </c>
      <c r="CF4148" s="5">
        <v>42951</v>
      </c>
      <c r="CG4148" s="2"/>
      <c r="CH4148" s="2"/>
      <c r="CI4148" s="2">
        <v>1</v>
      </c>
      <c r="CJ4148" s="2">
        <v>1</v>
      </c>
      <c r="CK4148" s="2">
        <v>21</v>
      </c>
      <c r="CL4148" s="2" t="s">
        <v>86</v>
      </c>
      <c r="CM4148" s="2"/>
    </row>
    <row r="4149" spans="1:91">
      <c r="A4149" s="2" t="s">
        <v>71</v>
      </c>
      <c r="B4149" s="2" t="s">
        <v>72</v>
      </c>
      <c r="C4149" s="2" t="s">
        <v>73</v>
      </c>
      <c r="D4149" s="2"/>
      <c r="E4149" s="2" t="str">
        <f>"FES1162566223"</f>
        <v>FES1162566223</v>
      </c>
      <c r="F4149" s="3">
        <v>42949</v>
      </c>
      <c r="G4149" s="2">
        <v>201802</v>
      </c>
      <c r="H4149" s="2" t="s">
        <v>74</v>
      </c>
      <c r="I4149" s="2" t="s">
        <v>75</v>
      </c>
      <c r="J4149" s="2" t="s">
        <v>76</v>
      </c>
      <c r="K4149" s="2" t="s">
        <v>77</v>
      </c>
      <c r="L4149" s="2" t="s">
        <v>159</v>
      </c>
      <c r="M4149" s="2" t="s">
        <v>160</v>
      </c>
      <c r="N4149" s="2" t="s">
        <v>2515</v>
      </c>
      <c r="O4149" s="2" t="s">
        <v>100</v>
      </c>
      <c r="P4149" s="2" t="str">
        <f>"2170582274                    "</f>
        <v xml:space="preserve">2170582274                    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5.63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0</v>
      </c>
      <c r="AU4149" s="2">
        <v>0</v>
      </c>
      <c r="AV4149" s="2">
        <v>0</v>
      </c>
      <c r="AW4149" s="2">
        <v>0</v>
      </c>
      <c r="AX4149" s="2">
        <v>0</v>
      </c>
      <c r="AY4149" s="2">
        <v>0</v>
      </c>
      <c r="AZ4149" s="2">
        <v>0</v>
      </c>
      <c r="BA4149" s="2">
        <v>0</v>
      </c>
      <c r="BB4149" s="2">
        <v>0</v>
      </c>
      <c r="BC4149" s="2">
        <v>0</v>
      </c>
      <c r="BD4149" s="2">
        <v>0</v>
      </c>
      <c r="BE4149" s="2">
        <v>0</v>
      </c>
      <c r="BF4149" s="2">
        <v>0</v>
      </c>
      <c r="BG4149" s="2">
        <v>0</v>
      </c>
      <c r="BH4149" s="2">
        <v>1</v>
      </c>
      <c r="BI4149" s="2">
        <v>1</v>
      </c>
      <c r="BJ4149" s="2">
        <v>0.2</v>
      </c>
      <c r="BK4149" s="2">
        <v>1</v>
      </c>
      <c r="BL4149" s="2">
        <v>58.28</v>
      </c>
      <c r="BM4149" s="2">
        <v>8.16</v>
      </c>
      <c r="BN4149" s="2">
        <v>66.44</v>
      </c>
      <c r="BO4149" s="2">
        <v>66.44</v>
      </c>
      <c r="BP4149" s="2"/>
      <c r="BQ4149" s="2" t="s">
        <v>2839</v>
      </c>
      <c r="BR4149" s="2" t="s">
        <v>84</v>
      </c>
      <c r="BS4149" s="3">
        <v>42951</v>
      </c>
      <c r="BT4149" s="4">
        <v>0.52847222222222223</v>
      </c>
      <c r="BU4149" s="2" t="s">
        <v>3877</v>
      </c>
      <c r="BV4149" s="2" t="s">
        <v>86</v>
      </c>
      <c r="BW4149" s="2" t="s">
        <v>110</v>
      </c>
      <c r="BX4149" s="2" t="s">
        <v>623</v>
      </c>
      <c r="BY4149" s="2">
        <v>1200</v>
      </c>
      <c r="BZ4149" s="2"/>
      <c r="CA4149" s="2"/>
      <c r="CB4149" s="2"/>
      <c r="CC4149" s="2" t="s">
        <v>160</v>
      </c>
      <c r="CD4149" s="2">
        <v>208</v>
      </c>
      <c r="CE4149" s="2" t="s">
        <v>104</v>
      </c>
      <c r="CF4149" s="5">
        <v>42954</v>
      </c>
      <c r="CG4149" s="2"/>
      <c r="CH4149" s="2"/>
      <c r="CI4149" s="2">
        <v>1</v>
      </c>
      <c r="CJ4149" s="2">
        <v>2</v>
      </c>
      <c r="CK4149" s="2">
        <v>24</v>
      </c>
      <c r="CL4149" s="2" t="s">
        <v>86</v>
      </c>
      <c r="CM4149" s="2"/>
    </row>
    <row r="4150" spans="1:91">
      <c r="A4150" s="2" t="s">
        <v>71</v>
      </c>
      <c r="B4150" s="2" t="s">
        <v>72</v>
      </c>
      <c r="C4150" s="2" t="s">
        <v>73</v>
      </c>
      <c r="D4150" s="2"/>
      <c r="E4150" s="2" t="str">
        <f>"FES1162566430"</f>
        <v>FES1162566430</v>
      </c>
      <c r="F4150" s="3">
        <v>42949</v>
      </c>
      <c r="G4150" s="2">
        <v>201802</v>
      </c>
      <c r="H4150" s="2" t="s">
        <v>74</v>
      </c>
      <c r="I4150" s="2" t="s">
        <v>75</v>
      </c>
      <c r="J4150" s="2" t="s">
        <v>76</v>
      </c>
      <c r="K4150" s="2" t="s">
        <v>77</v>
      </c>
      <c r="L4150" s="2" t="s">
        <v>268</v>
      </c>
      <c r="M4150" s="2" t="s">
        <v>269</v>
      </c>
      <c r="N4150" s="2" t="s">
        <v>1341</v>
      </c>
      <c r="O4150" s="2" t="s">
        <v>100</v>
      </c>
      <c r="P4150" s="2" t="str">
        <f>"2170582790                    "</f>
        <v xml:space="preserve">2170582790                    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4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0</v>
      </c>
      <c r="AU4150" s="2">
        <v>0</v>
      </c>
      <c r="AV4150" s="2">
        <v>0</v>
      </c>
      <c r="AW4150" s="2">
        <v>0</v>
      </c>
      <c r="AX4150" s="2">
        <v>0</v>
      </c>
      <c r="AY4150" s="2">
        <v>0</v>
      </c>
      <c r="AZ4150" s="2">
        <v>0</v>
      </c>
      <c r="BA4150" s="2">
        <v>0</v>
      </c>
      <c r="BB4150" s="2">
        <v>0</v>
      </c>
      <c r="BC4150" s="2">
        <v>0</v>
      </c>
      <c r="BD4150" s="2">
        <v>0</v>
      </c>
      <c r="BE4150" s="2">
        <v>0</v>
      </c>
      <c r="BF4150" s="2">
        <v>0</v>
      </c>
      <c r="BG4150" s="2">
        <v>0</v>
      </c>
      <c r="BH4150" s="2">
        <v>1</v>
      </c>
      <c r="BI4150" s="2">
        <v>1</v>
      </c>
      <c r="BJ4150" s="2">
        <v>0.2</v>
      </c>
      <c r="BK4150" s="2">
        <v>1</v>
      </c>
      <c r="BL4150" s="2">
        <v>41.44</v>
      </c>
      <c r="BM4150" s="2">
        <v>5.8</v>
      </c>
      <c r="BN4150" s="2">
        <v>47.24</v>
      </c>
      <c r="BO4150" s="2">
        <v>47.24</v>
      </c>
      <c r="BP4150" s="2"/>
      <c r="BQ4150" s="2" t="s">
        <v>1342</v>
      </c>
      <c r="BR4150" s="2" t="s">
        <v>84</v>
      </c>
      <c r="BS4150" s="3">
        <v>42950</v>
      </c>
      <c r="BT4150" s="4">
        <v>0.52083333333333337</v>
      </c>
      <c r="BU4150" s="2" t="s">
        <v>2942</v>
      </c>
      <c r="BV4150" s="2" t="s">
        <v>86</v>
      </c>
      <c r="BW4150" s="2" t="s">
        <v>1007</v>
      </c>
      <c r="BX4150" s="2" t="s">
        <v>1008</v>
      </c>
      <c r="BY4150" s="2">
        <v>1200</v>
      </c>
      <c r="BZ4150" s="2" t="s">
        <v>27</v>
      </c>
      <c r="CA4150" s="2" t="s">
        <v>638</v>
      </c>
      <c r="CB4150" s="2"/>
      <c r="CC4150" s="2" t="s">
        <v>269</v>
      </c>
      <c r="CD4150" s="2">
        <v>184</v>
      </c>
      <c r="CE4150" s="2" t="s">
        <v>104</v>
      </c>
      <c r="CF4150" s="5">
        <v>42950</v>
      </c>
      <c r="CG4150" s="2"/>
      <c r="CH4150" s="2"/>
      <c r="CI4150" s="2">
        <v>1</v>
      </c>
      <c r="CJ4150" s="2">
        <v>1</v>
      </c>
      <c r="CK4150" s="2">
        <v>21</v>
      </c>
      <c r="CL4150" s="2" t="s">
        <v>86</v>
      </c>
      <c r="CM4150" s="2"/>
    </row>
    <row r="4151" spans="1:91">
      <c r="A4151" s="2" t="s">
        <v>71</v>
      </c>
      <c r="B4151" s="2" t="s">
        <v>72</v>
      </c>
      <c r="C4151" s="2" t="s">
        <v>73</v>
      </c>
      <c r="D4151" s="2"/>
      <c r="E4151" s="2" t="str">
        <f>"FES1162566259"</f>
        <v>FES1162566259</v>
      </c>
      <c r="F4151" s="3">
        <v>42949</v>
      </c>
      <c r="G4151" s="2">
        <v>201802</v>
      </c>
      <c r="H4151" s="2" t="s">
        <v>74</v>
      </c>
      <c r="I4151" s="2" t="s">
        <v>75</v>
      </c>
      <c r="J4151" s="2" t="s">
        <v>76</v>
      </c>
      <c r="K4151" s="2" t="s">
        <v>77</v>
      </c>
      <c r="L4151" s="2" t="s">
        <v>470</v>
      </c>
      <c r="M4151" s="2" t="s">
        <v>471</v>
      </c>
      <c r="N4151" s="2" t="s">
        <v>574</v>
      </c>
      <c r="O4151" s="2" t="s">
        <v>100</v>
      </c>
      <c r="P4151" s="2" t="str">
        <f>"2170582687                    "</f>
        <v xml:space="preserve">2170582687                    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4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0</v>
      </c>
      <c r="AU4151" s="2">
        <v>0</v>
      </c>
      <c r="AV4151" s="2">
        <v>0</v>
      </c>
      <c r="AW4151" s="2">
        <v>0</v>
      </c>
      <c r="AX4151" s="2">
        <v>0</v>
      </c>
      <c r="AY4151" s="2">
        <v>0</v>
      </c>
      <c r="AZ4151" s="2">
        <v>0</v>
      </c>
      <c r="BA4151" s="2">
        <v>0</v>
      </c>
      <c r="BB4151" s="2">
        <v>0</v>
      </c>
      <c r="BC4151" s="2">
        <v>0</v>
      </c>
      <c r="BD4151" s="2">
        <v>0</v>
      </c>
      <c r="BE4151" s="2">
        <v>0</v>
      </c>
      <c r="BF4151" s="2">
        <v>0</v>
      </c>
      <c r="BG4151" s="2">
        <v>0</v>
      </c>
      <c r="BH4151" s="2">
        <v>1</v>
      </c>
      <c r="BI4151" s="2">
        <v>1</v>
      </c>
      <c r="BJ4151" s="2">
        <v>0.2</v>
      </c>
      <c r="BK4151" s="2">
        <v>1</v>
      </c>
      <c r="BL4151" s="2">
        <v>41.44</v>
      </c>
      <c r="BM4151" s="2">
        <v>5.8</v>
      </c>
      <c r="BN4151" s="2">
        <v>47.24</v>
      </c>
      <c r="BO4151" s="2">
        <v>47.24</v>
      </c>
      <c r="BP4151" s="2"/>
      <c r="BQ4151" s="2" t="s">
        <v>83</v>
      </c>
      <c r="BR4151" s="2" t="s">
        <v>84</v>
      </c>
      <c r="BS4151" s="3">
        <v>42950</v>
      </c>
      <c r="BT4151" s="4">
        <v>0.54166666666666663</v>
      </c>
      <c r="BU4151" s="2" t="s">
        <v>3878</v>
      </c>
      <c r="BV4151" s="2" t="s">
        <v>86</v>
      </c>
      <c r="BW4151" s="2"/>
      <c r="BX4151" s="2"/>
      <c r="BY4151" s="2">
        <v>1200</v>
      </c>
      <c r="BZ4151" s="2" t="s">
        <v>27</v>
      </c>
      <c r="CA4151" s="2" t="s">
        <v>148</v>
      </c>
      <c r="CB4151" s="2"/>
      <c r="CC4151" s="2" t="s">
        <v>471</v>
      </c>
      <c r="CD4151" s="2">
        <v>1900</v>
      </c>
      <c r="CE4151" s="2" t="s">
        <v>104</v>
      </c>
      <c r="CF4151" s="5">
        <v>42951</v>
      </c>
      <c r="CG4151" s="2"/>
      <c r="CH4151" s="2"/>
      <c r="CI4151" s="2">
        <v>1</v>
      </c>
      <c r="CJ4151" s="2">
        <v>1</v>
      </c>
      <c r="CK4151" s="2">
        <v>21</v>
      </c>
      <c r="CL4151" s="2" t="s">
        <v>86</v>
      </c>
      <c r="CM4151" s="2"/>
    </row>
    <row r="4152" spans="1:91">
      <c r="A4152" s="2" t="s">
        <v>71</v>
      </c>
      <c r="B4152" s="2" t="s">
        <v>72</v>
      </c>
      <c r="C4152" s="2" t="s">
        <v>73</v>
      </c>
      <c r="D4152" s="2"/>
      <c r="E4152" s="2" t="str">
        <f>"FES1162566200"</f>
        <v>FES1162566200</v>
      </c>
      <c r="F4152" s="3">
        <v>42949</v>
      </c>
      <c r="G4152" s="2">
        <v>201802</v>
      </c>
      <c r="H4152" s="2" t="s">
        <v>74</v>
      </c>
      <c r="I4152" s="2" t="s">
        <v>75</v>
      </c>
      <c r="J4152" s="2" t="s">
        <v>76</v>
      </c>
      <c r="K4152" s="2" t="s">
        <v>77</v>
      </c>
      <c r="L4152" s="2" t="s">
        <v>206</v>
      </c>
      <c r="M4152" s="2" t="s">
        <v>207</v>
      </c>
      <c r="N4152" s="2" t="s">
        <v>1672</v>
      </c>
      <c r="O4152" s="2" t="s">
        <v>100</v>
      </c>
      <c r="P4152" s="2" t="str">
        <f>"2170581922                    "</f>
        <v xml:space="preserve">2170581922                    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5.63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0</v>
      </c>
      <c r="AU4152" s="2">
        <v>0</v>
      </c>
      <c r="AV4152" s="2">
        <v>0</v>
      </c>
      <c r="AW4152" s="2">
        <v>0</v>
      </c>
      <c r="AX4152" s="2">
        <v>0</v>
      </c>
      <c r="AY4152" s="2">
        <v>0</v>
      </c>
      <c r="AZ4152" s="2">
        <v>0</v>
      </c>
      <c r="BA4152" s="2">
        <v>0</v>
      </c>
      <c r="BB4152" s="2">
        <v>0</v>
      </c>
      <c r="BC4152" s="2">
        <v>0</v>
      </c>
      <c r="BD4152" s="2">
        <v>0</v>
      </c>
      <c r="BE4152" s="2">
        <v>0</v>
      </c>
      <c r="BF4152" s="2">
        <v>0</v>
      </c>
      <c r="BG4152" s="2">
        <v>0</v>
      </c>
      <c r="BH4152" s="2">
        <v>1</v>
      </c>
      <c r="BI4152" s="2">
        <v>1</v>
      </c>
      <c r="BJ4152" s="2">
        <v>0.2</v>
      </c>
      <c r="BK4152" s="2">
        <v>1</v>
      </c>
      <c r="BL4152" s="2">
        <v>58.28</v>
      </c>
      <c r="BM4152" s="2">
        <v>8.16</v>
      </c>
      <c r="BN4152" s="2">
        <v>66.44</v>
      </c>
      <c r="BO4152" s="2">
        <v>66.44</v>
      </c>
      <c r="BP4152" s="2"/>
      <c r="BQ4152" s="2" t="s">
        <v>2847</v>
      </c>
      <c r="BR4152" s="2" t="s">
        <v>84</v>
      </c>
      <c r="BS4152" s="3">
        <v>42950</v>
      </c>
      <c r="BT4152" s="4">
        <v>0.41111111111111115</v>
      </c>
      <c r="BU4152" s="2" t="s">
        <v>2848</v>
      </c>
      <c r="BV4152" s="2" t="s">
        <v>95</v>
      </c>
      <c r="BW4152" s="2"/>
      <c r="BX4152" s="2"/>
      <c r="BY4152" s="2">
        <v>1200</v>
      </c>
      <c r="BZ4152" s="2" t="s">
        <v>27</v>
      </c>
      <c r="CA4152" s="2" t="s">
        <v>640</v>
      </c>
      <c r="CB4152" s="2"/>
      <c r="CC4152" s="2" t="s">
        <v>207</v>
      </c>
      <c r="CD4152" s="2">
        <v>250</v>
      </c>
      <c r="CE4152" s="2" t="s">
        <v>104</v>
      </c>
      <c r="CF4152" s="5">
        <v>42954</v>
      </c>
      <c r="CG4152" s="2"/>
      <c r="CH4152" s="2"/>
      <c r="CI4152" s="2">
        <v>1</v>
      </c>
      <c r="CJ4152" s="2">
        <v>1</v>
      </c>
      <c r="CK4152" s="2">
        <v>24</v>
      </c>
      <c r="CL4152" s="2" t="s">
        <v>86</v>
      </c>
      <c r="CM4152" s="2"/>
    </row>
    <row r="4153" spans="1:91">
      <c r="A4153" s="2" t="s">
        <v>71</v>
      </c>
      <c r="B4153" s="2" t="s">
        <v>72</v>
      </c>
      <c r="C4153" s="2" t="s">
        <v>73</v>
      </c>
      <c r="D4153" s="2"/>
      <c r="E4153" s="2" t="str">
        <f>"FES1162566239"</f>
        <v>FES1162566239</v>
      </c>
      <c r="F4153" s="3">
        <v>42949</v>
      </c>
      <c r="G4153" s="2">
        <v>201802</v>
      </c>
      <c r="H4153" s="2" t="s">
        <v>74</v>
      </c>
      <c r="I4153" s="2" t="s">
        <v>75</v>
      </c>
      <c r="J4153" s="2" t="s">
        <v>76</v>
      </c>
      <c r="K4153" s="2" t="s">
        <v>77</v>
      </c>
      <c r="L4153" s="2" t="s">
        <v>74</v>
      </c>
      <c r="M4153" s="2" t="s">
        <v>75</v>
      </c>
      <c r="N4153" s="2" t="s">
        <v>407</v>
      </c>
      <c r="O4153" s="2" t="s">
        <v>100</v>
      </c>
      <c r="P4153" s="2" t="str">
        <f>"2170582466                    "</f>
        <v xml:space="preserve">2170582466                    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3.13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0</v>
      </c>
      <c r="AU4153" s="2">
        <v>0</v>
      </c>
      <c r="AV4153" s="2">
        <v>0</v>
      </c>
      <c r="AW4153" s="2">
        <v>0</v>
      </c>
      <c r="AX4153" s="2">
        <v>0</v>
      </c>
      <c r="AY4153" s="2">
        <v>0</v>
      </c>
      <c r="AZ4153" s="2">
        <v>0</v>
      </c>
      <c r="BA4153" s="2">
        <v>0</v>
      </c>
      <c r="BB4153" s="2">
        <v>0</v>
      </c>
      <c r="BC4153" s="2">
        <v>0</v>
      </c>
      <c r="BD4153" s="2">
        <v>0</v>
      </c>
      <c r="BE4153" s="2">
        <v>0</v>
      </c>
      <c r="BF4153" s="2">
        <v>0</v>
      </c>
      <c r="BG4153" s="2">
        <v>0</v>
      </c>
      <c r="BH4153" s="2">
        <v>1</v>
      </c>
      <c r="BI4153" s="2">
        <v>1</v>
      </c>
      <c r="BJ4153" s="2">
        <v>0.2</v>
      </c>
      <c r="BK4153" s="2">
        <v>1</v>
      </c>
      <c r="BL4153" s="2">
        <v>32.380000000000003</v>
      </c>
      <c r="BM4153" s="2">
        <v>4.53</v>
      </c>
      <c r="BN4153" s="2">
        <v>36.909999999999997</v>
      </c>
      <c r="BO4153" s="2">
        <v>36.909999999999997</v>
      </c>
      <c r="BP4153" s="2"/>
      <c r="BQ4153" s="2" t="s">
        <v>108</v>
      </c>
      <c r="BR4153" s="2" t="s">
        <v>84</v>
      </c>
      <c r="BS4153" s="3">
        <v>42950</v>
      </c>
      <c r="BT4153" s="4">
        <v>0.33333333333333331</v>
      </c>
      <c r="BU4153" s="2" t="s">
        <v>935</v>
      </c>
      <c r="BV4153" s="2" t="s">
        <v>95</v>
      </c>
      <c r="BW4153" s="2"/>
      <c r="BX4153" s="2"/>
      <c r="BY4153" s="2">
        <v>1200</v>
      </c>
      <c r="BZ4153" s="2" t="s">
        <v>27</v>
      </c>
      <c r="CA4153" s="2" t="s">
        <v>267</v>
      </c>
      <c r="CB4153" s="2"/>
      <c r="CC4153" s="2" t="s">
        <v>75</v>
      </c>
      <c r="CD4153" s="2">
        <v>1645</v>
      </c>
      <c r="CE4153" s="2" t="s">
        <v>104</v>
      </c>
      <c r="CF4153" s="5">
        <v>42951</v>
      </c>
      <c r="CG4153" s="2"/>
      <c r="CH4153" s="2"/>
      <c r="CI4153" s="2">
        <v>1</v>
      </c>
      <c r="CJ4153" s="2">
        <v>1</v>
      </c>
      <c r="CK4153" s="2">
        <v>22</v>
      </c>
      <c r="CL4153" s="2" t="s">
        <v>86</v>
      </c>
      <c r="CM4153" s="2"/>
    </row>
    <row r="4154" spans="1:91">
      <c r="A4154" s="2" t="s">
        <v>71</v>
      </c>
      <c r="B4154" s="2" t="s">
        <v>72</v>
      </c>
      <c r="C4154" s="2" t="s">
        <v>73</v>
      </c>
      <c r="D4154" s="2"/>
      <c r="E4154" s="2" t="str">
        <f>"FES1162566302"</f>
        <v>FES1162566302</v>
      </c>
      <c r="F4154" s="3">
        <v>42949</v>
      </c>
      <c r="G4154" s="2">
        <v>201802</v>
      </c>
      <c r="H4154" s="2" t="s">
        <v>74</v>
      </c>
      <c r="I4154" s="2" t="s">
        <v>75</v>
      </c>
      <c r="J4154" s="2" t="s">
        <v>76</v>
      </c>
      <c r="K4154" s="2" t="s">
        <v>77</v>
      </c>
      <c r="L4154" s="2" t="s">
        <v>144</v>
      </c>
      <c r="M4154" s="2" t="s">
        <v>145</v>
      </c>
      <c r="N4154" s="2" t="s">
        <v>3879</v>
      </c>
      <c r="O4154" s="2" t="s">
        <v>100</v>
      </c>
      <c r="P4154" s="2" t="str">
        <f>"2170582740                    "</f>
        <v xml:space="preserve">2170582740                    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3.13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0</v>
      </c>
      <c r="AU4154" s="2">
        <v>0</v>
      </c>
      <c r="AV4154" s="2">
        <v>0</v>
      </c>
      <c r="AW4154" s="2">
        <v>0</v>
      </c>
      <c r="AX4154" s="2">
        <v>0</v>
      </c>
      <c r="AY4154" s="2">
        <v>0</v>
      </c>
      <c r="AZ4154" s="2">
        <v>0</v>
      </c>
      <c r="BA4154" s="2">
        <v>0</v>
      </c>
      <c r="BB4154" s="2">
        <v>0</v>
      </c>
      <c r="BC4154" s="2">
        <v>0</v>
      </c>
      <c r="BD4154" s="2">
        <v>0</v>
      </c>
      <c r="BE4154" s="2">
        <v>0</v>
      </c>
      <c r="BF4154" s="2">
        <v>0</v>
      </c>
      <c r="BG4154" s="2">
        <v>0</v>
      </c>
      <c r="BH4154" s="2">
        <v>1</v>
      </c>
      <c r="BI4154" s="2">
        <v>1</v>
      </c>
      <c r="BJ4154" s="2">
        <v>0.2</v>
      </c>
      <c r="BK4154" s="2">
        <v>1</v>
      </c>
      <c r="BL4154" s="2">
        <v>32.380000000000003</v>
      </c>
      <c r="BM4154" s="2">
        <v>4.53</v>
      </c>
      <c r="BN4154" s="2">
        <v>36.909999999999997</v>
      </c>
      <c r="BO4154" s="2">
        <v>36.909999999999997</v>
      </c>
      <c r="BP4154" s="2"/>
      <c r="BQ4154" s="2"/>
      <c r="BR4154" s="2" t="s">
        <v>84</v>
      </c>
      <c r="BS4154" s="3">
        <v>42950</v>
      </c>
      <c r="BT4154" s="4">
        <v>0.34930555555555554</v>
      </c>
      <c r="BU4154" s="2" t="s">
        <v>3880</v>
      </c>
      <c r="BV4154" s="2" t="s">
        <v>95</v>
      </c>
      <c r="BW4154" s="2"/>
      <c r="BX4154" s="2"/>
      <c r="BY4154" s="2">
        <v>1200</v>
      </c>
      <c r="BZ4154" s="2" t="s">
        <v>27</v>
      </c>
      <c r="CA4154" s="2" t="s">
        <v>2696</v>
      </c>
      <c r="CB4154" s="2"/>
      <c r="CC4154" s="2" t="s">
        <v>145</v>
      </c>
      <c r="CD4154" s="2">
        <v>2139</v>
      </c>
      <c r="CE4154" s="2" t="s">
        <v>104</v>
      </c>
      <c r="CF4154" s="5">
        <v>42951</v>
      </c>
      <c r="CG4154" s="2"/>
      <c r="CH4154" s="2"/>
      <c r="CI4154" s="2">
        <v>1</v>
      </c>
      <c r="CJ4154" s="2">
        <v>1</v>
      </c>
      <c r="CK4154" s="2">
        <v>22</v>
      </c>
      <c r="CL4154" s="2" t="s">
        <v>86</v>
      </c>
      <c r="CM4154" s="2"/>
    </row>
    <row r="4155" spans="1:91">
      <c r="A4155" s="2" t="s">
        <v>71</v>
      </c>
      <c r="B4155" s="2" t="s">
        <v>72</v>
      </c>
      <c r="C4155" s="2" t="s">
        <v>73</v>
      </c>
      <c r="D4155" s="2"/>
      <c r="E4155" s="2" t="str">
        <f>"FES1162566382"</f>
        <v>FES1162566382</v>
      </c>
      <c r="F4155" s="3">
        <v>42949</v>
      </c>
      <c r="G4155" s="2">
        <v>201802</v>
      </c>
      <c r="H4155" s="2" t="s">
        <v>74</v>
      </c>
      <c r="I4155" s="2" t="s">
        <v>75</v>
      </c>
      <c r="J4155" s="2" t="s">
        <v>76</v>
      </c>
      <c r="K4155" s="2" t="s">
        <v>77</v>
      </c>
      <c r="L4155" s="2" t="s">
        <v>97</v>
      </c>
      <c r="M4155" s="2" t="s">
        <v>98</v>
      </c>
      <c r="N4155" s="2" t="s">
        <v>1210</v>
      </c>
      <c r="O4155" s="2" t="s">
        <v>100</v>
      </c>
      <c r="P4155" s="2" t="str">
        <f>"2170580553                    "</f>
        <v xml:space="preserve">2170580553                    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4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0</v>
      </c>
      <c r="AU4155" s="2">
        <v>0</v>
      </c>
      <c r="AV4155" s="2">
        <v>0</v>
      </c>
      <c r="AW4155" s="2">
        <v>0</v>
      </c>
      <c r="AX4155" s="2">
        <v>0</v>
      </c>
      <c r="AY4155" s="2">
        <v>0</v>
      </c>
      <c r="AZ4155" s="2">
        <v>0</v>
      </c>
      <c r="BA4155" s="2">
        <v>0</v>
      </c>
      <c r="BB4155" s="2">
        <v>0</v>
      </c>
      <c r="BC4155" s="2">
        <v>0</v>
      </c>
      <c r="BD4155" s="2">
        <v>0</v>
      </c>
      <c r="BE4155" s="2">
        <v>0</v>
      </c>
      <c r="BF4155" s="2">
        <v>0</v>
      </c>
      <c r="BG4155" s="2">
        <v>0</v>
      </c>
      <c r="BH4155" s="2">
        <v>1</v>
      </c>
      <c r="BI4155" s="2">
        <v>1</v>
      </c>
      <c r="BJ4155" s="2">
        <v>0.2</v>
      </c>
      <c r="BK4155" s="2">
        <v>1</v>
      </c>
      <c r="BL4155" s="2">
        <v>41.44</v>
      </c>
      <c r="BM4155" s="2">
        <v>5.8</v>
      </c>
      <c r="BN4155" s="2">
        <v>47.24</v>
      </c>
      <c r="BO4155" s="2">
        <v>47.24</v>
      </c>
      <c r="BP4155" s="2"/>
      <c r="BQ4155" s="2" t="s">
        <v>1621</v>
      </c>
      <c r="BR4155" s="2" t="s">
        <v>84</v>
      </c>
      <c r="BS4155" s="3">
        <v>42950</v>
      </c>
      <c r="BT4155" s="4">
        <v>0.30069444444444443</v>
      </c>
      <c r="BU4155" s="2" t="s">
        <v>3876</v>
      </c>
      <c r="BV4155" s="2" t="s">
        <v>95</v>
      </c>
      <c r="BW4155" s="2"/>
      <c r="BX4155" s="2"/>
      <c r="BY4155" s="2">
        <v>1200</v>
      </c>
      <c r="BZ4155" s="2" t="s">
        <v>27</v>
      </c>
      <c r="CA4155" s="2" t="s">
        <v>294</v>
      </c>
      <c r="CB4155" s="2"/>
      <c r="CC4155" s="2" t="s">
        <v>98</v>
      </c>
      <c r="CD4155" s="2">
        <v>6012</v>
      </c>
      <c r="CE4155" s="2" t="s">
        <v>104</v>
      </c>
      <c r="CF4155" s="5">
        <v>42951</v>
      </c>
      <c r="CG4155" s="2"/>
      <c r="CH4155" s="2"/>
      <c r="CI4155" s="2">
        <v>1</v>
      </c>
      <c r="CJ4155" s="2">
        <v>1</v>
      </c>
      <c r="CK4155" s="2">
        <v>21</v>
      </c>
      <c r="CL4155" s="2" t="s">
        <v>86</v>
      </c>
      <c r="CM4155" s="2"/>
    </row>
    <row r="4156" spans="1:91">
      <c r="A4156" s="2" t="s">
        <v>71</v>
      </c>
      <c r="B4156" s="2" t="s">
        <v>72</v>
      </c>
      <c r="C4156" s="2" t="s">
        <v>73</v>
      </c>
      <c r="D4156" s="2"/>
      <c r="E4156" s="2" t="str">
        <f>"FES1162566276"</f>
        <v>FES1162566276</v>
      </c>
      <c r="F4156" s="3">
        <v>42949</v>
      </c>
      <c r="G4156" s="2">
        <v>201802</v>
      </c>
      <c r="H4156" s="2" t="s">
        <v>74</v>
      </c>
      <c r="I4156" s="2" t="s">
        <v>75</v>
      </c>
      <c r="J4156" s="2" t="s">
        <v>76</v>
      </c>
      <c r="K4156" s="2" t="s">
        <v>77</v>
      </c>
      <c r="L4156" s="2" t="s">
        <v>593</v>
      </c>
      <c r="M4156" s="2" t="s">
        <v>594</v>
      </c>
      <c r="N4156" s="2" t="s">
        <v>3881</v>
      </c>
      <c r="O4156" s="2" t="s">
        <v>100</v>
      </c>
      <c r="P4156" s="2" t="str">
        <f>"2170582705                    "</f>
        <v xml:space="preserve">2170582705                    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3.13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0</v>
      </c>
      <c r="AU4156" s="2">
        <v>0</v>
      </c>
      <c r="AV4156" s="2">
        <v>0</v>
      </c>
      <c r="AW4156" s="2">
        <v>0</v>
      </c>
      <c r="AX4156" s="2">
        <v>0</v>
      </c>
      <c r="AY4156" s="2">
        <v>0</v>
      </c>
      <c r="AZ4156" s="2">
        <v>0</v>
      </c>
      <c r="BA4156" s="2">
        <v>0</v>
      </c>
      <c r="BB4156" s="2">
        <v>0</v>
      </c>
      <c r="BC4156" s="2">
        <v>0</v>
      </c>
      <c r="BD4156" s="2">
        <v>0</v>
      </c>
      <c r="BE4156" s="2">
        <v>0</v>
      </c>
      <c r="BF4156" s="2">
        <v>0</v>
      </c>
      <c r="BG4156" s="2">
        <v>0</v>
      </c>
      <c r="BH4156" s="2">
        <v>1</v>
      </c>
      <c r="BI4156" s="2">
        <v>3</v>
      </c>
      <c r="BJ4156" s="2">
        <v>3.6</v>
      </c>
      <c r="BK4156" s="2">
        <v>4</v>
      </c>
      <c r="BL4156" s="2">
        <v>32.380000000000003</v>
      </c>
      <c r="BM4156" s="2">
        <v>4.53</v>
      </c>
      <c r="BN4156" s="2">
        <v>36.909999999999997</v>
      </c>
      <c r="BO4156" s="2">
        <v>36.909999999999997</v>
      </c>
      <c r="BP4156" s="2"/>
      <c r="BQ4156" s="2" t="s">
        <v>83</v>
      </c>
      <c r="BR4156" s="2" t="s">
        <v>84</v>
      </c>
      <c r="BS4156" s="3">
        <v>42950</v>
      </c>
      <c r="BT4156" s="4">
        <v>0.40069444444444446</v>
      </c>
      <c r="BU4156" s="2" t="s">
        <v>2367</v>
      </c>
      <c r="BV4156" s="2" t="s">
        <v>95</v>
      </c>
      <c r="BW4156" s="2"/>
      <c r="BX4156" s="2"/>
      <c r="BY4156" s="2">
        <v>18032</v>
      </c>
      <c r="BZ4156" s="2" t="s">
        <v>27</v>
      </c>
      <c r="CA4156" s="2" t="s">
        <v>2693</v>
      </c>
      <c r="CB4156" s="2"/>
      <c r="CC4156" s="2" t="s">
        <v>594</v>
      </c>
      <c r="CD4156" s="2">
        <v>1685</v>
      </c>
      <c r="CE4156" s="2" t="s">
        <v>89</v>
      </c>
      <c r="CF4156" s="5">
        <v>42950</v>
      </c>
      <c r="CG4156" s="2"/>
      <c r="CH4156" s="2"/>
      <c r="CI4156" s="2">
        <v>1</v>
      </c>
      <c r="CJ4156" s="2">
        <v>1</v>
      </c>
      <c r="CK4156" s="2">
        <v>22</v>
      </c>
      <c r="CL4156" s="2" t="s">
        <v>86</v>
      </c>
      <c r="CM4156" s="2"/>
    </row>
    <row r="4157" spans="1:91">
      <c r="A4157" s="2" t="s">
        <v>71</v>
      </c>
      <c r="B4157" s="2" t="s">
        <v>72</v>
      </c>
      <c r="C4157" s="2" t="s">
        <v>73</v>
      </c>
      <c r="D4157" s="2"/>
      <c r="E4157" s="2" t="str">
        <f>"FES1162566221"</f>
        <v>FES1162566221</v>
      </c>
      <c r="F4157" s="3">
        <v>42949</v>
      </c>
      <c r="G4157" s="2">
        <v>201802</v>
      </c>
      <c r="H4157" s="2" t="s">
        <v>74</v>
      </c>
      <c r="I4157" s="2" t="s">
        <v>75</v>
      </c>
      <c r="J4157" s="2" t="s">
        <v>76</v>
      </c>
      <c r="K4157" s="2" t="s">
        <v>77</v>
      </c>
      <c r="L4157" s="2" t="s">
        <v>268</v>
      </c>
      <c r="M4157" s="2" t="s">
        <v>269</v>
      </c>
      <c r="N4157" s="2" t="s">
        <v>279</v>
      </c>
      <c r="O4157" s="2" t="s">
        <v>100</v>
      </c>
      <c r="P4157" s="2" t="str">
        <f>"2170582247                    "</f>
        <v xml:space="preserve">2170582247                    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4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0</v>
      </c>
      <c r="AU4157" s="2">
        <v>0</v>
      </c>
      <c r="AV4157" s="2">
        <v>0</v>
      </c>
      <c r="AW4157" s="2">
        <v>0</v>
      </c>
      <c r="AX4157" s="2">
        <v>0</v>
      </c>
      <c r="AY4157" s="2">
        <v>0</v>
      </c>
      <c r="AZ4157" s="2">
        <v>0</v>
      </c>
      <c r="BA4157" s="2">
        <v>0</v>
      </c>
      <c r="BB4157" s="2">
        <v>0</v>
      </c>
      <c r="BC4157" s="2">
        <v>0</v>
      </c>
      <c r="BD4157" s="2">
        <v>0</v>
      </c>
      <c r="BE4157" s="2">
        <v>0</v>
      </c>
      <c r="BF4157" s="2">
        <v>0</v>
      </c>
      <c r="BG4157" s="2">
        <v>0</v>
      </c>
      <c r="BH4157" s="2">
        <v>1</v>
      </c>
      <c r="BI4157" s="2">
        <v>1</v>
      </c>
      <c r="BJ4157" s="2">
        <v>0.2</v>
      </c>
      <c r="BK4157" s="2">
        <v>1</v>
      </c>
      <c r="BL4157" s="2">
        <v>41.44</v>
      </c>
      <c r="BM4157" s="2">
        <v>5.8</v>
      </c>
      <c r="BN4157" s="2">
        <v>47.24</v>
      </c>
      <c r="BO4157" s="2">
        <v>47.24</v>
      </c>
      <c r="BP4157" s="2"/>
      <c r="BQ4157" s="2" t="s">
        <v>280</v>
      </c>
      <c r="BR4157" s="2" t="s">
        <v>84</v>
      </c>
      <c r="BS4157" s="3">
        <v>42950</v>
      </c>
      <c r="BT4157" s="4">
        <v>0.64097222222222217</v>
      </c>
      <c r="BU4157" s="2" t="s">
        <v>3792</v>
      </c>
      <c r="BV4157" s="2" t="s">
        <v>86</v>
      </c>
      <c r="BW4157" s="2" t="s">
        <v>1007</v>
      </c>
      <c r="BX4157" s="2" t="s">
        <v>1008</v>
      </c>
      <c r="BY4157" s="2">
        <v>1200</v>
      </c>
      <c r="BZ4157" s="2" t="s">
        <v>27</v>
      </c>
      <c r="CA4157" s="2" t="s">
        <v>981</v>
      </c>
      <c r="CB4157" s="2"/>
      <c r="CC4157" s="2" t="s">
        <v>269</v>
      </c>
      <c r="CD4157" s="2">
        <v>117</v>
      </c>
      <c r="CE4157" s="2" t="s">
        <v>104</v>
      </c>
      <c r="CF4157" s="5">
        <v>42950</v>
      </c>
      <c r="CG4157" s="2"/>
      <c r="CH4157" s="2"/>
      <c r="CI4157" s="2">
        <v>1</v>
      </c>
      <c r="CJ4157" s="2">
        <v>1</v>
      </c>
      <c r="CK4157" s="2">
        <v>21</v>
      </c>
      <c r="CL4157" s="2" t="s">
        <v>86</v>
      </c>
      <c r="CM4157" s="2"/>
    </row>
    <row r="4158" spans="1:91">
      <c r="A4158" s="2" t="s">
        <v>71</v>
      </c>
      <c r="B4158" s="2" t="s">
        <v>72</v>
      </c>
      <c r="C4158" s="2" t="s">
        <v>73</v>
      </c>
      <c r="D4158" s="2"/>
      <c r="E4158" s="2" t="str">
        <f>"FES1162566358"</f>
        <v>FES1162566358</v>
      </c>
      <c r="F4158" s="3">
        <v>42949</v>
      </c>
      <c r="G4158" s="2">
        <v>201802</v>
      </c>
      <c r="H4158" s="2" t="s">
        <v>74</v>
      </c>
      <c r="I4158" s="2" t="s">
        <v>75</v>
      </c>
      <c r="J4158" s="2" t="s">
        <v>76</v>
      </c>
      <c r="K4158" s="2" t="s">
        <v>77</v>
      </c>
      <c r="L4158" s="2" t="s">
        <v>268</v>
      </c>
      <c r="M4158" s="2" t="s">
        <v>269</v>
      </c>
      <c r="N4158" s="2" t="s">
        <v>635</v>
      </c>
      <c r="O4158" s="2" t="s">
        <v>100</v>
      </c>
      <c r="P4158" s="2" t="str">
        <f>"2170580092                    "</f>
        <v xml:space="preserve">2170580092                    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4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0</v>
      </c>
      <c r="AU4158" s="2">
        <v>0</v>
      </c>
      <c r="AV4158" s="2">
        <v>0</v>
      </c>
      <c r="AW4158" s="2">
        <v>0</v>
      </c>
      <c r="AX4158" s="2">
        <v>0</v>
      </c>
      <c r="AY4158" s="2">
        <v>0</v>
      </c>
      <c r="AZ4158" s="2">
        <v>0</v>
      </c>
      <c r="BA4158" s="2">
        <v>0</v>
      </c>
      <c r="BB4158" s="2">
        <v>0</v>
      </c>
      <c r="BC4158" s="2">
        <v>0</v>
      </c>
      <c r="BD4158" s="2">
        <v>0</v>
      </c>
      <c r="BE4158" s="2">
        <v>0</v>
      </c>
      <c r="BF4158" s="2">
        <v>0</v>
      </c>
      <c r="BG4158" s="2">
        <v>0</v>
      </c>
      <c r="BH4158" s="2">
        <v>1</v>
      </c>
      <c r="BI4158" s="2">
        <v>1</v>
      </c>
      <c r="BJ4158" s="2">
        <v>0.2</v>
      </c>
      <c r="BK4158" s="2">
        <v>1</v>
      </c>
      <c r="BL4158" s="2">
        <v>41.44</v>
      </c>
      <c r="BM4158" s="2">
        <v>5.8</v>
      </c>
      <c r="BN4158" s="2">
        <v>47.24</v>
      </c>
      <c r="BO4158" s="2">
        <v>47.24</v>
      </c>
      <c r="BP4158" s="2"/>
      <c r="BQ4158" s="2" t="s">
        <v>636</v>
      </c>
      <c r="BR4158" s="2" t="s">
        <v>84</v>
      </c>
      <c r="BS4158" s="3">
        <v>42950</v>
      </c>
      <c r="BT4158" s="4">
        <v>0.45833333333333331</v>
      </c>
      <c r="BU4158" s="2" t="s">
        <v>664</v>
      </c>
      <c r="BV4158" s="2" t="s">
        <v>86</v>
      </c>
      <c r="BW4158" s="2" t="s">
        <v>1007</v>
      </c>
      <c r="BX4158" s="2" t="s">
        <v>1008</v>
      </c>
      <c r="BY4158" s="2">
        <v>1200</v>
      </c>
      <c r="BZ4158" s="2" t="s">
        <v>27</v>
      </c>
      <c r="CA4158" s="2" t="s">
        <v>638</v>
      </c>
      <c r="CB4158" s="2"/>
      <c r="CC4158" s="2" t="s">
        <v>269</v>
      </c>
      <c r="CD4158" s="2">
        <v>184</v>
      </c>
      <c r="CE4158" s="2" t="s">
        <v>104</v>
      </c>
      <c r="CF4158" s="5">
        <v>42950</v>
      </c>
      <c r="CG4158" s="2"/>
      <c r="CH4158" s="2"/>
      <c r="CI4158" s="2">
        <v>1</v>
      </c>
      <c r="CJ4158" s="2">
        <v>1</v>
      </c>
      <c r="CK4158" s="2">
        <v>21</v>
      </c>
      <c r="CL4158" s="2" t="s">
        <v>86</v>
      </c>
      <c r="CM4158" s="2"/>
    </row>
    <row r="4159" spans="1:91">
      <c r="A4159" s="2" t="s">
        <v>71</v>
      </c>
      <c r="B4159" s="2" t="s">
        <v>72</v>
      </c>
      <c r="C4159" s="2" t="s">
        <v>73</v>
      </c>
      <c r="D4159" s="2"/>
      <c r="E4159" s="2" t="str">
        <f>"FES1162566265"</f>
        <v>FES1162566265</v>
      </c>
      <c r="F4159" s="3">
        <v>42949</v>
      </c>
      <c r="G4159" s="2">
        <v>201802</v>
      </c>
      <c r="H4159" s="2" t="s">
        <v>74</v>
      </c>
      <c r="I4159" s="2" t="s">
        <v>75</v>
      </c>
      <c r="J4159" s="2" t="s">
        <v>76</v>
      </c>
      <c r="K4159" s="2" t="s">
        <v>77</v>
      </c>
      <c r="L4159" s="2" t="s">
        <v>268</v>
      </c>
      <c r="M4159" s="2" t="s">
        <v>269</v>
      </c>
      <c r="N4159" s="2" t="s">
        <v>351</v>
      </c>
      <c r="O4159" s="2" t="s">
        <v>100</v>
      </c>
      <c r="P4159" s="2" t="str">
        <f>"2170582694                    "</f>
        <v xml:space="preserve">2170582694                    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4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0</v>
      </c>
      <c r="AU4159" s="2">
        <v>0</v>
      </c>
      <c r="AV4159" s="2">
        <v>0</v>
      </c>
      <c r="AW4159" s="2">
        <v>0</v>
      </c>
      <c r="AX4159" s="2">
        <v>0</v>
      </c>
      <c r="AY4159" s="2">
        <v>0</v>
      </c>
      <c r="AZ4159" s="2">
        <v>0</v>
      </c>
      <c r="BA4159" s="2">
        <v>0</v>
      </c>
      <c r="BB4159" s="2">
        <v>0</v>
      </c>
      <c r="BC4159" s="2">
        <v>0</v>
      </c>
      <c r="BD4159" s="2">
        <v>0</v>
      </c>
      <c r="BE4159" s="2">
        <v>0</v>
      </c>
      <c r="BF4159" s="2">
        <v>0</v>
      </c>
      <c r="BG4159" s="2">
        <v>0</v>
      </c>
      <c r="BH4159" s="2">
        <v>1</v>
      </c>
      <c r="BI4159" s="2">
        <v>1</v>
      </c>
      <c r="BJ4159" s="2">
        <v>0.2</v>
      </c>
      <c r="BK4159" s="2">
        <v>1</v>
      </c>
      <c r="BL4159" s="2">
        <v>41.44</v>
      </c>
      <c r="BM4159" s="2">
        <v>5.8</v>
      </c>
      <c r="BN4159" s="2">
        <v>47.24</v>
      </c>
      <c r="BO4159" s="2">
        <v>47.24</v>
      </c>
      <c r="BP4159" s="2"/>
      <c r="BQ4159" s="2" t="s">
        <v>108</v>
      </c>
      <c r="BR4159" s="2" t="s">
        <v>84</v>
      </c>
      <c r="BS4159" s="3">
        <v>42950</v>
      </c>
      <c r="BT4159" s="4">
        <v>0.4375</v>
      </c>
      <c r="BU4159" s="2" t="s">
        <v>1006</v>
      </c>
      <c r="BV4159" s="2" t="s">
        <v>95</v>
      </c>
      <c r="BW4159" s="2"/>
      <c r="BX4159" s="2"/>
      <c r="BY4159" s="2">
        <v>1200</v>
      </c>
      <c r="BZ4159" s="2" t="s">
        <v>27</v>
      </c>
      <c r="CA4159" s="2" t="s">
        <v>272</v>
      </c>
      <c r="CB4159" s="2"/>
      <c r="CC4159" s="2" t="s">
        <v>269</v>
      </c>
      <c r="CD4159" s="2">
        <v>200</v>
      </c>
      <c r="CE4159" s="2" t="s">
        <v>104</v>
      </c>
      <c r="CF4159" s="5">
        <v>42951</v>
      </c>
      <c r="CG4159" s="2"/>
      <c r="CH4159" s="2"/>
      <c r="CI4159" s="2">
        <v>1</v>
      </c>
      <c r="CJ4159" s="2">
        <v>1</v>
      </c>
      <c r="CK4159" s="2">
        <v>21</v>
      </c>
      <c r="CL4159" s="2" t="s">
        <v>86</v>
      </c>
      <c r="CM4159" s="2"/>
    </row>
    <row r="4160" spans="1:91">
      <c r="A4160" s="2" t="s">
        <v>71</v>
      </c>
      <c r="B4160" s="2" t="s">
        <v>72</v>
      </c>
      <c r="C4160" s="2" t="s">
        <v>73</v>
      </c>
      <c r="D4160" s="2"/>
      <c r="E4160" s="2" t="str">
        <f>"FES1162566208"</f>
        <v>FES1162566208</v>
      </c>
      <c r="F4160" s="3">
        <v>42949</v>
      </c>
      <c r="G4160" s="2">
        <v>201802</v>
      </c>
      <c r="H4160" s="2" t="s">
        <v>74</v>
      </c>
      <c r="I4160" s="2" t="s">
        <v>75</v>
      </c>
      <c r="J4160" s="2" t="s">
        <v>76</v>
      </c>
      <c r="K4160" s="2" t="s">
        <v>77</v>
      </c>
      <c r="L4160" s="2" t="s">
        <v>159</v>
      </c>
      <c r="M4160" s="2" t="s">
        <v>160</v>
      </c>
      <c r="N4160" s="2" t="s">
        <v>1465</v>
      </c>
      <c r="O4160" s="2" t="s">
        <v>100</v>
      </c>
      <c r="P4160" s="2" t="str">
        <f>"2170582173                    "</f>
        <v xml:space="preserve">2170582173                    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5.63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0</v>
      </c>
      <c r="AU4160" s="2">
        <v>0</v>
      </c>
      <c r="AV4160" s="2">
        <v>0</v>
      </c>
      <c r="AW4160" s="2">
        <v>0</v>
      </c>
      <c r="AX4160" s="2">
        <v>0</v>
      </c>
      <c r="AY4160" s="2">
        <v>0</v>
      </c>
      <c r="AZ4160" s="2">
        <v>0</v>
      </c>
      <c r="BA4160" s="2">
        <v>0</v>
      </c>
      <c r="BB4160" s="2">
        <v>0</v>
      </c>
      <c r="BC4160" s="2">
        <v>0</v>
      </c>
      <c r="BD4160" s="2">
        <v>0</v>
      </c>
      <c r="BE4160" s="2">
        <v>0</v>
      </c>
      <c r="BF4160" s="2">
        <v>0</v>
      </c>
      <c r="BG4160" s="2">
        <v>0</v>
      </c>
      <c r="BH4160" s="2">
        <v>1</v>
      </c>
      <c r="BI4160" s="2">
        <v>1</v>
      </c>
      <c r="BJ4160" s="2">
        <v>0.2</v>
      </c>
      <c r="BK4160" s="2">
        <v>1</v>
      </c>
      <c r="BL4160" s="2">
        <v>58.28</v>
      </c>
      <c r="BM4160" s="2">
        <v>8.16</v>
      </c>
      <c r="BN4160" s="2">
        <v>66.44</v>
      </c>
      <c r="BO4160" s="2">
        <v>66.44</v>
      </c>
      <c r="BP4160" s="2"/>
      <c r="BQ4160" s="2" t="s">
        <v>209</v>
      </c>
      <c r="BR4160" s="2" t="s">
        <v>84</v>
      </c>
      <c r="BS4160" s="3">
        <v>42951</v>
      </c>
      <c r="BT4160" s="4">
        <v>0.52083333333333337</v>
      </c>
      <c r="BU4160" s="2" t="s">
        <v>1466</v>
      </c>
      <c r="BV4160" s="2" t="s">
        <v>86</v>
      </c>
      <c r="BW4160" s="2" t="s">
        <v>110</v>
      </c>
      <c r="BX4160" s="2" t="s">
        <v>623</v>
      </c>
      <c r="BY4160" s="2">
        <v>1200</v>
      </c>
      <c r="BZ4160" s="2"/>
      <c r="CA4160" s="2"/>
      <c r="CB4160" s="2"/>
      <c r="CC4160" s="2" t="s">
        <v>160</v>
      </c>
      <c r="CD4160" s="2">
        <v>407</v>
      </c>
      <c r="CE4160" s="2" t="s">
        <v>104</v>
      </c>
      <c r="CF4160" s="5">
        <v>42954</v>
      </c>
      <c r="CG4160" s="2"/>
      <c r="CH4160" s="2"/>
      <c r="CI4160" s="2">
        <v>1</v>
      </c>
      <c r="CJ4160" s="2">
        <v>2</v>
      </c>
      <c r="CK4160" s="2">
        <v>24</v>
      </c>
      <c r="CL4160" s="2" t="s">
        <v>86</v>
      </c>
      <c r="CM4160" s="2"/>
    </row>
    <row r="4161" spans="1:91">
      <c r="A4161" s="2" t="s">
        <v>71</v>
      </c>
      <c r="B4161" s="2" t="s">
        <v>72</v>
      </c>
      <c r="C4161" s="2" t="s">
        <v>73</v>
      </c>
      <c r="D4161" s="2"/>
      <c r="E4161" s="2" t="str">
        <f>"FES1162566167"</f>
        <v>FES1162566167</v>
      </c>
      <c r="F4161" s="3">
        <v>42949</v>
      </c>
      <c r="G4161" s="2">
        <v>201802</v>
      </c>
      <c r="H4161" s="2" t="s">
        <v>74</v>
      </c>
      <c r="I4161" s="2" t="s">
        <v>75</v>
      </c>
      <c r="J4161" s="2" t="s">
        <v>76</v>
      </c>
      <c r="K4161" s="2" t="s">
        <v>77</v>
      </c>
      <c r="L4161" s="2" t="s">
        <v>105</v>
      </c>
      <c r="M4161" s="2" t="s">
        <v>106</v>
      </c>
      <c r="N4161" s="2" t="s">
        <v>873</v>
      </c>
      <c r="O4161" s="2" t="s">
        <v>100</v>
      </c>
      <c r="P4161" s="2" t="str">
        <f>"2170580659                    "</f>
        <v xml:space="preserve">2170580659                    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4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0</v>
      </c>
      <c r="AU4161" s="2">
        <v>0</v>
      </c>
      <c r="AV4161" s="2">
        <v>0</v>
      </c>
      <c r="AW4161" s="2">
        <v>0</v>
      </c>
      <c r="AX4161" s="2">
        <v>0</v>
      </c>
      <c r="AY4161" s="2">
        <v>0</v>
      </c>
      <c r="AZ4161" s="2">
        <v>0</v>
      </c>
      <c r="BA4161" s="2">
        <v>0</v>
      </c>
      <c r="BB4161" s="2">
        <v>0</v>
      </c>
      <c r="BC4161" s="2">
        <v>0</v>
      </c>
      <c r="BD4161" s="2">
        <v>0</v>
      </c>
      <c r="BE4161" s="2">
        <v>0</v>
      </c>
      <c r="BF4161" s="2">
        <v>0</v>
      </c>
      <c r="BG4161" s="2">
        <v>0</v>
      </c>
      <c r="BH4161" s="2">
        <v>1</v>
      </c>
      <c r="BI4161" s="2">
        <v>1</v>
      </c>
      <c r="BJ4161" s="2">
        <v>0.2</v>
      </c>
      <c r="BK4161" s="2">
        <v>1</v>
      </c>
      <c r="BL4161" s="2">
        <v>41.44</v>
      </c>
      <c r="BM4161" s="2">
        <v>5.8</v>
      </c>
      <c r="BN4161" s="2">
        <v>47.24</v>
      </c>
      <c r="BO4161" s="2">
        <v>47.24</v>
      </c>
      <c r="BP4161" s="2"/>
      <c r="BQ4161" s="2" t="s">
        <v>83</v>
      </c>
      <c r="BR4161" s="2" t="s">
        <v>84</v>
      </c>
      <c r="BS4161" s="3">
        <v>42950</v>
      </c>
      <c r="BT4161" s="4">
        <v>0.36944444444444446</v>
      </c>
      <c r="BU4161" s="2" t="s">
        <v>2232</v>
      </c>
      <c r="BV4161" s="2" t="s">
        <v>95</v>
      </c>
      <c r="BW4161" s="2"/>
      <c r="BX4161" s="2"/>
      <c r="BY4161" s="2">
        <v>1200</v>
      </c>
      <c r="BZ4161" s="2" t="s">
        <v>27</v>
      </c>
      <c r="CA4161" s="2" t="s">
        <v>869</v>
      </c>
      <c r="CB4161" s="2"/>
      <c r="CC4161" s="2" t="s">
        <v>106</v>
      </c>
      <c r="CD4161" s="2">
        <v>7460</v>
      </c>
      <c r="CE4161" s="2" t="s">
        <v>104</v>
      </c>
      <c r="CF4161" s="5">
        <v>42951</v>
      </c>
      <c r="CG4161" s="2"/>
      <c r="CH4161" s="2"/>
      <c r="CI4161" s="2">
        <v>1</v>
      </c>
      <c r="CJ4161" s="2">
        <v>1</v>
      </c>
      <c r="CK4161" s="2">
        <v>21</v>
      </c>
      <c r="CL4161" s="2" t="s">
        <v>86</v>
      </c>
      <c r="CM4161" s="2"/>
    </row>
    <row r="4162" spans="1:91">
      <c r="A4162" s="2" t="s">
        <v>71</v>
      </c>
      <c r="B4162" s="2" t="s">
        <v>72</v>
      </c>
      <c r="C4162" s="2" t="s">
        <v>73</v>
      </c>
      <c r="D4162" s="2"/>
      <c r="E4162" s="2" t="str">
        <f>"FES1162566118"</f>
        <v>FES1162566118</v>
      </c>
      <c r="F4162" s="3">
        <v>42949</v>
      </c>
      <c r="G4162" s="2">
        <v>201802</v>
      </c>
      <c r="H4162" s="2" t="s">
        <v>74</v>
      </c>
      <c r="I4162" s="2" t="s">
        <v>75</v>
      </c>
      <c r="J4162" s="2" t="s">
        <v>76</v>
      </c>
      <c r="K4162" s="2" t="s">
        <v>77</v>
      </c>
      <c r="L4162" s="2" t="s">
        <v>362</v>
      </c>
      <c r="M4162" s="2" t="s">
        <v>363</v>
      </c>
      <c r="N4162" s="2" t="s">
        <v>683</v>
      </c>
      <c r="O4162" s="2" t="s">
        <v>100</v>
      </c>
      <c r="P4162" s="2" t="str">
        <f>"21705874742                   "</f>
        <v xml:space="preserve">21705874742                   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0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4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0</v>
      </c>
      <c r="AU4162" s="2">
        <v>0</v>
      </c>
      <c r="AV4162" s="2">
        <v>0</v>
      </c>
      <c r="AW4162" s="2">
        <v>0</v>
      </c>
      <c r="AX4162" s="2">
        <v>0</v>
      </c>
      <c r="AY4162" s="2">
        <v>0</v>
      </c>
      <c r="AZ4162" s="2">
        <v>0</v>
      </c>
      <c r="BA4162" s="2">
        <v>0</v>
      </c>
      <c r="BB4162" s="2">
        <v>0</v>
      </c>
      <c r="BC4162" s="2">
        <v>0</v>
      </c>
      <c r="BD4162" s="2">
        <v>0</v>
      </c>
      <c r="BE4162" s="2">
        <v>0</v>
      </c>
      <c r="BF4162" s="2">
        <v>0</v>
      </c>
      <c r="BG4162" s="2">
        <v>0</v>
      </c>
      <c r="BH4162" s="2">
        <v>1</v>
      </c>
      <c r="BI4162" s="2">
        <v>1</v>
      </c>
      <c r="BJ4162" s="2">
        <v>0.2</v>
      </c>
      <c r="BK4162" s="2">
        <v>1</v>
      </c>
      <c r="BL4162" s="2">
        <v>41.44</v>
      </c>
      <c r="BM4162" s="2">
        <v>5.8</v>
      </c>
      <c r="BN4162" s="2">
        <v>47.24</v>
      </c>
      <c r="BO4162" s="2">
        <v>47.24</v>
      </c>
      <c r="BP4162" s="2"/>
      <c r="BQ4162" s="2" t="s">
        <v>108</v>
      </c>
      <c r="BR4162" s="2" t="s">
        <v>84</v>
      </c>
      <c r="BS4162" s="3">
        <v>42950</v>
      </c>
      <c r="BT4162" s="4">
        <v>0.375</v>
      </c>
      <c r="BU4162" s="2" t="s">
        <v>3839</v>
      </c>
      <c r="BV4162" s="2" t="s">
        <v>95</v>
      </c>
      <c r="BW4162" s="2"/>
      <c r="BX4162" s="2"/>
      <c r="BY4162" s="2">
        <v>1200</v>
      </c>
      <c r="BZ4162" s="2" t="s">
        <v>27</v>
      </c>
      <c r="CA4162" s="2"/>
      <c r="CB4162" s="2"/>
      <c r="CC4162" s="2" t="s">
        <v>363</v>
      </c>
      <c r="CD4162" s="2">
        <v>3201</v>
      </c>
      <c r="CE4162" s="2" t="s">
        <v>104</v>
      </c>
      <c r="CF4162" s="5">
        <v>42954</v>
      </c>
      <c r="CG4162" s="2"/>
      <c r="CH4162" s="2"/>
      <c r="CI4162" s="2">
        <v>1</v>
      </c>
      <c r="CJ4162" s="2">
        <v>1</v>
      </c>
      <c r="CK4162" s="2">
        <v>21</v>
      </c>
      <c r="CL4162" s="2" t="s">
        <v>86</v>
      </c>
      <c r="CM4162" s="2"/>
    </row>
    <row r="4163" spans="1:91">
      <c r="A4163" s="2" t="s">
        <v>71</v>
      </c>
      <c r="B4163" s="2" t="s">
        <v>72</v>
      </c>
      <c r="C4163" s="2" t="s">
        <v>73</v>
      </c>
      <c r="D4163" s="2"/>
      <c r="E4163" s="2" t="str">
        <f>"FES1162566119"</f>
        <v>FES1162566119</v>
      </c>
      <c r="F4163" s="3">
        <v>42949</v>
      </c>
      <c r="G4163" s="2">
        <v>201802</v>
      </c>
      <c r="H4163" s="2" t="s">
        <v>74</v>
      </c>
      <c r="I4163" s="2" t="s">
        <v>75</v>
      </c>
      <c r="J4163" s="2" t="s">
        <v>76</v>
      </c>
      <c r="K4163" s="2" t="s">
        <v>77</v>
      </c>
      <c r="L4163" s="2" t="s">
        <v>362</v>
      </c>
      <c r="M4163" s="2" t="s">
        <v>363</v>
      </c>
      <c r="N4163" s="2" t="s">
        <v>683</v>
      </c>
      <c r="O4163" s="2" t="s">
        <v>100</v>
      </c>
      <c r="P4163" s="2" t="str">
        <f>"21705874679                   "</f>
        <v xml:space="preserve">21705874679                   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4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0</v>
      </c>
      <c r="AU4163" s="2">
        <v>0</v>
      </c>
      <c r="AV4163" s="2">
        <v>0</v>
      </c>
      <c r="AW4163" s="2">
        <v>0</v>
      </c>
      <c r="AX4163" s="2">
        <v>0</v>
      </c>
      <c r="AY4163" s="2">
        <v>0</v>
      </c>
      <c r="AZ4163" s="2">
        <v>0</v>
      </c>
      <c r="BA4163" s="2">
        <v>0</v>
      </c>
      <c r="BB4163" s="2">
        <v>0</v>
      </c>
      <c r="BC4163" s="2">
        <v>0</v>
      </c>
      <c r="BD4163" s="2">
        <v>0</v>
      </c>
      <c r="BE4163" s="2">
        <v>0</v>
      </c>
      <c r="BF4163" s="2">
        <v>0</v>
      </c>
      <c r="BG4163" s="2">
        <v>0</v>
      </c>
      <c r="BH4163" s="2">
        <v>1</v>
      </c>
      <c r="BI4163" s="2">
        <v>1</v>
      </c>
      <c r="BJ4163" s="2">
        <v>2</v>
      </c>
      <c r="BK4163" s="2">
        <v>2</v>
      </c>
      <c r="BL4163" s="2">
        <v>41.44</v>
      </c>
      <c r="BM4163" s="2">
        <v>5.8</v>
      </c>
      <c r="BN4163" s="2">
        <v>47.24</v>
      </c>
      <c r="BO4163" s="2">
        <v>47.24</v>
      </c>
      <c r="BP4163" s="2"/>
      <c r="BQ4163" s="2" t="s">
        <v>108</v>
      </c>
      <c r="BR4163" s="2" t="s">
        <v>84</v>
      </c>
      <c r="BS4163" s="3">
        <v>42950</v>
      </c>
      <c r="BT4163" s="4">
        <v>0.375</v>
      </c>
      <c r="BU4163" s="2" t="s">
        <v>805</v>
      </c>
      <c r="BV4163" s="2" t="s">
        <v>95</v>
      </c>
      <c r="BW4163" s="2"/>
      <c r="BX4163" s="2"/>
      <c r="BY4163" s="2">
        <v>9796.2800000000007</v>
      </c>
      <c r="BZ4163" s="2" t="s">
        <v>27</v>
      </c>
      <c r="CA4163" s="2"/>
      <c r="CB4163" s="2"/>
      <c r="CC4163" s="2" t="s">
        <v>363</v>
      </c>
      <c r="CD4163" s="2">
        <v>3201</v>
      </c>
      <c r="CE4163" s="2" t="s">
        <v>104</v>
      </c>
      <c r="CF4163" s="5">
        <v>42954</v>
      </c>
      <c r="CG4163" s="2"/>
      <c r="CH4163" s="2"/>
      <c r="CI4163" s="2">
        <v>1</v>
      </c>
      <c r="CJ4163" s="2">
        <v>1</v>
      </c>
      <c r="CK4163" s="2">
        <v>21</v>
      </c>
      <c r="CL4163" s="2" t="s">
        <v>86</v>
      </c>
      <c r="CM4163" s="2"/>
    </row>
    <row r="4164" spans="1:91">
      <c r="A4164" s="2" t="s">
        <v>71</v>
      </c>
      <c r="B4164" s="2" t="s">
        <v>72</v>
      </c>
      <c r="C4164" s="2" t="s">
        <v>73</v>
      </c>
      <c r="D4164" s="2"/>
      <c r="E4164" s="2" t="str">
        <f>"FES1162566386"</f>
        <v>FES1162566386</v>
      </c>
      <c r="F4164" s="3">
        <v>42949</v>
      </c>
      <c r="G4164" s="2">
        <v>201802</v>
      </c>
      <c r="H4164" s="2" t="s">
        <v>74</v>
      </c>
      <c r="I4164" s="2" t="s">
        <v>75</v>
      </c>
      <c r="J4164" s="2" t="s">
        <v>76</v>
      </c>
      <c r="K4164" s="2" t="s">
        <v>77</v>
      </c>
      <c r="L4164" s="2" t="s">
        <v>105</v>
      </c>
      <c r="M4164" s="2" t="s">
        <v>106</v>
      </c>
      <c r="N4164" s="2" t="s">
        <v>873</v>
      </c>
      <c r="O4164" s="2" t="s">
        <v>100</v>
      </c>
      <c r="P4164" s="2" t="str">
        <f>"2170580659                    "</f>
        <v xml:space="preserve">2170580659                    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0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4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0</v>
      </c>
      <c r="AU4164" s="2">
        <v>0</v>
      </c>
      <c r="AV4164" s="2">
        <v>0</v>
      </c>
      <c r="AW4164" s="2">
        <v>0</v>
      </c>
      <c r="AX4164" s="2">
        <v>0</v>
      </c>
      <c r="AY4164" s="2">
        <v>0</v>
      </c>
      <c r="AZ4164" s="2">
        <v>0</v>
      </c>
      <c r="BA4164" s="2">
        <v>0</v>
      </c>
      <c r="BB4164" s="2">
        <v>0</v>
      </c>
      <c r="BC4164" s="2">
        <v>0</v>
      </c>
      <c r="BD4164" s="2">
        <v>0</v>
      </c>
      <c r="BE4164" s="2">
        <v>0</v>
      </c>
      <c r="BF4164" s="2">
        <v>0</v>
      </c>
      <c r="BG4164" s="2">
        <v>0</v>
      </c>
      <c r="BH4164" s="2">
        <v>1</v>
      </c>
      <c r="BI4164" s="2">
        <v>1</v>
      </c>
      <c r="BJ4164" s="2">
        <v>0.2</v>
      </c>
      <c r="BK4164" s="2">
        <v>1</v>
      </c>
      <c r="BL4164" s="2">
        <v>41.44</v>
      </c>
      <c r="BM4164" s="2">
        <v>5.8</v>
      </c>
      <c r="BN4164" s="2">
        <v>47.24</v>
      </c>
      <c r="BO4164" s="2">
        <v>47.24</v>
      </c>
      <c r="BP4164" s="2"/>
      <c r="BQ4164" s="2" t="s">
        <v>83</v>
      </c>
      <c r="BR4164" s="2" t="s">
        <v>84</v>
      </c>
      <c r="BS4164" s="3">
        <v>42950</v>
      </c>
      <c r="BT4164" s="4">
        <v>0.36944444444444446</v>
      </c>
      <c r="BU4164" s="2" t="s">
        <v>2232</v>
      </c>
      <c r="BV4164" s="2" t="s">
        <v>95</v>
      </c>
      <c r="BW4164" s="2"/>
      <c r="BX4164" s="2"/>
      <c r="BY4164" s="2">
        <v>1200</v>
      </c>
      <c r="BZ4164" s="2" t="s">
        <v>27</v>
      </c>
      <c r="CA4164" s="2" t="s">
        <v>869</v>
      </c>
      <c r="CB4164" s="2"/>
      <c r="CC4164" s="2" t="s">
        <v>106</v>
      </c>
      <c r="CD4164" s="2">
        <v>7460</v>
      </c>
      <c r="CE4164" s="2" t="s">
        <v>104</v>
      </c>
      <c r="CF4164" s="5">
        <v>42951</v>
      </c>
      <c r="CG4164" s="2"/>
      <c r="CH4164" s="2"/>
      <c r="CI4164" s="2">
        <v>1</v>
      </c>
      <c r="CJ4164" s="2">
        <v>1</v>
      </c>
      <c r="CK4164" s="2">
        <v>21</v>
      </c>
      <c r="CL4164" s="2" t="s">
        <v>86</v>
      </c>
      <c r="CM4164" s="2"/>
    </row>
    <row r="4165" spans="1:91">
      <c r="A4165" s="2" t="s">
        <v>71</v>
      </c>
      <c r="B4165" s="2" t="s">
        <v>72</v>
      </c>
      <c r="C4165" s="2" t="s">
        <v>73</v>
      </c>
      <c r="D4165" s="2"/>
      <c r="E4165" s="2" t="str">
        <f>"FES1162566475"</f>
        <v>FES1162566475</v>
      </c>
      <c r="F4165" s="3">
        <v>42949</v>
      </c>
      <c r="G4165" s="2">
        <v>201802</v>
      </c>
      <c r="H4165" s="2" t="s">
        <v>74</v>
      </c>
      <c r="I4165" s="2" t="s">
        <v>75</v>
      </c>
      <c r="J4165" s="2" t="s">
        <v>76</v>
      </c>
      <c r="K4165" s="2" t="s">
        <v>77</v>
      </c>
      <c r="L4165" s="2" t="s">
        <v>97</v>
      </c>
      <c r="M4165" s="2" t="s">
        <v>98</v>
      </c>
      <c r="N4165" s="2" t="s">
        <v>119</v>
      </c>
      <c r="O4165" s="2" t="s">
        <v>100</v>
      </c>
      <c r="P4165" s="2" t="str">
        <f>"2170582835                    "</f>
        <v xml:space="preserve">2170582835                    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4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0</v>
      </c>
      <c r="AU4165" s="2">
        <v>0</v>
      </c>
      <c r="AV4165" s="2">
        <v>0</v>
      </c>
      <c r="AW4165" s="2">
        <v>0</v>
      </c>
      <c r="AX4165" s="2">
        <v>0</v>
      </c>
      <c r="AY4165" s="2">
        <v>0</v>
      </c>
      <c r="AZ4165" s="2">
        <v>0</v>
      </c>
      <c r="BA4165" s="2">
        <v>0</v>
      </c>
      <c r="BB4165" s="2">
        <v>0</v>
      </c>
      <c r="BC4165" s="2">
        <v>0</v>
      </c>
      <c r="BD4165" s="2">
        <v>0</v>
      </c>
      <c r="BE4165" s="2">
        <v>0</v>
      </c>
      <c r="BF4165" s="2">
        <v>0</v>
      </c>
      <c r="BG4165" s="2">
        <v>0</v>
      </c>
      <c r="BH4165" s="2">
        <v>1</v>
      </c>
      <c r="BI4165" s="2">
        <v>2</v>
      </c>
      <c r="BJ4165" s="2">
        <v>0.2</v>
      </c>
      <c r="BK4165" s="2">
        <v>2</v>
      </c>
      <c r="BL4165" s="2">
        <v>41.44</v>
      </c>
      <c r="BM4165" s="2">
        <v>5.8</v>
      </c>
      <c r="BN4165" s="2">
        <v>47.24</v>
      </c>
      <c r="BO4165" s="2">
        <v>47.24</v>
      </c>
      <c r="BP4165" s="2"/>
      <c r="BQ4165" s="2" t="s">
        <v>108</v>
      </c>
      <c r="BR4165" s="2" t="s">
        <v>84</v>
      </c>
      <c r="BS4165" s="3">
        <v>42950</v>
      </c>
      <c r="BT4165" s="4">
        <v>0.31805555555555554</v>
      </c>
      <c r="BU4165" s="2" t="s">
        <v>2350</v>
      </c>
      <c r="BV4165" s="2" t="s">
        <v>95</v>
      </c>
      <c r="BW4165" s="2"/>
      <c r="BX4165" s="2"/>
      <c r="BY4165" s="2">
        <v>1200</v>
      </c>
      <c r="BZ4165" s="2" t="s">
        <v>27</v>
      </c>
      <c r="CA4165" s="2" t="s">
        <v>213</v>
      </c>
      <c r="CB4165" s="2"/>
      <c r="CC4165" s="2" t="s">
        <v>98</v>
      </c>
      <c r="CD4165" s="2">
        <v>6001</v>
      </c>
      <c r="CE4165" s="2" t="s">
        <v>104</v>
      </c>
      <c r="CF4165" s="5">
        <v>42951</v>
      </c>
      <c r="CG4165" s="2"/>
      <c r="CH4165" s="2"/>
      <c r="CI4165" s="2">
        <v>1</v>
      </c>
      <c r="CJ4165" s="2">
        <v>1</v>
      </c>
      <c r="CK4165" s="2">
        <v>21</v>
      </c>
      <c r="CL4165" s="2" t="s">
        <v>86</v>
      </c>
      <c r="CM4165" s="2"/>
    </row>
    <row r="4166" spans="1:91">
      <c r="A4166" s="2" t="s">
        <v>71</v>
      </c>
      <c r="B4166" s="2" t="s">
        <v>72</v>
      </c>
      <c r="C4166" s="2" t="s">
        <v>73</v>
      </c>
      <c r="D4166" s="2"/>
      <c r="E4166" s="2" t="str">
        <f>"FES1162566409"</f>
        <v>FES1162566409</v>
      </c>
      <c r="F4166" s="3">
        <v>42949</v>
      </c>
      <c r="G4166" s="2">
        <v>201802</v>
      </c>
      <c r="H4166" s="2" t="s">
        <v>74</v>
      </c>
      <c r="I4166" s="2" t="s">
        <v>75</v>
      </c>
      <c r="J4166" s="2" t="s">
        <v>76</v>
      </c>
      <c r="K4166" s="2" t="s">
        <v>77</v>
      </c>
      <c r="L4166" s="2" t="s">
        <v>97</v>
      </c>
      <c r="M4166" s="2" t="s">
        <v>98</v>
      </c>
      <c r="N4166" s="2" t="s">
        <v>2762</v>
      </c>
      <c r="O4166" s="2" t="s">
        <v>100</v>
      </c>
      <c r="P4166" s="2" t="str">
        <f>"2170582757                    "</f>
        <v xml:space="preserve">2170582757                    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4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0</v>
      </c>
      <c r="AU4166" s="2">
        <v>0</v>
      </c>
      <c r="AV4166" s="2">
        <v>0</v>
      </c>
      <c r="AW4166" s="2">
        <v>0</v>
      </c>
      <c r="AX4166" s="2">
        <v>0</v>
      </c>
      <c r="AY4166" s="2">
        <v>0</v>
      </c>
      <c r="AZ4166" s="2">
        <v>0</v>
      </c>
      <c r="BA4166" s="2">
        <v>0</v>
      </c>
      <c r="BB4166" s="2">
        <v>0</v>
      </c>
      <c r="BC4166" s="2">
        <v>0</v>
      </c>
      <c r="BD4166" s="2">
        <v>0</v>
      </c>
      <c r="BE4166" s="2">
        <v>0</v>
      </c>
      <c r="BF4166" s="2">
        <v>0</v>
      </c>
      <c r="BG4166" s="2">
        <v>0</v>
      </c>
      <c r="BH4166" s="2">
        <v>1</v>
      </c>
      <c r="BI4166" s="2">
        <v>1</v>
      </c>
      <c r="BJ4166" s="2">
        <v>0.2</v>
      </c>
      <c r="BK4166" s="2">
        <v>1</v>
      </c>
      <c r="BL4166" s="2">
        <v>41.44</v>
      </c>
      <c r="BM4166" s="2">
        <v>5.8</v>
      </c>
      <c r="BN4166" s="2">
        <v>47.24</v>
      </c>
      <c r="BO4166" s="2">
        <v>47.24</v>
      </c>
      <c r="BP4166" s="2"/>
      <c r="BQ4166" s="2" t="s">
        <v>83</v>
      </c>
      <c r="BR4166" s="2" t="s">
        <v>84</v>
      </c>
      <c r="BS4166" s="3">
        <v>42950</v>
      </c>
      <c r="BT4166" s="4">
        <v>0.37916666666666665</v>
      </c>
      <c r="BU4166" s="2" t="s">
        <v>3882</v>
      </c>
      <c r="BV4166" s="2" t="s">
        <v>95</v>
      </c>
      <c r="BW4166" s="2"/>
      <c r="BX4166" s="2"/>
      <c r="BY4166" s="2">
        <v>1200</v>
      </c>
      <c r="BZ4166" s="2" t="s">
        <v>27</v>
      </c>
      <c r="CA4166" s="2" t="s">
        <v>213</v>
      </c>
      <c r="CB4166" s="2"/>
      <c r="CC4166" s="2" t="s">
        <v>98</v>
      </c>
      <c r="CD4166" s="2">
        <v>6014</v>
      </c>
      <c r="CE4166" s="2" t="s">
        <v>104</v>
      </c>
      <c r="CF4166" s="5">
        <v>42951</v>
      </c>
      <c r="CG4166" s="2"/>
      <c r="CH4166" s="2"/>
      <c r="CI4166" s="2">
        <v>1</v>
      </c>
      <c r="CJ4166" s="2">
        <v>1</v>
      </c>
      <c r="CK4166" s="2">
        <v>21</v>
      </c>
      <c r="CL4166" s="2" t="s">
        <v>86</v>
      </c>
      <c r="CM4166" s="2"/>
    </row>
    <row r="4167" spans="1:91">
      <c r="A4167" s="2" t="s">
        <v>71</v>
      </c>
      <c r="B4167" s="2" t="s">
        <v>72</v>
      </c>
      <c r="C4167" s="2" t="s">
        <v>73</v>
      </c>
      <c r="D4167" s="2"/>
      <c r="E4167" s="2" t="str">
        <f>"FES1162566372"</f>
        <v>FES1162566372</v>
      </c>
      <c r="F4167" s="3">
        <v>42949</v>
      </c>
      <c r="G4167" s="2">
        <v>201802</v>
      </c>
      <c r="H4167" s="2" t="s">
        <v>74</v>
      </c>
      <c r="I4167" s="2" t="s">
        <v>75</v>
      </c>
      <c r="J4167" s="2" t="s">
        <v>76</v>
      </c>
      <c r="K4167" s="2" t="s">
        <v>77</v>
      </c>
      <c r="L4167" s="2" t="s">
        <v>105</v>
      </c>
      <c r="M4167" s="2" t="s">
        <v>106</v>
      </c>
      <c r="N4167" s="2" t="s">
        <v>253</v>
      </c>
      <c r="O4167" s="2" t="s">
        <v>100</v>
      </c>
      <c r="P4167" s="2" t="str">
        <f>"2170580381                    "</f>
        <v xml:space="preserve">2170580381                    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4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0</v>
      </c>
      <c r="AU4167" s="2">
        <v>0</v>
      </c>
      <c r="AV4167" s="2">
        <v>0</v>
      </c>
      <c r="AW4167" s="2">
        <v>0</v>
      </c>
      <c r="AX4167" s="2">
        <v>0</v>
      </c>
      <c r="AY4167" s="2">
        <v>0</v>
      </c>
      <c r="AZ4167" s="2">
        <v>0</v>
      </c>
      <c r="BA4167" s="2">
        <v>0</v>
      </c>
      <c r="BB4167" s="2">
        <v>0</v>
      </c>
      <c r="BC4167" s="2">
        <v>0</v>
      </c>
      <c r="BD4167" s="2">
        <v>0</v>
      </c>
      <c r="BE4167" s="2">
        <v>0</v>
      </c>
      <c r="BF4167" s="2">
        <v>0</v>
      </c>
      <c r="BG4167" s="2">
        <v>0</v>
      </c>
      <c r="BH4167" s="2">
        <v>1</v>
      </c>
      <c r="BI4167" s="2">
        <v>1</v>
      </c>
      <c r="BJ4167" s="2">
        <v>0.2</v>
      </c>
      <c r="BK4167" s="2">
        <v>1</v>
      </c>
      <c r="BL4167" s="2">
        <v>41.44</v>
      </c>
      <c r="BM4167" s="2">
        <v>5.8</v>
      </c>
      <c r="BN4167" s="2">
        <v>47.24</v>
      </c>
      <c r="BO4167" s="2">
        <v>47.24</v>
      </c>
      <c r="BP4167" s="2"/>
      <c r="BQ4167" s="2" t="s">
        <v>1492</v>
      </c>
      <c r="BR4167" s="2" t="s">
        <v>84</v>
      </c>
      <c r="BS4167" s="3">
        <v>42950</v>
      </c>
      <c r="BT4167" s="4">
        <v>0.41111111111111115</v>
      </c>
      <c r="BU4167" s="2" t="s">
        <v>1074</v>
      </c>
      <c r="BV4167" s="2" t="s">
        <v>95</v>
      </c>
      <c r="BW4167" s="2"/>
      <c r="BX4167" s="2"/>
      <c r="BY4167" s="2">
        <v>1200</v>
      </c>
      <c r="BZ4167" s="2" t="s">
        <v>27</v>
      </c>
      <c r="CA4167" s="2" t="s">
        <v>654</v>
      </c>
      <c r="CB4167" s="2"/>
      <c r="CC4167" s="2" t="s">
        <v>106</v>
      </c>
      <c r="CD4167" s="2">
        <v>7490</v>
      </c>
      <c r="CE4167" s="2" t="s">
        <v>104</v>
      </c>
      <c r="CF4167" s="5">
        <v>42951</v>
      </c>
      <c r="CG4167" s="2"/>
      <c r="CH4167" s="2"/>
      <c r="CI4167" s="2">
        <v>1</v>
      </c>
      <c r="CJ4167" s="2">
        <v>1</v>
      </c>
      <c r="CK4167" s="2">
        <v>21</v>
      </c>
      <c r="CL4167" s="2" t="s">
        <v>86</v>
      </c>
      <c r="CM4167" s="2"/>
    </row>
    <row r="4168" spans="1:91">
      <c r="A4168" s="2" t="s">
        <v>71</v>
      </c>
      <c r="B4168" s="2" t="s">
        <v>72</v>
      </c>
      <c r="C4168" s="2" t="s">
        <v>73</v>
      </c>
      <c r="D4168" s="2"/>
      <c r="E4168" s="2" t="str">
        <f>"FES1162566448"</f>
        <v>FES1162566448</v>
      </c>
      <c r="F4168" s="3">
        <v>42949</v>
      </c>
      <c r="G4168" s="2">
        <v>201802</v>
      </c>
      <c r="H4168" s="2" t="s">
        <v>74</v>
      </c>
      <c r="I4168" s="2" t="s">
        <v>75</v>
      </c>
      <c r="J4168" s="2" t="s">
        <v>76</v>
      </c>
      <c r="K4168" s="2" t="s">
        <v>77</v>
      </c>
      <c r="L4168" s="2" t="s">
        <v>417</v>
      </c>
      <c r="M4168" s="2" t="s">
        <v>417</v>
      </c>
      <c r="N4168" s="2" t="s">
        <v>1309</v>
      </c>
      <c r="O4168" s="2" t="s">
        <v>100</v>
      </c>
      <c r="P4168" s="2" t="str">
        <f>"2170582610                    "</f>
        <v xml:space="preserve">2170582610                    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4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0</v>
      </c>
      <c r="AU4168" s="2">
        <v>0</v>
      </c>
      <c r="AV4168" s="2">
        <v>0</v>
      </c>
      <c r="AW4168" s="2">
        <v>0</v>
      </c>
      <c r="AX4168" s="2">
        <v>0</v>
      </c>
      <c r="AY4168" s="2">
        <v>0</v>
      </c>
      <c r="AZ4168" s="2">
        <v>0</v>
      </c>
      <c r="BA4168" s="2">
        <v>0</v>
      </c>
      <c r="BB4168" s="2">
        <v>0</v>
      </c>
      <c r="BC4168" s="2">
        <v>0</v>
      </c>
      <c r="BD4168" s="2">
        <v>0</v>
      </c>
      <c r="BE4168" s="2">
        <v>0</v>
      </c>
      <c r="BF4168" s="2">
        <v>0</v>
      </c>
      <c r="BG4168" s="2">
        <v>0</v>
      </c>
      <c r="BH4168" s="2">
        <v>1</v>
      </c>
      <c r="BI4168" s="2">
        <v>1</v>
      </c>
      <c r="BJ4168" s="2">
        <v>0.2</v>
      </c>
      <c r="BK4168" s="2">
        <v>1</v>
      </c>
      <c r="BL4168" s="2">
        <v>41.44</v>
      </c>
      <c r="BM4168" s="2">
        <v>5.8</v>
      </c>
      <c r="BN4168" s="2">
        <v>47.24</v>
      </c>
      <c r="BO4168" s="2">
        <v>47.24</v>
      </c>
      <c r="BP4168" s="2"/>
      <c r="BQ4168" s="2" t="s">
        <v>83</v>
      </c>
      <c r="BR4168" s="2" t="s">
        <v>84</v>
      </c>
      <c r="BS4168" s="3">
        <v>42950</v>
      </c>
      <c r="BT4168" s="4">
        <v>0.46527777777777773</v>
      </c>
      <c r="BU4168" s="2" t="s">
        <v>653</v>
      </c>
      <c r="BV4168" s="2" t="s">
        <v>95</v>
      </c>
      <c r="BW4168" s="2"/>
      <c r="BX4168" s="2"/>
      <c r="BY4168" s="2">
        <v>1200</v>
      </c>
      <c r="BZ4168" s="2" t="s">
        <v>27</v>
      </c>
      <c r="CA4168" s="2" t="s">
        <v>460</v>
      </c>
      <c r="CB4168" s="2"/>
      <c r="CC4168" s="2" t="s">
        <v>417</v>
      </c>
      <c r="CD4168" s="2">
        <v>7646</v>
      </c>
      <c r="CE4168" s="2" t="s">
        <v>104</v>
      </c>
      <c r="CF4168" s="5">
        <v>42950</v>
      </c>
      <c r="CG4168" s="2"/>
      <c r="CH4168" s="2"/>
      <c r="CI4168" s="2">
        <v>1</v>
      </c>
      <c r="CJ4168" s="2">
        <v>1</v>
      </c>
      <c r="CK4168" s="2">
        <v>21</v>
      </c>
      <c r="CL4168" s="2" t="s">
        <v>86</v>
      </c>
      <c r="CM4168" s="2"/>
    </row>
    <row r="4169" spans="1:91">
      <c r="A4169" s="2" t="s">
        <v>71</v>
      </c>
      <c r="B4169" s="2" t="s">
        <v>72</v>
      </c>
      <c r="C4169" s="2" t="s">
        <v>73</v>
      </c>
      <c r="D4169" s="2"/>
      <c r="E4169" s="2" t="str">
        <f>"FES1162566355"</f>
        <v>FES1162566355</v>
      </c>
      <c r="F4169" s="3">
        <v>42949</v>
      </c>
      <c r="G4169" s="2">
        <v>201802</v>
      </c>
      <c r="H4169" s="2" t="s">
        <v>74</v>
      </c>
      <c r="I4169" s="2" t="s">
        <v>75</v>
      </c>
      <c r="J4169" s="2" t="s">
        <v>76</v>
      </c>
      <c r="K4169" s="2" t="s">
        <v>77</v>
      </c>
      <c r="L4169" s="2" t="s">
        <v>417</v>
      </c>
      <c r="M4169" s="2" t="s">
        <v>417</v>
      </c>
      <c r="N4169" s="2" t="s">
        <v>1309</v>
      </c>
      <c r="O4169" s="2" t="s">
        <v>100</v>
      </c>
      <c r="P4169" s="2" t="str">
        <f>"2170580006                    "</f>
        <v xml:space="preserve">2170580006                    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0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4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0</v>
      </c>
      <c r="AU4169" s="2">
        <v>0</v>
      </c>
      <c r="AV4169" s="2">
        <v>0</v>
      </c>
      <c r="AW4169" s="2">
        <v>0</v>
      </c>
      <c r="AX4169" s="2">
        <v>0</v>
      </c>
      <c r="AY4169" s="2">
        <v>0</v>
      </c>
      <c r="AZ4169" s="2">
        <v>0</v>
      </c>
      <c r="BA4169" s="2">
        <v>0</v>
      </c>
      <c r="BB4169" s="2">
        <v>0</v>
      </c>
      <c r="BC4169" s="2">
        <v>0</v>
      </c>
      <c r="BD4169" s="2">
        <v>0</v>
      </c>
      <c r="BE4169" s="2">
        <v>0</v>
      </c>
      <c r="BF4169" s="2">
        <v>0</v>
      </c>
      <c r="BG4169" s="2">
        <v>0</v>
      </c>
      <c r="BH4169" s="2">
        <v>1</v>
      </c>
      <c r="BI4169" s="2">
        <v>1</v>
      </c>
      <c r="BJ4169" s="2">
        <v>0.2</v>
      </c>
      <c r="BK4169" s="2">
        <v>1</v>
      </c>
      <c r="BL4169" s="2">
        <v>41.44</v>
      </c>
      <c r="BM4169" s="2">
        <v>5.8</v>
      </c>
      <c r="BN4169" s="2">
        <v>47.24</v>
      </c>
      <c r="BO4169" s="2">
        <v>47.24</v>
      </c>
      <c r="BP4169" s="2"/>
      <c r="BQ4169" s="2" t="s">
        <v>83</v>
      </c>
      <c r="BR4169" s="2" t="s">
        <v>84</v>
      </c>
      <c r="BS4169" s="3">
        <v>42950</v>
      </c>
      <c r="BT4169" s="4">
        <v>0.46527777777777773</v>
      </c>
      <c r="BU4169" s="2" t="s">
        <v>653</v>
      </c>
      <c r="BV4169" s="2" t="s">
        <v>95</v>
      </c>
      <c r="BW4169" s="2"/>
      <c r="BX4169" s="2"/>
      <c r="BY4169" s="2">
        <v>1200</v>
      </c>
      <c r="BZ4169" s="2" t="s">
        <v>27</v>
      </c>
      <c r="CA4169" s="2" t="s">
        <v>460</v>
      </c>
      <c r="CB4169" s="2"/>
      <c r="CC4169" s="2" t="s">
        <v>417</v>
      </c>
      <c r="CD4169" s="2">
        <v>7646</v>
      </c>
      <c r="CE4169" s="2" t="s">
        <v>104</v>
      </c>
      <c r="CF4169" s="5">
        <v>42950</v>
      </c>
      <c r="CG4169" s="2"/>
      <c r="CH4169" s="2"/>
      <c r="CI4169" s="2">
        <v>1</v>
      </c>
      <c r="CJ4169" s="2">
        <v>1</v>
      </c>
      <c r="CK4169" s="2">
        <v>21</v>
      </c>
      <c r="CL4169" s="2" t="s">
        <v>86</v>
      </c>
      <c r="CM4169" s="2"/>
    </row>
    <row r="4170" spans="1:91">
      <c r="A4170" s="2" t="s">
        <v>71</v>
      </c>
      <c r="B4170" s="2" t="s">
        <v>72</v>
      </c>
      <c r="C4170" s="2" t="s">
        <v>73</v>
      </c>
      <c r="D4170" s="2"/>
      <c r="E4170" s="2" t="str">
        <f>"FES1162566146"</f>
        <v>FES1162566146</v>
      </c>
      <c r="F4170" s="3">
        <v>42949</v>
      </c>
      <c r="G4170" s="2">
        <v>201802</v>
      </c>
      <c r="H4170" s="2" t="s">
        <v>74</v>
      </c>
      <c r="I4170" s="2" t="s">
        <v>75</v>
      </c>
      <c r="J4170" s="2" t="s">
        <v>76</v>
      </c>
      <c r="K4170" s="2" t="s">
        <v>77</v>
      </c>
      <c r="L4170" s="2" t="s">
        <v>846</v>
      </c>
      <c r="M4170" s="2" t="s">
        <v>847</v>
      </c>
      <c r="N4170" s="2" t="s">
        <v>848</v>
      </c>
      <c r="O4170" s="2" t="s">
        <v>100</v>
      </c>
      <c r="P4170" s="2" t="str">
        <f>"21705879917                   "</f>
        <v xml:space="preserve">21705879917                   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7.75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0</v>
      </c>
      <c r="AU4170" s="2">
        <v>0</v>
      </c>
      <c r="AV4170" s="2">
        <v>0</v>
      </c>
      <c r="AW4170" s="2">
        <v>0</v>
      </c>
      <c r="AX4170" s="2">
        <v>0</v>
      </c>
      <c r="AY4170" s="2">
        <v>0</v>
      </c>
      <c r="AZ4170" s="2">
        <v>0</v>
      </c>
      <c r="BA4170" s="2">
        <v>0</v>
      </c>
      <c r="BB4170" s="2">
        <v>0</v>
      </c>
      <c r="BC4170" s="2">
        <v>0</v>
      </c>
      <c r="BD4170" s="2">
        <v>0</v>
      </c>
      <c r="BE4170" s="2">
        <v>0</v>
      </c>
      <c r="BF4170" s="2">
        <v>0</v>
      </c>
      <c r="BG4170" s="2">
        <v>0</v>
      </c>
      <c r="BH4170" s="2">
        <v>1</v>
      </c>
      <c r="BI4170" s="2">
        <v>1</v>
      </c>
      <c r="BJ4170" s="2">
        <v>0.2</v>
      </c>
      <c r="BK4170" s="2">
        <v>1</v>
      </c>
      <c r="BL4170" s="2">
        <v>80.290000000000006</v>
      </c>
      <c r="BM4170" s="2">
        <v>11.24</v>
      </c>
      <c r="BN4170" s="2">
        <v>91.53</v>
      </c>
      <c r="BO4170" s="2">
        <v>91.53</v>
      </c>
      <c r="BP4170" s="2"/>
      <c r="BQ4170" s="2"/>
      <c r="BR4170" s="2" t="s">
        <v>84</v>
      </c>
      <c r="BS4170" s="3">
        <v>42950</v>
      </c>
      <c r="BT4170" s="4">
        <v>0.60486111111111118</v>
      </c>
      <c r="BU4170" s="2" t="s">
        <v>3628</v>
      </c>
      <c r="BV4170" s="2" t="s">
        <v>86</v>
      </c>
      <c r="BW4170" s="2"/>
      <c r="BX4170" s="2"/>
      <c r="BY4170" s="2">
        <v>1200</v>
      </c>
      <c r="BZ4170" s="2"/>
      <c r="CA4170" s="2" t="s">
        <v>850</v>
      </c>
      <c r="CB4170" s="2"/>
      <c r="CC4170" s="2" t="s">
        <v>847</v>
      </c>
      <c r="CD4170" s="2">
        <v>7349</v>
      </c>
      <c r="CE4170" s="2" t="s">
        <v>104</v>
      </c>
      <c r="CF4170" s="5">
        <v>42951</v>
      </c>
      <c r="CG4170" s="2"/>
      <c r="CH4170" s="2"/>
      <c r="CI4170" s="2">
        <v>1</v>
      </c>
      <c r="CJ4170" s="2">
        <v>1</v>
      </c>
      <c r="CK4170" s="2">
        <v>23</v>
      </c>
      <c r="CL4170" s="2" t="s">
        <v>86</v>
      </c>
      <c r="CM4170" s="2"/>
    </row>
    <row r="4171" spans="1:91">
      <c r="A4171" s="2" t="s">
        <v>71</v>
      </c>
      <c r="B4171" s="2" t="s">
        <v>72</v>
      </c>
      <c r="C4171" s="2" t="s">
        <v>73</v>
      </c>
      <c r="D4171" s="2"/>
      <c r="E4171" s="2" t="str">
        <f>"FES1162566327"</f>
        <v>FES1162566327</v>
      </c>
      <c r="F4171" s="3">
        <v>42949</v>
      </c>
      <c r="G4171" s="2">
        <v>201802</v>
      </c>
      <c r="H4171" s="2" t="s">
        <v>74</v>
      </c>
      <c r="I4171" s="2" t="s">
        <v>75</v>
      </c>
      <c r="J4171" s="2" t="s">
        <v>76</v>
      </c>
      <c r="K4171" s="2" t="s">
        <v>77</v>
      </c>
      <c r="L4171" s="2" t="s">
        <v>437</v>
      </c>
      <c r="M4171" s="2" t="s">
        <v>438</v>
      </c>
      <c r="N4171" s="2" t="s">
        <v>749</v>
      </c>
      <c r="O4171" s="2" t="s">
        <v>100</v>
      </c>
      <c r="P4171" s="2" t="str">
        <f>"2170579750                    "</f>
        <v xml:space="preserve">2170579750                    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0</v>
      </c>
      <c r="Z4171" s="2">
        <v>0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4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0</v>
      </c>
      <c r="AU4171" s="2">
        <v>0</v>
      </c>
      <c r="AV4171" s="2">
        <v>0</v>
      </c>
      <c r="AW4171" s="2">
        <v>0</v>
      </c>
      <c r="AX4171" s="2">
        <v>0</v>
      </c>
      <c r="AY4171" s="2">
        <v>0</v>
      </c>
      <c r="AZ4171" s="2">
        <v>0</v>
      </c>
      <c r="BA4171" s="2">
        <v>0</v>
      </c>
      <c r="BB4171" s="2">
        <v>0</v>
      </c>
      <c r="BC4171" s="2">
        <v>0</v>
      </c>
      <c r="BD4171" s="2">
        <v>0</v>
      </c>
      <c r="BE4171" s="2">
        <v>0</v>
      </c>
      <c r="BF4171" s="2">
        <v>0</v>
      </c>
      <c r="BG4171" s="2">
        <v>0</v>
      </c>
      <c r="BH4171" s="2">
        <v>1</v>
      </c>
      <c r="BI4171" s="2">
        <v>1</v>
      </c>
      <c r="BJ4171" s="2">
        <v>0.2</v>
      </c>
      <c r="BK4171" s="2">
        <v>1</v>
      </c>
      <c r="BL4171" s="2">
        <v>41.44</v>
      </c>
      <c r="BM4171" s="2">
        <v>5.8</v>
      </c>
      <c r="BN4171" s="2">
        <v>47.24</v>
      </c>
      <c r="BO4171" s="2">
        <v>47.24</v>
      </c>
      <c r="BP4171" s="2"/>
      <c r="BQ4171" s="2" t="s">
        <v>108</v>
      </c>
      <c r="BR4171" s="2" t="s">
        <v>84</v>
      </c>
      <c r="BS4171" s="3">
        <v>42950</v>
      </c>
      <c r="BT4171" s="4">
        <v>0.43055555555555558</v>
      </c>
      <c r="BU4171" s="2" t="s">
        <v>1408</v>
      </c>
      <c r="BV4171" s="2" t="s">
        <v>95</v>
      </c>
      <c r="BW4171" s="2"/>
      <c r="BX4171" s="2"/>
      <c r="BY4171" s="2">
        <v>1200</v>
      </c>
      <c r="BZ4171" s="2" t="s">
        <v>27</v>
      </c>
      <c r="CA4171" s="2" t="s">
        <v>441</v>
      </c>
      <c r="CB4171" s="2"/>
      <c r="CC4171" s="2" t="s">
        <v>438</v>
      </c>
      <c r="CD4171" s="2">
        <v>6536</v>
      </c>
      <c r="CE4171" s="2" t="s">
        <v>104</v>
      </c>
      <c r="CF4171" s="5">
        <v>42951</v>
      </c>
      <c r="CG4171" s="2"/>
      <c r="CH4171" s="2"/>
      <c r="CI4171" s="2">
        <v>1</v>
      </c>
      <c r="CJ4171" s="2">
        <v>1</v>
      </c>
      <c r="CK4171" s="2">
        <v>21</v>
      </c>
      <c r="CL4171" s="2" t="s">
        <v>86</v>
      </c>
      <c r="CM4171" s="2"/>
    </row>
    <row r="4172" spans="1:91">
      <c r="A4172" s="2" t="s">
        <v>71</v>
      </c>
      <c r="B4172" s="2" t="s">
        <v>72</v>
      </c>
      <c r="C4172" s="2" t="s">
        <v>73</v>
      </c>
      <c r="D4172" s="2"/>
      <c r="E4172" s="2" t="str">
        <f>"FES1162566169"</f>
        <v>FES1162566169</v>
      </c>
      <c r="F4172" s="3">
        <v>42949</v>
      </c>
      <c r="G4172" s="2">
        <v>201802</v>
      </c>
      <c r="H4172" s="2" t="s">
        <v>74</v>
      </c>
      <c r="I4172" s="2" t="s">
        <v>75</v>
      </c>
      <c r="J4172" s="2" t="s">
        <v>76</v>
      </c>
      <c r="K4172" s="2" t="s">
        <v>77</v>
      </c>
      <c r="L4172" s="2" t="s">
        <v>105</v>
      </c>
      <c r="M4172" s="2" t="s">
        <v>106</v>
      </c>
      <c r="N4172" s="2" t="s">
        <v>893</v>
      </c>
      <c r="O4172" s="2" t="s">
        <v>100</v>
      </c>
      <c r="P4172" s="2" t="str">
        <f>"217058725                     "</f>
        <v xml:space="preserve">217058725                     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4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0</v>
      </c>
      <c r="AU4172" s="2">
        <v>0</v>
      </c>
      <c r="AV4172" s="2">
        <v>0</v>
      </c>
      <c r="AW4172" s="2">
        <v>0</v>
      </c>
      <c r="AX4172" s="2">
        <v>0</v>
      </c>
      <c r="AY4172" s="2">
        <v>0</v>
      </c>
      <c r="AZ4172" s="2">
        <v>0</v>
      </c>
      <c r="BA4172" s="2">
        <v>0</v>
      </c>
      <c r="BB4172" s="2">
        <v>0</v>
      </c>
      <c r="BC4172" s="2">
        <v>0</v>
      </c>
      <c r="BD4172" s="2">
        <v>0</v>
      </c>
      <c r="BE4172" s="2">
        <v>0</v>
      </c>
      <c r="BF4172" s="2">
        <v>0</v>
      </c>
      <c r="BG4172" s="2">
        <v>0</v>
      </c>
      <c r="BH4172" s="2">
        <v>1</v>
      </c>
      <c r="BI4172" s="2">
        <v>1</v>
      </c>
      <c r="BJ4172" s="2">
        <v>0.2</v>
      </c>
      <c r="BK4172" s="2">
        <v>1</v>
      </c>
      <c r="BL4172" s="2">
        <v>41.44</v>
      </c>
      <c r="BM4172" s="2">
        <v>5.8</v>
      </c>
      <c r="BN4172" s="2">
        <v>47.24</v>
      </c>
      <c r="BO4172" s="2">
        <v>47.24</v>
      </c>
      <c r="BP4172" s="2"/>
      <c r="BQ4172" s="2" t="s">
        <v>3883</v>
      </c>
      <c r="BR4172" s="2" t="s">
        <v>84</v>
      </c>
      <c r="BS4172" s="3">
        <v>42950</v>
      </c>
      <c r="BT4172" s="4">
        <v>0.33749999999999997</v>
      </c>
      <c r="BU4172" s="2" t="s">
        <v>2619</v>
      </c>
      <c r="BV4172" s="2" t="s">
        <v>95</v>
      </c>
      <c r="BW4172" s="2"/>
      <c r="BX4172" s="2"/>
      <c r="BY4172" s="2">
        <v>1200</v>
      </c>
      <c r="BZ4172" s="2" t="s">
        <v>27</v>
      </c>
      <c r="CA4172" s="2" t="s">
        <v>869</v>
      </c>
      <c r="CB4172" s="2"/>
      <c r="CC4172" s="2" t="s">
        <v>106</v>
      </c>
      <c r="CD4172" s="2">
        <v>7460</v>
      </c>
      <c r="CE4172" s="2" t="s">
        <v>104</v>
      </c>
      <c r="CF4172" s="5">
        <v>42951</v>
      </c>
      <c r="CG4172" s="2"/>
      <c r="CH4172" s="2"/>
      <c r="CI4172" s="2">
        <v>1</v>
      </c>
      <c r="CJ4172" s="2">
        <v>1</v>
      </c>
      <c r="CK4172" s="2">
        <v>21</v>
      </c>
      <c r="CL4172" s="2" t="s">
        <v>86</v>
      </c>
      <c r="CM4172" s="2"/>
    </row>
    <row r="4173" spans="1:91">
      <c r="A4173" s="2" t="s">
        <v>71</v>
      </c>
      <c r="B4173" s="2" t="s">
        <v>72</v>
      </c>
      <c r="C4173" s="2" t="s">
        <v>73</v>
      </c>
      <c r="D4173" s="2"/>
      <c r="E4173" s="2" t="str">
        <f>"FES1162566321"</f>
        <v>FES1162566321</v>
      </c>
      <c r="F4173" s="3">
        <v>42949</v>
      </c>
      <c r="G4173" s="2">
        <v>201802</v>
      </c>
      <c r="H4173" s="2" t="s">
        <v>74</v>
      </c>
      <c r="I4173" s="2" t="s">
        <v>75</v>
      </c>
      <c r="J4173" s="2" t="s">
        <v>76</v>
      </c>
      <c r="K4173" s="2" t="s">
        <v>77</v>
      </c>
      <c r="L4173" s="2" t="s">
        <v>105</v>
      </c>
      <c r="M4173" s="2" t="s">
        <v>106</v>
      </c>
      <c r="N4173" s="2" t="s">
        <v>534</v>
      </c>
      <c r="O4173" s="2" t="s">
        <v>100</v>
      </c>
      <c r="P4173" s="2" t="str">
        <f>"21705879521                   "</f>
        <v xml:space="preserve">21705879521                   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4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0</v>
      </c>
      <c r="AU4173" s="2">
        <v>0</v>
      </c>
      <c r="AV4173" s="2">
        <v>0</v>
      </c>
      <c r="AW4173" s="2">
        <v>0</v>
      </c>
      <c r="AX4173" s="2">
        <v>0</v>
      </c>
      <c r="AY4173" s="2">
        <v>0</v>
      </c>
      <c r="AZ4173" s="2">
        <v>0</v>
      </c>
      <c r="BA4173" s="2">
        <v>0</v>
      </c>
      <c r="BB4173" s="2">
        <v>0</v>
      </c>
      <c r="BC4173" s="2">
        <v>0</v>
      </c>
      <c r="BD4173" s="2">
        <v>0</v>
      </c>
      <c r="BE4173" s="2">
        <v>0</v>
      </c>
      <c r="BF4173" s="2">
        <v>0</v>
      </c>
      <c r="BG4173" s="2">
        <v>0</v>
      </c>
      <c r="BH4173" s="2">
        <v>1</v>
      </c>
      <c r="BI4173" s="2">
        <v>1</v>
      </c>
      <c r="BJ4173" s="2">
        <v>0.2</v>
      </c>
      <c r="BK4173" s="2">
        <v>1</v>
      </c>
      <c r="BL4173" s="2">
        <v>41.44</v>
      </c>
      <c r="BM4173" s="2">
        <v>5.8</v>
      </c>
      <c r="BN4173" s="2">
        <v>47.24</v>
      </c>
      <c r="BO4173" s="2">
        <v>47.24</v>
      </c>
      <c r="BP4173" s="2"/>
      <c r="BQ4173" s="2" t="s">
        <v>2535</v>
      </c>
      <c r="BR4173" s="2" t="s">
        <v>84</v>
      </c>
      <c r="BS4173" s="3">
        <v>42950</v>
      </c>
      <c r="BT4173" s="4">
        <v>0.36041666666666666</v>
      </c>
      <c r="BU4173" s="2" t="s">
        <v>3830</v>
      </c>
      <c r="BV4173" s="2" t="s">
        <v>95</v>
      </c>
      <c r="BW4173" s="2"/>
      <c r="BX4173" s="2"/>
      <c r="BY4173" s="2">
        <v>1200</v>
      </c>
      <c r="BZ4173" s="2" t="s">
        <v>27</v>
      </c>
      <c r="CA4173" s="2" t="s">
        <v>112</v>
      </c>
      <c r="CB4173" s="2"/>
      <c r="CC4173" s="2" t="s">
        <v>106</v>
      </c>
      <c r="CD4173" s="2">
        <v>7405</v>
      </c>
      <c r="CE4173" s="2" t="s">
        <v>104</v>
      </c>
      <c r="CF4173" s="5">
        <v>42951</v>
      </c>
      <c r="CG4173" s="2"/>
      <c r="CH4173" s="2"/>
      <c r="CI4173" s="2">
        <v>1</v>
      </c>
      <c r="CJ4173" s="2">
        <v>1</v>
      </c>
      <c r="CK4173" s="2">
        <v>21</v>
      </c>
      <c r="CL4173" s="2" t="s">
        <v>86</v>
      </c>
      <c r="CM4173" s="2"/>
    </row>
    <row r="4174" spans="1:91">
      <c r="A4174" s="2" t="s">
        <v>71</v>
      </c>
      <c r="B4174" s="2" t="s">
        <v>72</v>
      </c>
      <c r="C4174" s="2" t="s">
        <v>73</v>
      </c>
      <c r="D4174" s="2"/>
      <c r="E4174" s="2" t="str">
        <f>"FES1162566410"</f>
        <v>FES1162566410</v>
      </c>
      <c r="F4174" s="3">
        <v>42949</v>
      </c>
      <c r="G4174" s="2">
        <v>201802</v>
      </c>
      <c r="H4174" s="2" t="s">
        <v>74</v>
      </c>
      <c r="I4174" s="2" t="s">
        <v>75</v>
      </c>
      <c r="J4174" s="2" t="s">
        <v>76</v>
      </c>
      <c r="K4174" s="2" t="s">
        <v>77</v>
      </c>
      <c r="L4174" s="2" t="s">
        <v>105</v>
      </c>
      <c r="M4174" s="2" t="s">
        <v>106</v>
      </c>
      <c r="N4174" s="2" t="s">
        <v>705</v>
      </c>
      <c r="O4174" s="2" t="s">
        <v>100</v>
      </c>
      <c r="P4174" s="2" t="str">
        <f>"2170582759                    "</f>
        <v xml:space="preserve">2170582759                    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4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0</v>
      </c>
      <c r="AU4174" s="2">
        <v>0</v>
      </c>
      <c r="AV4174" s="2">
        <v>0</v>
      </c>
      <c r="AW4174" s="2">
        <v>0</v>
      </c>
      <c r="AX4174" s="2">
        <v>0</v>
      </c>
      <c r="AY4174" s="2">
        <v>0</v>
      </c>
      <c r="AZ4174" s="2">
        <v>0</v>
      </c>
      <c r="BA4174" s="2">
        <v>0</v>
      </c>
      <c r="BB4174" s="2">
        <v>0</v>
      </c>
      <c r="BC4174" s="2">
        <v>0</v>
      </c>
      <c r="BD4174" s="2">
        <v>0</v>
      </c>
      <c r="BE4174" s="2">
        <v>0</v>
      </c>
      <c r="BF4174" s="2">
        <v>0</v>
      </c>
      <c r="BG4174" s="2">
        <v>0</v>
      </c>
      <c r="BH4174" s="2">
        <v>1</v>
      </c>
      <c r="BI4174" s="2">
        <v>1</v>
      </c>
      <c r="BJ4174" s="2">
        <v>0.2</v>
      </c>
      <c r="BK4174" s="2">
        <v>1</v>
      </c>
      <c r="BL4174" s="2">
        <v>41.44</v>
      </c>
      <c r="BM4174" s="2">
        <v>5.8</v>
      </c>
      <c r="BN4174" s="2">
        <v>47.24</v>
      </c>
      <c r="BO4174" s="2">
        <v>47.24</v>
      </c>
      <c r="BP4174" s="2"/>
      <c r="BQ4174" s="2" t="s">
        <v>108</v>
      </c>
      <c r="BR4174" s="2" t="s">
        <v>84</v>
      </c>
      <c r="BS4174" s="3">
        <v>42950</v>
      </c>
      <c r="BT4174" s="4">
        <v>0.45347222222222222</v>
      </c>
      <c r="BU4174" s="2" t="s">
        <v>904</v>
      </c>
      <c r="BV4174" s="2" t="s">
        <v>95</v>
      </c>
      <c r="BW4174" s="2"/>
      <c r="BX4174" s="2"/>
      <c r="BY4174" s="2">
        <v>1200</v>
      </c>
      <c r="BZ4174" s="2" t="s">
        <v>27</v>
      </c>
      <c r="CA4174" s="2" t="s">
        <v>488</v>
      </c>
      <c r="CB4174" s="2"/>
      <c r="CC4174" s="2" t="s">
        <v>106</v>
      </c>
      <c r="CD4174" s="2">
        <v>7441</v>
      </c>
      <c r="CE4174" s="2" t="s">
        <v>104</v>
      </c>
      <c r="CF4174" s="5">
        <v>42951</v>
      </c>
      <c r="CG4174" s="2"/>
      <c r="CH4174" s="2"/>
      <c r="CI4174" s="2">
        <v>1</v>
      </c>
      <c r="CJ4174" s="2">
        <v>1</v>
      </c>
      <c r="CK4174" s="2">
        <v>21</v>
      </c>
      <c r="CL4174" s="2" t="s">
        <v>86</v>
      </c>
      <c r="CM4174" s="2"/>
    </row>
    <row r="4175" spans="1:91">
      <c r="A4175" s="2" t="s">
        <v>71</v>
      </c>
      <c r="B4175" s="2" t="s">
        <v>72</v>
      </c>
      <c r="C4175" s="2" t="s">
        <v>73</v>
      </c>
      <c r="D4175" s="2"/>
      <c r="E4175" s="2" t="str">
        <f>"FES1162566203"</f>
        <v>FES1162566203</v>
      </c>
      <c r="F4175" s="3">
        <v>42949</v>
      </c>
      <c r="G4175" s="2">
        <v>201802</v>
      </c>
      <c r="H4175" s="2" t="s">
        <v>74</v>
      </c>
      <c r="I4175" s="2" t="s">
        <v>75</v>
      </c>
      <c r="J4175" s="2" t="s">
        <v>76</v>
      </c>
      <c r="K4175" s="2" t="s">
        <v>77</v>
      </c>
      <c r="L4175" s="2" t="s">
        <v>164</v>
      </c>
      <c r="M4175" s="2" t="s">
        <v>165</v>
      </c>
      <c r="N4175" s="2" t="s">
        <v>166</v>
      </c>
      <c r="O4175" s="2" t="s">
        <v>100</v>
      </c>
      <c r="P4175" s="2" t="str">
        <f>"2170581993                    "</f>
        <v xml:space="preserve">2170581993                    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4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0</v>
      </c>
      <c r="AU4175" s="2">
        <v>0</v>
      </c>
      <c r="AV4175" s="2">
        <v>0</v>
      </c>
      <c r="AW4175" s="2">
        <v>0</v>
      </c>
      <c r="AX4175" s="2">
        <v>0</v>
      </c>
      <c r="AY4175" s="2">
        <v>0</v>
      </c>
      <c r="AZ4175" s="2">
        <v>0</v>
      </c>
      <c r="BA4175" s="2">
        <v>0</v>
      </c>
      <c r="BB4175" s="2">
        <v>0</v>
      </c>
      <c r="BC4175" s="2">
        <v>0</v>
      </c>
      <c r="BD4175" s="2">
        <v>0</v>
      </c>
      <c r="BE4175" s="2">
        <v>0</v>
      </c>
      <c r="BF4175" s="2">
        <v>0</v>
      </c>
      <c r="BG4175" s="2">
        <v>0</v>
      </c>
      <c r="BH4175" s="2">
        <v>1</v>
      </c>
      <c r="BI4175" s="2">
        <v>1</v>
      </c>
      <c r="BJ4175" s="2">
        <v>0.2</v>
      </c>
      <c r="BK4175" s="2">
        <v>1</v>
      </c>
      <c r="BL4175" s="2">
        <v>41.44</v>
      </c>
      <c r="BM4175" s="2">
        <v>5.8</v>
      </c>
      <c r="BN4175" s="2">
        <v>47.24</v>
      </c>
      <c r="BO4175" s="2">
        <v>47.24</v>
      </c>
      <c r="BP4175" s="2"/>
      <c r="BQ4175" s="2" t="s">
        <v>83</v>
      </c>
      <c r="BR4175" s="2" t="s">
        <v>84</v>
      </c>
      <c r="BS4175" s="3">
        <v>42950</v>
      </c>
      <c r="BT4175" s="4">
        <v>0.42499999999999999</v>
      </c>
      <c r="BU4175" s="2" t="s">
        <v>3822</v>
      </c>
      <c r="BV4175" s="2" t="s">
        <v>95</v>
      </c>
      <c r="BW4175" s="2"/>
      <c r="BX4175" s="2"/>
      <c r="BY4175" s="2">
        <v>1200</v>
      </c>
      <c r="BZ4175" s="2" t="s">
        <v>27</v>
      </c>
      <c r="CA4175" s="2" t="s">
        <v>2114</v>
      </c>
      <c r="CB4175" s="2"/>
      <c r="CC4175" s="2" t="s">
        <v>165</v>
      </c>
      <c r="CD4175" s="2">
        <v>6849</v>
      </c>
      <c r="CE4175" s="2" t="s">
        <v>104</v>
      </c>
      <c r="CF4175" s="5">
        <v>42951</v>
      </c>
      <c r="CG4175" s="2"/>
      <c r="CH4175" s="2"/>
      <c r="CI4175" s="2">
        <v>3</v>
      </c>
      <c r="CJ4175" s="2">
        <v>1</v>
      </c>
      <c r="CK4175" s="2">
        <v>21</v>
      </c>
      <c r="CL4175" s="2" t="s">
        <v>86</v>
      </c>
      <c r="CM4175" s="2"/>
    </row>
    <row r="4176" spans="1:91">
      <c r="A4176" s="2" t="s">
        <v>71</v>
      </c>
      <c r="B4176" s="2" t="s">
        <v>72</v>
      </c>
      <c r="C4176" s="2" t="s">
        <v>73</v>
      </c>
      <c r="D4176" s="2"/>
      <c r="E4176" s="2" t="str">
        <f>"FES1162566285"</f>
        <v>FES1162566285</v>
      </c>
      <c r="F4176" s="3">
        <v>42949</v>
      </c>
      <c r="G4176" s="2">
        <v>201802</v>
      </c>
      <c r="H4176" s="2" t="s">
        <v>74</v>
      </c>
      <c r="I4176" s="2" t="s">
        <v>75</v>
      </c>
      <c r="J4176" s="2" t="s">
        <v>76</v>
      </c>
      <c r="K4176" s="2" t="s">
        <v>77</v>
      </c>
      <c r="L4176" s="2" t="s">
        <v>105</v>
      </c>
      <c r="M4176" s="2" t="s">
        <v>106</v>
      </c>
      <c r="N4176" s="2" t="s">
        <v>558</v>
      </c>
      <c r="O4176" s="2" t="s">
        <v>100</v>
      </c>
      <c r="P4176" s="2" t="str">
        <f>"2170582716                    "</f>
        <v xml:space="preserve">2170582716                    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4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0</v>
      </c>
      <c r="AU4176" s="2">
        <v>0</v>
      </c>
      <c r="AV4176" s="2">
        <v>0</v>
      </c>
      <c r="AW4176" s="2">
        <v>0</v>
      </c>
      <c r="AX4176" s="2">
        <v>0</v>
      </c>
      <c r="AY4176" s="2">
        <v>0</v>
      </c>
      <c r="AZ4176" s="2">
        <v>0</v>
      </c>
      <c r="BA4176" s="2">
        <v>0</v>
      </c>
      <c r="BB4176" s="2">
        <v>0</v>
      </c>
      <c r="BC4176" s="2">
        <v>0</v>
      </c>
      <c r="BD4176" s="2">
        <v>0</v>
      </c>
      <c r="BE4176" s="2">
        <v>0</v>
      </c>
      <c r="BF4176" s="2">
        <v>0</v>
      </c>
      <c r="BG4176" s="2">
        <v>0</v>
      </c>
      <c r="BH4176" s="2">
        <v>1</v>
      </c>
      <c r="BI4176" s="2">
        <v>1</v>
      </c>
      <c r="BJ4176" s="2">
        <v>0.2</v>
      </c>
      <c r="BK4176" s="2">
        <v>1</v>
      </c>
      <c r="BL4176" s="2">
        <v>41.44</v>
      </c>
      <c r="BM4176" s="2">
        <v>5.8</v>
      </c>
      <c r="BN4176" s="2">
        <v>47.24</v>
      </c>
      <c r="BO4176" s="2">
        <v>47.24</v>
      </c>
      <c r="BP4176" s="2"/>
      <c r="BQ4176" s="2" t="s">
        <v>83</v>
      </c>
      <c r="BR4176" s="2" t="s">
        <v>84</v>
      </c>
      <c r="BS4176" s="3">
        <v>42950</v>
      </c>
      <c r="BT4176" s="4">
        <v>0.37847222222222227</v>
      </c>
      <c r="BU4176" s="2" t="s">
        <v>559</v>
      </c>
      <c r="BV4176" s="2" t="s">
        <v>95</v>
      </c>
      <c r="BW4176" s="2"/>
      <c r="BX4176" s="2"/>
      <c r="BY4176" s="2">
        <v>1200</v>
      </c>
      <c r="BZ4176" s="2" t="s">
        <v>27</v>
      </c>
      <c r="CA4176" s="2"/>
      <c r="CB4176" s="2"/>
      <c r="CC4176" s="2" t="s">
        <v>106</v>
      </c>
      <c r="CD4176" s="2">
        <v>7530</v>
      </c>
      <c r="CE4176" s="2" t="s">
        <v>104</v>
      </c>
      <c r="CF4176" s="5">
        <v>42951</v>
      </c>
      <c r="CG4176" s="2"/>
      <c r="CH4176" s="2"/>
      <c r="CI4176" s="2">
        <v>1</v>
      </c>
      <c r="CJ4176" s="2">
        <v>1</v>
      </c>
      <c r="CK4176" s="2">
        <v>21</v>
      </c>
      <c r="CL4176" s="2" t="s">
        <v>86</v>
      </c>
      <c r="CM4176" s="2"/>
    </row>
    <row r="4177" spans="1:91">
      <c r="A4177" s="2" t="s">
        <v>71</v>
      </c>
      <c r="B4177" s="2" t="s">
        <v>72</v>
      </c>
      <c r="C4177" s="2" t="s">
        <v>73</v>
      </c>
      <c r="D4177" s="2"/>
      <c r="E4177" s="2" t="str">
        <f>"FES1162566196"</f>
        <v>FES1162566196</v>
      </c>
      <c r="F4177" s="3">
        <v>42949</v>
      </c>
      <c r="G4177" s="2">
        <v>201802</v>
      </c>
      <c r="H4177" s="2" t="s">
        <v>74</v>
      </c>
      <c r="I4177" s="2" t="s">
        <v>75</v>
      </c>
      <c r="J4177" s="2" t="s">
        <v>76</v>
      </c>
      <c r="K4177" s="2" t="s">
        <v>77</v>
      </c>
      <c r="L4177" s="2" t="s">
        <v>105</v>
      </c>
      <c r="M4177" s="2" t="s">
        <v>106</v>
      </c>
      <c r="N4177" s="2" t="s">
        <v>2216</v>
      </c>
      <c r="O4177" s="2" t="s">
        <v>100</v>
      </c>
      <c r="P4177" s="2" t="str">
        <f>"2170581795                    "</f>
        <v xml:space="preserve">2170581795                    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4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0</v>
      </c>
      <c r="AU4177" s="2">
        <v>0</v>
      </c>
      <c r="AV4177" s="2">
        <v>0</v>
      </c>
      <c r="AW4177" s="2">
        <v>0</v>
      </c>
      <c r="AX4177" s="2">
        <v>0</v>
      </c>
      <c r="AY4177" s="2">
        <v>0</v>
      </c>
      <c r="AZ4177" s="2">
        <v>0</v>
      </c>
      <c r="BA4177" s="2">
        <v>0</v>
      </c>
      <c r="BB4177" s="2">
        <v>0</v>
      </c>
      <c r="BC4177" s="2">
        <v>0</v>
      </c>
      <c r="BD4177" s="2">
        <v>0</v>
      </c>
      <c r="BE4177" s="2">
        <v>0</v>
      </c>
      <c r="BF4177" s="2">
        <v>0</v>
      </c>
      <c r="BG4177" s="2">
        <v>0</v>
      </c>
      <c r="BH4177" s="2">
        <v>1</v>
      </c>
      <c r="BI4177" s="2">
        <v>1</v>
      </c>
      <c r="BJ4177" s="2">
        <v>0.2</v>
      </c>
      <c r="BK4177" s="2">
        <v>1</v>
      </c>
      <c r="BL4177" s="2">
        <v>41.44</v>
      </c>
      <c r="BM4177" s="2">
        <v>5.8</v>
      </c>
      <c r="BN4177" s="2">
        <v>47.24</v>
      </c>
      <c r="BO4177" s="2">
        <v>47.24</v>
      </c>
      <c r="BP4177" s="2"/>
      <c r="BQ4177" s="2" t="s">
        <v>83</v>
      </c>
      <c r="BR4177" s="2" t="s">
        <v>84</v>
      </c>
      <c r="BS4177" s="3">
        <v>42950</v>
      </c>
      <c r="BT4177" s="4">
        <v>0.5395833333333333</v>
      </c>
      <c r="BU4177" s="2" t="s">
        <v>3884</v>
      </c>
      <c r="BV4177" s="2" t="s">
        <v>86</v>
      </c>
      <c r="BW4177" s="2" t="s">
        <v>336</v>
      </c>
      <c r="BX4177" s="2" t="s">
        <v>116</v>
      </c>
      <c r="BY4177" s="2">
        <v>1200</v>
      </c>
      <c r="BZ4177" s="2" t="s">
        <v>27</v>
      </c>
      <c r="CA4177" s="2" t="s">
        <v>1322</v>
      </c>
      <c r="CB4177" s="2"/>
      <c r="CC4177" s="2" t="s">
        <v>106</v>
      </c>
      <c r="CD4177" s="2">
        <v>7945</v>
      </c>
      <c r="CE4177" s="2" t="s">
        <v>104</v>
      </c>
      <c r="CF4177" s="5">
        <v>42951</v>
      </c>
      <c r="CG4177" s="2"/>
      <c r="CH4177" s="2"/>
      <c r="CI4177" s="2">
        <v>1</v>
      </c>
      <c r="CJ4177" s="2">
        <v>1</v>
      </c>
      <c r="CK4177" s="2">
        <v>21</v>
      </c>
      <c r="CL4177" s="2" t="s">
        <v>86</v>
      </c>
      <c r="CM4177" s="2"/>
    </row>
    <row r="4178" spans="1:91">
      <c r="A4178" s="2" t="s">
        <v>71</v>
      </c>
      <c r="B4178" s="2" t="s">
        <v>72</v>
      </c>
      <c r="C4178" s="2" t="s">
        <v>73</v>
      </c>
      <c r="D4178" s="2"/>
      <c r="E4178" s="2" t="str">
        <f>"FES1162566159"</f>
        <v>FES1162566159</v>
      </c>
      <c r="F4178" s="3">
        <v>42949</v>
      </c>
      <c r="G4178" s="2">
        <v>201802</v>
      </c>
      <c r="H4178" s="2" t="s">
        <v>74</v>
      </c>
      <c r="I4178" s="2" t="s">
        <v>75</v>
      </c>
      <c r="J4178" s="2" t="s">
        <v>76</v>
      </c>
      <c r="K4178" s="2" t="s">
        <v>77</v>
      </c>
      <c r="L4178" s="2" t="s">
        <v>268</v>
      </c>
      <c r="M4178" s="2" t="s">
        <v>269</v>
      </c>
      <c r="N4178" s="2" t="s">
        <v>442</v>
      </c>
      <c r="O4178" s="2" t="s">
        <v>100</v>
      </c>
      <c r="P4178" s="2" t="str">
        <f>"2170580569                    "</f>
        <v xml:space="preserve">2170580569                    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4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0</v>
      </c>
      <c r="AU4178" s="2">
        <v>0</v>
      </c>
      <c r="AV4178" s="2">
        <v>0</v>
      </c>
      <c r="AW4178" s="2">
        <v>0</v>
      </c>
      <c r="AX4178" s="2">
        <v>0</v>
      </c>
      <c r="AY4178" s="2">
        <v>0</v>
      </c>
      <c r="AZ4178" s="2">
        <v>0</v>
      </c>
      <c r="BA4178" s="2">
        <v>0</v>
      </c>
      <c r="BB4178" s="2">
        <v>0</v>
      </c>
      <c r="BC4178" s="2">
        <v>0</v>
      </c>
      <c r="BD4178" s="2">
        <v>0</v>
      </c>
      <c r="BE4178" s="2">
        <v>0</v>
      </c>
      <c r="BF4178" s="2">
        <v>0</v>
      </c>
      <c r="BG4178" s="2">
        <v>0</v>
      </c>
      <c r="BH4178" s="2">
        <v>1</v>
      </c>
      <c r="BI4178" s="2">
        <v>1</v>
      </c>
      <c r="BJ4178" s="2">
        <v>0.2</v>
      </c>
      <c r="BK4178" s="2">
        <v>1</v>
      </c>
      <c r="BL4178" s="2">
        <v>41.44</v>
      </c>
      <c r="BM4178" s="2">
        <v>5.8</v>
      </c>
      <c r="BN4178" s="2">
        <v>47.24</v>
      </c>
      <c r="BO4178" s="2">
        <v>47.24</v>
      </c>
      <c r="BP4178" s="2"/>
      <c r="BQ4178" s="2" t="s">
        <v>83</v>
      </c>
      <c r="BR4178" s="2" t="s">
        <v>84</v>
      </c>
      <c r="BS4178" s="3">
        <v>42950</v>
      </c>
      <c r="BT4178" s="4">
        <v>0.42986111111111108</v>
      </c>
      <c r="BU4178" s="2" t="s">
        <v>443</v>
      </c>
      <c r="BV4178" s="2" t="s">
        <v>95</v>
      </c>
      <c r="BW4178" s="2"/>
      <c r="BX4178" s="2"/>
      <c r="BY4178" s="2">
        <v>1200</v>
      </c>
      <c r="BZ4178" s="2" t="s">
        <v>27</v>
      </c>
      <c r="CA4178" s="2" t="s">
        <v>445</v>
      </c>
      <c r="CB4178" s="2"/>
      <c r="CC4178" s="2" t="s">
        <v>269</v>
      </c>
      <c r="CD4178" s="2">
        <v>1</v>
      </c>
      <c r="CE4178" s="2" t="s">
        <v>104</v>
      </c>
      <c r="CF4178" s="5">
        <v>42951</v>
      </c>
      <c r="CG4178" s="2"/>
      <c r="CH4178" s="2"/>
      <c r="CI4178" s="2">
        <v>1</v>
      </c>
      <c r="CJ4178" s="2">
        <v>1</v>
      </c>
      <c r="CK4178" s="2">
        <v>21</v>
      </c>
      <c r="CL4178" s="2" t="s">
        <v>86</v>
      </c>
      <c r="CM4178" s="2"/>
    </row>
    <row r="4179" spans="1:91">
      <c r="A4179" s="2" t="s">
        <v>71</v>
      </c>
      <c r="B4179" s="2" t="s">
        <v>72</v>
      </c>
      <c r="C4179" s="2" t="s">
        <v>73</v>
      </c>
      <c r="D4179" s="2"/>
      <c r="E4179" s="2" t="str">
        <f>"FES1162566392"</f>
        <v>FES1162566392</v>
      </c>
      <c r="F4179" s="3">
        <v>42949</v>
      </c>
      <c r="G4179" s="2">
        <v>201802</v>
      </c>
      <c r="H4179" s="2" t="s">
        <v>74</v>
      </c>
      <c r="I4179" s="2" t="s">
        <v>75</v>
      </c>
      <c r="J4179" s="2" t="s">
        <v>76</v>
      </c>
      <c r="K4179" s="2" t="s">
        <v>77</v>
      </c>
      <c r="L4179" s="2" t="s">
        <v>174</v>
      </c>
      <c r="M4179" s="2" t="s">
        <v>175</v>
      </c>
      <c r="N4179" s="2" t="s">
        <v>930</v>
      </c>
      <c r="O4179" s="2" t="s">
        <v>100</v>
      </c>
      <c r="P4179" s="2" t="str">
        <f>"2170581454                    "</f>
        <v xml:space="preserve">2170581454                    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4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0</v>
      </c>
      <c r="AU4179" s="2">
        <v>0</v>
      </c>
      <c r="AV4179" s="2">
        <v>0</v>
      </c>
      <c r="AW4179" s="2">
        <v>0</v>
      </c>
      <c r="AX4179" s="2">
        <v>0</v>
      </c>
      <c r="AY4179" s="2">
        <v>0</v>
      </c>
      <c r="AZ4179" s="2">
        <v>0</v>
      </c>
      <c r="BA4179" s="2">
        <v>0</v>
      </c>
      <c r="BB4179" s="2">
        <v>0</v>
      </c>
      <c r="BC4179" s="2">
        <v>0</v>
      </c>
      <c r="BD4179" s="2">
        <v>0</v>
      </c>
      <c r="BE4179" s="2">
        <v>0</v>
      </c>
      <c r="BF4179" s="2">
        <v>0</v>
      </c>
      <c r="BG4179" s="2">
        <v>0</v>
      </c>
      <c r="BH4179" s="2">
        <v>1</v>
      </c>
      <c r="BI4179" s="2">
        <v>1</v>
      </c>
      <c r="BJ4179" s="2">
        <v>0.2</v>
      </c>
      <c r="BK4179" s="2">
        <v>1</v>
      </c>
      <c r="BL4179" s="2">
        <v>41.44</v>
      </c>
      <c r="BM4179" s="2">
        <v>5.8</v>
      </c>
      <c r="BN4179" s="2">
        <v>47.24</v>
      </c>
      <c r="BO4179" s="2">
        <v>47.24</v>
      </c>
      <c r="BP4179" s="2"/>
      <c r="BQ4179" s="2" t="s">
        <v>83</v>
      </c>
      <c r="BR4179" s="2" t="s">
        <v>84</v>
      </c>
      <c r="BS4179" s="3">
        <v>42951</v>
      </c>
      <c r="BT4179" s="4">
        <v>0.41388888888888892</v>
      </c>
      <c r="BU4179" s="2" t="s">
        <v>3153</v>
      </c>
      <c r="BV4179" s="2" t="s">
        <v>86</v>
      </c>
      <c r="BW4179" s="2" t="s">
        <v>115</v>
      </c>
      <c r="BX4179" s="2" t="s">
        <v>2940</v>
      </c>
      <c r="BY4179" s="2">
        <v>1200</v>
      </c>
      <c r="BZ4179" s="2" t="s">
        <v>27</v>
      </c>
      <c r="CA4179" s="2"/>
      <c r="CB4179" s="2"/>
      <c r="CC4179" s="2" t="s">
        <v>175</v>
      </c>
      <c r="CD4179" s="2">
        <v>5201</v>
      </c>
      <c r="CE4179" s="2" t="s">
        <v>104</v>
      </c>
      <c r="CF4179" s="5">
        <v>42954</v>
      </c>
      <c r="CG4179" s="2"/>
      <c r="CH4179" s="2"/>
      <c r="CI4179" s="2">
        <v>1</v>
      </c>
      <c r="CJ4179" s="2">
        <v>2</v>
      </c>
      <c r="CK4179" s="2">
        <v>21</v>
      </c>
      <c r="CL4179" s="2" t="s">
        <v>86</v>
      </c>
      <c r="CM4179" s="2"/>
    </row>
    <row r="4180" spans="1:91">
      <c r="A4180" s="2" t="s">
        <v>71</v>
      </c>
      <c r="B4180" s="2" t="s">
        <v>72</v>
      </c>
      <c r="C4180" s="2" t="s">
        <v>73</v>
      </c>
      <c r="D4180" s="2"/>
      <c r="E4180" s="2" t="str">
        <f>"FES1162566398"</f>
        <v>FES1162566398</v>
      </c>
      <c r="F4180" s="3">
        <v>42949</v>
      </c>
      <c r="G4180" s="2">
        <v>201802</v>
      </c>
      <c r="H4180" s="2" t="s">
        <v>74</v>
      </c>
      <c r="I4180" s="2" t="s">
        <v>75</v>
      </c>
      <c r="J4180" s="2" t="s">
        <v>76</v>
      </c>
      <c r="K4180" s="2" t="s">
        <v>77</v>
      </c>
      <c r="L4180" s="2" t="s">
        <v>174</v>
      </c>
      <c r="M4180" s="2" t="s">
        <v>175</v>
      </c>
      <c r="N4180" s="2" t="s">
        <v>930</v>
      </c>
      <c r="O4180" s="2" t="s">
        <v>100</v>
      </c>
      <c r="P4180" s="2" t="str">
        <f>"2170582321                    "</f>
        <v xml:space="preserve">2170582321                    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4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0</v>
      </c>
      <c r="AU4180" s="2">
        <v>0</v>
      </c>
      <c r="AV4180" s="2">
        <v>0</v>
      </c>
      <c r="AW4180" s="2">
        <v>0</v>
      </c>
      <c r="AX4180" s="2">
        <v>0</v>
      </c>
      <c r="AY4180" s="2">
        <v>0</v>
      </c>
      <c r="AZ4180" s="2">
        <v>0</v>
      </c>
      <c r="BA4180" s="2">
        <v>0</v>
      </c>
      <c r="BB4180" s="2">
        <v>0</v>
      </c>
      <c r="BC4180" s="2">
        <v>0</v>
      </c>
      <c r="BD4180" s="2">
        <v>0</v>
      </c>
      <c r="BE4180" s="2">
        <v>0</v>
      </c>
      <c r="BF4180" s="2">
        <v>0</v>
      </c>
      <c r="BG4180" s="2">
        <v>0</v>
      </c>
      <c r="BH4180" s="2">
        <v>1</v>
      </c>
      <c r="BI4180" s="2">
        <v>1</v>
      </c>
      <c r="BJ4180" s="2">
        <v>0.2</v>
      </c>
      <c r="BK4180" s="2">
        <v>1</v>
      </c>
      <c r="BL4180" s="2">
        <v>41.44</v>
      </c>
      <c r="BM4180" s="2">
        <v>5.8</v>
      </c>
      <c r="BN4180" s="2">
        <v>47.24</v>
      </c>
      <c r="BO4180" s="2">
        <v>47.24</v>
      </c>
      <c r="BP4180" s="2"/>
      <c r="BQ4180" s="2" t="s">
        <v>83</v>
      </c>
      <c r="BR4180" s="2" t="s">
        <v>84</v>
      </c>
      <c r="BS4180" s="3">
        <v>42950</v>
      </c>
      <c r="BT4180" s="4">
        <v>0.43194444444444446</v>
      </c>
      <c r="BU4180" s="2" t="s">
        <v>3555</v>
      </c>
      <c r="BV4180" s="2" t="s">
        <v>95</v>
      </c>
      <c r="BW4180" s="2"/>
      <c r="BX4180" s="2"/>
      <c r="BY4180" s="2">
        <v>1200</v>
      </c>
      <c r="BZ4180" s="2" t="s">
        <v>27</v>
      </c>
      <c r="CA4180" s="2" t="s">
        <v>1373</v>
      </c>
      <c r="CB4180" s="2"/>
      <c r="CC4180" s="2" t="s">
        <v>175</v>
      </c>
      <c r="CD4180" s="2">
        <v>5201</v>
      </c>
      <c r="CE4180" s="2" t="s">
        <v>104</v>
      </c>
      <c r="CF4180" s="5">
        <v>42954</v>
      </c>
      <c r="CG4180" s="2"/>
      <c r="CH4180" s="2"/>
      <c r="CI4180" s="2">
        <v>1</v>
      </c>
      <c r="CJ4180" s="2">
        <v>1</v>
      </c>
      <c r="CK4180" s="2">
        <v>21</v>
      </c>
      <c r="CL4180" s="2" t="s">
        <v>86</v>
      </c>
      <c r="CM4180" s="2"/>
    </row>
    <row r="4181" spans="1:91">
      <c r="A4181" s="2" t="s">
        <v>71</v>
      </c>
      <c r="B4181" s="2" t="s">
        <v>72</v>
      </c>
      <c r="C4181" s="2" t="s">
        <v>73</v>
      </c>
      <c r="D4181" s="2"/>
      <c r="E4181" s="2" t="str">
        <f>"FES1162566403"</f>
        <v>FES1162566403</v>
      </c>
      <c r="F4181" s="3">
        <v>42949</v>
      </c>
      <c r="G4181" s="2">
        <v>201802</v>
      </c>
      <c r="H4181" s="2" t="s">
        <v>74</v>
      </c>
      <c r="I4181" s="2" t="s">
        <v>75</v>
      </c>
      <c r="J4181" s="2" t="s">
        <v>76</v>
      </c>
      <c r="K4181" s="2" t="s">
        <v>77</v>
      </c>
      <c r="L4181" s="2" t="s">
        <v>510</v>
      </c>
      <c r="M4181" s="2" t="s">
        <v>511</v>
      </c>
      <c r="N4181" s="2" t="s">
        <v>3885</v>
      </c>
      <c r="O4181" s="2" t="s">
        <v>100</v>
      </c>
      <c r="P4181" s="2" t="str">
        <f>"2170582753                    "</f>
        <v xml:space="preserve">2170582753                    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4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0</v>
      </c>
      <c r="AU4181" s="2">
        <v>0</v>
      </c>
      <c r="AV4181" s="2">
        <v>0</v>
      </c>
      <c r="AW4181" s="2">
        <v>0</v>
      </c>
      <c r="AX4181" s="2">
        <v>0</v>
      </c>
      <c r="AY4181" s="2">
        <v>0</v>
      </c>
      <c r="AZ4181" s="2">
        <v>0</v>
      </c>
      <c r="BA4181" s="2">
        <v>0</v>
      </c>
      <c r="BB4181" s="2">
        <v>0</v>
      </c>
      <c r="BC4181" s="2">
        <v>0</v>
      </c>
      <c r="BD4181" s="2">
        <v>0</v>
      </c>
      <c r="BE4181" s="2">
        <v>0</v>
      </c>
      <c r="BF4181" s="2">
        <v>0</v>
      </c>
      <c r="BG4181" s="2">
        <v>0</v>
      </c>
      <c r="BH4181" s="2">
        <v>1</v>
      </c>
      <c r="BI4181" s="2">
        <v>1</v>
      </c>
      <c r="BJ4181" s="2">
        <v>0.2</v>
      </c>
      <c r="BK4181" s="2">
        <v>1</v>
      </c>
      <c r="BL4181" s="2">
        <v>41.44</v>
      </c>
      <c r="BM4181" s="2">
        <v>5.8</v>
      </c>
      <c r="BN4181" s="2">
        <v>47.24</v>
      </c>
      <c r="BO4181" s="2">
        <v>47.24</v>
      </c>
      <c r="BP4181" s="2"/>
      <c r="BQ4181" s="2" t="s">
        <v>3886</v>
      </c>
      <c r="BR4181" s="2" t="s">
        <v>84</v>
      </c>
      <c r="BS4181" s="3">
        <v>42950</v>
      </c>
      <c r="BT4181" s="4">
        <v>0.37708333333333338</v>
      </c>
      <c r="BU4181" s="2" t="s">
        <v>3887</v>
      </c>
      <c r="BV4181" s="2" t="s">
        <v>95</v>
      </c>
      <c r="BW4181" s="2"/>
      <c r="BX4181" s="2"/>
      <c r="BY4181" s="2">
        <v>1200</v>
      </c>
      <c r="BZ4181" s="2" t="s">
        <v>27</v>
      </c>
      <c r="CA4181" s="2" t="s">
        <v>514</v>
      </c>
      <c r="CB4181" s="2"/>
      <c r="CC4181" s="2" t="s">
        <v>511</v>
      </c>
      <c r="CD4181" s="2">
        <v>6229</v>
      </c>
      <c r="CE4181" s="2" t="s">
        <v>104</v>
      </c>
      <c r="CF4181" s="5">
        <v>42951</v>
      </c>
      <c r="CG4181" s="2"/>
      <c r="CH4181" s="2"/>
      <c r="CI4181" s="2">
        <v>1</v>
      </c>
      <c r="CJ4181" s="2">
        <v>1</v>
      </c>
      <c r="CK4181" s="2">
        <v>21</v>
      </c>
      <c r="CL4181" s="2" t="s">
        <v>86</v>
      </c>
      <c r="CM4181" s="2"/>
    </row>
    <row r="4182" spans="1:91">
      <c r="A4182" s="2" t="s">
        <v>71</v>
      </c>
      <c r="B4182" s="2" t="s">
        <v>72</v>
      </c>
      <c r="C4182" s="2" t="s">
        <v>73</v>
      </c>
      <c r="D4182" s="2"/>
      <c r="E4182" s="2" t="str">
        <f>"FES1162566269"</f>
        <v>FES1162566269</v>
      </c>
      <c r="F4182" s="3">
        <v>42949</v>
      </c>
      <c r="G4182" s="2">
        <v>201802</v>
      </c>
      <c r="H4182" s="2" t="s">
        <v>74</v>
      </c>
      <c r="I4182" s="2" t="s">
        <v>75</v>
      </c>
      <c r="J4182" s="2" t="s">
        <v>76</v>
      </c>
      <c r="K4182" s="2" t="s">
        <v>77</v>
      </c>
      <c r="L4182" s="2" t="s">
        <v>268</v>
      </c>
      <c r="M4182" s="2" t="s">
        <v>269</v>
      </c>
      <c r="N4182" s="2" t="s">
        <v>402</v>
      </c>
      <c r="O4182" s="2" t="s">
        <v>100</v>
      </c>
      <c r="P4182" s="2" t="str">
        <f>"2170582697                    "</f>
        <v xml:space="preserve">2170582697                    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4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0</v>
      </c>
      <c r="AU4182" s="2">
        <v>0</v>
      </c>
      <c r="AV4182" s="2">
        <v>0</v>
      </c>
      <c r="AW4182" s="2">
        <v>0</v>
      </c>
      <c r="AX4182" s="2">
        <v>0</v>
      </c>
      <c r="AY4182" s="2">
        <v>0</v>
      </c>
      <c r="AZ4182" s="2">
        <v>0</v>
      </c>
      <c r="BA4182" s="2">
        <v>0</v>
      </c>
      <c r="BB4182" s="2">
        <v>0</v>
      </c>
      <c r="BC4182" s="2">
        <v>0</v>
      </c>
      <c r="BD4182" s="2">
        <v>0</v>
      </c>
      <c r="BE4182" s="2">
        <v>0</v>
      </c>
      <c r="BF4182" s="2">
        <v>0</v>
      </c>
      <c r="BG4182" s="2">
        <v>0</v>
      </c>
      <c r="BH4182" s="2">
        <v>1</v>
      </c>
      <c r="BI4182" s="2">
        <v>1</v>
      </c>
      <c r="BJ4182" s="2">
        <v>0.2</v>
      </c>
      <c r="BK4182" s="2">
        <v>1</v>
      </c>
      <c r="BL4182" s="2">
        <v>41.44</v>
      </c>
      <c r="BM4182" s="2">
        <v>5.8</v>
      </c>
      <c r="BN4182" s="2">
        <v>47.24</v>
      </c>
      <c r="BO4182" s="2">
        <v>47.24</v>
      </c>
      <c r="BP4182" s="2"/>
      <c r="BQ4182" s="2" t="s">
        <v>1812</v>
      </c>
      <c r="BR4182" s="2" t="s">
        <v>84</v>
      </c>
      <c r="BS4182" s="3">
        <v>42950</v>
      </c>
      <c r="BT4182" s="4">
        <v>0.64166666666666672</v>
      </c>
      <c r="BU4182" s="2" t="s">
        <v>3888</v>
      </c>
      <c r="BV4182" s="2" t="s">
        <v>86</v>
      </c>
      <c r="BW4182" s="2" t="s">
        <v>1007</v>
      </c>
      <c r="BX4182" s="2" t="s">
        <v>1008</v>
      </c>
      <c r="BY4182" s="2">
        <v>1200</v>
      </c>
      <c r="BZ4182" s="2" t="s">
        <v>27</v>
      </c>
      <c r="CA4182" s="2" t="s">
        <v>981</v>
      </c>
      <c r="CB4182" s="2"/>
      <c r="CC4182" s="2" t="s">
        <v>269</v>
      </c>
      <c r="CD4182" s="2">
        <v>82</v>
      </c>
      <c r="CE4182" s="2" t="s">
        <v>104</v>
      </c>
      <c r="CF4182" s="5">
        <v>42950</v>
      </c>
      <c r="CG4182" s="2"/>
      <c r="CH4182" s="2"/>
      <c r="CI4182" s="2">
        <v>1</v>
      </c>
      <c r="CJ4182" s="2">
        <v>1</v>
      </c>
      <c r="CK4182" s="2">
        <v>21</v>
      </c>
      <c r="CL4182" s="2" t="s">
        <v>86</v>
      </c>
      <c r="CM4182" s="2"/>
    </row>
    <row r="4183" spans="1:91">
      <c r="A4183" s="2" t="s">
        <v>71</v>
      </c>
      <c r="B4183" s="2" t="s">
        <v>72</v>
      </c>
      <c r="C4183" s="2" t="s">
        <v>73</v>
      </c>
      <c r="D4183" s="2"/>
      <c r="E4183" s="2" t="str">
        <f>"FES1162566151"</f>
        <v>FES1162566151</v>
      </c>
      <c r="F4183" s="3">
        <v>42949</v>
      </c>
      <c r="G4183" s="2">
        <v>201802</v>
      </c>
      <c r="H4183" s="2" t="s">
        <v>74</v>
      </c>
      <c r="I4183" s="2" t="s">
        <v>75</v>
      </c>
      <c r="J4183" s="2" t="s">
        <v>76</v>
      </c>
      <c r="K4183" s="2" t="s">
        <v>77</v>
      </c>
      <c r="L4183" s="2" t="s">
        <v>268</v>
      </c>
      <c r="M4183" s="2" t="s">
        <v>269</v>
      </c>
      <c r="N4183" s="2" t="s">
        <v>3889</v>
      </c>
      <c r="O4183" s="2" t="s">
        <v>100</v>
      </c>
      <c r="P4183" s="2" t="str">
        <f>"2170580078                    "</f>
        <v xml:space="preserve">2170580078                    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4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0</v>
      </c>
      <c r="AU4183" s="2">
        <v>0</v>
      </c>
      <c r="AV4183" s="2">
        <v>0</v>
      </c>
      <c r="AW4183" s="2">
        <v>0</v>
      </c>
      <c r="AX4183" s="2">
        <v>0</v>
      </c>
      <c r="AY4183" s="2">
        <v>0</v>
      </c>
      <c r="AZ4183" s="2">
        <v>0</v>
      </c>
      <c r="BA4183" s="2">
        <v>0</v>
      </c>
      <c r="BB4183" s="2">
        <v>0</v>
      </c>
      <c r="BC4183" s="2">
        <v>0</v>
      </c>
      <c r="BD4183" s="2">
        <v>0</v>
      </c>
      <c r="BE4183" s="2">
        <v>0</v>
      </c>
      <c r="BF4183" s="2">
        <v>0</v>
      </c>
      <c r="BG4183" s="2">
        <v>0</v>
      </c>
      <c r="BH4183" s="2">
        <v>1</v>
      </c>
      <c r="BI4183" s="2">
        <v>1</v>
      </c>
      <c r="BJ4183" s="2">
        <v>0.2</v>
      </c>
      <c r="BK4183" s="2">
        <v>1</v>
      </c>
      <c r="BL4183" s="2">
        <v>41.44</v>
      </c>
      <c r="BM4183" s="2">
        <v>5.8</v>
      </c>
      <c r="BN4183" s="2">
        <v>47.24</v>
      </c>
      <c r="BO4183" s="2">
        <v>47.24</v>
      </c>
      <c r="BP4183" s="2"/>
      <c r="BQ4183" s="2"/>
      <c r="BR4183" s="2" t="s">
        <v>84</v>
      </c>
      <c r="BS4183" s="3">
        <v>42951</v>
      </c>
      <c r="BT4183" s="4">
        <v>0.42222222222222222</v>
      </c>
      <c r="BU4183" s="2" t="s">
        <v>1053</v>
      </c>
      <c r="BV4183" s="2" t="s">
        <v>86</v>
      </c>
      <c r="BW4183" s="2" t="s">
        <v>1007</v>
      </c>
      <c r="BX4183" s="2" t="s">
        <v>1763</v>
      </c>
      <c r="BY4183" s="2">
        <v>1200</v>
      </c>
      <c r="BZ4183" s="2"/>
      <c r="CA4183" s="2"/>
      <c r="CB4183" s="2"/>
      <c r="CC4183" s="2" t="s">
        <v>269</v>
      </c>
      <c r="CD4183" s="2">
        <v>48</v>
      </c>
      <c r="CE4183" s="2" t="s">
        <v>104</v>
      </c>
      <c r="CF4183" s="5">
        <v>42954</v>
      </c>
      <c r="CG4183" s="2"/>
      <c r="CH4183" s="2"/>
      <c r="CI4183" s="2">
        <v>1</v>
      </c>
      <c r="CJ4183" s="2">
        <v>2</v>
      </c>
      <c r="CK4183" s="2">
        <v>21</v>
      </c>
      <c r="CL4183" s="2" t="s">
        <v>86</v>
      </c>
      <c r="CM4183" s="2"/>
    </row>
    <row r="4184" spans="1:91">
      <c r="A4184" s="2" t="s">
        <v>71</v>
      </c>
      <c r="B4184" s="2" t="s">
        <v>72</v>
      </c>
      <c r="C4184" s="2" t="s">
        <v>73</v>
      </c>
      <c r="D4184" s="2"/>
      <c r="E4184" s="2" t="str">
        <f>"FES1162566383"</f>
        <v>FES1162566383</v>
      </c>
      <c r="F4184" s="3">
        <v>42949</v>
      </c>
      <c r="G4184" s="2">
        <v>201802</v>
      </c>
      <c r="H4184" s="2" t="s">
        <v>74</v>
      </c>
      <c r="I4184" s="2" t="s">
        <v>75</v>
      </c>
      <c r="J4184" s="2" t="s">
        <v>76</v>
      </c>
      <c r="K4184" s="2" t="s">
        <v>77</v>
      </c>
      <c r="L4184" s="2" t="s">
        <v>268</v>
      </c>
      <c r="M4184" s="2" t="s">
        <v>269</v>
      </c>
      <c r="N4184" s="2" t="s">
        <v>442</v>
      </c>
      <c r="O4184" s="2" t="s">
        <v>100</v>
      </c>
      <c r="P4184" s="2" t="str">
        <f>"2170580569                    "</f>
        <v xml:space="preserve">2170580569                    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4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0</v>
      </c>
      <c r="AU4184" s="2">
        <v>0</v>
      </c>
      <c r="AV4184" s="2">
        <v>0</v>
      </c>
      <c r="AW4184" s="2">
        <v>0</v>
      </c>
      <c r="AX4184" s="2">
        <v>0</v>
      </c>
      <c r="AY4184" s="2">
        <v>0</v>
      </c>
      <c r="AZ4184" s="2">
        <v>0</v>
      </c>
      <c r="BA4184" s="2">
        <v>0</v>
      </c>
      <c r="BB4184" s="2">
        <v>0</v>
      </c>
      <c r="BC4184" s="2">
        <v>0</v>
      </c>
      <c r="BD4184" s="2">
        <v>0</v>
      </c>
      <c r="BE4184" s="2">
        <v>0</v>
      </c>
      <c r="BF4184" s="2">
        <v>0</v>
      </c>
      <c r="BG4184" s="2">
        <v>0</v>
      </c>
      <c r="BH4184" s="2">
        <v>1</v>
      </c>
      <c r="BI4184" s="2">
        <v>1</v>
      </c>
      <c r="BJ4184" s="2">
        <v>0.2</v>
      </c>
      <c r="BK4184" s="2">
        <v>1</v>
      </c>
      <c r="BL4184" s="2">
        <v>41.44</v>
      </c>
      <c r="BM4184" s="2">
        <v>5.8</v>
      </c>
      <c r="BN4184" s="2">
        <v>47.24</v>
      </c>
      <c r="BO4184" s="2">
        <v>47.24</v>
      </c>
      <c r="BP4184" s="2"/>
      <c r="BQ4184" s="2" t="s">
        <v>83</v>
      </c>
      <c r="BR4184" s="2" t="s">
        <v>84</v>
      </c>
      <c r="BS4184" s="3">
        <v>42950</v>
      </c>
      <c r="BT4184" s="4">
        <v>0.42708333333333331</v>
      </c>
      <c r="BU4184" s="2" t="s">
        <v>443</v>
      </c>
      <c r="BV4184" s="2" t="s">
        <v>95</v>
      </c>
      <c r="BW4184" s="2"/>
      <c r="BX4184" s="2"/>
      <c r="BY4184" s="2">
        <v>1200</v>
      </c>
      <c r="BZ4184" s="2" t="s">
        <v>27</v>
      </c>
      <c r="CA4184" s="2" t="s">
        <v>445</v>
      </c>
      <c r="CB4184" s="2"/>
      <c r="CC4184" s="2" t="s">
        <v>269</v>
      </c>
      <c r="CD4184" s="2">
        <v>1</v>
      </c>
      <c r="CE4184" s="2" t="s">
        <v>104</v>
      </c>
      <c r="CF4184" s="5">
        <v>42951</v>
      </c>
      <c r="CG4184" s="2"/>
      <c r="CH4184" s="2"/>
      <c r="CI4184" s="2">
        <v>1</v>
      </c>
      <c r="CJ4184" s="2">
        <v>1</v>
      </c>
      <c r="CK4184" s="2">
        <v>21</v>
      </c>
      <c r="CL4184" s="2" t="s">
        <v>86</v>
      </c>
      <c r="CM4184" s="2"/>
    </row>
    <row r="4185" spans="1:91">
      <c r="A4185" s="2" t="s">
        <v>71</v>
      </c>
      <c r="B4185" s="2" t="s">
        <v>72</v>
      </c>
      <c r="C4185" s="2" t="s">
        <v>73</v>
      </c>
      <c r="D4185" s="2"/>
      <c r="E4185" s="2" t="str">
        <f>"FES1162566312"</f>
        <v>FES1162566312</v>
      </c>
      <c r="F4185" s="3">
        <v>42949</v>
      </c>
      <c r="G4185" s="2">
        <v>201802</v>
      </c>
      <c r="H4185" s="2" t="s">
        <v>74</v>
      </c>
      <c r="I4185" s="2" t="s">
        <v>75</v>
      </c>
      <c r="J4185" s="2" t="s">
        <v>76</v>
      </c>
      <c r="K4185" s="2" t="s">
        <v>77</v>
      </c>
      <c r="L4185" s="2" t="s">
        <v>268</v>
      </c>
      <c r="M4185" s="2" t="s">
        <v>269</v>
      </c>
      <c r="N4185" s="2" t="s">
        <v>442</v>
      </c>
      <c r="O4185" s="2" t="s">
        <v>100</v>
      </c>
      <c r="P4185" s="2" t="str">
        <f>"2170580792                    "</f>
        <v xml:space="preserve">2170580792                    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4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0</v>
      </c>
      <c r="AU4185" s="2">
        <v>0</v>
      </c>
      <c r="AV4185" s="2">
        <v>0</v>
      </c>
      <c r="AW4185" s="2">
        <v>0</v>
      </c>
      <c r="AX4185" s="2">
        <v>0</v>
      </c>
      <c r="AY4185" s="2">
        <v>0</v>
      </c>
      <c r="AZ4185" s="2">
        <v>0</v>
      </c>
      <c r="BA4185" s="2">
        <v>0</v>
      </c>
      <c r="BB4185" s="2">
        <v>0</v>
      </c>
      <c r="BC4185" s="2">
        <v>0</v>
      </c>
      <c r="BD4185" s="2">
        <v>0</v>
      </c>
      <c r="BE4185" s="2">
        <v>0</v>
      </c>
      <c r="BF4185" s="2">
        <v>0</v>
      </c>
      <c r="BG4185" s="2">
        <v>0</v>
      </c>
      <c r="BH4185" s="2">
        <v>1</v>
      </c>
      <c r="BI4185" s="2">
        <v>1</v>
      </c>
      <c r="BJ4185" s="2">
        <v>0.2</v>
      </c>
      <c r="BK4185" s="2">
        <v>1</v>
      </c>
      <c r="BL4185" s="2">
        <v>41.44</v>
      </c>
      <c r="BM4185" s="2">
        <v>5.8</v>
      </c>
      <c r="BN4185" s="2">
        <v>47.24</v>
      </c>
      <c r="BO4185" s="2">
        <v>47.24</v>
      </c>
      <c r="BP4185" s="2"/>
      <c r="BQ4185" s="2" t="s">
        <v>83</v>
      </c>
      <c r="BR4185" s="2" t="s">
        <v>84</v>
      </c>
      <c r="BS4185" s="3">
        <v>42950</v>
      </c>
      <c r="BT4185" s="4">
        <v>0.42638888888888887</v>
      </c>
      <c r="BU4185" s="2" t="s">
        <v>443</v>
      </c>
      <c r="BV4185" s="2" t="s">
        <v>95</v>
      </c>
      <c r="BW4185" s="2"/>
      <c r="BX4185" s="2"/>
      <c r="BY4185" s="2">
        <v>1200</v>
      </c>
      <c r="BZ4185" s="2" t="s">
        <v>27</v>
      </c>
      <c r="CA4185" s="2" t="s">
        <v>445</v>
      </c>
      <c r="CB4185" s="2"/>
      <c r="CC4185" s="2" t="s">
        <v>269</v>
      </c>
      <c r="CD4185" s="2">
        <v>1</v>
      </c>
      <c r="CE4185" s="2" t="s">
        <v>104</v>
      </c>
      <c r="CF4185" s="5">
        <v>42951</v>
      </c>
      <c r="CG4185" s="2"/>
      <c r="CH4185" s="2"/>
      <c r="CI4185" s="2">
        <v>1</v>
      </c>
      <c r="CJ4185" s="2">
        <v>1</v>
      </c>
      <c r="CK4185" s="2">
        <v>21</v>
      </c>
      <c r="CL4185" s="2" t="s">
        <v>86</v>
      </c>
      <c r="CM4185" s="2"/>
    </row>
    <row r="4186" spans="1:91">
      <c r="A4186" s="2" t="s">
        <v>71</v>
      </c>
      <c r="B4186" s="2" t="s">
        <v>72</v>
      </c>
      <c r="C4186" s="2" t="s">
        <v>73</v>
      </c>
      <c r="D4186" s="2"/>
      <c r="E4186" s="2" t="str">
        <f>"FES1162566322"</f>
        <v>FES1162566322</v>
      </c>
      <c r="F4186" s="3">
        <v>42949</v>
      </c>
      <c r="G4186" s="2">
        <v>201802</v>
      </c>
      <c r="H4186" s="2" t="s">
        <v>74</v>
      </c>
      <c r="I4186" s="2" t="s">
        <v>75</v>
      </c>
      <c r="J4186" s="2" t="s">
        <v>76</v>
      </c>
      <c r="K4186" s="2" t="s">
        <v>77</v>
      </c>
      <c r="L4186" s="2" t="s">
        <v>268</v>
      </c>
      <c r="M4186" s="2" t="s">
        <v>269</v>
      </c>
      <c r="N4186" s="2" t="s">
        <v>442</v>
      </c>
      <c r="O4186" s="2" t="s">
        <v>100</v>
      </c>
      <c r="P4186" s="2" t="str">
        <f>"21705879569                   "</f>
        <v xml:space="preserve">21705879569                   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4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0</v>
      </c>
      <c r="AU4186" s="2">
        <v>0</v>
      </c>
      <c r="AV4186" s="2">
        <v>0</v>
      </c>
      <c r="AW4186" s="2">
        <v>0</v>
      </c>
      <c r="AX4186" s="2">
        <v>0</v>
      </c>
      <c r="AY4186" s="2">
        <v>0</v>
      </c>
      <c r="AZ4186" s="2">
        <v>0</v>
      </c>
      <c r="BA4186" s="2">
        <v>0</v>
      </c>
      <c r="BB4186" s="2">
        <v>0</v>
      </c>
      <c r="BC4186" s="2">
        <v>0</v>
      </c>
      <c r="BD4186" s="2">
        <v>0</v>
      </c>
      <c r="BE4186" s="2">
        <v>0</v>
      </c>
      <c r="BF4186" s="2">
        <v>0</v>
      </c>
      <c r="BG4186" s="2">
        <v>0</v>
      </c>
      <c r="BH4186" s="2">
        <v>1</v>
      </c>
      <c r="BI4186" s="2">
        <v>1</v>
      </c>
      <c r="BJ4186" s="2">
        <v>0.2</v>
      </c>
      <c r="BK4186" s="2">
        <v>1</v>
      </c>
      <c r="BL4186" s="2">
        <v>41.44</v>
      </c>
      <c r="BM4186" s="2">
        <v>5.8</v>
      </c>
      <c r="BN4186" s="2">
        <v>47.24</v>
      </c>
      <c r="BO4186" s="2">
        <v>47.24</v>
      </c>
      <c r="BP4186" s="2"/>
      <c r="BQ4186" s="2" t="s">
        <v>83</v>
      </c>
      <c r="BR4186" s="2" t="s">
        <v>84</v>
      </c>
      <c r="BS4186" s="3">
        <v>42950</v>
      </c>
      <c r="BT4186" s="4">
        <v>0.42708333333333331</v>
      </c>
      <c r="BU4186" s="2" t="s">
        <v>443</v>
      </c>
      <c r="BV4186" s="2" t="s">
        <v>95</v>
      </c>
      <c r="BW4186" s="2"/>
      <c r="BX4186" s="2"/>
      <c r="BY4186" s="2">
        <v>1200</v>
      </c>
      <c r="BZ4186" s="2" t="s">
        <v>27</v>
      </c>
      <c r="CA4186" s="2" t="s">
        <v>445</v>
      </c>
      <c r="CB4186" s="2"/>
      <c r="CC4186" s="2" t="s">
        <v>269</v>
      </c>
      <c r="CD4186" s="2">
        <v>1</v>
      </c>
      <c r="CE4186" s="2" t="s">
        <v>104</v>
      </c>
      <c r="CF4186" s="5">
        <v>42951</v>
      </c>
      <c r="CG4186" s="2"/>
      <c r="CH4186" s="2"/>
      <c r="CI4186" s="2">
        <v>1</v>
      </c>
      <c r="CJ4186" s="2">
        <v>1</v>
      </c>
      <c r="CK4186" s="2">
        <v>21</v>
      </c>
      <c r="CL4186" s="2" t="s">
        <v>86</v>
      </c>
      <c r="CM4186" s="2"/>
    </row>
    <row r="4187" spans="1:91">
      <c r="A4187" s="2" t="s">
        <v>71</v>
      </c>
      <c r="B4187" s="2" t="s">
        <v>72</v>
      </c>
      <c r="C4187" s="2" t="s">
        <v>73</v>
      </c>
      <c r="D4187" s="2"/>
      <c r="E4187" s="2" t="str">
        <f>"FES1162566281"</f>
        <v>FES1162566281</v>
      </c>
      <c r="F4187" s="3">
        <v>42949</v>
      </c>
      <c r="G4187" s="2">
        <v>201802</v>
      </c>
      <c r="H4187" s="2" t="s">
        <v>74</v>
      </c>
      <c r="I4187" s="2" t="s">
        <v>75</v>
      </c>
      <c r="J4187" s="2" t="s">
        <v>76</v>
      </c>
      <c r="K4187" s="2" t="s">
        <v>77</v>
      </c>
      <c r="L4187" s="2" t="s">
        <v>268</v>
      </c>
      <c r="M4187" s="2" t="s">
        <v>269</v>
      </c>
      <c r="N4187" s="2" t="s">
        <v>3890</v>
      </c>
      <c r="O4187" s="2" t="s">
        <v>100</v>
      </c>
      <c r="P4187" s="2" t="str">
        <f>"2170582710                    "</f>
        <v xml:space="preserve">2170582710                    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4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0</v>
      </c>
      <c r="AU4187" s="2">
        <v>0</v>
      </c>
      <c r="AV4187" s="2">
        <v>0</v>
      </c>
      <c r="AW4187" s="2">
        <v>0</v>
      </c>
      <c r="AX4187" s="2">
        <v>0</v>
      </c>
      <c r="AY4187" s="2">
        <v>0</v>
      </c>
      <c r="AZ4187" s="2">
        <v>0</v>
      </c>
      <c r="BA4187" s="2">
        <v>0</v>
      </c>
      <c r="BB4187" s="2">
        <v>0</v>
      </c>
      <c r="BC4187" s="2">
        <v>0</v>
      </c>
      <c r="BD4187" s="2">
        <v>0</v>
      </c>
      <c r="BE4187" s="2">
        <v>0</v>
      </c>
      <c r="BF4187" s="2">
        <v>0</v>
      </c>
      <c r="BG4187" s="2">
        <v>0</v>
      </c>
      <c r="BH4187" s="2">
        <v>1</v>
      </c>
      <c r="BI4187" s="2">
        <v>1</v>
      </c>
      <c r="BJ4187" s="2">
        <v>0.2</v>
      </c>
      <c r="BK4187" s="2">
        <v>1</v>
      </c>
      <c r="BL4187" s="2">
        <v>41.44</v>
      </c>
      <c r="BM4187" s="2">
        <v>5.8</v>
      </c>
      <c r="BN4187" s="2">
        <v>47.24</v>
      </c>
      <c r="BO4187" s="2">
        <v>47.24</v>
      </c>
      <c r="BP4187" s="2"/>
      <c r="BQ4187" s="2"/>
      <c r="BR4187" s="2" t="s">
        <v>84</v>
      </c>
      <c r="BS4187" s="3">
        <v>42950</v>
      </c>
      <c r="BT4187" s="4">
        <v>0.47569444444444442</v>
      </c>
      <c r="BU4187" s="2" t="s">
        <v>3891</v>
      </c>
      <c r="BV4187" s="2" t="s">
        <v>86</v>
      </c>
      <c r="BW4187" s="2" t="s">
        <v>1007</v>
      </c>
      <c r="BX4187" s="2" t="s">
        <v>1008</v>
      </c>
      <c r="BY4187" s="2">
        <v>1200</v>
      </c>
      <c r="BZ4187" s="2" t="s">
        <v>27</v>
      </c>
      <c r="CA4187" s="2" t="s">
        <v>638</v>
      </c>
      <c r="CB4187" s="2"/>
      <c r="CC4187" s="2" t="s">
        <v>269</v>
      </c>
      <c r="CD4187" s="2">
        <v>1</v>
      </c>
      <c r="CE4187" s="2" t="s">
        <v>104</v>
      </c>
      <c r="CF4187" s="5">
        <v>42950</v>
      </c>
      <c r="CG4187" s="2"/>
      <c r="CH4187" s="2"/>
      <c r="CI4187" s="2">
        <v>1</v>
      </c>
      <c r="CJ4187" s="2">
        <v>1</v>
      </c>
      <c r="CK4187" s="2">
        <v>21</v>
      </c>
      <c r="CL4187" s="2" t="s">
        <v>86</v>
      </c>
      <c r="CM4187" s="2"/>
    </row>
    <row r="4188" spans="1:91">
      <c r="A4188" s="2" t="s">
        <v>71</v>
      </c>
      <c r="B4188" s="2" t="s">
        <v>72</v>
      </c>
      <c r="C4188" s="2" t="s">
        <v>73</v>
      </c>
      <c r="D4188" s="2"/>
      <c r="E4188" s="2" t="str">
        <f>"FES1162566207"</f>
        <v>FES1162566207</v>
      </c>
      <c r="F4188" s="3">
        <v>42949</v>
      </c>
      <c r="G4188" s="2">
        <v>201802</v>
      </c>
      <c r="H4188" s="2" t="s">
        <v>74</v>
      </c>
      <c r="I4188" s="2" t="s">
        <v>75</v>
      </c>
      <c r="J4188" s="2" t="s">
        <v>76</v>
      </c>
      <c r="K4188" s="2" t="s">
        <v>77</v>
      </c>
      <c r="L4188" s="2" t="s">
        <v>470</v>
      </c>
      <c r="M4188" s="2" t="s">
        <v>471</v>
      </c>
      <c r="N4188" s="2" t="s">
        <v>2209</v>
      </c>
      <c r="O4188" s="2" t="s">
        <v>100</v>
      </c>
      <c r="P4188" s="2" t="str">
        <f>"2170582130                    "</f>
        <v xml:space="preserve">2170582130                    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6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0</v>
      </c>
      <c r="AU4188" s="2">
        <v>0</v>
      </c>
      <c r="AV4188" s="2">
        <v>0</v>
      </c>
      <c r="AW4188" s="2">
        <v>0</v>
      </c>
      <c r="AX4188" s="2">
        <v>0</v>
      </c>
      <c r="AY4188" s="2">
        <v>0</v>
      </c>
      <c r="AZ4188" s="2">
        <v>0</v>
      </c>
      <c r="BA4188" s="2">
        <v>0</v>
      </c>
      <c r="BB4188" s="2">
        <v>0</v>
      </c>
      <c r="BC4188" s="2">
        <v>0</v>
      </c>
      <c r="BD4188" s="2">
        <v>0</v>
      </c>
      <c r="BE4188" s="2">
        <v>0</v>
      </c>
      <c r="BF4188" s="2">
        <v>0</v>
      </c>
      <c r="BG4188" s="2">
        <v>0</v>
      </c>
      <c r="BH4188" s="2">
        <v>1</v>
      </c>
      <c r="BI4188" s="2">
        <v>3</v>
      </c>
      <c r="BJ4188" s="2">
        <v>0.2</v>
      </c>
      <c r="BK4188" s="2">
        <v>3</v>
      </c>
      <c r="BL4188" s="2">
        <v>62.16</v>
      </c>
      <c r="BM4188" s="2">
        <v>8.6999999999999993</v>
      </c>
      <c r="BN4188" s="2">
        <v>70.86</v>
      </c>
      <c r="BO4188" s="2">
        <v>70.86</v>
      </c>
      <c r="BP4188" s="2"/>
      <c r="BQ4188" s="2" t="s">
        <v>2393</v>
      </c>
      <c r="BR4188" s="2" t="s">
        <v>84</v>
      </c>
      <c r="BS4188" s="3">
        <v>42950</v>
      </c>
      <c r="BT4188" s="4">
        <v>0.34930555555555554</v>
      </c>
      <c r="BU4188" s="2" t="s">
        <v>3390</v>
      </c>
      <c r="BV4188" s="2" t="s">
        <v>95</v>
      </c>
      <c r="BW4188" s="2"/>
      <c r="BX4188" s="2"/>
      <c r="BY4188" s="2">
        <v>1200</v>
      </c>
      <c r="BZ4188" s="2" t="s">
        <v>27</v>
      </c>
      <c r="CA4188" s="2" t="s">
        <v>474</v>
      </c>
      <c r="CB4188" s="2"/>
      <c r="CC4188" s="2" t="s">
        <v>471</v>
      </c>
      <c r="CD4188" s="2">
        <v>1900</v>
      </c>
      <c r="CE4188" s="2" t="s">
        <v>104</v>
      </c>
      <c r="CF4188" s="5">
        <v>42951</v>
      </c>
      <c r="CG4188" s="2"/>
      <c r="CH4188" s="2"/>
      <c r="CI4188" s="2">
        <v>1</v>
      </c>
      <c r="CJ4188" s="2">
        <v>1</v>
      </c>
      <c r="CK4188" s="2">
        <v>21</v>
      </c>
      <c r="CL4188" s="2" t="s">
        <v>86</v>
      </c>
      <c r="CM4188" s="2"/>
    </row>
    <row r="4189" spans="1:91">
      <c r="A4189" s="2" t="s">
        <v>71</v>
      </c>
      <c r="B4189" s="2" t="s">
        <v>72</v>
      </c>
      <c r="C4189" s="2" t="s">
        <v>73</v>
      </c>
      <c r="D4189" s="2"/>
      <c r="E4189" s="2" t="str">
        <f>"FES1162566244"</f>
        <v>FES1162566244</v>
      </c>
      <c r="F4189" s="3">
        <v>42949</v>
      </c>
      <c r="G4189" s="2">
        <v>201802</v>
      </c>
      <c r="H4189" s="2" t="s">
        <v>74</v>
      </c>
      <c r="I4189" s="2" t="s">
        <v>75</v>
      </c>
      <c r="J4189" s="2" t="s">
        <v>76</v>
      </c>
      <c r="K4189" s="2" t="s">
        <v>77</v>
      </c>
      <c r="L4189" s="2" t="s">
        <v>159</v>
      </c>
      <c r="M4189" s="2" t="s">
        <v>160</v>
      </c>
      <c r="N4189" s="2" t="s">
        <v>3892</v>
      </c>
      <c r="O4189" s="2" t="s">
        <v>100</v>
      </c>
      <c r="P4189" s="2" t="str">
        <f>"2170582596                    "</f>
        <v xml:space="preserve">2170582596                    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5.63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0</v>
      </c>
      <c r="AU4189" s="2">
        <v>0</v>
      </c>
      <c r="AV4189" s="2">
        <v>0</v>
      </c>
      <c r="AW4189" s="2">
        <v>0</v>
      </c>
      <c r="AX4189" s="2">
        <v>0</v>
      </c>
      <c r="AY4189" s="2">
        <v>0</v>
      </c>
      <c r="AZ4189" s="2">
        <v>0</v>
      </c>
      <c r="BA4189" s="2">
        <v>0</v>
      </c>
      <c r="BB4189" s="2">
        <v>0</v>
      </c>
      <c r="BC4189" s="2">
        <v>0</v>
      </c>
      <c r="BD4189" s="2">
        <v>0</v>
      </c>
      <c r="BE4189" s="2">
        <v>0</v>
      </c>
      <c r="BF4189" s="2">
        <v>0</v>
      </c>
      <c r="BG4189" s="2">
        <v>0</v>
      </c>
      <c r="BH4189" s="2">
        <v>1</v>
      </c>
      <c r="BI4189" s="2">
        <v>1</v>
      </c>
      <c r="BJ4189" s="2">
        <v>0.2</v>
      </c>
      <c r="BK4189" s="2">
        <v>1</v>
      </c>
      <c r="BL4189" s="2">
        <v>58.28</v>
      </c>
      <c r="BM4189" s="2">
        <v>8.16</v>
      </c>
      <c r="BN4189" s="2">
        <v>66.44</v>
      </c>
      <c r="BO4189" s="2">
        <v>66.44</v>
      </c>
      <c r="BP4189" s="2"/>
      <c r="BQ4189" s="2" t="s">
        <v>3893</v>
      </c>
      <c r="BR4189" s="2" t="s">
        <v>84</v>
      </c>
      <c r="BS4189" s="3">
        <v>42950</v>
      </c>
      <c r="BT4189" s="4">
        <v>0.52083333333333337</v>
      </c>
      <c r="BU4189" s="2" t="s">
        <v>3894</v>
      </c>
      <c r="BV4189" s="2" t="s">
        <v>95</v>
      </c>
      <c r="BW4189" s="2"/>
      <c r="BX4189" s="2"/>
      <c r="BY4189" s="2">
        <v>1200</v>
      </c>
      <c r="BZ4189" s="2" t="s">
        <v>27</v>
      </c>
      <c r="CA4189" s="2" t="s">
        <v>2841</v>
      </c>
      <c r="CB4189" s="2"/>
      <c r="CC4189" s="2" t="s">
        <v>160</v>
      </c>
      <c r="CD4189" s="2">
        <v>208</v>
      </c>
      <c r="CE4189" s="2" t="s">
        <v>104</v>
      </c>
      <c r="CF4189" s="5">
        <v>42951</v>
      </c>
      <c r="CG4189" s="2"/>
      <c r="CH4189" s="2"/>
      <c r="CI4189" s="2">
        <v>1</v>
      </c>
      <c r="CJ4189" s="2">
        <v>1</v>
      </c>
      <c r="CK4189" s="2">
        <v>24</v>
      </c>
      <c r="CL4189" s="2" t="s">
        <v>86</v>
      </c>
      <c r="CM4189" s="2"/>
    </row>
    <row r="4190" spans="1:91">
      <c r="A4190" s="2" t="s">
        <v>71</v>
      </c>
      <c r="B4190" s="2" t="s">
        <v>72</v>
      </c>
      <c r="C4190" s="2" t="s">
        <v>73</v>
      </c>
      <c r="D4190" s="2"/>
      <c r="E4190" s="2" t="str">
        <f>"FES1162566238"</f>
        <v>FES1162566238</v>
      </c>
      <c r="F4190" s="3">
        <v>42949</v>
      </c>
      <c r="G4190" s="2">
        <v>201802</v>
      </c>
      <c r="H4190" s="2" t="s">
        <v>74</v>
      </c>
      <c r="I4190" s="2" t="s">
        <v>75</v>
      </c>
      <c r="J4190" s="2" t="s">
        <v>76</v>
      </c>
      <c r="K4190" s="2" t="s">
        <v>77</v>
      </c>
      <c r="L4190" s="2" t="s">
        <v>97</v>
      </c>
      <c r="M4190" s="2" t="s">
        <v>98</v>
      </c>
      <c r="N4190" s="2" t="s">
        <v>822</v>
      </c>
      <c r="O4190" s="2" t="s">
        <v>100</v>
      </c>
      <c r="P4190" s="2" t="str">
        <f>"2170582457                    "</f>
        <v xml:space="preserve">2170582457                    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7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0</v>
      </c>
      <c r="AU4190" s="2">
        <v>0</v>
      </c>
      <c r="AV4190" s="2">
        <v>0</v>
      </c>
      <c r="AW4190" s="2">
        <v>0</v>
      </c>
      <c r="AX4190" s="2">
        <v>0</v>
      </c>
      <c r="AY4190" s="2">
        <v>0</v>
      </c>
      <c r="AZ4190" s="2">
        <v>0</v>
      </c>
      <c r="BA4190" s="2">
        <v>0</v>
      </c>
      <c r="BB4190" s="2">
        <v>0</v>
      </c>
      <c r="BC4190" s="2">
        <v>0</v>
      </c>
      <c r="BD4190" s="2">
        <v>0</v>
      </c>
      <c r="BE4190" s="2">
        <v>0</v>
      </c>
      <c r="BF4190" s="2">
        <v>0</v>
      </c>
      <c r="BG4190" s="2">
        <v>0</v>
      </c>
      <c r="BH4190" s="2">
        <v>1</v>
      </c>
      <c r="BI4190" s="2">
        <v>3.1</v>
      </c>
      <c r="BJ4190" s="2">
        <v>3.4</v>
      </c>
      <c r="BK4190" s="2">
        <v>3.5</v>
      </c>
      <c r="BL4190" s="2">
        <v>72.52</v>
      </c>
      <c r="BM4190" s="2">
        <v>10.15</v>
      </c>
      <c r="BN4190" s="2">
        <v>82.67</v>
      </c>
      <c r="BO4190" s="2">
        <v>82.67</v>
      </c>
      <c r="BP4190" s="2"/>
      <c r="BQ4190" s="2" t="s">
        <v>83</v>
      </c>
      <c r="BR4190" s="2" t="s">
        <v>84</v>
      </c>
      <c r="BS4190" s="3">
        <v>42950</v>
      </c>
      <c r="BT4190" s="4">
        <v>0.3298611111111111</v>
      </c>
      <c r="BU4190" s="2" t="s">
        <v>1081</v>
      </c>
      <c r="BV4190" s="2" t="s">
        <v>95</v>
      </c>
      <c r="BW4190" s="2"/>
      <c r="BX4190" s="2"/>
      <c r="BY4190" s="2">
        <v>17125.95</v>
      </c>
      <c r="BZ4190" s="2" t="s">
        <v>27</v>
      </c>
      <c r="CA4190" s="2" t="s">
        <v>294</v>
      </c>
      <c r="CB4190" s="2"/>
      <c r="CC4190" s="2" t="s">
        <v>98</v>
      </c>
      <c r="CD4190" s="2">
        <v>6001</v>
      </c>
      <c r="CE4190" s="2" t="s">
        <v>89</v>
      </c>
      <c r="CF4190" s="5">
        <v>42951</v>
      </c>
      <c r="CG4190" s="2"/>
      <c r="CH4190" s="2"/>
      <c r="CI4190" s="2">
        <v>1</v>
      </c>
      <c r="CJ4190" s="2">
        <v>1</v>
      </c>
      <c r="CK4190" s="2">
        <v>21</v>
      </c>
      <c r="CL4190" s="2" t="s">
        <v>86</v>
      </c>
      <c r="CM4190" s="2"/>
    </row>
    <row r="4191" spans="1:91">
      <c r="A4191" s="2" t="s">
        <v>71</v>
      </c>
      <c r="B4191" s="2" t="s">
        <v>72</v>
      </c>
      <c r="C4191" s="2" t="s">
        <v>73</v>
      </c>
      <c r="D4191" s="2"/>
      <c r="E4191" s="2" t="str">
        <f>"FES1162566190"</f>
        <v>FES1162566190</v>
      </c>
      <c r="F4191" s="3">
        <v>42949</v>
      </c>
      <c r="G4191" s="2">
        <v>201802</v>
      </c>
      <c r="H4191" s="2" t="s">
        <v>74</v>
      </c>
      <c r="I4191" s="2" t="s">
        <v>75</v>
      </c>
      <c r="J4191" s="2" t="s">
        <v>76</v>
      </c>
      <c r="K4191" s="2" t="s">
        <v>77</v>
      </c>
      <c r="L4191" s="2" t="s">
        <v>268</v>
      </c>
      <c r="M4191" s="2" t="s">
        <v>269</v>
      </c>
      <c r="N4191" s="2" t="s">
        <v>1675</v>
      </c>
      <c r="O4191" s="2" t="s">
        <v>100</v>
      </c>
      <c r="P4191" s="2" t="str">
        <f>"2170581653                    "</f>
        <v xml:space="preserve">2170581653                    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4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0</v>
      </c>
      <c r="AU4191" s="2">
        <v>0</v>
      </c>
      <c r="AV4191" s="2">
        <v>0</v>
      </c>
      <c r="AW4191" s="2">
        <v>0</v>
      </c>
      <c r="AX4191" s="2">
        <v>0</v>
      </c>
      <c r="AY4191" s="2">
        <v>0</v>
      </c>
      <c r="AZ4191" s="2">
        <v>0</v>
      </c>
      <c r="BA4191" s="2">
        <v>0</v>
      </c>
      <c r="BB4191" s="2">
        <v>0</v>
      </c>
      <c r="BC4191" s="2">
        <v>0</v>
      </c>
      <c r="BD4191" s="2">
        <v>0</v>
      </c>
      <c r="BE4191" s="2">
        <v>0</v>
      </c>
      <c r="BF4191" s="2">
        <v>0</v>
      </c>
      <c r="BG4191" s="2">
        <v>0</v>
      </c>
      <c r="BH4191" s="2">
        <v>1</v>
      </c>
      <c r="BI4191" s="2">
        <v>1</v>
      </c>
      <c r="BJ4191" s="2">
        <v>0.2</v>
      </c>
      <c r="BK4191" s="2">
        <v>1</v>
      </c>
      <c r="BL4191" s="2">
        <v>41.44</v>
      </c>
      <c r="BM4191" s="2">
        <v>5.8</v>
      </c>
      <c r="BN4191" s="2">
        <v>47.24</v>
      </c>
      <c r="BO4191" s="2">
        <v>47.24</v>
      </c>
      <c r="BP4191" s="2"/>
      <c r="BQ4191" s="2" t="s">
        <v>83</v>
      </c>
      <c r="BR4191" s="2" t="s">
        <v>84</v>
      </c>
      <c r="BS4191" s="3">
        <v>42950</v>
      </c>
      <c r="BT4191" s="4">
        <v>0.40972222222222227</v>
      </c>
      <c r="BU4191" s="2" t="s">
        <v>2098</v>
      </c>
      <c r="BV4191" s="2" t="s">
        <v>95</v>
      </c>
      <c r="BW4191" s="2"/>
      <c r="BX4191" s="2"/>
      <c r="BY4191" s="2">
        <v>1200</v>
      </c>
      <c r="BZ4191" s="2" t="s">
        <v>27</v>
      </c>
      <c r="CA4191" s="2"/>
      <c r="CB4191" s="2"/>
      <c r="CC4191" s="2" t="s">
        <v>269</v>
      </c>
      <c r="CD4191" s="2">
        <v>186</v>
      </c>
      <c r="CE4191" s="2" t="s">
        <v>104</v>
      </c>
      <c r="CF4191" s="5">
        <v>42950</v>
      </c>
      <c r="CG4191" s="2"/>
      <c r="CH4191" s="2"/>
      <c r="CI4191" s="2">
        <v>1</v>
      </c>
      <c r="CJ4191" s="2">
        <v>1</v>
      </c>
      <c r="CK4191" s="2">
        <v>21</v>
      </c>
      <c r="CL4191" s="2" t="s">
        <v>86</v>
      </c>
      <c r="CM4191" s="2"/>
    </row>
    <row r="4192" spans="1:91">
      <c r="A4192" s="2" t="s">
        <v>71</v>
      </c>
      <c r="B4192" s="2" t="s">
        <v>72</v>
      </c>
      <c r="C4192" s="2" t="s">
        <v>73</v>
      </c>
      <c r="D4192" s="2"/>
      <c r="E4192" s="2" t="str">
        <f>"FES1162566111"</f>
        <v>FES1162566111</v>
      </c>
      <c r="F4192" s="3">
        <v>42949</v>
      </c>
      <c r="G4192" s="2">
        <v>201802</v>
      </c>
      <c r="H4192" s="2" t="s">
        <v>74</v>
      </c>
      <c r="I4192" s="2" t="s">
        <v>75</v>
      </c>
      <c r="J4192" s="2" t="s">
        <v>76</v>
      </c>
      <c r="K4192" s="2" t="s">
        <v>77</v>
      </c>
      <c r="L4192" s="2" t="s">
        <v>128</v>
      </c>
      <c r="M4192" s="2" t="s">
        <v>129</v>
      </c>
      <c r="N4192" s="2" t="s">
        <v>130</v>
      </c>
      <c r="O4192" s="2" t="s">
        <v>100</v>
      </c>
      <c r="P4192" s="2" t="str">
        <f>"2170582674                    "</f>
        <v xml:space="preserve">2170582674                    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3.13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0</v>
      </c>
      <c r="AU4192" s="2">
        <v>0</v>
      </c>
      <c r="AV4192" s="2">
        <v>0</v>
      </c>
      <c r="AW4192" s="2">
        <v>0</v>
      </c>
      <c r="AX4192" s="2">
        <v>0</v>
      </c>
      <c r="AY4192" s="2">
        <v>0</v>
      </c>
      <c r="AZ4192" s="2">
        <v>0</v>
      </c>
      <c r="BA4192" s="2">
        <v>0</v>
      </c>
      <c r="BB4192" s="2">
        <v>0</v>
      </c>
      <c r="BC4192" s="2">
        <v>0</v>
      </c>
      <c r="BD4192" s="2">
        <v>0</v>
      </c>
      <c r="BE4192" s="2">
        <v>0</v>
      </c>
      <c r="BF4192" s="2">
        <v>0</v>
      </c>
      <c r="BG4192" s="2">
        <v>0</v>
      </c>
      <c r="BH4192" s="2">
        <v>1</v>
      </c>
      <c r="BI4192" s="2">
        <v>4</v>
      </c>
      <c r="BJ4192" s="2">
        <v>1</v>
      </c>
      <c r="BK4192" s="2">
        <v>4</v>
      </c>
      <c r="BL4192" s="2">
        <v>32.380000000000003</v>
      </c>
      <c r="BM4192" s="2">
        <v>4.53</v>
      </c>
      <c r="BN4192" s="2">
        <v>36.909999999999997</v>
      </c>
      <c r="BO4192" s="2">
        <v>36.909999999999997</v>
      </c>
      <c r="BP4192" s="2"/>
      <c r="BQ4192" s="2" t="s">
        <v>83</v>
      </c>
      <c r="BR4192" s="2" t="s">
        <v>84</v>
      </c>
      <c r="BS4192" s="3">
        <v>42950</v>
      </c>
      <c r="BT4192" s="4">
        <v>0.35069444444444442</v>
      </c>
      <c r="BU4192" s="2" t="s">
        <v>3054</v>
      </c>
      <c r="BV4192" s="2" t="s">
        <v>95</v>
      </c>
      <c r="BW4192" s="2"/>
      <c r="BX4192" s="2"/>
      <c r="BY4192" s="2">
        <v>4927.1000000000004</v>
      </c>
      <c r="BZ4192" s="2" t="s">
        <v>27</v>
      </c>
      <c r="CA4192" s="2" t="s">
        <v>1333</v>
      </c>
      <c r="CB4192" s="2"/>
      <c r="CC4192" s="2" t="s">
        <v>129</v>
      </c>
      <c r="CD4192" s="2">
        <v>1724</v>
      </c>
      <c r="CE4192" s="2" t="s">
        <v>89</v>
      </c>
      <c r="CF4192" s="5">
        <v>42951</v>
      </c>
      <c r="CG4192" s="2"/>
      <c r="CH4192" s="2"/>
      <c r="CI4192" s="2">
        <v>1</v>
      </c>
      <c r="CJ4192" s="2">
        <v>1</v>
      </c>
      <c r="CK4192" s="2">
        <v>22</v>
      </c>
      <c r="CL4192" s="2" t="s">
        <v>86</v>
      </c>
      <c r="CM4192" s="2"/>
    </row>
    <row r="4193" spans="1:91">
      <c r="A4193" s="2" t="s">
        <v>71</v>
      </c>
      <c r="B4193" s="2" t="s">
        <v>72</v>
      </c>
      <c r="C4193" s="2" t="s">
        <v>73</v>
      </c>
      <c r="D4193" s="2"/>
      <c r="E4193" s="2" t="str">
        <f>"FES1162566113"</f>
        <v>FES1162566113</v>
      </c>
      <c r="F4193" s="3">
        <v>42949</v>
      </c>
      <c r="G4193" s="2">
        <v>201802</v>
      </c>
      <c r="H4193" s="2" t="s">
        <v>74</v>
      </c>
      <c r="I4193" s="2" t="s">
        <v>75</v>
      </c>
      <c r="J4193" s="2" t="s">
        <v>76</v>
      </c>
      <c r="K4193" s="2" t="s">
        <v>77</v>
      </c>
      <c r="L4193" s="2" t="s">
        <v>221</v>
      </c>
      <c r="M4193" s="2" t="s">
        <v>222</v>
      </c>
      <c r="N4193" s="2" t="s">
        <v>415</v>
      </c>
      <c r="O4193" s="2" t="s">
        <v>100</v>
      </c>
      <c r="P4193" s="2" t="str">
        <f>"2170582676                    "</f>
        <v xml:space="preserve">2170582676                    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0</v>
      </c>
      <c r="Z4193" s="2">
        <v>0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7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0</v>
      </c>
      <c r="AU4193" s="2">
        <v>0</v>
      </c>
      <c r="AV4193" s="2">
        <v>0</v>
      </c>
      <c r="AW4193" s="2">
        <v>0</v>
      </c>
      <c r="AX4193" s="2">
        <v>0</v>
      </c>
      <c r="AY4193" s="2">
        <v>0</v>
      </c>
      <c r="AZ4193" s="2">
        <v>0</v>
      </c>
      <c r="BA4193" s="2">
        <v>0</v>
      </c>
      <c r="BB4193" s="2">
        <v>0</v>
      </c>
      <c r="BC4193" s="2">
        <v>0</v>
      </c>
      <c r="BD4193" s="2">
        <v>0</v>
      </c>
      <c r="BE4193" s="2">
        <v>0</v>
      </c>
      <c r="BF4193" s="2">
        <v>0</v>
      </c>
      <c r="BG4193" s="2">
        <v>0</v>
      </c>
      <c r="BH4193" s="2">
        <v>1</v>
      </c>
      <c r="BI4193" s="2">
        <v>3.2</v>
      </c>
      <c r="BJ4193" s="2">
        <v>3.3</v>
      </c>
      <c r="BK4193" s="2">
        <v>3.5</v>
      </c>
      <c r="BL4193" s="2">
        <v>72.52</v>
      </c>
      <c r="BM4193" s="2">
        <v>10.15</v>
      </c>
      <c r="BN4193" s="2">
        <v>82.67</v>
      </c>
      <c r="BO4193" s="2">
        <v>82.67</v>
      </c>
      <c r="BP4193" s="2"/>
      <c r="BQ4193" s="2" t="s">
        <v>108</v>
      </c>
      <c r="BR4193" s="2" t="s">
        <v>84</v>
      </c>
      <c r="BS4193" s="3">
        <v>42950</v>
      </c>
      <c r="BT4193" s="4">
        <v>0.34583333333333338</v>
      </c>
      <c r="BU4193" s="2" t="s">
        <v>3776</v>
      </c>
      <c r="BV4193" s="2" t="s">
        <v>95</v>
      </c>
      <c r="BW4193" s="2"/>
      <c r="BX4193" s="2"/>
      <c r="BY4193" s="2">
        <v>16323.66</v>
      </c>
      <c r="BZ4193" s="2" t="s">
        <v>27</v>
      </c>
      <c r="CA4193" s="2" t="s">
        <v>3640</v>
      </c>
      <c r="CB4193" s="2"/>
      <c r="CC4193" s="2" t="s">
        <v>222</v>
      </c>
      <c r="CD4193" s="2">
        <v>4302</v>
      </c>
      <c r="CE4193" s="2" t="s">
        <v>89</v>
      </c>
      <c r="CF4193" s="5">
        <v>42951</v>
      </c>
      <c r="CG4193" s="2"/>
      <c r="CH4193" s="2"/>
      <c r="CI4193" s="2">
        <v>1</v>
      </c>
      <c r="CJ4193" s="2">
        <v>1</v>
      </c>
      <c r="CK4193" s="2">
        <v>21</v>
      </c>
      <c r="CL4193" s="2" t="s">
        <v>86</v>
      </c>
      <c r="CM4193" s="2"/>
    </row>
    <row r="4194" spans="1:91">
      <c r="A4194" s="2" t="s">
        <v>71</v>
      </c>
      <c r="B4194" s="2" t="s">
        <v>72</v>
      </c>
      <c r="C4194" s="2" t="s">
        <v>73</v>
      </c>
      <c r="D4194" s="2"/>
      <c r="E4194" s="2" t="str">
        <f>"FES1162566183"</f>
        <v>FES1162566183</v>
      </c>
      <c r="F4194" s="3">
        <v>42949</v>
      </c>
      <c r="G4194" s="2">
        <v>201802</v>
      </c>
      <c r="H4194" s="2" t="s">
        <v>74</v>
      </c>
      <c r="I4194" s="2" t="s">
        <v>75</v>
      </c>
      <c r="J4194" s="2" t="s">
        <v>76</v>
      </c>
      <c r="K4194" s="2" t="s">
        <v>77</v>
      </c>
      <c r="L4194" s="2" t="s">
        <v>74</v>
      </c>
      <c r="M4194" s="2" t="s">
        <v>75</v>
      </c>
      <c r="N4194" s="2" t="s">
        <v>3597</v>
      </c>
      <c r="O4194" s="2" t="s">
        <v>100</v>
      </c>
      <c r="P4194" s="2" t="str">
        <f>"2170581381                    "</f>
        <v xml:space="preserve">2170581381                    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3.13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0</v>
      </c>
      <c r="AU4194" s="2">
        <v>0</v>
      </c>
      <c r="AV4194" s="2">
        <v>0</v>
      </c>
      <c r="AW4194" s="2">
        <v>0</v>
      </c>
      <c r="AX4194" s="2">
        <v>0</v>
      </c>
      <c r="AY4194" s="2">
        <v>0</v>
      </c>
      <c r="AZ4194" s="2">
        <v>0</v>
      </c>
      <c r="BA4194" s="2">
        <v>0</v>
      </c>
      <c r="BB4194" s="2">
        <v>0</v>
      </c>
      <c r="BC4194" s="2">
        <v>0</v>
      </c>
      <c r="BD4194" s="2">
        <v>0</v>
      </c>
      <c r="BE4194" s="2">
        <v>0</v>
      </c>
      <c r="BF4194" s="2">
        <v>0</v>
      </c>
      <c r="BG4194" s="2">
        <v>0</v>
      </c>
      <c r="BH4194" s="2">
        <v>1</v>
      </c>
      <c r="BI4194" s="2">
        <v>2</v>
      </c>
      <c r="BJ4194" s="2">
        <v>2.5</v>
      </c>
      <c r="BK4194" s="2">
        <v>3</v>
      </c>
      <c r="BL4194" s="2">
        <v>32.380000000000003</v>
      </c>
      <c r="BM4194" s="2">
        <v>4.53</v>
      </c>
      <c r="BN4194" s="2">
        <v>36.909999999999997</v>
      </c>
      <c r="BO4194" s="2">
        <v>36.909999999999997</v>
      </c>
      <c r="BP4194" s="2"/>
      <c r="BQ4194" s="2" t="s">
        <v>83</v>
      </c>
      <c r="BR4194" s="2" t="s">
        <v>84</v>
      </c>
      <c r="BS4194" s="3">
        <v>42950</v>
      </c>
      <c r="BT4194" s="4">
        <v>0.32013888888888892</v>
      </c>
      <c r="BU4194" s="2" t="s">
        <v>438</v>
      </c>
      <c r="BV4194" s="2" t="s">
        <v>95</v>
      </c>
      <c r="BW4194" s="2"/>
      <c r="BX4194" s="2"/>
      <c r="BY4194" s="2">
        <v>12288</v>
      </c>
      <c r="BZ4194" s="2" t="s">
        <v>27</v>
      </c>
      <c r="CA4194" s="2"/>
      <c r="CB4194" s="2"/>
      <c r="CC4194" s="2" t="s">
        <v>75</v>
      </c>
      <c r="CD4194" s="2">
        <v>1666</v>
      </c>
      <c r="CE4194" s="2" t="s">
        <v>89</v>
      </c>
      <c r="CF4194" s="5">
        <v>42950</v>
      </c>
      <c r="CG4194" s="2"/>
      <c r="CH4194" s="2"/>
      <c r="CI4194" s="2">
        <v>1</v>
      </c>
      <c r="CJ4194" s="2">
        <v>1</v>
      </c>
      <c r="CK4194" s="2">
        <v>22</v>
      </c>
      <c r="CL4194" s="2" t="s">
        <v>86</v>
      </c>
      <c r="CM4194" s="2"/>
    </row>
    <row r="4195" spans="1:91">
      <c r="A4195" s="2" t="s">
        <v>71</v>
      </c>
      <c r="B4195" s="2" t="s">
        <v>72</v>
      </c>
      <c r="C4195" s="2" t="s">
        <v>73</v>
      </c>
      <c r="D4195" s="2"/>
      <c r="E4195" s="2" t="str">
        <f>"FES1162566187"</f>
        <v>FES1162566187</v>
      </c>
      <c r="F4195" s="3">
        <v>42949</v>
      </c>
      <c r="G4195" s="2">
        <v>201802</v>
      </c>
      <c r="H4195" s="2" t="s">
        <v>74</v>
      </c>
      <c r="I4195" s="2" t="s">
        <v>75</v>
      </c>
      <c r="J4195" s="2" t="s">
        <v>76</v>
      </c>
      <c r="K4195" s="2" t="s">
        <v>77</v>
      </c>
      <c r="L4195" s="2" t="s">
        <v>339</v>
      </c>
      <c r="M4195" s="2" t="s">
        <v>340</v>
      </c>
      <c r="N4195" s="2" t="s">
        <v>2932</v>
      </c>
      <c r="O4195" s="2" t="s">
        <v>100</v>
      </c>
      <c r="P4195" s="2" t="str">
        <f>"2170581588                    "</f>
        <v xml:space="preserve">2170581588                    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4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0</v>
      </c>
      <c r="AU4195" s="2">
        <v>0</v>
      </c>
      <c r="AV4195" s="2">
        <v>0</v>
      </c>
      <c r="AW4195" s="2">
        <v>0</v>
      </c>
      <c r="AX4195" s="2">
        <v>0</v>
      </c>
      <c r="AY4195" s="2">
        <v>0</v>
      </c>
      <c r="AZ4195" s="2">
        <v>0</v>
      </c>
      <c r="BA4195" s="2">
        <v>0</v>
      </c>
      <c r="BB4195" s="2">
        <v>0</v>
      </c>
      <c r="BC4195" s="2">
        <v>0</v>
      </c>
      <c r="BD4195" s="2">
        <v>0</v>
      </c>
      <c r="BE4195" s="2">
        <v>0</v>
      </c>
      <c r="BF4195" s="2">
        <v>0</v>
      </c>
      <c r="BG4195" s="2">
        <v>0</v>
      </c>
      <c r="BH4195" s="2">
        <v>1</v>
      </c>
      <c r="BI4195" s="2">
        <v>1</v>
      </c>
      <c r="BJ4195" s="2">
        <v>0.2</v>
      </c>
      <c r="BK4195" s="2">
        <v>1</v>
      </c>
      <c r="BL4195" s="2">
        <v>41.44</v>
      </c>
      <c r="BM4195" s="2">
        <v>5.8</v>
      </c>
      <c r="BN4195" s="2">
        <v>47.24</v>
      </c>
      <c r="BO4195" s="2">
        <v>47.24</v>
      </c>
      <c r="BP4195" s="2"/>
      <c r="BQ4195" s="2"/>
      <c r="BR4195" s="2" t="s">
        <v>84</v>
      </c>
      <c r="BS4195" s="3">
        <v>42950</v>
      </c>
      <c r="BT4195" s="4">
        <v>0.43333333333333335</v>
      </c>
      <c r="BU4195" s="2" t="s">
        <v>3895</v>
      </c>
      <c r="BV4195" s="2" t="s">
        <v>95</v>
      </c>
      <c r="BW4195" s="2"/>
      <c r="BX4195" s="2"/>
      <c r="BY4195" s="2">
        <v>1200</v>
      </c>
      <c r="BZ4195" s="2" t="s">
        <v>27</v>
      </c>
      <c r="CA4195" s="2" t="s">
        <v>3795</v>
      </c>
      <c r="CB4195" s="2"/>
      <c r="CC4195" s="2" t="s">
        <v>340</v>
      </c>
      <c r="CD4195" s="2">
        <v>1947</v>
      </c>
      <c r="CE4195" s="2" t="s">
        <v>104</v>
      </c>
      <c r="CF4195" s="5">
        <v>42951</v>
      </c>
      <c r="CG4195" s="2"/>
      <c r="CH4195" s="2"/>
      <c r="CI4195" s="2">
        <v>1</v>
      </c>
      <c r="CJ4195" s="2">
        <v>1</v>
      </c>
      <c r="CK4195" s="2">
        <v>21</v>
      </c>
      <c r="CL4195" s="2" t="s">
        <v>86</v>
      </c>
      <c r="CM4195" s="2"/>
    </row>
    <row r="4196" spans="1:91">
      <c r="A4196" s="2" t="s">
        <v>71</v>
      </c>
      <c r="B4196" s="2" t="s">
        <v>72</v>
      </c>
      <c r="C4196" s="2" t="s">
        <v>73</v>
      </c>
      <c r="D4196" s="2"/>
      <c r="E4196" s="2" t="str">
        <f>"FES1162566476"</f>
        <v>FES1162566476</v>
      </c>
      <c r="F4196" s="3">
        <v>42949</v>
      </c>
      <c r="G4196" s="2">
        <v>201802</v>
      </c>
      <c r="H4196" s="2" t="s">
        <v>74</v>
      </c>
      <c r="I4196" s="2" t="s">
        <v>75</v>
      </c>
      <c r="J4196" s="2" t="s">
        <v>76</v>
      </c>
      <c r="K4196" s="2" t="s">
        <v>77</v>
      </c>
      <c r="L4196" s="2" t="s">
        <v>510</v>
      </c>
      <c r="M4196" s="2" t="s">
        <v>511</v>
      </c>
      <c r="N4196" s="2" t="s">
        <v>512</v>
      </c>
      <c r="O4196" s="2" t="s">
        <v>100</v>
      </c>
      <c r="P4196" s="2" t="str">
        <f>"2170582839                    "</f>
        <v xml:space="preserve">2170582839                    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19.010000000000002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0</v>
      </c>
      <c r="AU4196" s="2">
        <v>0</v>
      </c>
      <c r="AV4196" s="2">
        <v>0</v>
      </c>
      <c r="AW4196" s="2">
        <v>0</v>
      </c>
      <c r="AX4196" s="2">
        <v>0</v>
      </c>
      <c r="AY4196" s="2">
        <v>0</v>
      </c>
      <c r="AZ4196" s="2">
        <v>0</v>
      </c>
      <c r="BA4196" s="2">
        <v>0</v>
      </c>
      <c r="BB4196" s="2">
        <v>0</v>
      </c>
      <c r="BC4196" s="2">
        <v>0</v>
      </c>
      <c r="BD4196" s="2">
        <v>0</v>
      </c>
      <c r="BE4196" s="2">
        <v>0</v>
      </c>
      <c r="BF4196" s="2">
        <v>0</v>
      </c>
      <c r="BG4196" s="2">
        <v>0</v>
      </c>
      <c r="BH4196" s="2">
        <v>1</v>
      </c>
      <c r="BI4196" s="2">
        <v>8</v>
      </c>
      <c r="BJ4196" s="2">
        <v>9.3000000000000007</v>
      </c>
      <c r="BK4196" s="2">
        <v>9.5</v>
      </c>
      <c r="BL4196" s="2">
        <v>196.85</v>
      </c>
      <c r="BM4196" s="2">
        <v>27.56</v>
      </c>
      <c r="BN4196" s="2">
        <v>224.41</v>
      </c>
      <c r="BO4196" s="2">
        <v>224.41</v>
      </c>
      <c r="BP4196" s="2"/>
      <c r="BQ4196" s="2" t="s">
        <v>83</v>
      </c>
      <c r="BR4196" s="2" t="s">
        <v>84</v>
      </c>
      <c r="BS4196" s="3">
        <v>42950</v>
      </c>
      <c r="BT4196" s="4">
        <v>0.38819444444444445</v>
      </c>
      <c r="BU4196" s="2" t="s">
        <v>513</v>
      </c>
      <c r="BV4196" s="2" t="s">
        <v>95</v>
      </c>
      <c r="BW4196" s="2"/>
      <c r="BX4196" s="2"/>
      <c r="BY4196" s="2">
        <v>46368.89</v>
      </c>
      <c r="BZ4196" s="2" t="s">
        <v>27</v>
      </c>
      <c r="CA4196" s="2" t="s">
        <v>514</v>
      </c>
      <c r="CB4196" s="2"/>
      <c r="CC4196" s="2" t="s">
        <v>511</v>
      </c>
      <c r="CD4196" s="2">
        <v>6229</v>
      </c>
      <c r="CE4196" s="2" t="s">
        <v>89</v>
      </c>
      <c r="CF4196" s="5">
        <v>42951</v>
      </c>
      <c r="CG4196" s="2"/>
      <c r="CH4196" s="2"/>
      <c r="CI4196" s="2">
        <v>1</v>
      </c>
      <c r="CJ4196" s="2">
        <v>1</v>
      </c>
      <c r="CK4196" s="2">
        <v>21</v>
      </c>
      <c r="CL4196" s="2" t="s">
        <v>86</v>
      </c>
      <c r="CM4196" s="2"/>
    </row>
    <row r="4197" spans="1:91">
      <c r="A4197" s="2" t="s">
        <v>71</v>
      </c>
      <c r="B4197" s="2" t="s">
        <v>72</v>
      </c>
      <c r="C4197" s="2" t="s">
        <v>73</v>
      </c>
      <c r="D4197" s="2"/>
      <c r="E4197" s="2" t="str">
        <f>"FES1162566154"</f>
        <v>FES1162566154</v>
      </c>
      <c r="F4197" s="3">
        <v>42949</v>
      </c>
      <c r="G4197" s="2">
        <v>201802</v>
      </c>
      <c r="H4197" s="2" t="s">
        <v>74</v>
      </c>
      <c r="I4197" s="2" t="s">
        <v>75</v>
      </c>
      <c r="J4197" s="2" t="s">
        <v>76</v>
      </c>
      <c r="K4197" s="2" t="s">
        <v>77</v>
      </c>
      <c r="L4197" s="2" t="s">
        <v>74</v>
      </c>
      <c r="M4197" s="2" t="s">
        <v>75</v>
      </c>
      <c r="N4197" s="2" t="s">
        <v>1815</v>
      </c>
      <c r="O4197" s="2" t="s">
        <v>100</v>
      </c>
      <c r="P4197" s="2" t="str">
        <f>"2170580522                    "</f>
        <v xml:space="preserve">2170580522                    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3.13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0</v>
      </c>
      <c r="AU4197" s="2">
        <v>0</v>
      </c>
      <c r="AV4197" s="2">
        <v>0</v>
      </c>
      <c r="AW4197" s="2">
        <v>0</v>
      </c>
      <c r="AX4197" s="2">
        <v>0</v>
      </c>
      <c r="AY4197" s="2">
        <v>0</v>
      </c>
      <c r="AZ4197" s="2">
        <v>0</v>
      </c>
      <c r="BA4197" s="2">
        <v>0</v>
      </c>
      <c r="BB4197" s="2">
        <v>0</v>
      </c>
      <c r="BC4197" s="2">
        <v>0</v>
      </c>
      <c r="BD4197" s="2">
        <v>0</v>
      </c>
      <c r="BE4197" s="2">
        <v>0</v>
      </c>
      <c r="BF4197" s="2">
        <v>0</v>
      </c>
      <c r="BG4197" s="2">
        <v>0</v>
      </c>
      <c r="BH4197" s="2">
        <v>1</v>
      </c>
      <c r="BI4197" s="2">
        <v>1</v>
      </c>
      <c r="BJ4197" s="2">
        <v>0.2</v>
      </c>
      <c r="BK4197" s="2">
        <v>1</v>
      </c>
      <c r="BL4197" s="2">
        <v>32.380000000000003</v>
      </c>
      <c r="BM4197" s="2">
        <v>4.53</v>
      </c>
      <c r="BN4197" s="2">
        <v>36.909999999999997</v>
      </c>
      <c r="BO4197" s="2">
        <v>36.909999999999997</v>
      </c>
      <c r="BP4197" s="2"/>
      <c r="BQ4197" s="2" t="s">
        <v>3896</v>
      </c>
      <c r="BR4197" s="2" t="s">
        <v>84</v>
      </c>
      <c r="BS4197" s="3">
        <v>42950</v>
      </c>
      <c r="BT4197" s="4">
        <v>0.33333333333333331</v>
      </c>
      <c r="BU4197" s="2" t="s">
        <v>3897</v>
      </c>
      <c r="BV4197" s="2" t="s">
        <v>95</v>
      </c>
      <c r="BW4197" s="2"/>
      <c r="BX4197" s="2"/>
      <c r="BY4197" s="2">
        <v>1200</v>
      </c>
      <c r="BZ4197" s="2" t="s">
        <v>27</v>
      </c>
      <c r="CA4197" s="2"/>
      <c r="CB4197" s="2"/>
      <c r="CC4197" s="2" t="s">
        <v>75</v>
      </c>
      <c r="CD4197" s="2">
        <v>1601</v>
      </c>
      <c r="CE4197" s="2" t="s">
        <v>104</v>
      </c>
      <c r="CF4197" s="5">
        <v>42951</v>
      </c>
      <c r="CG4197" s="2"/>
      <c r="CH4197" s="2"/>
      <c r="CI4197" s="2">
        <v>1</v>
      </c>
      <c r="CJ4197" s="2">
        <v>1</v>
      </c>
      <c r="CK4197" s="2">
        <v>22</v>
      </c>
      <c r="CL4197" s="2" t="s">
        <v>86</v>
      </c>
      <c r="CM4197" s="2"/>
    </row>
    <row r="4198" spans="1:91">
      <c r="A4198" s="2" t="s">
        <v>71</v>
      </c>
      <c r="B4198" s="2" t="s">
        <v>72</v>
      </c>
      <c r="C4198" s="2" t="s">
        <v>73</v>
      </c>
      <c r="D4198" s="2"/>
      <c r="E4198" s="2" t="str">
        <f>"FES1162566324"</f>
        <v>FES1162566324</v>
      </c>
      <c r="F4198" s="3">
        <v>42949</v>
      </c>
      <c r="G4198" s="2">
        <v>201802</v>
      </c>
      <c r="H4198" s="2" t="s">
        <v>74</v>
      </c>
      <c r="I4198" s="2" t="s">
        <v>75</v>
      </c>
      <c r="J4198" s="2" t="s">
        <v>76</v>
      </c>
      <c r="K4198" s="2" t="s">
        <v>77</v>
      </c>
      <c r="L4198" s="2" t="s">
        <v>170</v>
      </c>
      <c r="M4198" s="2" t="s">
        <v>171</v>
      </c>
      <c r="N4198" s="2" t="s">
        <v>730</v>
      </c>
      <c r="O4198" s="2" t="s">
        <v>100</v>
      </c>
      <c r="P4198" s="2" t="str">
        <f>"217059656                     "</f>
        <v xml:space="preserve">217059656                     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3.13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0</v>
      </c>
      <c r="AU4198" s="2">
        <v>0</v>
      </c>
      <c r="AV4198" s="2">
        <v>0</v>
      </c>
      <c r="AW4198" s="2">
        <v>0</v>
      </c>
      <c r="AX4198" s="2">
        <v>0</v>
      </c>
      <c r="AY4198" s="2">
        <v>0</v>
      </c>
      <c r="AZ4198" s="2">
        <v>0</v>
      </c>
      <c r="BA4198" s="2">
        <v>0</v>
      </c>
      <c r="BB4198" s="2">
        <v>0</v>
      </c>
      <c r="BC4198" s="2">
        <v>0</v>
      </c>
      <c r="BD4198" s="2">
        <v>0</v>
      </c>
      <c r="BE4198" s="2">
        <v>0</v>
      </c>
      <c r="BF4198" s="2">
        <v>0</v>
      </c>
      <c r="BG4198" s="2">
        <v>0</v>
      </c>
      <c r="BH4198" s="2">
        <v>1</v>
      </c>
      <c r="BI4198" s="2">
        <v>1</v>
      </c>
      <c r="BJ4198" s="2">
        <v>3.2</v>
      </c>
      <c r="BK4198" s="2">
        <v>4</v>
      </c>
      <c r="BL4198" s="2">
        <v>32.380000000000003</v>
      </c>
      <c r="BM4198" s="2">
        <v>4.53</v>
      </c>
      <c r="BN4198" s="2">
        <v>36.909999999999997</v>
      </c>
      <c r="BO4198" s="2">
        <v>36.909999999999997</v>
      </c>
      <c r="BP4198" s="2"/>
      <c r="BQ4198" s="2" t="s">
        <v>3722</v>
      </c>
      <c r="BR4198" s="2" t="s">
        <v>84</v>
      </c>
      <c r="BS4198" s="3">
        <v>42950</v>
      </c>
      <c r="BT4198" s="4">
        <v>0.4375</v>
      </c>
      <c r="BU4198" s="2" t="s">
        <v>1889</v>
      </c>
      <c r="BV4198" s="2" t="s">
        <v>95</v>
      </c>
      <c r="BW4198" s="2"/>
      <c r="BX4198" s="2"/>
      <c r="BY4198" s="2">
        <v>15822.13</v>
      </c>
      <c r="BZ4198" s="2" t="s">
        <v>27</v>
      </c>
      <c r="CA4198" s="2" t="s">
        <v>492</v>
      </c>
      <c r="CB4198" s="2"/>
      <c r="CC4198" s="2" t="s">
        <v>171</v>
      </c>
      <c r="CD4198" s="2">
        <v>1428</v>
      </c>
      <c r="CE4198" s="2" t="s">
        <v>104</v>
      </c>
      <c r="CF4198" s="5">
        <v>42951</v>
      </c>
      <c r="CG4198" s="2"/>
      <c r="CH4198" s="2"/>
      <c r="CI4198" s="2">
        <v>1</v>
      </c>
      <c r="CJ4198" s="2">
        <v>1</v>
      </c>
      <c r="CK4198" s="2">
        <v>22</v>
      </c>
      <c r="CL4198" s="2" t="s">
        <v>86</v>
      </c>
      <c r="CM4198" s="2"/>
    </row>
    <row r="4199" spans="1:91">
      <c r="A4199" s="2" t="s">
        <v>71</v>
      </c>
      <c r="B4199" s="2" t="s">
        <v>72</v>
      </c>
      <c r="C4199" s="2" t="s">
        <v>73</v>
      </c>
      <c r="D4199" s="2"/>
      <c r="E4199" s="2" t="str">
        <f>"FES1162566249"</f>
        <v>FES1162566249</v>
      </c>
      <c r="F4199" s="3">
        <v>42949</v>
      </c>
      <c r="G4199" s="2">
        <v>201802</v>
      </c>
      <c r="H4199" s="2" t="s">
        <v>74</v>
      </c>
      <c r="I4199" s="2" t="s">
        <v>75</v>
      </c>
      <c r="J4199" s="2" t="s">
        <v>76</v>
      </c>
      <c r="K4199" s="2" t="s">
        <v>77</v>
      </c>
      <c r="L4199" s="2" t="s">
        <v>1663</v>
      </c>
      <c r="M4199" s="2" t="s">
        <v>1664</v>
      </c>
      <c r="N4199" s="2" t="s">
        <v>1665</v>
      </c>
      <c r="O4199" s="2" t="s">
        <v>100</v>
      </c>
      <c r="P4199" s="2" t="str">
        <f>"2170582616                    "</f>
        <v xml:space="preserve">2170582616                    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4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0</v>
      </c>
      <c r="AU4199" s="2">
        <v>0</v>
      </c>
      <c r="AV4199" s="2">
        <v>0</v>
      </c>
      <c r="AW4199" s="2">
        <v>0</v>
      </c>
      <c r="AX4199" s="2">
        <v>0</v>
      </c>
      <c r="AY4199" s="2">
        <v>0</v>
      </c>
      <c r="AZ4199" s="2">
        <v>0</v>
      </c>
      <c r="BA4199" s="2">
        <v>0</v>
      </c>
      <c r="BB4199" s="2">
        <v>0</v>
      </c>
      <c r="BC4199" s="2">
        <v>0</v>
      </c>
      <c r="BD4199" s="2">
        <v>0</v>
      </c>
      <c r="BE4199" s="2">
        <v>0</v>
      </c>
      <c r="BF4199" s="2">
        <v>0</v>
      </c>
      <c r="BG4199" s="2">
        <v>0</v>
      </c>
      <c r="BH4199" s="2">
        <v>1</v>
      </c>
      <c r="BI4199" s="2">
        <v>1</v>
      </c>
      <c r="BJ4199" s="2">
        <v>0.2</v>
      </c>
      <c r="BK4199" s="2">
        <v>1</v>
      </c>
      <c r="BL4199" s="2">
        <v>41.44</v>
      </c>
      <c r="BM4199" s="2">
        <v>5.8</v>
      </c>
      <c r="BN4199" s="2">
        <v>47.24</v>
      </c>
      <c r="BO4199" s="2">
        <v>47.24</v>
      </c>
      <c r="BP4199" s="2"/>
      <c r="BQ4199" s="2" t="s">
        <v>288</v>
      </c>
      <c r="BR4199" s="2" t="s">
        <v>84</v>
      </c>
      <c r="BS4199" s="3">
        <v>42950</v>
      </c>
      <c r="BT4199" s="4">
        <v>0.49444444444444446</v>
      </c>
      <c r="BU4199" s="2" t="s">
        <v>3898</v>
      </c>
      <c r="BV4199" s="2" t="s">
        <v>95</v>
      </c>
      <c r="BW4199" s="2"/>
      <c r="BX4199" s="2"/>
      <c r="BY4199" s="2">
        <v>1200</v>
      </c>
      <c r="BZ4199" s="2" t="s">
        <v>27</v>
      </c>
      <c r="CA4199" s="2"/>
      <c r="CB4199" s="2"/>
      <c r="CC4199" s="2" t="s">
        <v>1664</v>
      </c>
      <c r="CD4199" s="2">
        <v>3310</v>
      </c>
      <c r="CE4199" s="2" t="s">
        <v>104</v>
      </c>
      <c r="CF4199" s="5">
        <v>42954</v>
      </c>
      <c r="CG4199" s="2"/>
      <c r="CH4199" s="2"/>
      <c r="CI4199" s="2">
        <v>1</v>
      </c>
      <c r="CJ4199" s="2">
        <v>1</v>
      </c>
      <c r="CK4199" s="2">
        <v>21</v>
      </c>
      <c r="CL4199" s="2" t="s">
        <v>86</v>
      </c>
      <c r="CM4199" s="2"/>
    </row>
    <row r="4200" spans="1:91">
      <c r="A4200" s="2" t="s">
        <v>71</v>
      </c>
      <c r="B4200" s="2" t="s">
        <v>72</v>
      </c>
      <c r="C4200" s="2" t="s">
        <v>73</v>
      </c>
      <c r="D4200" s="2"/>
      <c r="E4200" s="2" t="str">
        <f>"FES1162566367"</f>
        <v>FES1162566367</v>
      </c>
      <c r="F4200" s="3">
        <v>42949</v>
      </c>
      <c r="G4200" s="2">
        <v>201802</v>
      </c>
      <c r="H4200" s="2" t="s">
        <v>74</v>
      </c>
      <c r="I4200" s="2" t="s">
        <v>75</v>
      </c>
      <c r="J4200" s="2" t="s">
        <v>76</v>
      </c>
      <c r="K4200" s="2" t="s">
        <v>77</v>
      </c>
      <c r="L4200" s="2" t="s">
        <v>510</v>
      </c>
      <c r="M4200" s="2" t="s">
        <v>511</v>
      </c>
      <c r="N4200" s="2" t="s">
        <v>3899</v>
      </c>
      <c r="O4200" s="2" t="s">
        <v>100</v>
      </c>
      <c r="P4200" s="2" t="str">
        <f>"2170580290                    "</f>
        <v xml:space="preserve">2170580290                    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8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0</v>
      </c>
      <c r="AU4200" s="2">
        <v>0</v>
      </c>
      <c r="AV4200" s="2">
        <v>0</v>
      </c>
      <c r="AW4200" s="2">
        <v>0</v>
      </c>
      <c r="AX4200" s="2">
        <v>0</v>
      </c>
      <c r="AY4200" s="2">
        <v>0</v>
      </c>
      <c r="AZ4200" s="2">
        <v>0</v>
      </c>
      <c r="BA4200" s="2">
        <v>0</v>
      </c>
      <c r="BB4200" s="2">
        <v>0</v>
      </c>
      <c r="BC4200" s="2">
        <v>0</v>
      </c>
      <c r="BD4200" s="2">
        <v>0</v>
      </c>
      <c r="BE4200" s="2">
        <v>0</v>
      </c>
      <c r="BF4200" s="2">
        <v>0</v>
      </c>
      <c r="BG4200" s="2">
        <v>0</v>
      </c>
      <c r="BH4200" s="2">
        <v>1</v>
      </c>
      <c r="BI4200" s="2">
        <v>4</v>
      </c>
      <c r="BJ4200" s="2">
        <v>1.7</v>
      </c>
      <c r="BK4200" s="2">
        <v>4</v>
      </c>
      <c r="BL4200" s="2">
        <v>82.88</v>
      </c>
      <c r="BM4200" s="2">
        <v>11.6</v>
      </c>
      <c r="BN4200" s="2">
        <v>94.48</v>
      </c>
      <c r="BO4200" s="2">
        <v>94.48</v>
      </c>
      <c r="BP4200" s="2"/>
      <c r="BQ4200" s="2"/>
      <c r="BR4200" s="2" t="s">
        <v>84</v>
      </c>
      <c r="BS4200" s="3">
        <v>42950</v>
      </c>
      <c r="BT4200" s="4">
        <v>0.37847222222222227</v>
      </c>
      <c r="BU4200" s="2" t="s">
        <v>3900</v>
      </c>
      <c r="BV4200" s="2" t="s">
        <v>95</v>
      </c>
      <c r="BW4200" s="2"/>
      <c r="BX4200" s="2"/>
      <c r="BY4200" s="2">
        <v>8480.7800000000007</v>
      </c>
      <c r="BZ4200" s="2" t="s">
        <v>27</v>
      </c>
      <c r="CA4200" s="2" t="s">
        <v>514</v>
      </c>
      <c r="CB4200" s="2"/>
      <c r="CC4200" s="2" t="s">
        <v>511</v>
      </c>
      <c r="CD4200" s="2">
        <v>6229</v>
      </c>
      <c r="CE4200" s="2" t="s">
        <v>948</v>
      </c>
      <c r="CF4200" s="5">
        <v>42951</v>
      </c>
      <c r="CG4200" s="2"/>
      <c r="CH4200" s="2"/>
      <c r="CI4200" s="2">
        <v>1</v>
      </c>
      <c r="CJ4200" s="2">
        <v>1</v>
      </c>
      <c r="CK4200" s="2">
        <v>21</v>
      </c>
      <c r="CL4200" s="2" t="s">
        <v>86</v>
      </c>
      <c r="CM4200" s="2"/>
    </row>
    <row r="4201" spans="1:91">
      <c r="A4201" s="2" t="s">
        <v>71</v>
      </c>
      <c r="B4201" s="2" t="s">
        <v>72</v>
      </c>
      <c r="C4201" s="2" t="s">
        <v>73</v>
      </c>
      <c r="D4201" s="2"/>
      <c r="E4201" s="2" t="str">
        <f>"FES1162566314"</f>
        <v>FES1162566314</v>
      </c>
      <c r="F4201" s="3">
        <v>42949</v>
      </c>
      <c r="G4201" s="2">
        <v>201802</v>
      </c>
      <c r="H4201" s="2" t="s">
        <v>74</v>
      </c>
      <c r="I4201" s="2" t="s">
        <v>75</v>
      </c>
      <c r="J4201" s="2" t="s">
        <v>76</v>
      </c>
      <c r="K4201" s="2" t="s">
        <v>77</v>
      </c>
      <c r="L4201" s="2" t="s">
        <v>105</v>
      </c>
      <c r="M4201" s="2" t="s">
        <v>106</v>
      </c>
      <c r="N4201" s="2" t="s">
        <v>3901</v>
      </c>
      <c r="O4201" s="2" t="s">
        <v>100</v>
      </c>
      <c r="P4201" s="2" t="str">
        <f>"2170589329                    "</f>
        <v xml:space="preserve">2170589329                    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4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0</v>
      </c>
      <c r="AU4201" s="2">
        <v>0</v>
      </c>
      <c r="AV4201" s="2">
        <v>0</v>
      </c>
      <c r="AW4201" s="2">
        <v>0</v>
      </c>
      <c r="AX4201" s="2">
        <v>0</v>
      </c>
      <c r="AY4201" s="2">
        <v>0</v>
      </c>
      <c r="AZ4201" s="2">
        <v>0</v>
      </c>
      <c r="BA4201" s="2">
        <v>0</v>
      </c>
      <c r="BB4201" s="2">
        <v>0</v>
      </c>
      <c r="BC4201" s="2">
        <v>0</v>
      </c>
      <c r="BD4201" s="2">
        <v>0</v>
      </c>
      <c r="BE4201" s="2">
        <v>0</v>
      </c>
      <c r="BF4201" s="2">
        <v>0</v>
      </c>
      <c r="BG4201" s="2">
        <v>0</v>
      </c>
      <c r="BH4201" s="2">
        <v>1</v>
      </c>
      <c r="BI4201" s="2">
        <v>2</v>
      </c>
      <c r="BJ4201" s="2">
        <v>0.9</v>
      </c>
      <c r="BK4201" s="2">
        <v>2</v>
      </c>
      <c r="BL4201" s="2">
        <v>41.44</v>
      </c>
      <c r="BM4201" s="2">
        <v>5.8</v>
      </c>
      <c r="BN4201" s="2">
        <v>47.24</v>
      </c>
      <c r="BO4201" s="2">
        <v>47.24</v>
      </c>
      <c r="BP4201" s="2"/>
      <c r="BQ4201" s="2" t="s">
        <v>83</v>
      </c>
      <c r="BR4201" s="2" t="s">
        <v>84</v>
      </c>
      <c r="BS4201" s="3">
        <v>42950</v>
      </c>
      <c r="BT4201" s="4">
        <v>0.47986111111111113</v>
      </c>
      <c r="BU4201" s="2" t="s">
        <v>3902</v>
      </c>
      <c r="BV4201" s="2" t="s">
        <v>86</v>
      </c>
      <c r="BW4201" s="2" t="s">
        <v>110</v>
      </c>
      <c r="BX4201" s="2" t="s">
        <v>111</v>
      </c>
      <c r="BY4201" s="2">
        <v>4500</v>
      </c>
      <c r="BZ4201" s="2" t="s">
        <v>27</v>
      </c>
      <c r="CA4201" s="2" t="s">
        <v>643</v>
      </c>
      <c r="CB4201" s="2"/>
      <c r="CC4201" s="2" t="s">
        <v>106</v>
      </c>
      <c r="CD4201" s="2">
        <v>7925</v>
      </c>
      <c r="CE4201" s="2" t="s">
        <v>948</v>
      </c>
      <c r="CF4201" s="5">
        <v>42951</v>
      </c>
      <c r="CG4201" s="2"/>
      <c r="CH4201" s="2"/>
      <c r="CI4201" s="2">
        <v>1</v>
      </c>
      <c r="CJ4201" s="2">
        <v>1</v>
      </c>
      <c r="CK4201" s="2">
        <v>21</v>
      </c>
      <c r="CL4201" s="2" t="s">
        <v>86</v>
      </c>
      <c r="CM4201" s="2"/>
    </row>
    <row r="4202" spans="1:91">
      <c r="A4202" s="2" t="s">
        <v>71</v>
      </c>
      <c r="B4202" s="2" t="s">
        <v>72</v>
      </c>
      <c r="C4202" s="2" t="s">
        <v>73</v>
      </c>
      <c r="D4202" s="2"/>
      <c r="E4202" s="2" t="str">
        <f>"FES1162566307"</f>
        <v>FES1162566307</v>
      </c>
      <c r="F4202" s="3">
        <v>42949</v>
      </c>
      <c r="G4202" s="2">
        <v>201802</v>
      </c>
      <c r="H4202" s="2" t="s">
        <v>74</v>
      </c>
      <c r="I4202" s="2" t="s">
        <v>75</v>
      </c>
      <c r="J4202" s="2" t="s">
        <v>76</v>
      </c>
      <c r="K4202" s="2" t="s">
        <v>77</v>
      </c>
      <c r="L4202" s="2" t="s">
        <v>268</v>
      </c>
      <c r="M4202" s="2" t="s">
        <v>269</v>
      </c>
      <c r="N4202" s="2" t="s">
        <v>351</v>
      </c>
      <c r="O4202" s="2" t="s">
        <v>100</v>
      </c>
      <c r="P4202" s="2" t="str">
        <f>"2170585400                    "</f>
        <v xml:space="preserve">2170585400                    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6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0</v>
      </c>
      <c r="AU4202" s="2">
        <v>0</v>
      </c>
      <c r="AV4202" s="2">
        <v>0</v>
      </c>
      <c r="AW4202" s="2">
        <v>0</v>
      </c>
      <c r="AX4202" s="2">
        <v>0</v>
      </c>
      <c r="AY4202" s="2">
        <v>0</v>
      </c>
      <c r="AZ4202" s="2">
        <v>0</v>
      </c>
      <c r="BA4202" s="2">
        <v>0</v>
      </c>
      <c r="BB4202" s="2">
        <v>0</v>
      </c>
      <c r="BC4202" s="2">
        <v>0</v>
      </c>
      <c r="BD4202" s="2">
        <v>0</v>
      </c>
      <c r="BE4202" s="2">
        <v>0</v>
      </c>
      <c r="BF4202" s="2">
        <v>0</v>
      </c>
      <c r="BG4202" s="2">
        <v>0</v>
      </c>
      <c r="BH4202" s="2">
        <v>1</v>
      </c>
      <c r="BI4202" s="2">
        <v>3</v>
      </c>
      <c r="BJ4202" s="2">
        <v>1.8</v>
      </c>
      <c r="BK4202" s="2">
        <v>3</v>
      </c>
      <c r="BL4202" s="2">
        <v>62.16</v>
      </c>
      <c r="BM4202" s="2">
        <v>8.6999999999999993</v>
      </c>
      <c r="BN4202" s="2">
        <v>70.86</v>
      </c>
      <c r="BO4202" s="2">
        <v>70.86</v>
      </c>
      <c r="BP4202" s="2"/>
      <c r="BQ4202" s="2" t="s">
        <v>108</v>
      </c>
      <c r="BR4202" s="2" t="s">
        <v>84</v>
      </c>
      <c r="BS4202" s="3">
        <v>42950</v>
      </c>
      <c r="BT4202" s="4">
        <v>0.4375</v>
      </c>
      <c r="BU4202" s="2" t="s">
        <v>1006</v>
      </c>
      <c r="BV4202" s="2" t="s">
        <v>95</v>
      </c>
      <c r="BW4202" s="2"/>
      <c r="BX4202" s="2"/>
      <c r="BY4202" s="2">
        <v>8886.5300000000007</v>
      </c>
      <c r="BZ4202" s="2" t="s">
        <v>27</v>
      </c>
      <c r="CA4202" s="2" t="s">
        <v>272</v>
      </c>
      <c r="CB4202" s="2"/>
      <c r="CC4202" s="2" t="s">
        <v>269</v>
      </c>
      <c r="CD4202" s="2">
        <v>200</v>
      </c>
      <c r="CE4202" s="2" t="s">
        <v>948</v>
      </c>
      <c r="CF4202" s="5">
        <v>42951</v>
      </c>
      <c r="CG4202" s="2"/>
      <c r="CH4202" s="2"/>
      <c r="CI4202" s="2">
        <v>1</v>
      </c>
      <c r="CJ4202" s="2">
        <v>1</v>
      </c>
      <c r="CK4202" s="2">
        <v>21</v>
      </c>
      <c r="CL4202" s="2" t="s">
        <v>86</v>
      </c>
      <c r="CM4202" s="2"/>
    </row>
    <row r="4203" spans="1:91">
      <c r="A4203" s="2" t="s">
        <v>71</v>
      </c>
      <c r="B4203" s="2" t="s">
        <v>72</v>
      </c>
      <c r="C4203" s="2" t="s">
        <v>73</v>
      </c>
      <c r="D4203" s="2"/>
      <c r="E4203" s="2" t="str">
        <f>"FES1162566351"</f>
        <v>FES1162566351</v>
      </c>
      <c r="F4203" s="3">
        <v>42949</v>
      </c>
      <c r="G4203" s="2">
        <v>201802</v>
      </c>
      <c r="H4203" s="2" t="s">
        <v>74</v>
      </c>
      <c r="I4203" s="2" t="s">
        <v>75</v>
      </c>
      <c r="J4203" s="2" t="s">
        <v>76</v>
      </c>
      <c r="K4203" s="2" t="s">
        <v>77</v>
      </c>
      <c r="L4203" s="2" t="s">
        <v>170</v>
      </c>
      <c r="M4203" s="2" t="s">
        <v>171</v>
      </c>
      <c r="N4203" s="2" t="s">
        <v>2167</v>
      </c>
      <c r="O4203" s="2" t="s">
        <v>100</v>
      </c>
      <c r="P4203" s="2" t="str">
        <f>"2170579756                    "</f>
        <v xml:space="preserve">2170579756                    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3.13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0</v>
      </c>
      <c r="AU4203" s="2">
        <v>0</v>
      </c>
      <c r="AV4203" s="2">
        <v>0</v>
      </c>
      <c r="AW4203" s="2">
        <v>0</v>
      </c>
      <c r="AX4203" s="2">
        <v>0</v>
      </c>
      <c r="AY4203" s="2">
        <v>0</v>
      </c>
      <c r="AZ4203" s="2">
        <v>0</v>
      </c>
      <c r="BA4203" s="2">
        <v>0</v>
      </c>
      <c r="BB4203" s="2">
        <v>0</v>
      </c>
      <c r="BC4203" s="2">
        <v>0</v>
      </c>
      <c r="BD4203" s="2">
        <v>0</v>
      </c>
      <c r="BE4203" s="2">
        <v>0</v>
      </c>
      <c r="BF4203" s="2">
        <v>0</v>
      </c>
      <c r="BG4203" s="2">
        <v>0</v>
      </c>
      <c r="BH4203" s="2">
        <v>1</v>
      </c>
      <c r="BI4203" s="2">
        <v>4</v>
      </c>
      <c r="BJ4203" s="2">
        <v>1.7</v>
      </c>
      <c r="BK4203" s="2">
        <v>4</v>
      </c>
      <c r="BL4203" s="2">
        <v>32.380000000000003</v>
      </c>
      <c r="BM4203" s="2">
        <v>4.53</v>
      </c>
      <c r="BN4203" s="2">
        <v>36.909999999999997</v>
      </c>
      <c r="BO4203" s="2">
        <v>36.909999999999997</v>
      </c>
      <c r="BP4203" s="2"/>
      <c r="BQ4203" s="2" t="s">
        <v>83</v>
      </c>
      <c r="BR4203" s="2" t="s">
        <v>84</v>
      </c>
      <c r="BS4203" s="3">
        <v>42950</v>
      </c>
      <c r="BT4203" s="4">
        <v>0.4375</v>
      </c>
      <c r="BU4203" s="2" t="s">
        <v>469</v>
      </c>
      <c r="BV4203" s="2" t="s">
        <v>95</v>
      </c>
      <c r="BW4203" s="2"/>
      <c r="BX4203" s="2"/>
      <c r="BY4203" s="2">
        <v>8617.27</v>
      </c>
      <c r="BZ4203" s="2" t="s">
        <v>27</v>
      </c>
      <c r="CA4203" s="2" t="s">
        <v>492</v>
      </c>
      <c r="CB4203" s="2"/>
      <c r="CC4203" s="2" t="s">
        <v>171</v>
      </c>
      <c r="CD4203" s="2">
        <v>1422</v>
      </c>
      <c r="CE4203" s="2" t="s">
        <v>89</v>
      </c>
      <c r="CF4203" s="5">
        <v>42951</v>
      </c>
      <c r="CG4203" s="2"/>
      <c r="CH4203" s="2"/>
      <c r="CI4203" s="2">
        <v>1</v>
      </c>
      <c r="CJ4203" s="2">
        <v>1</v>
      </c>
      <c r="CK4203" s="2">
        <v>22</v>
      </c>
      <c r="CL4203" s="2" t="s">
        <v>86</v>
      </c>
      <c r="CM4203" s="2"/>
    </row>
    <row r="4204" spans="1:91">
      <c r="A4204" s="2" t="s">
        <v>71</v>
      </c>
      <c r="B4204" s="2" t="s">
        <v>72</v>
      </c>
      <c r="C4204" s="2" t="s">
        <v>73</v>
      </c>
      <c r="D4204" s="2"/>
      <c r="E4204" s="2" t="str">
        <f>"FES1162566179"</f>
        <v>FES1162566179</v>
      </c>
      <c r="F4204" s="3">
        <v>42949</v>
      </c>
      <c r="G4204" s="2">
        <v>201802</v>
      </c>
      <c r="H4204" s="2" t="s">
        <v>74</v>
      </c>
      <c r="I4204" s="2" t="s">
        <v>75</v>
      </c>
      <c r="J4204" s="2" t="s">
        <v>76</v>
      </c>
      <c r="K4204" s="2" t="s">
        <v>77</v>
      </c>
      <c r="L4204" s="2" t="s">
        <v>510</v>
      </c>
      <c r="M4204" s="2" t="s">
        <v>511</v>
      </c>
      <c r="N4204" s="2" t="s">
        <v>512</v>
      </c>
      <c r="O4204" s="2" t="s">
        <v>100</v>
      </c>
      <c r="P4204" s="2" t="str">
        <f>"2170581529                    "</f>
        <v xml:space="preserve">2170581529                    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7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0</v>
      </c>
      <c r="AU4204" s="2">
        <v>0</v>
      </c>
      <c r="AV4204" s="2">
        <v>0</v>
      </c>
      <c r="AW4204" s="2">
        <v>0</v>
      </c>
      <c r="AX4204" s="2">
        <v>0</v>
      </c>
      <c r="AY4204" s="2">
        <v>0</v>
      </c>
      <c r="AZ4204" s="2">
        <v>0</v>
      </c>
      <c r="BA4204" s="2">
        <v>0</v>
      </c>
      <c r="BB4204" s="2">
        <v>0</v>
      </c>
      <c r="BC4204" s="2">
        <v>0</v>
      </c>
      <c r="BD4204" s="2">
        <v>0</v>
      </c>
      <c r="BE4204" s="2">
        <v>0</v>
      </c>
      <c r="BF4204" s="2">
        <v>0</v>
      </c>
      <c r="BG4204" s="2">
        <v>0</v>
      </c>
      <c r="BH4204" s="2">
        <v>1</v>
      </c>
      <c r="BI4204" s="2">
        <v>2</v>
      </c>
      <c r="BJ4204" s="2">
        <v>3.4</v>
      </c>
      <c r="BK4204" s="2">
        <v>3.5</v>
      </c>
      <c r="BL4204" s="2">
        <v>72.52</v>
      </c>
      <c r="BM4204" s="2">
        <v>10.15</v>
      </c>
      <c r="BN4204" s="2">
        <v>82.67</v>
      </c>
      <c r="BO4204" s="2">
        <v>82.67</v>
      </c>
      <c r="BP4204" s="2"/>
      <c r="BQ4204" s="2" t="s">
        <v>1629</v>
      </c>
      <c r="BR4204" s="2" t="s">
        <v>84</v>
      </c>
      <c r="BS4204" s="3">
        <v>42950</v>
      </c>
      <c r="BT4204" s="4">
        <v>0.38819444444444445</v>
      </c>
      <c r="BU4204" s="2" t="s">
        <v>513</v>
      </c>
      <c r="BV4204" s="2" t="s">
        <v>95</v>
      </c>
      <c r="BW4204" s="2"/>
      <c r="BX4204" s="2"/>
      <c r="BY4204" s="2">
        <v>16773.12</v>
      </c>
      <c r="BZ4204" s="2" t="s">
        <v>27</v>
      </c>
      <c r="CA4204" s="2" t="s">
        <v>514</v>
      </c>
      <c r="CB4204" s="2"/>
      <c r="CC4204" s="2" t="s">
        <v>511</v>
      </c>
      <c r="CD4204" s="2">
        <v>6229</v>
      </c>
      <c r="CE4204" s="2" t="s">
        <v>89</v>
      </c>
      <c r="CF4204" s="5">
        <v>42951</v>
      </c>
      <c r="CG4204" s="2"/>
      <c r="CH4204" s="2"/>
      <c r="CI4204" s="2">
        <v>1</v>
      </c>
      <c r="CJ4204" s="2">
        <v>1</v>
      </c>
      <c r="CK4204" s="2">
        <v>21</v>
      </c>
      <c r="CL4204" s="2" t="s">
        <v>86</v>
      </c>
      <c r="CM4204" s="2"/>
    </row>
    <row r="4205" spans="1:91">
      <c r="A4205" s="2" t="s">
        <v>71</v>
      </c>
      <c r="B4205" s="2" t="s">
        <v>72</v>
      </c>
      <c r="C4205" s="2" t="s">
        <v>73</v>
      </c>
      <c r="D4205" s="2"/>
      <c r="E4205" s="2" t="str">
        <f>"FES1162566220"</f>
        <v>FES1162566220</v>
      </c>
      <c r="F4205" s="3">
        <v>42949</v>
      </c>
      <c r="G4205" s="2">
        <v>201802</v>
      </c>
      <c r="H4205" s="2" t="s">
        <v>74</v>
      </c>
      <c r="I4205" s="2" t="s">
        <v>75</v>
      </c>
      <c r="J4205" s="2" t="s">
        <v>76</v>
      </c>
      <c r="K4205" s="2" t="s">
        <v>77</v>
      </c>
      <c r="L4205" s="2" t="s">
        <v>149</v>
      </c>
      <c r="M4205" s="2" t="s">
        <v>150</v>
      </c>
      <c r="N4205" s="2" t="s">
        <v>1592</v>
      </c>
      <c r="O4205" s="2" t="s">
        <v>100</v>
      </c>
      <c r="P4205" s="2" t="str">
        <f>"2170582244                    "</f>
        <v xml:space="preserve">2170582244                    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4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0</v>
      </c>
      <c r="AU4205" s="2">
        <v>0</v>
      </c>
      <c r="AV4205" s="2">
        <v>0</v>
      </c>
      <c r="AW4205" s="2">
        <v>0</v>
      </c>
      <c r="AX4205" s="2">
        <v>0</v>
      </c>
      <c r="AY4205" s="2">
        <v>0</v>
      </c>
      <c r="AZ4205" s="2">
        <v>0</v>
      </c>
      <c r="BA4205" s="2">
        <v>0</v>
      </c>
      <c r="BB4205" s="2">
        <v>0</v>
      </c>
      <c r="BC4205" s="2">
        <v>0</v>
      </c>
      <c r="BD4205" s="2">
        <v>0</v>
      </c>
      <c r="BE4205" s="2">
        <v>0</v>
      </c>
      <c r="BF4205" s="2">
        <v>0</v>
      </c>
      <c r="BG4205" s="2">
        <v>0</v>
      </c>
      <c r="BH4205" s="2">
        <v>1</v>
      </c>
      <c r="BI4205" s="2">
        <v>1</v>
      </c>
      <c r="BJ4205" s="2">
        <v>0.2</v>
      </c>
      <c r="BK4205" s="2">
        <v>1</v>
      </c>
      <c r="BL4205" s="2">
        <v>41.44</v>
      </c>
      <c r="BM4205" s="2">
        <v>5.8</v>
      </c>
      <c r="BN4205" s="2">
        <v>47.24</v>
      </c>
      <c r="BO4205" s="2">
        <v>47.24</v>
      </c>
      <c r="BP4205" s="2"/>
      <c r="BQ4205" s="2" t="s">
        <v>83</v>
      </c>
      <c r="BR4205" s="2" t="s">
        <v>84</v>
      </c>
      <c r="BS4205" s="3">
        <v>42950</v>
      </c>
      <c r="BT4205" s="4">
        <v>0.34722222222222227</v>
      </c>
      <c r="BU4205" s="2" t="s">
        <v>2033</v>
      </c>
      <c r="BV4205" s="2" t="s">
        <v>95</v>
      </c>
      <c r="BW4205" s="2"/>
      <c r="BX4205" s="2"/>
      <c r="BY4205" s="2">
        <v>1200</v>
      </c>
      <c r="BZ4205" s="2" t="s">
        <v>27</v>
      </c>
      <c r="CA4205" s="2" t="s">
        <v>1163</v>
      </c>
      <c r="CB4205" s="2"/>
      <c r="CC4205" s="2" t="s">
        <v>150</v>
      </c>
      <c r="CD4205" s="2">
        <v>4094</v>
      </c>
      <c r="CE4205" s="2" t="s">
        <v>104</v>
      </c>
      <c r="CF4205" s="5">
        <v>42951</v>
      </c>
      <c r="CG4205" s="2"/>
      <c r="CH4205" s="2"/>
      <c r="CI4205" s="2">
        <v>1</v>
      </c>
      <c r="CJ4205" s="2">
        <v>1</v>
      </c>
      <c r="CK4205" s="2">
        <v>21</v>
      </c>
      <c r="CL4205" s="2" t="s">
        <v>86</v>
      </c>
      <c r="CM4205" s="2"/>
    </row>
    <row r="4206" spans="1:91">
      <c r="A4206" s="2" t="s">
        <v>71</v>
      </c>
      <c r="B4206" s="2" t="s">
        <v>72</v>
      </c>
      <c r="C4206" s="2" t="s">
        <v>73</v>
      </c>
      <c r="D4206" s="2"/>
      <c r="E4206" s="2" t="str">
        <f>"FES1162566211"</f>
        <v>FES1162566211</v>
      </c>
      <c r="F4206" s="3">
        <v>42949</v>
      </c>
      <c r="G4206" s="2">
        <v>201802</v>
      </c>
      <c r="H4206" s="2" t="s">
        <v>74</v>
      </c>
      <c r="I4206" s="2" t="s">
        <v>75</v>
      </c>
      <c r="J4206" s="2" t="s">
        <v>76</v>
      </c>
      <c r="K4206" s="2" t="s">
        <v>77</v>
      </c>
      <c r="L4206" s="2" t="s">
        <v>343</v>
      </c>
      <c r="M4206" s="2" t="s">
        <v>344</v>
      </c>
      <c r="N4206" s="2" t="s">
        <v>351</v>
      </c>
      <c r="O4206" s="2" t="s">
        <v>100</v>
      </c>
      <c r="P4206" s="2" t="str">
        <f>"2170582190                    "</f>
        <v xml:space="preserve">2170582190                    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4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0</v>
      </c>
      <c r="AU4206" s="2">
        <v>0</v>
      </c>
      <c r="AV4206" s="2">
        <v>0</v>
      </c>
      <c r="AW4206" s="2">
        <v>0</v>
      </c>
      <c r="AX4206" s="2">
        <v>0</v>
      </c>
      <c r="AY4206" s="2">
        <v>0</v>
      </c>
      <c r="AZ4206" s="2">
        <v>0</v>
      </c>
      <c r="BA4206" s="2">
        <v>0</v>
      </c>
      <c r="BB4206" s="2">
        <v>0</v>
      </c>
      <c r="BC4206" s="2">
        <v>0</v>
      </c>
      <c r="BD4206" s="2">
        <v>0</v>
      </c>
      <c r="BE4206" s="2">
        <v>0</v>
      </c>
      <c r="BF4206" s="2">
        <v>0</v>
      </c>
      <c r="BG4206" s="2">
        <v>0</v>
      </c>
      <c r="BH4206" s="2">
        <v>1</v>
      </c>
      <c r="BI4206" s="2">
        <v>1</v>
      </c>
      <c r="BJ4206" s="2">
        <v>0.2</v>
      </c>
      <c r="BK4206" s="2">
        <v>1</v>
      </c>
      <c r="BL4206" s="2">
        <v>41.44</v>
      </c>
      <c r="BM4206" s="2">
        <v>5.8</v>
      </c>
      <c r="BN4206" s="2">
        <v>47.24</v>
      </c>
      <c r="BO4206" s="2">
        <v>47.24</v>
      </c>
      <c r="BP4206" s="2"/>
      <c r="BQ4206" s="2" t="s">
        <v>1582</v>
      </c>
      <c r="BR4206" s="2" t="s">
        <v>84</v>
      </c>
      <c r="BS4206" s="3">
        <v>42950</v>
      </c>
      <c r="BT4206" s="4">
        <v>0.43611111111111112</v>
      </c>
      <c r="BU4206" s="2" t="s">
        <v>3903</v>
      </c>
      <c r="BV4206" s="2" t="s">
        <v>95</v>
      </c>
      <c r="BW4206" s="2"/>
      <c r="BX4206" s="2"/>
      <c r="BY4206" s="2">
        <v>1200</v>
      </c>
      <c r="BZ4206" s="2" t="s">
        <v>27</v>
      </c>
      <c r="CA4206" s="2" t="s">
        <v>3845</v>
      </c>
      <c r="CB4206" s="2"/>
      <c r="CC4206" s="2" t="s">
        <v>344</v>
      </c>
      <c r="CD4206" s="2">
        <v>4133</v>
      </c>
      <c r="CE4206" s="2" t="s">
        <v>104</v>
      </c>
      <c r="CF4206" s="5">
        <v>42951</v>
      </c>
      <c r="CG4206" s="2"/>
      <c r="CH4206" s="2"/>
      <c r="CI4206" s="2">
        <v>1</v>
      </c>
      <c r="CJ4206" s="2">
        <v>1</v>
      </c>
      <c r="CK4206" s="2">
        <v>21</v>
      </c>
      <c r="CL4206" s="2" t="s">
        <v>86</v>
      </c>
      <c r="CM4206" s="2"/>
    </row>
    <row r="4207" spans="1:91">
      <c r="A4207" s="2" t="s">
        <v>71</v>
      </c>
      <c r="B4207" s="2" t="s">
        <v>72</v>
      </c>
      <c r="C4207" s="2" t="s">
        <v>73</v>
      </c>
      <c r="D4207" s="2"/>
      <c r="E4207" s="2" t="str">
        <f>"FES1162566290"</f>
        <v>FES1162566290</v>
      </c>
      <c r="F4207" s="3">
        <v>42949</v>
      </c>
      <c r="G4207" s="2">
        <v>201802</v>
      </c>
      <c r="H4207" s="2" t="s">
        <v>74</v>
      </c>
      <c r="I4207" s="2" t="s">
        <v>75</v>
      </c>
      <c r="J4207" s="2" t="s">
        <v>76</v>
      </c>
      <c r="K4207" s="2" t="s">
        <v>77</v>
      </c>
      <c r="L4207" s="2" t="s">
        <v>105</v>
      </c>
      <c r="M4207" s="2" t="s">
        <v>106</v>
      </c>
      <c r="N4207" s="2" t="s">
        <v>3904</v>
      </c>
      <c r="O4207" s="2" t="s">
        <v>100</v>
      </c>
      <c r="P4207" s="2" t="str">
        <f>"2170582726                    "</f>
        <v xml:space="preserve">2170582726                    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5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0</v>
      </c>
      <c r="AU4207" s="2">
        <v>0</v>
      </c>
      <c r="AV4207" s="2">
        <v>0</v>
      </c>
      <c r="AW4207" s="2">
        <v>0</v>
      </c>
      <c r="AX4207" s="2">
        <v>0</v>
      </c>
      <c r="AY4207" s="2">
        <v>0</v>
      </c>
      <c r="AZ4207" s="2">
        <v>0</v>
      </c>
      <c r="BA4207" s="2">
        <v>0</v>
      </c>
      <c r="BB4207" s="2">
        <v>0</v>
      </c>
      <c r="BC4207" s="2">
        <v>0</v>
      </c>
      <c r="BD4207" s="2">
        <v>0</v>
      </c>
      <c r="BE4207" s="2">
        <v>0</v>
      </c>
      <c r="BF4207" s="2">
        <v>0</v>
      </c>
      <c r="BG4207" s="2">
        <v>0</v>
      </c>
      <c r="BH4207" s="2">
        <v>1</v>
      </c>
      <c r="BI4207" s="2">
        <v>2.2000000000000002</v>
      </c>
      <c r="BJ4207" s="2">
        <v>1.2</v>
      </c>
      <c r="BK4207" s="2">
        <v>2.5</v>
      </c>
      <c r="BL4207" s="2">
        <v>51.8</v>
      </c>
      <c r="BM4207" s="2">
        <v>7.25</v>
      </c>
      <c r="BN4207" s="2">
        <v>59.05</v>
      </c>
      <c r="BO4207" s="2">
        <v>59.05</v>
      </c>
      <c r="BP4207" s="2"/>
      <c r="BQ4207" s="2" t="s">
        <v>83</v>
      </c>
      <c r="BR4207" s="2" t="s">
        <v>84</v>
      </c>
      <c r="BS4207" s="3">
        <v>42950</v>
      </c>
      <c r="BT4207" s="4">
        <v>0.35972222222222222</v>
      </c>
      <c r="BU4207" s="2" t="s">
        <v>3905</v>
      </c>
      <c r="BV4207" s="2" t="s">
        <v>95</v>
      </c>
      <c r="BW4207" s="2"/>
      <c r="BX4207" s="2"/>
      <c r="BY4207" s="2">
        <v>5775.3</v>
      </c>
      <c r="BZ4207" s="2" t="s">
        <v>27</v>
      </c>
      <c r="CA4207" s="2" t="s">
        <v>1591</v>
      </c>
      <c r="CB4207" s="2"/>
      <c r="CC4207" s="2" t="s">
        <v>106</v>
      </c>
      <c r="CD4207" s="2">
        <v>8000</v>
      </c>
      <c r="CE4207" s="2" t="s">
        <v>89</v>
      </c>
      <c r="CF4207" s="5">
        <v>42951</v>
      </c>
      <c r="CG4207" s="2"/>
      <c r="CH4207" s="2"/>
      <c r="CI4207" s="2">
        <v>1</v>
      </c>
      <c r="CJ4207" s="2">
        <v>1</v>
      </c>
      <c r="CK4207" s="2">
        <v>21</v>
      </c>
      <c r="CL4207" s="2" t="s">
        <v>86</v>
      </c>
      <c r="CM4207" s="2"/>
    </row>
    <row r="4208" spans="1:91">
      <c r="A4208" s="2" t="s">
        <v>71</v>
      </c>
      <c r="B4208" s="2" t="s">
        <v>72</v>
      </c>
      <c r="C4208" s="2" t="s">
        <v>73</v>
      </c>
      <c r="D4208" s="2"/>
      <c r="E4208" s="2" t="str">
        <f>"FES1162566225"</f>
        <v>FES1162566225</v>
      </c>
      <c r="F4208" s="3">
        <v>42949</v>
      </c>
      <c r="G4208" s="2">
        <v>201802</v>
      </c>
      <c r="H4208" s="2" t="s">
        <v>74</v>
      </c>
      <c r="I4208" s="2" t="s">
        <v>75</v>
      </c>
      <c r="J4208" s="2" t="s">
        <v>76</v>
      </c>
      <c r="K4208" s="2" t="s">
        <v>77</v>
      </c>
      <c r="L4208" s="2" t="s">
        <v>149</v>
      </c>
      <c r="M4208" s="2" t="s">
        <v>150</v>
      </c>
      <c r="N4208" s="2" t="s">
        <v>2082</v>
      </c>
      <c r="O4208" s="2" t="s">
        <v>100</v>
      </c>
      <c r="P4208" s="2" t="str">
        <f>"2170582288                    "</f>
        <v xml:space="preserve">2170582288                    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4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0</v>
      </c>
      <c r="AU4208" s="2">
        <v>0</v>
      </c>
      <c r="AV4208" s="2">
        <v>0</v>
      </c>
      <c r="AW4208" s="2">
        <v>0</v>
      </c>
      <c r="AX4208" s="2">
        <v>0</v>
      </c>
      <c r="AY4208" s="2">
        <v>0</v>
      </c>
      <c r="AZ4208" s="2">
        <v>0</v>
      </c>
      <c r="BA4208" s="2">
        <v>0</v>
      </c>
      <c r="BB4208" s="2">
        <v>0</v>
      </c>
      <c r="BC4208" s="2">
        <v>0</v>
      </c>
      <c r="BD4208" s="2">
        <v>0</v>
      </c>
      <c r="BE4208" s="2">
        <v>0</v>
      </c>
      <c r="BF4208" s="2">
        <v>0</v>
      </c>
      <c r="BG4208" s="2">
        <v>0</v>
      </c>
      <c r="BH4208" s="2">
        <v>1</v>
      </c>
      <c r="BI4208" s="2">
        <v>1</v>
      </c>
      <c r="BJ4208" s="2">
        <v>0.2</v>
      </c>
      <c r="BK4208" s="2">
        <v>1</v>
      </c>
      <c r="BL4208" s="2">
        <v>41.44</v>
      </c>
      <c r="BM4208" s="2">
        <v>5.8</v>
      </c>
      <c r="BN4208" s="2">
        <v>47.24</v>
      </c>
      <c r="BO4208" s="2">
        <v>47.24</v>
      </c>
      <c r="BP4208" s="2"/>
      <c r="BQ4208" s="2" t="s">
        <v>2083</v>
      </c>
      <c r="BR4208" s="2" t="s">
        <v>84</v>
      </c>
      <c r="BS4208" s="3">
        <v>42950</v>
      </c>
      <c r="BT4208" s="4">
        <v>0.37777777777777777</v>
      </c>
      <c r="BU4208" s="2" t="s">
        <v>1830</v>
      </c>
      <c r="BV4208" s="2" t="s">
        <v>95</v>
      </c>
      <c r="BW4208" s="2"/>
      <c r="BX4208" s="2"/>
      <c r="BY4208" s="2">
        <v>1200</v>
      </c>
      <c r="BZ4208" s="2" t="s">
        <v>27</v>
      </c>
      <c r="CA4208" s="2" t="s">
        <v>1163</v>
      </c>
      <c r="CB4208" s="2"/>
      <c r="CC4208" s="2" t="s">
        <v>150</v>
      </c>
      <c r="CD4208" s="2">
        <v>4001</v>
      </c>
      <c r="CE4208" s="2" t="s">
        <v>104</v>
      </c>
      <c r="CF4208" s="5">
        <v>42951</v>
      </c>
      <c r="CG4208" s="2"/>
      <c r="CH4208" s="2"/>
      <c r="CI4208" s="2">
        <v>1</v>
      </c>
      <c r="CJ4208" s="2">
        <v>1</v>
      </c>
      <c r="CK4208" s="2">
        <v>21</v>
      </c>
      <c r="CL4208" s="2" t="s">
        <v>86</v>
      </c>
      <c r="CM4208" s="2"/>
    </row>
    <row r="4209" spans="1:91">
      <c r="A4209" s="2" t="s">
        <v>71</v>
      </c>
      <c r="B4209" s="2" t="s">
        <v>72</v>
      </c>
      <c r="C4209" s="2" t="s">
        <v>73</v>
      </c>
      <c r="D4209" s="2"/>
      <c r="E4209" s="2" t="str">
        <f>"FES1162566214"</f>
        <v>FES1162566214</v>
      </c>
      <c r="F4209" s="3">
        <v>42949</v>
      </c>
      <c r="G4209" s="2">
        <v>201802</v>
      </c>
      <c r="H4209" s="2" t="s">
        <v>74</v>
      </c>
      <c r="I4209" s="2" t="s">
        <v>75</v>
      </c>
      <c r="J4209" s="2" t="s">
        <v>76</v>
      </c>
      <c r="K4209" s="2" t="s">
        <v>77</v>
      </c>
      <c r="L4209" s="2" t="s">
        <v>362</v>
      </c>
      <c r="M4209" s="2" t="s">
        <v>363</v>
      </c>
      <c r="N4209" s="2" t="s">
        <v>683</v>
      </c>
      <c r="O4209" s="2" t="s">
        <v>100</v>
      </c>
      <c r="P4209" s="2" t="str">
        <f>"2170582204                    "</f>
        <v xml:space="preserve">2170582204                    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4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0</v>
      </c>
      <c r="AU4209" s="2">
        <v>0</v>
      </c>
      <c r="AV4209" s="2">
        <v>0</v>
      </c>
      <c r="AW4209" s="2">
        <v>0</v>
      </c>
      <c r="AX4209" s="2">
        <v>0</v>
      </c>
      <c r="AY4209" s="2">
        <v>0</v>
      </c>
      <c r="AZ4209" s="2">
        <v>0</v>
      </c>
      <c r="BA4209" s="2">
        <v>0</v>
      </c>
      <c r="BB4209" s="2">
        <v>0</v>
      </c>
      <c r="BC4209" s="2">
        <v>0</v>
      </c>
      <c r="BD4209" s="2">
        <v>0</v>
      </c>
      <c r="BE4209" s="2">
        <v>0</v>
      </c>
      <c r="BF4209" s="2">
        <v>0</v>
      </c>
      <c r="BG4209" s="2">
        <v>0</v>
      </c>
      <c r="BH4209" s="2">
        <v>1</v>
      </c>
      <c r="BI4209" s="2">
        <v>1</v>
      </c>
      <c r="BJ4209" s="2">
        <v>0.2</v>
      </c>
      <c r="BK4209" s="2">
        <v>1</v>
      </c>
      <c r="BL4209" s="2">
        <v>41.44</v>
      </c>
      <c r="BM4209" s="2">
        <v>5.8</v>
      </c>
      <c r="BN4209" s="2">
        <v>47.24</v>
      </c>
      <c r="BO4209" s="2">
        <v>47.24</v>
      </c>
      <c r="BP4209" s="2"/>
      <c r="BQ4209" s="2" t="s">
        <v>108</v>
      </c>
      <c r="BR4209" s="2" t="s">
        <v>84</v>
      </c>
      <c r="BS4209" s="3">
        <v>42950</v>
      </c>
      <c r="BT4209" s="4">
        <v>0.375</v>
      </c>
      <c r="BU4209" s="2" t="s">
        <v>805</v>
      </c>
      <c r="BV4209" s="2" t="s">
        <v>95</v>
      </c>
      <c r="BW4209" s="2"/>
      <c r="BX4209" s="2"/>
      <c r="BY4209" s="2">
        <v>1200</v>
      </c>
      <c r="BZ4209" s="2" t="s">
        <v>27</v>
      </c>
      <c r="CA4209" s="2"/>
      <c r="CB4209" s="2"/>
      <c r="CC4209" s="2" t="s">
        <v>363</v>
      </c>
      <c r="CD4209" s="2">
        <v>3201</v>
      </c>
      <c r="CE4209" s="2" t="s">
        <v>104</v>
      </c>
      <c r="CF4209" s="5">
        <v>42954</v>
      </c>
      <c r="CG4209" s="2"/>
      <c r="CH4209" s="2"/>
      <c r="CI4209" s="2">
        <v>1</v>
      </c>
      <c r="CJ4209" s="2">
        <v>1</v>
      </c>
      <c r="CK4209" s="2">
        <v>21</v>
      </c>
      <c r="CL4209" s="2" t="s">
        <v>86</v>
      </c>
      <c r="CM4209" s="2"/>
    </row>
    <row r="4210" spans="1:91">
      <c r="A4210" s="2" t="s">
        <v>71</v>
      </c>
      <c r="B4210" s="2" t="s">
        <v>72</v>
      </c>
      <c r="C4210" s="2" t="s">
        <v>73</v>
      </c>
      <c r="D4210" s="2"/>
      <c r="E4210" s="2" t="str">
        <f>"FES1162566215"</f>
        <v>FES1162566215</v>
      </c>
      <c r="F4210" s="3">
        <v>42949</v>
      </c>
      <c r="G4210" s="2">
        <v>201802</v>
      </c>
      <c r="H4210" s="2" t="s">
        <v>74</v>
      </c>
      <c r="I4210" s="2" t="s">
        <v>75</v>
      </c>
      <c r="J4210" s="2" t="s">
        <v>76</v>
      </c>
      <c r="K4210" s="2" t="s">
        <v>77</v>
      </c>
      <c r="L4210" s="2" t="s">
        <v>715</v>
      </c>
      <c r="M4210" s="2" t="s">
        <v>716</v>
      </c>
      <c r="N4210" s="2" t="s">
        <v>717</v>
      </c>
      <c r="O4210" s="2" t="s">
        <v>100</v>
      </c>
      <c r="P4210" s="2" t="str">
        <f>"2170582207                    "</f>
        <v xml:space="preserve">2170582207                    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4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0</v>
      </c>
      <c r="AU4210" s="2">
        <v>0</v>
      </c>
      <c r="AV4210" s="2">
        <v>0</v>
      </c>
      <c r="AW4210" s="2">
        <v>0</v>
      </c>
      <c r="AX4210" s="2">
        <v>0</v>
      </c>
      <c r="AY4210" s="2">
        <v>0</v>
      </c>
      <c r="AZ4210" s="2">
        <v>0</v>
      </c>
      <c r="BA4210" s="2">
        <v>0</v>
      </c>
      <c r="BB4210" s="2">
        <v>0</v>
      </c>
      <c r="BC4210" s="2">
        <v>0</v>
      </c>
      <c r="BD4210" s="2">
        <v>0</v>
      </c>
      <c r="BE4210" s="2">
        <v>0</v>
      </c>
      <c r="BF4210" s="2">
        <v>0</v>
      </c>
      <c r="BG4210" s="2">
        <v>0</v>
      </c>
      <c r="BH4210" s="2">
        <v>1</v>
      </c>
      <c r="BI4210" s="2">
        <v>1</v>
      </c>
      <c r="BJ4210" s="2">
        <v>0.2</v>
      </c>
      <c r="BK4210" s="2">
        <v>1</v>
      </c>
      <c r="BL4210" s="2">
        <v>41.44</v>
      </c>
      <c r="BM4210" s="2">
        <v>5.8</v>
      </c>
      <c r="BN4210" s="2">
        <v>47.24</v>
      </c>
      <c r="BO4210" s="2">
        <v>47.24</v>
      </c>
      <c r="BP4210" s="2"/>
      <c r="BQ4210" s="2" t="s">
        <v>108</v>
      </c>
      <c r="BR4210" s="2" t="s">
        <v>84</v>
      </c>
      <c r="BS4210" s="3">
        <v>42950</v>
      </c>
      <c r="BT4210" s="4">
        <v>0.47152777777777777</v>
      </c>
      <c r="BU4210" s="2" t="s">
        <v>2560</v>
      </c>
      <c r="BV4210" s="2" t="s">
        <v>95</v>
      </c>
      <c r="BW4210" s="2"/>
      <c r="BX4210" s="2"/>
      <c r="BY4210" s="2">
        <v>1200</v>
      </c>
      <c r="BZ4210" s="2" t="s">
        <v>27</v>
      </c>
      <c r="CA4210" s="2" t="s">
        <v>566</v>
      </c>
      <c r="CB4210" s="2"/>
      <c r="CC4210" s="2" t="s">
        <v>716</v>
      </c>
      <c r="CD4210" s="2">
        <v>3290</v>
      </c>
      <c r="CE4210" s="2" t="s">
        <v>104</v>
      </c>
      <c r="CF4210" s="5">
        <v>42954</v>
      </c>
      <c r="CG4210" s="2"/>
      <c r="CH4210" s="2"/>
      <c r="CI4210" s="2">
        <v>1</v>
      </c>
      <c r="CJ4210" s="2">
        <v>1</v>
      </c>
      <c r="CK4210" s="2">
        <v>21</v>
      </c>
      <c r="CL4210" s="2" t="s">
        <v>86</v>
      </c>
      <c r="CM4210" s="2"/>
    </row>
    <row r="4211" spans="1:91">
      <c r="A4211" s="2" t="s">
        <v>71</v>
      </c>
      <c r="B4211" s="2" t="s">
        <v>72</v>
      </c>
      <c r="C4211" s="2" t="s">
        <v>73</v>
      </c>
      <c r="D4211" s="2"/>
      <c r="E4211" s="2" t="str">
        <f>"FES11620582472"</f>
        <v>FES11620582472</v>
      </c>
      <c r="F4211" s="3">
        <v>42949</v>
      </c>
      <c r="G4211" s="2">
        <v>201802</v>
      </c>
      <c r="H4211" s="2" t="s">
        <v>74</v>
      </c>
      <c r="I4211" s="2" t="s">
        <v>75</v>
      </c>
      <c r="J4211" s="2" t="s">
        <v>76</v>
      </c>
      <c r="K4211" s="2" t="s">
        <v>77</v>
      </c>
      <c r="L4211" s="2" t="s">
        <v>997</v>
      </c>
      <c r="M4211" s="2" t="s">
        <v>998</v>
      </c>
      <c r="N4211" s="2" t="s">
        <v>3906</v>
      </c>
      <c r="O4211" s="2" t="s">
        <v>100</v>
      </c>
      <c r="P4211" s="2" t="str">
        <f>"2170582472                    "</f>
        <v xml:space="preserve">2170582472                    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5.63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0</v>
      </c>
      <c r="AU4211" s="2">
        <v>0</v>
      </c>
      <c r="AV4211" s="2">
        <v>0</v>
      </c>
      <c r="AW4211" s="2">
        <v>0</v>
      </c>
      <c r="AX4211" s="2">
        <v>0</v>
      </c>
      <c r="AY4211" s="2">
        <v>0</v>
      </c>
      <c r="AZ4211" s="2">
        <v>0</v>
      </c>
      <c r="BA4211" s="2">
        <v>0</v>
      </c>
      <c r="BB4211" s="2">
        <v>0</v>
      </c>
      <c r="BC4211" s="2">
        <v>0</v>
      </c>
      <c r="BD4211" s="2">
        <v>0</v>
      </c>
      <c r="BE4211" s="2">
        <v>0</v>
      </c>
      <c r="BF4211" s="2">
        <v>0</v>
      </c>
      <c r="BG4211" s="2">
        <v>0</v>
      </c>
      <c r="BH4211" s="2">
        <v>1</v>
      </c>
      <c r="BI4211" s="2">
        <v>1</v>
      </c>
      <c r="BJ4211" s="2">
        <v>0.2</v>
      </c>
      <c r="BK4211" s="2">
        <v>1</v>
      </c>
      <c r="BL4211" s="2">
        <v>58.28</v>
      </c>
      <c r="BM4211" s="2">
        <v>8.16</v>
      </c>
      <c r="BN4211" s="2">
        <v>66.44</v>
      </c>
      <c r="BO4211" s="2">
        <v>66.44</v>
      </c>
      <c r="BP4211" s="2"/>
      <c r="BQ4211" s="2" t="s">
        <v>83</v>
      </c>
      <c r="BR4211" s="2" t="s">
        <v>84</v>
      </c>
      <c r="BS4211" s="3">
        <v>42950</v>
      </c>
      <c r="BT4211" s="4">
        <v>0.4909722222222222</v>
      </c>
      <c r="BU4211" s="2" t="s">
        <v>3907</v>
      </c>
      <c r="BV4211" s="2" t="s">
        <v>86</v>
      </c>
      <c r="BW4211" s="2"/>
      <c r="BX4211" s="2"/>
      <c r="BY4211" s="2">
        <v>1200</v>
      </c>
      <c r="BZ4211" s="2" t="s">
        <v>27</v>
      </c>
      <c r="CA4211" s="2" t="s">
        <v>3908</v>
      </c>
      <c r="CB4211" s="2"/>
      <c r="CC4211" s="2" t="s">
        <v>998</v>
      </c>
      <c r="CD4211" s="2">
        <v>300</v>
      </c>
      <c r="CE4211" s="2" t="s">
        <v>104</v>
      </c>
      <c r="CF4211" s="5">
        <v>42954</v>
      </c>
      <c r="CG4211" s="2"/>
      <c r="CH4211" s="2"/>
      <c r="CI4211" s="2">
        <v>1</v>
      </c>
      <c r="CJ4211" s="2">
        <v>1</v>
      </c>
      <c r="CK4211" s="2">
        <v>24</v>
      </c>
      <c r="CL4211" s="2" t="s">
        <v>86</v>
      </c>
      <c r="CM4211" s="2"/>
    </row>
    <row r="4212" spans="1:91">
      <c r="A4212" s="2" t="s">
        <v>71</v>
      </c>
      <c r="B4212" s="2" t="s">
        <v>72</v>
      </c>
      <c r="C4212" s="2" t="s">
        <v>73</v>
      </c>
      <c r="D4212" s="2"/>
      <c r="E4212" s="2" t="str">
        <f>"FES1162566352"</f>
        <v>FES1162566352</v>
      </c>
      <c r="F4212" s="3">
        <v>42949</v>
      </c>
      <c r="G4212" s="2">
        <v>201802</v>
      </c>
      <c r="H4212" s="2" t="s">
        <v>74</v>
      </c>
      <c r="I4212" s="2" t="s">
        <v>75</v>
      </c>
      <c r="J4212" s="2" t="s">
        <v>76</v>
      </c>
      <c r="K4212" s="2" t="s">
        <v>77</v>
      </c>
      <c r="L4212" s="2" t="s">
        <v>174</v>
      </c>
      <c r="M4212" s="2" t="s">
        <v>175</v>
      </c>
      <c r="N4212" s="2" t="s">
        <v>1266</v>
      </c>
      <c r="O4212" s="2" t="s">
        <v>100</v>
      </c>
      <c r="P4212" s="2" t="str">
        <f>"2170589822                    "</f>
        <v xml:space="preserve">2170589822                    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4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0</v>
      </c>
      <c r="AU4212" s="2">
        <v>0</v>
      </c>
      <c r="AV4212" s="2">
        <v>0</v>
      </c>
      <c r="AW4212" s="2">
        <v>0</v>
      </c>
      <c r="AX4212" s="2">
        <v>0</v>
      </c>
      <c r="AY4212" s="2">
        <v>0</v>
      </c>
      <c r="AZ4212" s="2">
        <v>0</v>
      </c>
      <c r="BA4212" s="2">
        <v>0</v>
      </c>
      <c r="BB4212" s="2">
        <v>0</v>
      </c>
      <c r="BC4212" s="2">
        <v>0</v>
      </c>
      <c r="BD4212" s="2">
        <v>0</v>
      </c>
      <c r="BE4212" s="2">
        <v>0</v>
      </c>
      <c r="BF4212" s="2">
        <v>0</v>
      </c>
      <c r="BG4212" s="2">
        <v>0</v>
      </c>
      <c r="BH4212" s="2">
        <v>1</v>
      </c>
      <c r="BI4212" s="2">
        <v>1</v>
      </c>
      <c r="BJ4212" s="2">
        <v>0.2</v>
      </c>
      <c r="BK4212" s="2">
        <v>1</v>
      </c>
      <c r="BL4212" s="2">
        <v>41.44</v>
      </c>
      <c r="BM4212" s="2">
        <v>5.8</v>
      </c>
      <c r="BN4212" s="2">
        <v>47.24</v>
      </c>
      <c r="BO4212" s="2">
        <v>47.24</v>
      </c>
      <c r="BP4212" s="2"/>
      <c r="BQ4212" s="2"/>
      <c r="BR4212" s="2" t="s">
        <v>84</v>
      </c>
      <c r="BS4212" s="3">
        <v>42950</v>
      </c>
      <c r="BT4212" s="4">
        <v>0.41666666666666669</v>
      </c>
      <c r="BU4212" s="2" t="s">
        <v>2891</v>
      </c>
      <c r="BV4212" s="2" t="s">
        <v>95</v>
      </c>
      <c r="BW4212" s="2"/>
      <c r="BX4212" s="2"/>
      <c r="BY4212" s="2">
        <v>1200</v>
      </c>
      <c r="BZ4212" s="2" t="s">
        <v>27</v>
      </c>
      <c r="CA4212" s="2"/>
      <c r="CB4212" s="2"/>
      <c r="CC4212" s="2" t="s">
        <v>175</v>
      </c>
      <c r="CD4212" s="2">
        <v>5200</v>
      </c>
      <c r="CE4212" s="2" t="s">
        <v>104</v>
      </c>
      <c r="CF4212" s="5">
        <v>42954</v>
      </c>
      <c r="CG4212" s="2"/>
      <c r="CH4212" s="2"/>
      <c r="CI4212" s="2">
        <v>1</v>
      </c>
      <c r="CJ4212" s="2">
        <v>1</v>
      </c>
      <c r="CK4212" s="2">
        <v>21</v>
      </c>
      <c r="CL4212" s="2" t="s">
        <v>86</v>
      </c>
      <c r="CM4212" s="2"/>
    </row>
    <row r="4213" spans="1:91">
      <c r="A4213" s="2" t="s">
        <v>71</v>
      </c>
      <c r="B4213" s="2" t="s">
        <v>72</v>
      </c>
      <c r="C4213" s="2" t="s">
        <v>73</v>
      </c>
      <c r="D4213" s="2"/>
      <c r="E4213" s="2" t="str">
        <f>"FES1162566353"</f>
        <v>FES1162566353</v>
      </c>
      <c r="F4213" s="3">
        <v>42949</v>
      </c>
      <c r="G4213" s="2">
        <v>201802</v>
      </c>
      <c r="H4213" s="2" t="s">
        <v>74</v>
      </c>
      <c r="I4213" s="2" t="s">
        <v>75</v>
      </c>
      <c r="J4213" s="2" t="s">
        <v>76</v>
      </c>
      <c r="K4213" s="2" t="s">
        <v>77</v>
      </c>
      <c r="L4213" s="2" t="s">
        <v>321</v>
      </c>
      <c r="M4213" s="2" t="s">
        <v>322</v>
      </c>
      <c r="N4213" s="2" t="s">
        <v>1947</v>
      </c>
      <c r="O4213" s="2" t="s">
        <v>100</v>
      </c>
      <c r="P4213" s="2" t="str">
        <f>"21705799959                   "</f>
        <v xml:space="preserve">21705799959                   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4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0</v>
      </c>
      <c r="AU4213" s="2">
        <v>0</v>
      </c>
      <c r="AV4213" s="2">
        <v>0</v>
      </c>
      <c r="AW4213" s="2">
        <v>0</v>
      </c>
      <c r="AX4213" s="2">
        <v>0</v>
      </c>
      <c r="AY4213" s="2">
        <v>0</v>
      </c>
      <c r="AZ4213" s="2">
        <v>0</v>
      </c>
      <c r="BA4213" s="2">
        <v>0</v>
      </c>
      <c r="BB4213" s="2">
        <v>0</v>
      </c>
      <c r="BC4213" s="2">
        <v>0</v>
      </c>
      <c r="BD4213" s="2">
        <v>0</v>
      </c>
      <c r="BE4213" s="2">
        <v>0</v>
      </c>
      <c r="BF4213" s="2">
        <v>0</v>
      </c>
      <c r="BG4213" s="2">
        <v>0</v>
      </c>
      <c r="BH4213" s="2">
        <v>1</v>
      </c>
      <c r="BI4213" s="2">
        <v>1</v>
      </c>
      <c r="BJ4213" s="2">
        <v>0.2</v>
      </c>
      <c r="BK4213" s="2">
        <v>1</v>
      </c>
      <c r="BL4213" s="2">
        <v>41.44</v>
      </c>
      <c r="BM4213" s="2">
        <v>5.8</v>
      </c>
      <c r="BN4213" s="2">
        <v>47.24</v>
      </c>
      <c r="BO4213" s="2">
        <v>47.24</v>
      </c>
      <c r="BP4213" s="2"/>
      <c r="BQ4213" s="2" t="s">
        <v>2049</v>
      </c>
      <c r="BR4213" s="2" t="s">
        <v>84</v>
      </c>
      <c r="BS4213" s="3">
        <v>42950</v>
      </c>
      <c r="BT4213" s="4">
        <v>0.39861111111111108</v>
      </c>
      <c r="BU4213" s="2" t="s">
        <v>3909</v>
      </c>
      <c r="BV4213" s="2" t="s">
        <v>95</v>
      </c>
      <c r="BW4213" s="2"/>
      <c r="BX4213" s="2"/>
      <c r="BY4213" s="2">
        <v>1200</v>
      </c>
      <c r="BZ4213" s="2" t="s">
        <v>27</v>
      </c>
      <c r="CA4213" s="2" t="s">
        <v>103</v>
      </c>
      <c r="CB4213" s="2"/>
      <c r="CC4213" s="2" t="s">
        <v>322</v>
      </c>
      <c r="CD4213" s="2">
        <v>6220</v>
      </c>
      <c r="CE4213" s="2" t="s">
        <v>104</v>
      </c>
      <c r="CF4213" s="5">
        <v>42951</v>
      </c>
      <c r="CG4213" s="2"/>
      <c r="CH4213" s="2"/>
      <c r="CI4213" s="2">
        <v>1</v>
      </c>
      <c r="CJ4213" s="2">
        <v>1</v>
      </c>
      <c r="CK4213" s="2">
        <v>21</v>
      </c>
      <c r="CL4213" s="2" t="s">
        <v>86</v>
      </c>
      <c r="CM4213" s="2"/>
    </row>
    <row r="4214" spans="1:91">
      <c r="A4214" s="2" t="s">
        <v>71</v>
      </c>
      <c r="B4214" s="2" t="s">
        <v>72</v>
      </c>
      <c r="C4214" s="2" t="s">
        <v>73</v>
      </c>
      <c r="D4214" s="2"/>
      <c r="E4214" s="2" t="str">
        <f>"FES1162566350"</f>
        <v>FES1162566350</v>
      </c>
      <c r="F4214" s="3">
        <v>42949</v>
      </c>
      <c r="G4214" s="2">
        <v>201802</v>
      </c>
      <c r="H4214" s="2" t="s">
        <v>74</v>
      </c>
      <c r="I4214" s="2" t="s">
        <v>75</v>
      </c>
      <c r="J4214" s="2" t="s">
        <v>76</v>
      </c>
      <c r="K4214" s="2" t="s">
        <v>77</v>
      </c>
      <c r="L4214" s="2" t="s">
        <v>524</v>
      </c>
      <c r="M4214" s="2" t="s">
        <v>525</v>
      </c>
      <c r="N4214" s="2" t="s">
        <v>3910</v>
      </c>
      <c r="O4214" s="2" t="s">
        <v>100</v>
      </c>
      <c r="P4214" s="2" t="str">
        <f>"2170587954                    "</f>
        <v xml:space="preserve">2170587954                    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7.75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0</v>
      </c>
      <c r="AU4214" s="2">
        <v>0</v>
      </c>
      <c r="AV4214" s="2">
        <v>0</v>
      </c>
      <c r="AW4214" s="2">
        <v>0</v>
      </c>
      <c r="AX4214" s="2">
        <v>0</v>
      </c>
      <c r="AY4214" s="2">
        <v>0</v>
      </c>
      <c r="AZ4214" s="2">
        <v>0</v>
      </c>
      <c r="BA4214" s="2">
        <v>0</v>
      </c>
      <c r="BB4214" s="2">
        <v>0</v>
      </c>
      <c r="BC4214" s="2">
        <v>0</v>
      </c>
      <c r="BD4214" s="2">
        <v>0</v>
      </c>
      <c r="BE4214" s="2">
        <v>0</v>
      </c>
      <c r="BF4214" s="2">
        <v>0</v>
      </c>
      <c r="BG4214" s="2">
        <v>0</v>
      </c>
      <c r="BH4214" s="2">
        <v>1</v>
      </c>
      <c r="BI4214" s="2">
        <v>1</v>
      </c>
      <c r="BJ4214" s="2">
        <v>0.2</v>
      </c>
      <c r="BK4214" s="2">
        <v>1</v>
      </c>
      <c r="BL4214" s="2">
        <v>80.290000000000006</v>
      </c>
      <c r="BM4214" s="2">
        <v>11.24</v>
      </c>
      <c r="BN4214" s="2">
        <v>91.53</v>
      </c>
      <c r="BO4214" s="2">
        <v>91.53</v>
      </c>
      <c r="BP4214" s="2"/>
      <c r="BQ4214" s="2" t="s">
        <v>83</v>
      </c>
      <c r="BR4214" s="2" t="s">
        <v>84</v>
      </c>
      <c r="BS4214" s="3">
        <v>42950</v>
      </c>
      <c r="BT4214" s="4">
        <v>0.67986111111111114</v>
      </c>
      <c r="BU4214" s="2" t="s">
        <v>3911</v>
      </c>
      <c r="BV4214" s="2" t="s">
        <v>95</v>
      </c>
      <c r="BW4214" s="2"/>
      <c r="BX4214" s="2"/>
      <c r="BY4214" s="2">
        <v>1200</v>
      </c>
      <c r="BZ4214" s="2"/>
      <c r="CA4214" s="2" t="s">
        <v>1779</v>
      </c>
      <c r="CB4214" s="2"/>
      <c r="CC4214" s="2" t="s">
        <v>525</v>
      </c>
      <c r="CD4214" s="2">
        <v>5605</v>
      </c>
      <c r="CE4214" s="2" t="s">
        <v>104</v>
      </c>
      <c r="CF4214" s="5">
        <v>42957</v>
      </c>
      <c r="CG4214" s="2"/>
      <c r="CH4214" s="2"/>
      <c r="CI4214" s="2">
        <v>4</v>
      </c>
      <c r="CJ4214" s="2">
        <v>1</v>
      </c>
      <c r="CK4214" s="2">
        <v>23</v>
      </c>
      <c r="CL4214" s="2" t="s">
        <v>86</v>
      </c>
      <c r="CM4214" s="2"/>
    </row>
    <row r="4215" spans="1:91">
      <c r="A4215" s="2" t="s">
        <v>71</v>
      </c>
      <c r="B4215" s="2" t="s">
        <v>72</v>
      </c>
      <c r="C4215" s="2" t="s">
        <v>73</v>
      </c>
      <c r="D4215" s="2"/>
      <c r="E4215" s="2" t="str">
        <f>"FES1162566329"</f>
        <v>FES1162566329</v>
      </c>
      <c r="F4215" s="3">
        <v>42949</v>
      </c>
      <c r="G4215" s="2">
        <v>201802</v>
      </c>
      <c r="H4215" s="2" t="s">
        <v>74</v>
      </c>
      <c r="I4215" s="2" t="s">
        <v>75</v>
      </c>
      <c r="J4215" s="2" t="s">
        <v>76</v>
      </c>
      <c r="K4215" s="2" t="s">
        <v>77</v>
      </c>
      <c r="L4215" s="2" t="s">
        <v>149</v>
      </c>
      <c r="M4215" s="2" t="s">
        <v>150</v>
      </c>
      <c r="N4215" s="2" t="s">
        <v>2031</v>
      </c>
      <c r="O4215" s="2" t="s">
        <v>100</v>
      </c>
      <c r="P4215" s="2" t="str">
        <f>"2170580605                    "</f>
        <v xml:space="preserve">2170580605                    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4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0</v>
      </c>
      <c r="AU4215" s="2">
        <v>0</v>
      </c>
      <c r="AV4215" s="2">
        <v>0</v>
      </c>
      <c r="AW4215" s="2">
        <v>0</v>
      </c>
      <c r="AX4215" s="2">
        <v>0</v>
      </c>
      <c r="AY4215" s="2">
        <v>0</v>
      </c>
      <c r="AZ4215" s="2">
        <v>0</v>
      </c>
      <c r="BA4215" s="2">
        <v>0</v>
      </c>
      <c r="BB4215" s="2">
        <v>0</v>
      </c>
      <c r="BC4215" s="2">
        <v>0</v>
      </c>
      <c r="BD4215" s="2">
        <v>0</v>
      </c>
      <c r="BE4215" s="2">
        <v>0</v>
      </c>
      <c r="BF4215" s="2">
        <v>0</v>
      </c>
      <c r="BG4215" s="2">
        <v>0</v>
      </c>
      <c r="BH4215" s="2">
        <v>1</v>
      </c>
      <c r="BI4215" s="2">
        <v>1</v>
      </c>
      <c r="BJ4215" s="2">
        <v>0.2</v>
      </c>
      <c r="BK4215" s="2">
        <v>1</v>
      </c>
      <c r="BL4215" s="2">
        <v>41.44</v>
      </c>
      <c r="BM4215" s="2">
        <v>5.8</v>
      </c>
      <c r="BN4215" s="2">
        <v>47.24</v>
      </c>
      <c r="BO4215" s="2">
        <v>47.24</v>
      </c>
      <c r="BP4215" s="2"/>
      <c r="BQ4215" s="2" t="s">
        <v>83</v>
      </c>
      <c r="BR4215" s="2" t="s">
        <v>84</v>
      </c>
      <c r="BS4215" s="3">
        <v>42950</v>
      </c>
      <c r="BT4215" s="4">
        <v>0.35902777777777778</v>
      </c>
      <c r="BU4215" s="2" t="s">
        <v>3912</v>
      </c>
      <c r="BV4215" s="2" t="s">
        <v>95</v>
      </c>
      <c r="BW4215" s="2"/>
      <c r="BX4215" s="2"/>
      <c r="BY4215" s="2">
        <v>1200</v>
      </c>
      <c r="BZ4215" s="2" t="s">
        <v>27</v>
      </c>
      <c r="CA4215" s="2" t="s">
        <v>235</v>
      </c>
      <c r="CB4215" s="2"/>
      <c r="CC4215" s="2" t="s">
        <v>150</v>
      </c>
      <c r="CD4215" s="2">
        <v>4052</v>
      </c>
      <c r="CE4215" s="2" t="s">
        <v>104</v>
      </c>
      <c r="CF4215" s="5">
        <v>42951</v>
      </c>
      <c r="CG4215" s="2"/>
      <c r="CH4215" s="2"/>
      <c r="CI4215" s="2">
        <v>1</v>
      </c>
      <c r="CJ4215" s="2">
        <v>1</v>
      </c>
      <c r="CK4215" s="2">
        <v>21</v>
      </c>
      <c r="CL4215" s="2" t="s">
        <v>86</v>
      </c>
      <c r="CM4215" s="2"/>
    </row>
    <row r="4216" spans="1:91">
      <c r="A4216" s="2" t="s">
        <v>71</v>
      </c>
      <c r="B4216" s="2" t="s">
        <v>72</v>
      </c>
      <c r="C4216" s="2" t="s">
        <v>73</v>
      </c>
      <c r="D4216" s="2"/>
      <c r="E4216" s="2" t="str">
        <f>"FES1162566316"</f>
        <v>FES1162566316</v>
      </c>
      <c r="F4216" s="3">
        <v>42949</v>
      </c>
      <c r="G4216" s="2">
        <v>201802</v>
      </c>
      <c r="H4216" s="2" t="s">
        <v>74</v>
      </c>
      <c r="I4216" s="2" t="s">
        <v>75</v>
      </c>
      <c r="J4216" s="2" t="s">
        <v>76</v>
      </c>
      <c r="K4216" s="2" t="s">
        <v>77</v>
      </c>
      <c r="L4216" s="2" t="s">
        <v>97</v>
      </c>
      <c r="M4216" s="2" t="s">
        <v>98</v>
      </c>
      <c r="N4216" s="2" t="s">
        <v>625</v>
      </c>
      <c r="O4216" s="2" t="s">
        <v>100</v>
      </c>
      <c r="P4216" s="2" t="str">
        <f>"217059380                     "</f>
        <v xml:space="preserve">217059380                     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4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0</v>
      </c>
      <c r="AU4216" s="2">
        <v>0</v>
      </c>
      <c r="AV4216" s="2">
        <v>0</v>
      </c>
      <c r="AW4216" s="2">
        <v>0</v>
      </c>
      <c r="AX4216" s="2">
        <v>0</v>
      </c>
      <c r="AY4216" s="2">
        <v>0</v>
      </c>
      <c r="AZ4216" s="2">
        <v>0</v>
      </c>
      <c r="BA4216" s="2">
        <v>0</v>
      </c>
      <c r="BB4216" s="2">
        <v>0</v>
      </c>
      <c r="BC4216" s="2">
        <v>0</v>
      </c>
      <c r="BD4216" s="2">
        <v>0</v>
      </c>
      <c r="BE4216" s="2">
        <v>0</v>
      </c>
      <c r="BF4216" s="2">
        <v>0</v>
      </c>
      <c r="BG4216" s="2">
        <v>0</v>
      </c>
      <c r="BH4216" s="2">
        <v>1</v>
      </c>
      <c r="BI4216" s="2">
        <v>1</v>
      </c>
      <c r="BJ4216" s="2">
        <v>0.2</v>
      </c>
      <c r="BK4216" s="2">
        <v>1</v>
      </c>
      <c r="BL4216" s="2">
        <v>41.44</v>
      </c>
      <c r="BM4216" s="2">
        <v>5.8</v>
      </c>
      <c r="BN4216" s="2">
        <v>47.24</v>
      </c>
      <c r="BO4216" s="2">
        <v>47.24</v>
      </c>
      <c r="BP4216" s="2"/>
      <c r="BQ4216" s="2" t="s">
        <v>108</v>
      </c>
      <c r="BR4216" s="2" t="s">
        <v>84</v>
      </c>
      <c r="BS4216" s="3">
        <v>42950</v>
      </c>
      <c r="BT4216" s="4">
        <v>0.3979166666666667</v>
      </c>
      <c r="BU4216" s="2" t="s">
        <v>761</v>
      </c>
      <c r="BV4216" s="2" t="s">
        <v>95</v>
      </c>
      <c r="BW4216" s="2"/>
      <c r="BX4216" s="2"/>
      <c r="BY4216" s="2">
        <v>1200</v>
      </c>
      <c r="BZ4216" s="2" t="s">
        <v>27</v>
      </c>
      <c r="CA4216" s="2" t="s">
        <v>103</v>
      </c>
      <c r="CB4216" s="2"/>
      <c r="CC4216" s="2" t="s">
        <v>98</v>
      </c>
      <c r="CD4216" s="2">
        <v>6001</v>
      </c>
      <c r="CE4216" s="2" t="s">
        <v>104</v>
      </c>
      <c r="CF4216" s="5">
        <v>42951</v>
      </c>
      <c r="CG4216" s="2"/>
      <c r="CH4216" s="2"/>
      <c r="CI4216" s="2">
        <v>1</v>
      </c>
      <c r="CJ4216" s="2">
        <v>1</v>
      </c>
      <c r="CK4216" s="2">
        <v>21</v>
      </c>
      <c r="CL4216" s="2" t="s">
        <v>86</v>
      </c>
      <c r="CM4216" s="2"/>
    </row>
    <row r="4217" spans="1:91">
      <c r="A4217" s="2" t="s">
        <v>71</v>
      </c>
      <c r="B4217" s="2" t="s">
        <v>72</v>
      </c>
      <c r="C4217" s="2" t="s">
        <v>73</v>
      </c>
      <c r="D4217" s="2"/>
      <c r="E4217" s="2" t="str">
        <f>"FES1162566254"</f>
        <v>FES1162566254</v>
      </c>
      <c r="F4217" s="3">
        <v>42949</v>
      </c>
      <c r="G4217" s="2">
        <v>201802</v>
      </c>
      <c r="H4217" s="2" t="s">
        <v>74</v>
      </c>
      <c r="I4217" s="2" t="s">
        <v>75</v>
      </c>
      <c r="J4217" s="2" t="s">
        <v>76</v>
      </c>
      <c r="K4217" s="2" t="s">
        <v>77</v>
      </c>
      <c r="L4217" s="2" t="s">
        <v>149</v>
      </c>
      <c r="M4217" s="2" t="s">
        <v>150</v>
      </c>
      <c r="N4217" s="2" t="s">
        <v>3815</v>
      </c>
      <c r="O4217" s="2" t="s">
        <v>100</v>
      </c>
      <c r="P4217" s="2" t="str">
        <f>"2170582681                    "</f>
        <v xml:space="preserve">2170582681                    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4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0</v>
      </c>
      <c r="AU4217" s="2">
        <v>0</v>
      </c>
      <c r="AV4217" s="2">
        <v>0</v>
      </c>
      <c r="AW4217" s="2">
        <v>0</v>
      </c>
      <c r="AX4217" s="2">
        <v>0</v>
      </c>
      <c r="AY4217" s="2">
        <v>0</v>
      </c>
      <c r="AZ4217" s="2">
        <v>0</v>
      </c>
      <c r="BA4217" s="2">
        <v>0</v>
      </c>
      <c r="BB4217" s="2">
        <v>0</v>
      </c>
      <c r="BC4217" s="2">
        <v>0</v>
      </c>
      <c r="BD4217" s="2">
        <v>0</v>
      </c>
      <c r="BE4217" s="2">
        <v>0</v>
      </c>
      <c r="BF4217" s="2">
        <v>0</v>
      </c>
      <c r="BG4217" s="2">
        <v>0</v>
      </c>
      <c r="BH4217" s="2">
        <v>1</v>
      </c>
      <c r="BI4217" s="2">
        <v>1</v>
      </c>
      <c r="BJ4217" s="2">
        <v>0.2</v>
      </c>
      <c r="BK4217" s="2">
        <v>1</v>
      </c>
      <c r="BL4217" s="2">
        <v>41.44</v>
      </c>
      <c r="BM4217" s="2">
        <v>5.8</v>
      </c>
      <c r="BN4217" s="2">
        <v>47.24</v>
      </c>
      <c r="BO4217" s="2">
        <v>47.24</v>
      </c>
      <c r="BP4217" s="2"/>
      <c r="BQ4217" s="2" t="s">
        <v>83</v>
      </c>
      <c r="BR4217" s="2" t="s">
        <v>84</v>
      </c>
      <c r="BS4217" s="3">
        <v>42950</v>
      </c>
      <c r="BT4217" s="4">
        <v>0.43611111111111112</v>
      </c>
      <c r="BU4217" s="2" t="s">
        <v>3816</v>
      </c>
      <c r="BV4217" s="2" t="s">
        <v>95</v>
      </c>
      <c r="BW4217" s="2"/>
      <c r="BX4217" s="2"/>
      <c r="BY4217" s="2">
        <v>1200</v>
      </c>
      <c r="BZ4217" s="2" t="s">
        <v>27</v>
      </c>
      <c r="CA4217" s="2" t="s">
        <v>401</v>
      </c>
      <c r="CB4217" s="2"/>
      <c r="CC4217" s="2" t="s">
        <v>150</v>
      </c>
      <c r="CD4217" s="2">
        <v>4001</v>
      </c>
      <c r="CE4217" s="2" t="s">
        <v>104</v>
      </c>
      <c r="CF4217" s="5">
        <v>42951</v>
      </c>
      <c r="CG4217" s="2"/>
      <c r="CH4217" s="2"/>
      <c r="CI4217" s="2">
        <v>1</v>
      </c>
      <c r="CJ4217" s="2">
        <v>1</v>
      </c>
      <c r="CK4217" s="2">
        <v>21</v>
      </c>
      <c r="CL4217" s="2" t="s">
        <v>86</v>
      </c>
      <c r="CM4217" s="2"/>
    </row>
    <row r="4218" spans="1:91">
      <c r="A4218" s="2" t="s">
        <v>71</v>
      </c>
      <c r="B4218" s="2" t="s">
        <v>72</v>
      </c>
      <c r="C4218" s="2" t="s">
        <v>73</v>
      </c>
      <c r="D4218" s="2"/>
      <c r="E4218" s="2" t="str">
        <f>"FES1162566288"</f>
        <v>FES1162566288</v>
      </c>
      <c r="F4218" s="3">
        <v>42949</v>
      </c>
      <c r="G4218" s="2">
        <v>201802</v>
      </c>
      <c r="H4218" s="2" t="s">
        <v>74</v>
      </c>
      <c r="I4218" s="2" t="s">
        <v>75</v>
      </c>
      <c r="J4218" s="2" t="s">
        <v>76</v>
      </c>
      <c r="K4218" s="2" t="s">
        <v>77</v>
      </c>
      <c r="L4218" s="2" t="s">
        <v>105</v>
      </c>
      <c r="M4218" s="2" t="s">
        <v>106</v>
      </c>
      <c r="N4218" s="2" t="s">
        <v>3913</v>
      </c>
      <c r="O4218" s="2" t="s">
        <v>100</v>
      </c>
      <c r="P4218" s="2" t="str">
        <f>"217058723                     "</f>
        <v xml:space="preserve">217058723                     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6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0</v>
      </c>
      <c r="AU4218" s="2">
        <v>0</v>
      </c>
      <c r="AV4218" s="2">
        <v>0</v>
      </c>
      <c r="AW4218" s="2">
        <v>0</v>
      </c>
      <c r="AX4218" s="2">
        <v>0</v>
      </c>
      <c r="AY4218" s="2">
        <v>0</v>
      </c>
      <c r="AZ4218" s="2">
        <v>0</v>
      </c>
      <c r="BA4218" s="2">
        <v>0</v>
      </c>
      <c r="BB4218" s="2">
        <v>0</v>
      </c>
      <c r="BC4218" s="2">
        <v>0</v>
      </c>
      <c r="BD4218" s="2">
        <v>0</v>
      </c>
      <c r="BE4218" s="2">
        <v>0</v>
      </c>
      <c r="BF4218" s="2">
        <v>0</v>
      </c>
      <c r="BG4218" s="2">
        <v>0</v>
      </c>
      <c r="BH4218" s="2">
        <v>1</v>
      </c>
      <c r="BI4218" s="2">
        <v>2</v>
      </c>
      <c r="BJ4218" s="2">
        <v>3</v>
      </c>
      <c r="BK4218" s="2">
        <v>3</v>
      </c>
      <c r="BL4218" s="2">
        <v>62.16</v>
      </c>
      <c r="BM4218" s="2">
        <v>8.6999999999999993</v>
      </c>
      <c r="BN4218" s="2">
        <v>70.86</v>
      </c>
      <c r="BO4218" s="2">
        <v>70.86</v>
      </c>
      <c r="BP4218" s="2"/>
      <c r="BQ4218" s="2" t="s">
        <v>3914</v>
      </c>
      <c r="BR4218" s="2" t="s">
        <v>84</v>
      </c>
      <c r="BS4218" s="3">
        <v>42950</v>
      </c>
      <c r="BT4218" s="4">
        <v>0.31388888888888888</v>
      </c>
      <c r="BU4218" s="2" t="s">
        <v>3915</v>
      </c>
      <c r="BV4218" s="2" t="s">
        <v>95</v>
      </c>
      <c r="BW4218" s="2"/>
      <c r="BX4218" s="2"/>
      <c r="BY4218" s="2">
        <v>14921.01</v>
      </c>
      <c r="BZ4218" s="2" t="s">
        <v>27</v>
      </c>
      <c r="CA4218" s="2" t="s">
        <v>2996</v>
      </c>
      <c r="CB4218" s="2"/>
      <c r="CC4218" s="2" t="s">
        <v>106</v>
      </c>
      <c r="CD4218" s="2">
        <v>7580</v>
      </c>
      <c r="CE4218" s="2" t="s">
        <v>948</v>
      </c>
      <c r="CF4218" s="5">
        <v>42951</v>
      </c>
      <c r="CG4218" s="2"/>
      <c r="CH4218" s="2"/>
      <c r="CI4218" s="2">
        <v>1</v>
      </c>
      <c r="CJ4218" s="2">
        <v>1</v>
      </c>
      <c r="CK4218" s="2">
        <v>21</v>
      </c>
      <c r="CL4218" s="2" t="s">
        <v>86</v>
      </c>
      <c r="CM4218" s="2"/>
    </row>
    <row r="4219" spans="1:91">
      <c r="A4219" s="2" t="s">
        <v>71</v>
      </c>
      <c r="B4219" s="2" t="s">
        <v>72</v>
      </c>
      <c r="C4219" s="2" t="s">
        <v>73</v>
      </c>
      <c r="D4219" s="2"/>
      <c r="E4219" s="2" t="str">
        <f>"FES1162566219"</f>
        <v>FES1162566219</v>
      </c>
      <c r="F4219" s="3">
        <v>42949</v>
      </c>
      <c r="G4219" s="2">
        <v>201802</v>
      </c>
      <c r="H4219" s="2" t="s">
        <v>74</v>
      </c>
      <c r="I4219" s="2" t="s">
        <v>75</v>
      </c>
      <c r="J4219" s="2" t="s">
        <v>76</v>
      </c>
      <c r="K4219" s="2" t="s">
        <v>77</v>
      </c>
      <c r="L4219" s="2" t="s">
        <v>149</v>
      </c>
      <c r="M4219" s="2" t="s">
        <v>150</v>
      </c>
      <c r="N4219" s="2" t="s">
        <v>482</v>
      </c>
      <c r="O4219" s="2" t="s">
        <v>100</v>
      </c>
      <c r="P4219" s="2" t="str">
        <f>"2170582240                    "</f>
        <v xml:space="preserve">2170582240                    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4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0</v>
      </c>
      <c r="AU4219" s="2">
        <v>0</v>
      </c>
      <c r="AV4219" s="2">
        <v>0</v>
      </c>
      <c r="AW4219" s="2">
        <v>0</v>
      </c>
      <c r="AX4219" s="2">
        <v>0</v>
      </c>
      <c r="AY4219" s="2">
        <v>0</v>
      </c>
      <c r="AZ4219" s="2">
        <v>0</v>
      </c>
      <c r="BA4219" s="2">
        <v>0</v>
      </c>
      <c r="BB4219" s="2">
        <v>0</v>
      </c>
      <c r="BC4219" s="2">
        <v>0</v>
      </c>
      <c r="BD4219" s="2">
        <v>0</v>
      </c>
      <c r="BE4219" s="2">
        <v>0</v>
      </c>
      <c r="BF4219" s="2">
        <v>0</v>
      </c>
      <c r="BG4219" s="2">
        <v>0</v>
      </c>
      <c r="BH4219" s="2">
        <v>1</v>
      </c>
      <c r="BI4219" s="2">
        <v>1</v>
      </c>
      <c r="BJ4219" s="2">
        <v>0.2</v>
      </c>
      <c r="BK4219" s="2">
        <v>1</v>
      </c>
      <c r="BL4219" s="2">
        <v>41.44</v>
      </c>
      <c r="BM4219" s="2">
        <v>5.8</v>
      </c>
      <c r="BN4219" s="2">
        <v>47.24</v>
      </c>
      <c r="BO4219" s="2">
        <v>47.24</v>
      </c>
      <c r="BP4219" s="2"/>
      <c r="BQ4219" s="2" t="s">
        <v>83</v>
      </c>
      <c r="BR4219" s="2" t="s">
        <v>84</v>
      </c>
      <c r="BS4219" s="3">
        <v>42950</v>
      </c>
      <c r="BT4219" s="4">
        <v>0.3888888888888889</v>
      </c>
      <c r="BU4219" s="2" t="s">
        <v>2390</v>
      </c>
      <c r="BV4219" s="2" t="s">
        <v>95</v>
      </c>
      <c r="BW4219" s="2"/>
      <c r="BX4219" s="2"/>
      <c r="BY4219" s="2">
        <v>1200</v>
      </c>
      <c r="BZ4219" s="2" t="s">
        <v>27</v>
      </c>
      <c r="CA4219" s="2" t="s">
        <v>682</v>
      </c>
      <c r="CB4219" s="2"/>
      <c r="CC4219" s="2" t="s">
        <v>150</v>
      </c>
      <c r="CD4219" s="2">
        <v>4001</v>
      </c>
      <c r="CE4219" s="2" t="s">
        <v>104</v>
      </c>
      <c r="CF4219" s="5">
        <v>42951</v>
      </c>
      <c r="CG4219" s="2"/>
      <c r="CH4219" s="2"/>
      <c r="CI4219" s="2">
        <v>1</v>
      </c>
      <c r="CJ4219" s="2">
        <v>1</v>
      </c>
      <c r="CK4219" s="2">
        <v>21</v>
      </c>
      <c r="CL4219" s="2" t="s">
        <v>86</v>
      </c>
      <c r="CM4219" s="2"/>
    </row>
    <row r="4220" spans="1:91">
      <c r="A4220" s="2" t="s">
        <v>71</v>
      </c>
      <c r="B4220" s="2" t="s">
        <v>72</v>
      </c>
      <c r="C4220" s="2" t="s">
        <v>73</v>
      </c>
      <c r="D4220" s="2"/>
      <c r="E4220" s="2" t="str">
        <f>"FES1162566279"</f>
        <v>FES1162566279</v>
      </c>
      <c r="F4220" s="3">
        <v>42949</v>
      </c>
      <c r="G4220" s="2">
        <v>201802</v>
      </c>
      <c r="H4220" s="2" t="s">
        <v>74</v>
      </c>
      <c r="I4220" s="2" t="s">
        <v>75</v>
      </c>
      <c r="J4220" s="2" t="s">
        <v>76</v>
      </c>
      <c r="K4220" s="2" t="s">
        <v>77</v>
      </c>
      <c r="L4220" s="2" t="s">
        <v>149</v>
      </c>
      <c r="M4220" s="2" t="s">
        <v>150</v>
      </c>
      <c r="N4220" s="2" t="s">
        <v>427</v>
      </c>
      <c r="O4220" s="2" t="s">
        <v>100</v>
      </c>
      <c r="P4220" s="2" t="str">
        <f>"2170582708                    "</f>
        <v xml:space="preserve">2170582708                    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18.010000000000002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0</v>
      </c>
      <c r="AU4220" s="2">
        <v>0</v>
      </c>
      <c r="AV4220" s="2">
        <v>0</v>
      </c>
      <c r="AW4220" s="2">
        <v>0</v>
      </c>
      <c r="AX4220" s="2">
        <v>0</v>
      </c>
      <c r="AY4220" s="2">
        <v>0</v>
      </c>
      <c r="AZ4220" s="2">
        <v>0</v>
      </c>
      <c r="BA4220" s="2">
        <v>0</v>
      </c>
      <c r="BB4220" s="2">
        <v>0</v>
      </c>
      <c r="BC4220" s="2">
        <v>0</v>
      </c>
      <c r="BD4220" s="2">
        <v>0</v>
      </c>
      <c r="BE4220" s="2">
        <v>0</v>
      </c>
      <c r="BF4220" s="2">
        <v>0</v>
      </c>
      <c r="BG4220" s="2">
        <v>0</v>
      </c>
      <c r="BH4220" s="2">
        <v>1</v>
      </c>
      <c r="BI4220" s="2">
        <v>7.6</v>
      </c>
      <c r="BJ4220" s="2">
        <v>8.6999999999999993</v>
      </c>
      <c r="BK4220" s="2">
        <v>9</v>
      </c>
      <c r="BL4220" s="2">
        <v>186.49</v>
      </c>
      <c r="BM4220" s="2">
        <v>26.11</v>
      </c>
      <c r="BN4220" s="2">
        <v>212.6</v>
      </c>
      <c r="BO4220" s="2">
        <v>212.6</v>
      </c>
      <c r="BP4220" s="2"/>
      <c r="BQ4220" s="2" t="s">
        <v>83</v>
      </c>
      <c r="BR4220" s="2" t="s">
        <v>84</v>
      </c>
      <c r="BS4220" s="3">
        <v>42950</v>
      </c>
      <c r="BT4220" s="4">
        <v>0.39097222222222222</v>
      </c>
      <c r="BU4220" s="2" t="s">
        <v>224</v>
      </c>
      <c r="BV4220" s="2" t="s">
        <v>95</v>
      </c>
      <c r="BW4220" s="2"/>
      <c r="BX4220" s="2"/>
      <c r="BY4220" s="2">
        <v>43411.21</v>
      </c>
      <c r="BZ4220" s="2" t="s">
        <v>27</v>
      </c>
      <c r="CA4220" s="2" t="s">
        <v>429</v>
      </c>
      <c r="CB4220" s="2"/>
      <c r="CC4220" s="2" t="s">
        <v>150</v>
      </c>
      <c r="CD4220" s="2">
        <v>4001</v>
      </c>
      <c r="CE4220" s="2" t="s">
        <v>89</v>
      </c>
      <c r="CF4220" s="5">
        <v>42951</v>
      </c>
      <c r="CG4220" s="2"/>
      <c r="CH4220" s="2"/>
      <c r="CI4220" s="2">
        <v>1</v>
      </c>
      <c r="CJ4220" s="2">
        <v>1</v>
      </c>
      <c r="CK4220" s="2">
        <v>21</v>
      </c>
      <c r="CL4220" s="2" t="s">
        <v>86</v>
      </c>
      <c r="CM4220" s="2"/>
    </row>
    <row r="4221" spans="1:91">
      <c r="A4221" s="2" t="s">
        <v>71</v>
      </c>
      <c r="B4221" s="2" t="s">
        <v>72</v>
      </c>
      <c r="C4221" s="2" t="s">
        <v>73</v>
      </c>
      <c r="D4221" s="2"/>
      <c r="E4221" s="2" t="str">
        <f>"FES1162566257"</f>
        <v>FES1162566257</v>
      </c>
      <c r="F4221" s="3">
        <v>42949</v>
      </c>
      <c r="G4221" s="2">
        <v>201802</v>
      </c>
      <c r="H4221" s="2" t="s">
        <v>74</v>
      </c>
      <c r="I4221" s="2" t="s">
        <v>75</v>
      </c>
      <c r="J4221" s="2" t="s">
        <v>76</v>
      </c>
      <c r="K4221" s="2" t="s">
        <v>77</v>
      </c>
      <c r="L4221" s="2" t="s">
        <v>237</v>
      </c>
      <c r="M4221" s="2" t="s">
        <v>238</v>
      </c>
      <c r="N4221" s="2" t="s">
        <v>669</v>
      </c>
      <c r="O4221" s="2" t="s">
        <v>100</v>
      </c>
      <c r="P4221" s="2" t="str">
        <f>"2170582685                    "</f>
        <v xml:space="preserve">2170582685                    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4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0</v>
      </c>
      <c r="AU4221" s="2">
        <v>0</v>
      </c>
      <c r="AV4221" s="2">
        <v>0</v>
      </c>
      <c r="AW4221" s="2">
        <v>0</v>
      </c>
      <c r="AX4221" s="2">
        <v>0</v>
      </c>
      <c r="AY4221" s="2">
        <v>0</v>
      </c>
      <c r="AZ4221" s="2">
        <v>0</v>
      </c>
      <c r="BA4221" s="2">
        <v>0</v>
      </c>
      <c r="BB4221" s="2">
        <v>0</v>
      </c>
      <c r="BC4221" s="2">
        <v>0</v>
      </c>
      <c r="BD4221" s="2">
        <v>0</v>
      </c>
      <c r="BE4221" s="2">
        <v>0</v>
      </c>
      <c r="BF4221" s="2">
        <v>0</v>
      </c>
      <c r="BG4221" s="2">
        <v>0</v>
      </c>
      <c r="BH4221" s="2">
        <v>1</v>
      </c>
      <c r="BI4221" s="2">
        <v>1</v>
      </c>
      <c r="BJ4221" s="2">
        <v>0.2</v>
      </c>
      <c r="BK4221" s="2">
        <v>1</v>
      </c>
      <c r="BL4221" s="2">
        <v>41.44</v>
      </c>
      <c r="BM4221" s="2">
        <v>5.8</v>
      </c>
      <c r="BN4221" s="2">
        <v>47.24</v>
      </c>
      <c r="BO4221" s="2">
        <v>47.24</v>
      </c>
      <c r="BP4221" s="2"/>
      <c r="BQ4221" s="2" t="s">
        <v>83</v>
      </c>
      <c r="BR4221" s="2" t="s">
        <v>84</v>
      </c>
      <c r="BS4221" s="3">
        <v>42950</v>
      </c>
      <c r="BT4221" s="4">
        <v>0.36805555555555558</v>
      </c>
      <c r="BU4221" s="2" t="s">
        <v>677</v>
      </c>
      <c r="BV4221" s="2" t="s">
        <v>95</v>
      </c>
      <c r="BW4221" s="2"/>
      <c r="BX4221" s="2"/>
      <c r="BY4221" s="2">
        <v>1200</v>
      </c>
      <c r="BZ4221" s="2" t="s">
        <v>27</v>
      </c>
      <c r="CA4221" s="2" t="s">
        <v>672</v>
      </c>
      <c r="CB4221" s="2"/>
      <c r="CC4221" s="2" t="s">
        <v>238</v>
      </c>
      <c r="CD4221" s="2">
        <v>3610</v>
      </c>
      <c r="CE4221" s="2" t="s">
        <v>104</v>
      </c>
      <c r="CF4221" s="5">
        <v>42951</v>
      </c>
      <c r="CG4221" s="2"/>
      <c r="CH4221" s="2"/>
      <c r="CI4221" s="2">
        <v>1</v>
      </c>
      <c r="CJ4221" s="2">
        <v>1</v>
      </c>
      <c r="CK4221" s="2">
        <v>21</v>
      </c>
      <c r="CL4221" s="2" t="s">
        <v>86</v>
      </c>
      <c r="CM4221" s="2"/>
    </row>
    <row r="4222" spans="1:91">
      <c r="A4222" s="2" t="s">
        <v>71</v>
      </c>
      <c r="B4222" s="2" t="s">
        <v>72</v>
      </c>
      <c r="C4222" s="2" t="s">
        <v>73</v>
      </c>
      <c r="D4222" s="2"/>
      <c r="E4222" s="2" t="str">
        <f>"FES1162566103"</f>
        <v>FES1162566103</v>
      </c>
      <c r="F4222" s="3">
        <v>42949</v>
      </c>
      <c r="G4222" s="2">
        <v>201802</v>
      </c>
      <c r="H4222" s="2" t="s">
        <v>74</v>
      </c>
      <c r="I4222" s="2" t="s">
        <v>75</v>
      </c>
      <c r="J4222" s="2" t="s">
        <v>76</v>
      </c>
      <c r="K4222" s="2" t="s">
        <v>77</v>
      </c>
      <c r="L4222" s="2" t="s">
        <v>174</v>
      </c>
      <c r="M4222" s="2" t="s">
        <v>175</v>
      </c>
      <c r="N4222" s="2" t="s">
        <v>930</v>
      </c>
      <c r="O4222" s="2" t="s">
        <v>100</v>
      </c>
      <c r="P4222" s="2" t="str">
        <f>"2170582664                    "</f>
        <v xml:space="preserve">2170582664                    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4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0</v>
      </c>
      <c r="AU4222" s="2">
        <v>0</v>
      </c>
      <c r="AV4222" s="2">
        <v>0</v>
      </c>
      <c r="AW4222" s="2">
        <v>0</v>
      </c>
      <c r="AX4222" s="2">
        <v>0</v>
      </c>
      <c r="AY4222" s="2">
        <v>0</v>
      </c>
      <c r="AZ4222" s="2">
        <v>0</v>
      </c>
      <c r="BA4222" s="2">
        <v>0</v>
      </c>
      <c r="BB4222" s="2">
        <v>0</v>
      </c>
      <c r="BC4222" s="2">
        <v>0</v>
      </c>
      <c r="BD4222" s="2">
        <v>0</v>
      </c>
      <c r="BE4222" s="2">
        <v>0</v>
      </c>
      <c r="BF4222" s="2">
        <v>0</v>
      </c>
      <c r="BG4222" s="2">
        <v>0</v>
      </c>
      <c r="BH4222" s="2">
        <v>1</v>
      </c>
      <c r="BI4222" s="2">
        <v>1</v>
      </c>
      <c r="BJ4222" s="2">
        <v>1.1000000000000001</v>
      </c>
      <c r="BK4222" s="2">
        <v>1.5</v>
      </c>
      <c r="BL4222" s="2">
        <v>41.44</v>
      </c>
      <c r="BM4222" s="2">
        <v>5.8</v>
      </c>
      <c r="BN4222" s="2">
        <v>47.24</v>
      </c>
      <c r="BO4222" s="2">
        <v>47.24</v>
      </c>
      <c r="BP4222" s="2"/>
      <c r="BQ4222" s="2" t="s">
        <v>83</v>
      </c>
      <c r="BR4222" s="2" t="s">
        <v>84</v>
      </c>
      <c r="BS4222" s="3">
        <v>42950</v>
      </c>
      <c r="BT4222" s="4">
        <v>0.43194444444444446</v>
      </c>
      <c r="BU4222" s="2" t="s">
        <v>3555</v>
      </c>
      <c r="BV4222" s="2" t="s">
        <v>95</v>
      </c>
      <c r="BW4222" s="2"/>
      <c r="BX4222" s="2"/>
      <c r="BY4222" s="2">
        <v>5414.85</v>
      </c>
      <c r="BZ4222" s="2" t="s">
        <v>27</v>
      </c>
      <c r="CA4222" s="2" t="s">
        <v>1373</v>
      </c>
      <c r="CB4222" s="2"/>
      <c r="CC4222" s="2" t="s">
        <v>175</v>
      </c>
      <c r="CD4222" s="2">
        <v>5201</v>
      </c>
      <c r="CE4222" s="2" t="s">
        <v>89</v>
      </c>
      <c r="CF4222" s="5">
        <v>42954</v>
      </c>
      <c r="CG4222" s="2"/>
      <c r="CH4222" s="2"/>
      <c r="CI4222" s="2">
        <v>1</v>
      </c>
      <c r="CJ4222" s="2">
        <v>1</v>
      </c>
      <c r="CK4222" s="2">
        <v>21</v>
      </c>
      <c r="CL4222" s="2" t="s">
        <v>86</v>
      </c>
      <c r="CM4222" s="2"/>
    </row>
    <row r="4223" spans="1:91">
      <c r="A4223" s="2" t="s">
        <v>71</v>
      </c>
      <c r="B4223" s="2" t="s">
        <v>72</v>
      </c>
      <c r="C4223" s="2" t="s">
        <v>73</v>
      </c>
      <c r="D4223" s="2"/>
      <c r="E4223" s="2" t="str">
        <f>"FES1162566363"</f>
        <v>FES1162566363</v>
      </c>
      <c r="F4223" s="3">
        <v>42949</v>
      </c>
      <c r="G4223" s="2">
        <v>201802</v>
      </c>
      <c r="H4223" s="2" t="s">
        <v>74</v>
      </c>
      <c r="I4223" s="2" t="s">
        <v>75</v>
      </c>
      <c r="J4223" s="2" t="s">
        <v>76</v>
      </c>
      <c r="K4223" s="2" t="s">
        <v>77</v>
      </c>
      <c r="L4223" s="2" t="s">
        <v>105</v>
      </c>
      <c r="M4223" s="2" t="s">
        <v>106</v>
      </c>
      <c r="N4223" s="2" t="s">
        <v>107</v>
      </c>
      <c r="O4223" s="2" t="s">
        <v>100</v>
      </c>
      <c r="P4223" s="2" t="str">
        <f>"2170580214                    "</f>
        <v xml:space="preserve">2170580214                    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8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0</v>
      </c>
      <c r="AU4223" s="2">
        <v>0</v>
      </c>
      <c r="AV4223" s="2">
        <v>0</v>
      </c>
      <c r="AW4223" s="2">
        <v>0</v>
      </c>
      <c r="AX4223" s="2">
        <v>0</v>
      </c>
      <c r="AY4223" s="2">
        <v>0</v>
      </c>
      <c r="AZ4223" s="2">
        <v>0</v>
      </c>
      <c r="BA4223" s="2">
        <v>0</v>
      </c>
      <c r="BB4223" s="2">
        <v>0</v>
      </c>
      <c r="BC4223" s="2">
        <v>0</v>
      </c>
      <c r="BD4223" s="2">
        <v>0</v>
      </c>
      <c r="BE4223" s="2">
        <v>0</v>
      </c>
      <c r="BF4223" s="2">
        <v>0</v>
      </c>
      <c r="BG4223" s="2">
        <v>0</v>
      </c>
      <c r="BH4223" s="2">
        <v>1</v>
      </c>
      <c r="BI4223" s="2">
        <v>4</v>
      </c>
      <c r="BJ4223" s="2">
        <v>1.5</v>
      </c>
      <c r="BK4223" s="2">
        <v>4</v>
      </c>
      <c r="BL4223" s="2">
        <v>82.88</v>
      </c>
      <c r="BM4223" s="2">
        <v>11.6</v>
      </c>
      <c r="BN4223" s="2">
        <v>94.48</v>
      </c>
      <c r="BO4223" s="2">
        <v>94.48</v>
      </c>
      <c r="BP4223" s="2"/>
      <c r="BQ4223" s="2" t="s">
        <v>108</v>
      </c>
      <c r="BR4223" s="2" t="s">
        <v>84</v>
      </c>
      <c r="BS4223" s="3">
        <v>42950</v>
      </c>
      <c r="BT4223" s="4">
        <v>0.4055555555555555</v>
      </c>
      <c r="BU4223" s="2" t="s">
        <v>1503</v>
      </c>
      <c r="BV4223" s="2" t="s">
        <v>95</v>
      </c>
      <c r="BW4223" s="2"/>
      <c r="BX4223" s="2"/>
      <c r="BY4223" s="2">
        <v>7740.99</v>
      </c>
      <c r="BZ4223" s="2" t="s">
        <v>27</v>
      </c>
      <c r="CA4223" s="2" t="s">
        <v>112</v>
      </c>
      <c r="CB4223" s="2"/>
      <c r="CC4223" s="2" t="s">
        <v>106</v>
      </c>
      <c r="CD4223" s="2">
        <v>7405</v>
      </c>
      <c r="CE4223" s="2" t="s">
        <v>89</v>
      </c>
      <c r="CF4223" s="5">
        <v>42950</v>
      </c>
      <c r="CG4223" s="2"/>
      <c r="CH4223" s="2"/>
      <c r="CI4223" s="2">
        <v>1</v>
      </c>
      <c r="CJ4223" s="2">
        <v>1</v>
      </c>
      <c r="CK4223" s="2">
        <v>21</v>
      </c>
      <c r="CL4223" s="2" t="s">
        <v>86</v>
      </c>
      <c r="CM4223" s="2"/>
    </row>
    <row r="4224" spans="1:91">
      <c r="A4224" s="2" t="s">
        <v>71</v>
      </c>
      <c r="B4224" s="2" t="s">
        <v>72</v>
      </c>
      <c r="C4224" s="2" t="s">
        <v>73</v>
      </c>
      <c r="D4224" s="2"/>
      <c r="E4224" s="2" t="str">
        <f>"FES1162566138"</f>
        <v>FES1162566138</v>
      </c>
      <c r="F4224" s="3">
        <v>42949</v>
      </c>
      <c r="G4224" s="2">
        <v>201802</v>
      </c>
      <c r="H4224" s="2" t="s">
        <v>74</v>
      </c>
      <c r="I4224" s="2" t="s">
        <v>75</v>
      </c>
      <c r="J4224" s="2" t="s">
        <v>76</v>
      </c>
      <c r="K4224" s="2" t="s">
        <v>77</v>
      </c>
      <c r="L4224" s="2" t="s">
        <v>164</v>
      </c>
      <c r="M4224" s="2" t="s">
        <v>165</v>
      </c>
      <c r="N4224" s="2" t="s">
        <v>3594</v>
      </c>
      <c r="O4224" s="2" t="s">
        <v>100</v>
      </c>
      <c r="P4224" s="2" t="str">
        <f>"2170597428                    "</f>
        <v xml:space="preserve">2170597428                    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15.01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0</v>
      </c>
      <c r="AU4224" s="2">
        <v>0</v>
      </c>
      <c r="AV4224" s="2">
        <v>0</v>
      </c>
      <c r="AW4224" s="2">
        <v>0</v>
      </c>
      <c r="AX4224" s="2">
        <v>0</v>
      </c>
      <c r="AY4224" s="2">
        <v>0</v>
      </c>
      <c r="AZ4224" s="2">
        <v>0</v>
      </c>
      <c r="BA4224" s="2">
        <v>0</v>
      </c>
      <c r="BB4224" s="2">
        <v>0</v>
      </c>
      <c r="BC4224" s="2">
        <v>0</v>
      </c>
      <c r="BD4224" s="2">
        <v>0</v>
      </c>
      <c r="BE4224" s="2">
        <v>0</v>
      </c>
      <c r="BF4224" s="2">
        <v>0</v>
      </c>
      <c r="BG4224" s="2">
        <v>0</v>
      </c>
      <c r="BH4224" s="2">
        <v>1</v>
      </c>
      <c r="BI4224" s="2">
        <v>7.3</v>
      </c>
      <c r="BJ4224" s="2">
        <v>3.4</v>
      </c>
      <c r="BK4224" s="2">
        <v>7.5</v>
      </c>
      <c r="BL4224" s="2">
        <v>155.41</v>
      </c>
      <c r="BM4224" s="2">
        <v>21.76</v>
      </c>
      <c r="BN4224" s="2">
        <v>177.17</v>
      </c>
      <c r="BO4224" s="2">
        <v>177.17</v>
      </c>
      <c r="BP4224" s="2"/>
      <c r="BQ4224" s="2" t="s">
        <v>3595</v>
      </c>
      <c r="BR4224" s="2" t="s">
        <v>84</v>
      </c>
      <c r="BS4224" s="3">
        <v>42950</v>
      </c>
      <c r="BT4224" s="4">
        <v>0.42499999999999999</v>
      </c>
      <c r="BU4224" s="2" t="s">
        <v>3822</v>
      </c>
      <c r="BV4224" s="2" t="s">
        <v>95</v>
      </c>
      <c r="BW4224" s="2"/>
      <c r="BX4224" s="2"/>
      <c r="BY4224" s="2">
        <v>16986.82</v>
      </c>
      <c r="BZ4224" s="2" t="s">
        <v>27</v>
      </c>
      <c r="CA4224" s="2" t="s">
        <v>2114</v>
      </c>
      <c r="CB4224" s="2"/>
      <c r="CC4224" s="2" t="s">
        <v>165</v>
      </c>
      <c r="CD4224" s="2">
        <v>6850</v>
      </c>
      <c r="CE4224" s="2" t="s">
        <v>89</v>
      </c>
      <c r="CF4224" s="5">
        <v>42951</v>
      </c>
      <c r="CG4224" s="2"/>
      <c r="CH4224" s="2"/>
      <c r="CI4224" s="2">
        <v>3</v>
      </c>
      <c r="CJ4224" s="2">
        <v>1</v>
      </c>
      <c r="CK4224" s="2">
        <v>21</v>
      </c>
      <c r="CL4224" s="2" t="s">
        <v>86</v>
      </c>
      <c r="CM4224" s="2"/>
    </row>
    <row r="4225" spans="1:91">
      <c r="A4225" s="2" t="s">
        <v>71</v>
      </c>
      <c r="B4225" s="2" t="s">
        <v>72</v>
      </c>
      <c r="C4225" s="2" t="s">
        <v>73</v>
      </c>
      <c r="D4225" s="2"/>
      <c r="E4225" s="2" t="str">
        <f>"FES1162566345"</f>
        <v>FES1162566345</v>
      </c>
      <c r="F4225" s="3">
        <v>42949</v>
      </c>
      <c r="G4225" s="2">
        <v>201802</v>
      </c>
      <c r="H4225" s="2" t="s">
        <v>74</v>
      </c>
      <c r="I4225" s="2" t="s">
        <v>75</v>
      </c>
      <c r="J4225" s="2" t="s">
        <v>76</v>
      </c>
      <c r="K4225" s="2" t="s">
        <v>77</v>
      </c>
      <c r="L4225" s="2" t="s">
        <v>144</v>
      </c>
      <c r="M4225" s="2" t="s">
        <v>145</v>
      </c>
      <c r="N4225" s="2" t="s">
        <v>146</v>
      </c>
      <c r="O4225" s="2" t="s">
        <v>100</v>
      </c>
      <c r="P4225" s="2" t="str">
        <f>"21705877828                   "</f>
        <v xml:space="preserve">21705877828                   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3.13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0</v>
      </c>
      <c r="AU4225" s="2">
        <v>0</v>
      </c>
      <c r="AV4225" s="2">
        <v>0</v>
      </c>
      <c r="AW4225" s="2">
        <v>0</v>
      </c>
      <c r="AX4225" s="2">
        <v>0</v>
      </c>
      <c r="AY4225" s="2">
        <v>0</v>
      </c>
      <c r="AZ4225" s="2">
        <v>0</v>
      </c>
      <c r="BA4225" s="2">
        <v>0</v>
      </c>
      <c r="BB4225" s="2">
        <v>0</v>
      </c>
      <c r="BC4225" s="2">
        <v>0</v>
      </c>
      <c r="BD4225" s="2">
        <v>0</v>
      </c>
      <c r="BE4225" s="2">
        <v>0</v>
      </c>
      <c r="BF4225" s="2">
        <v>0</v>
      </c>
      <c r="BG4225" s="2">
        <v>0</v>
      </c>
      <c r="BH4225" s="2">
        <v>1</v>
      </c>
      <c r="BI4225" s="2">
        <v>1</v>
      </c>
      <c r="BJ4225" s="2">
        <v>0.2</v>
      </c>
      <c r="BK4225" s="2">
        <v>1</v>
      </c>
      <c r="BL4225" s="2">
        <v>32.380000000000003</v>
      </c>
      <c r="BM4225" s="2">
        <v>4.53</v>
      </c>
      <c r="BN4225" s="2">
        <v>36.909999999999997</v>
      </c>
      <c r="BO4225" s="2">
        <v>36.909999999999997</v>
      </c>
      <c r="BP4225" s="2"/>
      <c r="BQ4225" s="2" t="s">
        <v>83</v>
      </c>
      <c r="BR4225" s="2" t="s">
        <v>84</v>
      </c>
      <c r="BS4225" s="3">
        <v>42950</v>
      </c>
      <c r="BT4225" s="4">
        <v>0.36041666666666666</v>
      </c>
      <c r="BU4225" s="2" t="s">
        <v>2624</v>
      </c>
      <c r="BV4225" s="2" t="s">
        <v>95</v>
      </c>
      <c r="BW4225" s="2"/>
      <c r="BX4225" s="2"/>
      <c r="BY4225" s="2">
        <v>1200</v>
      </c>
      <c r="BZ4225" s="2" t="s">
        <v>27</v>
      </c>
      <c r="CA4225" s="2" t="s">
        <v>729</v>
      </c>
      <c r="CB4225" s="2"/>
      <c r="CC4225" s="2" t="s">
        <v>145</v>
      </c>
      <c r="CD4225" s="2">
        <v>2094</v>
      </c>
      <c r="CE4225" s="2" t="s">
        <v>104</v>
      </c>
      <c r="CF4225" s="5">
        <v>42951</v>
      </c>
      <c r="CG4225" s="2"/>
      <c r="CH4225" s="2"/>
      <c r="CI4225" s="2">
        <v>1</v>
      </c>
      <c r="CJ4225" s="2">
        <v>1</v>
      </c>
      <c r="CK4225" s="2">
        <v>22</v>
      </c>
      <c r="CL4225" s="2" t="s">
        <v>86</v>
      </c>
      <c r="CM4225" s="2"/>
    </row>
    <row r="4226" spans="1:91">
      <c r="A4226" s="2" t="s">
        <v>71</v>
      </c>
      <c r="B4226" s="2" t="s">
        <v>72</v>
      </c>
      <c r="C4226" s="2" t="s">
        <v>73</v>
      </c>
      <c r="D4226" s="2"/>
      <c r="E4226" s="2" t="str">
        <f>"FES1162566408"</f>
        <v>FES1162566408</v>
      </c>
      <c r="F4226" s="3">
        <v>42949</v>
      </c>
      <c r="G4226" s="2">
        <v>201802</v>
      </c>
      <c r="H4226" s="2" t="s">
        <v>74</v>
      </c>
      <c r="I4226" s="2" t="s">
        <v>75</v>
      </c>
      <c r="J4226" s="2" t="s">
        <v>76</v>
      </c>
      <c r="K4226" s="2" t="s">
        <v>77</v>
      </c>
      <c r="L4226" s="2" t="s">
        <v>105</v>
      </c>
      <c r="M4226" s="2" t="s">
        <v>106</v>
      </c>
      <c r="N4226" s="2" t="s">
        <v>649</v>
      </c>
      <c r="O4226" s="2" t="s">
        <v>100</v>
      </c>
      <c r="P4226" s="2" t="str">
        <f>"2170582756                    "</f>
        <v xml:space="preserve">2170582756                    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4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0</v>
      </c>
      <c r="AU4226" s="2">
        <v>0</v>
      </c>
      <c r="AV4226" s="2">
        <v>0</v>
      </c>
      <c r="AW4226" s="2">
        <v>0</v>
      </c>
      <c r="AX4226" s="2">
        <v>0</v>
      </c>
      <c r="AY4226" s="2">
        <v>0</v>
      </c>
      <c r="AZ4226" s="2">
        <v>0</v>
      </c>
      <c r="BA4226" s="2">
        <v>0</v>
      </c>
      <c r="BB4226" s="2">
        <v>0</v>
      </c>
      <c r="BC4226" s="2">
        <v>0</v>
      </c>
      <c r="BD4226" s="2">
        <v>0</v>
      </c>
      <c r="BE4226" s="2">
        <v>0</v>
      </c>
      <c r="BF4226" s="2">
        <v>0</v>
      </c>
      <c r="BG4226" s="2">
        <v>0</v>
      </c>
      <c r="BH4226" s="2">
        <v>1</v>
      </c>
      <c r="BI4226" s="2">
        <v>1</v>
      </c>
      <c r="BJ4226" s="2">
        <v>0.2</v>
      </c>
      <c r="BK4226" s="2">
        <v>1</v>
      </c>
      <c r="BL4226" s="2">
        <v>41.44</v>
      </c>
      <c r="BM4226" s="2">
        <v>5.8</v>
      </c>
      <c r="BN4226" s="2">
        <v>47.24</v>
      </c>
      <c r="BO4226" s="2">
        <v>47.24</v>
      </c>
      <c r="BP4226" s="2"/>
      <c r="BQ4226" s="2" t="s">
        <v>83</v>
      </c>
      <c r="BR4226" s="2" t="s">
        <v>84</v>
      </c>
      <c r="BS4226" s="3">
        <v>42950</v>
      </c>
      <c r="BT4226" s="4">
        <v>0.41666666666666669</v>
      </c>
      <c r="BU4226" s="2" t="s">
        <v>3916</v>
      </c>
      <c r="BV4226" s="2" t="s">
        <v>95</v>
      </c>
      <c r="BW4226" s="2"/>
      <c r="BX4226" s="2"/>
      <c r="BY4226" s="2">
        <v>1200</v>
      </c>
      <c r="BZ4226" s="2" t="s">
        <v>27</v>
      </c>
      <c r="CA4226" s="2"/>
      <c r="CB4226" s="2"/>
      <c r="CC4226" s="2" t="s">
        <v>106</v>
      </c>
      <c r="CD4226" s="2">
        <v>7800</v>
      </c>
      <c r="CE4226" s="2" t="s">
        <v>104</v>
      </c>
      <c r="CF4226" s="5">
        <v>42951</v>
      </c>
      <c r="CG4226" s="2"/>
      <c r="CH4226" s="2"/>
      <c r="CI4226" s="2">
        <v>1</v>
      </c>
      <c r="CJ4226" s="2">
        <v>1</v>
      </c>
      <c r="CK4226" s="2">
        <v>21</v>
      </c>
      <c r="CL4226" s="2" t="s">
        <v>86</v>
      </c>
      <c r="CM4226" s="2"/>
    </row>
    <row r="4227" spans="1:91">
      <c r="A4227" s="2" t="s">
        <v>71</v>
      </c>
      <c r="B4227" s="2" t="s">
        <v>72</v>
      </c>
      <c r="C4227" s="2" t="s">
        <v>73</v>
      </c>
      <c r="D4227" s="2"/>
      <c r="E4227" s="2" t="str">
        <f>"FES1162566236"</f>
        <v>FES1162566236</v>
      </c>
      <c r="F4227" s="3">
        <v>42949</v>
      </c>
      <c r="G4227" s="2">
        <v>201802</v>
      </c>
      <c r="H4227" s="2" t="s">
        <v>74</v>
      </c>
      <c r="I4227" s="2" t="s">
        <v>75</v>
      </c>
      <c r="J4227" s="2" t="s">
        <v>76</v>
      </c>
      <c r="K4227" s="2" t="s">
        <v>77</v>
      </c>
      <c r="L4227" s="2" t="s">
        <v>237</v>
      </c>
      <c r="M4227" s="2" t="s">
        <v>238</v>
      </c>
      <c r="N4227" s="2" t="s">
        <v>1766</v>
      </c>
      <c r="O4227" s="2" t="s">
        <v>100</v>
      </c>
      <c r="P4227" s="2" t="str">
        <f>"2170582422                    "</f>
        <v xml:space="preserve">2170582422                    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4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0</v>
      </c>
      <c r="AU4227" s="2">
        <v>0</v>
      </c>
      <c r="AV4227" s="2">
        <v>0</v>
      </c>
      <c r="AW4227" s="2">
        <v>0</v>
      </c>
      <c r="AX4227" s="2">
        <v>0</v>
      </c>
      <c r="AY4227" s="2">
        <v>0</v>
      </c>
      <c r="AZ4227" s="2">
        <v>0</v>
      </c>
      <c r="BA4227" s="2">
        <v>0</v>
      </c>
      <c r="BB4227" s="2">
        <v>0</v>
      </c>
      <c r="BC4227" s="2">
        <v>0</v>
      </c>
      <c r="BD4227" s="2">
        <v>0</v>
      </c>
      <c r="BE4227" s="2">
        <v>0</v>
      </c>
      <c r="BF4227" s="2">
        <v>0</v>
      </c>
      <c r="BG4227" s="2">
        <v>0</v>
      </c>
      <c r="BH4227" s="2">
        <v>1</v>
      </c>
      <c r="BI4227" s="2">
        <v>1</v>
      </c>
      <c r="BJ4227" s="2">
        <v>0.2</v>
      </c>
      <c r="BK4227" s="2">
        <v>1</v>
      </c>
      <c r="BL4227" s="2">
        <v>41.44</v>
      </c>
      <c r="BM4227" s="2">
        <v>5.8</v>
      </c>
      <c r="BN4227" s="2">
        <v>47.24</v>
      </c>
      <c r="BO4227" s="2">
        <v>47.24</v>
      </c>
      <c r="BP4227" s="2"/>
      <c r="BQ4227" s="2" t="s">
        <v>108</v>
      </c>
      <c r="BR4227" s="2" t="s">
        <v>84</v>
      </c>
      <c r="BS4227" s="3">
        <v>42950</v>
      </c>
      <c r="BT4227" s="4">
        <v>0.41666666666666669</v>
      </c>
      <c r="BU4227" s="2" t="s">
        <v>428</v>
      </c>
      <c r="BV4227" s="2" t="s">
        <v>95</v>
      </c>
      <c r="BW4227" s="2"/>
      <c r="BX4227" s="2"/>
      <c r="BY4227" s="2">
        <v>1200</v>
      </c>
      <c r="BZ4227" s="2" t="s">
        <v>27</v>
      </c>
      <c r="CA4227" s="2" t="s">
        <v>401</v>
      </c>
      <c r="CB4227" s="2"/>
      <c r="CC4227" s="2" t="s">
        <v>238</v>
      </c>
      <c r="CD4227" s="2">
        <v>3620</v>
      </c>
      <c r="CE4227" s="2" t="s">
        <v>104</v>
      </c>
      <c r="CF4227" s="5">
        <v>42951</v>
      </c>
      <c r="CG4227" s="2"/>
      <c r="CH4227" s="2"/>
      <c r="CI4227" s="2">
        <v>1</v>
      </c>
      <c r="CJ4227" s="2">
        <v>1</v>
      </c>
      <c r="CK4227" s="2">
        <v>21</v>
      </c>
      <c r="CL4227" s="2" t="s">
        <v>86</v>
      </c>
      <c r="CM4227" s="2"/>
    </row>
    <row r="4228" spans="1:91">
      <c r="A4228" s="2" t="s">
        <v>71</v>
      </c>
      <c r="B4228" s="2" t="s">
        <v>72</v>
      </c>
      <c r="C4228" s="2" t="s">
        <v>73</v>
      </c>
      <c r="D4228" s="2"/>
      <c r="E4228" s="2" t="str">
        <f>"FES1162566230"</f>
        <v>FES1162566230</v>
      </c>
      <c r="F4228" s="3">
        <v>42949</v>
      </c>
      <c r="G4228" s="2">
        <v>201802</v>
      </c>
      <c r="H4228" s="2" t="s">
        <v>74</v>
      </c>
      <c r="I4228" s="2" t="s">
        <v>75</v>
      </c>
      <c r="J4228" s="2" t="s">
        <v>76</v>
      </c>
      <c r="K4228" s="2" t="s">
        <v>77</v>
      </c>
      <c r="L4228" s="2" t="s">
        <v>510</v>
      </c>
      <c r="M4228" s="2" t="s">
        <v>511</v>
      </c>
      <c r="N4228" s="2" t="s">
        <v>583</v>
      </c>
      <c r="O4228" s="2" t="s">
        <v>100</v>
      </c>
      <c r="P4228" s="2" t="str">
        <f>"2170582349                    "</f>
        <v xml:space="preserve">2170582349                    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4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0</v>
      </c>
      <c r="AU4228" s="2">
        <v>0</v>
      </c>
      <c r="AV4228" s="2">
        <v>0</v>
      </c>
      <c r="AW4228" s="2">
        <v>0</v>
      </c>
      <c r="AX4228" s="2">
        <v>0</v>
      </c>
      <c r="AY4228" s="2">
        <v>0</v>
      </c>
      <c r="AZ4228" s="2">
        <v>0</v>
      </c>
      <c r="BA4228" s="2">
        <v>0</v>
      </c>
      <c r="BB4228" s="2">
        <v>0</v>
      </c>
      <c r="BC4228" s="2">
        <v>0</v>
      </c>
      <c r="BD4228" s="2">
        <v>0</v>
      </c>
      <c r="BE4228" s="2">
        <v>0</v>
      </c>
      <c r="BF4228" s="2">
        <v>0</v>
      </c>
      <c r="BG4228" s="2">
        <v>0</v>
      </c>
      <c r="BH4228" s="2">
        <v>1</v>
      </c>
      <c r="BI4228" s="2">
        <v>1</v>
      </c>
      <c r="BJ4228" s="2">
        <v>0.2</v>
      </c>
      <c r="BK4228" s="2">
        <v>1</v>
      </c>
      <c r="BL4228" s="2">
        <v>41.44</v>
      </c>
      <c r="BM4228" s="2">
        <v>5.8</v>
      </c>
      <c r="BN4228" s="2">
        <v>47.24</v>
      </c>
      <c r="BO4228" s="2">
        <v>47.24</v>
      </c>
      <c r="BP4228" s="2"/>
      <c r="BQ4228" s="2" t="s">
        <v>1505</v>
      </c>
      <c r="BR4228" s="2" t="s">
        <v>84</v>
      </c>
      <c r="BS4228" s="3">
        <v>42950</v>
      </c>
      <c r="BT4228" s="4">
        <v>0.32361111111111113</v>
      </c>
      <c r="BU4228" s="2" t="s">
        <v>584</v>
      </c>
      <c r="BV4228" s="2" t="s">
        <v>95</v>
      </c>
      <c r="BW4228" s="2"/>
      <c r="BX4228" s="2"/>
      <c r="BY4228" s="2">
        <v>1200</v>
      </c>
      <c r="BZ4228" s="2" t="s">
        <v>27</v>
      </c>
      <c r="CA4228" s="2" t="s">
        <v>514</v>
      </c>
      <c r="CB4228" s="2"/>
      <c r="CC4228" s="2" t="s">
        <v>511</v>
      </c>
      <c r="CD4228" s="2">
        <v>6229</v>
      </c>
      <c r="CE4228" s="2" t="s">
        <v>104</v>
      </c>
      <c r="CF4228" s="5">
        <v>42951</v>
      </c>
      <c r="CG4228" s="2"/>
      <c r="CH4228" s="2"/>
      <c r="CI4228" s="2">
        <v>1</v>
      </c>
      <c r="CJ4228" s="2">
        <v>1</v>
      </c>
      <c r="CK4228" s="2">
        <v>21</v>
      </c>
      <c r="CL4228" s="2" t="s">
        <v>86</v>
      </c>
      <c r="CM4228" s="2"/>
    </row>
    <row r="4229" spans="1:91">
      <c r="A4229" s="2" t="s">
        <v>71</v>
      </c>
      <c r="B4229" s="2" t="s">
        <v>72</v>
      </c>
      <c r="C4229" s="2" t="s">
        <v>73</v>
      </c>
      <c r="D4229" s="2"/>
      <c r="E4229" s="2" t="str">
        <f>"FES1162566488"</f>
        <v>FES1162566488</v>
      </c>
      <c r="F4229" s="3">
        <v>42949</v>
      </c>
      <c r="G4229" s="2">
        <v>201802</v>
      </c>
      <c r="H4229" s="2" t="s">
        <v>74</v>
      </c>
      <c r="I4229" s="2" t="s">
        <v>75</v>
      </c>
      <c r="J4229" s="2" t="s">
        <v>76</v>
      </c>
      <c r="K4229" s="2" t="s">
        <v>77</v>
      </c>
      <c r="L4229" s="2" t="s">
        <v>97</v>
      </c>
      <c r="M4229" s="2" t="s">
        <v>98</v>
      </c>
      <c r="N4229" s="2" t="s">
        <v>822</v>
      </c>
      <c r="O4229" s="2" t="s">
        <v>100</v>
      </c>
      <c r="P4229" s="2" t="str">
        <f>"2170582845                    "</f>
        <v xml:space="preserve">2170582845                    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4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0</v>
      </c>
      <c r="AU4229" s="2">
        <v>0</v>
      </c>
      <c r="AV4229" s="2">
        <v>0</v>
      </c>
      <c r="AW4229" s="2">
        <v>0</v>
      </c>
      <c r="AX4229" s="2">
        <v>0</v>
      </c>
      <c r="AY4229" s="2">
        <v>0</v>
      </c>
      <c r="AZ4229" s="2">
        <v>0</v>
      </c>
      <c r="BA4229" s="2">
        <v>0</v>
      </c>
      <c r="BB4229" s="2">
        <v>0</v>
      </c>
      <c r="BC4229" s="2">
        <v>0</v>
      </c>
      <c r="BD4229" s="2">
        <v>0</v>
      </c>
      <c r="BE4229" s="2">
        <v>0</v>
      </c>
      <c r="BF4229" s="2">
        <v>0</v>
      </c>
      <c r="BG4229" s="2">
        <v>0</v>
      </c>
      <c r="BH4229" s="2">
        <v>1</v>
      </c>
      <c r="BI4229" s="2">
        <v>1</v>
      </c>
      <c r="BJ4229" s="2">
        <v>0.2</v>
      </c>
      <c r="BK4229" s="2">
        <v>1</v>
      </c>
      <c r="BL4229" s="2">
        <v>41.44</v>
      </c>
      <c r="BM4229" s="2">
        <v>5.8</v>
      </c>
      <c r="BN4229" s="2">
        <v>47.24</v>
      </c>
      <c r="BO4229" s="2">
        <v>47.24</v>
      </c>
      <c r="BP4229" s="2"/>
      <c r="BQ4229" s="2" t="s">
        <v>83</v>
      </c>
      <c r="BR4229" s="2" t="s">
        <v>84</v>
      </c>
      <c r="BS4229" s="3">
        <v>42950</v>
      </c>
      <c r="BT4229" s="4">
        <v>0.3298611111111111</v>
      </c>
      <c r="BU4229" s="2" t="s">
        <v>1081</v>
      </c>
      <c r="BV4229" s="2" t="s">
        <v>95</v>
      </c>
      <c r="BW4229" s="2"/>
      <c r="BX4229" s="2"/>
      <c r="BY4229" s="2">
        <v>1200</v>
      </c>
      <c r="BZ4229" s="2" t="s">
        <v>27</v>
      </c>
      <c r="CA4229" s="2" t="s">
        <v>294</v>
      </c>
      <c r="CB4229" s="2"/>
      <c r="CC4229" s="2" t="s">
        <v>98</v>
      </c>
      <c r="CD4229" s="2">
        <v>6001</v>
      </c>
      <c r="CE4229" s="2" t="s">
        <v>104</v>
      </c>
      <c r="CF4229" s="5">
        <v>42951</v>
      </c>
      <c r="CG4229" s="2"/>
      <c r="CH4229" s="2"/>
      <c r="CI4229" s="2">
        <v>1</v>
      </c>
      <c r="CJ4229" s="2">
        <v>1</v>
      </c>
      <c r="CK4229" s="2">
        <v>21</v>
      </c>
      <c r="CL4229" s="2" t="s">
        <v>86</v>
      </c>
      <c r="CM4229" s="2"/>
    </row>
    <row r="4230" spans="1:91">
      <c r="A4230" s="2" t="s">
        <v>71</v>
      </c>
      <c r="B4230" s="2" t="s">
        <v>72</v>
      </c>
      <c r="C4230" s="2" t="s">
        <v>73</v>
      </c>
      <c r="D4230" s="2"/>
      <c r="E4230" s="2" t="str">
        <f>"FES1162566247"</f>
        <v>FES1162566247</v>
      </c>
      <c r="F4230" s="3">
        <v>42949</v>
      </c>
      <c r="G4230" s="2">
        <v>201802</v>
      </c>
      <c r="H4230" s="2" t="s">
        <v>74</v>
      </c>
      <c r="I4230" s="2" t="s">
        <v>75</v>
      </c>
      <c r="J4230" s="2" t="s">
        <v>76</v>
      </c>
      <c r="K4230" s="2" t="s">
        <v>77</v>
      </c>
      <c r="L4230" s="2" t="s">
        <v>174</v>
      </c>
      <c r="M4230" s="2" t="s">
        <v>175</v>
      </c>
      <c r="N4230" s="2" t="s">
        <v>1696</v>
      </c>
      <c r="O4230" s="2" t="s">
        <v>100</v>
      </c>
      <c r="P4230" s="2" t="str">
        <f>"2170582603                    "</f>
        <v xml:space="preserve">2170582603                    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4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0</v>
      </c>
      <c r="AU4230" s="2">
        <v>0</v>
      </c>
      <c r="AV4230" s="2">
        <v>0</v>
      </c>
      <c r="AW4230" s="2">
        <v>0</v>
      </c>
      <c r="AX4230" s="2">
        <v>0</v>
      </c>
      <c r="AY4230" s="2">
        <v>0</v>
      </c>
      <c r="AZ4230" s="2">
        <v>0</v>
      </c>
      <c r="BA4230" s="2">
        <v>0</v>
      </c>
      <c r="BB4230" s="2">
        <v>0</v>
      </c>
      <c r="BC4230" s="2">
        <v>0</v>
      </c>
      <c r="BD4230" s="2">
        <v>0</v>
      </c>
      <c r="BE4230" s="2">
        <v>0</v>
      </c>
      <c r="BF4230" s="2">
        <v>0</v>
      </c>
      <c r="BG4230" s="2">
        <v>0</v>
      </c>
      <c r="BH4230" s="2">
        <v>1</v>
      </c>
      <c r="BI4230" s="2">
        <v>1</v>
      </c>
      <c r="BJ4230" s="2">
        <v>0.2</v>
      </c>
      <c r="BK4230" s="2">
        <v>1</v>
      </c>
      <c r="BL4230" s="2">
        <v>41.44</v>
      </c>
      <c r="BM4230" s="2">
        <v>5.8</v>
      </c>
      <c r="BN4230" s="2">
        <v>47.24</v>
      </c>
      <c r="BO4230" s="2">
        <v>47.24</v>
      </c>
      <c r="BP4230" s="2"/>
      <c r="BQ4230" s="2" t="s">
        <v>83</v>
      </c>
      <c r="BR4230" s="2" t="s">
        <v>84</v>
      </c>
      <c r="BS4230" s="3">
        <v>42950</v>
      </c>
      <c r="BT4230" s="4">
        <v>0.38194444444444442</v>
      </c>
      <c r="BU4230" s="2" t="s">
        <v>1697</v>
      </c>
      <c r="BV4230" s="2" t="s">
        <v>95</v>
      </c>
      <c r="BW4230" s="2"/>
      <c r="BX4230" s="2"/>
      <c r="BY4230" s="2">
        <v>1200</v>
      </c>
      <c r="BZ4230" s="2" t="s">
        <v>27</v>
      </c>
      <c r="CA4230" s="2" t="s">
        <v>1698</v>
      </c>
      <c r="CB4230" s="2"/>
      <c r="CC4230" s="2" t="s">
        <v>175</v>
      </c>
      <c r="CD4230" s="2">
        <v>5201</v>
      </c>
      <c r="CE4230" s="2" t="s">
        <v>104</v>
      </c>
      <c r="CF4230" s="5">
        <v>42954</v>
      </c>
      <c r="CG4230" s="2"/>
      <c r="CH4230" s="2"/>
      <c r="CI4230" s="2">
        <v>1</v>
      </c>
      <c r="CJ4230" s="2">
        <v>1</v>
      </c>
      <c r="CK4230" s="2">
        <v>21</v>
      </c>
      <c r="CL4230" s="2" t="s">
        <v>86</v>
      </c>
      <c r="CM4230" s="2"/>
    </row>
    <row r="4231" spans="1:91">
      <c r="A4231" s="2" t="s">
        <v>71</v>
      </c>
      <c r="B4231" s="2" t="s">
        <v>72</v>
      </c>
      <c r="C4231" s="2" t="s">
        <v>73</v>
      </c>
      <c r="D4231" s="2"/>
      <c r="E4231" s="2" t="str">
        <f>"FES1162566264"</f>
        <v>FES1162566264</v>
      </c>
      <c r="F4231" s="3">
        <v>42949</v>
      </c>
      <c r="G4231" s="2">
        <v>201802</v>
      </c>
      <c r="H4231" s="2" t="s">
        <v>74</v>
      </c>
      <c r="I4231" s="2" t="s">
        <v>75</v>
      </c>
      <c r="J4231" s="2" t="s">
        <v>76</v>
      </c>
      <c r="K4231" s="2" t="s">
        <v>77</v>
      </c>
      <c r="L4231" s="2" t="s">
        <v>105</v>
      </c>
      <c r="M4231" s="2" t="s">
        <v>106</v>
      </c>
      <c r="N4231" s="2" t="s">
        <v>3917</v>
      </c>
      <c r="O4231" s="2" t="s">
        <v>100</v>
      </c>
      <c r="P4231" s="2" t="str">
        <f>"2170582693                    "</f>
        <v xml:space="preserve">2170582693                    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4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0</v>
      </c>
      <c r="AU4231" s="2">
        <v>0</v>
      </c>
      <c r="AV4231" s="2">
        <v>0</v>
      </c>
      <c r="AW4231" s="2">
        <v>0</v>
      </c>
      <c r="AX4231" s="2">
        <v>0</v>
      </c>
      <c r="AY4231" s="2">
        <v>0</v>
      </c>
      <c r="AZ4231" s="2">
        <v>0</v>
      </c>
      <c r="BA4231" s="2">
        <v>0</v>
      </c>
      <c r="BB4231" s="2">
        <v>0</v>
      </c>
      <c r="BC4231" s="2">
        <v>0</v>
      </c>
      <c r="BD4231" s="2">
        <v>0</v>
      </c>
      <c r="BE4231" s="2">
        <v>0</v>
      </c>
      <c r="BF4231" s="2">
        <v>0</v>
      </c>
      <c r="BG4231" s="2">
        <v>0</v>
      </c>
      <c r="BH4231" s="2">
        <v>1</v>
      </c>
      <c r="BI4231" s="2">
        <v>1</v>
      </c>
      <c r="BJ4231" s="2">
        <v>0.2</v>
      </c>
      <c r="BK4231" s="2">
        <v>1</v>
      </c>
      <c r="BL4231" s="2">
        <v>41.44</v>
      </c>
      <c r="BM4231" s="2">
        <v>5.8</v>
      </c>
      <c r="BN4231" s="2">
        <v>47.24</v>
      </c>
      <c r="BO4231" s="2">
        <v>47.24</v>
      </c>
      <c r="BP4231" s="2"/>
      <c r="BQ4231" s="2" t="s">
        <v>83</v>
      </c>
      <c r="BR4231" s="2" t="s">
        <v>84</v>
      </c>
      <c r="BS4231" s="3">
        <v>42950</v>
      </c>
      <c r="BT4231" s="4">
        <v>0.4368055555555555</v>
      </c>
      <c r="BU4231" s="2" t="s">
        <v>3918</v>
      </c>
      <c r="BV4231" s="2" t="s">
        <v>95</v>
      </c>
      <c r="BW4231" s="2"/>
      <c r="BX4231" s="2"/>
      <c r="BY4231" s="2">
        <v>1200</v>
      </c>
      <c r="BZ4231" s="2" t="s">
        <v>27</v>
      </c>
      <c r="CA4231" s="2"/>
      <c r="CB4231" s="2"/>
      <c r="CC4231" s="2" t="s">
        <v>106</v>
      </c>
      <c r="CD4231" s="2">
        <v>7560</v>
      </c>
      <c r="CE4231" s="2" t="s">
        <v>104</v>
      </c>
      <c r="CF4231" s="5">
        <v>42951</v>
      </c>
      <c r="CG4231" s="2"/>
      <c r="CH4231" s="2"/>
      <c r="CI4231" s="2">
        <v>1</v>
      </c>
      <c r="CJ4231" s="2">
        <v>1</v>
      </c>
      <c r="CK4231" s="2">
        <v>21</v>
      </c>
      <c r="CL4231" s="2" t="s">
        <v>86</v>
      </c>
      <c r="CM4231" s="2"/>
    </row>
    <row r="4232" spans="1:91">
      <c r="A4232" s="2" t="s">
        <v>71</v>
      </c>
      <c r="B4232" s="2" t="s">
        <v>72</v>
      </c>
      <c r="C4232" s="2" t="s">
        <v>73</v>
      </c>
      <c r="D4232" s="2"/>
      <c r="E4232" s="2" t="str">
        <f>"FES1162566131"</f>
        <v>FES1162566131</v>
      </c>
      <c r="F4232" s="3">
        <v>42949</v>
      </c>
      <c r="G4232" s="2">
        <v>201802</v>
      </c>
      <c r="H4232" s="2" t="s">
        <v>74</v>
      </c>
      <c r="I4232" s="2" t="s">
        <v>75</v>
      </c>
      <c r="J4232" s="2" t="s">
        <v>76</v>
      </c>
      <c r="K4232" s="2" t="s">
        <v>77</v>
      </c>
      <c r="L4232" s="2" t="s">
        <v>105</v>
      </c>
      <c r="M4232" s="2" t="s">
        <v>106</v>
      </c>
      <c r="N4232" s="2" t="s">
        <v>893</v>
      </c>
      <c r="O4232" s="2" t="s">
        <v>100</v>
      </c>
      <c r="P4232" s="2" t="str">
        <f>"2170587424                    "</f>
        <v xml:space="preserve">2170587424                    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4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0</v>
      </c>
      <c r="AU4232" s="2">
        <v>0</v>
      </c>
      <c r="AV4232" s="2">
        <v>0</v>
      </c>
      <c r="AW4232" s="2">
        <v>0</v>
      </c>
      <c r="AX4232" s="2">
        <v>0</v>
      </c>
      <c r="AY4232" s="2">
        <v>0</v>
      </c>
      <c r="AZ4232" s="2">
        <v>0</v>
      </c>
      <c r="BA4232" s="2">
        <v>0</v>
      </c>
      <c r="BB4232" s="2">
        <v>0</v>
      </c>
      <c r="BC4232" s="2">
        <v>0</v>
      </c>
      <c r="BD4232" s="2">
        <v>0</v>
      </c>
      <c r="BE4232" s="2">
        <v>0</v>
      </c>
      <c r="BF4232" s="2">
        <v>0</v>
      </c>
      <c r="BG4232" s="2">
        <v>0</v>
      </c>
      <c r="BH4232" s="2">
        <v>1</v>
      </c>
      <c r="BI4232" s="2">
        <v>1</v>
      </c>
      <c r="BJ4232" s="2">
        <v>0.2</v>
      </c>
      <c r="BK4232" s="2">
        <v>1</v>
      </c>
      <c r="BL4232" s="2">
        <v>41.44</v>
      </c>
      <c r="BM4232" s="2">
        <v>5.8</v>
      </c>
      <c r="BN4232" s="2">
        <v>47.24</v>
      </c>
      <c r="BO4232" s="2">
        <v>47.24</v>
      </c>
      <c r="BP4232" s="2"/>
      <c r="BQ4232" s="2" t="s">
        <v>3883</v>
      </c>
      <c r="BR4232" s="2" t="s">
        <v>84</v>
      </c>
      <c r="BS4232" s="3">
        <v>42950</v>
      </c>
      <c r="BT4232" s="4">
        <v>0.33749999999999997</v>
      </c>
      <c r="BU4232" s="2" t="s">
        <v>2619</v>
      </c>
      <c r="BV4232" s="2" t="s">
        <v>95</v>
      </c>
      <c r="BW4232" s="2"/>
      <c r="BX4232" s="2"/>
      <c r="BY4232" s="2">
        <v>1200</v>
      </c>
      <c r="BZ4232" s="2" t="s">
        <v>27</v>
      </c>
      <c r="CA4232" s="2" t="s">
        <v>869</v>
      </c>
      <c r="CB4232" s="2"/>
      <c r="CC4232" s="2" t="s">
        <v>106</v>
      </c>
      <c r="CD4232" s="2">
        <v>7460</v>
      </c>
      <c r="CE4232" s="2" t="s">
        <v>104</v>
      </c>
      <c r="CF4232" s="5">
        <v>42951</v>
      </c>
      <c r="CG4232" s="2"/>
      <c r="CH4232" s="2"/>
      <c r="CI4232" s="2">
        <v>1</v>
      </c>
      <c r="CJ4232" s="2">
        <v>1</v>
      </c>
      <c r="CK4232" s="2">
        <v>21</v>
      </c>
      <c r="CL4232" s="2" t="s">
        <v>86</v>
      </c>
      <c r="CM4232" s="2"/>
    </row>
    <row r="4233" spans="1:91">
      <c r="A4233" s="2" t="s">
        <v>71</v>
      </c>
      <c r="B4233" s="2" t="s">
        <v>72</v>
      </c>
      <c r="C4233" s="2" t="s">
        <v>73</v>
      </c>
      <c r="D4233" s="2"/>
      <c r="E4233" s="2" t="str">
        <f>"FES1162566385"</f>
        <v>FES1162566385</v>
      </c>
      <c r="F4233" s="3">
        <v>42949</v>
      </c>
      <c r="G4233" s="2">
        <v>201802</v>
      </c>
      <c r="H4233" s="2" t="s">
        <v>74</v>
      </c>
      <c r="I4233" s="2" t="s">
        <v>75</v>
      </c>
      <c r="J4233" s="2" t="s">
        <v>76</v>
      </c>
      <c r="K4233" s="2" t="s">
        <v>77</v>
      </c>
      <c r="L4233" s="2" t="s">
        <v>105</v>
      </c>
      <c r="M4233" s="2" t="s">
        <v>106</v>
      </c>
      <c r="N4233" s="2" t="s">
        <v>107</v>
      </c>
      <c r="O4233" s="2" t="s">
        <v>100</v>
      </c>
      <c r="P4233" s="2" t="str">
        <f>"2170580589                    "</f>
        <v xml:space="preserve">2170580589                    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4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0</v>
      </c>
      <c r="AU4233" s="2">
        <v>0</v>
      </c>
      <c r="AV4233" s="2">
        <v>0</v>
      </c>
      <c r="AW4233" s="2">
        <v>0</v>
      </c>
      <c r="AX4233" s="2">
        <v>0</v>
      </c>
      <c r="AY4233" s="2">
        <v>0</v>
      </c>
      <c r="AZ4233" s="2">
        <v>0</v>
      </c>
      <c r="BA4233" s="2">
        <v>0</v>
      </c>
      <c r="BB4233" s="2">
        <v>0</v>
      </c>
      <c r="BC4233" s="2">
        <v>0</v>
      </c>
      <c r="BD4233" s="2">
        <v>0</v>
      </c>
      <c r="BE4233" s="2">
        <v>0</v>
      </c>
      <c r="BF4233" s="2">
        <v>0</v>
      </c>
      <c r="BG4233" s="2">
        <v>0</v>
      </c>
      <c r="BH4233" s="2">
        <v>1</v>
      </c>
      <c r="BI4233" s="2">
        <v>1</v>
      </c>
      <c r="BJ4233" s="2">
        <v>0.2</v>
      </c>
      <c r="BK4233" s="2">
        <v>1</v>
      </c>
      <c r="BL4233" s="2">
        <v>41.44</v>
      </c>
      <c r="BM4233" s="2">
        <v>5.8</v>
      </c>
      <c r="BN4233" s="2">
        <v>47.24</v>
      </c>
      <c r="BO4233" s="2">
        <v>47.24</v>
      </c>
      <c r="BP4233" s="2"/>
      <c r="BQ4233" s="2" t="s">
        <v>108</v>
      </c>
      <c r="BR4233" s="2" t="s">
        <v>84</v>
      </c>
      <c r="BS4233" s="3">
        <v>42950</v>
      </c>
      <c r="BT4233" s="4">
        <v>0.40625</v>
      </c>
      <c r="BU4233" s="2" t="s">
        <v>1503</v>
      </c>
      <c r="BV4233" s="2" t="s">
        <v>95</v>
      </c>
      <c r="BW4233" s="2"/>
      <c r="BX4233" s="2"/>
      <c r="BY4233" s="2">
        <v>1200</v>
      </c>
      <c r="BZ4233" s="2" t="s">
        <v>27</v>
      </c>
      <c r="CA4233" s="2" t="s">
        <v>112</v>
      </c>
      <c r="CB4233" s="2"/>
      <c r="CC4233" s="2" t="s">
        <v>106</v>
      </c>
      <c r="CD4233" s="2">
        <v>7405</v>
      </c>
      <c r="CE4233" s="2" t="s">
        <v>104</v>
      </c>
      <c r="CF4233" s="5">
        <v>42950</v>
      </c>
      <c r="CG4233" s="2"/>
      <c r="CH4233" s="2"/>
      <c r="CI4233" s="2">
        <v>1</v>
      </c>
      <c r="CJ4233" s="2">
        <v>1</v>
      </c>
      <c r="CK4233" s="2">
        <v>21</v>
      </c>
      <c r="CL4233" s="2" t="s">
        <v>86</v>
      </c>
      <c r="CM4233" s="2"/>
    </row>
    <row r="4234" spans="1:91">
      <c r="A4234" s="2" t="s">
        <v>71</v>
      </c>
      <c r="B4234" s="2" t="s">
        <v>72</v>
      </c>
      <c r="C4234" s="2" t="s">
        <v>73</v>
      </c>
      <c r="D4234" s="2"/>
      <c r="E4234" s="2" t="str">
        <f>"FES1162566132"</f>
        <v>FES1162566132</v>
      </c>
      <c r="F4234" s="3">
        <v>42949</v>
      </c>
      <c r="G4234" s="2">
        <v>201802</v>
      </c>
      <c r="H4234" s="2" t="s">
        <v>74</v>
      </c>
      <c r="I4234" s="2" t="s">
        <v>75</v>
      </c>
      <c r="J4234" s="2" t="s">
        <v>76</v>
      </c>
      <c r="K4234" s="2" t="s">
        <v>77</v>
      </c>
      <c r="L4234" s="2" t="s">
        <v>105</v>
      </c>
      <c r="M4234" s="2" t="s">
        <v>106</v>
      </c>
      <c r="N4234" s="2" t="s">
        <v>253</v>
      </c>
      <c r="O4234" s="2" t="s">
        <v>100</v>
      </c>
      <c r="P4234" s="2" t="str">
        <f>"21705878556                   "</f>
        <v xml:space="preserve">21705878556                   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4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0</v>
      </c>
      <c r="AU4234" s="2">
        <v>0</v>
      </c>
      <c r="AV4234" s="2">
        <v>0</v>
      </c>
      <c r="AW4234" s="2">
        <v>0</v>
      </c>
      <c r="AX4234" s="2">
        <v>0</v>
      </c>
      <c r="AY4234" s="2">
        <v>0</v>
      </c>
      <c r="AZ4234" s="2">
        <v>0</v>
      </c>
      <c r="BA4234" s="2">
        <v>0</v>
      </c>
      <c r="BB4234" s="2">
        <v>0</v>
      </c>
      <c r="BC4234" s="2">
        <v>0</v>
      </c>
      <c r="BD4234" s="2">
        <v>0</v>
      </c>
      <c r="BE4234" s="2">
        <v>0</v>
      </c>
      <c r="BF4234" s="2">
        <v>0</v>
      </c>
      <c r="BG4234" s="2">
        <v>0</v>
      </c>
      <c r="BH4234" s="2">
        <v>1</v>
      </c>
      <c r="BI4234" s="2">
        <v>1</v>
      </c>
      <c r="BJ4234" s="2">
        <v>0.2</v>
      </c>
      <c r="BK4234" s="2">
        <v>1</v>
      </c>
      <c r="BL4234" s="2">
        <v>41.44</v>
      </c>
      <c r="BM4234" s="2">
        <v>5.8</v>
      </c>
      <c r="BN4234" s="2">
        <v>47.24</v>
      </c>
      <c r="BO4234" s="2">
        <v>47.24</v>
      </c>
      <c r="BP4234" s="2"/>
      <c r="BQ4234" s="2" t="s">
        <v>1492</v>
      </c>
      <c r="BR4234" s="2" t="s">
        <v>84</v>
      </c>
      <c r="BS4234" s="3">
        <v>42950</v>
      </c>
      <c r="BT4234" s="4">
        <v>0.41111111111111115</v>
      </c>
      <c r="BU4234" s="2" t="s">
        <v>1074</v>
      </c>
      <c r="BV4234" s="2" t="s">
        <v>95</v>
      </c>
      <c r="BW4234" s="2"/>
      <c r="BX4234" s="2"/>
      <c r="BY4234" s="2">
        <v>1200</v>
      </c>
      <c r="BZ4234" s="2" t="s">
        <v>27</v>
      </c>
      <c r="CA4234" s="2" t="s">
        <v>654</v>
      </c>
      <c r="CB4234" s="2"/>
      <c r="CC4234" s="2" t="s">
        <v>106</v>
      </c>
      <c r="CD4234" s="2">
        <v>7490</v>
      </c>
      <c r="CE4234" s="2" t="s">
        <v>104</v>
      </c>
      <c r="CF4234" s="5">
        <v>42951</v>
      </c>
      <c r="CG4234" s="2"/>
      <c r="CH4234" s="2"/>
      <c r="CI4234" s="2">
        <v>1</v>
      </c>
      <c r="CJ4234" s="2">
        <v>1</v>
      </c>
      <c r="CK4234" s="2">
        <v>21</v>
      </c>
      <c r="CL4234" s="2" t="s">
        <v>86</v>
      </c>
      <c r="CM4234" s="2"/>
    </row>
    <row r="4235" spans="1:91">
      <c r="A4235" s="2" t="s">
        <v>71</v>
      </c>
      <c r="B4235" s="2" t="s">
        <v>72</v>
      </c>
      <c r="C4235" s="2" t="s">
        <v>73</v>
      </c>
      <c r="D4235" s="2"/>
      <c r="E4235" s="2" t="str">
        <f>"FES1162566209"</f>
        <v>FES1162566209</v>
      </c>
      <c r="F4235" s="3">
        <v>42949</v>
      </c>
      <c r="G4235" s="2">
        <v>201802</v>
      </c>
      <c r="H4235" s="2" t="s">
        <v>74</v>
      </c>
      <c r="I4235" s="2" t="s">
        <v>75</v>
      </c>
      <c r="J4235" s="2" t="s">
        <v>76</v>
      </c>
      <c r="K4235" s="2" t="s">
        <v>77</v>
      </c>
      <c r="L4235" s="2" t="s">
        <v>343</v>
      </c>
      <c r="M4235" s="2" t="s">
        <v>344</v>
      </c>
      <c r="N4235" s="2" t="s">
        <v>351</v>
      </c>
      <c r="O4235" s="2" t="s">
        <v>100</v>
      </c>
      <c r="P4235" s="2" t="str">
        <f>"2170582180                    "</f>
        <v xml:space="preserve">2170582180                    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4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0</v>
      </c>
      <c r="AU4235" s="2">
        <v>0</v>
      </c>
      <c r="AV4235" s="2">
        <v>0</v>
      </c>
      <c r="AW4235" s="2">
        <v>0</v>
      </c>
      <c r="AX4235" s="2">
        <v>0</v>
      </c>
      <c r="AY4235" s="2">
        <v>0</v>
      </c>
      <c r="AZ4235" s="2">
        <v>0</v>
      </c>
      <c r="BA4235" s="2">
        <v>0</v>
      </c>
      <c r="BB4235" s="2">
        <v>0</v>
      </c>
      <c r="BC4235" s="2">
        <v>0</v>
      </c>
      <c r="BD4235" s="2">
        <v>0</v>
      </c>
      <c r="BE4235" s="2">
        <v>0</v>
      </c>
      <c r="BF4235" s="2">
        <v>0</v>
      </c>
      <c r="BG4235" s="2">
        <v>0</v>
      </c>
      <c r="BH4235" s="2">
        <v>1</v>
      </c>
      <c r="BI4235" s="2">
        <v>1</v>
      </c>
      <c r="BJ4235" s="2">
        <v>0.2</v>
      </c>
      <c r="BK4235" s="2">
        <v>1</v>
      </c>
      <c r="BL4235" s="2">
        <v>41.44</v>
      </c>
      <c r="BM4235" s="2">
        <v>5.8</v>
      </c>
      <c r="BN4235" s="2">
        <v>47.24</v>
      </c>
      <c r="BO4235" s="2">
        <v>47.24</v>
      </c>
      <c r="BP4235" s="2"/>
      <c r="BQ4235" s="2" t="s">
        <v>1582</v>
      </c>
      <c r="BR4235" s="2" t="s">
        <v>84</v>
      </c>
      <c r="BS4235" s="3">
        <v>42950</v>
      </c>
      <c r="BT4235" s="4">
        <v>0.43611111111111112</v>
      </c>
      <c r="BU4235" s="2" t="s">
        <v>3903</v>
      </c>
      <c r="BV4235" s="2" t="s">
        <v>95</v>
      </c>
      <c r="BW4235" s="2"/>
      <c r="BX4235" s="2"/>
      <c r="BY4235" s="2">
        <v>1200</v>
      </c>
      <c r="BZ4235" s="2" t="s">
        <v>27</v>
      </c>
      <c r="CA4235" s="2" t="s">
        <v>3845</v>
      </c>
      <c r="CB4235" s="2"/>
      <c r="CC4235" s="2" t="s">
        <v>344</v>
      </c>
      <c r="CD4235" s="2">
        <v>4133</v>
      </c>
      <c r="CE4235" s="2" t="s">
        <v>104</v>
      </c>
      <c r="CF4235" s="5">
        <v>42951</v>
      </c>
      <c r="CG4235" s="2"/>
      <c r="CH4235" s="2"/>
      <c r="CI4235" s="2">
        <v>1</v>
      </c>
      <c r="CJ4235" s="2">
        <v>1</v>
      </c>
      <c r="CK4235" s="2">
        <v>21</v>
      </c>
      <c r="CL4235" s="2" t="s">
        <v>86</v>
      </c>
      <c r="CM4235" s="2"/>
    </row>
    <row r="4236" spans="1:91">
      <c r="A4236" s="2" t="s">
        <v>71</v>
      </c>
      <c r="B4236" s="2" t="s">
        <v>72</v>
      </c>
      <c r="C4236" s="2" t="s">
        <v>73</v>
      </c>
      <c r="D4236" s="2"/>
      <c r="E4236" s="2" t="str">
        <f>"FES1162566120"</f>
        <v>FES1162566120</v>
      </c>
      <c r="F4236" s="3">
        <v>42949</v>
      </c>
      <c r="G4236" s="2">
        <v>201802</v>
      </c>
      <c r="H4236" s="2" t="s">
        <v>74</v>
      </c>
      <c r="I4236" s="2" t="s">
        <v>75</v>
      </c>
      <c r="J4236" s="2" t="s">
        <v>76</v>
      </c>
      <c r="K4236" s="2" t="s">
        <v>77</v>
      </c>
      <c r="L4236" s="2" t="s">
        <v>362</v>
      </c>
      <c r="M4236" s="2" t="s">
        <v>363</v>
      </c>
      <c r="N4236" s="2" t="s">
        <v>683</v>
      </c>
      <c r="O4236" s="2" t="s">
        <v>100</v>
      </c>
      <c r="P4236" s="2" t="str">
        <f>"2170587487                    "</f>
        <v xml:space="preserve">2170587487                    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37.020000000000003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0</v>
      </c>
      <c r="AU4236" s="2">
        <v>0</v>
      </c>
      <c r="AV4236" s="2">
        <v>0</v>
      </c>
      <c r="AW4236" s="2">
        <v>0</v>
      </c>
      <c r="AX4236" s="2">
        <v>0</v>
      </c>
      <c r="AY4236" s="2">
        <v>0</v>
      </c>
      <c r="AZ4236" s="2">
        <v>0</v>
      </c>
      <c r="BA4236" s="2">
        <v>0</v>
      </c>
      <c r="BB4236" s="2">
        <v>0</v>
      </c>
      <c r="BC4236" s="2">
        <v>0</v>
      </c>
      <c r="BD4236" s="2">
        <v>0</v>
      </c>
      <c r="BE4236" s="2">
        <v>0</v>
      </c>
      <c r="BF4236" s="2">
        <v>0</v>
      </c>
      <c r="BG4236" s="2">
        <v>0</v>
      </c>
      <c r="BH4236" s="2">
        <v>2</v>
      </c>
      <c r="BI4236" s="2">
        <v>18.100000000000001</v>
      </c>
      <c r="BJ4236" s="2">
        <v>7.2</v>
      </c>
      <c r="BK4236" s="2">
        <v>18.5</v>
      </c>
      <c r="BL4236" s="2">
        <v>383.34</v>
      </c>
      <c r="BM4236" s="2">
        <v>53.67</v>
      </c>
      <c r="BN4236" s="2">
        <v>437.01</v>
      </c>
      <c r="BO4236" s="2">
        <v>437.01</v>
      </c>
      <c r="BP4236" s="2"/>
      <c r="BQ4236" s="2" t="s">
        <v>108</v>
      </c>
      <c r="BR4236" s="2" t="s">
        <v>84</v>
      </c>
      <c r="BS4236" s="3">
        <v>42950</v>
      </c>
      <c r="BT4236" s="4">
        <v>0.375</v>
      </c>
      <c r="BU4236" s="2" t="s">
        <v>805</v>
      </c>
      <c r="BV4236" s="2" t="s">
        <v>95</v>
      </c>
      <c r="BW4236" s="2"/>
      <c r="BX4236" s="2"/>
      <c r="BY4236" s="2">
        <v>36209.370000000003</v>
      </c>
      <c r="BZ4236" s="2" t="s">
        <v>27</v>
      </c>
      <c r="CA4236" s="2"/>
      <c r="CB4236" s="2"/>
      <c r="CC4236" s="2" t="s">
        <v>363</v>
      </c>
      <c r="CD4236" s="2">
        <v>3201</v>
      </c>
      <c r="CE4236" s="2" t="s">
        <v>89</v>
      </c>
      <c r="CF4236" s="5">
        <v>42954</v>
      </c>
      <c r="CG4236" s="2"/>
      <c r="CH4236" s="2"/>
      <c r="CI4236" s="2">
        <v>1</v>
      </c>
      <c r="CJ4236" s="2">
        <v>1</v>
      </c>
      <c r="CK4236" s="2">
        <v>21</v>
      </c>
      <c r="CL4236" s="2" t="s">
        <v>86</v>
      </c>
      <c r="CM4236" s="2"/>
    </row>
    <row r="4237" spans="1:91">
      <c r="A4237" s="2" t="s">
        <v>71</v>
      </c>
      <c r="B4237" s="2" t="s">
        <v>72</v>
      </c>
      <c r="C4237" s="2" t="s">
        <v>73</v>
      </c>
      <c r="D4237" s="2"/>
      <c r="E4237" s="2" t="str">
        <f>"FES1162566267"</f>
        <v>FES1162566267</v>
      </c>
      <c r="F4237" s="3">
        <v>42949</v>
      </c>
      <c r="G4237" s="2">
        <v>201802</v>
      </c>
      <c r="H4237" s="2" t="s">
        <v>74</v>
      </c>
      <c r="I4237" s="2" t="s">
        <v>75</v>
      </c>
      <c r="J4237" s="2" t="s">
        <v>76</v>
      </c>
      <c r="K4237" s="2" t="s">
        <v>77</v>
      </c>
      <c r="L4237" s="2" t="s">
        <v>1202</v>
      </c>
      <c r="M4237" s="2" t="s">
        <v>1203</v>
      </c>
      <c r="N4237" s="2" t="s">
        <v>1204</v>
      </c>
      <c r="O4237" s="2" t="s">
        <v>100</v>
      </c>
      <c r="P4237" s="2" t="str">
        <f>"2170581067                    "</f>
        <v xml:space="preserve">2170581067                    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3.13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0</v>
      </c>
      <c r="AU4237" s="2">
        <v>0</v>
      </c>
      <c r="AV4237" s="2">
        <v>0</v>
      </c>
      <c r="AW4237" s="2">
        <v>0</v>
      </c>
      <c r="AX4237" s="2">
        <v>0</v>
      </c>
      <c r="AY4237" s="2">
        <v>0</v>
      </c>
      <c r="AZ4237" s="2">
        <v>0</v>
      </c>
      <c r="BA4237" s="2">
        <v>0</v>
      </c>
      <c r="BB4237" s="2">
        <v>0</v>
      </c>
      <c r="BC4237" s="2">
        <v>0</v>
      </c>
      <c r="BD4237" s="2">
        <v>0</v>
      </c>
      <c r="BE4237" s="2">
        <v>0</v>
      </c>
      <c r="BF4237" s="2">
        <v>0</v>
      </c>
      <c r="BG4237" s="2">
        <v>0</v>
      </c>
      <c r="BH4237" s="2">
        <v>1</v>
      </c>
      <c r="BI4237" s="2">
        <v>2</v>
      </c>
      <c r="BJ4237" s="2">
        <v>0.7</v>
      </c>
      <c r="BK4237" s="2">
        <v>2</v>
      </c>
      <c r="BL4237" s="2">
        <v>32.380000000000003</v>
      </c>
      <c r="BM4237" s="2">
        <v>4.53</v>
      </c>
      <c r="BN4237" s="2">
        <v>36.909999999999997</v>
      </c>
      <c r="BO4237" s="2">
        <v>36.909999999999997</v>
      </c>
      <c r="BP4237" s="2"/>
      <c r="BQ4237" s="2"/>
      <c r="BR4237" s="2" t="s">
        <v>84</v>
      </c>
      <c r="BS4237" s="3">
        <v>42950</v>
      </c>
      <c r="BT4237" s="4">
        <v>0.4375</v>
      </c>
      <c r="BU4237" s="2" t="s">
        <v>3919</v>
      </c>
      <c r="BV4237" s="2" t="s">
        <v>95</v>
      </c>
      <c r="BW4237" s="2"/>
      <c r="BX4237" s="2"/>
      <c r="BY4237" s="2">
        <v>3410.41</v>
      </c>
      <c r="BZ4237" s="2" t="s">
        <v>27</v>
      </c>
      <c r="CA4237" s="2"/>
      <c r="CB4237" s="2"/>
      <c r="CC4237" s="2" t="s">
        <v>1203</v>
      </c>
      <c r="CD4237" s="2">
        <v>1501</v>
      </c>
      <c r="CE4237" s="2" t="s">
        <v>89</v>
      </c>
      <c r="CF4237" s="5">
        <v>42951</v>
      </c>
      <c r="CG4237" s="2"/>
      <c r="CH4237" s="2"/>
      <c r="CI4237" s="2">
        <v>1</v>
      </c>
      <c r="CJ4237" s="2">
        <v>1</v>
      </c>
      <c r="CK4237" s="2">
        <v>22</v>
      </c>
      <c r="CL4237" s="2" t="s">
        <v>86</v>
      </c>
      <c r="CM4237" s="2"/>
    </row>
    <row r="4238" spans="1:91">
      <c r="A4238" s="2" t="s">
        <v>71</v>
      </c>
      <c r="B4238" s="2" t="s">
        <v>72</v>
      </c>
      <c r="C4238" s="2" t="s">
        <v>73</v>
      </c>
      <c r="D4238" s="2"/>
      <c r="E4238" s="2" t="str">
        <f>"FES1162566163"</f>
        <v>FES1162566163</v>
      </c>
      <c r="F4238" s="3">
        <v>42949</v>
      </c>
      <c r="G4238" s="2">
        <v>201802</v>
      </c>
      <c r="H4238" s="2" t="s">
        <v>74</v>
      </c>
      <c r="I4238" s="2" t="s">
        <v>75</v>
      </c>
      <c r="J4238" s="2" t="s">
        <v>76</v>
      </c>
      <c r="K4238" s="2" t="s">
        <v>77</v>
      </c>
      <c r="L4238" s="2" t="s">
        <v>170</v>
      </c>
      <c r="M4238" s="2" t="s">
        <v>171</v>
      </c>
      <c r="N4238" s="2" t="s">
        <v>3803</v>
      </c>
      <c r="O4238" s="2" t="s">
        <v>100</v>
      </c>
      <c r="P4238" s="2" t="str">
        <f>"2170580645                    "</f>
        <v xml:space="preserve">2170580645                    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3.13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0</v>
      </c>
      <c r="AU4238" s="2">
        <v>0</v>
      </c>
      <c r="AV4238" s="2">
        <v>0</v>
      </c>
      <c r="AW4238" s="2">
        <v>0</v>
      </c>
      <c r="AX4238" s="2">
        <v>0</v>
      </c>
      <c r="AY4238" s="2">
        <v>0</v>
      </c>
      <c r="AZ4238" s="2">
        <v>0</v>
      </c>
      <c r="BA4238" s="2">
        <v>0</v>
      </c>
      <c r="BB4238" s="2">
        <v>0</v>
      </c>
      <c r="BC4238" s="2">
        <v>0</v>
      </c>
      <c r="BD4238" s="2">
        <v>0</v>
      </c>
      <c r="BE4238" s="2">
        <v>0</v>
      </c>
      <c r="BF4238" s="2">
        <v>0</v>
      </c>
      <c r="BG4238" s="2">
        <v>0</v>
      </c>
      <c r="BH4238" s="2">
        <v>1</v>
      </c>
      <c r="BI4238" s="2">
        <v>6</v>
      </c>
      <c r="BJ4238" s="2">
        <v>1.7</v>
      </c>
      <c r="BK4238" s="2">
        <v>6</v>
      </c>
      <c r="BL4238" s="2">
        <v>32.380000000000003</v>
      </c>
      <c r="BM4238" s="2">
        <v>4.53</v>
      </c>
      <c r="BN4238" s="2">
        <v>36.909999999999997</v>
      </c>
      <c r="BO4238" s="2">
        <v>36.909999999999997</v>
      </c>
      <c r="BP4238" s="2"/>
      <c r="BQ4238" s="2" t="s">
        <v>3920</v>
      </c>
      <c r="BR4238" s="2" t="s">
        <v>84</v>
      </c>
      <c r="BS4238" s="3">
        <v>42950</v>
      </c>
      <c r="BT4238" s="4">
        <v>0.4375</v>
      </c>
      <c r="BU4238" s="2" t="s">
        <v>3804</v>
      </c>
      <c r="BV4238" s="2" t="s">
        <v>95</v>
      </c>
      <c r="BW4238" s="2"/>
      <c r="BX4238" s="2"/>
      <c r="BY4238" s="2">
        <v>8450</v>
      </c>
      <c r="BZ4238" s="2" t="s">
        <v>27</v>
      </c>
      <c r="CA4238" s="2" t="s">
        <v>492</v>
      </c>
      <c r="CB4238" s="2"/>
      <c r="CC4238" s="2" t="s">
        <v>171</v>
      </c>
      <c r="CD4238" s="2">
        <v>1428</v>
      </c>
      <c r="CE4238" s="2" t="s">
        <v>948</v>
      </c>
      <c r="CF4238" s="5">
        <v>42951</v>
      </c>
      <c r="CG4238" s="2"/>
      <c r="CH4238" s="2"/>
      <c r="CI4238" s="2">
        <v>1</v>
      </c>
      <c r="CJ4238" s="2">
        <v>1</v>
      </c>
      <c r="CK4238" s="2">
        <v>22</v>
      </c>
      <c r="CL4238" s="2" t="s">
        <v>86</v>
      </c>
      <c r="CM4238" s="2"/>
    </row>
    <row r="4239" spans="1:91">
      <c r="A4239" s="2" t="s">
        <v>71</v>
      </c>
      <c r="B4239" s="2" t="s">
        <v>72</v>
      </c>
      <c r="C4239" s="2" t="s">
        <v>73</v>
      </c>
      <c r="D4239" s="2"/>
      <c r="E4239" s="2" t="str">
        <f>"FES1162566122"</f>
        <v>FES1162566122</v>
      </c>
      <c r="F4239" s="3">
        <v>42949</v>
      </c>
      <c r="G4239" s="2">
        <v>201802</v>
      </c>
      <c r="H4239" s="2" t="s">
        <v>74</v>
      </c>
      <c r="I4239" s="2" t="s">
        <v>75</v>
      </c>
      <c r="J4239" s="2" t="s">
        <v>76</v>
      </c>
      <c r="K4239" s="2" t="s">
        <v>77</v>
      </c>
      <c r="L4239" s="2" t="s">
        <v>362</v>
      </c>
      <c r="M4239" s="2" t="s">
        <v>363</v>
      </c>
      <c r="N4239" s="2" t="s">
        <v>683</v>
      </c>
      <c r="O4239" s="2" t="s">
        <v>100</v>
      </c>
      <c r="P4239" s="2" t="str">
        <f>"21705875410                   "</f>
        <v xml:space="preserve">21705875410                   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4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0</v>
      </c>
      <c r="AU4239" s="2">
        <v>0</v>
      </c>
      <c r="AV4239" s="2">
        <v>0</v>
      </c>
      <c r="AW4239" s="2">
        <v>0</v>
      </c>
      <c r="AX4239" s="2">
        <v>0</v>
      </c>
      <c r="AY4239" s="2">
        <v>0</v>
      </c>
      <c r="AZ4239" s="2">
        <v>0</v>
      </c>
      <c r="BA4239" s="2">
        <v>0</v>
      </c>
      <c r="BB4239" s="2">
        <v>0</v>
      </c>
      <c r="BC4239" s="2">
        <v>0</v>
      </c>
      <c r="BD4239" s="2">
        <v>0</v>
      </c>
      <c r="BE4239" s="2">
        <v>0</v>
      </c>
      <c r="BF4239" s="2">
        <v>0</v>
      </c>
      <c r="BG4239" s="2">
        <v>0</v>
      </c>
      <c r="BH4239" s="2">
        <v>1</v>
      </c>
      <c r="BI4239" s="2">
        <v>1</v>
      </c>
      <c r="BJ4239" s="2">
        <v>0.2</v>
      </c>
      <c r="BK4239" s="2">
        <v>1</v>
      </c>
      <c r="BL4239" s="2">
        <v>41.44</v>
      </c>
      <c r="BM4239" s="2">
        <v>5.8</v>
      </c>
      <c r="BN4239" s="2">
        <v>47.24</v>
      </c>
      <c r="BO4239" s="2">
        <v>47.24</v>
      </c>
      <c r="BP4239" s="2"/>
      <c r="BQ4239" s="2" t="s">
        <v>108</v>
      </c>
      <c r="BR4239" s="2" t="s">
        <v>84</v>
      </c>
      <c r="BS4239" s="3">
        <v>42950</v>
      </c>
      <c r="BT4239" s="4">
        <v>0.375</v>
      </c>
      <c r="BU4239" s="2" t="s">
        <v>805</v>
      </c>
      <c r="BV4239" s="2" t="s">
        <v>95</v>
      </c>
      <c r="BW4239" s="2"/>
      <c r="BX4239" s="2"/>
      <c r="BY4239" s="2">
        <v>1200</v>
      </c>
      <c r="BZ4239" s="2" t="s">
        <v>27</v>
      </c>
      <c r="CA4239" s="2"/>
      <c r="CB4239" s="2"/>
      <c r="CC4239" s="2" t="s">
        <v>363</v>
      </c>
      <c r="CD4239" s="2">
        <v>3201</v>
      </c>
      <c r="CE4239" s="2" t="s">
        <v>104</v>
      </c>
      <c r="CF4239" s="5">
        <v>42954</v>
      </c>
      <c r="CG4239" s="2"/>
      <c r="CH4239" s="2"/>
      <c r="CI4239" s="2">
        <v>1</v>
      </c>
      <c r="CJ4239" s="2">
        <v>1</v>
      </c>
      <c r="CK4239" s="2">
        <v>21</v>
      </c>
      <c r="CL4239" s="2" t="s">
        <v>86</v>
      </c>
      <c r="CM4239" s="2"/>
    </row>
    <row r="4240" spans="1:91">
      <c r="A4240" s="2" t="s">
        <v>71</v>
      </c>
      <c r="B4240" s="2" t="s">
        <v>72</v>
      </c>
      <c r="C4240" s="2" t="s">
        <v>73</v>
      </c>
      <c r="D4240" s="2"/>
      <c r="E4240" s="2" t="str">
        <f>"FES1162566155"</f>
        <v>FES1162566155</v>
      </c>
      <c r="F4240" s="3">
        <v>42949</v>
      </c>
      <c r="G4240" s="2">
        <v>201802</v>
      </c>
      <c r="H4240" s="2" t="s">
        <v>74</v>
      </c>
      <c r="I4240" s="2" t="s">
        <v>75</v>
      </c>
      <c r="J4240" s="2" t="s">
        <v>76</v>
      </c>
      <c r="K4240" s="2" t="s">
        <v>77</v>
      </c>
      <c r="L4240" s="2" t="s">
        <v>105</v>
      </c>
      <c r="M4240" s="2" t="s">
        <v>106</v>
      </c>
      <c r="N4240" s="2" t="s">
        <v>3921</v>
      </c>
      <c r="O4240" s="2" t="s">
        <v>100</v>
      </c>
      <c r="P4240" s="2" t="str">
        <f>"2170580545                    "</f>
        <v xml:space="preserve">2170580545                    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4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0</v>
      </c>
      <c r="AU4240" s="2">
        <v>0</v>
      </c>
      <c r="AV4240" s="2">
        <v>0</v>
      </c>
      <c r="AW4240" s="2">
        <v>0</v>
      </c>
      <c r="AX4240" s="2">
        <v>0</v>
      </c>
      <c r="AY4240" s="2">
        <v>0</v>
      </c>
      <c r="AZ4240" s="2">
        <v>0</v>
      </c>
      <c r="BA4240" s="2">
        <v>0</v>
      </c>
      <c r="BB4240" s="2">
        <v>0</v>
      </c>
      <c r="BC4240" s="2">
        <v>0</v>
      </c>
      <c r="BD4240" s="2">
        <v>0</v>
      </c>
      <c r="BE4240" s="2">
        <v>0</v>
      </c>
      <c r="BF4240" s="2">
        <v>0</v>
      </c>
      <c r="BG4240" s="2">
        <v>0</v>
      </c>
      <c r="BH4240" s="2">
        <v>1</v>
      </c>
      <c r="BI4240" s="2">
        <v>1</v>
      </c>
      <c r="BJ4240" s="2">
        <v>0.2</v>
      </c>
      <c r="BK4240" s="2">
        <v>1</v>
      </c>
      <c r="BL4240" s="2">
        <v>41.44</v>
      </c>
      <c r="BM4240" s="2">
        <v>5.8</v>
      </c>
      <c r="BN4240" s="2">
        <v>47.24</v>
      </c>
      <c r="BO4240" s="2">
        <v>47.24</v>
      </c>
      <c r="BP4240" s="2"/>
      <c r="BQ4240" s="2"/>
      <c r="BR4240" s="2" t="s">
        <v>84</v>
      </c>
      <c r="BS4240" s="3">
        <v>42950</v>
      </c>
      <c r="BT4240" s="4">
        <v>0.36874999999999997</v>
      </c>
      <c r="BU4240" s="2" t="s">
        <v>3922</v>
      </c>
      <c r="BV4240" s="2" t="s">
        <v>95</v>
      </c>
      <c r="BW4240" s="2"/>
      <c r="BX4240" s="2"/>
      <c r="BY4240" s="2">
        <v>1200</v>
      </c>
      <c r="BZ4240" s="2" t="s">
        <v>27</v>
      </c>
      <c r="CA4240" s="2" t="s">
        <v>112</v>
      </c>
      <c r="CB4240" s="2"/>
      <c r="CC4240" s="2" t="s">
        <v>106</v>
      </c>
      <c r="CD4240" s="2">
        <v>7405</v>
      </c>
      <c r="CE4240" s="2" t="s">
        <v>104</v>
      </c>
      <c r="CF4240" s="5">
        <v>42951</v>
      </c>
      <c r="CG4240" s="2"/>
      <c r="CH4240" s="2"/>
      <c r="CI4240" s="2">
        <v>1</v>
      </c>
      <c r="CJ4240" s="2">
        <v>1</v>
      </c>
      <c r="CK4240" s="2">
        <v>21</v>
      </c>
      <c r="CL4240" s="2" t="s">
        <v>86</v>
      </c>
      <c r="CM4240" s="2"/>
    </row>
    <row r="4241" spans="1:91">
      <c r="A4241" s="2" t="s">
        <v>71</v>
      </c>
      <c r="B4241" s="2" t="s">
        <v>72</v>
      </c>
      <c r="C4241" s="2" t="s">
        <v>73</v>
      </c>
      <c r="D4241" s="2"/>
      <c r="E4241" s="2" t="str">
        <f>"FES1162566390"</f>
        <v>FES1162566390</v>
      </c>
      <c r="F4241" s="3">
        <v>42949</v>
      </c>
      <c r="G4241" s="2">
        <v>201802</v>
      </c>
      <c r="H4241" s="2" t="s">
        <v>74</v>
      </c>
      <c r="I4241" s="2" t="s">
        <v>75</v>
      </c>
      <c r="J4241" s="2" t="s">
        <v>76</v>
      </c>
      <c r="K4241" s="2" t="s">
        <v>77</v>
      </c>
      <c r="L4241" s="2" t="s">
        <v>105</v>
      </c>
      <c r="M4241" s="2" t="s">
        <v>106</v>
      </c>
      <c r="N4241" s="2" t="s">
        <v>253</v>
      </c>
      <c r="O4241" s="2" t="s">
        <v>100</v>
      </c>
      <c r="P4241" s="2" t="str">
        <f>"2170581254                    "</f>
        <v xml:space="preserve">2170581254                    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4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0</v>
      </c>
      <c r="AU4241" s="2">
        <v>0</v>
      </c>
      <c r="AV4241" s="2">
        <v>0</v>
      </c>
      <c r="AW4241" s="2">
        <v>0</v>
      </c>
      <c r="AX4241" s="2">
        <v>0</v>
      </c>
      <c r="AY4241" s="2">
        <v>0</v>
      </c>
      <c r="AZ4241" s="2">
        <v>0</v>
      </c>
      <c r="BA4241" s="2">
        <v>0</v>
      </c>
      <c r="BB4241" s="2">
        <v>0</v>
      </c>
      <c r="BC4241" s="2">
        <v>0</v>
      </c>
      <c r="BD4241" s="2">
        <v>0</v>
      </c>
      <c r="BE4241" s="2">
        <v>0</v>
      </c>
      <c r="BF4241" s="2">
        <v>0</v>
      </c>
      <c r="BG4241" s="2">
        <v>0</v>
      </c>
      <c r="BH4241" s="2">
        <v>1</v>
      </c>
      <c r="BI4241" s="2">
        <v>1</v>
      </c>
      <c r="BJ4241" s="2">
        <v>0.2</v>
      </c>
      <c r="BK4241" s="2">
        <v>1</v>
      </c>
      <c r="BL4241" s="2">
        <v>41.44</v>
      </c>
      <c r="BM4241" s="2">
        <v>5.8</v>
      </c>
      <c r="BN4241" s="2">
        <v>47.24</v>
      </c>
      <c r="BO4241" s="2">
        <v>47.24</v>
      </c>
      <c r="BP4241" s="2"/>
      <c r="BQ4241" s="2" t="s">
        <v>1492</v>
      </c>
      <c r="BR4241" s="2" t="s">
        <v>84</v>
      </c>
      <c r="BS4241" s="3">
        <v>42950</v>
      </c>
      <c r="BT4241" s="4">
        <v>0.41111111111111115</v>
      </c>
      <c r="BU4241" s="2" t="s">
        <v>1074</v>
      </c>
      <c r="BV4241" s="2" t="s">
        <v>95</v>
      </c>
      <c r="BW4241" s="2"/>
      <c r="BX4241" s="2"/>
      <c r="BY4241" s="2">
        <v>1200</v>
      </c>
      <c r="BZ4241" s="2" t="s">
        <v>27</v>
      </c>
      <c r="CA4241" s="2" t="s">
        <v>654</v>
      </c>
      <c r="CB4241" s="2"/>
      <c r="CC4241" s="2" t="s">
        <v>106</v>
      </c>
      <c r="CD4241" s="2">
        <v>7490</v>
      </c>
      <c r="CE4241" s="2" t="s">
        <v>104</v>
      </c>
      <c r="CF4241" s="5">
        <v>42951</v>
      </c>
      <c r="CG4241" s="2"/>
      <c r="CH4241" s="2"/>
      <c r="CI4241" s="2">
        <v>1</v>
      </c>
      <c r="CJ4241" s="2">
        <v>1</v>
      </c>
      <c r="CK4241" s="2">
        <v>21</v>
      </c>
      <c r="CL4241" s="2" t="s">
        <v>86</v>
      </c>
      <c r="CM4241" s="2"/>
    </row>
    <row r="4242" spans="1:91">
      <c r="A4242" s="2" t="s">
        <v>71</v>
      </c>
      <c r="B4242" s="2" t="s">
        <v>72</v>
      </c>
      <c r="C4242" s="2" t="s">
        <v>73</v>
      </c>
      <c r="D4242" s="2"/>
      <c r="E4242" s="2" t="str">
        <f>"FES1162566129"</f>
        <v>FES1162566129</v>
      </c>
      <c r="F4242" s="3">
        <v>42949</v>
      </c>
      <c r="G4242" s="2">
        <v>201802</v>
      </c>
      <c r="H4242" s="2" t="s">
        <v>74</v>
      </c>
      <c r="I4242" s="2" t="s">
        <v>75</v>
      </c>
      <c r="J4242" s="2" t="s">
        <v>76</v>
      </c>
      <c r="K4242" s="2" t="s">
        <v>77</v>
      </c>
      <c r="L4242" s="2" t="s">
        <v>97</v>
      </c>
      <c r="M4242" s="2" t="s">
        <v>98</v>
      </c>
      <c r="N4242" s="2" t="s">
        <v>625</v>
      </c>
      <c r="O4242" s="2" t="s">
        <v>100</v>
      </c>
      <c r="P4242" s="2" t="str">
        <f>"21705877611                   "</f>
        <v xml:space="preserve">21705877611                   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6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0</v>
      </c>
      <c r="AU4242" s="2">
        <v>0</v>
      </c>
      <c r="AV4242" s="2">
        <v>0</v>
      </c>
      <c r="AW4242" s="2">
        <v>0</v>
      </c>
      <c r="AX4242" s="2">
        <v>0</v>
      </c>
      <c r="AY4242" s="2">
        <v>0</v>
      </c>
      <c r="AZ4242" s="2">
        <v>0</v>
      </c>
      <c r="BA4242" s="2">
        <v>0</v>
      </c>
      <c r="BB4242" s="2">
        <v>0</v>
      </c>
      <c r="BC4242" s="2">
        <v>0</v>
      </c>
      <c r="BD4242" s="2">
        <v>0</v>
      </c>
      <c r="BE4242" s="2">
        <v>0</v>
      </c>
      <c r="BF4242" s="2">
        <v>0</v>
      </c>
      <c r="BG4242" s="2">
        <v>0</v>
      </c>
      <c r="BH4242" s="2">
        <v>1</v>
      </c>
      <c r="BI4242" s="2">
        <v>1</v>
      </c>
      <c r="BJ4242" s="2">
        <v>2.6</v>
      </c>
      <c r="BK4242" s="2">
        <v>3</v>
      </c>
      <c r="BL4242" s="2">
        <v>62.16</v>
      </c>
      <c r="BM4242" s="2">
        <v>8.6999999999999993</v>
      </c>
      <c r="BN4242" s="2">
        <v>70.86</v>
      </c>
      <c r="BO4242" s="2">
        <v>70.86</v>
      </c>
      <c r="BP4242" s="2"/>
      <c r="BQ4242" s="2" t="s">
        <v>108</v>
      </c>
      <c r="BR4242" s="2" t="s">
        <v>84</v>
      </c>
      <c r="BS4242" s="3">
        <v>42950</v>
      </c>
      <c r="BT4242" s="4">
        <v>0.3979166666666667</v>
      </c>
      <c r="BU4242" s="2" t="s">
        <v>761</v>
      </c>
      <c r="BV4242" s="2" t="s">
        <v>95</v>
      </c>
      <c r="BW4242" s="2"/>
      <c r="BX4242" s="2"/>
      <c r="BY4242" s="2">
        <v>12763.71</v>
      </c>
      <c r="BZ4242" s="2" t="s">
        <v>27</v>
      </c>
      <c r="CA4242" s="2" t="s">
        <v>103</v>
      </c>
      <c r="CB4242" s="2"/>
      <c r="CC4242" s="2" t="s">
        <v>98</v>
      </c>
      <c r="CD4242" s="2">
        <v>6001</v>
      </c>
      <c r="CE4242" s="2" t="s">
        <v>104</v>
      </c>
      <c r="CF4242" s="5">
        <v>42951</v>
      </c>
      <c r="CG4242" s="2"/>
      <c r="CH4242" s="2"/>
      <c r="CI4242" s="2">
        <v>1</v>
      </c>
      <c r="CJ4242" s="2">
        <v>1</v>
      </c>
      <c r="CK4242" s="2">
        <v>21</v>
      </c>
      <c r="CL4242" s="2" t="s">
        <v>86</v>
      </c>
      <c r="CM4242" s="2"/>
    </row>
    <row r="4243" spans="1:91">
      <c r="A4243" s="2" t="s">
        <v>71</v>
      </c>
      <c r="B4243" s="2" t="s">
        <v>72</v>
      </c>
      <c r="C4243" s="2" t="s">
        <v>73</v>
      </c>
      <c r="D4243" s="2"/>
      <c r="E4243" s="2" t="str">
        <f>"FES1162566275"</f>
        <v>FES1162566275</v>
      </c>
      <c r="F4243" s="3">
        <v>42949</v>
      </c>
      <c r="G4243" s="2">
        <v>201802</v>
      </c>
      <c r="H4243" s="2" t="s">
        <v>74</v>
      </c>
      <c r="I4243" s="2" t="s">
        <v>75</v>
      </c>
      <c r="J4243" s="2" t="s">
        <v>76</v>
      </c>
      <c r="K4243" s="2" t="s">
        <v>77</v>
      </c>
      <c r="L4243" s="2" t="s">
        <v>164</v>
      </c>
      <c r="M4243" s="2" t="s">
        <v>165</v>
      </c>
      <c r="N4243" s="2" t="s">
        <v>3750</v>
      </c>
      <c r="O4243" s="2" t="s">
        <v>100</v>
      </c>
      <c r="P4243" s="2" t="str">
        <f>"2170582704                    "</f>
        <v xml:space="preserve">2170582704                    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4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0</v>
      </c>
      <c r="AU4243" s="2">
        <v>0</v>
      </c>
      <c r="AV4243" s="2">
        <v>0</v>
      </c>
      <c r="AW4243" s="2">
        <v>0</v>
      </c>
      <c r="AX4243" s="2">
        <v>0</v>
      </c>
      <c r="AY4243" s="2">
        <v>0</v>
      </c>
      <c r="AZ4243" s="2">
        <v>0</v>
      </c>
      <c r="BA4243" s="2">
        <v>0</v>
      </c>
      <c r="BB4243" s="2">
        <v>0</v>
      </c>
      <c r="BC4243" s="2">
        <v>0</v>
      </c>
      <c r="BD4243" s="2">
        <v>0</v>
      </c>
      <c r="BE4243" s="2">
        <v>0</v>
      </c>
      <c r="BF4243" s="2">
        <v>0</v>
      </c>
      <c r="BG4243" s="2">
        <v>0</v>
      </c>
      <c r="BH4243" s="2">
        <v>1</v>
      </c>
      <c r="BI4243" s="2">
        <v>1</v>
      </c>
      <c r="BJ4243" s="2">
        <v>0.2</v>
      </c>
      <c r="BK4243" s="2">
        <v>1</v>
      </c>
      <c r="BL4243" s="2">
        <v>41.44</v>
      </c>
      <c r="BM4243" s="2">
        <v>5.8</v>
      </c>
      <c r="BN4243" s="2">
        <v>47.24</v>
      </c>
      <c r="BO4243" s="2">
        <v>47.24</v>
      </c>
      <c r="BP4243" s="2"/>
      <c r="BQ4243" s="2" t="s">
        <v>83</v>
      </c>
      <c r="BR4243" s="2" t="s">
        <v>84</v>
      </c>
      <c r="BS4243" s="3">
        <v>42950</v>
      </c>
      <c r="BT4243" s="4">
        <v>0.43333333333333335</v>
      </c>
      <c r="BU4243" s="2" t="s">
        <v>3923</v>
      </c>
      <c r="BV4243" s="2" t="s">
        <v>95</v>
      </c>
      <c r="BW4243" s="2"/>
      <c r="BX4243" s="2"/>
      <c r="BY4243" s="2">
        <v>1200</v>
      </c>
      <c r="BZ4243" s="2" t="s">
        <v>27</v>
      </c>
      <c r="CA4243" s="2" t="s">
        <v>2114</v>
      </c>
      <c r="CB4243" s="2"/>
      <c r="CC4243" s="2" t="s">
        <v>165</v>
      </c>
      <c r="CD4243" s="2">
        <v>6850</v>
      </c>
      <c r="CE4243" s="2" t="s">
        <v>104</v>
      </c>
      <c r="CF4243" s="5">
        <v>42951</v>
      </c>
      <c r="CG4243" s="2"/>
      <c r="CH4243" s="2"/>
      <c r="CI4243" s="2">
        <v>3</v>
      </c>
      <c r="CJ4243" s="2">
        <v>1</v>
      </c>
      <c r="CK4243" s="2">
        <v>21</v>
      </c>
      <c r="CL4243" s="2" t="s">
        <v>86</v>
      </c>
      <c r="CM4243" s="2"/>
    </row>
    <row r="4244" spans="1:91">
      <c r="A4244" s="2" t="s">
        <v>71</v>
      </c>
      <c r="B4244" s="2" t="s">
        <v>72</v>
      </c>
      <c r="C4244" s="2" t="s">
        <v>73</v>
      </c>
      <c r="D4244" s="2"/>
      <c r="E4244" s="2" t="str">
        <f>"FES1162566173"</f>
        <v>FES1162566173</v>
      </c>
      <c r="F4244" s="3">
        <v>42949</v>
      </c>
      <c r="G4244" s="2">
        <v>201802</v>
      </c>
      <c r="H4244" s="2" t="s">
        <v>74</v>
      </c>
      <c r="I4244" s="2" t="s">
        <v>75</v>
      </c>
      <c r="J4244" s="2" t="s">
        <v>76</v>
      </c>
      <c r="K4244" s="2" t="s">
        <v>77</v>
      </c>
      <c r="L4244" s="2" t="s">
        <v>105</v>
      </c>
      <c r="M4244" s="2" t="s">
        <v>106</v>
      </c>
      <c r="N4244" s="2" t="s">
        <v>893</v>
      </c>
      <c r="O4244" s="2" t="s">
        <v>100</v>
      </c>
      <c r="P4244" s="2" t="str">
        <f>"2170580104                    "</f>
        <v xml:space="preserve">2170580104                    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4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0</v>
      </c>
      <c r="AU4244" s="2">
        <v>0</v>
      </c>
      <c r="AV4244" s="2">
        <v>0</v>
      </c>
      <c r="AW4244" s="2">
        <v>0</v>
      </c>
      <c r="AX4244" s="2">
        <v>0</v>
      </c>
      <c r="AY4244" s="2">
        <v>0</v>
      </c>
      <c r="AZ4244" s="2">
        <v>0</v>
      </c>
      <c r="BA4244" s="2">
        <v>0</v>
      </c>
      <c r="BB4244" s="2">
        <v>0</v>
      </c>
      <c r="BC4244" s="2">
        <v>0</v>
      </c>
      <c r="BD4244" s="2">
        <v>0</v>
      </c>
      <c r="BE4244" s="2">
        <v>0</v>
      </c>
      <c r="BF4244" s="2">
        <v>0</v>
      </c>
      <c r="BG4244" s="2">
        <v>0</v>
      </c>
      <c r="BH4244" s="2">
        <v>1</v>
      </c>
      <c r="BI4244" s="2">
        <v>1</v>
      </c>
      <c r="BJ4244" s="2">
        <v>0.2</v>
      </c>
      <c r="BK4244" s="2">
        <v>1</v>
      </c>
      <c r="BL4244" s="2">
        <v>41.44</v>
      </c>
      <c r="BM4244" s="2">
        <v>5.8</v>
      </c>
      <c r="BN4244" s="2">
        <v>47.24</v>
      </c>
      <c r="BO4244" s="2">
        <v>47.24</v>
      </c>
      <c r="BP4244" s="2"/>
      <c r="BQ4244" s="2" t="s">
        <v>3883</v>
      </c>
      <c r="BR4244" s="2" t="s">
        <v>84</v>
      </c>
      <c r="BS4244" s="3">
        <v>42950</v>
      </c>
      <c r="BT4244" s="4">
        <v>0.33749999999999997</v>
      </c>
      <c r="BU4244" s="2" t="s">
        <v>2619</v>
      </c>
      <c r="BV4244" s="2" t="s">
        <v>95</v>
      </c>
      <c r="BW4244" s="2"/>
      <c r="BX4244" s="2"/>
      <c r="BY4244" s="2">
        <v>1200</v>
      </c>
      <c r="BZ4244" s="2" t="s">
        <v>27</v>
      </c>
      <c r="CA4244" s="2" t="s">
        <v>869</v>
      </c>
      <c r="CB4244" s="2"/>
      <c r="CC4244" s="2" t="s">
        <v>106</v>
      </c>
      <c r="CD4244" s="2">
        <v>7460</v>
      </c>
      <c r="CE4244" s="2" t="s">
        <v>104</v>
      </c>
      <c r="CF4244" s="5">
        <v>42951</v>
      </c>
      <c r="CG4244" s="2"/>
      <c r="CH4244" s="2"/>
      <c r="CI4244" s="2">
        <v>1</v>
      </c>
      <c r="CJ4244" s="2">
        <v>1</v>
      </c>
      <c r="CK4244" s="2">
        <v>21</v>
      </c>
      <c r="CL4244" s="2" t="s">
        <v>86</v>
      </c>
      <c r="CM4244" s="2"/>
    </row>
    <row r="4245" spans="1:91">
      <c r="A4245" s="2" t="s">
        <v>71</v>
      </c>
      <c r="B4245" s="2" t="s">
        <v>72</v>
      </c>
      <c r="C4245" s="2" t="s">
        <v>73</v>
      </c>
      <c r="D4245" s="2"/>
      <c r="E4245" s="2" t="str">
        <f>"FES1162566378"</f>
        <v>FES1162566378</v>
      </c>
      <c r="F4245" s="3">
        <v>42949</v>
      </c>
      <c r="G4245" s="2">
        <v>201802</v>
      </c>
      <c r="H4245" s="2" t="s">
        <v>74</v>
      </c>
      <c r="I4245" s="2" t="s">
        <v>75</v>
      </c>
      <c r="J4245" s="2" t="s">
        <v>76</v>
      </c>
      <c r="K4245" s="2" t="s">
        <v>77</v>
      </c>
      <c r="L4245" s="2" t="s">
        <v>105</v>
      </c>
      <c r="M4245" s="2" t="s">
        <v>106</v>
      </c>
      <c r="N4245" s="2" t="s">
        <v>3921</v>
      </c>
      <c r="O4245" s="2" t="s">
        <v>100</v>
      </c>
      <c r="P4245" s="2" t="str">
        <f>"2170580545                    "</f>
        <v xml:space="preserve">2170580545                    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4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0</v>
      </c>
      <c r="AU4245" s="2">
        <v>0</v>
      </c>
      <c r="AV4245" s="2">
        <v>0</v>
      </c>
      <c r="AW4245" s="2">
        <v>0</v>
      </c>
      <c r="AX4245" s="2">
        <v>0</v>
      </c>
      <c r="AY4245" s="2">
        <v>0</v>
      </c>
      <c r="AZ4245" s="2">
        <v>0</v>
      </c>
      <c r="BA4245" s="2">
        <v>0</v>
      </c>
      <c r="BB4245" s="2">
        <v>0</v>
      </c>
      <c r="BC4245" s="2">
        <v>0</v>
      </c>
      <c r="BD4245" s="2">
        <v>0</v>
      </c>
      <c r="BE4245" s="2">
        <v>0</v>
      </c>
      <c r="BF4245" s="2">
        <v>0</v>
      </c>
      <c r="BG4245" s="2">
        <v>0</v>
      </c>
      <c r="BH4245" s="2">
        <v>1</v>
      </c>
      <c r="BI4245" s="2">
        <v>1</v>
      </c>
      <c r="BJ4245" s="2">
        <v>0.2</v>
      </c>
      <c r="BK4245" s="2">
        <v>1</v>
      </c>
      <c r="BL4245" s="2">
        <v>41.44</v>
      </c>
      <c r="BM4245" s="2">
        <v>5.8</v>
      </c>
      <c r="BN4245" s="2">
        <v>47.24</v>
      </c>
      <c r="BO4245" s="2">
        <v>47.24</v>
      </c>
      <c r="BP4245" s="2"/>
      <c r="BQ4245" s="2"/>
      <c r="BR4245" s="2" t="s">
        <v>84</v>
      </c>
      <c r="BS4245" s="3">
        <v>42950</v>
      </c>
      <c r="BT4245" s="4">
        <v>0.36874999999999997</v>
      </c>
      <c r="BU4245" s="2" t="s">
        <v>3922</v>
      </c>
      <c r="BV4245" s="2" t="s">
        <v>95</v>
      </c>
      <c r="BW4245" s="2"/>
      <c r="BX4245" s="2"/>
      <c r="BY4245" s="2">
        <v>1200</v>
      </c>
      <c r="BZ4245" s="2" t="s">
        <v>27</v>
      </c>
      <c r="CA4245" s="2" t="s">
        <v>112</v>
      </c>
      <c r="CB4245" s="2"/>
      <c r="CC4245" s="2" t="s">
        <v>106</v>
      </c>
      <c r="CD4245" s="2">
        <v>7405</v>
      </c>
      <c r="CE4245" s="2" t="s">
        <v>104</v>
      </c>
      <c r="CF4245" s="5">
        <v>42951</v>
      </c>
      <c r="CG4245" s="2"/>
      <c r="CH4245" s="2"/>
      <c r="CI4245" s="2">
        <v>1</v>
      </c>
      <c r="CJ4245" s="2">
        <v>1</v>
      </c>
      <c r="CK4245" s="2">
        <v>21</v>
      </c>
      <c r="CL4245" s="2" t="s">
        <v>86</v>
      </c>
      <c r="CM4245" s="2"/>
    </row>
    <row r="4246" spans="1:91">
      <c r="A4246" s="2" t="s">
        <v>71</v>
      </c>
      <c r="B4246" s="2" t="s">
        <v>72</v>
      </c>
      <c r="C4246" s="2" t="s">
        <v>73</v>
      </c>
      <c r="D4246" s="2"/>
      <c r="E4246" s="2" t="str">
        <f>"FES1162566271"</f>
        <v>FES1162566271</v>
      </c>
      <c r="F4246" s="3">
        <v>42949</v>
      </c>
      <c r="G4246" s="2">
        <v>201802</v>
      </c>
      <c r="H4246" s="2" t="s">
        <v>74</v>
      </c>
      <c r="I4246" s="2" t="s">
        <v>75</v>
      </c>
      <c r="J4246" s="2" t="s">
        <v>76</v>
      </c>
      <c r="K4246" s="2" t="s">
        <v>77</v>
      </c>
      <c r="L4246" s="2" t="s">
        <v>105</v>
      </c>
      <c r="M4246" s="2" t="s">
        <v>106</v>
      </c>
      <c r="N4246" s="2" t="s">
        <v>3921</v>
      </c>
      <c r="O4246" s="2" t="s">
        <v>100</v>
      </c>
      <c r="P4246" s="2" t="str">
        <f>"2170582702                    "</f>
        <v xml:space="preserve">2170582702                    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4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0</v>
      </c>
      <c r="AU4246" s="2">
        <v>0</v>
      </c>
      <c r="AV4246" s="2">
        <v>0</v>
      </c>
      <c r="AW4246" s="2">
        <v>0</v>
      </c>
      <c r="AX4246" s="2">
        <v>0</v>
      </c>
      <c r="AY4246" s="2">
        <v>0</v>
      </c>
      <c r="AZ4246" s="2">
        <v>0</v>
      </c>
      <c r="BA4246" s="2">
        <v>0</v>
      </c>
      <c r="BB4246" s="2">
        <v>0</v>
      </c>
      <c r="BC4246" s="2">
        <v>0</v>
      </c>
      <c r="BD4246" s="2">
        <v>0</v>
      </c>
      <c r="BE4246" s="2">
        <v>0</v>
      </c>
      <c r="BF4246" s="2">
        <v>0</v>
      </c>
      <c r="BG4246" s="2">
        <v>0</v>
      </c>
      <c r="BH4246" s="2">
        <v>1</v>
      </c>
      <c r="BI4246" s="2">
        <v>1</v>
      </c>
      <c r="BJ4246" s="2">
        <v>0.2</v>
      </c>
      <c r="BK4246" s="2">
        <v>1</v>
      </c>
      <c r="BL4246" s="2">
        <v>41.44</v>
      </c>
      <c r="BM4246" s="2">
        <v>5.8</v>
      </c>
      <c r="BN4246" s="2">
        <v>47.24</v>
      </c>
      <c r="BO4246" s="2">
        <v>47.24</v>
      </c>
      <c r="BP4246" s="2"/>
      <c r="BQ4246" s="2"/>
      <c r="BR4246" s="2" t="s">
        <v>84</v>
      </c>
      <c r="BS4246" s="3">
        <v>42950</v>
      </c>
      <c r="BT4246" s="4">
        <v>0.36874999999999997</v>
      </c>
      <c r="BU4246" s="2" t="s">
        <v>3922</v>
      </c>
      <c r="BV4246" s="2" t="s">
        <v>95</v>
      </c>
      <c r="BW4246" s="2"/>
      <c r="BX4246" s="2"/>
      <c r="BY4246" s="2">
        <v>1200</v>
      </c>
      <c r="BZ4246" s="2" t="s">
        <v>27</v>
      </c>
      <c r="CA4246" s="2" t="s">
        <v>112</v>
      </c>
      <c r="CB4246" s="2"/>
      <c r="CC4246" s="2" t="s">
        <v>106</v>
      </c>
      <c r="CD4246" s="2">
        <v>7405</v>
      </c>
      <c r="CE4246" s="2" t="s">
        <v>104</v>
      </c>
      <c r="CF4246" s="5">
        <v>42951</v>
      </c>
      <c r="CG4246" s="2"/>
      <c r="CH4246" s="2"/>
      <c r="CI4246" s="2">
        <v>1</v>
      </c>
      <c r="CJ4246" s="2">
        <v>1</v>
      </c>
      <c r="CK4246" s="2">
        <v>21</v>
      </c>
      <c r="CL4246" s="2" t="s">
        <v>86</v>
      </c>
      <c r="CM4246" s="2"/>
    </row>
    <row r="4247" spans="1:91">
      <c r="A4247" s="2" t="s">
        <v>71</v>
      </c>
      <c r="B4247" s="2" t="s">
        <v>72</v>
      </c>
      <c r="C4247" s="2" t="s">
        <v>73</v>
      </c>
      <c r="D4247" s="2"/>
      <c r="E4247" s="2" t="str">
        <f>"FES1162566110"</f>
        <v>FES1162566110</v>
      </c>
      <c r="F4247" s="3">
        <v>42949</v>
      </c>
      <c r="G4247" s="2">
        <v>201802</v>
      </c>
      <c r="H4247" s="2" t="s">
        <v>74</v>
      </c>
      <c r="I4247" s="2" t="s">
        <v>75</v>
      </c>
      <c r="J4247" s="2" t="s">
        <v>76</v>
      </c>
      <c r="K4247" s="2" t="s">
        <v>77</v>
      </c>
      <c r="L4247" s="2" t="s">
        <v>221</v>
      </c>
      <c r="M4247" s="2" t="s">
        <v>222</v>
      </c>
      <c r="N4247" s="2" t="s">
        <v>3638</v>
      </c>
      <c r="O4247" s="2" t="s">
        <v>100</v>
      </c>
      <c r="P4247" s="2" t="str">
        <f>"2170582672                    "</f>
        <v xml:space="preserve">2170582672                    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4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0</v>
      </c>
      <c r="AU4247" s="2">
        <v>0</v>
      </c>
      <c r="AV4247" s="2">
        <v>0</v>
      </c>
      <c r="AW4247" s="2">
        <v>0</v>
      </c>
      <c r="AX4247" s="2">
        <v>0</v>
      </c>
      <c r="AY4247" s="2">
        <v>0</v>
      </c>
      <c r="AZ4247" s="2">
        <v>0</v>
      </c>
      <c r="BA4247" s="2">
        <v>0</v>
      </c>
      <c r="BB4247" s="2">
        <v>0</v>
      </c>
      <c r="BC4247" s="2">
        <v>0</v>
      </c>
      <c r="BD4247" s="2">
        <v>0</v>
      </c>
      <c r="BE4247" s="2">
        <v>0</v>
      </c>
      <c r="BF4247" s="2">
        <v>0</v>
      </c>
      <c r="BG4247" s="2">
        <v>0</v>
      </c>
      <c r="BH4247" s="2">
        <v>1</v>
      </c>
      <c r="BI4247" s="2">
        <v>1</v>
      </c>
      <c r="BJ4247" s="2">
        <v>0.2</v>
      </c>
      <c r="BK4247" s="2">
        <v>1</v>
      </c>
      <c r="BL4247" s="2">
        <v>41.44</v>
      </c>
      <c r="BM4247" s="2">
        <v>5.8</v>
      </c>
      <c r="BN4247" s="2">
        <v>47.24</v>
      </c>
      <c r="BO4247" s="2">
        <v>47.24</v>
      </c>
      <c r="BP4247" s="2"/>
      <c r="BQ4247" s="2" t="s">
        <v>108</v>
      </c>
      <c r="BR4247" s="2" t="s">
        <v>84</v>
      </c>
      <c r="BS4247" s="3">
        <v>42950</v>
      </c>
      <c r="BT4247" s="4">
        <v>0.35555555555555557</v>
      </c>
      <c r="BU4247" s="2" t="s">
        <v>3798</v>
      </c>
      <c r="BV4247" s="2" t="s">
        <v>95</v>
      </c>
      <c r="BW4247" s="2"/>
      <c r="BX4247" s="2"/>
      <c r="BY4247" s="2">
        <v>1200</v>
      </c>
      <c r="BZ4247" s="2" t="s">
        <v>27</v>
      </c>
      <c r="CA4247" s="2" t="s">
        <v>3640</v>
      </c>
      <c r="CB4247" s="2"/>
      <c r="CC4247" s="2" t="s">
        <v>222</v>
      </c>
      <c r="CD4247" s="2">
        <v>4300</v>
      </c>
      <c r="CE4247" s="2" t="s">
        <v>104</v>
      </c>
      <c r="CF4247" s="5">
        <v>42951</v>
      </c>
      <c r="CG4247" s="2"/>
      <c r="CH4247" s="2"/>
      <c r="CI4247" s="2">
        <v>1</v>
      </c>
      <c r="CJ4247" s="2">
        <v>1</v>
      </c>
      <c r="CK4247" s="2">
        <v>21</v>
      </c>
      <c r="CL4247" s="2" t="s">
        <v>86</v>
      </c>
      <c r="CM4247" s="2"/>
    </row>
    <row r="4248" spans="1:91">
      <c r="A4248" s="2" t="s">
        <v>71</v>
      </c>
      <c r="B4248" s="2" t="s">
        <v>72</v>
      </c>
      <c r="C4248" s="2" t="s">
        <v>73</v>
      </c>
      <c r="D4248" s="2"/>
      <c r="E4248" s="2" t="str">
        <f>"FES1162566115"</f>
        <v>FES1162566115</v>
      </c>
      <c r="F4248" s="3">
        <v>42949</v>
      </c>
      <c r="G4248" s="2">
        <v>201802</v>
      </c>
      <c r="H4248" s="2" t="s">
        <v>74</v>
      </c>
      <c r="I4248" s="2" t="s">
        <v>75</v>
      </c>
      <c r="J4248" s="2" t="s">
        <v>76</v>
      </c>
      <c r="K4248" s="2" t="s">
        <v>77</v>
      </c>
      <c r="L4248" s="2" t="s">
        <v>105</v>
      </c>
      <c r="M4248" s="2" t="s">
        <v>106</v>
      </c>
      <c r="N4248" s="2" t="s">
        <v>705</v>
      </c>
      <c r="O4248" s="2" t="s">
        <v>100</v>
      </c>
      <c r="P4248" s="2" t="str">
        <f>"2170582678                    "</f>
        <v xml:space="preserve">2170582678                    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4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0</v>
      </c>
      <c r="AU4248" s="2">
        <v>0</v>
      </c>
      <c r="AV4248" s="2">
        <v>0</v>
      </c>
      <c r="AW4248" s="2">
        <v>0</v>
      </c>
      <c r="AX4248" s="2">
        <v>0</v>
      </c>
      <c r="AY4248" s="2">
        <v>0</v>
      </c>
      <c r="AZ4248" s="2">
        <v>0</v>
      </c>
      <c r="BA4248" s="2">
        <v>0</v>
      </c>
      <c r="BB4248" s="2">
        <v>0</v>
      </c>
      <c r="BC4248" s="2">
        <v>0</v>
      </c>
      <c r="BD4248" s="2">
        <v>0</v>
      </c>
      <c r="BE4248" s="2">
        <v>0</v>
      </c>
      <c r="BF4248" s="2">
        <v>0</v>
      </c>
      <c r="BG4248" s="2">
        <v>0</v>
      </c>
      <c r="BH4248" s="2">
        <v>1</v>
      </c>
      <c r="BI4248" s="2">
        <v>2</v>
      </c>
      <c r="BJ4248" s="2">
        <v>0.9</v>
      </c>
      <c r="BK4248" s="2">
        <v>2</v>
      </c>
      <c r="BL4248" s="2">
        <v>41.44</v>
      </c>
      <c r="BM4248" s="2">
        <v>5.8</v>
      </c>
      <c r="BN4248" s="2">
        <v>47.24</v>
      </c>
      <c r="BO4248" s="2">
        <v>47.24</v>
      </c>
      <c r="BP4248" s="2"/>
      <c r="BQ4248" s="2" t="s">
        <v>108</v>
      </c>
      <c r="BR4248" s="2" t="s">
        <v>84</v>
      </c>
      <c r="BS4248" s="3">
        <v>42950</v>
      </c>
      <c r="BT4248" s="4">
        <v>0.45347222222222222</v>
      </c>
      <c r="BU4248" s="2" t="s">
        <v>3924</v>
      </c>
      <c r="BV4248" s="2" t="s">
        <v>95</v>
      </c>
      <c r="BW4248" s="2"/>
      <c r="BX4248" s="2"/>
      <c r="BY4248" s="2">
        <v>4325</v>
      </c>
      <c r="BZ4248" s="2" t="s">
        <v>27</v>
      </c>
      <c r="CA4248" s="2" t="s">
        <v>904</v>
      </c>
      <c r="CB4248" s="2"/>
      <c r="CC4248" s="2" t="s">
        <v>106</v>
      </c>
      <c r="CD4248" s="2">
        <v>7441</v>
      </c>
      <c r="CE4248" s="2" t="s">
        <v>948</v>
      </c>
      <c r="CF4248" s="5">
        <v>42951</v>
      </c>
      <c r="CG4248" s="2"/>
      <c r="CH4248" s="2"/>
      <c r="CI4248" s="2">
        <v>1</v>
      </c>
      <c r="CJ4248" s="2">
        <v>1</v>
      </c>
      <c r="CK4248" s="2">
        <v>21</v>
      </c>
      <c r="CL4248" s="2" t="s">
        <v>86</v>
      </c>
      <c r="CM4248" s="2"/>
    </row>
    <row r="4249" spans="1:91">
      <c r="A4249" s="2" t="s">
        <v>71</v>
      </c>
      <c r="B4249" s="2" t="s">
        <v>72</v>
      </c>
      <c r="C4249" s="2" t="s">
        <v>73</v>
      </c>
      <c r="D4249" s="2"/>
      <c r="E4249" s="2" t="str">
        <f>"FES1162566317"</f>
        <v>FES1162566317</v>
      </c>
      <c r="F4249" s="3">
        <v>42949</v>
      </c>
      <c r="G4249" s="2">
        <v>201802</v>
      </c>
      <c r="H4249" s="2" t="s">
        <v>74</v>
      </c>
      <c r="I4249" s="2" t="s">
        <v>75</v>
      </c>
      <c r="J4249" s="2" t="s">
        <v>76</v>
      </c>
      <c r="K4249" s="2" t="s">
        <v>77</v>
      </c>
      <c r="L4249" s="2" t="s">
        <v>311</v>
      </c>
      <c r="M4249" s="2" t="s">
        <v>312</v>
      </c>
      <c r="N4249" s="2" t="s">
        <v>1759</v>
      </c>
      <c r="O4249" s="2" t="s">
        <v>100</v>
      </c>
      <c r="P4249" s="2" t="str">
        <f>"2170579397                    "</f>
        <v xml:space="preserve">2170579397                    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3.13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0</v>
      </c>
      <c r="AU4249" s="2">
        <v>0</v>
      </c>
      <c r="AV4249" s="2">
        <v>0</v>
      </c>
      <c r="AW4249" s="2">
        <v>0</v>
      </c>
      <c r="AX4249" s="2">
        <v>0</v>
      </c>
      <c r="AY4249" s="2">
        <v>0</v>
      </c>
      <c r="AZ4249" s="2">
        <v>0</v>
      </c>
      <c r="BA4249" s="2">
        <v>0</v>
      </c>
      <c r="BB4249" s="2">
        <v>0</v>
      </c>
      <c r="BC4249" s="2">
        <v>0</v>
      </c>
      <c r="BD4249" s="2">
        <v>0</v>
      </c>
      <c r="BE4249" s="2">
        <v>0</v>
      </c>
      <c r="BF4249" s="2">
        <v>0</v>
      </c>
      <c r="BG4249" s="2">
        <v>0</v>
      </c>
      <c r="BH4249" s="2">
        <v>1</v>
      </c>
      <c r="BI4249" s="2">
        <v>1</v>
      </c>
      <c r="BJ4249" s="2">
        <v>0.2</v>
      </c>
      <c r="BK4249" s="2">
        <v>1</v>
      </c>
      <c r="BL4249" s="2">
        <v>32.380000000000003</v>
      </c>
      <c r="BM4249" s="2">
        <v>4.53</v>
      </c>
      <c r="BN4249" s="2">
        <v>36.909999999999997</v>
      </c>
      <c r="BO4249" s="2">
        <v>36.909999999999997</v>
      </c>
      <c r="BP4249" s="2"/>
      <c r="BQ4249" s="2" t="s">
        <v>83</v>
      </c>
      <c r="BR4249" s="2" t="s">
        <v>84</v>
      </c>
      <c r="BS4249" s="3">
        <v>42950</v>
      </c>
      <c r="BT4249" s="4">
        <v>0.37152777777777773</v>
      </c>
      <c r="BU4249" s="2" t="s">
        <v>3771</v>
      </c>
      <c r="BV4249" s="2" t="s">
        <v>95</v>
      </c>
      <c r="BW4249" s="2"/>
      <c r="BX4249" s="2"/>
      <c r="BY4249" s="2">
        <v>1200</v>
      </c>
      <c r="BZ4249" s="2" t="s">
        <v>27</v>
      </c>
      <c r="CA4249" s="2" t="s">
        <v>889</v>
      </c>
      <c r="CB4249" s="2"/>
      <c r="CC4249" s="2" t="s">
        <v>312</v>
      </c>
      <c r="CD4249" s="2">
        <v>1559</v>
      </c>
      <c r="CE4249" s="2" t="s">
        <v>104</v>
      </c>
      <c r="CF4249" s="5">
        <v>42951</v>
      </c>
      <c r="CG4249" s="2"/>
      <c r="CH4249" s="2"/>
      <c r="CI4249" s="2">
        <v>1</v>
      </c>
      <c r="CJ4249" s="2">
        <v>1</v>
      </c>
      <c r="CK4249" s="2">
        <v>22</v>
      </c>
      <c r="CL4249" s="2" t="s">
        <v>86</v>
      </c>
      <c r="CM4249" s="2"/>
    </row>
    <row r="4250" spans="1:91">
      <c r="A4250" s="2" t="s">
        <v>71</v>
      </c>
      <c r="B4250" s="2" t="s">
        <v>72</v>
      </c>
      <c r="C4250" s="2" t="s">
        <v>73</v>
      </c>
      <c r="D4250" s="2"/>
      <c r="E4250" s="2" t="str">
        <f>"FES1162566160"</f>
        <v>FES1162566160</v>
      </c>
      <c r="F4250" s="3">
        <v>42949</v>
      </c>
      <c r="G4250" s="2">
        <v>201802</v>
      </c>
      <c r="H4250" s="2" t="s">
        <v>74</v>
      </c>
      <c r="I4250" s="2" t="s">
        <v>75</v>
      </c>
      <c r="J4250" s="2" t="s">
        <v>76</v>
      </c>
      <c r="K4250" s="2" t="s">
        <v>77</v>
      </c>
      <c r="L4250" s="2" t="s">
        <v>105</v>
      </c>
      <c r="M4250" s="2" t="s">
        <v>106</v>
      </c>
      <c r="N4250" s="2" t="s">
        <v>107</v>
      </c>
      <c r="O4250" s="2" t="s">
        <v>100</v>
      </c>
      <c r="P4250" s="2" t="str">
        <f>"2170580589                    "</f>
        <v xml:space="preserve">2170580589                    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4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0</v>
      </c>
      <c r="AU4250" s="2">
        <v>0</v>
      </c>
      <c r="AV4250" s="2">
        <v>0</v>
      </c>
      <c r="AW4250" s="2">
        <v>0</v>
      </c>
      <c r="AX4250" s="2">
        <v>0</v>
      </c>
      <c r="AY4250" s="2">
        <v>0</v>
      </c>
      <c r="AZ4250" s="2">
        <v>0</v>
      </c>
      <c r="BA4250" s="2">
        <v>0</v>
      </c>
      <c r="BB4250" s="2">
        <v>0</v>
      </c>
      <c r="BC4250" s="2">
        <v>0</v>
      </c>
      <c r="BD4250" s="2">
        <v>0</v>
      </c>
      <c r="BE4250" s="2">
        <v>0</v>
      </c>
      <c r="BF4250" s="2">
        <v>0</v>
      </c>
      <c r="BG4250" s="2">
        <v>0</v>
      </c>
      <c r="BH4250" s="2">
        <v>1</v>
      </c>
      <c r="BI4250" s="2">
        <v>1</v>
      </c>
      <c r="BJ4250" s="2">
        <v>0.2</v>
      </c>
      <c r="BK4250" s="2">
        <v>1</v>
      </c>
      <c r="BL4250" s="2">
        <v>41.44</v>
      </c>
      <c r="BM4250" s="2">
        <v>5.8</v>
      </c>
      <c r="BN4250" s="2">
        <v>47.24</v>
      </c>
      <c r="BO4250" s="2">
        <v>47.24</v>
      </c>
      <c r="BP4250" s="2"/>
      <c r="BQ4250" s="2" t="s">
        <v>108</v>
      </c>
      <c r="BR4250" s="2" t="s">
        <v>84</v>
      </c>
      <c r="BS4250" s="3">
        <v>42950</v>
      </c>
      <c r="BT4250" s="4">
        <v>0.4055555555555555</v>
      </c>
      <c r="BU4250" s="2" t="s">
        <v>1503</v>
      </c>
      <c r="BV4250" s="2" t="s">
        <v>95</v>
      </c>
      <c r="BW4250" s="2"/>
      <c r="BX4250" s="2"/>
      <c r="BY4250" s="2">
        <v>1200</v>
      </c>
      <c r="BZ4250" s="2" t="s">
        <v>27</v>
      </c>
      <c r="CA4250" s="2" t="s">
        <v>112</v>
      </c>
      <c r="CB4250" s="2"/>
      <c r="CC4250" s="2" t="s">
        <v>106</v>
      </c>
      <c r="CD4250" s="2">
        <v>7405</v>
      </c>
      <c r="CE4250" s="2" t="s">
        <v>104</v>
      </c>
      <c r="CF4250" s="5">
        <v>42950</v>
      </c>
      <c r="CG4250" s="2"/>
      <c r="CH4250" s="2"/>
      <c r="CI4250" s="2">
        <v>1</v>
      </c>
      <c r="CJ4250" s="2">
        <v>1</v>
      </c>
      <c r="CK4250" s="2">
        <v>21</v>
      </c>
      <c r="CL4250" s="2" t="s">
        <v>86</v>
      </c>
      <c r="CM4250" s="2"/>
    </row>
    <row r="4251" spans="1:91">
      <c r="A4251" s="2" t="s">
        <v>71</v>
      </c>
      <c r="B4251" s="2" t="s">
        <v>72</v>
      </c>
      <c r="C4251" s="2" t="s">
        <v>73</v>
      </c>
      <c r="D4251" s="2"/>
      <c r="E4251" s="2" t="str">
        <f>"FES1162566145"</f>
        <v>FES1162566145</v>
      </c>
      <c r="F4251" s="3">
        <v>42949</v>
      </c>
      <c r="G4251" s="2">
        <v>201802</v>
      </c>
      <c r="H4251" s="2" t="s">
        <v>74</v>
      </c>
      <c r="I4251" s="2" t="s">
        <v>75</v>
      </c>
      <c r="J4251" s="2" t="s">
        <v>76</v>
      </c>
      <c r="K4251" s="2" t="s">
        <v>77</v>
      </c>
      <c r="L4251" s="2" t="s">
        <v>174</v>
      </c>
      <c r="M4251" s="2" t="s">
        <v>175</v>
      </c>
      <c r="N4251" s="2" t="s">
        <v>1266</v>
      </c>
      <c r="O4251" s="2" t="s">
        <v>100</v>
      </c>
      <c r="P4251" s="2" t="str">
        <f>"2170579822                    "</f>
        <v xml:space="preserve">2170579822                    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8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0</v>
      </c>
      <c r="AU4251" s="2">
        <v>0</v>
      </c>
      <c r="AV4251" s="2">
        <v>0</v>
      </c>
      <c r="AW4251" s="2">
        <v>0</v>
      </c>
      <c r="AX4251" s="2">
        <v>0</v>
      </c>
      <c r="AY4251" s="2">
        <v>0</v>
      </c>
      <c r="AZ4251" s="2">
        <v>0</v>
      </c>
      <c r="BA4251" s="2">
        <v>0</v>
      </c>
      <c r="BB4251" s="2">
        <v>0</v>
      </c>
      <c r="BC4251" s="2">
        <v>0</v>
      </c>
      <c r="BD4251" s="2">
        <v>0</v>
      </c>
      <c r="BE4251" s="2">
        <v>0</v>
      </c>
      <c r="BF4251" s="2">
        <v>0</v>
      </c>
      <c r="BG4251" s="2">
        <v>0</v>
      </c>
      <c r="BH4251" s="2">
        <v>1</v>
      </c>
      <c r="BI4251" s="2">
        <v>1</v>
      </c>
      <c r="BJ4251" s="2">
        <v>3.8</v>
      </c>
      <c r="BK4251" s="2">
        <v>4</v>
      </c>
      <c r="BL4251" s="2">
        <v>82.88</v>
      </c>
      <c r="BM4251" s="2">
        <v>11.6</v>
      </c>
      <c r="BN4251" s="2">
        <v>94.48</v>
      </c>
      <c r="BO4251" s="2">
        <v>94.48</v>
      </c>
      <c r="BP4251" s="2"/>
      <c r="BQ4251" s="2" t="s">
        <v>83</v>
      </c>
      <c r="BR4251" s="2" t="s">
        <v>84</v>
      </c>
      <c r="BS4251" s="3">
        <v>42950</v>
      </c>
      <c r="BT4251" s="4">
        <v>0.41666666666666669</v>
      </c>
      <c r="BU4251" s="2" t="s">
        <v>2891</v>
      </c>
      <c r="BV4251" s="2" t="s">
        <v>95</v>
      </c>
      <c r="BW4251" s="2"/>
      <c r="BX4251" s="2"/>
      <c r="BY4251" s="2">
        <v>18840.54</v>
      </c>
      <c r="BZ4251" s="2" t="s">
        <v>27</v>
      </c>
      <c r="CA4251" s="2"/>
      <c r="CB4251" s="2"/>
      <c r="CC4251" s="2" t="s">
        <v>175</v>
      </c>
      <c r="CD4251" s="2">
        <v>5200</v>
      </c>
      <c r="CE4251" s="2" t="s">
        <v>89</v>
      </c>
      <c r="CF4251" s="5">
        <v>42954</v>
      </c>
      <c r="CG4251" s="2"/>
      <c r="CH4251" s="2"/>
      <c r="CI4251" s="2">
        <v>1</v>
      </c>
      <c r="CJ4251" s="2">
        <v>1</v>
      </c>
      <c r="CK4251" s="2">
        <v>21</v>
      </c>
      <c r="CL4251" s="2" t="s">
        <v>86</v>
      </c>
      <c r="CM4251" s="2"/>
    </row>
    <row r="4252" spans="1:91">
      <c r="A4252" s="2" t="s">
        <v>71</v>
      </c>
      <c r="B4252" s="2" t="s">
        <v>72</v>
      </c>
      <c r="C4252" s="2" t="s">
        <v>73</v>
      </c>
      <c r="D4252" s="2"/>
      <c r="E4252" s="2" t="str">
        <f>"FES1162566121"</f>
        <v>FES1162566121</v>
      </c>
      <c r="F4252" s="3">
        <v>42949</v>
      </c>
      <c r="G4252" s="2">
        <v>201802</v>
      </c>
      <c r="H4252" s="2" t="s">
        <v>74</v>
      </c>
      <c r="I4252" s="2" t="s">
        <v>75</v>
      </c>
      <c r="J4252" s="2" t="s">
        <v>76</v>
      </c>
      <c r="K4252" s="2" t="s">
        <v>77</v>
      </c>
      <c r="L4252" s="2" t="s">
        <v>362</v>
      </c>
      <c r="M4252" s="2" t="s">
        <v>363</v>
      </c>
      <c r="N4252" s="2" t="s">
        <v>683</v>
      </c>
      <c r="O4252" s="2" t="s">
        <v>100</v>
      </c>
      <c r="P4252" s="2" t="str">
        <f>"2170574506                    "</f>
        <v xml:space="preserve">2170574506                    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4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0</v>
      </c>
      <c r="AU4252" s="2">
        <v>0</v>
      </c>
      <c r="AV4252" s="2">
        <v>0</v>
      </c>
      <c r="AW4252" s="2">
        <v>0</v>
      </c>
      <c r="AX4252" s="2">
        <v>0</v>
      </c>
      <c r="AY4252" s="2">
        <v>0</v>
      </c>
      <c r="AZ4252" s="2">
        <v>0</v>
      </c>
      <c r="BA4252" s="2">
        <v>0</v>
      </c>
      <c r="BB4252" s="2">
        <v>0</v>
      </c>
      <c r="BC4252" s="2">
        <v>0</v>
      </c>
      <c r="BD4252" s="2">
        <v>0</v>
      </c>
      <c r="BE4252" s="2">
        <v>0</v>
      </c>
      <c r="BF4252" s="2">
        <v>0</v>
      </c>
      <c r="BG4252" s="2">
        <v>0</v>
      </c>
      <c r="BH4252" s="2">
        <v>1</v>
      </c>
      <c r="BI4252" s="2">
        <v>1</v>
      </c>
      <c r="BJ4252" s="2">
        <v>0.2</v>
      </c>
      <c r="BK4252" s="2">
        <v>1</v>
      </c>
      <c r="BL4252" s="2">
        <v>41.44</v>
      </c>
      <c r="BM4252" s="2">
        <v>5.8</v>
      </c>
      <c r="BN4252" s="2">
        <v>47.24</v>
      </c>
      <c r="BO4252" s="2">
        <v>47.24</v>
      </c>
      <c r="BP4252" s="2"/>
      <c r="BQ4252" s="2" t="s">
        <v>108</v>
      </c>
      <c r="BR4252" s="2" t="s">
        <v>84</v>
      </c>
      <c r="BS4252" s="3">
        <v>42950</v>
      </c>
      <c r="BT4252" s="4">
        <v>0.375</v>
      </c>
      <c r="BU4252" s="2" t="s">
        <v>805</v>
      </c>
      <c r="BV4252" s="2" t="s">
        <v>95</v>
      </c>
      <c r="BW4252" s="2"/>
      <c r="BX4252" s="2"/>
      <c r="BY4252" s="2">
        <v>1200</v>
      </c>
      <c r="BZ4252" s="2" t="s">
        <v>27</v>
      </c>
      <c r="CA4252" s="2"/>
      <c r="CB4252" s="2"/>
      <c r="CC4252" s="2" t="s">
        <v>363</v>
      </c>
      <c r="CD4252" s="2">
        <v>3201</v>
      </c>
      <c r="CE4252" s="2" t="s">
        <v>104</v>
      </c>
      <c r="CF4252" s="5">
        <v>42954</v>
      </c>
      <c r="CG4252" s="2"/>
      <c r="CH4252" s="2"/>
      <c r="CI4252" s="2">
        <v>1</v>
      </c>
      <c r="CJ4252" s="2">
        <v>1</v>
      </c>
      <c r="CK4252" s="2">
        <v>21</v>
      </c>
      <c r="CL4252" s="2" t="s">
        <v>86</v>
      </c>
      <c r="CM4252" s="2"/>
    </row>
    <row r="4253" spans="1:91">
      <c r="A4253" s="2" t="s">
        <v>71</v>
      </c>
      <c r="B4253" s="2" t="s">
        <v>72</v>
      </c>
      <c r="C4253" s="2" t="s">
        <v>73</v>
      </c>
      <c r="D4253" s="2"/>
      <c r="E4253" s="2" t="str">
        <f>"FES1162566213"</f>
        <v>FES1162566213</v>
      </c>
      <c r="F4253" s="3">
        <v>42949</v>
      </c>
      <c r="G4253" s="2">
        <v>201802</v>
      </c>
      <c r="H4253" s="2" t="s">
        <v>74</v>
      </c>
      <c r="I4253" s="2" t="s">
        <v>75</v>
      </c>
      <c r="J4253" s="2" t="s">
        <v>76</v>
      </c>
      <c r="K4253" s="2" t="s">
        <v>77</v>
      </c>
      <c r="L4253" s="2" t="s">
        <v>362</v>
      </c>
      <c r="M4253" s="2" t="s">
        <v>363</v>
      </c>
      <c r="N4253" s="2" t="s">
        <v>377</v>
      </c>
      <c r="O4253" s="2" t="s">
        <v>100</v>
      </c>
      <c r="P4253" s="2" t="str">
        <f>"2170582201                    "</f>
        <v xml:space="preserve">2170582201                    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4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0</v>
      </c>
      <c r="AU4253" s="2">
        <v>0</v>
      </c>
      <c r="AV4253" s="2">
        <v>0</v>
      </c>
      <c r="AW4253" s="2">
        <v>0</v>
      </c>
      <c r="AX4253" s="2">
        <v>0</v>
      </c>
      <c r="AY4253" s="2">
        <v>0</v>
      </c>
      <c r="AZ4253" s="2">
        <v>0</v>
      </c>
      <c r="BA4253" s="2">
        <v>0</v>
      </c>
      <c r="BB4253" s="2">
        <v>0</v>
      </c>
      <c r="BC4253" s="2">
        <v>0</v>
      </c>
      <c r="BD4253" s="2">
        <v>0</v>
      </c>
      <c r="BE4253" s="2">
        <v>0</v>
      </c>
      <c r="BF4253" s="2">
        <v>0</v>
      </c>
      <c r="BG4253" s="2">
        <v>0</v>
      </c>
      <c r="BH4253" s="2">
        <v>1</v>
      </c>
      <c r="BI4253" s="2">
        <v>2</v>
      </c>
      <c r="BJ4253" s="2">
        <v>0.2</v>
      </c>
      <c r="BK4253" s="2">
        <v>2</v>
      </c>
      <c r="BL4253" s="2">
        <v>41.44</v>
      </c>
      <c r="BM4253" s="2">
        <v>5.8</v>
      </c>
      <c r="BN4253" s="2">
        <v>47.24</v>
      </c>
      <c r="BO4253" s="2">
        <v>47.24</v>
      </c>
      <c r="BP4253" s="2"/>
      <c r="BQ4253" s="2" t="s">
        <v>83</v>
      </c>
      <c r="BR4253" s="2" t="s">
        <v>84</v>
      </c>
      <c r="BS4253" s="3">
        <v>42950</v>
      </c>
      <c r="BT4253" s="4">
        <v>0.40277777777777773</v>
      </c>
      <c r="BU4253" s="2" t="s">
        <v>1006</v>
      </c>
      <c r="BV4253" s="2" t="s">
        <v>95</v>
      </c>
      <c r="BW4253" s="2"/>
      <c r="BX4253" s="2"/>
      <c r="BY4253" s="2">
        <v>1200</v>
      </c>
      <c r="BZ4253" s="2" t="s">
        <v>27</v>
      </c>
      <c r="CA4253" s="2" t="s">
        <v>379</v>
      </c>
      <c r="CB4253" s="2"/>
      <c r="CC4253" s="2" t="s">
        <v>363</v>
      </c>
      <c r="CD4253" s="2">
        <v>3201</v>
      </c>
      <c r="CE4253" s="2" t="s">
        <v>104</v>
      </c>
      <c r="CF4253" s="5">
        <v>42954</v>
      </c>
      <c r="CG4253" s="2"/>
      <c r="CH4253" s="2"/>
      <c r="CI4253" s="2">
        <v>1</v>
      </c>
      <c r="CJ4253" s="2">
        <v>1</v>
      </c>
      <c r="CK4253" s="2">
        <v>21</v>
      </c>
      <c r="CL4253" s="2" t="s">
        <v>86</v>
      </c>
      <c r="CM4253" s="2"/>
    </row>
    <row r="4254" spans="1:91">
      <c r="A4254" s="2" t="s">
        <v>71</v>
      </c>
      <c r="B4254" s="2" t="s">
        <v>72</v>
      </c>
      <c r="C4254" s="2" t="s">
        <v>73</v>
      </c>
      <c r="D4254" s="2"/>
      <c r="E4254" s="2" t="str">
        <f>"FES1162566478"</f>
        <v>FES1162566478</v>
      </c>
      <c r="F4254" s="3">
        <v>42949</v>
      </c>
      <c r="G4254" s="2">
        <v>201802</v>
      </c>
      <c r="H4254" s="2" t="s">
        <v>74</v>
      </c>
      <c r="I4254" s="2" t="s">
        <v>75</v>
      </c>
      <c r="J4254" s="2" t="s">
        <v>76</v>
      </c>
      <c r="K4254" s="2" t="s">
        <v>77</v>
      </c>
      <c r="L4254" s="2" t="s">
        <v>97</v>
      </c>
      <c r="M4254" s="2" t="s">
        <v>98</v>
      </c>
      <c r="N4254" s="2" t="s">
        <v>248</v>
      </c>
      <c r="O4254" s="2" t="s">
        <v>100</v>
      </c>
      <c r="P4254" s="2" t="str">
        <f>"2170582101                    "</f>
        <v xml:space="preserve">2170582101                    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4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0</v>
      </c>
      <c r="AU4254" s="2">
        <v>0</v>
      </c>
      <c r="AV4254" s="2">
        <v>0</v>
      </c>
      <c r="AW4254" s="2">
        <v>0</v>
      </c>
      <c r="AX4254" s="2">
        <v>0</v>
      </c>
      <c r="AY4254" s="2">
        <v>0</v>
      </c>
      <c r="AZ4254" s="2">
        <v>0</v>
      </c>
      <c r="BA4254" s="2">
        <v>0</v>
      </c>
      <c r="BB4254" s="2">
        <v>0</v>
      </c>
      <c r="BC4254" s="2">
        <v>0</v>
      </c>
      <c r="BD4254" s="2">
        <v>0</v>
      </c>
      <c r="BE4254" s="2">
        <v>0</v>
      </c>
      <c r="BF4254" s="2">
        <v>0</v>
      </c>
      <c r="BG4254" s="2">
        <v>0</v>
      </c>
      <c r="BH4254" s="2">
        <v>1</v>
      </c>
      <c r="BI4254" s="2">
        <v>1</v>
      </c>
      <c r="BJ4254" s="2">
        <v>0.2</v>
      </c>
      <c r="BK4254" s="2">
        <v>1</v>
      </c>
      <c r="BL4254" s="2">
        <v>41.44</v>
      </c>
      <c r="BM4254" s="2">
        <v>5.8</v>
      </c>
      <c r="BN4254" s="2">
        <v>47.24</v>
      </c>
      <c r="BO4254" s="2">
        <v>47.24</v>
      </c>
      <c r="BP4254" s="2"/>
      <c r="BQ4254" s="2" t="s">
        <v>83</v>
      </c>
      <c r="BR4254" s="2" t="s">
        <v>84</v>
      </c>
      <c r="BS4254" s="3">
        <v>42950</v>
      </c>
      <c r="BT4254" s="4">
        <v>0.33333333333333331</v>
      </c>
      <c r="BU4254" s="2" t="s">
        <v>390</v>
      </c>
      <c r="BV4254" s="2" t="s">
        <v>95</v>
      </c>
      <c r="BW4254" s="2"/>
      <c r="BX4254" s="2"/>
      <c r="BY4254" s="2">
        <v>1200</v>
      </c>
      <c r="BZ4254" s="2" t="s">
        <v>27</v>
      </c>
      <c r="CA4254" s="2" t="s">
        <v>294</v>
      </c>
      <c r="CB4254" s="2"/>
      <c r="CC4254" s="2" t="s">
        <v>98</v>
      </c>
      <c r="CD4254" s="2">
        <v>6001</v>
      </c>
      <c r="CE4254" s="2" t="s">
        <v>104</v>
      </c>
      <c r="CF4254" s="5">
        <v>42951</v>
      </c>
      <c r="CG4254" s="2"/>
      <c r="CH4254" s="2"/>
      <c r="CI4254" s="2">
        <v>1</v>
      </c>
      <c r="CJ4254" s="2">
        <v>1</v>
      </c>
      <c r="CK4254" s="2">
        <v>21</v>
      </c>
      <c r="CL4254" s="2" t="s">
        <v>86</v>
      </c>
      <c r="CM4254" s="2"/>
    </row>
    <row r="4255" spans="1:91">
      <c r="A4255" s="2" t="s">
        <v>71</v>
      </c>
      <c r="B4255" s="2" t="s">
        <v>72</v>
      </c>
      <c r="C4255" s="2" t="s">
        <v>73</v>
      </c>
      <c r="D4255" s="2"/>
      <c r="E4255" s="2" t="str">
        <f>"FES1162566195"</f>
        <v>FES1162566195</v>
      </c>
      <c r="F4255" s="3">
        <v>42949</v>
      </c>
      <c r="G4255" s="2">
        <v>201802</v>
      </c>
      <c r="H4255" s="2" t="s">
        <v>74</v>
      </c>
      <c r="I4255" s="2" t="s">
        <v>75</v>
      </c>
      <c r="J4255" s="2" t="s">
        <v>76</v>
      </c>
      <c r="K4255" s="2" t="s">
        <v>77</v>
      </c>
      <c r="L4255" s="2" t="s">
        <v>164</v>
      </c>
      <c r="M4255" s="2" t="s">
        <v>165</v>
      </c>
      <c r="N4255" s="2" t="s">
        <v>1191</v>
      </c>
      <c r="O4255" s="2" t="s">
        <v>100</v>
      </c>
      <c r="P4255" s="2" t="str">
        <f>"2170581778                    "</f>
        <v xml:space="preserve">2170581778                    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4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0</v>
      </c>
      <c r="AU4255" s="2">
        <v>0</v>
      </c>
      <c r="AV4255" s="2">
        <v>0</v>
      </c>
      <c r="AW4255" s="2">
        <v>0</v>
      </c>
      <c r="AX4255" s="2">
        <v>0</v>
      </c>
      <c r="AY4255" s="2">
        <v>0</v>
      </c>
      <c r="AZ4255" s="2">
        <v>0</v>
      </c>
      <c r="BA4255" s="2">
        <v>0</v>
      </c>
      <c r="BB4255" s="2">
        <v>0</v>
      </c>
      <c r="BC4255" s="2">
        <v>0</v>
      </c>
      <c r="BD4255" s="2">
        <v>0</v>
      </c>
      <c r="BE4255" s="2">
        <v>0</v>
      </c>
      <c r="BF4255" s="2">
        <v>0</v>
      </c>
      <c r="BG4255" s="2">
        <v>0</v>
      </c>
      <c r="BH4255" s="2">
        <v>1</v>
      </c>
      <c r="BI4255" s="2">
        <v>1</v>
      </c>
      <c r="BJ4255" s="2">
        <v>0.9</v>
      </c>
      <c r="BK4255" s="2">
        <v>1</v>
      </c>
      <c r="BL4255" s="2">
        <v>41.44</v>
      </c>
      <c r="BM4255" s="2">
        <v>5.8</v>
      </c>
      <c r="BN4255" s="2">
        <v>47.24</v>
      </c>
      <c r="BO4255" s="2">
        <v>47.24</v>
      </c>
      <c r="BP4255" s="2"/>
      <c r="BQ4255" s="2" t="s">
        <v>83</v>
      </c>
      <c r="BR4255" s="2" t="s">
        <v>84</v>
      </c>
      <c r="BS4255" s="3">
        <v>42950</v>
      </c>
      <c r="BT4255" s="4">
        <v>0.42986111111111108</v>
      </c>
      <c r="BU4255" s="2" t="s">
        <v>1683</v>
      </c>
      <c r="BV4255" s="2" t="s">
        <v>95</v>
      </c>
      <c r="BW4255" s="2"/>
      <c r="BX4255" s="2"/>
      <c r="BY4255" s="2">
        <v>4529.25</v>
      </c>
      <c r="BZ4255" s="2" t="s">
        <v>27</v>
      </c>
      <c r="CA4255" s="2" t="s">
        <v>2114</v>
      </c>
      <c r="CB4255" s="2"/>
      <c r="CC4255" s="2" t="s">
        <v>165</v>
      </c>
      <c r="CD4255" s="2">
        <v>6850</v>
      </c>
      <c r="CE4255" s="2" t="s">
        <v>89</v>
      </c>
      <c r="CF4255" s="5">
        <v>42951</v>
      </c>
      <c r="CG4255" s="2"/>
      <c r="CH4255" s="2"/>
      <c r="CI4255" s="2">
        <v>3</v>
      </c>
      <c r="CJ4255" s="2">
        <v>1</v>
      </c>
      <c r="CK4255" s="2">
        <v>21</v>
      </c>
      <c r="CL4255" s="2" t="s">
        <v>86</v>
      </c>
      <c r="CM4255" s="2"/>
    </row>
    <row r="4256" spans="1:91">
      <c r="A4256" s="2" t="s">
        <v>71</v>
      </c>
      <c r="B4256" s="2" t="s">
        <v>72</v>
      </c>
      <c r="C4256" s="2" t="s">
        <v>73</v>
      </c>
      <c r="D4256" s="2"/>
      <c r="E4256" s="2" t="str">
        <f>"FES1162566226"</f>
        <v>FES1162566226</v>
      </c>
      <c r="F4256" s="3">
        <v>42949</v>
      </c>
      <c r="G4256" s="2">
        <v>201802</v>
      </c>
      <c r="H4256" s="2" t="s">
        <v>74</v>
      </c>
      <c r="I4256" s="2" t="s">
        <v>75</v>
      </c>
      <c r="J4256" s="2" t="s">
        <v>76</v>
      </c>
      <c r="K4256" s="2" t="s">
        <v>77</v>
      </c>
      <c r="L4256" s="2" t="s">
        <v>237</v>
      </c>
      <c r="M4256" s="2" t="s">
        <v>238</v>
      </c>
      <c r="N4256" s="2" t="s">
        <v>3925</v>
      </c>
      <c r="O4256" s="2" t="s">
        <v>100</v>
      </c>
      <c r="P4256" s="2" t="str">
        <f>"2170582329                    "</f>
        <v xml:space="preserve">2170582329                    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4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0</v>
      </c>
      <c r="AU4256" s="2">
        <v>0</v>
      </c>
      <c r="AV4256" s="2">
        <v>0</v>
      </c>
      <c r="AW4256" s="2">
        <v>0</v>
      </c>
      <c r="AX4256" s="2">
        <v>0</v>
      </c>
      <c r="AY4256" s="2">
        <v>0</v>
      </c>
      <c r="AZ4256" s="2">
        <v>0</v>
      </c>
      <c r="BA4256" s="2">
        <v>0</v>
      </c>
      <c r="BB4256" s="2">
        <v>0</v>
      </c>
      <c r="BC4256" s="2">
        <v>0</v>
      </c>
      <c r="BD4256" s="2">
        <v>0</v>
      </c>
      <c r="BE4256" s="2">
        <v>0</v>
      </c>
      <c r="BF4256" s="2">
        <v>0</v>
      </c>
      <c r="BG4256" s="2">
        <v>0</v>
      </c>
      <c r="BH4256" s="2">
        <v>1</v>
      </c>
      <c r="BI4256" s="2">
        <v>1</v>
      </c>
      <c r="BJ4256" s="2">
        <v>0.2</v>
      </c>
      <c r="BK4256" s="2">
        <v>1</v>
      </c>
      <c r="BL4256" s="2">
        <v>41.44</v>
      </c>
      <c r="BM4256" s="2">
        <v>5.8</v>
      </c>
      <c r="BN4256" s="2">
        <v>47.24</v>
      </c>
      <c r="BO4256" s="2">
        <v>47.24</v>
      </c>
      <c r="BP4256" s="2"/>
      <c r="BQ4256" s="2" t="s">
        <v>83</v>
      </c>
      <c r="BR4256" s="2" t="s">
        <v>84</v>
      </c>
      <c r="BS4256" s="3">
        <v>42950</v>
      </c>
      <c r="BT4256" s="4">
        <v>0.40416666666666662</v>
      </c>
      <c r="BU4256" s="2" t="s">
        <v>3926</v>
      </c>
      <c r="BV4256" s="2" t="s">
        <v>95</v>
      </c>
      <c r="BW4256" s="2"/>
      <c r="BX4256" s="2"/>
      <c r="BY4256" s="2">
        <v>1200</v>
      </c>
      <c r="BZ4256" s="2" t="s">
        <v>27</v>
      </c>
      <c r="CA4256" s="2" t="s">
        <v>401</v>
      </c>
      <c r="CB4256" s="2"/>
      <c r="CC4256" s="2" t="s">
        <v>238</v>
      </c>
      <c r="CD4256" s="2">
        <v>3610</v>
      </c>
      <c r="CE4256" s="2" t="s">
        <v>104</v>
      </c>
      <c r="CF4256" s="5">
        <v>42951</v>
      </c>
      <c r="CG4256" s="2"/>
      <c r="CH4256" s="2"/>
      <c r="CI4256" s="2">
        <v>1</v>
      </c>
      <c r="CJ4256" s="2">
        <v>1</v>
      </c>
      <c r="CK4256" s="2">
        <v>21</v>
      </c>
      <c r="CL4256" s="2" t="s">
        <v>86</v>
      </c>
      <c r="CM4256" s="2"/>
    </row>
    <row r="4257" spans="1:91">
      <c r="A4257" s="2" t="s">
        <v>71</v>
      </c>
      <c r="B4257" s="2" t="s">
        <v>72</v>
      </c>
      <c r="C4257" s="2" t="s">
        <v>73</v>
      </c>
      <c r="D4257" s="2"/>
      <c r="E4257" s="2" t="str">
        <f>"FES1162566128"</f>
        <v>FES1162566128</v>
      </c>
      <c r="F4257" s="3">
        <v>42949</v>
      </c>
      <c r="G4257" s="2">
        <v>201802</v>
      </c>
      <c r="H4257" s="2" t="s">
        <v>74</v>
      </c>
      <c r="I4257" s="2" t="s">
        <v>75</v>
      </c>
      <c r="J4257" s="2" t="s">
        <v>76</v>
      </c>
      <c r="K4257" s="2" t="s">
        <v>77</v>
      </c>
      <c r="L4257" s="2" t="s">
        <v>362</v>
      </c>
      <c r="M4257" s="2" t="s">
        <v>363</v>
      </c>
      <c r="N4257" s="2" t="s">
        <v>683</v>
      </c>
      <c r="O4257" s="2" t="s">
        <v>100</v>
      </c>
      <c r="P4257" s="2" t="str">
        <f>"217077284                     "</f>
        <v xml:space="preserve">217077284                     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4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0</v>
      </c>
      <c r="AU4257" s="2">
        <v>0</v>
      </c>
      <c r="AV4257" s="2">
        <v>0</v>
      </c>
      <c r="AW4257" s="2">
        <v>0</v>
      </c>
      <c r="AX4257" s="2">
        <v>0</v>
      </c>
      <c r="AY4257" s="2">
        <v>0</v>
      </c>
      <c r="AZ4257" s="2">
        <v>0</v>
      </c>
      <c r="BA4257" s="2">
        <v>0</v>
      </c>
      <c r="BB4257" s="2">
        <v>0</v>
      </c>
      <c r="BC4257" s="2">
        <v>0</v>
      </c>
      <c r="BD4257" s="2">
        <v>0</v>
      </c>
      <c r="BE4257" s="2">
        <v>0</v>
      </c>
      <c r="BF4257" s="2">
        <v>0</v>
      </c>
      <c r="BG4257" s="2">
        <v>0</v>
      </c>
      <c r="BH4257" s="2">
        <v>1</v>
      </c>
      <c r="BI4257" s="2">
        <v>1</v>
      </c>
      <c r="BJ4257" s="2">
        <v>0.2</v>
      </c>
      <c r="BK4257" s="2">
        <v>1</v>
      </c>
      <c r="BL4257" s="2">
        <v>41.44</v>
      </c>
      <c r="BM4257" s="2">
        <v>5.8</v>
      </c>
      <c r="BN4257" s="2">
        <v>47.24</v>
      </c>
      <c r="BO4257" s="2">
        <v>47.24</v>
      </c>
      <c r="BP4257" s="2"/>
      <c r="BQ4257" s="2" t="s">
        <v>108</v>
      </c>
      <c r="BR4257" s="2" t="s">
        <v>84</v>
      </c>
      <c r="BS4257" s="3">
        <v>42950</v>
      </c>
      <c r="BT4257" s="4">
        <v>0.375</v>
      </c>
      <c r="BU4257" s="2" t="s">
        <v>805</v>
      </c>
      <c r="BV4257" s="2" t="s">
        <v>95</v>
      </c>
      <c r="BW4257" s="2"/>
      <c r="BX4257" s="2"/>
      <c r="BY4257" s="2">
        <v>1200</v>
      </c>
      <c r="BZ4257" s="2" t="s">
        <v>27</v>
      </c>
      <c r="CA4257" s="2"/>
      <c r="CB4257" s="2"/>
      <c r="CC4257" s="2" t="s">
        <v>363</v>
      </c>
      <c r="CD4257" s="2">
        <v>3201</v>
      </c>
      <c r="CE4257" s="2" t="s">
        <v>104</v>
      </c>
      <c r="CF4257" s="5">
        <v>42954</v>
      </c>
      <c r="CG4257" s="2"/>
      <c r="CH4257" s="2"/>
      <c r="CI4257" s="2">
        <v>1</v>
      </c>
      <c r="CJ4257" s="2">
        <v>1</v>
      </c>
      <c r="CK4257" s="2">
        <v>21</v>
      </c>
      <c r="CL4257" s="2" t="s">
        <v>86</v>
      </c>
      <c r="CM4257" s="2"/>
    </row>
    <row r="4258" spans="1:91">
      <c r="A4258" s="2" t="s">
        <v>71</v>
      </c>
      <c r="B4258" s="2" t="s">
        <v>72</v>
      </c>
      <c r="C4258" s="2" t="s">
        <v>73</v>
      </c>
      <c r="D4258" s="2"/>
      <c r="E4258" s="2" t="str">
        <f>"FES1162566260"</f>
        <v>FES1162566260</v>
      </c>
      <c r="F4258" s="3">
        <v>42949</v>
      </c>
      <c r="G4258" s="2">
        <v>201802</v>
      </c>
      <c r="H4258" s="2" t="s">
        <v>74</v>
      </c>
      <c r="I4258" s="2" t="s">
        <v>75</v>
      </c>
      <c r="J4258" s="2" t="s">
        <v>76</v>
      </c>
      <c r="K4258" s="2" t="s">
        <v>77</v>
      </c>
      <c r="L4258" s="2" t="s">
        <v>105</v>
      </c>
      <c r="M4258" s="2" t="s">
        <v>106</v>
      </c>
      <c r="N4258" s="2" t="s">
        <v>851</v>
      </c>
      <c r="O4258" s="2" t="s">
        <v>100</v>
      </c>
      <c r="P4258" s="2" t="str">
        <f>"2170582688                    "</f>
        <v xml:space="preserve">2170582688                    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4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0</v>
      </c>
      <c r="AU4258" s="2">
        <v>0</v>
      </c>
      <c r="AV4258" s="2">
        <v>0</v>
      </c>
      <c r="AW4258" s="2">
        <v>0</v>
      </c>
      <c r="AX4258" s="2">
        <v>0</v>
      </c>
      <c r="AY4258" s="2">
        <v>0</v>
      </c>
      <c r="AZ4258" s="2">
        <v>0</v>
      </c>
      <c r="BA4258" s="2">
        <v>0</v>
      </c>
      <c r="BB4258" s="2">
        <v>0</v>
      </c>
      <c r="BC4258" s="2">
        <v>0</v>
      </c>
      <c r="BD4258" s="2">
        <v>0</v>
      </c>
      <c r="BE4258" s="2">
        <v>0</v>
      </c>
      <c r="BF4258" s="2">
        <v>0</v>
      </c>
      <c r="BG4258" s="2">
        <v>0</v>
      </c>
      <c r="BH4258" s="2">
        <v>1</v>
      </c>
      <c r="BI4258" s="2">
        <v>1</v>
      </c>
      <c r="BJ4258" s="2">
        <v>0.2</v>
      </c>
      <c r="BK4258" s="2">
        <v>1</v>
      </c>
      <c r="BL4258" s="2">
        <v>41.44</v>
      </c>
      <c r="BM4258" s="2">
        <v>5.8</v>
      </c>
      <c r="BN4258" s="2">
        <v>47.24</v>
      </c>
      <c r="BO4258" s="2">
        <v>47.24</v>
      </c>
      <c r="BP4258" s="2"/>
      <c r="BQ4258" s="2" t="s">
        <v>2073</v>
      </c>
      <c r="BR4258" s="2" t="s">
        <v>84</v>
      </c>
      <c r="BS4258" s="3">
        <v>42950</v>
      </c>
      <c r="BT4258" s="4">
        <v>0.41666666666666669</v>
      </c>
      <c r="BU4258" s="2" t="s">
        <v>3927</v>
      </c>
      <c r="BV4258" s="2" t="s">
        <v>95</v>
      </c>
      <c r="BW4258" s="2"/>
      <c r="BX4258" s="2"/>
      <c r="BY4258" s="2">
        <v>1200</v>
      </c>
      <c r="BZ4258" s="2" t="s">
        <v>27</v>
      </c>
      <c r="CA4258" s="2"/>
      <c r="CB4258" s="2"/>
      <c r="CC4258" s="2" t="s">
        <v>106</v>
      </c>
      <c r="CD4258" s="2">
        <v>7800</v>
      </c>
      <c r="CE4258" s="2" t="s">
        <v>104</v>
      </c>
      <c r="CF4258" s="5">
        <v>42951</v>
      </c>
      <c r="CG4258" s="2"/>
      <c r="CH4258" s="2"/>
      <c r="CI4258" s="2">
        <v>1</v>
      </c>
      <c r="CJ4258" s="2">
        <v>1</v>
      </c>
      <c r="CK4258" s="2">
        <v>21</v>
      </c>
      <c r="CL4258" s="2" t="s">
        <v>86</v>
      </c>
      <c r="CM4258" s="2"/>
    </row>
    <row r="4259" spans="1:91">
      <c r="A4259" s="2" t="s">
        <v>71</v>
      </c>
      <c r="B4259" s="2" t="s">
        <v>72</v>
      </c>
      <c r="C4259" s="2" t="s">
        <v>73</v>
      </c>
      <c r="D4259" s="2"/>
      <c r="E4259" s="2" t="str">
        <f>"FES1162566294"</f>
        <v>FES1162566294</v>
      </c>
      <c r="F4259" s="3">
        <v>42949</v>
      </c>
      <c r="G4259" s="2">
        <v>201802</v>
      </c>
      <c r="H4259" s="2" t="s">
        <v>74</v>
      </c>
      <c r="I4259" s="2" t="s">
        <v>75</v>
      </c>
      <c r="J4259" s="2" t="s">
        <v>76</v>
      </c>
      <c r="K4259" s="2" t="s">
        <v>77</v>
      </c>
      <c r="L4259" s="2" t="s">
        <v>74</v>
      </c>
      <c r="M4259" s="2" t="s">
        <v>75</v>
      </c>
      <c r="N4259" s="2" t="s">
        <v>407</v>
      </c>
      <c r="O4259" s="2" t="s">
        <v>100</v>
      </c>
      <c r="P4259" s="2" t="str">
        <f>"2170850535                    "</f>
        <v xml:space="preserve">2170850535                    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3.13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0</v>
      </c>
      <c r="AU4259" s="2">
        <v>0</v>
      </c>
      <c r="AV4259" s="2">
        <v>0</v>
      </c>
      <c r="AW4259" s="2">
        <v>0</v>
      </c>
      <c r="AX4259" s="2">
        <v>0</v>
      </c>
      <c r="AY4259" s="2">
        <v>0</v>
      </c>
      <c r="AZ4259" s="2">
        <v>0</v>
      </c>
      <c r="BA4259" s="2">
        <v>0</v>
      </c>
      <c r="BB4259" s="2">
        <v>0</v>
      </c>
      <c r="BC4259" s="2">
        <v>0</v>
      </c>
      <c r="BD4259" s="2">
        <v>0</v>
      </c>
      <c r="BE4259" s="2">
        <v>0</v>
      </c>
      <c r="BF4259" s="2">
        <v>0</v>
      </c>
      <c r="BG4259" s="2">
        <v>0</v>
      </c>
      <c r="BH4259" s="2">
        <v>1</v>
      </c>
      <c r="BI4259" s="2">
        <v>5</v>
      </c>
      <c r="BJ4259" s="2">
        <v>2</v>
      </c>
      <c r="BK4259" s="2">
        <v>5</v>
      </c>
      <c r="BL4259" s="2">
        <v>32.380000000000003</v>
      </c>
      <c r="BM4259" s="2">
        <v>4.53</v>
      </c>
      <c r="BN4259" s="2">
        <v>36.909999999999997</v>
      </c>
      <c r="BO4259" s="2">
        <v>36.909999999999997</v>
      </c>
      <c r="BP4259" s="2"/>
      <c r="BQ4259" s="2" t="s">
        <v>108</v>
      </c>
      <c r="BR4259" s="2" t="s">
        <v>84</v>
      </c>
      <c r="BS4259" s="3">
        <v>42950</v>
      </c>
      <c r="BT4259" s="4">
        <v>0.33333333333333331</v>
      </c>
      <c r="BU4259" s="2" t="s">
        <v>935</v>
      </c>
      <c r="BV4259" s="2" t="s">
        <v>95</v>
      </c>
      <c r="BW4259" s="2"/>
      <c r="BX4259" s="2"/>
      <c r="BY4259" s="2">
        <v>9891.07</v>
      </c>
      <c r="BZ4259" s="2" t="s">
        <v>27</v>
      </c>
      <c r="CA4259" s="2" t="s">
        <v>267</v>
      </c>
      <c r="CB4259" s="2"/>
      <c r="CC4259" s="2" t="s">
        <v>75</v>
      </c>
      <c r="CD4259" s="2">
        <v>1645</v>
      </c>
      <c r="CE4259" s="2" t="s">
        <v>104</v>
      </c>
      <c r="CF4259" s="5">
        <v>42951</v>
      </c>
      <c r="CG4259" s="2"/>
      <c r="CH4259" s="2"/>
      <c r="CI4259" s="2">
        <v>1</v>
      </c>
      <c r="CJ4259" s="2">
        <v>1</v>
      </c>
      <c r="CK4259" s="2">
        <v>22</v>
      </c>
      <c r="CL4259" s="2" t="s">
        <v>86</v>
      </c>
      <c r="CM4259" s="2"/>
    </row>
    <row r="4260" spans="1:91">
      <c r="A4260" s="2" t="s">
        <v>71</v>
      </c>
      <c r="B4260" s="2" t="s">
        <v>72</v>
      </c>
      <c r="C4260" s="2" t="s">
        <v>73</v>
      </c>
      <c r="D4260" s="2"/>
      <c r="E4260" s="2" t="str">
        <f>"FES1162566172"</f>
        <v>FES1162566172</v>
      </c>
      <c r="F4260" s="3">
        <v>42949</v>
      </c>
      <c r="G4260" s="2">
        <v>201802</v>
      </c>
      <c r="H4260" s="2" t="s">
        <v>74</v>
      </c>
      <c r="I4260" s="2" t="s">
        <v>75</v>
      </c>
      <c r="J4260" s="2" t="s">
        <v>76</v>
      </c>
      <c r="K4260" s="2" t="s">
        <v>77</v>
      </c>
      <c r="L4260" s="2" t="s">
        <v>417</v>
      </c>
      <c r="M4260" s="2" t="s">
        <v>417</v>
      </c>
      <c r="N4260" s="2" t="s">
        <v>475</v>
      </c>
      <c r="O4260" s="2" t="s">
        <v>100</v>
      </c>
      <c r="P4260" s="2" t="str">
        <f>"217058952                     "</f>
        <v xml:space="preserve">217058952                     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4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0</v>
      </c>
      <c r="AU4260" s="2">
        <v>0</v>
      </c>
      <c r="AV4260" s="2">
        <v>0</v>
      </c>
      <c r="AW4260" s="2">
        <v>0</v>
      </c>
      <c r="AX4260" s="2">
        <v>0</v>
      </c>
      <c r="AY4260" s="2">
        <v>0</v>
      </c>
      <c r="AZ4260" s="2">
        <v>0</v>
      </c>
      <c r="BA4260" s="2">
        <v>0</v>
      </c>
      <c r="BB4260" s="2">
        <v>0</v>
      </c>
      <c r="BC4260" s="2">
        <v>0</v>
      </c>
      <c r="BD4260" s="2">
        <v>0</v>
      </c>
      <c r="BE4260" s="2">
        <v>0</v>
      </c>
      <c r="BF4260" s="2">
        <v>0</v>
      </c>
      <c r="BG4260" s="2">
        <v>0</v>
      </c>
      <c r="BH4260" s="2">
        <v>1</v>
      </c>
      <c r="BI4260" s="2">
        <v>1</v>
      </c>
      <c r="BJ4260" s="2">
        <v>0.2</v>
      </c>
      <c r="BK4260" s="2">
        <v>1</v>
      </c>
      <c r="BL4260" s="2">
        <v>41.44</v>
      </c>
      <c r="BM4260" s="2">
        <v>5.8</v>
      </c>
      <c r="BN4260" s="2">
        <v>47.24</v>
      </c>
      <c r="BO4260" s="2">
        <v>47.24</v>
      </c>
      <c r="BP4260" s="2"/>
      <c r="BQ4260" s="2" t="s">
        <v>108</v>
      </c>
      <c r="BR4260" s="2" t="s">
        <v>84</v>
      </c>
      <c r="BS4260" s="3">
        <v>42950</v>
      </c>
      <c r="BT4260" s="4">
        <v>0.4694444444444445</v>
      </c>
      <c r="BU4260" s="2" t="s">
        <v>2029</v>
      </c>
      <c r="BV4260" s="2" t="s">
        <v>95</v>
      </c>
      <c r="BW4260" s="2"/>
      <c r="BX4260" s="2"/>
      <c r="BY4260" s="2">
        <v>1200</v>
      </c>
      <c r="BZ4260" s="2" t="s">
        <v>27</v>
      </c>
      <c r="CA4260" s="2" t="s">
        <v>460</v>
      </c>
      <c r="CB4260" s="2"/>
      <c r="CC4260" s="2" t="s">
        <v>417</v>
      </c>
      <c r="CD4260" s="2">
        <v>7646</v>
      </c>
      <c r="CE4260" s="2" t="s">
        <v>104</v>
      </c>
      <c r="CF4260" s="5">
        <v>42950</v>
      </c>
      <c r="CG4260" s="2"/>
      <c r="CH4260" s="2"/>
      <c r="CI4260" s="2">
        <v>1</v>
      </c>
      <c r="CJ4260" s="2">
        <v>1</v>
      </c>
      <c r="CK4260" s="2">
        <v>21</v>
      </c>
      <c r="CL4260" s="2" t="s">
        <v>86</v>
      </c>
      <c r="CM4260" s="2"/>
    </row>
    <row r="4261" spans="1:91">
      <c r="A4261" s="2" t="s">
        <v>71</v>
      </c>
      <c r="B4261" s="2" t="s">
        <v>72</v>
      </c>
      <c r="C4261" s="2" t="s">
        <v>73</v>
      </c>
      <c r="D4261" s="2"/>
      <c r="E4261" s="2" t="str">
        <f>"FES1162566342"</f>
        <v>FES1162566342</v>
      </c>
      <c r="F4261" s="3">
        <v>42949</v>
      </c>
      <c r="G4261" s="2">
        <v>201802</v>
      </c>
      <c r="H4261" s="2" t="s">
        <v>74</v>
      </c>
      <c r="I4261" s="2" t="s">
        <v>75</v>
      </c>
      <c r="J4261" s="2" t="s">
        <v>76</v>
      </c>
      <c r="K4261" s="2" t="s">
        <v>77</v>
      </c>
      <c r="L4261" s="2" t="s">
        <v>539</v>
      </c>
      <c r="M4261" s="2" t="s">
        <v>540</v>
      </c>
      <c r="N4261" s="2" t="s">
        <v>541</v>
      </c>
      <c r="O4261" s="2" t="s">
        <v>100</v>
      </c>
      <c r="P4261" s="2" t="str">
        <f>"2170574399                    "</f>
        <v xml:space="preserve">2170574399                    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3.13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0</v>
      </c>
      <c r="AU4261" s="2">
        <v>0</v>
      </c>
      <c r="AV4261" s="2">
        <v>0</v>
      </c>
      <c r="AW4261" s="2">
        <v>0</v>
      </c>
      <c r="AX4261" s="2">
        <v>0</v>
      </c>
      <c r="AY4261" s="2">
        <v>0</v>
      </c>
      <c r="AZ4261" s="2">
        <v>0</v>
      </c>
      <c r="BA4261" s="2">
        <v>0</v>
      </c>
      <c r="BB4261" s="2">
        <v>0</v>
      </c>
      <c r="BC4261" s="2">
        <v>0</v>
      </c>
      <c r="BD4261" s="2">
        <v>0</v>
      </c>
      <c r="BE4261" s="2">
        <v>0</v>
      </c>
      <c r="BF4261" s="2">
        <v>0</v>
      </c>
      <c r="BG4261" s="2">
        <v>0</v>
      </c>
      <c r="BH4261" s="2">
        <v>1</v>
      </c>
      <c r="BI4261" s="2">
        <v>1</v>
      </c>
      <c r="BJ4261" s="2">
        <v>0.2</v>
      </c>
      <c r="BK4261" s="2">
        <v>1</v>
      </c>
      <c r="BL4261" s="2">
        <v>32.380000000000003</v>
      </c>
      <c r="BM4261" s="2">
        <v>4.53</v>
      </c>
      <c r="BN4261" s="2">
        <v>36.909999999999997</v>
      </c>
      <c r="BO4261" s="2">
        <v>36.909999999999997</v>
      </c>
      <c r="BP4261" s="2"/>
      <c r="BQ4261" s="2" t="s">
        <v>542</v>
      </c>
      <c r="BR4261" s="2" t="s">
        <v>84</v>
      </c>
      <c r="BS4261" s="3">
        <v>42950</v>
      </c>
      <c r="BT4261" s="4">
        <v>0.36805555555555558</v>
      </c>
      <c r="BU4261" s="2" t="s">
        <v>330</v>
      </c>
      <c r="BV4261" s="2" t="s">
        <v>95</v>
      </c>
      <c r="BW4261" s="2"/>
      <c r="BX4261" s="2"/>
      <c r="BY4261" s="2">
        <v>1200</v>
      </c>
      <c r="BZ4261" s="2" t="s">
        <v>27</v>
      </c>
      <c r="CA4261" s="2" t="s">
        <v>722</v>
      </c>
      <c r="CB4261" s="2"/>
      <c r="CC4261" s="2" t="s">
        <v>540</v>
      </c>
      <c r="CD4261" s="2">
        <v>2162</v>
      </c>
      <c r="CE4261" s="2" t="s">
        <v>104</v>
      </c>
      <c r="CF4261" s="5">
        <v>42951</v>
      </c>
      <c r="CG4261" s="2"/>
      <c r="CH4261" s="2"/>
      <c r="CI4261" s="2">
        <v>1</v>
      </c>
      <c r="CJ4261" s="2">
        <v>1</v>
      </c>
      <c r="CK4261" s="2">
        <v>22</v>
      </c>
      <c r="CL4261" s="2" t="s">
        <v>86</v>
      </c>
      <c r="CM4261" s="2"/>
    </row>
    <row r="4262" spans="1:91">
      <c r="A4262" s="2" t="s">
        <v>71</v>
      </c>
      <c r="B4262" s="2" t="s">
        <v>72</v>
      </c>
      <c r="C4262" s="2" t="s">
        <v>73</v>
      </c>
      <c r="D4262" s="2"/>
      <c r="E4262" s="2" t="str">
        <f>"FES1162566227"</f>
        <v>FES1162566227</v>
      </c>
      <c r="F4262" s="3">
        <v>42949</v>
      </c>
      <c r="G4262" s="2">
        <v>201802</v>
      </c>
      <c r="H4262" s="2" t="s">
        <v>74</v>
      </c>
      <c r="I4262" s="2" t="s">
        <v>75</v>
      </c>
      <c r="J4262" s="2" t="s">
        <v>76</v>
      </c>
      <c r="K4262" s="2" t="s">
        <v>77</v>
      </c>
      <c r="L4262" s="2" t="s">
        <v>149</v>
      </c>
      <c r="M4262" s="2" t="s">
        <v>150</v>
      </c>
      <c r="N4262" s="2" t="s">
        <v>372</v>
      </c>
      <c r="O4262" s="2" t="s">
        <v>100</v>
      </c>
      <c r="P4262" s="2" t="str">
        <f>"2170582332                    "</f>
        <v xml:space="preserve">2170582332                    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4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0</v>
      </c>
      <c r="AU4262" s="2">
        <v>0</v>
      </c>
      <c r="AV4262" s="2">
        <v>0</v>
      </c>
      <c r="AW4262" s="2">
        <v>0</v>
      </c>
      <c r="AX4262" s="2">
        <v>0</v>
      </c>
      <c r="AY4262" s="2">
        <v>0</v>
      </c>
      <c r="AZ4262" s="2">
        <v>0</v>
      </c>
      <c r="BA4262" s="2">
        <v>0</v>
      </c>
      <c r="BB4262" s="2">
        <v>0</v>
      </c>
      <c r="BC4262" s="2">
        <v>0</v>
      </c>
      <c r="BD4262" s="2">
        <v>0</v>
      </c>
      <c r="BE4262" s="2">
        <v>0</v>
      </c>
      <c r="BF4262" s="2">
        <v>0</v>
      </c>
      <c r="BG4262" s="2">
        <v>0</v>
      </c>
      <c r="BH4262" s="2">
        <v>1</v>
      </c>
      <c r="BI4262" s="2">
        <v>1</v>
      </c>
      <c r="BJ4262" s="2">
        <v>0.2</v>
      </c>
      <c r="BK4262" s="2">
        <v>1</v>
      </c>
      <c r="BL4262" s="2">
        <v>41.44</v>
      </c>
      <c r="BM4262" s="2">
        <v>5.8</v>
      </c>
      <c r="BN4262" s="2">
        <v>47.24</v>
      </c>
      <c r="BO4262" s="2">
        <v>47.24</v>
      </c>
      <c r="BP4262" s="2"/>
      <c r="BQ4262" s="2" t="s">
        <v>83</v>
      </c>
      <c r="BR4262" s="2" t="s">
        <v>84</v>
      </c>
      <c r="BS4262" s="3">
        <v>42950</v>
      </c>
      <c r="BT4262" s="4">
        <v>0.32291666666666669</v>
      </c>
      <c r="BU4262" s="2" t="s">
        <v>3928</v>
      </c>
      <c r="BV4262" s="2" t="s">
        <v>95</v>
      </c>
      <c r="BW4262" s="2"/>
      <c r="BX4262" s="2"/>
      <c r="BY4262" s="2">
        <v>1200</v>
      </c>
      <c r="BZ4262" s="2" t="s">
        <v>27</v>
      </c>
      <c r="CA4262" s="2" t="s">
        <v>235</v>
      </c>
      <c r="CB4262" s="2"/>
      <c r="CC4262" s="2" t="s">
        <v>150</v>
      </c>
      <c r="CD4262" s="2">
        <v>4052</v>
      </c>
      <c r="CE4262" s="2" t="s">
        <v>104</v>
      </c>
      <c r="CF4262" s="5">
        <v>42951</v>
      </c>
      <c r="CG4262" s="2"/>
      <c r="CH4262" s="2"/>
      <c r="CI4262" s="2">
        <v>1</v>
      </c>
      <c r="CJ4262" s="2">
        <v>1</v>
      </c>
      <c r="CK4262" s="2">
        <v>21</v>
      </c>
      <c r="CL4262" s="2" t="s">
        <v>86</v>
      </c>
      <c r="CM4262" s="2"/>
    </row>
    <row r="4263" spans="1:91">
      <c r="A4263" s="2" t="s">
        <v>71</v>
      </c>
      <c r="B4263" s="2" t="s">
        <v>72</v>
      </c>
      <c r="C4263" s="2" t="s">
        <v>73</v>
      </c>
      <c r="D4263" s="2"/>
      <c r="E4263" s="2" t="str">
        <f>"FES1162566404"</f>
        <v>FES1162566404</v>
      </c>
      <c r="F4263" s="3">
        <v>42949</v>
      </c>
      <c r="G4263" s="2">
        <v>201802</v>
      </c>
      <c r="H4263" s="2" t="s">
        <v>74</v>
      </c>
      <c r="I4263" s="2" t="s">
        <v>75</v>
      </c>
      <c r="J4263" s="2" t="s">
        <v>76</v>
      </c>
      <c r="K4263" s="2" t="s">
        <v>77</v>
      </c>
      <c r="L4263" s="2" t="s">
        <v>723</v>
      </c>
      <c r="M4263" s="2" t="s">
        <v>724</v>
      </c>
      <c r="N4263" s="2" t="s">
        <v>3929</v>
      </c>
      <c r="O4263" s="2" t="s">
        <v>100</v>
      </c>
      <c r="P4263" s="2" t="str">
        <f>"2170582754                    "</f>
        <v xml:space="preserve">2170582754                    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5.63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0</v>
      </c>
      <c r="AU4263" s="2">
        <v>0</v>
      </c>
      <c r="AV4263" s="2">
        <v>0</v>
      </c>
      <c r="AW4263" s="2">
        <v>0</v>
      </c>
      <c r="AX4263" s="2">
        <v>0</v>
      </c>
      <c r="AY4263" s="2">
        <v>0</v>
      </c>
      <c r="AZ4263" s="2">
        <v>0</v>
      </c>
      <c r="BA4263" s="2">
        <v>0</v>
      </c>
      <c r="BB4263" s="2">
        <v>0</v>
      </c>
      <c r="BC4263" s="2">
        <v>0</v>
      </c>
      <c r="BD4263" s="2">
        <v>0</v>
      </c>
      <c r="BE4263" s="2">
        <v>0</v>
      </c>
      <c r="BF4263" s="2">
        <v>0</v>
      </c>
      <c r="BG4263" s="2">
        <v>0</v>
      </c>
      <c r="BH4263" s="2">
        <v>1</v>
      </c>
      <c r="BI4263" s="2">
        <v>1</v>
      </c>
      <c r="BJ4263" s="2">
        <v>0.2</v>
      </c>
      <c r="BK4263" s="2">
        <v>1</v>
      </c>
      <c r="BL4263" s="2">
        <v>58.28</v>
      </c>
      <c r="BM4263" s="2">
        <v>8.16</v>
      </c>
      <c r="BN4263" s="2">
        <v>66.44</v>
      </c>
      <c r="BO4263" s="2">
        <v>66.44</v>
      </c>
      <c r="BP4263" s="2"/>
      <c r="BQ4263" s="2"/>
      <c r="BR4263" s="2" t="s">
        <v>84</v>
      </c>
      <c r="BS4263" s="3">
        <v>42950</v>
      </c>
      <c r="BT4263" s="4">
        <v>0.33333333333333331</v>
      </c>
      <c r="BU4263" s="2" t="s">
        <v>3930</v>
      </c>
      <c r="BV4263" s="2" t="s">
        <v>95</v>
      </c>
      <c r="BW4263" s="2"/>
      <c r="BX4263" s="2"/>
      <c r="BY4263" s="2">
        <v>1200</v>
      </c>
      <c r="BZ4263" s="2" t="s">
        <v>27</v>
      </c>
      <c r="CA4263" s="2" t="s">
        <v>727</v>
      </c>
      <c r="CB4263" s="2"/>
      <c r="CC4263" s="2" t="s">
        <v>724</v>
      </c>
      <c r="CD4263" s="2">
        <v>1754</v>
      </c>
      <c r="CE4263" s="2" t="s">
        <v>104</v>
      </c>
      <c r="CF4263" s="5">
        <v>42951</v>
      </c>
      <c r="CG4263" s="2"/>
      <c r="CH4263" s="2"/>
      <c r="CI4263" s="2">
        <v>1</v>
      </c>
      <c r="CJ4263" s="2">
        <v>1</v>
      </c>
      <c r="CK4263" s="2">
        <v>24</v>
      </c>
      <c r="CL4263" s="2" t="s">
        <v>86</v>
      </c>
      <c r="CM4263" s="2"/>
    </row>
    <row r="4264" spans="1:91">
      <c r="A4264" s="2" t="s">
        <v>71</v>
      </c>
      <c r="B4264" s="2" t="s">
        <v>72</v>
      </c>
      <c r="C4264" s="2" t="s">
        <v>73</v>
      </c>
      <c r="D4264" s="2"/>
      <c r="E4264" s="2" t="str">
        <f>"FES1162566333"</f>
        <v>FES1162566333</v>
      </c>
      <c r="F4264" s="3">
        <v>42949</v>
      </c>
      <c r="G4264" s="2">
        <v>201802</v>
      </c>
      <c r="H4264" s="2" t="s">
        <v>74</v>
      </c>
      <c r="I4264" s="2" t="s">
        <v>75</v>
      </c>
      <c r="J4264" s="2" t="s">
        <v>76</v>
      </c>
      <c r="K4264" s="2" t="s">
        <v>77</v>
      </c>
      <c r="L4264" s="2" t="s">
        <v>470</v>
      </c>
      <c r="M4264" s="2" t="s">
        <v>471</v>
      </c>
      <c r="N4264" s="2" t="s">
        <v>574</v>
      </c>
      <c r="O4264" s="2" t="s">
        <v>100</v>
      </c>
      <c r="P4264" s="2" t="str">
        <f>"2170582687                    "</f>
        <v xml:space="preserve">2170582687                    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4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0</v>
      </c>
      <c r="AU4264" s="2">
        <v>0</v>
      </c>
      <c r="AV4264" s="2">
        <v>0</v>
      </c>
      <c r="AW4264" s="2">
        <v>0</v>
      </c>
      <c r="AX4264" s="2">
        <v>0</v>
      </c>
      <c r="AY4264" s="2">
        <v>0</v>
      </c>
      <c r="AZ4264" s="2">
        <v>0</v>
      </c>
      <c r="BA4264" s="2">
        <v>0</v>
      </c>
      <c r="BB4264" s="2">
        <v>0</v>
      </c>
      <c r="BC4264" s="2">
        <v>0</v>
      </c>
      <c r="BD4264" s="2">
        <v>0</v>
      </c>
      <c r="BE4264" s="2">
        <v>0</v>
      </c>
      <c r="BF4264" s="2">
        <v>0</v>
      </c>
      <c r="BG4264" s="2">
        <v>0</v>
      </c>
      <c r="BH4264" s="2">
        <v>1</v>
      </c>
      <c r="BI4264" s="2">
        <v>1</v>
      </c>
      <c r="BJ4264" s="2">
        <v>0.2</v>
      </c>
      <c r="BK4264" s="2">
        <v>1</v>
      </c>
      <c r="BL4264" s="2">
        <v>41.44</v>
      </c>
      <c r="BM4264" s="2">
        <v>5.8</v>
      </c>
      <c r="BN4264" s="2">
        <v>47.24</v>
      </c>
      <c r="BO4264" s="2">
        <v>47.24</v>
      </c>
      <c r="BP4264" s="2"/>
      <c r="BQ4264" s="2" t="s">
        <v>83</v>
      </c>
      <c r="BR4264" s="2" t="s">
        <v>84</v>
      </c>
      <c r="BS4264" s="3">
        <v>42950</v>
      </c>
      <c r="BT4264" s="4">
        <v>0.52430555555555558</v>
      </c>
      <c r="BU4264" s="2" t="s">
        <v>3878</v>
      </c>
      <c r="BV4264" s="2" t="s">
        <v>86</v>
      </c>
      <c r="BW4264" s="2"/>
      <c r="BX4264" s="2"/>
      <c r="BY4264" s="2">
        <v>1200</v>
      </c>
      <c r="BZ4264" s="2" t="s">
        <v>27</v>
      </c>
      <c r="CA4264" s="2" t="s">
        <v>148</v>
      </c>
      <c r="CB4264" s="2"/>
      <c r="CC4264" s="2" t="s">
        <v>471</v>
      </c>
      <c r="CD4264" s="2">
        <v>1900</v>
      </c>
      <c r="CE4264" s="2" t="s">
        <v>104</v>
      </c>
      <c r="CF4264" s="5">
        <v>42951</v>
      </c>
      <c r="CG4264" s="2"/>
      <c r="CH4264" s="2"/>
      <c r="CI4264" s="2">
        <v>1</v>
      </c>
      <c r="CJ4264" s="2">
        <v>1</v>
      </c>
      <c r="CK4264" s="2">
        <v>21</v>
      </c>
      <c r="CL4264" s="2" t="s">
        <v>86</v>
      </c>
      <c r="CM4264" s="2"/>
    </row>
    <row r="4265" spans="1:91">
      <c r="A4265" s="2" t="s">
        <v>71</v>
      </c>
      <c r="B4265" s="2" t="s">
        <v>72</v>
      </c>
      <c r="C4265" s="2" t="s">
        <v>73</v>
      </c>
      <c r="D4265" s="2"/>
      <c r="E4265" s="2" t="str">
        <f>"FES1162566192"</f>
        <v>FES1162566192</v>
      </c>
      <c r="F4265" s="3">
        <v>42949</v>
      </c>
      <c r="G4265" s="2">
        <v>201802</v>
      </c>
      <c r="H4265" s="2" t="s">
        <v>74</v>
      </c>
      <c r="I4265" s="2" t="s">
        <v>75</v>
      </c>
      <c r="J4265" s="2" t="s">
        <v>76</v>
      </c>
      <c r="K4265" s="2" t="s">
        <v>77</v>
      </c>
      <c r="L4265" s="2" t="s">
        <v>353</v>
      </c>
      <c r="M4265" s="2" t="s">
        <v>354</v>
      </c>
      <c r="N4265" s="2" t="s">
        <v>3603</v>
      </c>
      <c r="O4265" s="2" t="s">
        <v>100</v>
      </c>
      <c r="P4265" s="2" t="str">
        <f>"2170581697                    "</f>
        <v xml:space="preserve">2170581697                    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4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0</v>
      </c>
      <c r="AU4265" s="2">
        <v>0</v>
      </c>
      <c r="AV4265" s="2">
        <v>0</v>
      </c>
      <c r="AW4265" s="2">
        <v>0</v>
      </c>
      <c r="AX4265" s="2">
        <v>0</v>
      </c>
      <c r="AY4265" s="2">
        <v>0</v>
      </c>
      <c r="AZ4265" s="2">
        <v>0</v>
      </c>
      <c r="BA4265" s="2">
        <v>0</v>
      </c>
      <c r="BB4265" s="2">
        <v>0</v>
      </c>
      <c r="BC4265" s="2">
        <v>0</v>
      </c>
      <c r="BD4265" s="2">
        <v>0</v>
      </c>
      <c r="BE4265" s="2">
        <v>0</v>
      </c>
      <c r="BF4265" s="2">
        <v>0</v>
      </c>
      <c r="BG4265" s="2">
        <v>0</v>
      </c>
      <c r="BH4265" s="2">
        <v>1</v>
      </c>
      <c r="BI4265" s="2">
        <v>1</v>
      </c>
      <c r="BJ4265" s="2">
        <v>0.2</v>
      </c>
      <c r="BK4265" s="2">
        <v>1</v>
      </c>
      <c r="BL4265" s="2">
        <v>41.44</v>
      </c>
      <c r="BM4265" s="2">
        <v>5.8</v>
      </c>
      <c r="BN4265" s="2">
        <v>47.24</v>
      </c>
      <c r="BO4265" s="2">
        <v>47.24</v>
      </c>
      <c r="BP4265" s="2"/>
      <c r="BQ4265" s="2" t="s">
        <v>3604</v>
      </c>
      <c r="BR4265" s="2" t="s">
        <v>84</v>
      </c>
      <c r="BS4265" s="3">
        <v>42950</v>
      </c>
      <c r="BT4265" s="4">
        <v>0.4375</v>
      </c>
      <c r="BU4265" s="2" t="s">
        <v>3327</v>
      </c>
      <c r="BV4265" s="2" t="s">
        <v>95</v>
      </c>
      <c r="BW4265" s="2"/>
      <c r="BX4265" s="2"/>
      <c r="BY4265" s="2">
        <v>1200</v>
      </c>
      <c r="BZ4265" s="2" t="s">
        <v>27</v>
      </c>
      <c r="CA4265" s="2" t="s">
        <v>668</v>
      </c>
      <c r="CB4265" s="2"/>
      <c r="CC4265" s="2" t="s">
        <v>354</v>
      </c>
      <c r="CD4265" s="2">
        <v>3699</v>
      </c>
      <c r="CE4265" s="2" t="s">
        <v>104</v>
      </c>
      <c r="CF4265" s="5">
        <v>42954</v>
      </c>
      <c r="CG4265" s="2"/>
      <c r="CH4265" s="2"/>
      <c r="CI4265" s="2">
        <v>1</v>
      </c>
      <c r="CJ4265" s="2">
        <v>1</v>
      </c>
      <c r="CK4265" s="2">
        <v>21</v>
      </c>
      <c r="CL4265" s="2" t="s">
        <v>86</v>
      </c>
      <c r="CM4265" s="2"/>
    </row>
    <row r="4266" spans="1:91">
      <c r="A4266" s="2" t="s">
        <v>71</v>
      </c>
      <c r="B4266" s="2" t="s">
        <v>72</v>
      </c>
      <c r="C4266" s="2" t="s">
        <v>73</v>
      </c>
      <c r="D4266" s="2"/>
      <c r="E4266" s="2" t="str">
        <f>"FES1162566205"</f>
        <v>FES1162566205</v>
      </c>
      <c r="F4266" s="3">
        <v>42949</v>
      </c>
      <c r="G4266" s="2">
        <v>201802</v>
      </c>
      <c r="H4266" s="2" t="s">
        <v>74</v>
      </c>
      <c r="I4266" s="2" t="s">
        <v>75</v>
      </c>
      <c r="J4266" s="2" t="s">
        <v>76</v>
      </c>
      <c r="K4266" s="2" t="s">
        <v>77</v>
      </c>
      <c r="L4266" s="2" t="s">
        <v>164</v>
      </c>
      <c r="M4266" s="2" t="s">
        <v>165</v>
      </c>
      <c r="N4266" s="2" t="s">
        <v>1191</v>
      </c>
      <c r="O4266" s="2" t="s">
        <v>100</v>
      </c>
      <c r="P4266" s="2" t="str">
        <f>"2170582109                    "</f>
        <v xml:space="preserve">2170582109                    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4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0</v>
      </c>
      <c r="AU4266" s="2">
        <v>0</v>
      </c>
      <c r="AV4266" s="2">
        <v>0</v>
      </c>
      <c r="AW4266" s="2">
        <v>0</v>
      </c>
      <c r="AX4266" s="2">
        <v>0</v>
      </c>
      <c r="AY4266" s="2">
        <v>0</v>
      </c>
      <c r="AZ4266" s="2">
        <v>0</v>
      </c>
      <c r="BA4266" s="2">
        <v>0</v>
      </c>
      <c r="BB4266" s="2">
        <v>0</v>
      </c>
      <c r="BC4266" s="2">
        <v>0</v>
      </c>
      <c r="BD4266" s="2">
        <v>0</v>
      </c>
      <c r="BE4266" s="2">
        <v>0</v>
      </c>
      <c r="BF4266" s="2">
        <v>0</v>
      </c>
      <c r="BG4266" s="2">
        <v>0</v>
      </c>
      <c r="BH4266" s="2">
        <v>1</v>
      </c>
      <c r="BI4266" s="2">
        <v>1</v>
      </c>
      <c r="BJ4266" s="2">
        <v>0.2</v>
      </c>
      <c r="BK4266" s="2">
        <v>1</v>
      </c>
      <c r="BL4266" s="2">
        <v>41.44</v>
      </c>
      <c r="BM4266" s="2">
        <v>5.8</v>
      </c>
      <c r="BN4266" s="2">
        <v>47.24</v>
      </c>
      <c r="BO4266" s="2">
        <v>47.24</v>
      </c>
      <c r="BP4266" s="2"/>
      <c r="BQ4266" s="2" t="s">
        <v>2388</v>
      </c>
      <c r="BR4266" s="2" t="s">
        <v>84</v>
      </c>
      <c r="BS4266" s="3">
        <v>42950</v>
      </c>
      <c r="BT4266" s="4">
        <v>0.41666666666666669</v>
      </c>
      <c r="BU4266" s="2" t="s">
        <v>3931</v>
      </c>
      <c r="BV4266" s="2" t="s">
        <v>95</v>
      </c>
      <c r="BW4266" s="2"/>
      <c r="BX4266" s="2"/>
      <c r="BY4266" s="2">
        <v>1200</v>
      </c>
      <c r="BZ4266" s="2" t="s">
        <v>27</v>
      </c>
      <c r="CA4266" s="2"/>
      <c r="CB4266" s="2"/>
      <c r="CC4266" s="2" t="s">
        <v>165</v>
      </c>
      <c r="CD4266" s="2">
        <v>6850</v>
      </c>
      <c r="CE4266" s="2" t="s">
        <v>104</v>
      </c>
      <c r="CF4266" s="5">
        <v>42951</v>
      </c>
      <c r="CG4266" s="2"/>
      <c r="CH4266" s="2"/>
      <c r="CI4266" s="2">
        <v>3</v>
      </c>
      <c r="CJ4266" s="2">
        <v>1</v>
      </c>
      <c r="CK4266" s="2">
        <v>21</v>
      </c>
      <c r="CL4266" s="2" t="s">
        <v>86</v>
      </c>
      <c r="CM4266" s="2"/>
    </row>
    <row r="4267" spans="1:91">
      <c r="A4267" s="2" t="s">
        <v>71</v>
      </c>
      <c r="B4267" s="2" t="s">
        <v>72</v>
      </c>
      <c r="C4267" s="2" t="s">
        <v>73</v>
      </c>
      <c r="D4267" s="2"/>
      <c r="E4267" s="2" t="str">
        <f>"FES1162566242"</f>
        <v>FES1162566242</v>
      </c>
      <c r="F4267" s="3">
        <v>42949</v>
      </c>
      <c r="G4267" s="2">
        <v>201802</v>
      </c>
      <c r="H4267" s="2" t="s">
        <v>74</v>
      </c>
      <c r="I4267" s="2" t="s">
        <v>75</v>
      </c>
      <c r="J4267" s="2" t="s">
        <v>76</v>
      </c>
      <c r="K4267" s="2" t="s">
        <v>77</v>
      </c>
      <c r="L4267" s="2" t="s">
        <v>105</v>
      </c>
      <c r="M4267" s="2" t="s">
        <v>106</v>
      </c>
      <c r="N4267" s="2" t="s">
        <v>873</v>
      </c>
      <c r="O4267" s="2" t="s">
        <v>100</v>
      </c>
      <c r="P4267" s="2" t="str">
        <f>"2170582487                    "</f>
        <v xml:space="preserve">2170582487                    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4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0</v>
      </c>
      <c r="AU4267" s="2">
        <v>0</v>
      </c>
      <c r="AV4267" s="2">
        <v>0</v>
      </c>
      <c r="AW4267" s="2">
        <v>0</v>
      </c>
      <c r="AX4267" s="2">
        <v>0</v>
      </c>
      <c r="AY4267" s="2">
        <v>0</v>
      </c>
      <c r="AZ4267" s="2">
        <v>0</v>
      </c>
      <c r="BA4267" s="2">
        <v>0</v>
      </c>
      <c r="BB4267" s="2">
        <v>0</v>
      </c>
      <c r="BC4267" s="2">
        <v>0</v>
      </c>
      <c r="BD4267" s="2">
        <v>0</v>
      </c>
      <c r="BE4267" s="2">
        <v>0</v>
      </c>
      <c r="BF4267" s="2">
        <v>0</v>
      </c>
      <c r="BG4267" s="2">
        <v>0</v>
      </c>
      <c r="BH4267" s="2">
        <v>1</v>
      </c>
      <c r="BI4267" s="2">
        <v>1</v>
      </c>
      <c r="BJ4267" s="2">
        <v>0.2</v>
      </c>
      <c r="BK4267" s="2">
        <v>1</v>
      </c>
      <c r="BL4267" s="2">
        <v>41.44</v>
      </c>
      <c r="BM4267" s="2">
        <v>5.8</v>
      </c>
      <c r="BN4267" s="2">
        <v>47.24</v>
      </c>
      <c r="BO4267" s="2">
        <v>47.24</v>
      </c>
      <c r="BP4267" s="2"/>
      <c r="BQ4267" s="2" t="s">
        <v>83</v>
      </c>
      <c r="BR4267" s="2" t="s">
        <v>84</v>
      </c>
      <c r="BS4267" s="3">
        <v>42950</v>
      </c>
      <c r="BT4267" s="4">
        <v>0.36944444444444446</v>
      </c>
      <c r="BU4267" s="2" t="s">
        <v>2232</v>
      </c>
      <c r="BV4267" s="2" t="s">
        <v>95</v>
      </c>
      <c r="BW4267" s="2"/>
      <c r="BX4267" s="2"/>
      <c r="BY4267" s="2">
        <v>1200</v>
      </c>
      <c r="BZ4267" s="2" t="s">
        <v>27</v>
      </c>
      <c r="CA4267" s="2" t="s">
        <v>869</v>
      </c>
      <c r="CB4267" s="2"/>
      <c r="CC4267" s="2" t="s">
        <v>106</v>
      </c>
      <c r="CD4267" s="2">
        <v>7460</v>
      </c>
      <c r="CE4267" s="2" t="s">
        <v>104</v>
      </c>
      <c r="CF4267" s="5">
        <v>42951</v>
      </c>
      <c r="CG4267" s="2"/>
      <c r="CH4267" s="2"/>
      <c r="CI4267" s="2">
        <v>1</v>
      </c>
      <c r="CJ4267" s="2">
        <v>1</v>
      </c>
      <c r="CK4267" s="2">
        <v>21</v>
      </c>
      <c r="CL4267" s="2" t="s">
        <v>86</v>
      </c>
      <c r="CM4267" s="2"/>
    </row>
    <row r="4268" spans="1:91">
      <c r="A4268" s="2" t="s">
        <v>71</v>
      </c>
      <c r="B4268" s="2" t="s">
        <v>72</v>
      </c>
      <c r="C4268" s="2" t="s">
        <v>73</v>
      </c>
      <c r="D4268" s="2"/>
      <c r="E4268" s="2" t="str">
        <f>"FES1162566923"</f>
        <v>FES1162566923</v>
      </c>
      <c r="F4268" s="3">
        <v>42950</v>
      </c>
      <c r="G4268" s="2">
        <v>201802</v>
      </c>
      <c r="H4268" s="2" t="s">
        <v>74</v>
      </c>
      <c r="I4268" s="2" t="s">
        <v>75</v>
      </c>
      <c r="J4268" s="2" t="s">
        <v>76</v>
      </c>
      <c r="K4268" s="2" t="s">
        <v>77</v>
      </c>
      <c r="L4268" s="2" t="s">
        <v>174</v>
      </c>
      <c r="M4268" s="2" t="s">
        <v>175</v>
      </c>
      <c r="N4268" s="2" t="s">
        <v>920</v>
      </c>
      <c r="O4268" s="2" t="s">
        <v>100</v>
      </c>
      <c r="P4268" s="2" t="str">
        <f>"2170583172                    "</f>
        <v xml:space="preserve">2170583172                    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4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0</v>
      </c>
      <c r="AU4268" s="2">
        <v>0</v>
      </c>
      <c r="AV4268" s="2">
        <v>0</v>
      </c>
      <c r="AW4268" s="2">
        <v>0</v>
      </c>
      <c r="AX4268" s="2">
        <v>0</v>
      </c>
      <c r="AY4268" s="2">
        <v>0</v>
      </c>
      <c r="AZ4268" s="2">
        <v>0</v>
      </c>
      <c r="BA4268" s="2">
        <v>0</v>
      </c>
      <c r="BB4268" s="2">
        <v>0</v>
      </c>
      <c r="BC4268" s="2">
        <v>0</v>
      </c>
      <c r="BD4268" s="2">
        <v>0</v>
      </c>
      <c r="BE4268" s="2">
        <v>0</v>
      </c>
      <c r="BF4268" s="2">
        <v>0</v>
      </c>
      <c r="BG4268" s="2">
        <v>0</v>
      </c>
      <c r="BH4268" s="2">
        <v>1</v>
      </c>
      <c r="BI4268" s="2">
        <v>0.2</v>
      </c>
      <c r="BJ4268" s="2">
        <v>1.9</v>
      </c>
      <c r="BK4268" s="2">
        <v>2</v>
      </c>
      <c r="BL4268" s="2">
        <v>41.44</v>
      </c>
      <c r="BM4268" s="2">
        <v>5.8</v>
      </c>
      <c r="BN4268" s="2">
        <v>47.24</v>
      </c>
      <c r="BO4268" s="2">
        <v>47.24</v>
      </c>
      <c r="BP4268" s="2"/>
      <c r="BQ4268" s="2" t="s">
        <v>108</v>
      </c>
      <c r="BR4268" s="2" t="s">
        <v>84</v>
      </c>
      <c r="BS4268" s="3">
        <v>42951</v>
      </c>
      <c r="BT4268" s="4">
        <v>0.40972222222222227</v>
      </c>
      <c r="BU4268" s="2" t="s">
        <v>1735</v>
      </c>
      <c r="BV4268" s="2" t="s">
        <v>95</v>
      </c>
      <c r="BW4268" s="2"/>
      <c r="BX4268" s="2"/>
      <c r="BY4268" s="2">
        <v>9498.4599999999991</v>
      </c>
      <c r="BZ4268" s="2" t="s">
        <v>27</v>
      </c>
      <c r="CA4268" s="2"/>
      <c r="CB4268" s="2"/>
      <c r="CC4268" s="2" t="s">
        <v>175</v>
      </c>
      <c r="CD4268" s="2">
        <v>5201</v>
      </c>
      <c r="CE4268" s="2" t="s">
        <v>104</v>
      </c>
      <c r="CF4268" s="5">
        <v>42954</v>
      </c>
      <c r="CG4268" s="2"/>
      <c r="CH4268" s="2"/>
      <c r="CI4268" s="2">
        <v>1</v>
      </c>
      <c r="CJ4268" s="2">
        <v>1</v>
      </c>
      <c r="CK4268" s="2">
        <v>21</v>
      </c>
      <c r="CL4268" s="2" t="s">
        <v>86</v>
      </c>
      <c r="CM4268" s="2"/>
    </row>
    <row r="4269" spans="1:91">
      <c r="A4269" s="2" t="s">
        <v>71</v>
      </c>
      <c r="B4269" s="2" t="s">
        <v>72</v>
      </c>
      <c r="C4269" s="2" t="s">
        <v>73</v>
      </c>
      <c r="D4269" s="2"/>
      <c r="E4269" s="2" t="str">
        <f>"FES1162566922"</f>
        <v>FES1162566922</v>
      </c>
      <c r="F4269" s="3">
        <v>42950</v>
      </c>
      <c r="G4269" s="2">
        <v>201802</v>
      </c>
      <c r="H4269" s="2" t="s">
        <v>74</v>
      </c>
      <c r="I4269" s="2" t="s">
        <v>75</v>
      </c>
      <c r="J4269" s="2" t="s">
        <v>3932</v>
      </c>
      <c r="K4269" s="2" t="s">
        <v>77</v>
      </c>
      <c r="L4269" s="2" t="s">
        <v>1781</v>
      </c>
      <c r="M4269" s="2" t="s">
        <v>1781</v>
      </c>
      <c r="N4269" s="2" t="s">
        <v>3933</v>
      </c>
      <c r="O4269" s="2" t="s">
        <v>100</v>
      </c>
      <c r="P4269" s="2" t="str">
        <f>"                              "</f>
        <v xml:space="preserve">                              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7.75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0</v>
      </c>
      <c r="AU4269" s="2">
        <v>0</v>
      </c>
      <c r="AV4269" s="2">
        <v>0</v>
      </c>
      <c r="AW4269" s="2">
        <v>0</v>
      </c>
      <c r="AX4269" s="2">
        <v>0</v>
      </c>
      <c r="AY4269" s="2">
        <v>0</v>
      </c>
      <c r="AZ4269" s="2">
        <v>0</v>
      </c>
      <c r="BA4269" s="2">
        <v>0</v>
      </c>
      <c r="BB4269" s="2">
        <v>0</v>
      </c>
      <c r="BC4269" s="2">
        <v>0</v>
      </c>
      <c r="BD4269" s="2">
        <v>0</v>
      </c>
      <c r="BE4269" s="2">
        <v>0</v>
      </c>
      <c r="BF4269" s="2">
        <v>0</v>
      </c>
      <c r="BG4269" s="2">
        <v>0</v>
      </c>
      <c r="BH4269" s="2">
        <v>1</v>
      </c>
      <c r="BI4269" s="2">
        <v>1</v>
      </c>
      <c r="BJ4269" s="2">
        <v>0.2</v>
      </c>
      <c r="BK4269" s="2">
        <v>1</v>
      </c>
      <c r="BL4269" s="2">
        <v>80.290000000000006</v>
      </c>
      <c r="BM4269" s="2">
        <v>11.24</v>
      </c>
      <c r="BN4269" s="2">
        <v>91.53</v>
      </c>
      <c r="BO4269" s="2">
        <v>91.53</v>
      </c>
      <c r="BP4269" s="2"/>
      <c r="BQ4269" s="2"/>
      <c r="BR4269" s="2"/>
      <c r="BS4269" s="3">
        <v>42954</v>
      </c>
      <c r="BT4269" s="4">
        <v>0.625</v>
      </c>
      <c r="BU4269" s="2" t="s">
        <v>3864</v>
      </c>
      <c r="BV4269" s="2" t="s">
        <v>95</v>
      </c>
      <c r="BW4269" s="2"/>
      <c r="BX4269" s="2"/>
      <c r="BY4269" s="2">
        <v>1200</v>
      </c>
      <c r="BZ4269" s="2" t="s">
        <v>27</v>
      </c>
      <c r="CA4269" s="2" t="s">
        <v>148</v>
      </c>
      <c r="CB4269" s="2"/>
      <c r="CC4269" s="2" t="s">
        <v>1781</v>
      </c>
      <c r="CD4269" s="2">
        <v>5470</v>
      </c>
      <c r="CE4269" s="2" t="s">
        <v>89</v>
      </c>
      <c r="CF4269" s="5">
        <v>42961</v>
      </c>
      <c r="CG4269" s="2"/>
      <c r="CH4269" s="2"/>
      <c r="CI4269" s="2">
        <v>4</v>
      </c>
      <c r="CJ4269" s="2">
        <v>2</v>
      </c>
      <c r="CK4269" s="2">
        <v>23</v>
      </c>
      <c r="CL4269" s="2" t="s">
        <v>86</v>
      </c>
      <c r="CM4269" s="2"/>
    </row>
    <row r="4270" spans="1:91">
      <c r="A4270" s="2" t="s">
        <v>71</v>
      </c>
      <c r="B4270" s="2" t="s">
        <v>72</v>
      </c>
      <c r="C4270" s="2" t="s">
        <v>73</v>
      </c>
      <c r="D4270" s="2"/>
      <c r="E4270" s="2" t="str">
        <f>"FES1162566925"</f>
        <v>FES1162566925</v>
      </c>
      <c r="F4270" s="3">
        <v>42950</v>
      </c>
      <c r="G4270" s="2">
        <v>201802</v>
      </c>
      <c r="H4270" s="2" t="s">
        <v>74</v>
      </c>
      <c r="I4270" s="2" t="s">
        <v>75</v>
      </c>
      <c r="J4270" s="2" t="s">
        <v>76</v>
      </c>
      <c r="K4270" s="2" t="s">
        <v>77</v>
      </c>
      <c r="L4270" s="2" t="s">
        <v>97</v>
      </c>
      <c r="M4270" s="2" t="s">
        <v>98</v>
      </c>
      <c r="N4270" s="2" t="s">
        <v>119</v>
      </c>
      <c r="O4270" s="2" t="s">
        <v>100</v>
      </c>
      <c r="P4270" s="2" t="str">
        <f>"2170583175                    "</f>
        <v xml:space="preserve">2170583175                    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8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0</v>
      </c>
      <c r="AU4270" s="2">
        <v>0</v>
      </c>
      <c r="AV4270" s="2">
        <v>0</v>
      </c>
      <c r="AW4270" s="2">
        <v>0</v>
      </c>
      <c r="AX4270" s="2">
        <v>0</v>
      </c>
      <c r="AY4270" s="2">
        <v>0</v>
      </c>
      <c r="AZ4270" s="2">
        <v>0</v>
      </c>
      <c r="BA4270" s="2">
        <v>0</v>
      </c>
      <c r="BB4270" s="2">
        <v>0</v>
      </c>
      <c r="BC4270" s="2">
        <v>0</v>
      </c>
      <c r="BD4270" s="2">
        <v>0</v>
      </c>
      <c r="BE4270" s="2">
        <v>0</v>
      </c>
      <c r="BF4270" s="2">
        <v>0</v>
      </c>
      <c r="BG4270" s="2">
        <v>0</v>
      </c>
      <c r="BH4270" s="2">
        <v>1</v>
      </c>
      <c r="BI4270" s="2">
        <v>1</v>
      </c>
      <c r="BJ4270" s="2">
        <v>3.9</v>
      </c>
      <c r="BK4270" s="2">
        <v>4</v>
      </c>
      <c r="BL4270" s="2">
        <v>82.88</v>
      </c>
      <c r="BM4270" s="2">
        <v>11.6</v>
      </c>
      <c r="BN4270" s="2">
        <v>94.48</v>
      </c>
      <c r="BO4270" s="2">
        <v>94.48</v>
      </c>
      <c r="BP4270" s="2"/>
      <c r="BQ4270" s="2" t="s">
        <v>108</v>
      </c>
      <c r="BR4270" s="2" t="s">
        <v>84</v>
      </c>
      <c r="BS4270" s="3">
        <v>42951</v>
      </c>
      <c r="BT4270" s="4">
        <v>0.3354166666666667</v>
      </c>
      <c r="BU4270" s="2" t="s">
        <v>224</v>
      </c>
      <c r="BV4270" s="2" t="s">
        <v>95</v>
      </c>
      <c r="BW4270" s="2"/>
      <c r="BX4270" s="2"/>
      <c r="BY4270" s="2">
        <v>19415.55</v>
      </c>
      <c r="BZ4270" s="2" t="s">
        <v>27</v>
      </c>
      <c r="CA4270" s="2" t="s">
        <v>213</v>
      </c>
      <c r="CB4270" s="2"/>
      <c r="CC4270" s="2" t="s">
        <v>98</v>
      </c>
      <c r="CD4270" s="2">
        <v>6001</v>
      </c>
      <c r="CE4270" s="2" t="s">
        <v>3630</v>
      </c>
      <c r="CF4270" s="5">
        <v>42954</v>
      </c>
      <c r="CG4270" s="2"/>
      <c r="CH4270" s="2"/>
      <c r="CI4270" s="2">
        <v>1</v>
      </c>
      <c r="CJ4270" s="2">
        <v>1</v>
      </c>
      <c r="CK4270" s="2">
        <v>21</v>
      </c>
      <c r="CL4270" s="2" t="s">
        <v>86</v>
      </c>
      <c r="CM4270" s="2"/>
    </row>
    <row r="4271" spans="1:91">
      <c r="A4271" s="2" t="s">
        <v>71</v>
      </c>
      <c r="B4271" s="2" t="s">
        <v>72</v>
      </c>
      <c r="C4271" s="2" t="s">
        <v>73</v>
      </c>
      <c r="D4271" s="2"/>
      <c r="E4271" s="2" t="str">
        <f>"FES1162566588"</f>
        <v>FES1162566588</v>
      </c>
      <c r="F4271" s="3">
        <v>42950</v>
      </c>
      <c r="G4271" s="2">
        <v>201802</v>
      </c>
      <c r="H4271" s="2" t="s">
        <v>74</v>
      </c>
      <c r="I4271" s="2" t="s">
        <v>75</v>
      </c>
      <c r="J4271" s="2" t="s">
        <v>76</v>
      </c>
      <c r="K4271" s="2" t="s">
        <v>77</v>
      </c>
      <c r="L4271" s="2" t="s">
        <v>105</v>
      </c>
      <c r="M4271" s="2" t="s">
        <v>106</v>
      </c>
      <c r="N4271" s="2" t="s">
        <v>348</v>
      </c>
      <c r="O4271" s="2" t="s">
        <v>100</v>
      </c>
      <c r="P4271" s="2" t="str">
        <f>"2170582324                    "</f>
        <v xml:space="preserve">2170582324                    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4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0</v>
      </c>
      <c r="AU4271" s="2">
        <v>0</v>
      </c>
      <c r="AV4271" s="2">
        <v>0</v>
      </c>
      <c r="AW4271" s="2">
        <v>0</v>
      </c>
      <c r="AX4271" s="2">
        <v>0</v>
      </c>
      <c r="AY4271" s="2">
        <v>0</v>
      </c>
      <c r="AZ4271" s="2">
        <v>0</v>
      </c>
      <c r="BA4271" s="2">
        <v>0</v>
      </c>
      <c r="BB4271" s="2">
        <v>0</v>
      </c>
      <c r="BC4271" s="2">
        <v>0</v>
      </c>
      <c r="BD4271" s="2">
        <v>0</v>
      </c>
      <c r="BE4271" s="2">
        <v>0</v>
      </c>
      <c r="BF4271" s="2">
        <v>0</v>
      </c>
      <c r="BG4271" s="2">
        <v>0</v>
      </c>
      <c r="BH4271" s="2">
        <v>1</v>
      </c>
      <c r="BI4271" s="2">
        <v>0.3</v>
      </c>
      <c r="BJ4271" s="2">
        <v>1</v>
      </c>
      <c r="BK4271" s="2">
        <v>1</v>
      </c>
      <c r="BL4271" s="2">
        <v>41.44</v>
      </c>
      <c r="BM4271" s="2">
        <v>5.8</v>
      </c>
      <c r="BN4271" s="2">
        <v>47.24</v>
      </c>
      <c r="BO4271" s="2">
        <v>47.24</v>
      </c>
      <c r="BP4271" s="2"/>
      <c r="BQ4271" s="2" t="s">
        <v>108</v>
      </c>
      <c r="BR4271" s="2" t="s">
        <v>84</v>
      </c>
      <c r="BS4271" s="3">
        <v>42957</v>
      </c>
      <c r="BT4271" s="4">
        <v>0.41666666666666669</v>
      </c>
      <c r="BU4271" s="2" t="s">
        <v>2648</v>
      </c>
      <c r="BV4271" s="2" t="s">
        <v>86</v>
      </c>
      <c r="BW4271" s="2" t="s">
        <v>110</v>
      </c>
      <c r="BX4271" s="2" t="s">
        <v>111</v>
      </c>
      <c r="BY4271" s="2">
        <v>4893.6400000000003</v>
      </c>
      <c r="BZ4271" s="2" t="s">
        <v>27</v>
      </c>
      <c r="CA4271" s="2"/>
      <c r="CB4271" s="2"/>
      <c r="CC4271" s="2" t="s">
        <v>106</v>
      </c>
      <c r="CD4271" s="2">
        <v>7945</v>
      </c>
      <c r="CE4271" s="2" t="s">
        <v>89</v>
      </c>
      <c r="CF4271" s="5">
        <v>42958</v>
      </c>
      <c r="CG4271" s="2"/>
      <c r="CH4271" s="2"/>
      <c r="CI4271" s="2">
        <v>1</v>
      </c>
      <c r="CJ4271" s="2">
        <v>5</v>
      </c>
      <c r="CK4271" s="2">
        <v>21</v>
      </c>
      <c r="CL4271" s="2" t="s">
        <v>86</v>
      </c>
      <c r="CM4271" s="2"/>
    </row>
    <row r="4272" spans="1:91">
      <c r="A4272" s="2" t="s">
        <v>71</v>
      </c>
      <c r="B4272" s="2" t="s">
        <v>72</v>
      </c>
      <c r="C4272" s="2" t="s">
        <v>73</v>
      </c>
      <c r="D4272" s="2"/>
      <c r="E4272" s="2" t="str">
        <f>"FES1162566921"</f>
        <v>FES1162566921</v>
      </c>
      <c r="F4272" s="3">
        <v>42950</v>
      </c>
      <c r="G4272" s="2">
        <v>201802</v>
      </c>
      <c r="H4272" s="2" t="s">
        <v>74</v>
      </c>
      <c r="I4272" s="2" t="s">
        <v>75</v>
      </c>
      <c r="J4272" s="2" t="s">
        <v>76</v>
      </c>
      <c r="K4272" s="2" t="s">
        <v>77</v>
      </c>
      <c r="L4272" s="2" t="s">
        <v>97</v>
      </c>
      <c r="M4272" s="2" t="s">
        <v>98</v>
      </c>
      <c r="N4272" s="2" t="s">
        <v>454</v>
      </c>
      <c r="O4272" s="2" t="s">
        <v>100</v>
      </c>
      <c r="P4272" s="2" t="str">
        <f>"2170583168                    "</f>
        <v xml:space="preserve">2170583168                    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4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0</v>
      </c>
      <c r="AU4272" s="2">
        <v>0</v>
      </c>
      <c r="AV4272" s="2">
        <v>0</v>
      </c>
      <c r="AW4272" s="2">
        <v>0</v>
      </c>
      <c r="AX4272" s="2">
        <v>0</v>
      </c>
      <c r="AY4272" s="2">
        <v>0</v>
      </c>
      <c r="AZ4272" s="2">
        <v>0</v>
      </c>
      <c r="BA4272" s="2">
        <v>0</v>
      </c>
      <c r="BB4272" s="2">
        <v>0</v>
      </c>
      <c r="BC4272" s="2">
        <v>0</v>
      </c>
      <c r="BD4272" s="2">
        <v>0</v>
      </c>
      <c r="BE4272" s="2">
        <v>0</v>
      </c>
      <c r="BF4272" s="2">
        <v>0</v>
      </c>
      <c r="BG4272" s="2">
        <v>0</v>
      </c>
      <c r="BH4272" s="2">
        <v>1</v>
      </c>
      <c r="BI4272" s="2">
        <v>0.5</v>
      </c>
      <c r="BJ4272" s="2">
        <v>0.2</v>
      </c>
      <c r="BK4272" s="2">
        <v>0.5</v>
      </c>
      <c r="BL4272" s="2">
        <v>41.44</v>
      </c>
      <c r="BM4272" s="2">
        <v>5.8</v>
      </c>
      <c r="BN4272" s="2">
        <v>47.24</v>
      </c>
      <c r="BO4272" s="2">
        <v>47.24</v>
      </c>
      <c r="BP4272" s="2"/>
      <c r="BQ4272" s="2" t="s">
        <v>83</v>
      </c>
      <c r="BR4272" s="2" t="s">
        <v>84</v>
      </c>
      <c r="BS4272" s="3">
        <v>42951</v>
      </c>
      <c r="BT4272" s="4">
        <v>0.28958333333333336</v>
      </c>
      <c r="BU4272" s="2" t="s">
        <v>3934</v>
      </c>
      <c r="BV4272" s="2" t="s">
        <v>95</v>
      </c>
      <c r="BW4272" s="2"/>
      <c r="BX4272" s="2"/>
      <c r="BY4272" s="2">
        <v>1200</v>
      </c>
      <c r="BZ4272" s="2" t="s">
        <v>27</v>
      </c>
      <c r="CA4272" s="2" t="s">
        <v>804</v>
      </c>
      <c r="CB4272" s="2"/>
      <c r="CC4272" s="2" t="s">
        <v>98</v>
      </c>
      <c r="CD4272" s="2">
        <v>6012</v>
      </c>
      <c r="CE4272" s="2" t="s">
        <v>104</v>
      </c>
      <c r="CF4272" s="5">
        <v>42954</v>
      </c>
      <c r="CG4272" s="2"/>
      <c r="CH4272" s="2"/>
      <c r="CI4272" s="2">
        <v>1</v>
      </c>
      <c r="CJ4272" s="2">
        <v>1</v>
      </c>
      <c r="CK4272" s="2">
        <v>21</v>
      </c>
      <c r="CL4272" s="2" t="s">
        <v>86</v>
      </c>
      <c r="CM4272" s="2"/>
    </row>
    <row r="4273" spans="1:91">
      <c r="A4273" s="2" t="s">
        <v>71</v>
      </c>
      <c r="B4273" s="2" t="s">
        <v>72</v>
      </c>
      <c r="C4273" s="2" t="s">
        <v>73</v>
      </c>
      <c r="D4273" s="2"/>
      <c r="E4273" s="2" t="str">
        <f>"FES1162566796"</f>
        <v>FES1162566796</v>
      </c>
      <c r="F4273" s="3">
        <v>42950</v>
      </c>
      <c r="G4273" s="2">
        <v>201802</v>
      </c>
      <c r="H4273" s="2" t="s">
        <v>74</v>
      </c>
      <c r="I4273" s="2" t="s">
        <v>75</v>
      </c>
      <c r="J4273" s="2" t="s">
        <v>76</v>
      </c>
      <c r="K4273" s="2" t="s">
        <v>77</v>
      </c>
      <c r="L4273" s="2" t="s">
        <v>105</v>
      </c>
      <c r="M4273" s="2" t="s">
        <v>106</v>
      </c>
      <c r="N4273" s="2" t="s">
        <v>253</v>
      </c>
      <c r="O4273" s="2" t="s">
        <v>100</v>
      </c>
      <c r="P4273" s="2" t="str">
        <f>"2170580611                    "</f>
        <v xml:space="preserve">2170580611                    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6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0</v>
      </c>
      <c r="AU4273" s="2">
        <v>0</v>
      </c>
      <c r="AV4273" s="2">
        <v>0</v>
      </c>
      <c r="AW4273" s="2">
        <v>0</v>
      </c>
      <c r="AX4273" s="2">
        <v>0</v>
      </c>
      <c r="AY4273" s="2">
        <v>0</v>
      </c>
      <c r="AZ4273" s="2">
        <v>0</v>
      </c>
      <c r="BA4273" s="2">
        <v>0</v>
      </c>
      <c r="BB4273" s="2">
        <v>0</v>
      </c>
      <c r="BC4273" s="2">
        <v>0</v>
      </c>
      <c r="BD4273" s="2">
        <v>0</v>
      </c>
      <c r="BE4273" s="2">
        <v>0</v>
      </c>
      <c r="BF4273" s="2">
        <v>0</v>
      </c>
      <c r="BG4273" s="2">
        <v>0</v>
      </c>
      <c r="BH4273" s="2">
        <v>1</v>
      </c>
      <c r="BI4273" s="2">
        <v>0.9</v>
      </c>
      <c r="BJ4273" s="2">
        <v>2.8</v>
      </c>
      <c r="BK4273" s="2">
        <v>3</v>
      </c>
      <c r="BL4273" s="2">
        <v>62.16</v>
      </c>
      <c r="BM4273" s="2">
        <v>8.6999999999999993</v>
      </c>
      <c r="BN4273" s="2">
        <v>70.86</v>
      </c>
      <c r="BO4273" s="2">
        <v>70.86</v>
      </c>
      <c r="BP4273" s="2"/>
      <c r="BQ4273" s="2" t="s">
        <v>108</v>
      </c>
      <c r="BR4273" s="2" t="s">
        <v>84</v>
      </c>
      <c r="BS4273" s="3">
        <v>42951</v>
      </c>
      <c r="BT4273" s="4">
        <v>0.43958333333333338</v>
      </c>
      <c r="BU4273" s="2" t="s">
        <v>1074</v>
      </c>
      <c r="BV4273" s="2" t="s">
        <v>95</v>
      </c>
      <c r="BW4273" s="2"/>
      <c r="BX4273" s="2"/>
      <c r="BY4273" s="2">
        <v>14192.02</v>
      </c>
      <c r="BZ4273" s="2" t="s">
        <v>27</v>
      </c>
      <c r="CA4273" s="2" t="s">
        <v>654</v>
      </c>
      <c r="CB4273" s="2"/>
      <c r="CC4273" s="2" t="s">
        <v>106</v>
      </c>
      <c r="CD4273" s="2">
        <v>7490</v>
      </c>
      <c r="CE4273" s="2" t="s">
        <v>89</v>
      </c>
      <c r="CF4273" s="5">
        <v>42954</v>
      </c>
      <c r="CG4273" s="2"/>
      <c r="CH4273" s="2"/>
      <c r="CI4273" s="2">
        <v>1</v>
      </c>
      <c r="CJ4273" s="2">
        <v>1</v>
      </c>
      <c r="CK4273" s="2">
        <v>21</v>
      </c>
      <c r="CL4273" s="2" t="s">
        <v>86</v>
      </c>
      <c r="CM4273" s="2"/>
    </row>
    <row r="4274" spans="1:91">
      <c r="A4274" s="2" t="s">
        <v>71</v>
      </c>
      <c r="B4274" s="2" t="s">
        <v>72</v>
      </c>
      <c r="C4274" s="2" t="s">
        <v>73</v>
      </c>
      <c r="D4274" s="2"/>
      <c r="E4274" s="2" t="str">
        <f>"FES1162566949"</f>
        <v>FES1162566949</v>
      </c>
      <c r="F4274" s="3">
        <v>42950</v>
      </c>
      <c r="G4274" s="2">
        <v>201802</v>
      </c>
      <c r="H4274" s="2" t="s">
        <v>74</v>
      </c>
      <c r="I4274" s="2" t="s">
        <v>75</v>
      </c>
      <c r="J4274" s="2" t="s">
        <v>76</v>
      </c>
      <c r="K4274" s="2" t="s">
        <v>77</v>
      </c>
      <c r="L4274" s="2" t="s">
        <v>231</v>
      </c>
      <c r="M4274" s="2" t="s">
        <v>232</v>
      </c>
      <c r="N4274" s="2" t="s">
        <v>233</v>
      </c>
      <c r="O4274" s="2" t="s">
        <v>100</v>
      </c>
      <c r="P4274" s="2" t="str">
        <f>"2170583196                    "</f>
        <v xml:space="preserve">2170583196                    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4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0</v>
      </c>
      <c r="AU4274" s="2">
        <v>0</v>
      </c>
      <c r="AV4274" s="2">
        <v>0</v>
      </c>
      <c r="AW4274" s="2">
        <v>0</v>
      </c>
      <c r="AX4274" s="2">
        <v>0</v>
      </c>
      <c r="AY4274" s="2">
        <v>0</v>
      </c>
      <c r="AZ4274" s="2">
        <v>0</v>
      </c>
      <c r="BA4274" s="2">
        <v>0</v>
      </c>
      <c r="BB4274" s="2">
        <v>0</v>
      </c>
      <c r="BC4274" s="2">
        <v>0</v>
      </c>
      <c r="BD4274" s="2">
        <v>0</v>
      </c>
      <c r="BE4274" s="2">
        <v>0</v>
      </c>
      <c r="BF4274" s="2">
        <v>0</v>
      </c>
      <c r="BG4274" s="2">
        <v>0</v>
      </c>
      <c r="BH4274" s="2">
        <v>1</v>
      </c>
      <c r="BI4274" s="2">
        <v>1</v>
      </c>
      <c r="BJ4274" s="2">
        <v>0.2</v>
      </c>
      <c r="BK4274" s="2">
        <v>1</v>
      </c>
      <c r="BL4274" s="2">
        <v>41.44</v>
      </c>
      <c r="BM4274" s="2">
        <v>5.8</v>
      </c>
      <c r="BN4274" s="2">
        <v>47.24</v>
      </c>
      <c r="BO4274" s="2">
        <v>47.24</v>
      </c>
      <c r="BP4274" s="2"/>
      <c r="BQ4274" s="2" t="s">
        <v>83</v>
      </c>
      <c r="BR4274" s="2" t="s">
        <v>84</v>
      </c>
      <c r="BS4274" s="3">
        <v>42951</v>
      </c>
      <c r="BT4274" s="4">
        <v>0.35138888888888892</v>
      </c>
      <c r="BU4274" s="2" t="s">
        <v>3030</v>
      </c>
      <c r="BV4274" s="2" t="s">
        <v>95</v>
      </c>
      <c r="BW4274" s="2"/>
      <c r="BX4274" s="2"/>
      <c r="BY4274" s="2">
        <v>1200</v>
      </c>
      <c r="BZ4274" s="2" t="s">
        <v>27</v>
      </c>
      <c r="CA4274" s="2" t="s">
        <v>235</v>
      </c>
      <c r="CB4274" s="2"/>
      <c r="CC4274" s="2" t="s">
        <v>232</v>
      </c>
      <c r="CD4274" s="2">
        <v>4026</v>
      </c>
      <c r="CE4274" s="2" t="s">
        <v>3630</v>
      </c>
      <c r="CF4274" s="5">
        <v>42954</v>
      </c>
      <c r="CG4274" s="2"/>
      <c r="CH4274" s="2"/>
      <c r="CI4274" s="2">
        <v>1</v>
      </c>
      <c r="CJ4274" s="2">
        <v>1</v>
      </c>
      <c r="CK4274" s="2">
        <v>21</v>
      </c>
      <c r="CL4274" s="2" t="s">
        <v>86</v>
      </c>
      <c r="CM4274" s="2"/>
    </row>
    <row r="4275" spans="1:91">
      <c r="A4275" s="2" t="s">
        <v>71</v>
      </c>
      <c r="B4275" s="2" t="s">
        <v>72</v>
      </c>
      <c r="C4275" s="2" t="s">
        <v>73</v>
      </c>
      <c r="D4275" s="2"/>
      <c r="E4275" s="2" t="str">
        <f>"FES1162566794"</f>
        <v>FES1162566794</v>
      </c>
      <c r="F4275" s="3">
        <v>42950</v>
      </c>
      <c r="G4275" s="2">
        <v>201802</v>
      </c>
      <c r="H4275" s="2" t="s">
        <v>74</v>
      </c>
      <c r="I4275" s="2" t="s">
        <v>75</v>
      </c>
      <c r="J4275" s="2" t="s">
        <v>76</v>
      </c>
      <c r="K4275" s="2" t="s">
        <v>77</v>
      </c>
      <c r="L4275" s="2" t="s">
        <v>159</v>
      </c>
      <c r="M4275" s="2" t="s">
        <v>160</v>
      </c>
      <c r="N4275" s="2" t="s">
        <v>1465</v>
      </c>
      <c r="O4275" s="2" t="s">
        <v>100</v>
      </c>
      <c r="P4275" s="2" t="str">
        <f>"2170583041                    "</f>
        <v xml:space="preserve">2170583041                    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5.63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0</v>
      </c>
      <c r="AU4275" s="2">
        <v>0</v>
      </c>
      <c r="AV4275" s="2">
        <v>0</v>
      </c>
      <c r="AW4275" s="2">
        <v>0</v>
      </c>
      <c r="AX4275" s="2">
        <v>0</v>
      </c>
      <c r="AY4275" s="2">
        <v>0</v>
      </c>
      <c r="AZ4275" s="2">
        <v>0</v>
      </c>
      <c r="BA4275" s="2">
        <v>0</v>
      </c>
      <c r="BB4275" s="2">
        <v>0</v>
      </c>
      <c r="BC4275" s="2">
        <v>0</v>
      </c>
      <c r="BD4275" s="2">
        <v>0</v>
      </c>
      <c r="BE4275" s="2">
        <v>0</v>
      </c>
      <c r="BF4275" s="2">
        <v>0</v>
      </c>
      <c r="BG4275" s="2">
        <v>0</v>
      </c>
      <c r="BH4275" s="2">
        <v>1</v>
      </c>
      <c r="BI4275" s="2">
        <v>1</v>
      </c>
      <c r="BJ4275" s="2">
        <v>0.2</v>
      </c>
      <c r="BK4275" s="2">
        <v>1</v>
      </c>
      <c r="BL4275" s="2">
        <v>58.28</v>
      </c>
      <c r="BM4275" s="2">
        <v>8.16</v>
      </c>
      <c r="BN4275" s="2">
        <v>66.44</v>
      </c>
      <c r="BO4275" s="2">
        <v>66.44</v>
      </c>
      <c r="BP4275" s="2"/>
      <c r="BQ4275" s="2" t="s">
        <v>209</v>
      </c>
      <c r="BR4275" s="2" t="s">
        <v>84</v>
      </c>
      <c r="BS4275" s="3">
        <v>42951</v>
      </c>
      <c r="BT4275" s="4">
        <v>0.52083333333333337</v>
      </c>
      <c r="BU4275" s="2" t="s">
        <v>1466</v>
      </c>
      <c r="BV4275" s="2" t="s">
        <v>95</v>
      </c>
      <c r="BW4275" s="2"/>
      <c r="BX4275" s="2"/>
      <c r="BY4275" s="2">
        <v>1200</v>
      </c>
      <c r="BZ4275" s="2" t="s">
        <v>27</v>
      </c>
      <c r="CA4275" s="2"/>
      <c r="CB4275" s="2"/>
      <c r="CC4275" s="2" t="s">
        <v>160</v>
      </c>
      <c r="CD4275" s="2">
        <v>407</v>
      </c>
      <c r="CE4275" s="2" t="s">
        <v>104</v>
      </c>
      <c r="CF4275" s="5">
        <v>42954</v>
      </c>
      <c r="CG4275" s="2"/>
      <c r="CH4275" s="2"/>
      <c r="CI4275" s="2">
        <v>1</v>
      </c>
      <c r="CJ4275" s="2">
        <v>1</v>
      </c>
      <c r="CK4275" s="2">
        <v>24</v>
      </c>
      <c r="CL4275" s="2" t="s">
        <v>86</v>
      </c>
      <c r="CM4275" s="2"/>
    </row>
    <row r="4276" spans="1:91">
      <c r="A4276" s="2" t="s">
        <v>71</v>
      </c>
      <c r="B4276" s="2" t="s">
        <v>72</v>
      </c>
      <c r="C4276" s="2" t="s">
        <v>73</v>
      </c>
      <c r="D4276" s="2"/>
      <c r="E4276" s="2" t="str">
        <f>"FES1162566853"</f>
        <v>FES1162566853</v>
      </c>
      <c r="F4276" s="3">
        <v>42950</v>
      </c>
      <c r="G4276" s="2">
        <v>201802</v>
      </c>
      <c r="H4276" s="2" t="s">
        <v>74</v>
      </c>
      <c r="I4276" s="2" t="s">
        <v>75</v>
      </c>
      <c r="J4276" s="2" t="s">
        <v>76</v>
      </c>
      <c r="K4276" s="2" t="s">
        <v>77</v>
      </c>
      <c r="L4276" s="2" t="s">
        <v>149</v>
      </c>
      <c r="M4276" s="2" t="s">
        <v>150</v>
      </c>
      <c r="N4276" s="2" t="s">
        <v>3935</v>
      </c>
      <c r="O4276" s="2" t="s">
        <v>100</v>
      </c>
      <c r="P4276" s="2" t="str">
        <f>"2170583097                    "</f>
        <v xml:space="preserve">2170583097                    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4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0</v>
      </c>
      <c r="AU4276" s="2">
        <v>0</v>
      </c>
      <c r="AV4276" s="2">
        <v>0</v>
      </c>
      <c r="AW4276" s="2">
        <v>0</v>
      </c>
      <c r="AX4276" s="2">
        <v>0</v>
      </c>
      <c r="AY4276" s="2">
        <v>0</v>
      </c>
      <c r="AZ4276" s="2">
        <v>0</v>
      </c>
      <c r="BA4276" s="2">
        <v>0</v>
      </c>
      <c r="BB4276" s="2">
        <v>0</v>
      </c>
      <c r="BC4276" s="2">
        <v>0</v>
      </c>
      <c r="BD4276" s="2">
        <v>0</v>
      </c>
      <c r="BE4276" s="2">
        <v>0</v>
      </c>
      <c r="BF4276" s="2">
        <v>0</v>
      </c>
      <c r="BG4276" s="2">
        <v>0</v>
      </c>
      <c r="BH4276" s="2">
        <v>1</v>
      </c>
      <c r="BI4276" s="2">
        <v>1</v>
      </c>
      <c r="BJ4276" s="2">
        <v>0.2</v>
      </c>
      <c r="BK4276" s="2">
        <v>1</v>
      </c>
      <c r="BL4276" s="2">
        <v>41.44</v>
      </c>
      <c r="BM4276" s="2">
        <v>5.8</v>
      </c>
      <c r="BN4276" s="2">
        <v>47.24</v>
      </c>
      <c r="BO4276" s="2">
        <v>47.24</v>
      </c>
      <c r="BP4276" s="2"/>
      <c r="BQ4276" s="2" t="s">
        <v>209</v>
      </c>
      <c r="BR4276" s="2" t="s">
        <v>84</v>
      </c>
      <c r="BS4276" s="3">
        <v>42951</v>
      </c>
      <c r="BT4276" s="4">
        <v>0.4055555555555555</v>
      </c>
      <c r="BU4276" s="2" t="s">
        <v>3936</v>
      </c>
      <c r="BV4276" s="2" t="s">
        <v>95</v>
      </c>
      <c r="BW4276" s="2"/>
      <c r="BX4276" s="2"/>
      <c r="BY4276" s="2">
        <v>1200</v>
      </c>
      <c r="BZ4276" s="2" t="s">
        <v>27</v>
      </c>
      <c r="CA4276" s="2" t="s">
        <v>607</v>
      </c>
      <c r="CB4276" s="2"/>
      <c r="CC4276" s="2" t="s">
        <v>150</v>
      </c>
      <c r="CD4276" s="2">
        <v>4157</v>
      </c>
      <c r="CE4276" s="2" t="s">
        <v>3630</v>
      </c>
      <c r="CF4276" s="5">
        <v>42951</v>
      </c>
      <c r="CG4276" s="2"/>
      <c r="CH4276" s="2"/>
      <c r="CI4276" s="2">
        <v>1</v>
      </c>
      <c r="CJ4276" s="2">
        <v>1</v>
      </c>
      <c r="CK4276" s="2">
        <v>21</v>
      </c>
      <c r="CL4276" s="2" t="s">
        <v>86</v>
      </c>
      <c r="CM4276" s="2"/>
    </row>
    <row r="4277" spans="1:91">
      <c r="A4277" s="2" t="s">
        <v>71</v>
      </c>
      <c r="B4277" s="2" t="s">
        <v>72</v>
      </c>
      <c r="C4277" s="2" t="s">
        <v>73</v>
      </c>
      <c r="D4277" s="2"/>
      <c r="E4277" s="2" t="str">
        <f>"FES1162566615"</f>
        <v>FES1162566615</v>
      </c>
      <c r="F4277" s="3">
        <v>42950</v>
      </c>
      <c r="G4277" s="2">
        <v>201802</v>
      </c>
      <c r="H4277" s="2" t="s">
        <v>74</v>
      </c>
      <c r="I4277" s="2" t="s">
        <v>75</v>
      </c>
      <c r="J4277" s="2" t="s">
        <v>76</v>
      </c>
      <c r="K4277" s="2" t="s">
        <v>77</v>
      </c>
      <c r="L4277" s="2" t="s">
        <v>268</v>
      </c>
      <c r="M4277" s="2" t="s">
        <v>269</v>
      </c>
      <c r="N4277" s="2" t="s">
        <v>442</v>
      </c>
      <c r="O4277" s="2" t="s">
        <v>100</v>
      </c>
      <c r="P4277" s="2" t="str">
        <f>"2170580883                    "</f>
        <v xml:space="preserve">2170580883                    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4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0</v>
      </c>
      <c r="AU4277" s="2">
        <v>0</v>
      </c>
      <c r="AV4277" s="2">
        <v>0</v>
      </c>
      <c r="AW4277" s="2">
        <v>0</v>
      </c>
      <c r="AX4277" s="2">
        <v>0</v>
      </c>
      <c r="AY4277" s="2">
        <v>0</v>
      </c>
      <c r="AZ4277" s="2">
        <v>0</v>
      </c>
      <c r="BA4277" s="2">
        <v>0</v>
      </c>
      <c r="BB4277" s="2">
        <v>0</v>
      </c>
      <c r="BC4277" s="2">
        <v>0</v>
      </c>
      <c r="BD4277" s="2">
        <v>0</v>
      </c>
      <c r="BE4277" s="2">
        <v>0</v>
      </c>
      <c r="BF4277" s="2">
        <v>0</v>
      </c>
      <c r="BG4277" s="2">
        <v>0</v>
      </c>
      <c r="BH4277" s="2">
        <v>1</v>
      </c>
      <c r="BI4277" s="2">
        <v>1</v>
      </c>
      <c r="BJ4277" s="2">
        <v>0.2</v>
      </c>
      <c r="BK4277" s="2">
        <v>1</v>
      </c>
      <c r="BL4277" s="2">
        <v>41.44</v>
      </c>
      <c r="BM4277" s="2">
        <v>5.8</v>
      </c>
      <c r="BN4277" s="2">
        <v>47.24</v>
      </c>
      <c r="BO4277" s="2">
        <v>47.24</v>
      </c>
      <c r="BP4277" s="2"/>
      <c r="BQ4277" s="2" t="s">
        <v>83</v>
      </c>
      <c r="BR4277" s="2" t="s">
        <v>84</v>
      </c>
      <c r="BS4277" s="3">
        <v>42951</v>
      </c>
      <c r="BT4277" s="4">
        <v>0.4375</v>
      </c>
      <c r="BU4277" s="2" t="s">
        <v>819</v>
      </c>
      <c r="BV4277" s="2" t="s">
        <v>95</v>
      </c>
      <c r="BW4277" s="2"/>
      <c r="BX4277" s="2"/>
      <c r="BY4277" s="2">
        <v>1200</v>
      </c>
      <c r="BZ4277" s="2" t="s">
        <v>27</v>
      </c>
      <c r="CA4277" s="2"/>
      <c r="CB4277" s="2"/>
      <c r="CC4277" s="2" t="s">
        <v>269</v>
      </c>
      <c r="CD4277" s="2">
        <v>1</v>
      </c>
      <c r="CE4277" s="2" t="s">
        <v>104</v>
      </c>
      <c r="CF4277" s="5">
        <v>42954</v>
      </c>
      <c r="CG4277" s="2"/>
      <c r="CH4277" s="2"/>
      <c r="CI4277" s="2">
        <v>1</v>
      </c>
      <c r="CJ4277" s="2">
        <v>1</v>
      </c>
      <c r="CK4277" s="2">
        <v>21</v>
      </c>
      <c r="CL4277" s="2" t="s">
        <v>86</v>
      </c>
      <c r="CM4277" s="2"/>
    </row>
    <row r="4278" spans="1:91">
      <c r="A4278" s="2" t="s">
        <v>71</v>
      </c>
      <c r="B4278" s="2" t="s">
        <v>72</v>
      </c>
      <c r="C4278" s="2" t="s">
        <v>73</v>
      </c>
      <c r="D4278" s="2"/>
      <c r="E4278" s="2" t="str">
        <f>"FES1162566883"</f>
        <v>FES1162566883</v>
      </c>
      <c r="F4278" s="3">
        <v>42950</v>
      </c>
      <c r="G4278" s="2">
        <v>201802</v>
      </c>
      <c r="H4278" s="2" t="s">
        <v>74</v>
      </c>
      <c r="I4278" s="2" t="s">
        <v>75</v>
      </c>
      <c r="J4278" s="2" t="s">
        <v>76</v>
      </c>
      <c r="K4278" s="2" t="s">
        <v>77</v>
      </c>
      <c r="L4278" s="2" t="s">
        <v>149</v>
      </c>
      <c r="M4278" s="2" t="s">
        <v>150</v>
      </c>
      <c r="N4278" s="2" t="s">
        <v>93</v>
      </c>
      <c r="O4278" s="2" t="s">
        <v>100</v>
      </c>
      <c r="P4278" s="2" t="str">
        <f>"21705831219                   "</f>
        <v xml:space="preserve">21705831219                   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4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0</v>
      </c>
      <c r="AU4278" s="2">
        <v>0</v>
      </c>
      <c r="AV4278" s="2">
        <v>0</v>
      </c>
      <c r="AW4278" s="2">
        <v>0</v>
      </c>
      <c r="AX4278" s="2">
        <v>0</v>
      </c>
      <c r="AY4278" s="2">
        <v>0</v>
      </c>
      <c r="AZ4278" s="2">
        <v>0</v>
      </c>
      <c r="BA4278" s="2">
        <v>0</v>
      </c>
      <c r="BB4278" s="2">
        <v>0</v>
      </c>
      <c r="BC4278" s="2">
        <v>0</v>
      </c>
      <c r="BD4278" s="2">
        <v>0</v>
      </c>
      <c r="BE4278" s="2">
        <v>0</v>
      </c>
      <c r="BF4278" s="2">
        <v>0</v>
      </c>
      <c r="BG4278" s="2">
        <v>0</v>
      </c>
      <c r="BH4278" s="2">
        <v>1</v>
      </c>
      <c r="BI4278" s="2">
        <v>1</v>
      </c>
      <c r="BJ4278" s="2">
        <v>0.2</v>
      </c>
      <c r="BK4278" s="2">
        <v>1</v>
      </c>
      <c r="BL4278" s="2">
        <v>41.44</v>
      </c>
      <c r="BM4278" s="2">
        <v>5.8</v>
      </c>
      <c r="BN4278" s="2">
        <v>47.24</v>
      </c>
      <c r="BO4278" s="2">
        <v>47.24</v>
      </c>
      <c r="BP4278" s="2"/>
      <c r="BQ4278" s="2"/>
      <c r="BR4278" s="2" t="s">
        <v>84</v>
      </c>
      <c r="BS4278" s="3">
        <v>42951</v>
      </c>
      <c r="BT4278" s="4">
        <v>0.3520833333333333</v>
      </c>
      <c r="BU4278" s="2" t="s">
        <v>2153</v>
      </c>
      <c r="BV4278" s="2" t="s">
        <v>95</v>
      </c>
      <c r="BW4278" s="2"/>
      <c r="BX4278" s="2"/>
      <c r="BY4278" s="2">
        <v>1200</v>
      </c>
      <c r="BZ4278" s="2" t="s">
        <v>27</v>
      </c>
      <c r="CA4278" s="2" t="s">
        <v>682</v>
      </c>
      <c r="CB4278" s="2"/>
      <c r="CC4278" s="2" t="s">
        <v>150</v>
      </c>
      <c r="CD4278" s="2">
        <v>4001</v>
      </c>
      <c r="CE4278" s="2" t="s">
        <v>3630</v>
      </c>
      <c r="CF4278" s="5">
        <v>42954</v>
      </c>
      <c r="CG4278" s="2"/>
      <c r="CH4278" s="2"/>
      <c r="CI4278" s="2">
        <v>1</v>
      </c>
      <c r="CJ4278" s="2">
        <v>1</v>
      </c>
      <c r="CK4278" s="2">
        <v>21</v>
      </c>
      <c r="CL4278" s="2" t="s">
        <v>86</v>
      </c>
      <c r="CM4278" s="2"/>
    </row>
    <row r="4279" spans="1:91">
      <c r="A4279" s="2" t="s">
        <v>71</v>
      </c>
      <c r="B4279" s="2" t="s">
        <v>72</v>
      </c>
      <c r="C4279" s="2" t="s">
        <v>73</v>
      </c>
      <c r="D4279" s="2"/>
      <c r="E4279" s="2" t="str">
        <f>"FES1162566628"</f>
        <v>FES1162566628</v>
      </c>
      <c r="F4279" s="3">
        <v>42950</v>
      </c>
      <c r="G4279" s="2">
        <v>201802</v>
      </c>
      <c r="H4279" s="2" t="s">
        <v>74</v>
      </c>
      <c r="I4279" s="2" t="s">
        <v>75</v>
      </c>
      <c r="J4279" s="2" t="s">
        <v>76</v>
      </c>
      <c r="K4279" s="2" t="s">
        <v>77</v>
      </c>
      <c r="L4279" s="2" t="s">
        <v>306</v>
      </c>
      <c r="M4279" s="2" t="s">
        <v>307</v>
      </c>
      <c r="N4279" s="2" t="s">
        <v>1640</v>
      </c>
      <c r="O4279" s="2" t="s">
        <v>100</v>
      </c>
      <c r="P4279" s="2" t="str">
        <f>"2170582959                    "</f>
        <v xml:space="preserve">2170582959                    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4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0</v>
      </c>
      <c r="AU4279" s="2">
        <v>0</v>
      </c>
      <c r="AV4279" s="2">
        <v>0</v>
      </c>
      <c r="AW4279" s="2">
        <v>0</v>
      </c>
      <c r="AX4279" s="2">
        <v>0</v>
      </c>
      <c r="AY4279" s="2">
        <v>0</v>
      </c>
      <c r="AZ4279" s="2">
        <v>0</v>
      </c>
      <c r="BA4279" s="2">
        <v>0</v>
      </c>
      <c r="BB4279" s="2">
        <v>0</v>
      </c>
      <c r="BC4279" s="2">
        <v>0</v>
      </c>
      <c r="BD4279" s="2">
        <v>0</v>
      </c>
      <c r="BE4279" s="2">
        <v>0</v>
      </c>
      <c r="BF4279" s="2">
        <v>0</v>
      </c>
      <c r="BG4279" s="2">
        <v>0</v>
      </c>
      <c r="BH4279" s="2">
        <v>1</v>
      </c>
      <c r="BI4279" s="2">
        <v>1</v>
      </c>
      <c r="BJ4279" s="2">
        <v>0.2</v>
      </c>
      <c r="BK4279" s="2">
        <v>1</v>
      </c>
      <c r="BL4279" s="2">
        <v>41.44</v>
      </c>
      <c r="BM4279" s="2">
        <v>5.8</v>
      </c>
      <c r="BN4279" s="2">
        <v>47.24</v>
      </c>
      <c r="BO4279" s="2">
        <v>47.24</v>
      </c>
      <c r="BP4279" s="2"/>
      <c r="BQ4279" s="2" t="s">
        <v>83</v>
      </c>
      <c r="BR4279" s="2" t="s">
        <v>84</v>
      </c>
      <c r="BS4279" s="3">
        <v>42951</v>
      </c>
      <c r="BT4279" s="4">
        <v>0.34652777777777777</v>
      </c>
      <c r="BU4279" s="2" t="s">
        <v>3937</v>
      </c>
      <c r="BV4279" s="2" t="s">
        <v>95</v>
      </c>
      <c r="BW4279" s="2"/>
      <c r="BX4279" s="2"/>
      <c r="BY4279" s="2">
        <v>1200</v>
      </c>
      <c r="BZ4279" s="2" t="s">
        <v>27</v>
      </c>
      <c r="CA4279" s="2" t="s">
        <v>1575</v>
      </c>
      <c r="CB4279" s="2"/>
      <c r="CC4279" s="2" t="s">
        <v>307</v>
      </c>
      <c r="CD4279" s="2">
        <v>1939</v>
      </c>
      <c r="CE4279" s="2" t="s">
        <v>104</v>
      </c>
      <c r="CF4279" s="5">
        <v>42954</v>
      </c>
      <c r="CG4279" s="2"/>
      <c r="CH4279" s="2"/>
      <c r="CI4279" s="2">
        <v>1</v>
      </c>
      <c r="CJ4279" s="2">
        <v>1</v>
      </c>
      <c r="CK4279" s="2">
        <v>21</v>
      </c>
      <c r="CL4279" s="2" t="s">
        <v>86</v>
      </c>
      <c r="CM4279" s="2"/>
    </row>
    <row r="4280" spans="1:91">
      <c r="A4280" s="2" t="s">
        <v>71</v>
      </c>
      <c r="B4280" s="2" t="s">
        <v>72</v>
      </c>
      <c r="C4280" s="2" t="s">
        <v>73</v>
      </c>
      <c r="D4280" s="2"/>
      <c r="E4280" s="2" t="str">
        <f>"FES1162566832"</f>
        <v>FES1162566832</v>
      </c>
      <c r="F4280" s="3">
        <v>42950</v>
      </c>
      <c r="G4280" s="2">
        <v>201802</v>
      </c>
      <c r="H4280" s="2" t="s">
        <v>74</v>
      </c>
      <c r="I4280" s="2" t="s">
        <v>75</v>
      </c>
      <c r="J4280" s="2" t="s">
        <v>76</v>
      </c>
      <c r="K4280" s="2" t="s">
        <v>77</v>
      </c>
      <c r="L4280" s="2" t="s">
        <v>237</v>
      </c>
      <c r="M4280" s="2" t="s">
        <v>238</v>
      </c>
      <c r="N4280" s="2" t="s">
        <v>673</v>
      </c>
      <c r="O4280" s="2" t="s">
        <v>100</v>
      </c>
      <c r="P4280" s="2" t="str">
        <f>"2170583071                    "</f>
        <v xml:space="preserve">2170583071                    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4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0</v>
      </c>
      <c r="AU4280" s="2">
        <v>0</v>
      </c>
      <c r="AV4280" s="2">
        <v>0</v>
      </c>
      <c r="AW4280" s="2">
        <v>0</v>
      </c>
      <c r="AX4280" s="2">
        <v>0</v>
      </c>
      <c r="AY4280" s="2">
        <v>0</v>
      </c>
      <c r="AZ4280" s="2">
        <v>0</v>
      </c>
      <c r="BA4280" s="2">
        <v>0</v>
      </c>
      <c r="BB4280" s="2">
        <v>0</v>
      </c>
      <c r="BC4280" s="2">
        <v>0</v>
      </c>
      <c r="BD4280" s="2">
        <v>0</v>
      </c>
      <c r="BE4280" s="2">
        <v>0</v>
      </c>
      <c r="BF4280" s="2">
        <v>0</v>
      </c>
      <c r="BG4280" s="2">
        <v>0</v>
      </c>
      <c r="BH4280" s="2">
        <v>1</v>
      </c>
      <c r="BI4280" s="2">
        <v>0.5</v>
      </c>
      <c r="BJ4280" s="2">
        <v>0.2</v>
      </c>
      <c r="BK4280" s="2">
        <v>0.5</v>
      </c>
      <c r="BL4280" s="2">
        <v>41.44</v>
      </c>
      <c r="BM4280" s="2">
        <v>5.8</v>
      </c>
      <c r="BN4280" s="2">
        <v>47.24</v>
      </c>
      <c r="BO4280" s="2">
        <v>47.24</v>
      </c>
      <c r="BP4280" s="2"/>
      <c r="BQ4280" s="2" t="s">
        <v>83</v>
      </c>
      <c r="BR4280" s="2" t="s">
        <v>84</v>
      </c>
      <c r="BS4280" s="3">
        <v>42951</v>
      </c>
      <c r="BT4280" s="4">
        <v>0.43333333333333335</v>
      </c>
      <c r="BU4280" s="2" t="s">
        <v>2956</v>
      </c>
      <c r="BV4280" s="2" t="s">
        <v>95</v>
      </c>
      <c r="BW4280" s="2"/>
      <c r="BX4280" s="2"/>
      <c r="BY4280" s="2">
        <v>1200</v>
      </c>
      <c r="BZ4280" s="2" t="s">
        <v>27</v>
      </c>
      <c r="CA4280" s="2" t="s">
        <v>401</v>
      </c>
      <c r="CB4280" s="2"/>
      <c r="CC4280" s="2" t="s">
        <v>238</v>
      </c>
      <c r="CD4280" s="2">
        <v>3610</v>
      </c>
      <c r="CE4280" s="2" t="s">
        <v>104</v>
      </c>
      <c r="CF4280" s="5">
        <v>42953</v>
      </c>
      <c r="CG4280" s="2"/>
      <c r="CH4280" s="2"/>
      <c r="CI4280" s="2">
        <v>1</v>
      </c>
      <c r="CJ4280" s="2">
        <v>1</v>
      </c>
      <c r="CK4280" s="2">
        <v>21</v>
      </c>
      <c r="CL4280" s="2" t="s">
        <v>86</v>
      </c>
      <c r="CM4280" s="2"/>
    </row>
    <row r="4281" spans="1:91">
      <c r="A4281" s="2" t="s">
        <v>71</v>
      </c>
      <c r="B4281" s="2" t="s">
        <v>72</v>
      </c>
      <c r="C4281" s="2" t="s">
        <v>73</v>
      </c>
      <c r="D4281" s="2"/>
      <c r="E4281" s="2" t="str">
        <f>"FES1162566603"</f>
        <v>FES1162566603</v>
      </c>
      <c r="F4281" s="3">
        <v>42950</v>
      </c>
      <c r="G4281" s="2">
        <v>201802</v>
      </c>
      <c r="H4281" s="2" t="s">
        <v>74</v>
      </c>
      <c r="I4281" s="2" t="s">
        <v>75</v>
      </c>
      <c r="J4281" s="2" t="s">
        <v>76</v>
      </c>
      <c r="K4281" s="2" t="s">
        <v>77</v>
      </c>
      <c r="L4281" s="2" t="s">
        <v>383</v>
      </c>
      <c r="M4281" s="2" t="s">
        <v>384</v>
      </c>
      <c r="N4281" s="2" t="s">
        <v>385</v>
      </c>
      <c r="O4281" s="2" t="s">
        <v>100</v>
      </c>
      <c r="P4281" s="2" t="str">
        <f>"2170582949                    "</f>
        <v xml:space="preserve">2170582949                    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5.63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0</v>
      </c>
      <c r="AU4281" s="2">
        <v>0</v>
      </c>
      <c r="AV4281" s="2">
        <v>0</v>
      </c>
      <c r="AW4281" s="2">
        <v>0</v>
      </c>
      <c r="AX4281" s="2">
        <v>0</v>
      </c>
      <c r="AY4281" s="2">
        <v>0</v>
      </c>
      <c r="AZ4281" s="2">
        <v>0</v>
      </c>
      <c r="BA4281" s="2">
        <v>0</v>
      </c>
      <c r="BB4281" s="2">
        <v>0</v>
      </c>
      <c r="BC4281" s="2">
        <v>0</v>
      </c>
      <c r="BD4281" s="2">
        <v>0</v>
      </c>
      <c r="BE4281" s="2">
        <v>0</v>
      </c>
      <c r="BF4281" s="2">
        <v>0</v>
      </c>
      <c r="BG4281" s="2">
        <v>0</v>
      </c>
      <c r="BH4281" s="2">
        <v>1</v>
      </c>
      <c r="BI4281" s="2">
        <v>1</v>
      </c>
      <c r="BJ4281" s="2">
        <v>0.2</v>
      </c>
      <c r="BK4281" s="2">
        <v>1</v>
      </c>
      <c r="BL4281" s="2">
        <v>58.28</v>
      </c>
      <c r="BM4281" s="2">
        <v>8.16</v>
      </c>
      <c r="BN4281" s="2">
        <v>66.44</v>
      </c>
      <c r="BO4281" s="2">
        <v>66.44</v>
      </c>
      <c r="BP4281" s="2"/>
      <c r="BQ4281" s="2" t="s">
        <v>1813</v>
      </c>
      <c r="BR4281" s="2" t="s">
        <v>84</v>
      </c>
      <c r="BS4281" s="3">
        <v>42951</v>
      </c>
      <c r="BT4281" s="4">
        <v>0.52430555555555558</v>
      </c>
      <c r="BU4281" s="2" t="s">
        <v>1249</v>
      </c>
      <c r="BV4281" s="2" t="s">
        <v>95</v>
      </c>
      <c r="BW4281" s="2"/>
      <c r="BX4281" s="2"/>
      <c r="BY4281" s="2">
        <v>1200</v>
      </c>
      <c r="BZ4281" s="2" t="s">
        <v>27</v>
      </c>
      <c r="CA4281" s="2"/>
      <c r="CB4281" s="2"/>
      <c r="CC4281" s="2" t="s">
        <v>384</v>
      </c>
      <c r="CD4281" s="2">
        <v>2210</v>
      </c>
      <c r="CE4281" s="2" t="s">
        <v>104</v>
      </c>
      <c r="CF4281" s="5">
        <v>42954</v>
      </c>
      <c r="CG4281" s="2"/>
      <c r="CH4281" s="2"/>
      <c r="CI4281" s="2">
        <v>1</v>
      </c>
      <c r="CJ4281" s="2">
        <v>1</v>
      </c>
      <c r="CK4281" s="2">
        <v>24</v>
      </c>
      <c r="CL4281" s="2" t="s">
        <v>86</v>
      </c>
      <c r="CM4281" s="2"/>
    </row>
    <row r="4282" spans="1:91">
      <c r="A4282" s="2" t="s">
        <v>71</v>
      </c>
      <c r="B4282" s="2" t="s">
        <v>72</v>
      </c>
      <c r="C4282" s="2" t="s">
        <v>73</v>
      </c>
      <c r="D4282" s="2"/>
      <c r="E4282" s="2" t="str">
        <f>"FES1162566928"</f>
        <v>FES1162566928</v>
      </c>
      <c r="F4282" s="3">
        <v>42950</v>
      </c>
      <c r="G4282" s="2">
        <v>201802</v>
      </c>
      <c r="H4282" s="2" t="s">
        <v>74</v>
      </c>
      <c r="I4282" s="2" t="s">
        <v>75</v>
      </c>
      <c r="J4282" s="2" t="s">
        <v>76</v>
      </c>
      <c r="K4282" s="2" t="s">
        <v>77</v>
      </c>
      <c r="L4282" s="2" t="s">
        <v>97</v>
      </c>
      <c r="M4282" s="2" t="s">
        <v>98</v>
      </c>
      <c r="N4282" s="2" t="s">
        <v>292</v>
      </c>
      <c r="O4282" s="2" t="s">
        <v>100</v>
      </c>
      <c r="P4282" s="2" t="str">
        <f>"2170583178                    "</f>
        <v xml:space="preserve">2170583178                    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5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0</v>
      </c>
      <c r="AU4282" s="2">
        <v>0</v>
      </c>
      <c r="AV4282" s="2">
        <v>0</v>
      </c>
      <c r="AW4282" s="2">
        <v>0</v>
      </c>
      <c r="AX4282" s="2">
        <v>0</v>
      </c>
      <c r="AY4282" s="2">
        <v>0</v>
      </c>
      <c r="AZ4282" s="2">
        <v>0</v>
      </c>
      <c r="BA4282" s="2">
        <v>0</v>
      </c>
      <c r="BB4282" s="2">
        <v>0</v>
      </c>
      <c r="BC4282" s="2">
        <v>0</v>
      </c>
      <c r="BD4282" s="2">
        <v>0</v>
      </c>
      <c r="BE4282" s="2">
        <v>0</v>
      </c>
      <c r="BF4282" s="2">
        <v>0</v>
      </c>
      <c r="BG4282" s="2">
        <v>0</v>
      </c>
      <c r="BH4282" s="2">
        <v>1</v>
      </c>
      <c r="BI4282" s="2">
        <v>0.5</v>
      </c>
      <c r="BJ4282" s="2">
        <v>2.1</v>
      </c>
      <c r="BK4282" s="2">
        <v>2.5</v>
      </c>
      <c r="BL4282" s="2">
        <v>51.8</v>
      </c>
      <c r="BM4282" s="2">
        <v>7.25</v>
      </c>
      <c r="BN4282" s="2">
        <v>59.05</v>
      </c>
      <c r="BO4282" s="2">
        <v>59.05</v>
      </c>
      <c r="BP4282" s="2"/>
      <c r="BQ4282" s="2" t="s">
        <v>83</v>
      </c>
      <c r="BR4282" s="2" t="s">
        <v>84</v>
      </c>
      <c r="BS4282" s="3">
        <v>42951</v>
      </c>
      <c r="BT4282" s="4">
        <v>0.3125</v>
      </c>
      <c r="BU4282" s="2" t="s">
        <v>2413</v>
      </c>
      <c r="BV4282" s="2" t="s">
        <v>95</v>
      </c>
      <c r="BW4282" s="2"/>
      <c r="BX4282" s="2"/>
      <c r="BY4282" s="2">
        <v>10703.02</v>
      </c>
      <c r="BZ4282" s="2" t="s">
        <v>27</v>
      </c>
      <c r="CA4282" s="2" t="s">
        <v>804</v>
      </c>
      <c r="CB4282" s="2"/>
      <c r="CC4282" s="2" t="s">
        <v>98</v>
      </c>
      <c r="CD4282" s="2">
        <v>6001</v>
      </c>
      <c r="CE4282" s="2" t="s">
        <v>104</v>
      </c>
      <c r="CF4282" s="5">
        <v>42954</v>
      </c>
      <c r="CG4282" s="2"/>
      <c r="CH4282" s="2"/>
      <c r="CI4282" s="2">
        <v>1</v>
      </c>
      <c r="CJ4282" s="2">
        <v>1</v>
      </c>
      <c r="CK4282" s="2">
        <v>21</v>
      </c>
      <c r="CL4282" s="2" t="s">
        <v>86</v>
      </c>
      <c r="CM4282" s="2"/>
    </row>
    <row r="4283" spans="1:91">
      <c r="A4283" s="2" t="s">
        <v>71</v>
      </c>
      <c r="B4283" s="2" t="s">
        <v>72</v>
      </c>
      <c r="C4283" s="2" t="s">
        <v>73</v>
      </c>
      <c r="D4283" s="2"/>
      <c r="E4283" s="2" t="str">
        <f>"FES1162566573"</f>
        <v>FES1162566573</v>
      </c>
      <c r="F4283" s="3">
        <v>42950</v>
      </c>
      <c r="G4283" s="2">
        <v>201802</v>
      </c>
      <c r="H4283" s="2" t="s">
        <v>74</v>
      </c>
      <c r="I4283" s="2" t="s">
        <v>75</v>
      </c>
      <c r="J4283" s="2" t="s">
        <v>76</v>
      </c>
      <c r="K4283" s="2" t="s">
        <v>77</v>
      </c>
      <c r="L4283" s="2" t="s">
        <v>237</v>
      </c>
      <c r="M4283" s="2" t="s">
        <v>238</v>
      </c>
      <c r="N4283" s="2" t="s">
        <v>3938</v>
      </c>
      <c r="O4283" s="2" t="s">
        <v>100</v>
      </c>
      <c r="P4283" s="2" t="str">
        <f>"2170582924                    "</f>
        <v xml:space="preserve">2170582924                    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4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0</v>
      </c>
      <c r="AU4283" s="2">
        <v>0</v>
      </c>
      <c r="AV4283" s="2">
        <v>0</v>
      </c>
      <c r="AW4283" s="2">
        <v>0</v>
      </c>
      <c r="AX4283" s="2">
        <v>0</v>
      </c>
      <c r="AY4283" s="2">
        <v>0</v>
      </c>
      <c r="AZ4283" s="2">
        <v>0</v>
      </c>
      <c r="BA4283" s="2">
        <v>0</v>
      </c>
      <c r="BB4283" s="2">
        <v>0</v>
      </c>
      <c r="BC4283" s="2">
        <v>0</v>
      </c>
      <c r="BD4283" s="2">
        <v>0</v>
      </c>
      <c r="BE4283" s="2">
        <v>0</v>
      </c>
      <c r="BF4283" s="2">
        <v>0</v>
      </c>
      <c r="BG4283" s="2">
        <v>0</v>
      </c>
      <c r="BH4283" s="2">
        <v>1</v>
      </c>
      <c r="BI4283" s="2">
        <v>1.4</v>
      </c>
      <c r="BJ4283" s="2">
        <v>0.2</v>
      </c>
      <c r="BK4283" s="2">
        <v>1.5</v>
      </c>
      <c r="BL4283" s="2">
        <v>41.44</v>
      </c>
      <c r="BM4283" s="2">
        <v>5.8</v>
      </c>
      <c r="BN4283" s="2">
        <v>47.24</v>
      </c>
      <c r="BO4283" s="2">
        <v>47.24</v>
      </c>
      <c r="BP4283" s="2"/>
      <c r="BQ4283" s="2" t="s">
        <v>83</v>
      </c>
      <c r="BR4283" s="2" t="s">
        <v>84</v>
      </c>
      <c r="BS4283" s="3">
        <v>42951</v>
      </c>
      <c r="BT4283" s="4">
        <v>0.41805555555555557</v>
      </c>
      <c r="BU4283" s="2" t="s">
        <v>3939</v>
      </c>
      <c r="BV4283" s="2" t="s">
        <v>95</v>
      </c>
      <c r="BW4283" s="2"/>
      <c r="BX4283" s="2"/>
      <c r="BY4283" s="2">
        <v>1200</v>
      </c>
      <c r="BZ4283" s="2" t="s">
        <v>27</v>
      </c>
      <c r="CA4283" s="2"/>
      <c r="CB4283" s="2"/>
      <c r="CC4283" s="2" t="s">
        <v>238</v>
      </c>
      <c r="CD4283" s="2">
        <v>3610</v>
      </c>
      <c r="CE4283" s="2" t="s">
        <v>104</v>
      </c>
      <c r="CF4283" s="5">
        <v>42953</v>
      </c>
      <c r="CG4283" s="2"/>
      <c r="CH4283" s="2"/>
      <c r="CI4283" s="2">
        <v>1</v>
      </c>
      <c r="CJ4283" s="2">
        <v>1</v>
      </c>
      <c r="CK4283" s="2">
        <v>21</v>
      </c>
      <c r="CL4283" s="2" t="s">
        <v>86</v>
      </c>
      <c r="CM4283" s="2"/>
    </row>
    <row r="4284" spans="1:91">
      <c r="A4284" s="2" t="s">
        <v>71</v>
      </c>
      <c r="B4284" s="2" t="s">
        <v>72</v>
      </c>
      <c r="C4284" s="2" t="s">
        <v>73</v>
      </c>
      <c r="D4284" s="2"/>
      <c r="E4284" s="2" t="str">
        <f>"FES1162566929"</f>
        <v>FES1162566929</v>
      </c>
      <c r="F4284" s="3">
        <v>42950</v>
      </c>
      <c r="G4284" s="2">
        <v>201802</v>
      </c>
      <c r="H4284" s="2" t="s">
        <v>74</v>
      </c>
      <c r="I4284" s="2" t="s">
        <v>75</v>
      </c>
      <c r="J4284" s="2" t="s">
        <v>76</v>
      </c>
      <c r="K4284" s="2" t="s">
        <v>77</v>
      </c>
      <c r="L4284" s="2" t="s">
        <v>231</v>
      </c>
      <c r="M4284" s="2" t="s">
        <v>232</v>
      </c>
      <c r="N4284" s="2" t="s">
        <v>3940</v>
      </c>
      <c r="O4284" s="2" t="s">
        <v>100</v>
      </c>
      <c r="P4284" s="2" t="str">
        <f>"2170583180                    "</f>
        <v xml:space="preserve">2170583180                    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4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0</v>
      </c>
      <c r="AU4284" s="2">
        <v>0</v>
      </c>
      <c r="AV4284" s="2">
        <v>0</v>
      </c>
      <c r="AW4284" s="2">
        <v>0</v>
      </c>
      <c r="AX4284" s="2">
        <v>0</v>
      </c>
      <c r="AY4284" s="2">
        <v>0</v>
      </c>
      <c r="AZ4284" s="2">
        <v>0</v>
      </c>
      <c r="BA4284" s="2">
        <v>0</v>
      </c>
      <c r="BB4284" s="2">
        <v>0</v>
      </c>
      <c r="BC4284" s="2">
        <v>0</v>
      </c>
      <c r="BD4284" s="2">
        <v>0</v>
      </c>
      <c r="BE4284" s="2">
        <v>0</v>
      </c>
      <c r="BF4284" s="2">
        <v>0</v>
      </c>
      <c r="BG4284" s="2">
        <v>0</v>
      </c>
      <c r="BH4284" s="2">
        <v>1</v>
      </c>
      <c r="BI4284" s="2">
        <v>1</v>
      </c>
      <c r="BJ4284" s="2">
        <v>1.3</v>
      </c>
      <c r="BK4284" s="2">
        <v>1.5</v>
      </c>
      <c r="BL4284" s="2">
        <v>41.44</v>
      </c>
      <c r="BM4284" s="2">
        <v>5.8</v>
      </c>
      <c r="BN4284" s="2">
        <v>47.24</v>
      </c>
      <c r="BO4284" s="2">
        <v>47.24</v>
      </c>
      <c r="BP4284" s="2"/>
      <c r="BQ4284" s="2" t="s">
        <v>3941</v>
      </c>
      <c r="BR4284" s="2" t="s">
        <v>84</v>
      </c>
      <c r="BS4284" s="3">
        <v>42951</v>
      </c>
      <c r="BT4284" s="4">
        <v>0.37916666666666665</v>
      </c>
      <c r="BU4284" s="2" t="s">
        <v>3942</v>
      </c>
      <c r="BV4284" s="2" t="s">
        <v>95</v>
      </c>
      <c r="BW4284" s="2"/>
      <c r="BX4284" s="2"/>
      <c r="BY4284" s="2">
        <v>6624.41</v>
      </c>
      <c r="BZ4284" s="2" t="s">
        <v>27</v>
      </c>
      <c r="CA4284" s="2" t="s">
        <v>235</v>
      </c>
      <c r="CB4284" s="2"/>
      <c r="CC4284" s="2" t="s">
        <v>232</v>
      </c>
      <c r="CD4284" s="2">
        <v>4026</v>
      </c>
      <c r="CE4284" s="2" t="s">
        <v>3630</v>
      </c>
      <c r="CF4284" s="5">
        <v>42954</v>
      </c>
      <c r="CG4284" s="2"/>
      <c r="CH4284" s="2"/>
      <c r="CI4284" s="2">
        <v>1</v>
      </c>
      <c r="CJ4284" s="2">
        <v>1</v>
      </c>
      <c r="CK4284" s="2">
        <v>21</v>
      </c>
      <c r="CL4284" s="2" t="s">
        <v>86</v>
      </c>
      <c r="CM4284" s="2"/>
    </row>
    <row r="4285" spans="1:91">
      <c r="A4285" s="2" t="s">
        <v>71</v>
      </c>
      <c r="B4285" s="2" t="s">
        <v>72</v>
      </c>
      <c r="C4285" s="2" t="s">
        <v>73</v>
      </c>
      <c r="D4285" s="2"/>
      <c r="E4285" s="2" t="str">
        <f>"FES1162566702"</f>
        <v>FES1162566702</v>
      </c>
      <c r="F4285" s="3">
        <v>42950</v>
      </c>
      <c r="G4285" s="2">
        <v>201802</v>
      </c>
      <c r="H4285" s="2" t="s">
        <v>74</v>
      </c>
      <c r="I4285" s="2" t="s">
        <v>75</v>
      </c>
      <c r="J4285" s="2" t="s">
        <v>76</v>
      </c>
      <c r="K4285" s="2" t="s">
        <v>77</v>
      </c>
      <c r="L4285" s="2" t="s">
        <v>446</v>
      </c>
      <c r="M4285" s="2" t="s">
        <v>447</v>
      </c>
      <c r="N4285" s="2" t="s">
        <v>961</v>
      </c>
      <c r="O4285" s="2" t="s">
        <v>100</v>
      </c>
      <c r="P4285" s="2" t="str">
        <f>"2170582997                    "</f>
        <v xml:space="preserve">2170582997                    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5.63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0</v>
      </c>
      <c r="AU4285" s="2">
        <v>0</v>
      </c>
      <c r="AV4285" s="2">
        <v>0</v>
      </c>
      <c r="AW4285" s="2">
        <v>0</v>
      </c>
      <c r="AX4285" s="2">
        <v>0</v>
      </c>
      <c r="AY4285" s="2">
        <v>0</v>
      </c>
      <c r="AZ4285" s="2">
        <v>0</v>
      </c>
      <c r="BA4285" s="2">
        <v>0</v>
      </c>
      <c r="BB4285" s="2">
        <v>0</v>
      </c>
      <c r="BC4285" s="2">
        <v>0</v>
      </c>
      <c r="BD4285" s="2">
        <v>0</v>
      </c>
      <c r="BE4285" s="2">
        <v>0</v>
      </c>
      <c r="BF4285" s="2">
        <v>0</v>
      </c>
      <c r="BG4285" s="2">
        <v>0</v>
      </c>
      <c r="BH4285" s="2">
        <v>1</v>
      </c>
      <c r="BI4285" s="2">
        <v>1</v>
      </c>
      <c r="BJ4285" s="2">
        <v>0.2</v>
      </c>
      <c r="BK4285" s="2">
        <v>1</v>
      </c>
      <c r="BL4285" s="2">
        <v>58.28</v>
      </c>
      <c r="BM4285" s="2">
        <v>8.16</v>
      </c>
      <c r="BN4285" s="2">
        <v>66.44</v>
      </c>
      <c r="BO4285" s="2">
        <v>66.44</v>
      </c>
      <c r="BP4285" s="2"/>
      <c r="BQ4285" s="2" t="s">
        <v>962</v>
      </c>
      <c r="BR4285" s="2" t="s">
        <v>84</v>
      </c>
      <c r="BS4285" s="3">
        <v>42951</v>
      </c>
      <c r="BT4285" s="4">
        <v>0.41666666666666669</v>
      </c>
      <c r="BU4285" s="2" t="s">
        <v>1674</v>
      </c>
      <c r="BV4285" s="2" t="s">
        <v>95</v>
      </c>
      <c r="BW4285" s="2"/>
      <c r="BX4285" s="2"/>
      <c r="BY4285" s="2">
        <v>1200</v>
      </c>
      <c r="BZ4285" s="2" t="s">
        <v>27</v>
      </c>
      <c r="CA4285" s="2"/>
      <c r="CB4285" s="2"/>
      <c r="CC4285" s="2" t="s">
        <v>447</v>
      </c>
      <c r="CD4285" s="2">
        <v>1759</v>
      </c>
      <c r="CE4285" s="2" t="s">
        <v>104</v>
      </c>
      <c r="CF4285" s="5">
        <v>42954</v>
      </c>
      <c r="CG4285" s="2"/>
      <c r="CH4285" s="2"/>
      <c r="CI4285" s="2">
        <v>1</v>
      </c>
      <c r="CJ4285" s="2">
        <v>1</v>
      </c>
      <c r="CK4285" s="2">
        <v>24</v>
      </c>
      <c r="CL4285" s="2" t="s">
        <v>86</v>
      </c>
      <c r="CM4285" s="2"/>
    </row>
    <row r="4286" spans="1:91">
      <c r="A4286" s="2" t="s">
        <v>71</v>
      </c>
      <c r="B4286" s="2" t="s">
        <v>72</v>
      </c>
      <c r="C4286" s="2" t="s">
        <v>73</v>
      </c>
      <c r="D4286" s="2"/>
      <c r="E4286" s="2" t="str">
        <f>"FES1162566869"</f>
        <v>FES1162566869</v>
      </c>
      <c r="F4286" s="3">
        <v>42950</v>
      </c>
      <c r="G4286" s="2">
        <v>201802</v>
      </c>
      <c r="H4286" s="2" t="s">
        <v>74</v>
      </c>
      <c r="I4286" s="2" t="s">
        <v>75</v>
      </c>
      <c r="J4286" s="2" t="s">
        <v>76</v>
      </c>
      <c r="K4286" s="2" t="s">
        <v>77</v>
      </c>
      <c r="L4286" s="2" t="s">
        <v>105</v>
      </c>
      <c r="M4286" s="2" t="s">
        <v>106</v>
      </c>
      <c r="N4286" s="2" t="s">
        <v>486</v>
      </c>
      <c r="O4286" s="2" t="s">
        <v>100</v>
      </c>
      <c r="P4286" s="2" t="str">
        <f>"217058116                     "</f>
        <v xml:space="preserve">217058116                     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18.010000000000002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0</v>
      </c>
      <c r="AU4286" s="2">
        <v>0</v>
      </c>
      <c r="AV4286" s="2">
        <v>0</v>
      </c>
      <c r="AW4286" s="2">
        <v>0</v>
      </c>
      <c r="AX4286" s="2">
        <v>0</v>
      </c>
      <c r="AY4286" s="2">
        <v>0</v>
      </c>
      <c r="AZ4286" s="2">
        <v>0</v>
      </c>
      <c r="BA4286" s="2">
        <v>0</v>
      </c>
      <c r="BB4286" s="2">
        <v>0</v>
      </c>
      <c r="BC4286" s="2">
        <v>0</v>
      </c>
      <c r="BD4286" s="2">
        <v>0</v>
      </c>
      <c r="BE4286" s="2">
        <v>0</v>
      </c>
      <c r="BF4286" s="2">
        <v>0</v>
      </c>
      <c r="BG4286" s="2">
        <v>0</v>
      </c>
      <c r="BH4286" s="2">
        <v>1</v>
      </c>
      <c r="BI4286" s="2">
        <v>3.8</v>
      </c>
      <c r="BJ4286" s="2">
        <v>8.9</v>
      </c>
      <c r="BK4286" s="2">
        <v>9</v>
      </c>
      <c r="BL4286" s="2">
        <v>186.49</v>
      </c>
      <c r="BM4286" s="2">
        <v>26.11</v>
      </c>
      <c r="BN4286" s="2">
        <v>212.6</v>
      </c>
      <c r="BO4286" s="2">
        <v>212.6</v>
      </c>
      <c r="BP4286" s="2"/>
      <c r="BQ4286" s="2" t="s">
        <v>365</v>
      </c>
      <c r="BR4286" s="2" t="s">
        <v>84</v>
      </c>
      <c r="BS4286" s="3">
        <v>42951</v>
      </c>
      <c r="BT4286" s="4">
        <v>0.41666666666666669</v>
      </c>
      <c r="BU4286" s="2" t="s">
        <v>3943</v>
      </c>
      <c r="BV4286" s="2" t="s">
        <v>95</v>
      </c>
      <c r="BW4286" s="2"/>
      <c r="BX4286" s="2"/>
      <c r="BY4286" s="2">
        <v>44737.440000000002</v>
      </c>
      <c r="BZ4286" s="2" t="s">
        <v>27</v>
      </c>
      <c r="CA4286" s="2"/>
      <c r="CB4286" s="2"/>
      <c r="CC4286" s="2" t="s">
        <v>106</v>
      </c>
      <c r="CD4286" s="2">
        <v>7441</v>
      </c>
      <c r="CE4286" s="2" t="s">
        <v>89</v>
      </c>
      <c r="CF4286" s="5">
        <v>42954</v>
      </c>
      <c r="CG4286" s="2"/>
      <c r="CH4286" s="2"/>
      <c r="CI4286" s="2">
        <v>1</v>
      </c>
      <c r="CJ4286" s="2">
        <v>1</v>
      </c>
      <c r="CK4286" s="2">
        <v>21</v>
      </c>
      <c r="CL4286" s="2" t="s">
        <v>86</v>
      </c>
      <c r="CM4286" s="2"/>
    </row>
    <row r="4287" spans="1:91">
      <c r="A4287" s="2" t="s">
        <v>71</v>
      </c>
      <c r="B4287" s="2" t="s">
        <v>72</v>
      </c>
      <c r="C4287" s="2" t="s">
        <v>73</v>
      </c>
      <c r="D4287" s="2"/>
      <c r="E4287" s="2" t="str">
        <f>"FES1162566806"</f>
        <v>FES1162566806</v>
      </c>
      <c r="F4287" s="3">
        <v>42950</v>
      </c>
      <c r="G4287" s="2">
        <v>201802</v>
      </c>
      <c r="H4287" s="2" t="s">
        <v>74</v>
      </c>
      <c r="I4287" s="2" t="s">
        <v>75</v>
      </c>
      <c r="J4287" s="2" t="s">
        <v>76</v>
      </c>
      <c r="K4287" s="2" t="s">
        <v>77</v>
      </c>
      <c r="L4287" s="2" t="s">
        <v>3149</v>
      </c>
      <c r="M4287" s="2" t="s">
        <v>3150</v>
      </c>
      <c r="N4287" s="2" t="s">
        <v>3151</v>
      </c>
      <c r="O4287" s="2" t="s">
        <v>100</v>
      </c>
      <c r="P4287" s="2" t="str">
        <f>"2170579182                    "</f>
        <v xml:space="preserve">2170579182                    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27.02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0</v>
      </c>
      <c r="AU4287" s="2">
        <v>0</v>
      </c>
      <c r="AV4287" s="2">
        <v>0</v>
      </c>
      <c r="AW4287" s="2">
        <v>0</v>
      </c>
      <c r="AX4287" s="2">
        <v>0</v>
      </c>
      <c r="AY4287" s="2">
        <v>0</v>
      </c>
      <c r="AZ4287" s="2">
        <v>0</v>
      </c>
      <c r="BA4287" s="2">
        <v>0</v>
      </c>
      <c r="BB4287" s="2">
        <v>0</v>
      </c>
      <c r="BC4287" s="2">
        <v>0</v>
      </c>
      <c r="BD4287" s="2">
        <v>0</v>
      </c>
      <c r="BE4287" s="2">
        <v>0</v>
      </c>
      <c r="BF4287" s="2">
        <v>0</v>
      </c>
      <c r="BG4287" s="2">
        <v>0</v>
      </c>
      <c r="BH4287" s="2">
        <v>1</v>
      </c>
      <c r="BI4287" s="2">
        <v>7.4</v>
      </c>
      <c r="BJ4287" s="2">
        <v>7.1</v>
      </c>
      <c r="BK4287" s="2">
        <v>7.5</v>
      </c>
      <c r="BL4287" s="2">
        <v>279.74</v>
      </c>
      <c r="BM4287" s="2">
        <v>39.159999999999997</v>
      </c>
      <c r="BN4287" s="2">
        <v>318.89999999999998</v>
      </c>
      <c r="BO4287" s="2">
        <v>318.89999999999998</v>
      </c>
      <c r="BP4287" s="2"/>
      <c r="BQ4287" s="2" t="s">
        <v>3375</v>
      </c>
      <c r="BR4287" s="2" t="s">
        <v>84</v>
      </c>
      <c r="BS4287" s="3">
        <v>42951</v>
      </c>
      <c r="BT4287" s="4">
        <v>0.60069444444444442</v>
      </c>
      <c r="BU4287" s="2" t="s">
        <v>3944</v>
      </c>
      <c r="BV4287" s="2" t="s">
        <v>95</v>
      </c>
      <c r="BW4287" s="2"/>
      <c r="BX4287" s="2"/>
      <c r="BY4287" s="2">
        <v>35396.199999999997</v>
      </c>
      <c r="BZ4287" s="2" t="s">
        <v>27</v>
      </c>
      <c r="CA4287" s="2" t="s">
        <v>1885</v>
      </c>
      <c r="CB4287" s="2"/>
      <c r="CC4287" s="2" t="s">
        <v>3150</v>
      </c>
      <c r="CD4287" s="2">
        <v>4252</v>
      </c>
      <c r="CE4287" s="2" t="s">
        <v>1623</v>
      </c>
      <c r="CF4287" s="5">
        <v>42951</v>
      </c>
      <c r="CG4287" s="2"/>
      <c r="CH4287" s="2"/>
      <c r="CI4287" s="2">
        <v>1</v>
      </c>
      <c r="CJ4287" s="2">
        <v>1</v>
      </c>
      <c r="CK4287" s="2">
        <v>23</v>
      </c>
      <c r="CL4287" s="2" t="s">
        <v>86</v>
      </c>
      <c r="CM4287" s="2"/>
    </row>
    <row r="4288" spans="1:91">
      <c r="A4288" s="2" t="s">
        <v>71</v>
      </c>
      <c r="B4288" s="2" t="s">
        <v>72</v>
      </c>
      <c r="C4288" s="2" t="s">
        <v>73</v>
      </c>
      <c r="D4288" s="2"/>
      <c r="E4288" s="2" t="str">
        <f>"FES1162566584"</f>
        <v>FES1162566584</v>
      </c>
      <c r="F4288" s="3">
        <v>42950</v>
      </c>
      <c r="G4288" s="2">
        <v>201802</v>
      </c>
      <c r="H4288" s="2" t="s">
        <v>74</v>
      </c>
      <c r="I4288" s="2" t="s">
        <v>75</v>
      </c>
      <c r="J4288" s="2" t="s">
        <v>76</v>
      </c>
      <c r="K4288" s="2" t="s">
        <v>77</v>
      </c>
      <c r="L4288" s="2" t="s">
        <v>144</v>
      </c>
      <c r="M4288" s="2" t="s">
        <v>145</v>
      </c>
      <c r="N4288" s="2" t="s">
        <v>1784</v>
      </c>
      <c r="O4288" s="2" t="s">
        <v>100</v>
      </c>
      <c r="P4288" s="2" t="str">
        <f>"2170581749                    "</f>
        <v xml:space="preserve">2170581749                    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3.13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0</v>
      </c>
      <c r="AU4288" s="2">
        <v>0</v>
      </c>
      <c r="AV4288" s="2">
        <v>0</v>
      </c>
      <c r="AW4288" s="2">
        <v>0</v>
      </c>
      <c r="AX4288" s="2">
        <v>0</v>
      </c>
      <c r="AY4288" s="2">
        <v>0</v>
      </c>
      <c r="AZ4288" s="2">
        <v>0</v>
      </c>
      <c r="BA4288" s="2">
        <v>0</v>
      </c>
      <c r="BB4288" s="2">
        <v>0</v>
      </c>
      <c r="BC4288" s="2">
        <v>0</v>
      </c>
      <c r="BD4288" s="2">
        <v>0</v>
      </c>
      <c r="BE4288" s="2">
        <v>0</v>
      </c>
      <c r="BF4288" s="2">
        <v>0</v>
      </c>
      <c r="BG4288" s="2">
        <v>0</v>
      </c>
      <c r="BH4288" s="2">
        <v>1</v>
      </c>
      <c r="BI4288" s="2">
        <v>0.5</v>
      </c>
      <c r="BJ4288" s="2">
        <v>0.2</v>
      </c>
      <c r="BK4288" s="2">
        <v>1</v>
      </c>
      <c r="BL4288" s="2">
        <v>32.380000000000003</v>
      </c>
      <c r="BM4288" s="2">
        <v>4.53</v>
      </c>
      <c r="BN4288" s="2">
        <v>36.909999999999997</v>
      </c>
      <c r="BO4288" s="2">
        <v>36.909999999999997</v>
      </c>
      <c r="BP4288" s="2"/>
      <c r="BQ4288" s="2" t="s">
        <v>83</v>
      </c>
      <c r="BR4288" s="2" t="s">
        <v>84</v>
      </c>
      <c r="BS4288" s="3">
        <v>42951</v>
      </c>
      <c r="BT4288" s="4">
        <v>0.3576388888888889</v>
      </c>
      <c r="BU4288" s="2" t="s">
        <v>3945</v>
      </c>
      <c r="BV4288" s="2" t="s">
        <v>95</v>
      </c>
      <c r="BW4288" s="2"/>
      <c r="BX4288" s="2"/>
      <c r="BY4288" s="2">
        <v>1200</v>
      </c>
      <c r="BZ4288" s="2" t="s">
        <v>27</v>
      </c>
      <c r="CA4288" s="2" t="s">
        <v>729</v>
      </c>
      <c r="CB4288" s="2"/>
      <c r="CC4288" s="2" t="s">
        <v>145</v>
      </c>
      <c r="CD4288" s="2">
        <v>2094</v>
      </c>
      <c r="CE4288" s="2" t="s">
        <v>104</v>
      </c>
      <c r="CF4288" s="5">
        <v>42954</v>
      </c>
      <c r="CG4288" s="2"/>
      <c r="CH4288" s="2"/>
      <c r="CI4288" s="2">
        <v>1</v>
      </c>
      <c r="CJ4288" s="2">
        <v>1</v>
      </c>
      <c r="CK4288" s="2">
        <v>22</v>
      </c>
      <c r="CL4288" s="2" t="s">
        <v>86</v>
      </c>
      <c r="CM4288" s="2"/>
    </row>
    <row r="4289" spans="1:91">
      <c r="A4289" s="2" t="s">
        <v>71</v>
      </c>
      <c r="B4289" s="2" t="s">
        <v>72</v>
      </c>
      <c r="C4289" s="2" t="s">
        <v>73</v>
      </c>
      <c r="D4289" s="2"/>
      <c r="E4289" s="2" t="str">
        <f>"FES1162566769"</f>
        <v>FES1162566769</v>
      </c>
      <c r="F4289" s="3">
        <v>42950</v>
      </c>
      <c r="G4289" s="2">
        <v>201802</v>
      </c>
      <c r="H4289" s="2" t="s">
        <v>74</v>
      </c>
      <c r="I4289" s="2" t="s">
        <v>75</v>
      </c>
      <c r="J4289" s="2" t="s">
        <v>76</v>
      </c>
      <c r="K4289" s="2" t="s">
        <v>77</v>
      </c>
      <c r="L4289" s="2" t="s">
        <v>174</v>
      </c>
      <c r="M4289" s="2" t="s">
        <v>175</v>
      </c>
      <c r="N4289" s="2" t="s">
        <v>920</v>
      </c>
      <c r="O4289" s="2" t="s">
        <v>100</v>
      </c>
      <c r="P4289" s="2" t="str">
        <f>"2170581364                    "</f>
        <v xml:space="preserve">2170581364                    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4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0</v>
      </c>
      <c r="AU4289" s="2">
        <v>0</v>
      </c>
      <c r="AV4289" s="2">
        <v>0</v>
      </c>
      <c r="AW4289" s="2">
        <v>0</v>
      </c>
      <c r="AX4289" s="2">
        <v>0</v>
      </c>
      <c r="AY4289" s="2">
        <v>0</v>
      </c>
      <c r="AZ4289" s="2">
        <v>0</v>
      </c>
      <c r="BA4289" s="2">
        <v>0</v>
      </c>
      <c r="BB4289" s="2">
        <v>0</v>
      </c>
      <c r="BC4289" s="2">
        <v>0</v>
      </c>
      <c r="BD4289" s="2">
        <v>0</v>
      </c>
      <c r="BE4289" s="2">
        <v>0</v>
      </c>
      <c r="BF4289" s="2">
        <v>0</v>
      </c>
      <c r="BG4289" s="2">
        <v>0</v>
      </c>
      <c r="BH4289" s="2">
        <v>1</v>
      </c>
      <c r="BI4289" s="2">
        <v>1</v>
      </c>
      <c r="BJ4289" s="2">
        <v>0.2</v>
      </c>
      <c r="BK4289" s="2">
        <v>1</v>
      </c>
      <c r="BL4289" s="2">
        <v>41.44</v>
      </c>
      <c r="BM4289" s="2">
        <v>5.8</v>
      </c>
      <c r="BN4289" s="2">
        <v>47.24</v>
      </c>
      <c r="BO4289" s="2">
        <v>47.24</v>
      </c>
      <c r="BP4289" s="2"/>
      <c r="BQ4289" s="2" t="s">
        <v>108</v>
      </c>
      <c r="BR4289" s="2" t="s">
        <v>84</v>
      </c>
      <c r="BS4289" s="3">
        <v>42951</v>
      </c>
      <c r="BT4289" s="4">
        <v>0.40972222222222227</v>
      </c>
      <c r="BU4289" s="2" t="s">
        <v>1735</v>
      </c>
      <c r="BV4289" s="2" t="s">
        <v>95</v>
      </c>
      <c r="BW4289" s="2"/>
      <c r="BX4289" s="2"/>
      <c r="BY4289" s="2">
        <v>1200</v>
      </c>
      <c r="BZ4289" s="2" t="s">
        <v>27</v>
      </c>
      <c r="CA4289" s="2"/>
      <c r="CB4289" s="2"/>
      <c r="CC4289" s="2" t="s">
        <v>175</v>
      </c>
      <c r="CD4289" s="2">
        <v>5201</v>
      </c>
      <c r="CE4289" s="2" t="s">
        <v>104</v>
      </c>
      <c r="CF4289" s="5">
        <v>42954</v>
      </c>
      <c r="CG4289" s="2"/>
      <c r="CH4289" s="2"/>
      <c r="CI4289" s="2">
        <v>1</v>
      </c>
      <c r="CJ4289" s="2">
        <v>1</v>
      </c>
      <c r="CK4289" s="2">
        <v>21</v>
      </c>
      <c r="CL4289" s="2" t="s">
        <v>86</v>
      </c>
      <c r="CM4289" s="2"/>
    </row>
    <row r="4290" spans="1:91">
      <c r="A4290" s="2" t="s">
        <v>71</v>
      </c>
      <c r="B4290" s="2" t="s">
        <v>72</v>
      </c>
      <c r="C4290" s="2" t="s">
        <v>73</v>
      </c>
      <c r="D4290" s="2"/>
      <c r="E4290" s="2" t="str">
        <f>"FES1162566858"</f>
        <v>FES1162566858</v>
      </c>
      <c r="F4290" s="3">
        <v>42950</v>
      </c>
      <c r="G4290" s="2">
        <v>201802</v>
      </c>
      <c r="H4290" s="2" t="s">
        <v>74</v>
      </c>
      <c r="I4290" s="2" t="s">
        <v>75</v>
      </c>
      <c r="J4290" s="2" t="s">
        <v>76</v>
      </c>
      <c r="K4290" s="2" t="s">
        <v>77</v>
      </c>
      <c r="L4290" s="2" t="s">
        <v>244</v>
      </c>
      <c r="M4290" s="2" t="s">
        <v>245</v>
      </c>
      <c r="N4290" s="2" t="s">
        <v>3673</v>
      </c>
      <c r="O4290" s="2" t="s">
        <v>100</v>
      </c>
      <c r="P4290" s="2" t="str">
        <f>"2170581713                    "</f>
        <v xml:space="preserve">2170581713                    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3.13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0</v>
      </c>
      <c r="AU4290" s="2">
        <v>0</v>
      </c>
      <c r="AV4290" s="2">
        <v>0</v>
      </c>
      <c r="AW4290" s="2">
        <v>0</v>
      </c>
      <c r="AX4290" s="2">
        <v>0</v>
      </c>
      <c r="AY4290" s="2">
        <v>0</v>
      </c>
      <c r="AZ4290" s="2">
        <v>0</v>
      </c>
      <c r="BA4290" s="2">
        <v>0</v>
      </c>
      <c r="BB4290" s="2">
        <v>0</v>
      </c>
      <c r="BC4290" s="2">
        <v>0</v>
      </c>
      <c r="BD4290" s="2">
        <v>0</v>
      </c>
      <c r="BE4290" s="2">
        <v>0</v>
      </c>
      <c r="BF4290" s="2">
        <v>0</v>
      </c>
      <c r="BG4290" s="2">
        <v>0</v>
      </c>
      <c r="BH4290" s="2">
        <v>1</v>
      </c>
      <c r="BI4290" s="2">
        <v>1</v>
      </c>
      <c r="BJ4290" s="2">
        <v>0.2</v>
      </c>
      <c r="BK4290" s="2">
        <v>1</v>
      </c>
      <c r="BL4290" s="2">
        <v>32.380000000000003</v>
      </c>
      <c r="BM4290" s="2">
        <v>4.53</v>
      </c>
      <c r="BN4290" s="2">
        <v>36.909999999999997</v>
      </c>
      <c r="BO4290" s="2">
        <v>36.909999999999997</v>
      </c>
      <c r="BP4290" s="2"/>
      <c r="BQ4290" s="2" t="s">
        <v>83</v>
      </c>
      <c r="BR4290" s="2" t="s">
        <v>84</v>
      </c>
      <c r="BS4290" s="3">
        <v>42951</v>
      </c>
      <c r="BT4290" s="4">
        <v>0.27361111111111108</v>
      </c>
      <c r="BU4290" s="2" t="s">
        <v>430</v>
      </c>
      <c r="BV4290" s="2" t="s">
        <v>95</v>
      </c>
      <c r="BW4290" s="2"/>
      <c r="BX4290" s="2"/>
      <c r="BY4290" s="2">
        <v>1200</v>
      </c>
      <c r="BZ4290" s="2" t="s">
        <v>27</v>
      </c>
      <c r="CA4290" s="2" t="s">
        <v>148</v>
      </c>
      <c r="CB4290" s="2"/>
      <c r="CC4290" s="2" t="s">
        <v>245</v>
      </c>
      <c r="CD4290" s="2">
        <v>1459</v>
      </c>
      <c r="CE4290" s="2" t="s">
        <v>104</v>
      </c>
      <c r="CF4290" s="5">
        <v>42954</v>
      </c>
      <c r="CG4290" s="2"/>
      <c r="CH4290" s="2"/>
      <c r="CI4290" s="2">
        <v>1</v>
      </c>
      <c r="CJ4290" s="2">
        <v>1</v>
      </c>
      <c r="CK4290" s="2">
        <v>22</v>
      </c>
      <c r="CL4290" s="2" t="s">
        <v>86</v>
      </c>
      <c r="CM4290" s="2"/>
    </row>
    <row r="4291" spans="1:91">
      <c r="A4291" s="2" t="s">
        <v>71</v>
      </c>
      <c r="B4291" s="2" t="s">
        <v>72</v>
      </c>
      <c r="C4291" s="2" t="s">
        <v>73</v>
      </c>
      <c r="D4291" s="2"/>
      <c r="E4291" s="2" t="str">
        <f>"FES1162566531"</f>
        <v>FES1162566531</v>
      </c>
      <c r="F4291" s="3">
        <v>42950</v>
      </c>
      <c r="G4291" s="2">
        <v>201802</v>
      </c>
      <c r="H4291" s="2" t="s">
        <v>74</v>
      </c>
      <c r="I4291" s="2" t="s">
        <v>75</v>
      </c>
      <c r="J4291" s="2" t="s">
        <v>76</v>
      </c>
      <c r="K4291" s="2" t="s">
        <v>77</v>
      </c>
      <c r="L4291" s="2" t="s">
        <v>237</v>
      </c>
      <c r="M4291" s="2" t="s">
        <v>238</v>
      </c>
      <c r="N4291" s="2" t="s">
        <v>669</v>
      </c>
      <c r="O4291" s="2" t="s">
        <v>100</v>
      </c>
      <c r="P4291" s="2" t="str">
        <f>"2170582876                    "</f>
        <v xml:space="preserve">2170582876                    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9.01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0</v>
      </c>
      <c r="AU4291" s="2">
        <v>0</v>
      </c>
      <c r="AV4291" s="2">
        <v>0</v>
      </c>
      <c r="AW4291" s="2">
        <v>0</v>
      </c>
      <c r="AX4291" s="2">
        <v>0</v>
      </c>
      <c r="AY4291" s="2">
        <v>0</v>
      </c>
      <c r="AZ4291" s="2">
        <v>0</v>
      </c>
      <c r="BA4291" s="2">
        <v>0</v>
      </c>
      <c r="BB4291" s="2">
        <v>0</v>
      </c>
      <c r="BC4291" s="2">
        <v>0</v>
      </c>
      <c r="BD4291" s="2">
        <v>0</v>
      </c>
      <c r="BE4291" s="2">
        <v>0</v>
      </c>
      <c r="BF4291" s="2">
        <v>0</v>
      </c>
      <c r="BG4291" s="2">
        <v>0</v>
      </c>
      <c r="BH4291" s="2">
        <v>1</v>
      </c>
      <c r="BI4291" s="2">
        <v>4.5</v>
      </c>
      <c r="BJ4291" s="2">
        <v>1.6</v>
      </c>
      <c r="BK4291" s="2">
        <v>4.5</v>
      </c>
      <c r="BL4291" s="2">
        <v>93.25</v>
      </c>
      <c r="BM4291" s="2">
        <v>13.06</v>
      </c>
      <c r="BN4291" s="2">
        <v>106.31</v>
      </c>
      <c r="BO4291" s="2">
        <v>106.31</v>
      </c>
      <c r="BP4291" s="2"/>
      <c r="BQ4291" s="2" t="s">
        <v>83</v>
      </c>
      <c r="BR4291" s="2" t="s">
        <v>84</v>
      </c>
      <c r="BS4291" s="3">
        <v>42951</v>
      </c>
      <c r="BT4291" s="4">
        <v>0.37847222222222227</v>
      </c>
      <c r="BU4291" s="2" t="s">
        <v>2160</v>
      </c>
      <c r="BV4291" s="2" t="s">
        <v>95</v>
      </c>
      <c r="BW4291" s="2"/>
      <c r="BX4291" s="2"/>
      <c r="BY4291" s="2">
        <v>8014.2</v>
      </c>
      <c r="BZ4291" s="2" t="s">
        <v>27</v>
      </c>
      <c r="CA4291" s="2" t="s">
        <v>2155</v>
      </c>
      <c r="CB4291" s="2"/>
      <c r="CC4291" s="2" t="s">
        <v>238</v>
      </c>
      <c r="CD4291" s="2">
        <v>3610</v>
      </c>
      <c r="CE4291" s="2" t="s">
        <v>259</v>
      </c>
      <c r="CF4291" s="5">
        <v>42954</v>
      </c>
      <c r="CG4291" s="2"/>
      <c r="CH4291" s="2"/>
      <c r="CI4291" s="2">
        <v>1</v>
      </c>
      <c r="CJ4291" s="2">
        <v>1</v>
      </c>
      <c r="CK4291" s="2">
        <v>21</v>
      </c>
      <c r="CL4291" s="2" t="s">
        <v>86</v>
      </c>
      <c r="CM4291" s="2"/>
    </row>
    <row r="4292" spans="1:91">
      <c r="A4292" s="2" t="s">
        <v>71</v>
      </c>
      <c r="B4292" s="2" t="s">
        <v>72</v>
      </c>
      <c r="C4292" s="2" t="s">
        <v>73</v>
      </c>
      <c r="D4292" s="2"/>
      <c r="E4292" s="2" t="str">
        <f>"FES1162566895"</f>
        <v>FES1162566895</v>
      </c>
      <c r="F4292" s="3">
        <v>42950</v>
      </c>
      <c r="G4292" s="2">
        <v>201802</v>
      </c>
      <c r="H4292" s="2" t="s">
        <v>74</v>
      </c>
      <c r="I4292" s="2" t="s">
        <v>75</v>
      </c>
      <c r="J4292" s="2" t="s">
        <v>76</v>
      </c>
      <c r="K4292" s="2" t="s">
        <v>77</v>
      </c>
      <c r="L4292" s="2" t="s">
        <v>539</v>
      </c>
      <c r="M4292" s="2" t="s">
        <v>540</v>
      </c>
      <c r="N4292" s="2" t="s">
        <v>1633</v>
      </c>
      <c r="O4292" s="2" t="s">
        <v>100</v>
      </c>
      <c r="P4292" s="2" t="str">
        <f>"2170583121                    "</f>
        <v xml:space="preserve">2170583121                    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3.13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0</v>
      </c>
      <c r="AU4292" s="2">
        <v>0</v>
      </c>
      <c r="AV4292" s="2">
        <v>0</v>
      </c>
      <c r="AW4292" s="2">
        <v>0</v>
      </c>
      <c r="AX4292" s="2">
        <v>0</v>
      </c>
      <c r="AY4292" s="2">
        <v>0</v>
      </c>
      <c r="AZ4292" s="2">
        <v>0</v>
      </c>
      <c r="BA4292" s="2">
        <v>0</v>
      </c>
      <c r="BB4292" s="2">
        <v>0</v>
      </c>
      <c r="BC4292" s="2">
        <v>0</v>
      </c>
      <c r="BD4292" s="2">
        <v>0</v>
      </c>
      <c r="BE4292" s="2">
        <v>0</v>
      </c>
      <c r="BF4292" s="2">
        <v>0</v>
      </c>
      <c r="BG4292" s="2">
        <v>0</v>
      </c>
      <c r="BH4292" s="2">
        <v>1</v>
      </c>
      <c r="BI4292" s="2">
        <v>4.9000000000000004</v>
      </c>
      <c r="BJ4292" s="2">
        <v>1.6</v>
      </c>
      <c r="BK4292" s="2">
        <v>5</v>
      </c>
      <c r="BL4292" s="2">
        <v>32.380000000000003</v>
      </c>
      <c r="BM4292" s="2">
        <v>4.53</v>
      </c>
      <c r="BN4292" s="2">
        <v>36.909999999999997</v>
      </c>
      <c r="BO4292" s="2">
        <v>36.909999999999997</v>
      </c>
      <c r="BP4292" s="2"/>
      <c r="BQ4292" s="2" t="s">
        <v>3605</v>
      </c>
      <c r="BR4292" s="2" t="s">
        <v>84</v>
      </c>
      <c r="BS4292" s="3">
        <v>42951</v>
      </c>
      <c r="BT4292" s="4">
        <v>0.44791666666666669</v>
      </c>
      <c r="BU4292" s="2" t="s">
        <v>1634</v>
      </c>
      <c r="BV4292" s="2" t="s">
        <v>95</v>
      </c>
      <c r="BW4292" s="2"/>
      <c r="BX4292" s="2"/>
      <c r="BY4292" s="2">
        <v>8163.06</v>
      </c>
      <c r="BZ4292" s="2" t="s">
        <v>27</v>
      </c>
      <c r="CA4292" s="2" t="s">
        <v>722</v>
      </c>
      <c r="CB4292" s="2"/>
      <c r="CC4292" s="2" t="s">
        <v>540</v>
      </c>
      <c r="CD4292" s="2">
        <v>2170</v>
      </c>
      <c r="CE4292" s="2" t="s">
        <v>89</v>
      </c>
      <c r="CF4292" s="5">
        <v>42954</v>
      </c>
      <c r="CG4292" s="2"/>
      <c r="CH4292" s="2"/>
      <c r="CI4292" s="2">
        <v>1</v>
      </c>
      <c r="CJ4292" s="2">
        <v>1</v>
      </c>
      <c r="CK4292" s="2">
        <v>22</v>
      </c>
      <c r="CL4292" s="2" t="s">
        <v>86</v>
      </c>
      <c r="CM4292" s="2"/>
    </row>
    <row r="4293" spans="1:91">
      <c r="A4293" s="2" t="s">
        <v>71</v>
      </c>
      <c r="B4293" s="2" t="s">
        <v>72</v>
      </c>
      <c r="C4293" s="2" t="s">
        <v>73</v>
      </c>
      <c r="D4293" s="2"/>
      <c r="E4293" s="2" t="str">
        <f>"FES1162566675"</f>
        <v>FES1162566675</v>
      </c>
      <c r="F4293" s="3">
        <v>42950</v>
      </c>
      <c r="G4293" s="2">
        <v>201802</v>
      </c>
      <c r="H4293" s="2" t="s">
        <v>74</v>
      </c>
      <c r="I4293" s="2" t="s">
        <v>75</v>
      </c>
      <c r="J4293" s="2" t="s">
        <v>76</v>
      </c>
      <c r="K4293" s="2" t="s">
        <v>77</v>
      </c>
      <c r="L4293" s="2" t="s">
        <v>174</v>
      </c>
      <c r="M4293" s="2" t="s">
        <v>175</v>
      </c>
      <c r="N4293" s="2" t="s">
        <v>930</v>
      </c>
      <c r="O4293" s="2" t="s">
        <v>358</v>
      </c>
      <c r="P4293" s="2" t="str">
        <f>"2170582987                    "</f>
        <v xml:space="preserve">2170582987                    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20.64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0</v>
      </c>
      <c r="AU4293" s="2">
        <v>0</v>
      </c>
      <c r="AV4293" s="2">
        <v>0</v>
      </c>
      <c r="AW4293" s="2">
        <v>0</v>
      </c>
      <c r="AX4293" s="2">
        <v>0</v>
      </c>
      <c r="AY4293" s="2">
        <v>0</v>
      </c>
      <c r="AZ4293" s="2">
        <v>0</v>
      </c>
      <c r="BA4293" s="2">
        <v>0</v>
      </c>
      <c r="BB4293" s="2">
        <v>0</v>
      </c>
      <c r="BC4293" s="2">
        <v>0</v>
      </c>
      <c r="BD4293" s="2">
        <v>0</v>
      </c>
      <c r="BE4293" s="2">
        <v>0</v>
      </c>
      <c r="BF4293" s="2">
        <v>0</v>
      </c>
      <c r="BG4293" s="2">
        <v>0</v>
      </c>
      <c r="BH4293" s="2">
        <v>1</v>
      </c>
      <c r="BI4293" s="2">
        <v>10</v>
      </c>
      <c r="BJ4293" s="2">
        <v>10.5</v>
      </c>
      <c r="BK4293" s="2">
        <v>11</v>
      </c>
      <c r="BL4293" s="2">
        <v>213.69</v>
      </c>
      <c r="BM4293" s="2">
        <v>29.92</v>
      </c>
      <c r="BN4293" s="2">
        <v>243.61</v>
      </c>
      <c r="BO4293" s="2">
        <v>243.61</v>
      </c>
      <c r="BP4293" s="2"/>
      <c r="BQ4293" s="2" t="s">
        <v>83</v>
      </c>
      <c r="BR4293" s="2" t="s">
        <v>84</v>
      </c>
      <c r="BS4293" s="3">
        <v>42951</v>
      </c>
      <c r="BT4293" s="4">
        <v>0.41388888888888892</v>
      </c>
      <c r="BU4293" s="2" t="s">
        <v>1408</v>
      </c>
      <c r="BV4293" s="2" t="s">
        <v>95</v>
      </c>
      <c r="BW4293" s="2"/>
      <c r="BX4293" s="2"/>
      <c r="BY4293" s="2">
        <v>52403</v>
      </c>
      <c r="BZ4293" s="2" t="s">
        <v>27</v>
      </c>
      <c r="CA4293" s="2" t="s">
        <v>1373</v>
      </c>
      <c r="CB4293" s="2"/>
      <c r="CC4293" s="2" t="s">
        <v>175</v>
      </c>
      <c r="CD4293" s="2">
        <v>5201</v>
      </c>
      <c r="CE4293" s="2" t="s">
        <v>259</v>
      </c>
      <c r="CF4293" s="5">
        <v>42954</v>
      </c>
      <c r="CG4293" s="2"/>
      <c r="CH4293" s="2"/>
      <c r="CI4293" s="2">
        <v>1</v>
      </c>
      <c r="CJ4293" s="2">
        <v>1</v>
      </c>
      <c r="CK4293" s="2">
        <v>31</v>
      </c>
      <c r="CL4293" s="2" t="s">
        <v>86</v>
      </c>
      <c r="CM4293" s="2"/>
    </row>
    <row r="4294" spans="1:91">
      <c r="A4294" s="2" t="s">
        <v>71</v>
      </c>
      <c r="B4294" s="2" t="s">
        <v>72</v>
      </c>
      <c r="C4294" s="2" t="s">
        <v>73</v>
      </c>
      <c r="D4294" s="2"/>
      <c r="E4294" s="2" t="str">
        <f>"FES1162566799"</f>
        <v>FES1162566799</v>
      </c>
      <c r="F4294" s="3">
        <v>42950</v>
      </c>
      <c r="G4294" s="2">
        <v>201802</v>
      </c>
      <c r="H4294" s="2" t="s">
        <v>74</v>
      </c>
      <c r="I4294" s="2" t="s">
        <v>75</v>
      </c>
      <c r="J4294" s="2" t="s">
        <v>76</v>
      </c>
      <c r="K4294" s="2" t="s">
        <v>77</v>
      </c>
      <c r="L4294" s="2" t="s">
        <v>105</v>
      </c>
      <c r="M4294" s="2" t="s">
        <v>106</v>
      </c>
      <c r="N4294" s="2" t="s">
        <v>253</v>
      </c>
      <c r="O4294" s="2" t="s">
        <v>358</v>
      </c>
      <c r="P4294" s="2" t="str">
        <f>"2170572776                    "</f>
        <v xml:space="preserve">2170572776                    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35.65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0</v>
      </c>
      <c r="AU4294" s="2">
        <v>0</v>
      </c>
      <c r="AV4294" s="2">
        <v>0</v>
      </c>
      <c r="AW4294" s="2">
        <v>0</v>
      </c>
      <c r="AX4294" s="2">
        <v>0</v>
      </c>
      <c r="AY4294" s="2">
        <v>0</v>
      </c>
      <c r="AZ4294" s="2">
        <v>0</v>
      </c>
      <c r="BA4294" s="2">
        <v>0</v>
      </c>
      <c r="BB4294" s="2">
        <v>0</v>
      </c>
      <c r="BC4294" s="2">
        <v>0</v>
      </c>
      <c r="BD4294" s="2">
        <v>0</v>
      </c>
      <c r="BE4294" s="2">
        <v>0</v>
      </c>
      <c r="BF4294" s="2">
        <v>0</v>
      </c>
      <c r="BG4294" s="2">
        <v>0</v>
      </c>
      <c r="BH4294" s="2">
        <v>2</v>
      </c>
      <c r="BI4294" s="2">
        <v>7.8</v>
      </c>
      <c r="BJ4294" s="2">
        <v>18.3</v>
      </c>
      <c r="BK4294" s="2">
        <v>19</v>
      </c>
      <c r="BL4294" s="2">
        <v>369.1</v>
      </c>
      <c r="BM4294" s="2">
        <v>51.67</v>
      </c>
      <c r="BN4294" s="2">
        <v>420.77</v>
      </c>
      <c r="BO4294" s="2">
        <v>420.77</v>
      </c>
      <c r="BP4294" s="2"/>
      <c r="BQ4294" s="2" t="s">
        <v>108</v>
      </c>
      <c r="BR4294" s="2" t="s">
        <v>84</v>
      </c>
      <c r="BS4294" s="3">
        <v>42951</v>
      </c>
      <c r="BT4294" s="4">
        <v>0.58333333333333337</v>
      </c>
      <c r="BU4294" s="2" t="s">
        <v>3946</v>
      </c>
      <c r="BV4294" s="2" t="s">
        <v>86</v>
      </c>
      <c r="BW4294" s="2"/>
      <c r="BX4294" s="2"/>
      <c r="BY4294" s="2">
        <v>91715.36</v>
      </c>
      <c r="BZ4294" s="2" t="s">
        <v>27</v>
      </c>
      <c r="CA4294" s="2"/>
      <c r="CB4294" s="2"/>
      <c r="CC4294" s="2" t="s">
        <v>106</v>
      </c>
      <c r="CD4294" s="2">
        <v>7490</v>
      </c>
      <c r="CE4294" s="2" t="s">
        <v>89</v>
      </c>
      <c r="CF4294" s="5">
        <v>42954</v>
      </c>
      <c r="CG4294" s="2"/>
      <c r="CH4294" s="2"/>
      <c r="CI4294" s="2">
        <v>1</v>
      </c>
      <c r="CJ4294" s="2">
        <v>1</v>
      </c>
      <c r="CK4294" s="2">
        <v>31</v>
      </c>
      <c r="CL4294" s="2" t="s">
        <v>86</v>
      </c>
      <c r="CM4294" s="2"/>
    </row>
    <row r="4295" spans="1:91">
      <c r="A4295" s="2" t="s">
        <v>71</v>
      </c>
      <c r="B4295" s="2" t="s">
        <v>72</v>
      </c>
      <c r="C4295" s="2" t="s">
        <v>73</v>
      </c>
      <c r="D4295" s="2"/>
      <c r="E4295" s="2" t="str">
        <f>"FES1162566572"</f>
        <v>FES1162566572</v>
      </c>
      <c r="F4295" s="3">
        <v>42950</v>
      </c>
      <c r="G4295" s="2">
        <v>201802</v>
      </c>
      <c r="H4295" s="2" t="s">
        <v>74</v>
      </c>
      <c r="I4295" s="2" t="s">
        <v>75</v>
      </c>
      <c r="J4295" s="2" t="s">
        <v>76</v>
      </c>
      <c r="K4295" s="2" t="s">
        <v>77</v>
      </c>
      <c r="L4295" s="2" t="s">
        <v>268</v>
      </c>
      <c r="M4295" s="2" t="s">
        <v>269</v>
      </c>
      <c r="N4295" s="2" t="s">
        <v>279</v>
      </c>
      <c r="O4295" s="2" t="s">
        <v>100</v>
      </c>
      <c r="P4295" s="2" t="str">
        <f>"2170582923                    "</f>
        <v xml:space="preserve">2170582923                    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4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0</v>
      </c>
      <c r="AU4295" s="2">
        <v>0</v>
      </c>
      <c r="AV4295" s="2">
        <v>0</v>
      </c>
      <c r="AW4295" s="2">
        <v>0</v>
      </c>
      <c r="AX4295" s="2">
        <v>0</v>
      </c>
      <c r="AY4295" s="2">
        <v>0</v>
      </c>
      <c r="AZ4295" s="2">
        <v>0</v>
      </c>
      <c r="BA4295" s="2">
        <v>0</v>
      </c>
      <c r="BB4295" s="2">
        <v>0</v>
      </c>
      <c r="BC4295" s="2">
        <v>0</v>
      </c>
      <c r="BD4295" s="2">
        <v>0</v>
      </c>
      <c r="BE4295" s="2">
        <v>0</v>
      </c>
      <c r="BF4295" s="2">
        <v>0</v>
      </c>
      <c r="BG4295" s="2">
        <v>0</v>
      </c>
      <c r="BH4295" s="2">
        <v>1</v>
      </c>
      <c r="BI4295" s="2">
        <v>1</v>
      </c>
      <c r="BJ4295" s="2">
        <v>0.2</v>
      </c>
      <c r="BK4295" s="2">
        <v>1</v>
      </c>
      <c r="BL4295" s="2">
        <v>41.44</v>
      </c>
      <c r="BM4295" s="2">
        <v>5.8</v>
      </c>
      <c r="BN4295" s="2">
        <v>47.24</v>
      </c>
      <c r="BO4295" s="2">
        <v>47.24</v>
      </c>
      <c r="BP4295" s="2"/>
      <c r="BQ4295" s="2" t="s">
        <v>83</v>
      </c>
      <c r="BR4295" s="2" t="s">
        <v>84</v>
      </c>
      <c r="BS4295" s="3">
        <v>42951</v>
      </c>
      <c r="BT4295" s="4">
        <v>0.4284722222222222</v>
      </c>
      <c r="BU4295" s="2" t="s">
        <v>1924</v>
      </c>
      <c r="BV4295" s="2" t="s">
        <v>95</v>
      </c>
      <c r="BW4295" s="2"/>
      <c r="BX4295" s="2"/>
      <c r="BY4295" s="2">
        <v>1200</v>
      </c>
      <c r="BZ4295" s="2" t="s">
        <v>27</v>
      </c>
      <c r="CA4295" s="2" t="s">
        <v>864</v>
      </c>
      <c r="CB4295" s="2"/>
      <c r="CC4295" s="2" t="s">
        <v>269</v>
      </c>
      <c r="CD4295" s="2">
        <v>117</v>
      </c>
      <c r="CE4295" s="2" t="s">
        <v>104</v>
      </c>
      <c r="CF4295" s="5">
        <v>42951</v>
      </c>
      <c r="CG4295" s="2"/>
      <c r="CH4295" s="2"/>
      <c r="CI4295" s="2">
        <v>1</v>
      </c>
      <c r="CJ4295" s="2">
        <v>1</v>
      </c>
      <c r="CK4295" s="2">
        <v>21</v>
      </c>
      <c r="CL4295" s="2" t="s">
        <v>86</v>
      </c>
      <c r="CM4295" s="2"/>
    </row>
    <row r="4296" spans="1:91">
      <c r="A4296" s="2" t="s">
        <v>71</v>
      </c>
      <c r="B4296" s="2" t="s">
        <v>72</v>
      </c>
      <c r="C4296" s="2" t="s">
        <v>73</v>
      </c>
      <c r="D4296" s="2"/>
      <c r="E4296" s="2" t="str">
        <f>"FES1162566604"</f>
        <v>FES1162566604</v>
      </c>
      <c r="F4296" s="3">
        <v>42950</v>
      </c>
      <c r="G4296" s="2">
        <v>201802</v>
      </c>
      <c r="H4296" s="2" t="s">
        <v>74</v>
      </c>
      <c r="I4296" s="2" t="s">
        <v>75</v>
      </c>
      <c r="J4296" s="2" t="s">
        <v>76</v>
      </c>
      <c r="K4296" s="2" t="s">
        <v>77</v>
      </c>
      <c r="L4296" s="2" t="s">
        <v>244</v>
      </c>
      <c r="M4296" s="2" t="s">
        <v>245</v>
      </c>
      <c r="N4296" s="2" t="s">
        <v>882</v>
      </c>
      <c r="O4296" s="2" t="s">
        <v>100</v>
      </c>
      <c r="P4296" s="2" t="str">
        <f>"2170582950                    "</f>
        <v xml:space="preserve">2170582950                    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3.13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0</v>
      </c>
      <c r="AU4296" s="2">
        <v>0</v>
      </c>
      <c r="AV4296" s="2">
        <v>0</v>
      </c>
      <c r="AW4296" s="2">
        <v>0</v>
      </c>
      <c r="AX4296" s="2">
        <v>0</v>
      </c>
      <c r="AY4296" s="2">
        <v>0</v>
      </c>
      <c r="AZ4296" s="2">
        <v>0</v>
      </c>
      <c r="BA4296" s="2">
        <v>0</v>
      </c>
      <c r="BB4296" s="2">
        <v>0</v>
      </c>
      <c r="BC4296" s="2">
        <v>0</v>
      </c>
      <c r="BD4296" s="2">
        <v>0</v>
      </c>
      <c r="BE4296" s="2">
        <v>0</v>
      </c>
      <c r="BF4296" s="2">
        <v>0</v>
      </c>
      <c r="BG4296" s="2">
        <v>0</v>
      </c>
      <c r="BH4296" s="2">
        <v>1</v>
      </c>
      <c r="BI4296" s="2">
        <v>1</v>
      </c>
      <c r="BJ4296" s="2">
        <v>0.2</v>
      </c>
      <c r="BK4296" s="2">
        <v>1</v>
      </c>
      <c r="BL4296" s="2">
        <v>32.380000000000003</v>
      </c>
      <c r="BM4296" s="2">
        <v>4.53</v>
      </c>
      <c r="BN4296" s="2">
        <v>36.909999999999997</v>
      </c>
      <c r="BO4296" s="2">
        <v>36.909999999999997</v>
      </c>
      <c r="BP4296" s="2"/>
      <c r="BQ4296" s="2" t="s">
        <v>108</v>
      </c>
      <c r="BR4296" s="2" t="s">
        <v>84</v>
      </c>
      <c r="BS4296" s="3">
        <v>42951</v>
      </c>
      <c r="BT4296" s="4">
        <v>0.3444444444444445</v>
      </c>
      <c r="BU4296" s="2" t="s">
        <v>3947</v>
      </c>
      <c r="BV4296" s="2" t="s">
        <v>95</v>
      </c>
      <c r="BW4296" s="2"/>
      <c r="BX4296" s="2"/>
      <c r="BY4296" s="2">
        <v>1200</v>
      </c>
      <c r="BZ4296" s="2" t="s">
        <v>27</v>
      </c>
      <c r="CA4296" s="2" t="s">
        <v>426</v>
      </c>
      <c r="CB4296" s="2"/>
      <c r="CC4296" s="2" t="s">
        <v>245</v>
      </c>
      <c r="CD4296" s="2">
        <v>1459</v>
      </c>
      <c r="CE4296" s="2" t="s">
        <v>104</v>
      </c>
      <c r="CF4296" s="5">
        <v>42954</v>
      </c>
      <c r="CG4296" s="2"/>
      <c r="CH4296" s="2"/>
      <c r="CI4296" s="2">
        <v>1</v>
      </c>
      <c r="CJ4296" s="2">
        <v>1</v>
      </c>
      <c r="CK4296" s="2">
        <v>22</v>
      </c>
      <c r="CL4296" s="2" t="s">
        <v>86</v>
      </c>
      <c r="CM4296" s="2"/>
    </row>
    <row r="4297" spans="1:91">
      <c r="A4297" s="2" t="s">
        <v>71</v>
      </c>
      <c r="B4297" s="2" t="s">
        <v>72</v>
      </c>
      <c r="C4297" s="2" t="s">
        <v>73</v>
      </c>
      <c r="D4297" s="2"/>
      <c r="E4297" s="2" t="str">
        <f>"FES1162566631"</f>
        <v>FES1162566631</v>
      </c>
      <c r="F4297" s="3">
        <v>42950</v>
      </c>
      <c r="G4297" s="2">
        <v>201802</v>
      </c>
      <c r="H4297" s="2" t="s">
        <v>74</v>
      </c>
      <c r="I4297" s="2" t="s">
        <v>75</v>
      </c>
      <c r="J4297" s="2" t="s">
        <v>76</v>
      </c>
      <c r="K4297" s="2" t="s">
        <v>77</v>
      </c>
      <c r="L4297" s="2" t="s">
        <v>619</v>
      </c>
      <c r="M4297" s="2" t="s">
        <v>620</v>
      </c>
      <c r="N4297" s="2" t="s">
        <v>3377</v>
      </c>
      <c r="O4297" s="2" t="s">
        <v>100</v>
      </c>
      <c r="P4297" s="2" t="str">
        <f>"2170582954                    "</f>
        <v xml:space="preserve">2170582954                    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5.63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0</v>
      </c>
      <c r="AU4297" s="2">
        <v>0</v>
      </c>
      <c r="AV4297" s="2">
        <v>0</v>
      </c>
      <c r="AW4297" s="2">
        <v>0</v>
      </c>
      <c r="AX4297" s="2">
        <v>0</v>
      </c>
      <c r="AY4297" s="2">
        <v>0</v>
      </c>
      <c r="AZ4297" s="2">
        <v>0</v>
      </c>
      <c r="BA4297" s="2">
        <v>0</v>
      </c>
      <c r="BB4297" s="2">
        <v>0</v>
      </c>
      <c r="BC4297" s="2">
        <v>0</v>
      </c>
      <c r="BD4297" s="2">
        <v>0</v>
      </c>
      <c r="BE4297" s="2">
        <v>0</v>
      </c>
      <c r="BF4297" s="2">
        <v>0</v>
      </c>
      <c r="BG4297" s="2">
        <v>0</v>
      </c>
      <c r="BH4297" s="2">
        <v>1</v>
      </c>
      <c r="BI4297" s="2">
        <v>1</v>
      </c>
      <c r="BJ4297" s="2">
        <v>0.2</v>
      </c>
      <c r="BK4297" s="2">
        <v>1</v>
      </c>
      <c r="BL4297" s="2">
        <v>58.28</v>
      </c>
      <c r="BM4297" s="2">
        <v>8.16</v>
      </c>
      <c r="BN4297" s="2">
        <v>66.44</v>
      </c>
      <c r="BO4297" s="2">
        <v>66.44</v>
      </c>
      <c r="BP4297" s="2"/>
      <c r="BQ4297" s="2" t="s">
        <v>83</v>
      </c>
      <c r="BR4297" s="2" t="s">
        <v>84</v>
      </c>
      <c r="BS4297" s="3">
        <v>42955</v>
      </c>
      <c r="BT4297" s="4">
        <v>0.5625</v>
      </c>
      <c r="BU4297" s="2" t="s">
        <v>3378</v>
      </c>
      <c r="BV4297" s="2" t="s">
        <v>86</v>
      </c>
      <c r="BW4297" s="2"/>
      <c r="BX4297" s="2"/>
      <c r="BY4297" s="2">
        <v>1200</v>
      </c>
      <c r="BZ4297" s="2" t="s">
        <v>27</v>
      </c>
      <c r="CA4297" s="2" t="s">
        <v>943</v>
      </c>
      <c r="CB4297" s="2"/>
      <c r="CC4297" s="2" t="s">
        <v>620</v>
      </c>
      <c r="CD4297" s="2">
        <v>1001</v>
      </c>
      <c r="CE4297" s="2" t="s">
        <v>104</v>
      </c>
      <c r="CF4297" s="5">
        <v>42957</v>
      </c>
      <c r="CG4297" s="2"/>
      <c r="CH4297" s="2"/>
      <c r="CI4297" s="2">
        <v>1</v>
      </c>
      <c r="CJ4297" s="2">
        <v>3</v>
      </c>
      <c r="CK4297" s="2">
        <v>24</v>
      </c>
      <c r="CL4297" s="2" t="s">
        <v>86</v>
      </c>
      <c r="CM4297" s="2"/>
    </row>
    <row r="4298" spans="1:91">
      <c r="A4298" s="2" t="s">
        <v>71</v>
      </c>
      <c r="B4298" s="2" t="s">
        <v>72</v>
      </c>
      <c r="C4298" s="2" t="s">
        <v>73</v>
      </c>
      <c r="D4298" s="2"/>
      <c r="E4298" s="2" t="str">
        <f>"FES1162566766"</f>
        <v>FES1162566766</v>
      </c>
      <c r="F4298" s="3">
        <v>42950</v>
      </c>
      <c r="G4298" s="2">
        <v>201802</v>
      </c>
      <c r="H4298" s="2" t="s">
        <v>74</v>
      </c>
      <c r="I4298" s="2" t="s">
        <v>75</v>
      </c>
      <c r="J4298" s="2" t="s">
        <v>76</v>
      </c>
      <c r="K4298" s="2" t="s">
        <v>77</v>
      </c>
      <c r="L4298" s="2" t="s">
        <v>723</v>
      </c>
      <c r="M4298" s="2" t="s">
        <v>724</v>
      </c>
      <c r="N4298" s="2" t="s">
        <v>351</v>
      </c>
      <c r="O4298" s="2" t="s">
        <v>100</v>
      </c>
      <c r="P4298" s="2" t="str">
        <f>"2170580702                    "</f>
        <v xml:space="preserve">2170580702                    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5.63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0</v>
      </c>
      <c r="AU4298" s="2">
        <v>0</v>
      </c>
      <c r="AV4298" s="2">
        <v>0</v>
      </c>
      <c r="AW4298" s="2">
        <v>0</v>
      </c>
      <c r="AX4298" s="2">
        <v>0</v>
      </c>
      <c r="AY4298" s="2">
        <v>0</v>
      </c>
      <c r="AZ4298" s="2">
        <v>0</v>
      </c>
      <c r="BA4298" s="2">
        <v>0</v>
      </c>
      <c r="BB4298" s="2">
        <v>0</v>
      </c>
      <c r="BC4298" s="2">
        <v>0</v>
      </c>
      <c r="BD4298" s="2">
        <v>0</v>
      </c>
      <c r="BE4298" s="2">
        <v>0</v>
      </c>
      <c r="BF4298" s="2">
        <v>0</v>
      </c>
      <c r="BG4298" s="2">
        <v>0</v>
      </c>
      <c r="BH4298" s="2">
        <v>1</v>
      </c>
      <c r="BI4298" s="2">
        <v>0.5</v>
      </c>
      <c r="BJ4298" s="2">
        <v>0.2</v>
      </c>
      <c r="BK4298" s="2">
        <v>0.5</v>
      </c>
      <c r="BL4298" s="2">
        <v>58.28</v>
      </c>
      <c r="BM4298" s="2">
        <v>8.16</v>
      </c>
      <c r="BN4298" s="2">
        <v>66.44</v>
      </c>
      <c r="BO4298" s="2">
        <v>66.44</v>
      </c>
      <c r="BP4298" s="2"/>
      <c r="BQ4298" s="2" t="s">
        <v>83</v>
      </c>
      <c r="BR4298" s="2" t="s">
        <v>84</v>
      </c>
      <c r="BS4298" s="3">
        <v>42951</v>
      </c>
      <c r="BT4298" s="4">
        <v>0.29166666666666669</v>
      </c>
      <c r="BU4298" s="2" t="s">
        <v>330</v>
      </c>
      <c r="BV4298" s="2" t="s">
        <v>95</v>
      </c>
      <c r="BW4298" s="2"/>
      <c r="BX4298" s="2"/>
      <c r="BY4298" s="2">
        <v>1200</v>
      </c>
      <c r="BZ4298" s="2" t="s">
        <v>27</v>
      </c>
      <c r="CA4298" s="2" t="s">
        <v>727</v>
      </c>
      <c r="CB4298" s="2"/>
      <c r="CC4298" s="2" t="s">
        <v>724</v>
      </c>
      <c r="CD4298" s="2">
        <v>1754</v>
      </c>
      <c r="CE4298" s="2" t="s">
        <v>104</v>
      </c>
      <c r="CF4298" s="5">
        <v>42954</v>
      </c>
      <c r="CG4298" s="2"/>
      <c r="CH4298" s="2"/>
      <c r="CI4298" s="2">
        <v>1</v>
      </c>
      <c r="CJ4298" s="2">
        <v>1</v>
      </c>
      <c r="CK4298" s="2">
        <v>24</v>
      </c>
      <c r="CL4298" s="2" t="s">
        <v>86</v>
      </c>
      <c r="CM4298" s="2"/>
    </row>
    <row r="4299" spans="1:91">
      <c r="A4299" s="2" t="s">
        <v>71</v>
      </c>
      <c r="B4299" s="2" t="s">
        <v>72</v>
      </c>
      <c r="C4299" s="2" t="s">
        <v>73</v>
      </c>
      <c r="D4299" s="2"/>
      <c r="E4299" s="2" t="str">
        <f>"FES1162566616"</f>
        <v>FES1162566616</v>
      </c>
      <c r="F4299" s="3">
        <v>42950</v>
      </c>
      <c r="G4299" s="2">
        <v>201802</v>
      </c>
      <c r="H4299" s="2" t="s">
        <v>74</v>
      </c>
      <c r="I4299" s="2" t="s">
        <v>75</v>
      </c>
      <c r="J4299" s="2" t="s">
        <v>76</v>
      </c>
      <c r="K4299" s="2" t="s">
        <v>77</v>
      </c>
      <c r="L4299" s="2" t="s">
        <v>170</v>
      </c>
      <c r="M4299" s="2" t="s">
        <v>171</v>
      </c>
      <c r="N4299" s="2" t="s">
        <v>489</v>
      </c>
      <c r="O4299" s="2" t="s">
        <v>100</v>
      </c>
      <c r="P4299" s="2" t="str">
        <f>"2170580894                    "</f>
        <v xml:space="preserve">2170580894                    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3.13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0</v>
      </c>
      <c r="AU4299" s="2">
        <v>0</v>
      </c>
      <c r="AV4299" s="2">
        <v>0</v>
      </c>
      <c r="AW4299" s="2">
        <v>0</v>
      </c>
      <c r="AX4299" s="2">
        <v>0</v>
      </c>
      <c r="AY4299" s="2">
        <v>0</v>
      </c>
      <c r="AZ4299" s="2">
        <v>0</v>
      </c>
      <c r="BA4299" s="2">
        <v>0</v>
      </c>
      <c r="BB4299" s="2">
        <v>0</v>
      </c>
      <c r="BC4299" s="2">
        <v>0</v>
      </c>
      <c r="BD4299" s="2">
        <v>0</v>
      </c>
      <c r="BE4299" s="2">
        <v>0</v>
      </c>
      <c r="BF4299" s="2">
        <v>0</v>
      </c>
      <c r="BG4299" s="2">
        <v>0</v>
      </c>
      <c r="BH4299" s="2">
        <v>1</v>
      </c>
      <c r="BI4299" s="2">
        <v>0.5</v>
      </c>
      <c r="BJ4299" s="2">
        <v>0.2</v>
      </c>
      <c r="BK4299" s="2">
        <v>1</v>
      </c>
      <c r="BL4299" s="2">
        <v>32.380000000000003</v>
      </c>
      <c r="BM4299" s="2">
        <v>4.53</v>
      </c>
      <c r="BN4299" s="2">
        <v>36.909999999999997</v>
      </c>
      <c r="BO4299" s="2">
        <v>36.909999999999997</v>
      </c>
      <c r="BP4299" s="2"/>
      <c r="BQ4299" s="2" t="s">
        <v>490</v>
      </c>
      <c r="BR4299" s="2" t="s">
        <v>84</v>
      </c>
      <c r="BS4299" s="3">
        <v>42951</v>
      </c>
      <c r="BT4299" s="4">
        <v>0.61111111111111105</v>
      </c>
      <c r="BU4299" s="2" t="s">
        <v>3948</v>
      </c>
      <c r="BV4299" s="2" t="s">
        <v>86</v>
      </c>
      <c r="BW4299" s="2"/>
      <c r="BX4299" s="2"/>
      <c r="BY4299" s="2">
        <v>1200</v>
      </c>
      <c r="BZ4299" s="2" t="s">
        <v>27</v>
      </c>
      <c r="CA4299" s="2" t="s">
        <v>492</v>
      </c>
      <c r="CB4299" s="2"/>
      <c r="CC4299" s="2" t="s">
        <v>171</v>
      </c>
      <c r="CD4299" s="2">
        <v>1401</v>
      </c>
      <c r="CE4299" s="2" t="s">
        <v>104</v>
      </c>
      <c r="CF4299" s="5">
        <v>42951</v>
      </c>
      <c r="CG4299" s="2"/>
      <c r="CH4299" s="2"/>
      <c r="CI4299" s="2">
        <v>1</v>
      </c>
      <c r="CJ4299" s="2">
        <v>1</v>
      </c>
      <c r="CK4299" s="2">
        <v>22</v>
      </c>
      <c r="CL4299" s="2" t="s">
        <v>86</v>
      </c>
      <c r="CM4299" s="2"/>
    </row>
    <row r="4300" spans="1:91">
      <c r="A4300" s="2" t="s">
        <v>71</v>
      </c>
      <c r="B4300" s="2" t="s">
        <v>72</v>
      </c>
      <c r="C4300" s="2" t="s">
        <v>73</v>
      </c>
      <c r="D4300" s="2"/>
      <c r="E4300" s="2" t="str">
        <f>"FES1162566516"</f>
        <v>FES1162566516</v>
      </c>
      <c r="F4300" s="3">
        <v>42950</v>
      </c>
      <c r="G4300" s="2">
        <v>201802</v>
      </c>
      <c r="H4300" s="2" t="s">
        <v>74</v>
      </c>
      <c r="I4300" s="2" t="s">
        <v>75</v>
      </c>
      <c r="J4300" s="2" t="s">
        <v>76</v>
      </c>
      <c r="K4300" s="2" t="s">
        <v>77</v>
      </c>
      <c r="L4300" s="2" t="s">
        <v>939</v>
      </c>
      <c r="M4300" s="2" t="s">
        <v>940</v>
      </c>
      <c r="N4300" s="2" t="s">
        <v>941</v>
      </c>
      <c r="O4300" s="2" t="s">
        <v>100</v>
      </c>
      <c r="P4300" s="2" t="str">
        <f>"2170580774                    "</f>
        <v xml:space="preserve">2170580774                    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5.63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0</v>
      </c>
      <c r="AU4300" s="2">
        <v>0</v>
      </c>
      <c r="AV4300" s="2">
        <v>0</v>
      </c>
      <c r="AW4300" s="2">
        <v>0</v>
      </c>
      <c r="AX4300" s="2">
        <v>0</v>
      </c>
      <c r="AY4300" s="2">
        <v>0</v>
      </c>
      <c r="AZ4300" s="2">
        <v>0</v>
      </c>
      <c r="BA4300" s="2">
        <v>0</v>
      </c>
      <c r="BB4300" s="2">
        <v>0</v>
      </c>
      <c r="BC4300" s="2">
        <v>0</v>
      </c>
      <c r="BD4300" s="2">
        <v>0</v>
      </c>
      <c r="BE4300" s="2">
        <v>0</v>
      </c>
      <c r="BF4300" s="2">
        <v>0</v>
      </c>
      <c r="BG4300" s="2">
        <v>0</v>
      </c>
      <c r="BH4300" s="2">
        <v>1</v>
      </c>
      <c r="BI4300" s="2">
        <v>1</v>
      </c>
      <c r="BJ4300" s="2">
        <v>0.2</v>
      </c>
      <c r="BK4300" s="2">
        <v>1</v>
      </c>
      <c r="BL4300" s="2">
        <v>58.28</v>
      </c>
      <c r="BM4300" s="2">
        <v>8.16</v>
      </c>
      <c r="BN4300" s="2">
        <v>66.44</v>
      </c>
      <c r="BO4300" s="2">
        <v>66.44</v>
      </c>
      <c r="BP4300" s="2"/>
      <c r="BQ4300" s="2" t="s">
        <v>108</v>
      </c>
      <c r="BR4300" s="2" t="s">
        <v>84</v>
      </c>
      <c r="BS4300" s="3">
        <v>42954</v>
      </c>
      <c r="BT4300" s="4">
        <v>0.625</v>
      </c>
      <c r="BU4300" s="2" t="s">
        <v>942</v>
      </c>
      <c r="BV4300" s="2" t="s">
        <v>95</v>
      </c>
      <c r="BW4300" s="2"/>
      <c r="BX4300" s="2"/>
      <c r="BY4300" s="2">
        <v>1200</v>
      </c>
      <c r="BZ4300" s="2" t="s">
        <v>27</v>
      </c>
      <c r="CA4300" s="2" t="s">
        <v>943</v>
      </c>
      <c r="CB4300" s="2"/>
      <c r="CC4300" s="2" t="s">
        <v>940</v>
      </c>
      <c r="CD4300" s="2">
        <v>1028</v>
      </c>
      <c r="CE4300" s="2" t="s">
        <v>104</v>
      </c>
      <c r="CF4300" s="5">
        <v>42957</v>
      </c>
      <c r="CG4300" s="2"/>
      <c r="CH4300" s="2"/>
      <c r="CI4300" s="2">
        <v>2</v>
      </c>
      <c r="CJ4300" s="2">
        <v>2</v>
      </c>
      <c r="CK4300" s="2">
        <v>24</v>
      </c>
      <c r="CL4300" s="2" t="s">
        <v>86</v>
      </c>
      <c r="CM4300" s="2"/>
    </row>
    <row r="4301" spans="1:91">
      <c r="A4301" s="2" t="s">
        <v>71</v>
      </c>
      <c r="B4301" s="2" t="s">
        <v>72</v>
      </c>
      <c r="C4301" s="2" t="s">
        <v>73</v>
      </c>
      <c r="D4301" s="2"/>
      <c r="E4301" s="2" t="str">
        <f>"FES1162566608"</f>
        <v>FES1162566608</v>
      </c>
      <c r="F4301" s="3">
        <v>42950</v>
      </c>
      <c r="G4301" s="2">
        <v>201802</v>
      </c>
      <c r="H4301" s="2" t="s">
        <v>74</v>
      </c>
      <c r="I4301" s="2" t="s">
        <v>75</v>
      </c>
      <c r="J4301" s="2" t="s">
        <v>76</v>
      </c>
      <c r="K4301" s="2" t="s">
        <v>77</v>
      </c>
      <c r="L4301" s="2" t="s">
        <v>144</v>
      </c>
      <c r="M4301" s="2" t="s">
        <v>145</v>
      </c>
      <c r="N4301" s="2" t="s">
        <v>146</v>
      </c>
      <c r="O4301" s="2" t="s">
        <v>100</v>
      </c>
      <c r="P4301" s="2" t="str">
        <f>"2170589309                    "</f>
        <v xml:space="preserve">2170589309                    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3.13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0</v>
      </c>
      <c r="AU4301" s="2">
        <v>0</v>
      </c>
      <c r="AV4301" s="2">
        <v>0</v>
      </c>
      <c r="AW4301" s="2">
        <v>0</v>
      </c>
      <c r="AX4301" s="2">
        <v>0</v>
      </c>
      <c r="AY4301" s="2">
        <v>0</v>
      </c>
      <c r="AZ4301" s="2">
        <v>0</v>
      </c>
      <c r="BA4301" s="2">
        <v>0</v>
      </c>
      <c r="BB4301" s="2">
        <v>0</v>
      </c>
      <c r="BC4301" s="2">
        <v>0</v>
      </c>
      <c r="BD4301" s="2">
        <v>0</v>
      </c>
      <c r="BE4301" s="2">
        <v>0</v>
      </c>
      <c r="BF4301" s="2">
        <v>0</v>
      </c>
      <c r="BG4301" s="2">
        <v>0</v>
      </c>
      <c r="BH4301" s="2">
        <v>1</v>
      </c>
      <c r="BI4301" s="2">
        <v>1</v>
      </c>
      <c r="BJ4301" s="2">
        <v>0.2</v>
      </c>
      <c r="BK4301" s="2">
        <v>1</v>
      </c>
      <c r="BL4301" s="2">
        <v>32.380000000000003</v>
      </c>
      <c r="BM4301" s="2">
        <v>4.53</v>
      </c>
      <c r="BN4301" s="2">
        <v>36.909999999999997</v>
      </c>
      <c r="BO4301" s="2">
        <v>36.909999999999997</v>
      </c>
      <c r="BP4301" s="2"/>
      <c r="BQ4301" s="2" t="s">
        <v>83</v>
      </c>
      <c r="BR4301" s="2" t="s">
        <v>84</v>
      </c>
      <c r="BS4301" s="3">
        <v>42951</v>
      </c>
      <c r="BT4301" s="4">
        <v>0.38541666666666669</v>
      </c>
      <c r="BU4301" s="2" t="s">
        <v>469</v>
      </c>
      <c r="BV4301" s="2" t="s">
        <v>95</v>
      </c>
      <c r="BW4301" s="2"/>
      <c r="BX4301" s="2"/>
      <c r="BY4301" s="2">
        <v>1200</v>
      </c>
      <c r="BZ4301" s="2" t="s">
        <v>27</v>
      </c>
      <c r="CA4301" s="2"/>
      <c r="CB4301" s="2"/>
      <c r="CC4301" s="2" t="s">
        <v>145</v>
      </c>
      <c r="CD4301" s="2">
        <v>2094</v>
      </c>
      <c r="CE4301" s="2" t="s">
        <v>104</v>
      </c>
      <c r="CF4301" s="5">
        <v>42954</v>
      </c>
      <c r="CG4301" s="2"/>
      <c r="CH4301" s="2"/>
      <c r="CI4301" s="2">
        <v>1</v>
      </c>
      <c r="CJ4301" s="2">
        <v>1</v>
      </c>
      <c r="CK4301" s="2">
        <v>22</v>
      </c>
      <c r="CL4301" s="2" t="s">
        <v>86</v>
      </c>
      <c r="CM4301" s="2"/>
    </row>
    <row r="4302" spans="1:91">
      <c r="A4302" s="2" t="s">
        <v>71</v>
      </c>
      <c r="B4302" s="2" t="s">
        <v>72</v>
      </c>
      <c r="C4302" s="2" t="s">
        <v>73</v>
      </c>
      <c r="D4302" s="2"/>
      <c r="E4302" s="2" t="str">
        <f>"FES1162566709"</f>
        <v>FES1162566709</v>
      </c>
      <c r="F4302" s="3">
        <v>42950</v>
      </c>
      <c r="G4302" s="2">
        <v>201802</v>
      </c>
      <c r="H4302" s="2" t="s">
        <v>74</v>
      </c>
      <c r="I4302" s="2" t="s">
        <v>75</v>
      </c>
      <c r="J4302" s="2" t="s">
        <v>76</v>
      </c>
      <c r="K4302" s="2" t="s">
        <v>77</v>
      </c>
      <c r="L4302" s="2" t="s">
        <v>97</v>
      </c>
      <c r="M4302" s="2" t="s">
        <v>98</v>
      </c>
      <c r="N4302" s="2" t="s">
        <v>822</v>
      </c>
      <c r="O4302" s="2" t="s">
        <v>100</v>
      </c>
      <c r="P4302" s="2" t="str">
        <f>"2170581056                    "</f>
        <v xml:space="preserve">2170581056                    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7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0</v>
      </c>
      <c r="AU4302" s="2">
        <v>0</v>
      </c>
      <c r="AV4302" s="2">
        <v>0</v>
      </c>
      <c r="AW4302" s="2">
        <v>0</v>
      </c>
      <c r="AX4302" s="2">
        <v>0</v>
      </c>
      <c r="AY4302" s="2">
        <v>0</v>
      </c>
      <c r="AZ4302" s="2">
        <v>0</v>
      </c>
      <c r="BA4302" s="2">
        <v>0</v>
      </c>
      <c r="BB4302" s="2">
        <v>0</v>
      </c>
      <c r="BC4302" s="2">
        <v>0</v>
      </c>
      <c r="BD4302" s="2">
        <v>0</v>
      </c>
      <c r="BE4302" s="2">
        <v>0</v>
      </c>
      <c r="BF4302" s="2">
        <v>0</v>
      </c>
      <c r="BG4302" s="2">
        <v>0</v>
      </c>
      <c r="BH4302" s="2">
        <v>1</v>
      </c>
      <c r="BI4302" s="2">
        <v>3</v>
      </c>
      <c r="BJ4302" s="2">
        <v>3.4</v>
      </c>
      <c r="BK4302" s="2">
        <v>3.5</v>
      </c>
      <c r="BL4302" s="2">
        <v>72.52</v>
      </c>
      <c r="BM4302" s="2">
        <v>10.15</v>
      </c>
      <c r="BN4302" s="2">
        <v>82.67</v>
      </c>
      <c r="BO4302" s="2">
        <v>82.67</v>
      </c>
      <c r="BP4302" s="2"/>
      <c r="BQ4302" s="2" t="s">
        <v>83</v>
      </c>
      <c r="BR4302" s="2" t="s">
        <v>84</v>
      </c>
      <c r="BS4302" s="3">
        <v>42951</v>
      </c>
      <c r="BT4302" s="4">
        <v>0.3972222222222222</v>
      </c>
      <c r="BU4302" s="2" t="s">
        <v>392</v>
      </c>
      <c r="BV4302" s="2" t="s">
        <v>95</v>
      </c>
      <c r="BW4302" s="2"/>
      <c r="BX4302" s="2"/>
      <c r="BY4302" s="2">
        <v>16791</v>
      </c>
      <c r="BZ4302" s="2" t="s">
        <v>27</v>
      </c>
      <c r="CA4302" s="2"/>
      <c r="CB4302" s="2"/>
      <c r="CC4302" s="2" t="s">
        <v>98</v>
      </c>
      <c r="CD4302" s="2">
        <v>6014</v>
      </c>
      <c r="CE4302" s="2" t="s">
        <v>259</v>
      </c>
      <c r="CF4302" s="5">
        <v>42951</v>
      </c>
      <c r="CG4302" s="2"/>
      <c r="CH4302" s="2"/>
      <c r="CI4302" s="2">
        <v>1</v>
      </c>
      <c r="CJ4302" s="2">
        <v>1</v>
      </c>
      <c r="CK4302" s="2">
        <v>21</v>
      </c>
      <c r="CL4302" s="2" t="s">
        <v>86</v>
      </c>
      <c r="CM4302" s="2"/>
    </row>
    <row r="4303" spans="1:91">
      <c r="A4303" s="2" t="s">
        <v>71</v>
      </c>
      <c r="B4303" s="2" t="s">
        <v>72</v>
      </c>
      <c r="C4303" s="2" t="s">
        <v>73</v>
      </c>
      <c r="D4303" s="2"/>
      <c r="E4303" s="2" t="str">
        <f>"FES1162566804"</f>
        <v>FES1162566804</v>
      </c>
      <c r="F4303" s="3">
        <v>42950</v>
      </c>
      <c r="G4303" s="2">
        <v>201802</v>
      </c>
      <c r="H4303" s="2" t="s">
        <v>74</v>
      </c>
      <c r="I4303" s="2" t="s">
        <v>75</v>
      </c>
      <c r="J4303" s="2" t="s">
        <v>76</v>
      </c>
      <c r="K4303" s="2" t="s">
        <v>77</v>
      </c>
      <c r="L4303" s="2" t="s">
        <v>362</v>
      </c>
      <c r="M4303" s="2" t="s">
        <v>363</v>
      </c>
      <c r="N4303" s="2" t="s">
        <v>683</v>
      </c>
      <c r="O4303" s="2" t="s">
        <v>100</v>
      </c>
      <c r="P4303" s="2" t="str">
        <f>"2170579059                    "</f>
        <v xml:space="preserve">2170579059                    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5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0</v>
      </c>
      <c r="AU4303" s="2">
        <v>0</v>
      </c>
      <c r="AV4303" s="2">
        <v>0</v>
      </c>
      <c r="AW4303" s="2">
        <v>0</v>
      </c>
      <c r="AX4303" s="2">
        <v>0</v>
      </c>
      <c r="AY4303" s="2">
        <v>0</v>
      </c>
      <c r="AZ4303" s="2">
        <v>0</v>
      </c>
      <c r="BA4303" s="2">
        <v>0</v>
      </c>
      <c r="BB4303" s="2">
        <v>0</v>
      </c>
      <c r="BC4303" s="2">
        <v>0</v>
      </c>
      <c r="BD4303" s="2">
        <v>0</v>
      </c>
      <c r="BE4303" s="2">
        <v>0</v>
      </c>
      <c r="BF4303" s="2">
        <v>0</v>
      </c>
      <c r="BG4303" s="2">
        <v>0</v>
      </c>
      <c r="BH4303" s="2">
        <v>1</v>
      </c>
      <c r="BI4303" s="2">
        <v>2.1</v>
      </c>
      <c r="BJ4303" s="2">
        <v>1.3</v>
      </c>
      <c r="BK4303" s="2">
        <v>2.5</v>
      </c>
      <c r="BL4303" s="2">
        <v>51.8</v>
      </c>
      <c r="BM4303" s="2">
        <v>7.25</v>
      </c>
      <c r="BN4303" s="2">
        <v>59.05</v>
      </c>
      <c r="BO4303" s="2">
        <v>59.05</v>
      </c>
      <c r="BP4303" s="2"/>
      <c r="BQ4303" s="2" t="s">
        <v>108</v>
      </c>
      <c r="BR4303" s="2" t="s">
        <v>84</v>
      </c>
      <c r="BS4303" s="3">
        <v>42951</v>
      </c>
      <c r="BT4303" s="4">
        <v>0.4375</v>
      </c>
      <c r="BU4303" s="2" t="s">
        <v>805</v>
      </c>
      <c r="BV4303" s="2" t="s">
        <v>95</v>
      </c>
      <c r="BW4303" s="2"/>
      <c r="BX4303" s="2"/>
      <c r="BY4303" s="2">
        <v>6312.38</v>
      </c>
      <c r="BZ4303" s="2" t="s">
        <v>27</v>
      </c>
      <c r="CA4303" s="2"/>
      <c r="CB4303" s="2"/>
      <c r="CC4303" s="2" t="s">
        <v>363</v>
      </c>
      <c r="CD4303" s="2">
        <v>3201</v>
      </c>
      <c r="CE4303" s="2" t="s">
        <v>89</v>
      </c>
      <c r="CF4303" s="5">
        <v>42954</v>
      </c>
      <c r="CG4303" s="2"/>
      <c r="CH4303" s="2"/>
      <c r="CI4303" s="2">
        <v>1</v>
      </c>
      <c r="CJ4303" s="2">
        <v>1</v>
      </c>
      <c r="CK4303" s="2">
        <v>21</v>
      </c>
      <c r="CL4303" s="2" t="s">
        <v>86</v>
      </c>
      <c r="CM4303" s="2"/>
    </row>
    <row r="4304" spans="1:91">
      <c r="A4304" s="2" t="s">
        <v>71</v>
      </c>
      <c r="B4304" s="2" t="s">
        <v>72</v>
      </c>
      <c r="C4304" s="2" t="s">
        <v>73</v>
      </c>
      <c r="D4304" s="2"/>
      <c r="E4304" s="2" t="str">
        <f>"FES1162566722"</f>
        <v>FES1162566722</v>
      </c>
      <c r="F4304" s="3">
        <v>42950</v>
      </c>
      <c r="G4304" s="2">
        <v>201802</v>
      </c>
      <c r="H4304" s="2" t="s">
        <v>74</v>
      </c>
      <c r="I4304" s="2" t="s">
        <v>75</v>
      </c>
      <c r="J4304" s="2" t="s">
        <v>76</v>
      </c>
      <c r="K4304" s="2" t="s">
        <v>77</v>
      </c>
      <c r="L4304" s="2" t="s">
        <v>74</v>
      </c>
      <c r="M4304" s="2" t="s">
        <v>75</v>
      </c>
      <c r="N4304" s="2" t="s">
        <v>264</v>
      </c>
      <c r="O4304" s="2" t="s">
        <v>100</v>
      </c>
      <c r="P4304" s="2" t="str">
        <f>"2170572761                    "</f>
        <v xml:space="preserve">2170572761                    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3.13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0</v>
      </c>
      <c r="AU4304" s="2">
        <v>0</v>
      </c>
      <c r="AV4304" s="2">
        <v>0</v>
      </c>
      <c r="AW4304" s="2">
        <v>0</v>
      </c>
      <c r="AX4304" s="2">
        <v>0</v>
      </c>
      <c r="AY4304" s="2">
        <v>0</v>
      </c>
      <c r="AZ4304" s="2">
        <v>0</v>
      </c>
      <c r="BA4304" s="2">
        <v>0</v>
      </c>
      <c r="BB4304" s="2">
        <v>0</v>
      </c>
      <c r="BC4304" s="2">
        <v>0</v>
      </c>
      <c r="BD4304" s="2">
        <v>0</v>
      </c>
      <c r="BE4304" s="2">
        <v>0</v>
      </c>
      <c r="BF4304" s="2">
        <v>0</v>
      </c>
      <c r="BG4304" s="2">
        <v>0</v>
      </c>
      <c r="BH4304" s="2">
        <v>1</v>
      </c>
      <c r="BI4304" s="2">
        <v>2</v>
      </c>
      <c r="BJ4304" s="2">
        <v>1.7</v>
      </c>
      <c r="BK4304" s="2">
        <v>2</v>
      </c>
      <c r="BL4304" s="2">
        <v>32.380000000000003</v>
      </c>
      <c r="BM4304" s="2">
        <v>4.53</v>
      </c>
      <c r="BN4304" s="2">
        <v>36.909999999999997</v>
      </c>
      <c r="BO4304" s="2">
        <v>36.909999999999997</v>
      </c>
      <c r="BP4304" s="2"/>
      <c r="BQ4304" s="2" t="s">
        <v>83</v>
      </c>
      <c r="BR4304" s="2" t="s">
        <v>84</v>
      </c>
      <c r="BS4304" s="3">
        <v>42951</v>
      </c>
      <c r="BT4304" s="4">
        <v>0.3833333333333333</v>
      </c>
      <c r="BU4304" s="2" t="s">
        <v>3949</v>
      </c>
      <c r="BV4304" s="2" t="s">
        <v>95</v>
      </c>
      <c r="BW4304" s="2"/>
      <c r="BX4304" s="2"/>
      <c r="BY4304" s="2">
        <v>8405.26</v>
      </c>
      <c r="BZ4304" s="2" t="s">
        <v>27</v>
      </c>
      <c r="CA4304" s="2"/>
      <c r="CB4304" s="2"/>
      <c r="CC4304" s="2" t="s">
        <v>75</v>
      </c>
      <c r="CD4304" s="2">
        <v>1645</v>
      </c>
      <c r="CE4304" s="2" t="s">
        <v>89</v>
      </c>
      <c r="CF4304" s="5">
        <v>42951</v>
      </c>
      <c r="CG4304" s="2"/>
      <c r="CH4304" s="2"/>
      <c r="CI4304" s="2">
        <v>1</v>
      </c>
      <c r="CJ4304" s="2">
        <v>1</v>
      </c>
      <c r="CK4304" s="2">
        <v>22</v>
      </c>
      <c r="CL4304" s="2" t="s">
        <v>86</v>
      </c>
      <c r="CM4304" s="2"/>
    </row>
    <row r="4305" spans="1:91">
      <c r="A4305" s="2" t="s">
        <v>71</v>
      </c>
      <c r="B4305" s="2" t="s">
        <v>72</v>
      </c>
      <c r="C4305" s="2" t="s">
        <v>73</v>
      </c>
      <c r="D4305" s="2"/>
      <c r="E4305" s="2" t="str">
        <f>"FES1162566802"</f>
        <v>FES1162566802</v>
      </c>
      <c r="F4305" s="3">
        <v>42950</v>
      </c>
      <c r="G4305" s="2">
        <v>201802</v>
      </c>
      <c r="H4305" s="2" t="s">
        <v>74</v>
      </c>
      <c r="I4305" s="2" t="s">
        <v>75</v>
      </c>
      <c r="J4305" s="2" t="s">
        <v>76</v>
      </c>
      <c r="K4305" s="2" t="s">
        <v>77</v>
      </c>
      <c r="L4305" s="2" t="s">
        <v>237</v>
      </c>
      <c r="M4305" s="2" t="s">
        <v>238</v>
      </c>
      <c r="N4305" s="2" t="s">
        <v>2002</v>
      </c>
      <c r="O4305" s="2" t="s">
        <v>100</v>
      </c>
      <c r="P4305" s="2" t="str">
        <f>"217058804                     "</f>
        <v xml:space="preserve">217058804                     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6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0</v>
      </c>
      <c r="AU4305" s="2">
        <v>0</v>
      </c>
      <c r="AV4305" s="2">
        <v>0</v>
      </c>
      <c r="AW4305" s="2">
        <v>0</v>
      </c>
      <c r="AX4305" s="2">
        <v>0</v>
      </c>
      <c r="AY4305" s="2">
        <v>0</v>
      </c>
      <c r="AZ4305" s="2">
        <v>0</v>
      </c>
      <c r="BA4305" s="2">
        <v>0</v>
      </c>
      <c r="BB4305" s="2">
        <v>0</v>
      </c>
      <c r="BC4305" s="2">
        <v>0</v>
      </c>
      <c r="BD4305" s="2">
        <v>0</v>
      </c>
      <c r="BE4305" s="2">
        <v>0</v>
      </c>
      <c r="BF4305" s="2">
        <v>0</v>
      </c>
      <c r="BG4305" s="2">
        <v>0</v>
      </c>
      <c r="BH4305" s="2">
        <v>1</v>
      </c>
      <c r="BI4305" s="2">
        <v>2</v>
      </c>
      <c r="BJ4305" s="2">
        <v>2.9</v>
      </c>
      <c r="BK4305" s="2">
        <v>3</v>
      </c>
      <c r="BL4305" s="2">
        <v>62.16</v>
      </c>
      <c r="BM4305" s="2">
        <v>8.6999999999999993</v>
      </c>
      <c r="BN4305" s="2">
        <v>70.86</v>
      </c>
      <c r="BO4305" s="2">
        <v>70.86</v>
      </c>
      <c r="BP4305" s="2"/>
      <c r="BQ4305" s="2" t="s">
        <v>365</v>
      </c>
      <c r="BR4305" s="2" t="s">
        <v>84</v>
      </c>
      <c r="BS4305" s="3">
        <v>42951</v>
      </c>
      <c r="BT4305" s="4">
        <v>0.3972222222222222</v>
      </c>
      <c r="BU4305" s="2" t="s">
        <v>3950</v>
      </c>
      <c r="BV4305" s="2" t="s">
        <v>95</v>
      </c>
      <c r="BW4305" s="2"/>
      <c r="BX4305" s="2"/>
      <c r="BY4305" s="2">
        <v>14399.51</v>
      </c>
      <c r="BZ4305" s="2" t="s">
        <v>27</v>
      </c>
      <c r="CA4305" s="2" t="s">
        <v>2155</v>
      </c>
      <c r="CB4305" s="2"/>
      <c r="CC4305" s="2" t="s">
        <v>238</v>
      </c>
      <c r="CD4305" s="2">
        <v>3610</v>
      </c>
      <c r="CE4305" s="2" t="s">
        <v>3951</v>
      </c>
      <c r="CF4305" s="5">
        <v>42954</v>
      </c>
      <c r="CG4305" s="2"/>
      <c r="CH4305" s="2"/>
      <c r="CI4305" s="2">
        <v>1</v>
      </c>
      <c r="CJ4305" s="2">
        <v>1</v>
      </c>
      <c r="CK4305" s="2">
        <v>21</v>
      </c>
      <c r="CL4305" s="2" t="s">
        <v>86</v>
      </c>
      <c r="CM4305" s="2"/>
    </row>
    <row r="4306" spans="1:91">
      <c r="A4306" s="2" t="s">
        <v>71</v>
      </c>
      <c r="B4306" s="2" t="s">
        <v>72</v>
      </c>
      <c r="C4306" s="2" t="s">
        <v>73</v>
      </c>
      <c r="D4306" s="2"/>
      <c r="E4306" s="2" t="str">
        <f>"FES1162566637"</f>
        <v>FES1162566637</v>
      </c>
      <c r="F4306" s="3">
        <v>42950</v>
      </c>
      <c r="G4306" s="2">
        <v>201802</v>
      </c>
      <c r="H4306" s="2" t="s">
        <v>74</v>
      </c>
      <c r="I4306" s="2" t="s">
        <v>75</v>
      </c>
      <c r="J4306" s="2" t="s">
        <v>76</v>
      </c>
      <c r="K4306" s="2" t="s">
        <v>77</v>
      </c>
      <c r="L4306" s="2" t="s">
        <v>144</v>
      </c>
      <c r="M4306" s="2" t="s">
        <v>145</v>
      </c>
      <c r="N4306" s="2" t="s">
        <v>146</v>
      </c>
      <c r="O4306" s="2" t="s">
        <v>100</v>
      </c>
      <c r="P4306" s="2" t="str">
        <f>"2170582970                    "</f>
        <v xml:space="preserve">2170582970                    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3.13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0</v>
      </c>
      <c r="AU4306" s="2">
        <v>0</v>
      </c>
      <c r="AV4306" s="2">
        <v>0</v>
      </c>
      <c r="AW4306" s="2">
        <v>0</v>
      </c>
      <c r="AX4306" s="2">
        <v>0</v>
      </c>
      <c r="AY4306" s="2">
        <v>0</v>
      </c>
      <c r="AZ4306" s="2">
        <v>0</v>
      </c>
      <c r="BA4306" s="2">
        <v>0</v>
      </c>
      <c r="BB4306" s="2">
        <v>0</v>
      </c>
      <c r="BC4306" s="2">
        <v>0</v>
      </c>
      <c r="BD4306" s="2">
        <v>0</v>
      </c>
      <c r="BE4306" s="2">
        <v>0</v>
      </c>
      <c r="BF4306" s="2">
        <v>0</v>
      </c>
      <c r="BG4306" s="2">
        <v>0</v>
      </c>
      <c r="BH4306" s="2">
        <v>1</v>
      </c>
      <c r="BI4306" s="2">
        <v>1</v>
      </c>
      <c r="BJ4306" s="2">
        <v>0.2</v>
      </c>
      <c r="BK4306" s="2">
        <v>1</v>
      </c>
      <c r="BL4306" s="2">
        <v>32.380000000000003</v>
      </c>
      <c r="BM4306" s="2">
        <v>4.53</v>
      </c>
      <c r="BN4306" s="2">
        <v>36.909999999999997</v>
      </c>
      <c r="BO4306" s="2">
        <v>36.909999999999997</v>
      </c>
      <c r="BP4306" s="2"/>
      <c r="BQ4306" s="2" t="s">
        <v>83</v>
      </c>
      <c r="BR4306" s="2" t="s">
        <v>84</v>
      </c>
      <c r="BS4306" s="3">
        <v>42951</v>
      </c>
      <c r="BT4306" s="4">
        <v>0.39930555555555558</v>
      </c>
      <c r="BU4306" s="2" t="s">
        <v>1176</v>
      </c>
      <c r="BV4306" s="2" t="s">
        <v>95</v>
      </c>
      <c r="BW4306" s="2"/>
      <c r="BX4306" s="2"/>
      <c r="BY4306" s="2">
        <v>1200</v>
      </c>
      <c r="BZ4306" s="2" t="s">
        <v>27</v>
      </c>
      <c r="CA4306" s="2" t="s">
        <v>729</v>
      </c>
      <c r="CB4306" s="2"/>
      <c r="CC4306" s="2" t="s">
        <v>145</v>
      </c>
      <c r="CD4306" s="2">
        <v>2094</v>
      </c>
      <c r="CE4306" s="2" t="s">
        <v>104</v>
      </c>
      <c r="CF4306" s="5">
        <v>42954</v>
      </c>
      <c r="CG4306" s="2"/>
      <c r="CH4306" s="2"/>
      <c r="CI4306" s="2">
        <v>1</v>
      </c>
      <c r="CJ4306" s="2">
        <v>1</v>
      </c>
      <c r="CK4306" s="2">
        <v>22</v>
      </c>
      <c r="CL4306" s="2" t="s">
        <v>86</v>
      </c>
      <c r="CM4306" s="2"/>
    </row>
    <row r="4307" spans="1:91">
      <c r="A4307" s="2" t="s">
        <v>71</v>
      </c>
      <c r="B4307" s="2" t="s">
        <v>72</v>
      </c>
      <c r="C4307" s="2" t="s">
        <v>73</v>
      </c>
      <c r="D4307" s="2"/>
      <c r="E4307" s="2" t="str">
        <f>"FES1162566805"</f>
        <v>FES1162566805</v>
      </c>
      <c r="F4307" s="3">
        <v>42950</v>
      </c>
      <c r="G4307" s="2">
        <v>201802</v>
      </c>
      <c r="H4307" s="2" t="s">
        <v>74</v>
      </c>
      <c r="I4307" s="2" t="s">
        <v>75</v>
      </c>
      <c r="J4307" s="2" t="s">
        <v>76</v>
      </c>
      <c r="K4307" s="2" t="s">
        <v>77</v>
      </c>
      <c r="L4307" s="2" t="s">
        <v>362</v>
      </c>
      <c r="M4307" s="2" t="s">
        <v>363</v>
      </c>
      <c r="N4307" s="2" t="s">
        <v>683</v>
      </c>
      <c r="O4307" s="2" t="s">
        <v>100</v>
      </c>
      <c r="P4307" s="2" t="str">
        <f>"2170579085                    "</f>
        <v xml:space="preserve">2170579085                    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6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0</v>
      </c>
      <c r="AU4307" s="2">
        <v>0</v>
      </c>
      <c r="AV4307" s="2">
        <v>0</v>
      </c>
      <c r="AW4307" s="2">
        <v>0</v>
      </c>
      <c r="AX4307" s="2">
        <v>0</v>
      </c>
      <c r="AY4307" s="2">
        <v>0</v>
      </c>
      <c r="AZ4307" s="2">
        <v>0</v>
      </c>
      <c r="BA4307" s="2">
        <v>0</v>
      </c>
      <c r="BB4307" s="2">
        <v>0</v>
      </c>
      <c r="BC4307" s="2">
        <v>0</v>
      </c>
      <c r="BD4307" s="2">
        <v>0</v>
      </c>
      <c r="BE4307" s="2">
        <v>0</v>
      </c>
      <c r="BF4307" s="2">
        <v>0</v>
      </c>
      <c r="BG4307" s="2">
        <v>0</v>
      </c>
      <c r="BH4307" s="2">
        <v>1</v>
      </c>
      <c r="BI4307" s="2">
        <v>2</v>
      </c>
      <c r="BJ4307" s="2">
        <v>2.9</v>
      </c>
      <c r="BK4307" s="2">
        <v>3</v>
      </c>
      <c r="BL4307" s="2">
        <v>62.16</v>
      </c>
      <c r="BM4307" s="2">
        <v>8.6999999999999993</v>
      </c>
      <c r="BN4307" s="2">
        <v>70.86</v>
      </c>
      <c r="BO4307" s="2">
        <v>70.86</v>
      </c>
      <c r="BP4307" s="2"/>
      <c r="BQ4307" s="2" t="s">
        <v>108</v>
      </c>
      <c r="BR4307" s="2" t="s">
        <v>84</v>
      </c>
      <c r="BS4307" s="3">
        <v>42951</v>
      </c>
      <c r="BT4307" s="4">
        <v>0.41666666666666669</v>
      </c>
      <c r="BU4307" s="2" t="s">
        <v>805</v>
      </c>
      <c r="BV4307" s="2" t="s">
        <v>95</v>
      </c>
      <c r="BW4307" s="2"/>
      <c r="BX4307" s="2"/>
      <c r="BY4307" s="2">
        <v>14410.84</v>
      </c>
      <c r="BZ4307" s="2" t="s">
        <v>27</v>
      </c>
      <c r="CA4307" s="2" t="s">
        <v>367</v>
      </c>
      <c r="CB4307" s="2"/>
      <c r="CC4307" s="2" t="s">
        <v>363</v>
      </c>
      <c r="CD4307" s="2">
        <v>3201</v>
      </c>
      <c r="CE4307" s="2" t="s">
        <v>1623</v>
      </c>
      <c r="CF4307" s="5">
        <v>42954</v>
      </c>
      <c r="CG4307" s="2"/>
      <c r="CH4307" s="2"/>
      <c r="CI4307" s="2">
        <v>1</v>
      </c>
      <c r="CJ4307" s="2">
        <v>1</v>
      </c>
      <c r="CK4307" s="2">
        <v>21</v>
      </c>
      <c r="CL4307" s="2" t="s">
        <v>86</v>
      </c>
      <c r="CM4307" s="2"/>
    </row>
    <row r="4308" spans="1:91">
      <c r="A4308" s="2" t="s">
        <v>71</v>
      </c>
      <c r="B4308" s="2" t="s">
        <v>72</v>
      </c>
      <c r="C4308" s="2" t="s">
        <v>73</v>
      </c>
      <c r="D4308" s="2"/>
      <c r="E4308" s="2" t="str">
        <f>"FES1162566902"</f>
        <v>FES1162566902</v>
      </c>
      <c r="F4308" s="3">
        <v>42950</v>
      </c>
      <c r="G4308" s="2">
        <v>201802</v>
      </c>
      <c r="H4308" s="2" t="s">
        <v>74</v>
      </c>
      <c r="I4308" s="2" t="s">
        <v>75</v>
      </c>
      <c r="J4308" s="2" t="s">
        <v>76</v>
      </c>
      <c r="K4308" s="2" t="s">
        <v>77</v>
      </c>
      <c r="L4308" s="2" t="s">
        <v>128</v>
      </c>
      <c r="M4308" s="2" t="s">
        <v>129</v>
      </c>
      <c r="N4308" s="2" t="s">
        <v>3952</v>
      </c>
      <c r="O4308" s="2" t="s">
        <v>100</v>
      </c>
      <c r="P4308" s="2" t="str">
        <f>"2170583145                    "</f>
        <v xml:space="preserve">2170583145                    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3.13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0</v>
      </c>
      <c r="AU4308" s="2">
        <v>0</v>
      </c>
      <c r="AV4308" s="2">
        <v>0</v>
      </c>
      <c r="AW4308" s="2">
        <v>0</v>
      </c>
      <c r="AX4308" s="2">
        <v>0</v>
      </c>
      <c r="AY4308" s="2">
        <v>0</v>
      </c>
      <c r="AZ4308" s="2">
        <v>0</v>
      </c>
      <c r="BA4308" s="2">
        <v>0</v>
      </c>
      <c r="BB4308" s="2">
        <v>0</v>
      </c>
      <c r="BC4308" s="2">
        <v>0</v>
      </c>
      <c r="BD4308" s="2">
        <v>0</v>
      </c>
      <c r="BE4308" s="2">
        <v>0</v>
      </c>
      <c r="BF4308" s="2">
        <v>0</v>
      </c>
      <c r="BG4308" s="2">
        <v>0</v>
      </c>
      <c r="BH4308" s="2">
        <v>1</v>
      </c>
      <c r="BI4308" s="2">
        <v>1</v>
      </c>
      <c r="BJ4308" s="2">
        <v>0.2</v>
      </c>
      <c r="BK4308" s="2">
        <v>1</v>
      </c>
      <c r="BL4308" s="2">
        <v>32.380000000000003</v>
      </c>
      <c r="BM4308" s="2">
        <v>4.53</v>
      </c>
      <c r="BN4308" s="2">
        <v>36.909999999999997</v>
      </c>
      <c r="BO4308" s="2">
        <v>36.909999999999997</v>
      </c>
      <c r="BP4308" s="2"/>
      <c r="BQ4308" s="2" t="s">
        <v>3953</v>
      </c>
      <c r="BR4308" s="2" t="s">
        <v>84</v>
      </c>
      <c r="BS4308" s="3">
        <v>42951</v>
      </c>
      <c r="BT4308" s="4">
        <v>0.30694444444444441</v>
      </c>
      <c r="BU4308" s="2" t="s">
        <v>3954</v>
      </c>
      <c r="BV4308" s="2" t="s">
        <v>95</v>
      </c>
      <c r="BW4308" s="2"/>
      <c r="BX4308" s="2"/>
      <c r="BY4308" s="2">
        <v>1200</v>
      </c>
      <c r="BZ4308" s="2" t="s">
        <v>27</v>
      </c>
      <c r="CA4308" s="2" t="s">
        <v>3955</v>
      </c>
      <c r="CB4308" s="2"/>
      <c r="CC4308" s="2" t="s">
        <v>129</v>
      </c>
      <c r="CD4308" s="2">
        <v>1709</v>
      </c>
      <c r="CE4308" s="2" t="s">
        <v>104</v>
      </c>
      <c r="CF4308" s="5">
        <v>42954</v>
      </c>
      <c r="CG4308" s="2"/>
      <c r="CH4308" s="2"/>
      <c r="CI4308" s="2">
        <v>1</v>
      </c>
      <c r="CJ4308" s="2">
        <v>1</v>
      </c>
      <c r="CK4308" s="2">
        <v>22</v>
      </c>
      <c r="CL4308" s="2" t="s">
        <v>86</v>
      </c>
      <c r="CM4308" s="2"/>
    </row>
    <row r="4309" spans="1:91">
      <c r="A4309" s="2" t="s">
        <v>71</v>
      </c>
      <c r="B4309" s="2" t="s">
        <v>72</v>
      </c>
      <c r="C4309" s="2" t="s">
        <v>73</v>
      </c>
      <c r="D4309" s="2"/>
      <c r="E4309" s="2" t="str">
        <f>"FES1162566696"</f>
        <v>FES1162566696</v>
      </c>
      <c r="F4309" s="3">
        <v>42950</v>
      </c>
      <c r="G4309" s="2">
        <v>201802</v>
      </c>
      <c r="H4309" s="2" t="s">
        <v>74</v>
      </c>
      <c r="I4309" s="2" t="s">
        <v>75</v>
      </c>
      <c r="J4309" s="2" t="s">
        <v>76</v>
      </c>
      <c r="K4309" s="2" t="s">
        <v>77</v>
      </c>
      <c r="L4309" s="2" t="s">
        <v>604</v>
      </c>
      <c r="M4309" s="2" t="s">
        <v>605</v>
      </c>
      <c r="N4309" s="2" t="s">
        <v>3796</v>
      </c>
      <c r="O4309" s="2" t="s">
        <v>100</v>
      </c>
      <c r="P4309" s="2" t="str">
        <f>"2170579003                    "</f>
        <v xml:space="preserve">2170579003                    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4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0</v>
      </c>
      <c r="AU4309" s="2">
        <v>0</v>
      </c>
      <c r="AV4309" s="2">
        <v>0</v>
      </c>
      <c r="AW4309" s="2">
        <v>0</v>
      </c>
      <c r="AX4309" s="2">
        <v>0</v>
      </c>
      <c r="AY4309" s="2">
        <v>0</v>
      </c>
      <c r="AZ4309" s="2">
        <v>0</v>
      </c>
      <c r="BA4309" s="2">
        <v>0</v>
      </c>
      <c r="BB4309" s="2">
        <v>0</v>
      </c>
      <c r="BC4309" s="2">
        <v>0</v>
      </c>
      <c r="BD4309" s="2">
        <v>0</v>
      </c>
      <c r="BE4309" s="2">
        <v>0</v>
      </c>
      <c r="BF4309" s="2">
        <v>0</v>
      </c>
      <c r="BG4309" s="2">
        <v>0</v>
      </c>
      <c r="BH4309" s="2">
        <v>1</v>
      </c>
      <c r="BI4309" s="2">
        <v>1</v>
      </c>
      <c r="BJ4309" s="2">
        <v>0.2</v>
      </c>
      <c r="BK4309" s="2">
        <v>1</v>
      </c>
      <c r="BL4309" s="2">
        <v>41.44</v>
      </c>
      <c r="BM4309" s="2">
        <v>5.8</v>
      </c>
      <c r="BN4309" s="2">
        <v>47.24</v>
      </c>
      <c r="BO4309" s="2">
        <v>47.24</v>
      </c>
      <c r="BP4309" s="2"/>
      <c r="BQ4309" s="2"/>
      <c r="BR4309" s="2" t="s">
        <v>84</v>
      </c>
      <c r="BS4309" s="3">
        <v>42951</v>
      </c>
      <c r="BT4309" s="4">
        <v>0.40625</v>
      </c>
      <c r="BU4309" s="2" t="s">
        <v>3212</v>
      </c>
      <c r="BV4309" s="2" t="s">
        <v>95</v>
      </c>
      <c r="BW4309" s="2"/>
      <c r="BX4309" s="2"/>
      <c r="BY4309" s="2">
        <v>1200</v>
      </c>
      <c r="BZ4309" s="2" t="s">
        <v>27</v>
      </c>
      <c r="CA4309" s="2" t="s">
        <v>607</v>
      </c>
      <c r="CB4309" s="2"/>
      <c r="CC4309" s="2" t="s">
        <v>605</v>
      </c>
      <c r="CD4309" s="2">
        <v>4126</v>
      </c>
      <c r="CE4309" s="2" t="s">
        <v>3630</v>
      </c>
      <c r="CF4309" s="5">
        <v>42951</v>
      </c>
      <c r="CG4309" s="2"/>
      <c r="CH4309" s="2"/>
      <c r="CI4309" s="2">
        <v>1</v>
      </c>
      <c r="CJ4309" s="2">
        <v>1</v>
      </c>
      <c r="CK4309" s="2">
        <v>21</v>
      </c>
      <c r="CL4309" s="2" t="s">
        <v>86</v>
      </c>
      <c r="CM4309" s="2"/>
    </row>
    <row r="4310" spans="1:91">
      <c r="A4310" s="2" t="s">
        <v>71</v>
      </c>
      <c r="B4310" s="2" t="s">
        <v>72</v>
      </c>
      <c r="C4310" s="2" t="s">
        <v>73</v>
      </c>
      <c r="D4310" s="2"/>
      <c r="E4310" s="2" t="str">
        <f>"FES1162566765"</f>
        <v>FES1162566765</v>
      </c>
      <c r="F4310" s="3">
        <v>42950</v>
      </c>
      <c r="G4310" s="2">
        <v>201802</v>
      </c>
      <c r="H4310" s="2" t="s">
        <v>74</v>
      </c>
      <c r="I4310" s="2" t="s">
        <v>75</v>
      </c>
      <c r="J4310" s="2" t="s">
        <v>76</v>
      </c>
      <c r="K4310" s="2" t="s">
        <v>77</v>
      </c>
      <c r="L4310" s="2" t="s">
        <v>723</v>
      </c>
      <c r="M4310" s="2" t="s">
        <v>724</v>
      </c>
      <c r="N4310" s="2" t="s">
        <v>351</v>
      </c>
      <c r="O4310" s="2" t="s">
        <v>100</v>
      </c>
      <c r="P4310" s="2" t="str">
        <f>"2170580697                    "</f>
        <v xml:space="preserve">2170580697                    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5.63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0</v>
      </c>
      <c r="AU4310" s="2">
        <v>0</v>
      </c>
      <c r="AV4310" s="2">
        <v>0</v>
      </c>
      <c r="AW4310" s="2">
        <v>0</v>
      </c>
      <c r="AX4310" s="2">
        <v>0</v>
      </c>
      <c r="AY4310" s="2">
        <v>0</v>
      </c>
      <c r="AZ4310" s="2">
        <v>0</v>
      </c>
      <c r="BA4310" s="2">
        <v>0</v>
      </c>
      <c r="BB4310" s="2">
        <v>0</v>
      </c>
      <c r="BC4310" s="2">
        <v>0</v>
      </c>
      <c r="BD4310" s="2">
        <v>0</v>
      </c>
      <c r="BE4310" s="2">
        <v>0</v>
      </c>
      <c r="BF4310" s="2">
        <v>0</v>
      </c>
      <c r="BG4310" s="2">
        <v>0</v>
      </c>
      <c r="BH4310" s="2">
        <v>1</v>
      </c>
      <c r="BI4310" s="2">
        <v>0.5</v>
      </c>
      <c r="BJ4310" s="2">
        <v>0.2</v>
      </c>
      <c r="BK4310" s="2">
        <v>0.5</v>
      </c>
      <c r="BL4310" s="2">
        <v>58.28</v>
      </c>
      <c r="BM4310" s="2">
        <v>8.16</v>
      </c>
      <c r="BN4310" s="2">
        <v>66.44</v>
      </c>
      <c r="BO4310" s="2">
        <v>66.44</v>
      </c>
      <c r="BP4310" s="2"/>
      <c r="BQ4310" s="2"/>
      <c r="BR4310" s="2" t="s">
        <v>84</v>
      </c>
      <c r="BS4310" s="3">
        <v>42951</v>
      </c>
      <c r="BT4310" s="4">
        <v>0.29166666666666669</v>
      </c>
      <c r="BU4310" s="2" t="s">
        <v>3956</v>
      </c>
      <c r="BV4310" s="2" t="s">
        <v>95</v>
      </c>
      <c r="BW4310" s="2"/>
      <c r="BX4310" s="2"/>
      <c r="BY4310" s="2">
        <v>1200</v>
      </c>
      <c r="BZ4310" s="2" t="s">
        <v>27</v>
      </c>
      <c r="CA4310" s="2" t="s">
        <v>727</v>
      </c>
      <c r="CB4310" s="2"/>
      <c r="CC4310" s="2" t="s">
        <v>724</v>
      </c>
      <c r="CD4310" s="2">
        <v>1754</v>
      </c>
      <c r="CE4310" s="2" t="s">
        <v>104</v>
      </c>
      <c r="CF4310" s="5">
        <v>42954</v>
      </c>
      <c r="CG4310" s="2"/>
      <c r="CH4310" s="2"/>
      <c r="CI4310" s="2">
        <v>1</v>
      </c>
      <c r="CJ4310" s="2">
        <v>1</v>
      </c>
      <c r="CK4310" s="2">
        <v>24</v>
      </c>
      <c r="CL4310" s="2" t="s">
        <v>86</v>
      </c>
      <c r="CM4310" s="2"/>
    </row>
    <row r="4311" spans="1:91">
      <c r="A4311" s="2" t="s">
        <v>71</v>
      </c>
      <c r="B4311" s="2" t="s">
        <v>72</v>
      </c>
      <c r="C4311" s="2" t="s">
        <v>73</v>
      </c>
      <c r="D4311" s="2"/>
      <c r="E4311" s="2" t="str">
        <f>"FES1162566649"</f>
        <v>FES1162566649</v>
      </c>
      <c r="F4311" s="3">
        <v>42950</v>
      </c>
      <c r="G4311" s="2">
        <v>201802</v>
      </c>
      <c r="H4311" s="2" t="s">
        <v>74</v>
      </c>
      <c r="I4311" s="2" t="s">
        <v>75</v>
      </c>
      <c r="J4311" s="2" t="s">
        <v>76</v>
      </c>
      <c r="K4311" s="2" t="s">
        <v>77</v>
      </c>
      <c r="L4311" s="2" t="s">
        <v>231</v>
      </c>
      <c r="M4311" s="2" t="s">
        <v>232</v>
      </c>
      <c r="N4311" s="2" t="s">
        <v>233</v>
      </c>
      <c r="O4311" s="2" t="s">
        <v>100</v>
      </c>
      <c r="P4311" s="2" t="str">
        <f>"2170577532                    "</f>
        <v xml:space="preserve">2170577532                    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4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0</v>
      </c>
      <c r="AU4311" s="2">
        <v>0</v>
      </c>
      <c r="AV4311" s="2">
        <v>0</v>
      </c>
      <c r="AW4311" s="2">
        <v>0</v>
      </c>
      <c r="AX4311" s="2">
        <v>0</v>
      </c>
      <c r="AY4311" s="2">
        <v>0</v>
      </c>
      <c r="AZ4311" s="2">
        <v>0</v>
      </c>
      <c r="BA4311" s="2">
        <v>0</v>
      </c>
      <c r="BB4311" s="2">
        <v>0</v>
      </c>
      <c r="BC4311" s="2">
        <v>0</v>
      </c>
      <c r="BD4311" s="2">
        <v>0</v>
      </c>
      <c r="BE4311" s="2">
        <v>0</v>
      </c>
      <c r="BF4311" s="2">
        <v>0</v>
      </c>
      <c r="BG4311" s="2">
        <v>0</v>
      </c>
      <c r="BH4311" s="2">
        <v>1</v>
      </c>
      <c r="BI4311" s="2">
        <v>1</v>
      </c>
      <c r="BJ4311" s="2">
        <v>0.2</v>
      </c>
      <c r="BK4311" s="2">
        <v>1</v>
      </c>
      <c r="BL4311" s="2">
        <v>41.44</v>
      </c>
      <c r="BM4311" s="2">
        <v>5.8</v>
      </c>
      <c r="BN4311" s="2">
        <v>47.24</v>
      </c>
      <c r="BO4311" s="2">
        <v>47.24</v>
      </c>
      <c r="BP4311" s="2"/>
      <c r="BQ4311" s="2" t="s">
        <v>83</v>
      </c>
      <c r="BR4311" s="2" t="s">
        <v>84</v>
      </c>
      <c r="BS4311" s="3">
        <v>42951</v>
      </c>
      <c r="BT4311" s="4">
        <v>0.35069444444444442</v>
      </c>
      <c r="BU4311" s="2" t="s">
        <v>3030</v>
      </c>
      <c r="BV4311" s="2" t="s">
        <v>95</v>
      </c>
      <c r="BW4311" s="2"/>
      <c r="BX4311" s="2"/>
      <c r="BY4311" s="2">
        <v>1200</v>
      </c>
      <c r="BZ4311" s="2" t="s">
        <v>27</v>
      </c>
      <c r="CA4311" s="2" t="s">
        <v>235</v>
      </c>
      <c r="CB4311" s="2"/>
      <c r="CC4311" s="2" t="s">
        <v>232</v>
      </c>
      <c r="CD4311" s="2">
        <v>4026</v>
      </c>
      <c r="CE4311" s="2" t="s">
        <v>3630</v>
      </c>
      <c r="CF4311" s="5">
        <v>42954</v>
      </c>
      <c r="CG4311" s="2"/>
      <c r="CH4311" s="2"/>
      <c r="CI4311" s="2">
        <v>1</v>
      </c>
      <c r="CJ4311" s="2">
        <v>1</v>
      </c>
      <c r="CK4311" s="2">
        <v>21</v>
      </c>
      <c r="CL4311" s="2" t="s">
        <v>86</v>
      </c>
      <c r="CM4311" s="2"/>
    </row>
    <row r="4312" spans="1:91">
      <c r="A4312" s="2" t="s">
        <v>71</v>
      </c>
      <c r="B4312" s="2" t="s">
        <v>72</v>
      </c>
      <c r="C4312" s="2" t="s">
        <v>73</v>
      </c>
      <c r="D4312" s="2"/>
      <c r="E4312" s="2" t="str">
        <f>"FES1162566812"</f>
        <v>FES1162566812</v>
      </c>
      <c r="F4312" s="3">
        <v>42950</v>
      </c>
      <c r="G4312" s="2">
        <v>201802</v>
      </c>
      <c r="H4312" s="2" t="s">
        <v>74</v>
      </c>
      <c r="I4312" s="2" t="s">
        <v>75</v>
      </c>
      <c r="J4312" s="2" t="s">
        <v>76</v>
      </c>
      <c r="K4312" s="2" t="s">
        <v>77</v>
      </c>
      <c r="L4312" s="2" t="s">
        <v>144</v>
      </c>
      <c r="M4312" s="2" t="s">
        <v>145</v>
      </c>
      <c r="N4312" s="2" t="s">
        <v>146</v>
      </c>
      <c r="O4312" s="2" t="s">
        <v>100</v>
      </c>
      <c r="P4312" s="2" t="str">
        <f>"2170583046                    "</f>
        <v xml:space="preserve">2170583046                    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3.13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0</v>
      </c>
      <c r="AU4312" s="2">
        <v>0</v>
      </c>
      <c r="AV4312" s="2">
        <v>0</v>
      </c>
      <c r="AW4312" s="2">
        <v>0</v>
      </c>
      <c r="AX4312" s="2">
        <v>0</v>
      </c>
      <c r="AY4312" s="2">
        <v>0</v>
      </c>
      <c r="AZ4312" s="2">
        <v>0</v>
      </c>
      <c r="BA4312" s="2">
        <v>0</v>
      </c>
      <c r="BB4312" s="2">
        <v>0</v>
      </c>
      <c r="BC4312" s="2">
        <v>0</v>
      </c>
      <c r="BD4312" s="2">
        <v>0</v>
      </c>
      <c r="BE4312" s="2">
        <v>0</v>
      </c>
      <c r="BF4312" s="2">
        <v>0</v>
      </c>
      <c r="BG4312" s="2">
        <v>0</v>
      </c>
      <c r="BH4312" s="2">
        <v>1</v>
      </c>
      <c r="BI4312" s="2">
        <v>2.7</v>
      </c>
      <c r="BJ4312" s="2">
        <v>4.3</v>
      </c>
      <c r="BK4312" s="2">
        <v>5</v>
      </c>
      <c r="BL4312" s="2">
        <v>32.380000000000003</v>
      </c>
      <c r="BM4312" s="2">
        <v>4.53</v>
      </c>
      <c r="BN4312" s="2">
        <v>36.909999999999997</v>
      </c>
      <c r="BO4312" s="2">
        <v>36.909999999999997</v>
      </c>
      <c r="BP4312" s="2"/>
      <c r="BQ4312" s="2" t="s">
        <v>83</v>
      </c>
      <c r="BR4312" s="2" t="s">
        <v>84</v>
      </c>
      <c r="BS4312" s="3">
        <v>42951</v>
      </c>
      <c r="BT4312" s="4">
        <v>0.38541666666666669</v>
      </c>
      <c r="BU4312" s="2" t="s">
        <v>469</v>
      </c>
      <c r="BV4312" s="2" t="s">
        <v>95</v>
      </c>
      <c r="BW4312" s="2"/>
      <c r="BX4312" s="2"/>
      <c r="BY4312" s="2">
        <v>21707.29</v>
      </c>
      <c r="BZ4312" s="2" t="s">
        <v>27</v>
      </c>
      <c r="CA4312" s="2"/>
      <c r="CB4312" s="2"/>
      <c r="CC4312" s="2" t="s">
        <v>145</v>
      </c>
      <c r="CD4312" s="2">
        <v>2094</v>
      </c>
      <c r="CE4312" s="2" t="s">
        <v>104</v>
      </c>
      <c r="CF4312" s="5">
        <v>42954</v>
      </c>
      <c r="CG4312" s="2"/>
      <c r="CH4312" s="2"/>
      <c r="CI4312" s="2">
        <v>1</v>
      </c>
      <c r="CJ4312" s="2">
        <v>1</v>
      </c>
      <c r="CK4312" s="2">
        <v>22</v>
      </c>
      <c r="CL4312" s="2" t="s">
        <v>86</v>
      </c>
      <c r="CM4312" s="2"/>
    </row>
    <row r="4313" spans="1:91">
      <c r="A4313" s="2" t="s">
        <v>71</v>
      </c>
      <c r="B4313" s="2" t="s">
        <v>72</v>
      </c>
      <c r="C4313" s="2" t="s">
        <v>73</v>
      </c>
      <c r="D4313" s="2"/>
      <c r="E4313" s="2" t="str">
        <f>"FES1162566803"</f>
        <v>FES1162566803</v>
      </c>
      <c r="F4313" s="3">
        <v>42950</v>
      </c>
      <c r="G4313" s="2">
        <v>201802</v>
      </c>
      <c r="H4313" s="2" t="s">
        <v>74</v>
      </c>
      <c r="I4313" s="2" t="s">
        <v>75</v>
      </c>
      <c r="J4313" s="2" t="s">
        <v>76</v>
      </c>
      <c r="K4313" s="2" t="s">
        <v>77</v>
      </c>
      <c r="L4313" s="2" t="s">
        <v>237</v>
      </c>
      <c r="M4313" s="2" t="s">
        <v>238</v>
      </c>
      <c r="N4313" s="2" t="s">
        <v>399</v>
      </c>
      <c r="O4313" s="2" t="s">
        <v>100</v>
      </c>
      <c r="P4313" s="2" t="str">
        <f>"2170578841                    "</f>
        <v xml:space="preserve">2170578841                    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17.010000000000002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0</v>
      </c>
      <c r="AU4313" s="2">
        <v>0</v>
      </c>
      <c r="AV4313" s="2">
        <v>0</v>
      </c>
      <c r="AW4313" s="2">
        <v>0</v>
      </c>
      <c r="AX4313" s="2">
        <v>0</v>
      </c>
      <c r="AY4313" s="2">
        <v>0</v>
      </c>
      <c r="AZ4313" s="2">
        <v>0</v>
      </c>
      <c r="BA4313" s="2">
        <v>0</v>
      </c>
      <c r="BB4313" s="2">
        <v>0</v>
      </c>
      <c r="BC4313" s="2">
        <v>0</v>
      </c>
      <c r="BD4313" s="2">
        <v>0</v>
      </c>
      <c r="BE4313" s="2">
        <v>0</v>
      </c>
      <c r="BF4313" s="2">
        <v>0</v>
      </c>
      <c r="BG4313" s="2">
        <v>0</v>
      </c>
      <c r="BH4313" s="2">
        <v>1</v>
      </c>
      <c r="BI4313" s="2">
        <v>2.9</v>
      </c>
      <c r="BJ4313" s="2">
        <v>8.3000000000000007</v>
      </c>
      <c r="BK4313" s="2">
        <v>8.5</v>
      </c>
      <c r="BL4313" s="2">
        <v>176.13</v>
      </c>
      <c r="BM4313" s="2">
        <v>24.66</v>
      </c>
      <c r="BN4313" s="2">
        <v>200.79</v>
      </c>
      <c r="BO4313" s="2">
        <v>200.79</v>
      </c>
      <c r="BP4313" s="2"/>
      <c r="BQ4313" s="2" t="s">
        <v>365</v>
      </c>
      <c r="BR4313" s="2" t="s">
        <v>84</v>
      </c>
      <c r="BS4313" s="3">
        <v>42951</v>
      </c>
      <c r="BT4313" s="4">
        <v>0.42152777777777778</v>
      </c>
      <c r="BU4313" s="2" t="s">
        <v>3820</v>
      </c>
      <c r="BV4313" s="2" t="s">
        <v>95</v>
      </c>
      <c r="BW4313" s="2"/>
      <c r="BX4313" s="2"/>
      <c r="BY4313" s="2">
        <v>41664.959999999999</v>
      </c>
      <c r="BZ4313" s="2" t="s">
        <v>27</v>
      </c>
      <c r="CA4313" s="2" t="s">
        <v>401</v>
      </c>
      <c r="CB4313" s="2"/>
      <c r="CC4313" s="2" t="s">
        <v>238</v>
      </c>
      <c r="CD4313" s="2">
        <v>3610</v>
      </c>
      <c r="CE4313" s="2" t="s">
        <v>1623</v>
      </c>
      <c r="CF4313" s="5">
        <v>42953</v>
      </c>
      <c r="CG4313" s="2"/>
      <c r="CH4313" s="2"/>
      <c r="CI4313" s="2">
        <v>1</v>
      </c>
      <c r="CJ4313" s="2">
        <v>1</v>
      </c>
      <c r="CK4313" s="2">
        <v>21</v>
      </c>
      <c r="CL4313" s="2" t="s">
        <v>86</v>
      </c>
      <c r="CM4313" s="2"/>
    </row>
    <row r="4314" spans="1:91">
      <c r="A4314" s="2" t="s">
        <v>71</v>
      </c>
      <c r="B4314" s="2" t="s">
        <v>72</v>
      </c>
      <c r="C4314" s="2" t="s">
        <v>73</v>
      </c>
      <c r="D4314" s="2"/>
      <c r="E4314" s="2" t="str">
        <f>"FES1162566839"</f>
        <v>FES1162566839</v>
      </c>
      <c r="F4314" s="3">
        <v>42950</v>
      </c>
      <c r="G4314" s="2">
        <v>201802</v>
      </c>
      <c r="H4314" s="2" t="s">
        <v>74</v>
      </c>
      <c r="I4314" s="2" t="s">
        <v>75</v>
      </c>
      <c r="J4314" s="2" t="s">
        <v>76</v>
      </c>
      <c r="K4314" s="2" t="s">
        <v>77</v>
      </c>
      <c r="L4314" s="2" t="s">
        <v>144</v>
      </c>
      <c r="M4314" s="2" t="s">
        <v>145</v>
      </c>
      <c r="N4314" s="2" t="s">
        <v>146</v>
      </c>
      <c r="O4314" s="2" t="s">
        <v>100</v>
      </c>
      <c r="P4314" s="2" t="str">
        <f>"2170583078                    "</f>
        <v xml:space="preserve">2170583078                    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3.13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0</v>
      </c>
      <c r="AU4314" s="2">
        <v>0</v>
      </c>
      <c r="AV4314" s="2">
        <v>0</v>
      </c>
      <c r="AW4314" s="2">
        <v>0</v>
      </c>
      <c r="AX4314" s="2">
        <v>0</v>
      </c>
      <c r="AY4314" s="2">
        <v>0</v>
      </c>
      <c r="AZ4314" s="2">
        <v>0</v>
      </c>
      <c r="BA4314" s="2">
        <v>0</v>
      </c>
      <c r="BB4314" s="2">
        <v>0</v>
      </c>
      <c r="BC4314" s="2">
        <v>0</v>
      </c>
      <c r="BD4314" s="2">
        <v>0</v>
      </c>
      <c r="BE4314" s="2">
        <v>0</v>
      </c>
      <c r="BF4314" s="2">
        <v>0</v>
      </c>
      <c r="BG4314" s="2">
        <v>0</v>
      </c>
      <c r="BH4314" s="2">
        <v>1</v>
      </c>
      <c r="BI4314" s="2">
        <v>0.2</v>
      </c>
      <c r="BJ4314" s="2">
        <v>1.1000000000000001</v>
      </c>
      <c r="BK4314" s="2">
        <v>2</v>
      </c>
      <c r="BL4314" s="2">
        <v>32.380000000000003</v>
      </c>
      <c r="BM4314" s="2">
        <v>4.53</v>
      </c>
      <c r="BN4314" s="2">
        <v>36.909999999999997</v>
      </c>
      <c r="BO4314" s="2">
        <v>36.909999999999997</v>
      </c>
      <c r="BP4314" s="2"/>
      <c r="BQ4314" s="2" t="s">
        <v>83</v>
      </c>
      <c r="BR4314" s="2" t="s">
        <v>84</v>
      </c>
      <c r="BS4314" s="3">
        <v>42951</v>
      </c>
      <c r="BT4314" s="4">
        <v>0.38541666666666669</v>
      </c>
      <c r="BU4314" s="2" t="s">
        <v>469</v>
      </c>
      <c r="BV4314" s="2" t="s">
        <v>95</v>
      </c>
      <c r="BW4314" s="2"/>
      <c r="BX4314" s="2"/>
      <c r="BY4314" s="2">
        <v>5651.66</v>
      </c>
      <c r="BZ4314" s="2" t="s">
        <v>27</v>
      </c>
      <c r="CA4314" s="2"/>
      <c r="CB4314" s="2"/>
      <c r="CC4314" s="2" t="s">
        <v>145</v>
      </c>
      <c r="CD4314" s="2">
        <v>2094</v>
      </c>
      <c r="CE4314" s="2" t="s">
        <v>104</v>
      </c>
      <c r="CF4314" s="5">
        <v>42954</v>
      </c>
      <c r="CG4314" s="2"/>
      <c r="CH4314" s="2"/>
      <c r="CI4314" s="2">
        <v>1</v>
      </c>
      <c r="CJ4314" s="2">
        <v>1</v>
      </c>
      <c r="CK4314" s="2">
        <v>22</v>
      </c>
      <c r="CL4314" s="2" t="s">
        <v>86</v>
      </c>
      <c r="CM4314" s="2"/>
    </row>
    <row r="4315" spans="1:91">
      <c r="A4315" s="2" t="s">
        <v>71</v>
      </c>
      <c r="B4315" s="2" t="s">
        <v>72</v>
      </c>
      <c r="C4315" s="2" t="s">
        <v>73</v>
      </c>
      <c r="D4315" s="2"/>
      <c r="E4315" s="2" t="str">
        <f>"FES1162566746"</f>
        <v>FES1162566746</v>
      </c>
      <c r="F4315" s="3">
        <v>42950</v>
      </c>
      <c r="G4315" s="2">
        <v>201802</v>
      </c>
      <c r="H4315" s="2" t="s">
        <v>74</v>
      </c>
      <c r="I4315" s="2" t="s">
        <v>75</v>
      </c>
      <c r="J4315" s="2" t="s">
        <v>76</v>
      </c>
      <c r="K4315" s="2" t="s">
        <v>77</v>
      </c>
      <c r="L4315" s="2" t="s">
        <v>362</v>
      </c>
      <c r="M4315" s="2" t="s">
        <v>363</v>
      </c>
      <c r="N4315" s="2" t="s">
        <v>683</v>
      </c>
      <c r="O4315" s="2" t="s">
        <v>100</v>
      </c>
      <c r="P4315" s="2" t="str">
        <f>"2170577472                    "</f>
        <v xml:space="preserve">2170577472                    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5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0</v>
      </c>
      <c r="AU4315" s="2">
        <v>0</v>
      </c>
      <c r="AV4315" s="2">
        <v>0</v>
      </c>
      <c r="AW4315" s="2">
        <v>0</v>
      </c>
      <c r="AX4315" s="2">
        <v>0</v>
      </c>
      <c r="AY4315" s="2">
        <v>0</v>
      </c>
      <c r="AZ4315" s="2">
        <v>0</v>
      </c>
      <c r="BA4315" s="2">
        <v>0</v>
      </c>
      <c r="BB4315" s="2">
        <v>0</v>
      </c>
      <c r="BC4315" s="2">
        <v>0</v>
      </c>
      <c r="BD4315" s="2">
        <v>0</v>
      </c>
      <c r="BE4315" s="2">
        <v>0</v>
      </c>
      <c r="BF4315" s="2">
        <v>0</v>
      </c>
      <c r="BG4315" s="2">
        <v>0</v>
      </c>
      <c r="BH4315" s="2">
        <v>1</v>
      </c>
      <c r="BI4315" s="2">
        <v>2.4</v>
      </c>
      <c r="BJ4315" s="2">
        <v>1</v>
      </c>
      <c r="BK4315" s="2">
        <v>2.5</v>
      </c>
      <c r="BL4315" s="2">
        <v>51.8</v>
      </c>
      <c r="BM4315" s="2">
        <v>7.25</v>
      </c>
      <c r="BN4315" s="2">
        <v>59.05</v>
      </c>
      <c r="BO4315" s="2">
        <v>59.05</v>
      </c>
      <c r="BP4315" s="2"/>
      <c r="BQ4315" s="2" t="s">
        <v>108</v>
      </c>
      <c r="BR4315" s="2" t="s">
        <v>84</v>
      </c>
      <c r="BS4315" s="3">
        <v>42951</v>
      </c>
      <c r="BT4315" s="4">
        <v>0.4375</v>
      </c>
      <c r="BU4315" s="2" t="s">
        <v>684</v>
      </c>
      <c r="BV4315" s="2" t="s">
        <v>95</v>
      </c>
      <c r="BW4315" s="2"/>
      <c r="BX4315" s="2"/>
      <c r="BY4315" s="2">
        <v>4987.3900000000003</v>
      </c>
      <c r="BZ4315" s="2" t="s">
        <v>27</v>
      </c>
      <c r="CA4315" s="2" t="s">
        <v>148</v>
      </c>
      <c r="CB4315" s="2"/>
      <c r="CC4315" s="2" t="s">
        <v>363</v>
      </c>
      <c r="CD4315" s="2">
        <v>3201</v>
      </c>
      <c r="CE4315" s="2" t="s">
        <v>89</v>
      </c>
      <c r="CF4315" s="5">
        <v>42954</v>
      </c>
      <c r="CG4315" s="2"/>
      <c r="CH4315" s="2"/>
      <c r="CI4315" s="2">
        <v>1</v>
      </c>
      <c r="CJ4315" s="2">
        <v>1</v>
      </c>
      <c r="CK4315" s="2">
        <v>21</v>
      </c>
      <c r="CL4315" s="2" t="s">
        <v>86</v>
      </c>
      <c r="CM4315" s="2"/>
    </row>
    <row r="4316" spans="1:91">
      <c r="A4316" s="2" t="s">
        <v>71</v>
      </c>
      <c r="B4316" s="2" t="s">
        <v>72</v>
      </c>
      <c r="C4316" s="2" t="s">
        <v>73</v>
      </c>
      <c r="D4316" s="2"/>
      <c r="E4316" s="2" t="str">
        <f>"FES1162566602"</f>
        <v>FES1162566602</v>
      </c>
      <c r="F4316" s="3">
        <v>42950</v>
      </c>
      <c r="G4316" s="2">
        <v>201802</v>
      </c>
      <c r="H4316" s="2" t="s">
        <v>74</v>
      </c>
      <c r="I4316" s="2" t="s">
        <v>75</v>
      </c>
      <c r="J4316" s="2" t="s">
        <v>76</v>
      </c>
      <c r="K4316" s="2" t="s">
        <v>77</v>
      </c>
      <c r="L4316" s="2" t="s">
        <v>311</v>
      </c>
      <c r="M4316" s="2" t="s">
        <v>312</v>
      </c>
      <c r="N4316" s="2" t="s">
        <v>1759</v>
      </c>
      <c r="O4316" s="2" t="s">
        <v>100</v>
      </c>
      <c r="P4316" s="2" t="str">
        <f>"2170582948                    "</f>
        <v xml:space="preserve">2170582948                    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3.13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0</v>
      </c>
      <c r="AU4316" s="2">
        <v>0</v>
      </c>
      <c r="AV4316" s="2">
        <v>0</v>
      </c>
      <c r="AW4316" s="2">
        <v>0</v>
      </c>
      <c r="AX4316" s="2">
        <v>0</v>
      </c>
      <c r="AY4316" s="2">
        <v>0</v>
      </c>
      <c r="AZ4316" s="2">
        <v>0</v>
      </c>
      <c r="BA4316" s="2">
        <v>0</v>
      </c>
      <c r="BB4316" s="2">
        <v>0</v>
      </c>
      <c r="BC4316" s="2">
        <v>0</v>
      </c>
      <c r="BD4316" s="2">
        <v>0</v>
      </c>
      <c r="BE4316" s="2">
        <v>0</v>
      </c>
      <c r="BF4316" s="2">
        <v>0</v>
      </c>
      <c r="BG4316" s="2">
        <v>0</v>
      </c>
      <c r="BH4316" s="2">
        <v>1</v>
      </c>
      <c r="BI4316" s="2">
        <v>2</v>
      </c>
      <c r="BJ4316" s="2">
        <v>1.7</v>
      </c>
      <c r="BK4316" s="2">
        <v>2</v>
      </c>
      <c r="BL4316" s="2">
        <v>32.380000000000003</v>
      </c>
      <c r="BM4316" s="2">
        <v>4.53</v>
      </c>
      <c r="BN4316" s="2">
        <v>36.909999999999997</v>
      </c>
      <c r="BO4316" s="2">
        <v>36.909999999999997</v>
      </c>
      <c r="BP4316" s="2"/>
      <c r="BQ4316" s="2" t="s">
        <v>83</v>
      </c>
      <c r="BR4316" s="2" t="s">
        <v>84</v>
      </c>
      <c r="BS4316" s="3">
        <v>42951</v>
      </c>
      <c r="BT4316" s="4">
        <v>0.36805555555555558</v>
      </c>
      <c r="BU4316" s="2" t="s">
        <v>3957</v>
      </c>
      <c r="BV4316" s="2" t="s">
        <v>95</v>
      </c>
      <c r="BW4316" s="2"/>
      <c r="BX4316" s="2"/>
      <c r="BY4316" s="2">
        <v>8659.76</v>
      </c>
      <c r="BZ4316" s="2" t="s">
        <v>27</v>
      </c>
      <c r="CA4316" s="2"/>
      <c r="CB4316" s="2"/>
      <c r="CC4316" s="2" t="s">
        <v>312</v>
      </c>
      <c r="CD4316" s="2">
        <v>1559</v>
      </c>
      <c r="CE4316" s="2" t="s">
        <v>104</v>
      </c>
      <c r="CF4316" s="5">
        <v>42951</v>
      </c>
      <c r="CG4316" s="2"/>
      <c r="CH4316" s="2"/>
      <c r="CI4316" s="2">
        <v>1</v>
      </c>
      <c r="CJ4316" s="2">
        <v>1</v>
      </c>
      <c r="CK4316" s="2">
        <v>22</v>
      </c>
      <c r="CL4316" s="2" t="s">
        <v>86</v>
      </c>
      <c r="CM4316" s="2"/>
    </row>
    <row r="4317" spans="1:91">
      <c r="A4317" s="2" t="s">
        <v>71</v>
      </c>
      <c r="B4317" s="2" t="s">
        <v>72</v>
      </c>
      <c r="C4317" s="2" t="s">
        <v>73</v>
      </c>
      <c r="D4317" s="2"/>
      <c r="E4317" s="2" t="str">
        <f>"FES1162566758"</f>
        <v>FES1162566758</v>
      </c>
      <c r="F4317" s="3">
        <v>42950</v>
      </c>
      <c r="G4317" s="2">
        <v>201802</v>
      </c>
      <c r="H4317" s="2" t="s">
        <v>74</v>
      </c>
      <c r="I4317" s="2" t="s">
        <v>75</v>
      </c>
      <c r="J4317" s="2" t="s">
        <v>76</v>
      </c>
      <c r="K4317" s="2" t="s">
        <v>77</v>
      </c>
      <c r="L4317" s="2" t="s">
        <v>237</v>
      </c>
      <c r="M4317" s="2" t="s">
        <v>238</v>
      </c>
      <c r="N4317" s="2" t="s">
        <v>1766</v>
      </c>
      <c r="O4317" s="2" t="s">
        <v>100</v>
      </c>
      <c r="P4317" s="2" t="str">
        <f>"2170579799                    "</f>
        <v xml:space="preserve">2170579799                    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4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0</v>
      </c>
      <c r="AU4317" s="2">
        <v>0</v>
      </c>
      <c r="AV4317" s="2">
        <v>0</v>
      </c>
      <c r="AW4317" s="2">
        <v>0</v>
      </c>
      <c r="AX4317" s="2">
        <v>0</v>
      </c>
      <c r="AY4317" s="2">
        <v>0</v>
      </c>
      <c r="AZ4317" s="2">
        <v>0</v>
      </c>
      <c r="BA4317" s="2">
        <v>0</v>
      </c>
      <c r="BB4317" s="2">
        <v>0</v>
      </c>
      <c r="BC4317" s="2">
        <v>0</v>
      </c>
      <c r="BD4317" s="2">
        <v>0</v>
      </c>
      <c r="BE4317" s="2">
        <v>0</v>
      </c>
      <c r="BF4317" s="2">
        <v>0</v>
      </c>
      <c r="BG4317" s="2">
        <v>0</v>
      </c>
      <c r="BH4317" s="2">
        <v>1</v>
      </c>
      <c r="BI4317" s="2">
        <v>1.8</v>
      </c>
      <c r="BJ4317" s="2">
        <v>1.4</v>
      </c>
      <c r="BK4317" s="2">
        <v>2</v>
      </c>
      <c r="BL4317" s="2">
        <v>41.44</v>
      </c>
      <c r="BM4317" s="2">
        <v>5.8</v>
      </c>
      <c r="BN4317" s="2">
        <v>47.24</v>
      </c>
      <c r="BO4317" s="2">
        <v>47.24</v>
      </c>
      <c r="BP4317" s="2"/>
      <c r="BQ4317" s="2" t="s">
        <v>108</v>
      </c>
      <c r="BR4317" s="2" t="s">
        <v>84</v>
      </c>
      <c r="BS4317" s="3">
        <v>42951</v>
      </c>
      <c r="BT4317" s="4">
        <v>0.39861111111111108</v>
      </c>
      <c r="BU4317" s="2" t="s">
        <v>428</v>
      </c>
      <c r="BV4317" s="2" t="s">
        <v>95</v>
      </c>
      <c r="BW4317" s="2"/>
      <c r="BX4317" s="2"/>
      <c r="BY4317" s="2">
        <v>6917.66</v>
      </c>
      <c r="BZ4317" s="2" t="s">
        <v>27</v>
      </c>
      <c r="CA4317" s="2"/>
      <c r="CB4317" s="2"/>
      <c r="CC4317" s="2" t="s">
        <v>238</v>
      </c>
      <c r="CD4317" s="2">
        <v>3620</v>
      </c>
      <c r="CE4317" s="2" t="s">
        <v>89</v>
      </c>
      <c r="CF4317" s="5">
        <v>42953</v>
      </c>
      <c r="CG4317" s="2"/>
      <c r="CH4317" s="2"/>
      <c r="CI4317" s="2">
        <v>1</v>
      </c>
      <c r="CJ4317" s="2">
        <v>1</v>
      </c>
      <c r="CK4317" s="2">
        <v>21</v>
      </c>
      <c r="CL4317" s="2" t="s">
        <v>86</v>
      </c>
      <c r="CM4317" s="2"/>
    </row>
    <row r="4318" spans="1:91">
      <c r="A4318" s="2" t="s">
        <v>71</v>
      </c>
      <c r="B4318" s="2" t="s">
        <v>72</v>
      </c>
      <c r="C4318" s="2" t="s">
        <v>73</v>
      </c>
      <c r="D4318" s="2"/>
      <c r="E4318" s="2" t="str">
        <f>"FES1162566829"</f>
        <v>FES1162566829</v>
      </c>
      <c r="F4318" s="3">
        <v>42950</v>
      </c>
      <c r="G4318" s="2">
        <v>201802</v>
      </c>
      <c r="H4318" s="2" t="s">
        <v>74</v>
      </c>
      <c r="I4318" s="2" t="s">
        <v>75</v>
      </c>
      <c r="J4318" s="2" t="s">
        <v>76</v>
      </c>
      <c r="K4318" s="2" t="s">
        <v>77</v>
      </c>
      <c r="L4318" s="2" t="s">
        <v>311</v>
      </c>
      <c r="M4318" s="2" t="s">
        <v>312</v>
      </c>
      <c r="N4318" s="2" t="s">
        <v>1759</v>
      </c>
      <c r="O4318" s="2" t="s">
        <v>100</v>
      </c>
      <c r="P4318" s="2" t="str">
        <f>"2170583069                    "</f>
        <v xml:space="preserve">2170583069                    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3.13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0</v>
      </c>
      <c r="AU4318" s="2">
        <v>0</v>
      </c>
      <c r="AV4318" s="2">
        <v>0</v>
      </c>
      <c r="AW4318" s="2">
        <v>0</v>
      </c>
      <c r="AX4318" s="2">
        <v>0</v>
      </c>
      <c r="AY4318" s="2">
        <v>0</v>
      </c>
      <c r="AZ4318" s="2">
        <v>0</v>
      </c>
      <c r="BA4318" s="2">
        <v>0</v>
      </c>
      <c r="BB4318" s="2">
        <v>0</v>
      </c>
      <c r="BC4318" s="2">
        <v>0</v>
      </c>
      <c r="BD4318" s="2">
        <v>0</v>
      </c>
      <c r="BE4318" s="2">
        <v>0</v>
      </c>
      <c r="BF4318" s="2">
        <v>0</v>
      </c>
      <c r="BG4318" s="2">
        <v>0</v>
      </c>
      <c r="BH4318" s="2">
        <v>1</v>
      </c>
      <c r="BI4318" s="2">
        <v>1.1000000000000001</v>
      </c>
      <c r="BJ4318" s="2">
        <v>1.3</v>
      </c>
      <c r="BK4318" s="2">
        <v>2</v>
      </c>
      <c r="BL4318" s="2">
        <v>32.380000000000003</v>
      </c>
      <c r="BM4318" s="2">
        <v>4.53</v>
      </c>
      <c r="BN4318" s="2">
        <v>36.909999999999997</v>
      </c>
      <c r="BO4318" s="2">
        <v>36.909999999999997</v>
      </c>
      <c r="BP4318" s="2" t="s">
        <v>82</v>
      </c>
      <c r="BQ4318" s="2" t="s">
        <v>83</v>
      </c>
      <c r="BR4318" s="2" t="s">
        <v>84</v>
      </c>
      <c r="BS4318" s="3">
        <v>42951</v>
      </c>
      <c r="BT4318" s="4">
        <v>0.36805555555555558</v>
      </c>
      <c r="BU4318" s="2" t="s">
        <v>3957</v>
      </c>
      <c r="BV4318" s="2" t="s">
        <v>95</v>
      </c>
      <c r="BW4318" s="2"/>
      <c r="BX4318" s="2"/>
      <c r="BY4318" s="2">
        <v>6747.3</v>
      </c>
      <c r="BZ4318" s="2" t="s">
        <v>27</v>
      </c>
      <c r="CA4318" s="2"/>
      <c r="CB4318" s="2"/>
      <c r="CC4318" s="2" t="s">
        <v>312</v>
      </c>
      <c r="CD4318" s="2">
        <v>1559</v>
      </c>
      <c r="CE4318" s="2" t="s">
        <v>89</v>
      </c>
      <c r="CF4318" s="5">
        <v>42951</v>
      </c>
      <c r="CG4318" s="2"/>
      <c r="CH4318" s="2"/>
      <c r="CI4318" s="2">
        <v>1</v>
      </c>
      <c r="CJ4318" s="2">
        <v>1</v>
      </c>
      <c r="CK4318" s="2">
        <v>22</v>
      </c>
      <c r="CL4318" s="2" t="s">
        <v>86</v>
      </c>
      <c r="CM4318" s="2"/>
    </row>
    <row r="4319" spans="1:91">
      <c r="A4319" s="2" t="s">
        <v>71</v>
      </c>
      <c r="B4319" s="2" t="s">
        <v>72</v>
      </c>
      <c r="C4319" s="2" t="s">
        <v>73</v>
      </c>
      <c r="D4319" s="2"/>
      <c r="E4319" s="2" t="str">
        <f>"FES1162566727"</f>
        <v>FES1162566727</v>
      </c>
      <c r="F4319" s="3">
        <v>42950</v>
      </c>
      <c r="G4319" s="2">
        <v>201802</v>
      </c>
      <c r="H4319" s="2" t="s">
        <v>74</v>
      </c>
      <c r="I4319" s="2" t="s">
        <v>75</v>
      </c>
      <c r="J4319" s="2" t="s">
        <v>76</v>
      </c>
      <c r="K4319" s="2" t="s">
        <v>77</v>
      </c>
      <c r="L4319" s="2" t="s">
        <v>105</v>
      </c>
      <c r="M4319" s="2" t="s">
        <v>106</v>
      </c>
      <c r="N4319" s="2" t="s">
        <v>107</v>
      </c>
      <c r="O4319" s="2" t="s">
        <v>100</v>
      </c>
      <c r="P4319" s="2" t="str">
        <f>"2170579705                    "</f>
        <v xml:space="preserve">2170579705                    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4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0</v>
      </c>
      <c r="AU4319" s="2">
        <v>0</v>
      </c>
      <c r="AV4319" s="2">
        <v>0</v>
      </c>
      <c r="AW4319" s="2">
        <v>0</v>
      </c>
      <c r="AX4319" s="2">
        <v>0</v>
      </c>
      <c r="AY4319" s="2">
        <v>0</v>
      </c>
      <c r="AZ4319" s="2">
        <v>0</v>
      </c>
      <c r="BA4319" s="2">
        <v>0</v>
      </c>
      <c r="BB4319" s="2">
        <v>0</v>
      </c>
      <c r="BC4319" s="2">
        <v>0</v>
      </c>
      <c r="BD4319" s="2">
        <v>0</v>
      </c>
      <c r="BE4319" s="2">
        <v>0</v>
      </c>
      <c r="BF4319" s="2">
        <v>0</v>
      </c>
      <c r="BG4319" s="2">
        <v>0</v>
      </c>
      <c r="BH4319" s="2">
        <v>1</v>
      </c>
      <c r="BI4319" s="2">
        <v>1</v>
      </c>
      <c r="BJ4319" s="2">
        <v>0.2</v>
      </c>
      <c r="BK4319" s="2">
        <v>1</v>
      </c>
      <c r="BL4319" s="2">
        <v>41.44</v>
      </c>
      <c r="BM4319" s="2">
        <v>5.8</v>
      </c>
      <c r="BN4319" s="2">
        <v>47.24</v>
      </c>
      <c r="BO4319" s="2">
        <v>47.24</v>
      </c>
      <c r="BP4319" s="2"/>
      <c r="BQ4319" s="2" t="s">
        <v>108</v>
      </c>
      <c r="BR4319" s="2" t="s">
        <v>84</v>
      </c>
      <c r="BS4319" s="3">
        <v>42951</v>
      </c>
      <c r="BT4319" s="4">
        <v>0.39999999999999997</v>
      </c>
      <c r="BU4319" s="2" t="s">
        <v>1888</v>
      </c>
      <c r="BV4319" s="2" t="s">
        <v>95</v>
      </c>
      <c r="BW4319" s="2"/>
      <c r="BX4319" s="2"/>
      <c r="BY4319" s="2">
        <v>1200</v>
      </c>
      <c r="BZ4319" s="2" t="s">
        <v>27</v>
      </c>
      <c r="CA4319" s="2" t="s">
        <v>856</v>
      </c>
      <c r="CB4319" s="2"/>
      <c r="CC4319" s="2" t="s">
        <v>106</v>
      </c>
      <c r="CD4319" s="2">
        <v>7405</v>
      </c>
      <c r="CE4319" s="2" t="s">
        <v>104</v>
      </c>
      <c r="CF4319" s="5">
        <v>42951</v>
      </c>
      <c r="CG4319" s="2"/>
      <c r="CH4319" s="2"/>
      <c r="CI4319" s="2">
        <v>1</v>
      </c>
      <c r="CJ4319" s="2">
        <v>1</v>
      </c>
      <c r="CK4319" s="2">
        <v>21</v>
      </c>
      <c r="CL4319" s="2" t="s">
        <v>86</v>
      </c>
      <c r="CM4319" s="2"/>
    </row>
    <row r="4320" spans="1:91">
      <c r="A4320" s="2" t="s">
        <v>71</v>
      </c>
      <c r="B4320" s="2" t="s">
        <v>72</v>
      </c>
      <c r="C4320" s="2" t="s">
        <v>73</v>
      </c>
      <c r="D4320" s="2"/>
      <c r="E4320" s="2" t="str">
        <f>"FES1162566754"</f>
        <v>FES1162566754</v>
      </c>
      <c r="F4320" s="3">
        <v>42950</v>
      </c>
      <c r="G4320" s="2">
        <v>201802</v>
      </c>
      <c r="H4320" s="2" t="s">
        <v>74</v>
      </c>
      <c r="I4320" s="2" t="s">
        <v>75</v>
      </c>
      <c r="J4320" s="2" t="s">
        <v>76</v>
      </c>
      <c r="K4320" s="2" t="s">
        <v>77</v>
      </c>
      <c r="L4320" s="2" t="s">
        <v>244</v>
      </c>
      <c r="M4320" s="2" t="s">
        <v>245</v>
      </c>
      <c r="N4320" s="2" t="s">
        <v>2156</v>
      </c>
      <c r="O4320" s="2" t="s">
        <v>100</v>
      </c>
      <c r="P4320" s="2" t="str">
        <f>"2170579712                    "</f>
        <v xml:space="preserve">2170579712                    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3.13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0</v>
      </c>
      <c r="AU4320" s="2">
        <v>0</v>
      </c>
      <c r="AV4320" s="2">
        <v>0</v>
      </c>
      <c r="AW4320" s="2">
        <v>0</v>
      </c>
      <c r="AX4320" s="2">
        <v>0</v>
      </c>
      <c r="AY4320" s="2">
        <v>0</v>
      </c>
      <c r="AZ4320" s="2">
        <v>0</v>
      </c>
      <c r="BA4320" s="2">
        <v>0</v>
      </c>
      <c r="BB4320" s="2">
        <v>0</v>
      </c>
      <c r="BC4320" s="2">
        <v>0</v>
      </c>
      <c r="BD4320" s="2">
        <v>0</v>
      </c>
      <c r="BE4320" s="2">
        <v>0</v>
      </c>
      <c r="BF4320" s="2">
        <v>0</v>
      </c>
      <c r="BG4320" s="2">
        <v>0</v>
      </c>
      <c r="BH4320" s="2">
        <v>1</v>
      </c>
      <c r="BI4320" s="2">
        <v>2.2999999999999998</v>
      </c>
      <c r="BJ4320" s="2">
        <v>0.8</v>
      </c>
      <c r="BK4320" s="2">
        <v>3</v>
      </c>
      <c r="BL4320" s="2">
        <v>32.380000000000003</v>
      </c>
      <c r="BM4320" s="2">
        <v>4.53</v>
      </c>
      <c r="BN4320" s="2">
        <v>36.909999999999997</v>
      </c>
      <c r="BO4320" s="2">
        <v>36.909999999999997</v>
      </c>
      <c r="BP4320" s="2"/>
      <c r="BQ4320" s="2" t="s">
        <v>108</v>
      </c>
      <c r="BR4320" s="2" t="s">
        <v>84</v>
      </c>
      <c r="BS4320" s="3">
        <v>42951</v>
      </c>
      <c r="BT4320" s="4">
        <v>0.37013888888888885</v>
      </c>
      <c r="BU4320" s="2" t="s">
        <v>3958</v>
      </c>
      <c r="BV4320" s="2" t="s">
        <v>95</v>
      </c>
      <c r="BW4320" s="2"/>
      <c r="BX4320" s="2"/>
      <c r="BY4320" s="2">
        <v>3925.88</v>
      </c>
      <c r="BZ4320" s="2" t="s">
        <v>27</v>
      </c>
      <c r="CA4320" s="2" t="s">
        <v>426</v>
      </c>
      <c r="CB4320" s="2"/>
      <c r="CC4320" s="2" t="s">
        <v>245</v>
      </c>
      <c r="CD4320" s="2">
        <v>1459</v>
      </c>
      <c r="CE4320" s="2" t="s">
        <v>135</v>
      </c>
      <c r="CF4320" s="5">
        <v>42954</v>
      </c>
      <c r="CG4320" s="2"/>
      <c r="CH4320" s="2"/>
      <c r="CI4320" s="2">
        <v>1</v>
      </c>
      <c r="CJ4320" s="2">
        <v>1</v>
      </c>
      <c r="CK4320" s="2">
        <v>22</v>
      </c>
      <c r="CL4320" s="2" t="s">
        <v>86</v>
      </c>
      <c r="CM4320" s="2"/>
    </row>
    <row r="4321" spans="1:91">
      <c r="A4321" s="2" t="s">
        <v>71</v>
      </c>
      <c r="B4321" s="2" t="s">
        <v>72</v>
      </c>
      <c r="C4321" s="2" t="s">
        <v>73</v>
      </c>
      <c r="D4321" s="2"/>
      <c r="E4321" s="2" t="str">
        <f>"FES1162566653"</f>
        <v>FES1162566653</v>
      </c>
      <c r="F4321" s="3">
        <v>42950</v>
      </c>
      <c r="G4321" s="2">
        <v>201802</v>
      </c>
      <c r="H4321" s="2" t="s">
        <v>74</v>
      </c>
      <c r="I4321" s="2" t="s">
        <v>75</v>
      </c>
      <c r="J4321" s="2" t="s">
        <v>76</v>
      </c>
      <c r="K4321" s="2" t="s">
        <v>77</v>
      </c>
      <c r="L4321" s="2" t="s">
        <v>144</v>
      </c>
      <c r="M4321" s="2" t="s">
        <v>145</v>
      </c>
      <c r="N4321" s="2" t="s">
        <v>146</v>
      </c>
      <c r="O4321" s="2" t="s">
        <v>100</v>
      </c>
      <c r="P4321" s="2" t="str">
        <f>"2170579352                    "</f>
        <v xml:space="preserve">2170579352                    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3.13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0</v>
      </c>
      <c r="AU4321" s="2">
        <v>0</v>
      </c>
      <c r="AV4321" s="2">
        <v>0</v>
      </c>
      <c r="AW4321" s="2">
        <v>0</v>
      </c>
      <c r="AX4321" s="2">
        <v>0</v>
      </c>
      <c r="AY4321" s="2">
        <v>0</v>
      </c>
      <c r="AZ4321" s="2">
        <v>0</v>
      </c>
      <c r="BA4321" s="2">
        <v>0</v>
      </c>
      <c r="BB4321" s="2">
        <v>0</v>
      </c>
      <c r="BC4321" s="2">
        <v>0</v>
      </c>
      <c r="BD4321" s="2">
        <v>0</v>
      </c>
      <c r="BE4321" s="2">
        <v>0</v>
      </c>
      <c r="BF4321" s="2">
        <v>0</v>
      </c>
      <c r="BG4321" s="2">
        <v>0</v>
      </c>
      <c r="BH4321" s="2">
        <v>1</v>
      </c>
      <c r="BI4321" s="2">
        <v>1.5</v>
      </c>
      <c r="BJ4321" s="2">
        <v>2.1</v>
      </c>
      <c r="BK4321" s="2">
        <v>3</v>
      </c>
      <c r="BL4321" s="2">
        <v>32.380000000000003</v>
      </c>
      <c r="BM4321" s="2">
        <v>4.53</v>
      </c>
      <c r="BN4321" s="2">
        <v>36.909999999999997</v>
      </c>
      <c r="BO4321" s="2">
        <v>36.909999999999997</v>
      </c>
      <c r="BP4321" s="2"/>
      <c r="BQ4321" s="2" t="s">
        <v>83</v>
      </c>
      <c r="BR4321" s="2" t="s">
        <v>84</v>
      </c>
      <c r="BS4321" s="3">
        <v>42951</v>
      </c>
      <c r="BT4321" s="4">
        <v>0.38541666666666669</v>
      </c>
      <c r="BU4321" s="2" t="s">
        <v>469</v>
      </c>
      <c r="BV4321" s="2" t="s">
        <v>95</v>
      </c>
      <c r="BW4321" s="2"/>
      <c r="BX4321" s="2"/>
      <c r="BY4321" s="2">
        <v>10592.3</v>
      </c>
      <c r="BZ4321" s="2" t="s">
        <v>27</v>
      </c>
      <c r="CA4321" s="2"/>
      <c r="CB4321" s="2"/>
      <c r="CC4321" s="2" t="s">
        <v>145</v>
      </c>
      <c r="CD4321" s="2">
        <v>2094</v>
      </c>
      <c r="CE4321" s="2" t="s">
        <v>89</v>
      </c>
      <c r="CF4321" s="5">
        <v>42954</v>
      </c>
      <c r="CG4321" s="2"/>
      <c r="CH4321" s="2"/>
      <c r="CI4321" s="2">
        <v>1</v>
      </c>
      <c r="CJ4321" s="2">
        <v>1</v>
      </c>
      <c r="CK4321" s="2">
        <v>22</v>
      </c>
      <c r="CL4321" s="2" t="s">
        <v>86</v>
      </c>
      <c r="CM4321" s="2"/>
    </row>
    <row r="4322" spans="1:91">
      <c r="A4322" s="2" t="s">
        <v>71</v>
      </c>
      <c r="B4322" s="2" t="s">
        <v>72</v>
      </c>
      <c r="C4322" s="2" t="s">
        <v>73</v>
      </c>
      <c r="D4322" s="2"/>
      <c r="E4322" s="2" t="str">
        <f>"FES1162566705"</f>
        <v>FES1162566705</v>
      </c>
      <c r="F4322" s="3">
        <v>42950</v>
      </c>
      <c r="G4322" s="2">
        <v>201802</v>
      </c>
      <c r="H4322" s="2" t="s">
        <v>74</v>
      </c>
      <c r="I4322" s="2" t="s">
        <v>75</v>
      </c>
      <c r="J4322" s="2" t="s">
        <v>76</v>
      </c>
      <c r="K4322" s="2" t="s">
        <v>77</v>
      </c>
      <c r="L4322" s="2" t="s">
        <v>216</v>
      </c>
      <c r="M4322" s="2" t="s">
        <v>217</v>
      </c>
      <c r="N4322" s="2" t="s">
        <v>1588</v>
      </c>
      <c r="O4322" s="2" t="s">
        <v>100</v>
      </c>
      <c r="P4322" s="2" t="str">
        <f>"21700583001                   "</f>
        <v xml:space="preserve">21700583001                   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3.13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0</v>
      </c>
      <c r="AU4322" s="2">
        <v>0</v>
      </c>
      <c r="AV4322" s="2">
        <v>0</v>
      </c>
      <c r="AW4322" s="2">
        <v>0</v>
      </c>
      <c r="AX4322" s="2">
        <v>0</v>
      </c>
      <c r="AY4322" s="2">
        <v>0</v>
      </c>
      <c r="AZ4322" s="2">
        <v>0</v>
      </c>
      <c r="BA4322" s="2">
        <v>0</v>
      </c>
      <c r="BB4322" s="2">
        <v>0</v>
      </c>
      <c r="BC4322" s="2">
        <v>0</v>
      </c>
      <c r="BD4322" s="2">
        <v>0</v>
      </c>
      <c r="BE4322" s="2">
        <v>0</v>
      </c>
      <c r="BF4322" s="2">
        <v>0</v>
      </c>
      <c r="BG4322" s="2">
        <v>0</v>
      </c>
      <c r="BH4322" s="2">
        <v>1</v>
      </c>
      <c r="BI4322" s="2">
        <v>3.3</v>
      </c>
      <c r="BJ4322" s="2">
        <v>1</v>
      </c>
      <c r="BK4322" s="2">
        <v>4</v>
      </c>
      <c r="BL4322" s="2">
        <v>32.380000000000003</v>
      </c>
      <c r="BM4322" s="2">
        <v>4.53</v>
      </c>
      <c r="BN4322" s="2">
        <v>36.909999999999997</v>
      </c>
      <c r="BO4322" s="2">
        <v>36.909999999999997</v>
      </c>
      <c r="BP4322" s="2"/>
      <c r="BQ4322" s="2" t="s">
        <v>108</v>
      </c>
      <c r="BR4322" s="2" t="s">
        <v>84</v>
      </c>
      <c r="BS4322" s="3">
        <v>42951</v>
      </c>
      <c r="BT4322" s="4">
        <v>0.36458333333333331</v>
      </c>
      <c r="BU4322" s="2" t="s">
        <v>3959</v>
      </c>
      <c r="BV4322" s="2" t="s">
        <v>95</v>
      </c>
      <c r="BW4322" s="2"/>
      <c r="BX4322" s="2"/>
      <c r="BY4322" s="2">
        <v>4953.78</v>
      </c>
      <c r="BZ4322" s="2" t="s">
        <v>27</v>
      </c>
      <c r="CA4322" s="2"/>
      <c r="CB4322" s="2"/>
      <c r="CC4322" s="2" t="s">
        <v>217</v>
      </c>
      <c r="CD4322" s="2">
        <v>1451</v>
      </c>
      <c r="CE4322" s="2" t="s">
        <v>135</v>
      </c>
      <c r="CF4322" s="5">
        <v>42951</v>
      </c>
      <c r="CG4322" s="2"/>
      <c r="CH4322" s="2"/>
      <c r="CI4322" s="2">
        <v>1</v>
      </c>
      <c r="CJ4322" s="2">
        <v>1</v>
      </c>
      <c r="CK4322" s="2">
        <v>22</v>
      </c>
      <c r="CL4322" s="2" t="s">
        <v>86</v>
      </c>
      <c r="CM4322" s="2"/>
    </row>
    <row r="4323" spans="1:91">
      <c r="A4323" s="2" t="s">
        <v>71</v>
      </c>
      <c r="B4323" s="2" t="s">
        <v>72</v>
      </c>
      <c r="C4323" s="2" t="s">
        <v>73</v>
      </c>
      <c r="D4323" s="2"/>
      <c r="E4323" s="2" t="str">
        <f>"FES1162566694"</f>
        <v>FES1162566694</v>
      </c>
      <c r="F4323" s="3">
        <v>42950</v>
      </c>
      <c r="G4323" s="2">
        <v>201802</v>
      </c>
      <c r="H4323" s="2" t="s">
        <v>74</v>
      </c>
      <c r="I4323" s="2" t="s">
        <v>75</v>
      </c>
      <c r="J4323" s="2" t="s">
        <v>76</v>
      </c>
      <c r="K4323" s="2" t="s">
        <v>77</v>
      </c>
      <c r="L4323" s="2" t="s">
        <v>268</v>
      </c>
      <c r="M4323" s="2" t="s">
        <v>269</v>
      </c>
      <c r="N4323" s="2" t="s">
        <v>368</v>
      </c>
      <c r="O4323" s="2" t="s">
        <v>100</v>
      </c>
      <c r="P4323" s="2" t="str">
        <f>"2170578883                    "</f>
        <v xml:space="preserve">2170578883                    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4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0</v>
      </c>
      <c r="AU4323" s="2">
        <v>0</v>
      </c>
      <c r="AV4323" s="2">
        <v>0</v>
      </c>
      <c r="AW4323" s="2">
        <v>0</v>
      </c>
      <c r="AX4323" s="2">
        <v>0</v>
      </c>
      <c r="AY4323" s="2">
        <v>0</v>
      </c>
      <c r="AZ4323" s="2">
        <v>0</v>
      </c>
      <c r="BA4323" s="2">
        <v>0</v>
      </c>
      <c r="BB4323" s="2">
        <v>0</v>
      </c>
      <c r="BC4323" s="2">
        <v>0</v>
      </c>
      <c r="BD4323" s="2">
        <v>0</v>
      </c>
      <c r="BE4323" s="2">
        <v>0</v>
      </c>
      <c r="BF4323" s="2">
        <v>0</v>
      </c>
      <c r="BG4323" s="2">
        <v>0</v>
      </c>
      <c r="BH4323" s="2">
        <v>1</v>
      </c>
      <c r="BI4323" s="2">
        <v>1</v>
      </c>
      <c r="BJ4323" s="2">
        <v>0.2</v>
      </c>
      <c r="BK4323" s="2">
        <v>1</v>
      </c>
      <c r="BL4323" s="2">
        <v>41.44</v>
      </c>
      <c r="BM4323" s="2">
        <v>5.8</v>
      </c>
      <c r="BN4323" s="2">
        <v>47.24</v>
      </c>
      <c r="BO4323" s="2">
        <v>47.24</v>
      </c>
      <c r="BP4323" s="2"/>
      <c r="BQ4323" s="2" t="s">
        <v>108</v>
      </c>
      <c r="BR4323" s="2" t="s">
        <v>84</v>
      </c>
      <c r="BS4323" s="3">
        <v>42951</v>
      </c>
      <c r="BT4323" s="4">
        <v>0.33611111111111108</v>
      </c>
      <c r="BU4323" s="2" t="s">
        <v>369</v>
      </c>
      <c r="BV4323" s="2" t="s">
        <v>95</v>
      </c>
      <c r="BW4323" s="2"/>
      <c r="BX4323" s="2"/>
      <c r="BY4323" s="2">
        <v>1200</v>
      </c>
      <c r="BZ4323" s="2" t="s">
        <v>27</v>
      </c>
      <c r="CA4323" s="2"/>
      <c r="CB4323" s="2"/>
      <c r="CC4323" s="2" t="s">
        <v>269</v>
      </c>
      <c r="CD4323" s="2">
        <v>157</v>
      </c>
      <c r="CE4323" s="2" t="s">
        <v>104</v>
      </c>
      <c r="CF4323" s="5">
        <v>42954</v>
      </c>
      <c r="CG4323" s="2"/>
      <c r="CH4323" s="2"/>
      <c r="CI4323" s="2">
        <v>1</v>
      </c>
      <c r="CJ4323" s="2">
        <v>1</v>
      </c>
      <c r="CK4323" s="2">
        <v>21</v>
      </c>
      <c r="CL4323" s="2" t="s">
        <v>86</v>
      </c>
      <c r="CM4323" s="2"/>
    </row>
    <row r="4324" spans="1:91">
      <c r="A4324" s="2" t="s">
        <v>71</v>
      </c>
      <c r="B4324" s="2" t="s">
        <v>72</v>
      </c>
      <c r="C4324" s="2" t="s">
        <v>73</v>
      </c>
      <c r="D4324" s="2"/>
      <c r="E4324" s="2" t="str">
        <f>"FES1162566897"</f>
        <v>FES1162566897</v>
      </c>
      <c r="F4324" s="3">
        <v>42950</v>
      </c>
      <c r="G4324" s="2">
        <v>201802</v>
      </c>
      <c r="H4324" s="2" t="s">
        <v>74</v>
      </c>
      <c r="I4324" s="2" t="s">
        <v>75</v>
      </c>
      <c r="J4324" s="2" t="s">
        <v>76</v>
      </c>
      <c r="K4324" s="2" t="s">
        <v>77</v>
      </c>
      <c r="L4324" s="2" t="s">
        <v>268</v>
      </c>
      <c r="M4324" s="2" t="s">
        <v>269</v>
      </c>
      <c r="N4324" s="2" t="s">
        <v>1003</v>
      </c>
      <c r="O4324" s="2" t="s">
        <v>100</v>
      </c>
      <c r="P4324" s="2" t="str">
        <f>"2170583137                    "</f>
        <v xml:space="preserve">2170583137                    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4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0</v>
      </c>
      <c r="AU4324" s="2">
        <v>0</v>
      </c>
      <c r="AV4324" s="2">
        <v>0</v>
      </c>
      <c r="AW4324" s="2">
        <v>0</v>
      </c>
      <c r="AX4324" s="2">
        <v>0</v>
      </c>
      <c r="AY4324" s="2">
        <v>0</v>
      </c>
      <c r="AZ4324" s="2">
        <v>0</v>
      </c>
      <c r="BA4324" s="2">
        <v>0</v>
      </c>
      <c r="BB4324" s="2">
        <v>0</v>
      </c>
      <c r="BC4324" s="2">
        <v>0</v>
      </c>
      <c r="BD4324" s="2">
        <v>0</v>
      </c>
      <c r="BE4324" s="2">
        <v>0</v>
      </c>
      <c r="BF4324" s="2">
        <v>0</v>
      </c>
      <c r="BG4324" s="2">
        <v>0</v>
      </c>
      <c r="BH4324" s="2">
        <v>1</v>
      </c>
      <c r="BI4324" s="2">
        <v>0.3</v>
      </c>
      <c r="BJ4324" s="2">
        <v>0.9</v>
      </c>
      <c r="BK4324" s="2">
        <v>1</v>
      </c>
      <c r="BL4324" s="2">
        <v>41.44</v>
      </c>
      <c r="BM4324" s="2">
        <v>5.8</v>
      </c>
      <c r="BN4324" s="2">
        <v>47.24</v>
      </c>
      <c r="BO4324" s="2">
        <v>47.24</v>
      </c>
      <c r="BP4324" s="2"/>
      <c r="BQ4324" s="2" t="s">
        <v>209</v>
      </c>
      <c r="BR4324" s="2" t="s">
        <v>84</v>
      </c>
      <c r="BS4324" s="3">
        <v>42951</v>
      </c>
      <c r="BT4324" s="4">
        <v>0.40069444444444446</v>
      </c>
      <c r="BU4324" s="2" t="s">
        <v>3960</v>
      </c>
      <c r="BV4324" s="2" t="s">
        <v>95</v>
      </c>
      <c r="BW4324" s="2"/>
      <c r="BX4324" s="2"/>
      <c r="BY4324" s="2">
        <v>4387.22</v>
      </c>
      <c r="BZ4324" s="2" t="s">
        <v>27</v>
      </c>
      <c r="CA4324" s="2" t="s">
        <v>3961</v>
      </c>
      <c r="CB4324" s="2"/>
      <c r="CC4324" s="2" t="s">
        <v>269</v>
      </c>
      <c r="CD4324" s="2">
        <v>183</v>
      </c>
      <c r="CE4324" s="2" t="s">
        <v>104</v>
      </c>
      <c r="CF4324" s="5">
        <v>42951</v>
      </c>
      <c r="CG4324" s="2"/>
      <c r="CH4324" s="2"/>
      <c r="CI4324" s="2">
        <v>1</v>
      </c>
      <c r="CJ4324" s="2">
        <v>1</v>
      </c>
      <c r="CK4324" s="2">
        <v>21</v>
      </c>
      <c r="CL4324" s="2" t="s">
        <v>86</v>
      </c>
      <c r="CM4324" s="2"/>
    </row>
    <row r="4325" spans="1:91">
      <c r="A4325" s="2" t="s">
        <v>71</v>
      </c>
      <c r="B4325" s="2" t="s">
        <v>72</v>
      </c>
      <c r="C4325" s="2" t="s">
        <v>73</v>
      </c>
      <c r="D4325" s="2"/>
      <c r="E4325" s="2" t="str">
        <f>"FES1162566729"</f>
        <v>FES1162566729</v>
      </c>
      <c r="F4325" s="3">
        <v>42950</v>
      </c>
      <c r="G4325" s="2">
        <v>201802</v>
      </c>
      <c r="H4325" s="2" t="s">
        <v>74</v>
      </c>
      <c r="I4325" s="2" t="s">
        <v>75</v>
      </c>
      <c r="J4325" s="2" t="s">
        <v>76</v>
      </c>
      <c r="K4325" s="2" t="s">
        <v>77</v>
      </c>
      <c r="L4325" s="2" t="s">
        <v>144</v>
      </c>
      <c r="M4325" s="2" t="s">
        <v>145</v>
      </c>
      <c r="N4325" s="2" t="s">
        <v>260</v>
      </c>
      <c r="O4325" s="2" t="s">
        <v>100</v>
      </c>
      <c r="P4325" s="2" t="str">
        <f>"2170579820                    "</f>
        <v xml:space="preserve">2170579820                    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3.13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0</v>
      </c>
      <c r="AU4325" s="2">
        <v>0</v>
      </c>
      <c r="AV4325" s="2">
        <v>0</v>
      </c>
      <c r="AW4325" s="2">
        <v>0</v>
      </c>
      <c r="AX4325" s="2">
        <v>0</v>
      </c>
      <c r="AY4325" s="2">
        <v>0</v>
      </c>
      <c r="AZ4325" s="2">
        <v>0</v>
      </c>
      <c r="BA4325" s="2">
        <v>0</v>
      </c>
      <c r="BB4325" s="2">
        <v>0</v>
      </c>
      <c r="BC4325" s="2">
        <v>0</v>
      </c>
      <c r="BD4325" s="2">
        <v>0</v>
      </c>
      <c r="BE4325" s="2">
        <v>0</v>
      </c>
      <c r="BF4325" s="2">
        <v>0</v>
      </c>
      <c r="BG4325" s="2">
        <v>0</v>
      </c>
      <c r="BH4325" s="2">
        <v>1</v>
      </c>
      <c r="BI4325" s="2">
        <v>1</v>
      </c>
      <c r="BJ4325" s="2">
        <v>0.2</v>
      </c>
      <c r="BK4325" s="2">
        <v>1</v>
      </c>
      <c r="BL4325" s="2">
        <v>32.380000000000003</v>
      </c>
      <c r="BM4325" s="2">
        <v>4.53</v>
      </c>
      <c r="BN4325" s="2">
        <v>36.909999999999997</v>
      </c>
      <c r="BO4325" s="2">
        <v>36.909999999999997</v>
      </c>
      <c r="BP4325" s="2"/>
      <c r="BQ4325" s="2" t="s">
        <v>108</v>
      </c>
      <c r="BR4325" s="2" t="s">
        <v>84</v>
      </c>
      <c r="BS4325" s="3">
        <v>42951</v>
      </c>
      <c r="BT4325" s="4">
        <v>0.39513888888888887</v>
      </c>
      <c r="BU4325" s="2" t="s">
        <v>3708</v>
      </c>
      <c r="BV4325" s="2" t="s">
        <v>95</v>
      </c>
      <c r="BW4325" s="2"/>
      <c r="BX4325" s="2"/>
      <c r="BY4325" s="2">
        <v>1200</v>
      </c>
      <c r="BZ4325" s="2" t="s">
        <v>27</v>
      </c>
      <c r="CA4325" s="2" t="s">
        <v>1355</v>
      </c>
      <c r="CB4325" s="2"/>
      <c r="CC4325" s="2" t="s">
        <v>145</v>
      </c>
      <c r="CD4325" s="2">
        <v>2091</v>
      </c>
      <c r="CE4325" s="2" t="s">
        <v>104</v>
      </c>
      <c r="CF4325" s="5">
        <v>42951</v>
      </c>
      <c r="CG4325" s="2"/>
      <c r="CH4325" s="2"/>
      <c r="CI4325" s="2">
        <v>1</v>
      </c>
      <c r="CJ4325" s="2">
        <v>1</v>
      </c>
      <c r="CK4325" s="2">
        <v>22</v>
      </c>
      <c r="CL4325" s="2" t="s">
        <v>86</v>
      </c>
      <c r="CM4325" s="2"/>
    </row>
    <row r="4326" spans="1:91">
      <c r="A4326" s="2" t="s">
        <v>71</v>
      </c>
      <c r="B4326" s="2" t="s">
        <v>72</v>
      </c>
      <c r="C4326" s="2" t="s">
        <v>73</v>
      </c>
      <c r="D4326" s="2"/>
      <c r="E4326" s="2" t="str">
        <f>"FES1162566863"</f>
        <v>FES1162566863</v>
      </c>
      <c r="F4326" s="3">
        <v>42950</v>
      </c>
      <c r="G4326" s="2">
        <v>201802</v>
      </c>
      <c r="H4326" s="2" t="s">
        <v>74</v>
      </c>
      <c r="I4326" s="2" t="s">
        <v>75</v>
      </c>
      <c r="J4326" s="2" t="s">
        <v>76</v>
      </c>
      <c r="K4326" s="2" t="s">
        <v>77</v>
      </c>
      <c r="L4326" s="2" t="s">
        <v>268</v>
      </c>
      <c r="M4326" s="2" t="s">
        <v>269</v>
      </c>
      <c r="N4326" s="2" t="s">
        <v>3040</v>
      </c>
      <c r="O4326" s="2" t="s">
        <v>100</v>
      </c>
      <c r="P4326" s="2" t="str">
        <f>"2170583107                    "</f>
        <v xml:space="preserve">2170583107                    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4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0</v>
      </c>
      <c r="AU4326" s="2">
        <v>0</v>
      </c>
      <c r="AV4326" s="2">
        <v>0</v>
      </c>
      <c r="AW4326" s="2">
        <v>0</v>
      </c>
      <c r="AX4326" s="2">
        <v>0</v>
      </c>
      <c r="AY4326" s="2">
        <v>0</v>
      </c>
      <c r="AZ4326" s="2">
        <v>0</v>
      </c>
      <c r="BA4326" s="2">
        <v>0</v>
      </c>
      <c r="BB4326" s="2">
        <v>0</v>
      </c>
      <c r="BC4326" s="2">
        <v>0</v>
      </c>
      <c r="BD4326" s="2">
        <v>0</v>
      </c>
      <c r="BE4326" s="2">
        <v>0</v>
      </c>
      <c r="BF4326" s="2">
        <v>0</v>
      </c>
      <c r="BG4326" s="2">
        <v>0</v>
      </c>
      <c r="BH4326" s="2">
        <v>1</v>
      </c>
      <c r="BI4326" s="2">
        <v>0.5</v>
      </c>
      <c r="BJ4326" s="2">
        <v>0.2</v>
      </c>
      <c r="BK4326" s="2">
        <v>0.5</v>
      </c>
      <c r="BL4326" s="2">
        <v>41.44</v>
      </c>
      <c r="BM4326" s="2">
        <v>5.8</v>
      </c>
      <c r="BN4326" s="2">
        <v>47.24</v>
      </c>
      <c r="BO4326" s="2">
        <v>47.24</v>
      </c>
      <c r="BP4326" s="2"/>
      <c r="BQ4326" s="2" t="s">
        <v>3962</v>
      </c>
      <c r="BR4326" s="2" t="s">
        <v>84</v>
      </c>
      <c r="BS4326" s="3">
        <v>42951</v>
      </c>
      <c r="BT4326" s="4">
        <v>0.43055555555555558</v>
      </c>
      <c r="BU4326" s="2" t="s">
        <v>3963</v>
      </c>
      <c r="BV4326" s="2" t="s">
        <v>95</v>
      </c>
      <c r="BW4326" s="2"/>
      <c r="BX4326" s="2"/>
      <c r="BY4326" s="2">
        <v>1200</v>
      </c>
      <c r="BZ4326" s="2" t="s">
        <v>27</v>
      </c>
      <c r="CA4326" s="2"/>
      <c r="CB4326" s="2"/>
      <c r="CC4326" s="2" t="s">
        <v>269</v>
      </c>
      <c r="CD4326" s="2">
        <v>200</v>
      </c>
      <c r="CE4326" s="2" t="s">
        <v>104</v>
      </c>
      <c r="CF4326" s="5">
        <v>42954</v>
      </c>
      <c r="CG4326" s="2"/>
      <c r="CH4326" s="2"/>
      <c r="CI4326" s="2">
        <v>1</v>
      </c>
      <c r="CJ4326" s="2">
        <v>1</v>
      </c>
      <c r="CK4326" s="2">
        <v>21</v>
      </c>
      <c r="CL4326" s="2" t="s">
        <v>86</v>
      </c>
      <c r="CM4326" s="2"/>
    </row>
    <row r="4327" spans="1:91">
      <c r="A4327" s="2" t="s">
        <v>71</v>
      </c>
      <c r="B4327" s="2" t="s">
        <v>72</v>
      </c>
      <c r="C4327" s="2" t="s">
        <v>73</v>
      </c>
      <c r="D4327" s="2"/>
      <c r="E4327" s="2" t="str">
        <f>"FES1162566735"</f>
        <v>FES1162566735</v>
      </c>
      <c r="F4327" s="3">
        <v>42950</v>
      </c>
      <c r="G4327" s="2">
        <v>201802</v>
      </c>
      <c r="H4327" s="2" t="s">
        <v>74</v>
      </c>
      <c r="I4327" s="2" t="s">
        <v>75</v>
      </c>
      <c r="J4327" s="2" t="s">
        <v>76</v>
      </c>
      <c r="K4327" s="2" t="s">
        <v>77</v>
      </c>
      <c r="L4327" s="2" t="s">
        <v>105</v>
      </c>
      <c r="M4327" s="2" t="s">
        <v>106</v>
      </c>
      <c r="N4327" s="2" t="s">
        <v>705</v>
      </c>
      <c r="O4327" s="2" t="s">
        <v>100</v>
      </c>
      <c r="P4327" s="2" t="str">
        <f>"2170583014                    "</f>
        <v xml:space="preserve">2170583014                    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4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0</v>
      </c>
      <c r="AU4327" s="2">
        <v>0</v>
      </c>
      <c r="AV4327" s="2">
        <v>0</v>
      </c>
      <c r="AW4327" s="2">
        <v>0</v>
      </c>
      <c r="AX4327" s="2">
        <v>0</v>
      </c>
      <c r="AY4327" s="2">
        <v>0</v>
      </c>
      <c r="AZ4327" s="2">
        <v>0</v>
      </c>
      <c r="BA4327" s="2">
        <v>0</v>
      </c>
      <c r="BB4327" s="2">
        <v>0</v>
      </c>
      <c r="BC4327" s="2">
        <v>0</v>
      </c>
      <c r="BD4327" s="2">
        <v>0</v>
      </c>
      <c r="BE4327" s="2">
        <v>0</v>
      </c>
      <c r="BF4327" s="2">
        <v>0</v>
      </c>
      <c r="BG4327" s="2">
        <v>0</v>
      </c>
      <c r="BH4327" s="2">
        <v>1</v>
      </c>
      <c r="BI4327" s="2">
        <v>1</v>
      </c>
      <c r="BJ4327" s="2">
        <v>0.2</v>
      </c>
      <c r="BK4327" s="2">
        <v>1</v>
      </c>
      <c r="BL4327" s="2">
        <v>41.44</v>
      </c>
      <c r="BM4327" s="2">
        <v>5.8</v>
      </c>
      <c r="BN4327" s="2">
        <v>47.24</v>
      </c>
      <c r="BO4327" s="2">
        <v>47.24</v>
      </c>
      <c r="BP4327" s="2"/>
      <c r="BQ4327" s="2" t="s">
        <v>108</v>
      </c>
      <c r="BR4327" s="2" t="s">
        <v>84</v>
      </c>
      <c r="BS4327" s="3">
        <v>42951</v>
      </c>
      <c r="BT4327" s="4">
        <v>0.375</v>
      </c>
      <c r="BU4327" s="2" t="s">
        <v>1690</v>
      </c>
      <c r="BV4327" s="2" t="s">
        <v>95</v>
      </c>
      <c r="BW4327" s="2"/>
      <c r="BX4327" s="2"/>
      <c r="BY4327" s="2">
        <v>1200</v>
      </c>
      <c r="BZ4327" s="2" t="s">
        <v>27</v>
      </c>
      <c r="CA4327" s="2" t="s">
        <v>488</v>
      </c>
      <c r="CB4327" s="2"/>
      <c r="CC4327" s="2" t="s">
        <v>106</v>
      </c>
      <c r="CD4327" s="2">
        <v>7441</v>
      </c>
      <c r="CE4327" s="2" t="s">
        <v>104</v>
      </c>
      <c r="CF4327" s="5">
        <v>42951</v>
      </c>
      <c r="CG4327" s="2"/>
      <c r="CH4327" s="2"/>
      <c r="CI4327" s="2">
        <v>1</v>
      </c>
      <c r="CJ4327" s="2">
        <v>1</v>
      </c>
      <c r="CK4327" s="2">
        <v>21</v>
      </c>
      <c r="CL4327" s="2" t="s">
        <v>86</v>
      </c>
      <c r="CM4327" s="2"/>
    </row>
    <row r="4328" spans="1:91">
      <c r="A4328" s="2" t="s">
        <v>71</v>
      </c>
      <c r="B4328" s="2" t="s">
        <v>72</v>
      </c>
      <c r="C4328" s="2" t="s">
        <v>73</v>
      </c>
      <c r="D4328" s="2"/>
      <c r="E4328" s="2" t="str">
        <f>"FES1162566886"</f>
        <v>FES1162566886</v>
      </c>
      <c r="F4328" s="3">
        <v>42950</v>
      </c>
      <c r="G4328" s="2">
        <v>201802</v>
      </c>
      <c r="H4328" s="2" t="s">
        <v>74</v>
      </c>
      <c r="I4328" s="2" t="s">
        <v>75</v>
      </c>
      <c r="J4328" s="2" t="s">
        <v>76</v>
      </c>
      <c r="K4328" s="2" t="s">
        <v>77</v>
      </c>
      <c r="L4328" s="2" t="s">
        <v>2808</v>
      </c>
      <c r="M4328" s="2" t="s">
        <v>2809</v>
      </c>
      <c r="N4328" s="2" t="s">
        <v>3964</v>
      </c>
      <c r="O4328" s="2" t="s">
        <v>100</v>
      </c>
      <c r="P4328" s="2" t="str">
        <f>"2170583133                    "</f>
        <v xml:space="preserve">2170583133                    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5.63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0</v>
      </c>
      <c r="AU4328" s="2">
        <v>0</v>
      </c>
      <c r="AV4328" s="2">
        <v>0</v>
      </c>
      <c r="AW4328" s="2">
        <v>0</v>
      </c>
      <c r="AX4328" s="2">
        <v>0</v>
      </c>
      <c r="AY4328" s="2">
        <v>0</v>
      </c>
      <c r="AZ4328" s="2">
        <v>0</v>
      </c>
      <c r="BA4328" s="2">
        <v>0</v>
      </c>
      <c r="BB4328" s="2">
        <v>0</v>
      </c>
      <c r="BC4328" s="2">
        <v>0</v>
      </c>
      <c r="BD4328" s="2">
        <v>0</v>
      </c>
      <c r="BE4328" s="2">
        <v>0</v>
      </c>
      <c r="BF4328" s="2">
        <v>0</v>
      </c>
      <c r="BG4328" s="2">
        <v>0</v>
      </c>
      <c r="BH4328" s="2">
        <v>1</v>
      </c>
      <c r="BI4328" s="2">
        <v>1</v>
      </c>
      <c r="BJ4328" s="2">
        <v>0.2</v>
      </c>
      <c r="BK4328" s="2">
        <v>1</v>
      </c>
      <c r="BL4328" s="2">
        <v>58.28</v>
      </c>
      <c r="BM4328" s="2">
        <v>8.16</v>
      </c>
      <c r="BN4328" s="2">
        <v>66.44</v>
      </c>
      <c r="BO4328" s="2">
        <v>66.44</v>
      </c>
      <c r="BP4328" s="2"/>
      <c r="BQ4328" s="2" t="s">
        <v>3965</v>
      </c>
      <c r="BR4328" s="2" t="s">
        <v>84</v>
      </c>
      <c r="BS4328" s="3">
        <v>42951</v>
      </c>
      <c r="BT4328" s="4">
        <v>0.4236111111111111</v>
      </c>
      <c r="BU4328" s="2" t="s">
        <v>3966</v>
      </c>
      <c r="BV4328" s="2" t="s">
        <v>95</v>
      </c>
      <c r="BW4328" s="2"/>
      <c r="BX4328" s="2"/>
      <c r="BY4328" s="2">
        <v>1200</v>
      </c>
      <c r="BZ4328" s="2" t="s">
        <v>27</v>
      </c>
      <c r="CA4328" s="2" t="s">
        <v>3967</v>
      </c>
      <c r="CB4328" s="2"/>
      <c r="CC4328" s="2" t="s">
        <v>2809</v>
      </c>
      <c r="CD4328" s="2">
        <v>1034</v>
      </c>
      <c r="CE4328" s="2" t="s">
        <v>104</v>
      </c>
      <c r="CF4328" s="5">
        <v>42954</v>
      </c>
      <c r="CG4328" s="2"/>
      <c r="CH4328" s="2"/>
      <c r="CI4328" s="2">
        <v>1</v>
      </c>
      <c r="CJ4328" s="2">
        <v>1</v>
      </c>
      <c r="CK4328" s="2">
        <v>24</v>
      </c>
      <c r="CL4328" s="2" t="s">
        <v>86</v>
      </c>
      <c r="CM4328" s="2"/>
    </row>
    <row r="4329" spans="1:91">
      <c r="A4329" s="2" t="s">
        <v>71</v>
      </c>
      <c r="B4329" s="2" t="s">
        <v>72</v>
      </c>
      <c r="C4329" s="2" t="s">
        <v>73</v>
      </c>
      <c r="D4329" s="2"/>
      <c r="E4329" s="2" t="str">
        <f>"FES1162566674"</f>
        <v>FES1162566674</v>
      </c>
      <c r="F4329" s="3">
        <v>42950</v>
      </c>
      <c r="G4329" s="2">
        <v>201802</v>
      </c>
      <c r="H4329" s="2" t="s">
        <v>74</v>
      </c>
      <c r="I4329" s="2" t="s">
        <v>75</v>
      </c>
      <c r="J4329" s="2" t="s">
        <v>76</v>
      </c>
      <c r="K4329" s="2" t="s">
        <v>77</v>
      </c>
      <c r="L4329" s="2" t="s">
        <v>144</v>
      </c>
      <c r="M4329" s="2" t="s">
        <v>145</v>
      </c>
      <c r="N4329" s="2" t="s">
        <v>3968</v>
      </c>
      <c r="O4329" s="2" t="s">
        <v>100</v>
      </c>
      <c r="P4329" s="2" t="str">
        <f>"2170582983                    "</f>
        <v xml:space="preserve">2170582983                    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3.13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0</v>
      </c>
      <c r="AU4329" s="2">
        <v>0</v>
      </c>
      <c r="AV4329" s="2">
        <v>0</v>
      </c>
      <c r="AW4329" s="2">
        <v>0</v>
      </c>
      <c r="AX4329" s="2">
        <v>0</v>
      </c>
      <c r="AY4329" s="2">
        <v>0</v>
      </c>
      <c r="AZ4329" s="2">
        <v>0</v>
      </c>
      <c r="BA4329" s="2">
        <v>0</v>
      </c>
      <c r="BB4329" s="2">
        <v>0</v>
      </c>
      <c r="BC4329" s="2">
        <v>0</v>
      </c>
      <c r="BD4329" s="2">
        <v>0</v>
      </c>
      <c r="BE4329" s="2">
        <v>0</v>
      </c>
      <c r="BF4329" s="2">
        <v>0</v>
      </c>
      <c r="BG4329" s="2">
        <v>0</v>
      </c>
      <c r="BH4329" s="2">
        <v>1</v>
      </c>
      <c r="BI4329" s="2">
        <v>1</v>
      </c>
      <c r="BJ4329" s="2">
        <v>0.2</v>
      </c>
      <c r="BK4329" s="2">
        <v>1</v>
      </c>
      <c r="BL4329" s="2">
        <v>32.380000000000003</v>
      </c>
      <c r="BM4329" s="2">
        <v>4.53</v>
      </c>
      <c r="BN4329" s="2">
        <v>36.909999999999997</v>
      </c>
      <c r="BO4329" s="2">
        <v>36.909999999999997</v>
      </c>
      <c r="BP4329" s="2"/>
      <c r="BQ4329" s="2" t="s">
        <v>108</v>
      </c>
      <c r="BR4329" s="2" t="s">
        <v>84</v>
      </c>
      <c r="BS4329" s="3">
        <v>42951</v>
      </c>
      <c r="BT4329" s="4">
        <v>0.38055555555555554</v>
      </c>
      <c r="BU4329" s="2" t="s">
        <v>330</v>
      </c>
      <c r="BV4329" s="2" t="s">
        <v>95</v>
      </c>
      <c r="BW4329" s="2"/>
      <c r="BX4329" s="2"/>
      <c r="BY4329" s="2">
        <v>1200</v>
      </c>
      <c r="BZ4329" s="2" t="s">
        <v>27</v>
      </c>
      <c r="CA4329" s="2"/>
      <c r="CB4329" s="2"/>
      <c r="CC4329" s="2" t="s">
        <v>145</v>
      </c>
      <c r="CD4329" s="2">
        <v>2090</v>
      </c>
      <c r="CE4329" s="2" t="s">
        <v>104</v>
      </c>
      <c r="CF4329" s="5">
        <v>42951</v>
      </c>
      <c r="CG4329" s="2"/>
      <c r="CH4329" s="2"/>
      <c r="CI4329" s="2">
        <v>1</v>
      </c>
      <c r="CJ4329" s="2">
        <v>1</v>
      </c>
      <c r="CK4329" s="2">
        <v>22</v>
      </c>
      <c r="CL4329" s="2" t="s">
        <v>86</v>
      </c>
      <c r="CM4329" s="2"/>
    </row>
    <row r="4330" spans="1:91">
      <c r="A4330" s="2" t="s">
        <v>71</v>
      </c>
      <c r="B4330" s="2" t="s">
        <v>72</v>
      </c>
      <c r="C4330" s="2" t="s">
        <v>73</v>
      </c>
      <c r="D4330" s="2"/>
      <c r="E4330" s="2" t="str">
        <f>"FES1162566871"</f>
        <v>FES1162566871</v>
      </c>
      <c r="F4330" s="3">
        <v>42950</v>
      </c>
      <c r="G4330" s="2">
        <v>201802</v>
      </c>
      <c r="H4330" s="2" t="s">
        <v>74</v>
      </c>
      <c r="I4330" s="2" t="s">
        <v>75</v>
      </c>
      <c r="J4330" s="2" t="s">
        <v>76</v>
      </c>
      <c r="K4330" s="2" t="s">
        <v>77</v>
      </c>
      <c r="L4330" s="2" t="s">
        <v>268</v>
      </c>
      <c r="M4330" s="2" t="s">
        <v>269</v>
      </c>
      <c r="N4330" s="2" t="s">
        <v>1159</v>
      </c>
      <c r="O4330" s="2" t="s">
        <v>100</v>
      </c>
      <c r="P4330" s="2" t="str">
        <f>"2170583118                    "</f>
        <v xml:space="preserve">2170583118                    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4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0</v>
      </c>
      <c r="AU4330" s="2">
        <v>0</v>
      </c>
      <c r="AV4330" s="2">
        <v>0</v>
      </c>
      <c r="AW4330" s="2">
        <v>0</v>
      </c>
      <c r="AX4330" s="2">
        <v>0</v>
      </c>
      <c r="AY4330" s="2">
        <v>0</v>
      </c>
      <c r="AZ4330" s="2">
        <v>0</v>
      </c>
      <c r="BA4330" s="2">
        <v>0</v>
      </c>
      <c r="BB4330" s="2">
        <v>0</v>
      </c>
      <c r="BC4330" s="2">
        <v>0</v>
      </c>
      <c r="BD4330" s="2">
        <v>0</v>
      </c>
      <c r="BE4330" s="2">
        <v>0</v>
      </c>
      <c r="BF4330" s="2">
        <v>0</v>
      </c>
      <c r="BG4330" s="2">
        <v>0</v>
      </c>
      <c r="BH4330" s="2">
        <v>1</v>
      </c>
      <c r="BI4330" s="2">
        <v>1</v>
      </c>
      <c r="BJ4330" s="2">
        <v>0.2</v>
      </c>
      <c r="BK4330" s="2">
        <v>1</v>
      </c>
      <c r="BL4330" s="2">
        <v>41.44</v>
      </c>
      <c r="BM4330" s="2">
        <v>5.8</v>
      </c>
      <c r="BN4330" s="2">
        <v>47.24</v>
      </c>
      <c r="BO4330" s="2">
        <v>47.24</v>
      </c>
      <c r="BP4330" s="2"/>
      <c r="BQ4330" s="2" t="s">
        <v>3969</v>
      </c>
      <c r="BR4330" s="2" t="s">
        <v>84</v>
      </c>
      <c r="BS4330" s="3">
        <v>42954</v>
      </c>
      <c r="BT4330" s="4">
        <v>0.42083333333333334</v>
      </c>
      <c r="BU4330" s="2" t="s">
        <v>1106</v>
      </c>
      <c r="BV4330" s="2" t="s">
        <v>86</v>
      </c>
      <c r="BW4330" s="2"/>
      <c r="BX4330" s="2"/>
      <c r="BY4330" s="2">
        <v>1200</v>
      </c>
      <c r="BZ4330" s="2" t="s">
        <v>27</v>
      </c>
      <c r="CA4330" s="2"/>
      <c r="CB4330" s="2"/>
      <c r="CC4330" s="2" t="s">
        <v>269</v>
      </c>
      <c r="CD4330" s="2">
        <v>183</v>
      </c>
      <c r="CE4330" s="2" t="s">
        <v>104</v>
      </c>
      <c r="CF4330" s="5">
        <v>42957</v>
      </c>
      <c r="CG4330" s="2"/>
      <c r="CH4330" s="2"/>
      <c r="CI4330" s="2">
        <v>1</v>
      </c>
      <c r="CJ4330" s="2">
        <v>2</v>
      </c>
      <c r="CK4330" s="2">
        <v>21</v>
      </c>
      <c r="CL4330" s="2" t="s">
        <v>86</v>
      </c>
      <c r="CM4330" s="2"/>
    </row>
    <row r="4331" spans="1:91">
      <c r="A4331" s="2" t="s">
        <v>71</v>
      </c>
      <c r="B4331" s="2" t="s">
        <v>72</v>
      </c>
      <c r="C4331" s="2" t="s">
        <v>73</v>
      </c>
      <c r="D4331" s="2"/>
      <c r="E4331" s="2" t="str">
        <f>"FES1162566762"</f>
        <v>FES1162566762</v>
      </c>
      <c r="F4331" s="3">
        <v>42950</v>
      </c>
      <c r="G4331" s="2">
        <v>201802</v>
      </c>
      <c r="H4331" s="2" t="s">
        <v>74</v>
      </c>
      <c r="I4331" s="2" t="s">
        <v>75</v>
      </c>
      <c r="J4331" s="2" t="s">
        <v>76</v>
      </c>
      <c r="K4331" s="2" t="s">
        <v>77</v>
      </c>
      <c r="L4331" s="2" t="s">
        <v>417</v>
      </c>
      <c r="M4331" s="2" t="s">
        <v>417</v>
      </c>
      <c r="N4331" s="2" t="s">
        <v>1414</v>
      </c>
      <c r="O4331" s="2" t="s">
        <v>100</v>
      </c>
      <c r="P4331" s="2" t="str">
        <f>"2170579901                    "</f>
        <v xml:space="preserve">2170579901                    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4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0</v>
      </c>
      <c r="AU4331" s="2">
        <v>0</v>
      </c>
      <c r="AV4331" s="2">
        <v>0</v>
      </c>
      <c r="AW4331" s="2">
        <v>0</v>
      </c>
      <c r="AX4331" s="2">
        <v>0</v>
      </c>
      <c r="AY4331" s="2">
        <v>0</v>
      </c>
      <c r="AZ4331" s="2">
        <v>0</v>
      </c>
      <c r="BA4331" s="2">
        <v>0</v>
      </c>
      <c r="BB4331" s="2">
        <v>0</v>
      </c>
      <c r="BC4331" s="2">
        <v>0</v>
      </c>
      <c r="BD4331" s="2">
        <v>0</v>
      </c>
      <c r="BE4331" s="2">
        <v>0</v>
      </c>
      <c r="BF4331" s="2">
        <v>0</v>
      </c>
      <c r="BG4331" s="2">
        <v>0</v>
      </c>
      <c r="BH4331" s="2">
        <v>1</v>
      </c>
      <c r="BI4331" s="2">
        <v>1</v>
      </c>
      <c r="BJ4331" s="2">
        <v>0.2</v>
      </c>
      <c r="BK4331" s="2">
        <v>1</v>
      </c>
      <c r="BL4331" s="2">
        <v>41.44</v>
      </c>
      <c r="BM4331" s="2">
        <v>5.8</v>
      </c>
      <c r="BN4331" s="2">
        <v>47.24</v>
      </c>
      <c r="BO4331" s="2">
        <v>47.24</v>
      </c>
      <c r="BP4331" s="2"/>
      <c r="BQ4331" s="2" t="s">
        <v>108</v>
      </c>
      <c r="BR4331" s="2" t="s">
        <v>84</v>
      </c>
      <c r="BS4331" s="3">
        <v>42951</v>
      </c>
      <c r="BT4331" s="4">
        <v>0.59097222222222223</v>
      </c>
      <c r="BU4331" s="2" t="s">
        <v>3970</v>
      </c>
      <c r="BV4331" s="2" t="s">
        <v>86</v>
      </c>
      <c r="BW4331" s="2"/>
      <c r="BX4331" s="2"/>
      <c r="BY4331" s="2">
        <v>1200</v>
      </c>
      <c r="BZ4331" s="2" t="s">
        <v>27</v>
      </c>
      <c r="CA4331" s="2" t="s">
        <v>460</v>
      </c>
      <c r="CB4331" s="2"/>
      <c r="CC4331" s="2" t="s">
        <v>417</v>
      </c>
      <c r="CD4331" s="2">
        <v>7646</v>
      </c>
      <c r="CE4331" s="2" t="s">
        <v>104</v>
      </c>
      <c r="CF4331" s="5">
        <v>42954</v>
      </c>
      <c r="CG4331" s="2"/>
      <c r="CH4331" s="2"/>
      <c r="CI4331" s="2">
        <v>1</v>
      </c>
      <c r="CJ4331" s="2">
        <v>1</v>
      </c>
      <c r="CK4331" s="2">
        <v>21</v>
      </c>
      <c r="CL4331" s="2" t="s">
        <v>86</v>
      </c>
      <c r="CM4331" s="2"/>
    </row>
    <row r="4332" spans="1:91">
      <c r="A4332" s="2" t="s">
        <v>71</v>
      </c>
      <c r="B4332" s="2" t="s">
        <v>72</v>
      </c>
      <c r="C4332" s="2" t="s">
        <v>73</v>
      </c>
      <c r="D4332" s="2"/>
      <c r="E4332" s="2" t="str">
        <f>"FES1162566756"</f>
        <v>FES1162566756</v>
      </c>
      <c r="F4332" s="3">
        <v>42950</v>
      </c>
      <c r="G4332" s="2">
        <v>201802</v>
      </c>
      <c r="H4332" s="2" t="s">
        <v>74</v>
      </c>
      <c r="I4332" s="2" t="s">
        <v>75</v>
      </c>
      <c r="J4332" s="2" t="s">
        <v>76</v>
      </c>
      <c r="K4332" s="2" t="s">
        <v>77</v>
      </c>
      <c r="L4332" s="2" t="s">
        <v>221</v>
      </c>
      <c r="M4332" s="2" t="s">
        <v>222</v>
      </c>
      <c r="N4332" s="2" t="s">
        <v>3971</v>
      </c>
      <c r="O4332" s="2" t="s">
        <v>100</v>
      </c>
      <c r="P4332" s="2" t="str">
        <f>"217057944                     "</f>
        <v xml:space="preserve">217057944                     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4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0</v>
      </c>
      <c r="AU4332" s="2">
        <v>0</v>
      </c>
      <c r="AV4332" s="2">
        <v>0</v>
      </c>
      <c r="AW4332" s="2">
        <v>0</v>
      </c>
      <c r="AX4332" s="2">
        <v>0</v>
      </c>
      <c r="AY4332" s="2">
        <v>0</v>
      </c>
      <c r="AZ4332" s="2">
        <v>0</v>
      </c>
      <c r="BA4332" s="2">
        <v>0</v>
      </c>
      <c r="BB4332" s="2">
        <v>0</v>
      </c>
      <c r="BC4332" s="2">
        <v>0</v>
      </c>
      <c r="BD4332" s="2">
        <v>0</v>
      </c>
      <c r="BE4332" s="2">
        <v>0</v>
      </c>
      <c r="BF4332" s="2">
        <v>0</v>
      </c>
      <c r="BG4332" s="2">
        <v>0</v>
      </c>
      <c r="BH4332" s="2">
        <v>1</v>
      </c>
      <c r="BI4332" s="2">
        <v>0.8</v>
      </c>
      <c r="BJ4332" s="2">
        <v>1.6</v>
      </c>
      <c r="BK4332" s="2">
        <v>2</v>
      </c>
      <c r="BL4332" s="2">
        <v>41.44</v>
      </c>
      <c r="BM4332" s="2">
        <v>5.8</v>
      </c>
      <c r="BN4332" s="2">
        <v>47.24</v>
      </c>
      <c r="BO4332" s="2">
        <v>47.24</v>
      </c>
      <c r="BP4332" s="2"/>
      <c r="BQ4332" s="2" t="s">
        <v>3972</v>
      </c>
      <c r="BR4332" s="2" t="s">
        <v>84</v>
      </c>
      <c r="BS4332" s="3">
        <v>42951</v>
      </c>
      <c r="BT4332" s="4">
        <v>0.35555555555555557</v>
      </c>
      <c r="BU4332" s="2" t="s">
        <v>3973</v>
      </c>
      <c r="BV4332" s="2" t="s">
        <v>95</v>
      </c>
      <c r="BW4332" s="2"/>
      <c r="BX4332" s="2"/>
      <c r="BY4332" s="2">
        <v>7864.67</v>
      </c>
      <c r="BZ4332" s="2" t="s">
        <v>27</v>
      </c>
      <c r="CA4332" s="2" t="s">
        <v>225</v>
      </c>
      <c r="CB4332" s="2"/>
      <c r="CC4332" s="2" t="s">
        <v>222</v>
      </c>
      <c r="CD4332" s="2">
        <v>4302</v>
      </c>
      <c r="CE4332" s="2" t="s">
        <v>104</v>
      </c>
      <c r="CF4332" s="5">
        <v>42954</v>
      </c>
      <c r="CG4332" s="2"/>
      <c r="CH4332" s="2"/>
      <c r="CI4332" s="2">
        <v>1</v>
      </c>
      <c r="CJ4332" s="2">
        <v>1</v>
      </c>
      <c r="CK4332" s="2">
        <v>21</v>
      </c>
      <c r="CL4332" s="2" t="s">
        <v>86</v>
      </c>
      <c r="CM4332" s="2"/>
    </row>
    <row r="4333" spans="1:91">
      <c r="A4333" s="2" t="s">
        <v>71</v>
      </c>
      <c r="B4333" s="2" t="s">
        <v>72</v>
      </c>
      <c r="C4333" s="2" t="s">
        <v>73</v>
      </c>
      <c r="D4333" s="2"/>
      <c r="E4333" s="2" t="str">
        <f>"FES1162566704"</f>
        <v>FES1162566704</v>
      </c>
      <c r="F4333" s="3">
        <v>42950</v>
      </c>
      <c r="G4333" s="2">
        <v>201802</v>
      </c>
      <c r="H4333" s="2" t="s">
        <v>74</v>
      </c>
      <c r="I4333" s="2" t="s">
        <v>75</v>
      </c>
      <c r="J4333" s="2" t="s">
        <v>76</v>
      </c>
      <c r="K4333" s="2" t="s">
        <v>77</v>
      </c>
      <c r="L4333" s="2" t="s">
        <v>105</v>
      </c>
      <c r="M4333" s="2" t="s">
        <v>106</v>
      </c>
      <c r="N4333" s="2" t="s">
        <v>2145</v>
      </c>
      <c r="O4333" s="2" t="s">
        <v>100</v>
      </c>
      <c r="P4333" s="2" t="str">
        <f>"2170582999                    "</f>
        <v xml:space="preserve">2170582999                    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4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0</v>
      </c>
      <c r="AU4333" s="2">
        <v>0</v>
      </c>
      <c r="AV4333" s="2">
        <v>0</v>
      </c>
      <c r="AW4333" s="2">
        <v>0</v>
      </c>
      <c r="AX4333" s="2">
        <v>0</v>
      </c>
      <c r="AY4333" s="2">
        <v>0</v>
      </c>
      <c r="AZ4333" s="2">
        <v>0</v>
      </c>
      <c r="BA4333" s="2">
        <v>0</v>
      </c>
      <c r="BB4333" s="2">
        <v>0</v>
      </c>
      <c r="BC4333" s="2">
        <v>0</v>
      </c>
      <c r="BD4333" s="2">
        <v>0</v>
      </c>
      <c r="BE4333" s="2">
        <v>0</v>
      </c>
      <c r="BF4333" s="2">
        <v>0</v>
      </c>
      <c r="BG4333" s="2">
        <v>0</v>
      </c>
      <c r="BH4333" s="2">
        <v>1</v>
      </c>
      <c r="BI4333" s="2">
        <v>1</v>
      </c>
      <c r="BJ4333" s="2">
        <v>0.2</v>
      </c>
      <c r="BK4333" s="2">
        <v>1</v>
      </c>
      <c r="BL4333" s="2">
        <v>41.44</v>
      </c>
      <c r="BM4333" s="2">
        <v>5.8</v>
      </c>
      <c r="BN4333" s="2">
        <v>47.24</v>
      </c>
      <c r="BO4333" s="2">
        <v>47.24</v>
      </c>
      <c r="BP4333" s="2"/>
      <c r="BQ4333" s="2" t="s">
        <v>83</v>
      </c>
      <c r="BR4333" s="2" t="s">
        <v>84</v>
      </c>
      <c r="BS4333" s="3">
        <v>42951</v>
      </c>
      <c r="BT4333" s="4">
        <v>0.41666666666666669</v>
      </c>
      <c r="BU4333" s="2" t="s">
        <v>3974</v>
      </c>
      <c r="BV4333" s="2" t="s">
        <v>95</v>
      </c>
      <c r="BW4333" s="2"/>
      <c r="BX4333" s="2"/>
      <c r="BY4333" s="2">
        <v>1200</v>
      </c>
      <c r="BZ4333" s="2" t="s">
        <v>27</v>
      </c>
      <c r="CA4333" s="2" t="s">
        <v>148</v>
      </c>
      <c r="CB4333" s="2"/>
      <c r="CC4333" s="2" t="s">
        <v>106</v>
      </c>
      <c r="CD4333" s="2">
        <v>7460</v>
      </c>
      <c r="CE4333" s="2" t="s">
        <v>104</v>
      </c>
      <c r="CF4333" s="5">
        <v>42954</v>
      </c>
      <c r="CG4333" s="2"/>
      <c r="CH4333" s="2"/>
      <c r="CI4333" s="2">
        <v>1</v>
      </c>
      <c r="CJ4333" s="2">
        <v>1</v>
      </c>
      <c r="CK4333" s="2">
        <v>21</v>
      </c>
      <c r="CL4333" s="2" t="s">
        <v>86</v>
      </c>
      <c r="CM4333" s="2"/>
    </row>
    <row r="4334" spans="1:91">
      <c r="A4334" s="2" t="s">
        <v>71</v>
      </c>
      <c r="B4334" s="2" t="s">
        <v>72</v>
      </c>
      <c r="C4334" s="2" t="s">
        <v>73</v>
      </c>
      <c r="D4334" s="2"/>
      <c r="E4334" s="2" t="str">
        <f>"FES1162566770"</f>
        <v>FES1162566770</v>
      </c>
      <c r="F4334" s="3">
        <v>42950</v>
      </c>
      <c r="G4334" s="2">
        <v>201802</v>
      </c>
      <c r="H4334" s="2" t="s">
        <v>74</v>
      </c>
      <c r="I4334" s="2" t="s">
        <v>75</v>
      </c>
      <c r="J4334" s="2" t="s">
        <v>76</v>
      </c>
      <c r="K4334" s="2" t="s">
        <v>77</v>
      </c>
      <c r="L4334" s="2" t="s">
        <v>149</v>
      </c>
      <c r="M4334" s="2" t="s">
        <v>150</v>
      </c>
      <c r="N4334" s="2" t="s">
        <v>1592</v>
      </c>
      <c r="O4334" s="2" t="s">
        <v>100</v>
      </c>
      <c r="P4334" s="2" t="str">
        <f>"2170582244                    "</f>
        <v xml:space="preserve">2170582244                    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4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0</v>
      </c>
      <c r="AU4334" s="2">
        <v>0</v>
      </c>
      <c r="AV4334" s="2">
        <v>0</v>
      </c>
      <c r="AW4334" s="2">
        <v>0</v>
      </c>
      <c r="AX4334" s="2">
        <v>0</v>
      </c>
      <c r="AY4334" s="2">
        <v>0</v>
      </c>
      <c r="AZ4334" s="2">
        <v>0</v>
      </c>
      <c r="BA4334" s="2">
        <v>0</v>
      </c>
      <c r="BB4334" s="2">
        <v>0</v>
      </c>
      <c r="BC4334" s="2">
        <v>0</v>
      </c>
      <c r="BD4334" s="2">
        <v>0</v>
      </c>
      <c r="BE4334" s="2">
        <v>0</v>
      </c>
      <c r="BF4334" s="2">
        <v>0</v>
      </c>
      <c r="BG4334" s="2">
        <v>0</v>
      </c>
      <c r="BH4334" s="2">
        <v>1</v>
      </c>
      <c r="BI4334" s="2">
        <v>1</v>
      </c>
      <c r="BJ4334" s="2">
        <v>0.2</v>
      </c>
      <c r="BK4334" s="2">
        <v>1</v>
      </c>
      <c r="BL4334" s="2">
        <v>41.44</v>
      </c>
      <c r="BM4334" s="2">
        <v>5.8</v>
      </c>
      <c r="BN4334" s="2">
        <v>47.24</v>
      </c>
      <c r="BO4334" s="2">
        <v>47.24</v>
      </c>
      <c r="BP4334" s="2"/>
      <c r="BQ4334" s="2" t="s">
        <v>83</v>
      </c>
      <c r="BR4334" s="2" t="s">
        <v>84</v>
      </c>
      <c r="BS4334" s="3">
        <v>42951</v>
      </c>
      <c r="BT4334" s="4">
        <v>0.3888888888888889</v>
      </c>
      <c r="BU4334" s="2" t="s">
        <v>3975</v>
      </c>
      <c r="BV4334" s="2" t="s">
        <v>95</v>
      </c>
      <c r="BW4334" s="2"/>
      <c r="BX4334" s="2"/>
      <c r="BY4334" s="2">
        <v>1200</v>
      </c>
      <c r="BZ4334" s="2" t="s">
        <v>27</v>
      </c>
      <c r="CA4334" s="2" t="s">
        <v>1163</v>
      </c>
      <c r="CB4334" s="2"/>
      <c r="CC4334" s="2" t="s">
        <v>150</v>
      </c>
      <c r="CD4334" s="2">
        <v>4094</v>
      </c>
      <c r="CE4334" s="2" t="s">
        <v>3630</v>
      </c>
      <c r="CF4334" s="5">
        <v>42954</v>
      </c>
      <c r="CG4334" s="2"/>
      <c r="CH4334" s="2"/>
      <c r="CI4334" s="2">
        <v>1</v>
      </c>
      <c r="CJ4334" s="2">
        <v>1</v>
      </c>
      <c r="CK4334" s="2">
        <v>21</v>
      </c>
      <c r="CL4334" s="2" t="s">
        <v>86</v>
      </c>
      <c r="CM4334" s="2"/>
    </row>
    <row r="4335" spans="1:91">
      <c r="A4335" s="2" t="s">
        <v>71</v>
      </c>
      <c r="B4335" s="2" t="s">
        <v>72</v>
      </c>
      <c r="C4335" s="2" t="s">
        <v>73</v>
      </c>
      <c r="D4335" s="2"/>
      <c r="E4335" s="2" t="str">
        <f>"FES1162566679"</f>
        <v>FES1162566679</v>
      </c>
      <c r="F4335" s="3">
        <v>42950</v>
      </c>
      <c r="G4335" s="2">
        <v>201802</v>
      </c>
      <c r="H4335" s="2" t="s">
        <v>74</v>
      </c>
      <c r="I4335" s="2" t="s">
        <v>75</v>
      </c>
      <c r="J4335" s="2" t="s">
        <v>76</v>
      </c>
      <c r="K4335" s="2" t="s">
        <v>77</v>
      </c>
      <c r="L4335" s="2" t="s">
        <v>144</v>
      </c>
      <c r="M4335" s="2" t="s">
        <v>145</v>
      </c>
      <c r="N4335" s="2" t="s">
        <v>3976</v>
      </c>
      <c r="O4335" s="2" t="s">
        <v>100</v>
      </c>
      <c r="P4335" s="2" t="str">
        <f>"2170582991                    "</f>
        <v xml:space="preserve">2170582991                    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3.13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0</v>
      </c>
      <c r="AU4335" s="2">
        <v>0</v>
      </c>
      <c r="AV4335" s="2">
        <v>0</v>
      </c>
      <c r="AW4335" s="2">
        <v>0</v>
      </c>
      <c r="AX4335" s="2">
        <v>0</v>
      </c>
      <c r="AY4335" s="2">
        <v>0</v>
      </c>
      <c r="AZ4335" s="2">
        <v>0</v>
      </c>
      <c r="BA4335" s="2">
        <v>0</v>
      </c>
      <c r="BB4335" s="2">
        <v>0</v>
      </c>
      <c r="BC4335" s="2">
        <v>0</v>
      </c>
      <c r="BD4335" s="2">
        <v>0</v>
      </c>
      <c r="BE4335" s="2">
        <v>0</v>
      </c>
      <c r="BF4335" s="2">
        <v>0</v>
      </c>
      <c r="BG4335" s="2">
        <v>0</v>
      </c>
      <c r="BH4335" s="2">
        <v>1</v>
      </c>
      <c r="BI4335" s="2">
        <v>1</v>
      </c>
      <c r="BJ4335" s="2">
        <v>0.2</v>
      </c>
      <c r="BK4335" s="2">
        <v>1</v>
      </c>
      <c r="BL4335" s="2">
        <v>32.380000000000003</v>
      </c>
      <c r="BM4335" s="2">
        <v>4.53</v>
      </c>
      <c r="BN4335" s="2">
        <v>36.909999999999997</v>
      </c>
      <c r="BO4335" s="2">
        <v>36.909999999999997</v>
      </c>
      <c r="BP4335" s="2"/>
      <c r="BQ4335" s="2" t="s">
        <v>108</v>
      </c>
      <c r="BR4335" s="2" t="s">
        <v>84</v>
      </c>
      <c r="BS4335" s="3">
        <v>42951</v>
      </c>
      <c r="BT4335" s="4">
        <v>0.41944444444444445</v>
      </c>
      <c r="BU4335" s="2" t="s">
        <v>3977</v>
      </c>
      <c r="BV4335" s="2" t="s">
        <v>95</v>
      </c>
      <c r="BW4335" s="2"/>
      <c r="BX4335" s="2"/>
      <c r="BY4335" s="2">
        <v>1200</v>
      </c>
      <c r="BZ4335" s="2" t="s">
        <v>27</v>
      </c>
      <c r="CA4335" s="2" t="s">
        <v>729</v>
      </c>
      <c r="CB4335" s="2"/>
      <c r="CC4335" s="2" t="s">
        <v>145</v>
      </c>
      <c r="CD4335" s="2">
        <v>2043</v>
      </c>
      <c r="CE4335" s="2" t="s">
        <v>104</v>
      </c>
      <c r="CF4335" s="5">
        <v>42954</v>
      </c>
      <c r="CG4335" s="2"/>
      <c r="CH4335" s="2"/>
      <c r="CI4335" s="2">
        <v>1</v>
      </c>
      <c r="CJ4335" s="2">
        <v>1</v>
      </c>
      <c r="CK4335" s="2">
        <v>22</v>
      </c>
      <c r="CL4335" s="2" t="s">
        <v>86</v>
      </c>
      <c r="CM4335" s="2"/>
    </row>
    <row r="4336" spans="1:91">
      <c r="A4336" s="2" t="s">
        <v>71</v>
      </c>
      <c r="B4336" s="2" t="s">
        <v>72</v>
      </c>
      <c r="C4336" s="2" t="s">
        <v>73</v>
      </c>
      <c r="D4336" s="2"/>
      <c r="E4336" s="2" t="str">
        <f>"FES1162566778"</f>
        <v>FES1162566778</v>
      </c>
      <c r="F4336" s="3">
        <v>42950</v>
      </c>
      <c r="G4336" s="2">
        <v>201802</v>
      </c>
      <c r="H4336" s="2" t="s">
        <v>74</v>
      </c>
      <c r="I4336" s="2" t="s">
        <v>75</v>
      </c>
      <c r="J4336" s="2" t="s">
        <v>76</v>
      </c>
      <c r="K4336" s="2" t="s">
        <v>77</v>
      </c>
      <c r="L4336" s="2" t="s">
        <v>362</v>
      </c>
      <c r="M4336" s="2" t="s">
        <v>363</v>
      </c>
      <c r="N4336" s="2" t="s">
        <v>936</v>
      </c>
      <c r="O4336" s="2" t="s">
        <v>100</v>
      </c>
      <c r="P4336" s="2" t="str">
        <f>"2170583025                    "</f>
        <v xml:space="preserve">2170583025                    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4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0</v>
      </c>
      <c r="AU4336" s="2">
        <v>0</v>
      </c>
      <c r="AV4336" s="2">
        <v>0</v>
      </c>
      <c r="AW4336" s="2">
        <v>0</v>
      </c>
      <c r="AX4336" s="2">
        <v>0</v>
      </c>
      <c r="AY4336" s="2">
        <v>0</v>
      </c>
      <c r="AZ4336" s="2">
        <v>0</v>
      </c>
      <c r="BA4336" s="2">
        <v>0</v>
      </c>
      <c r="BB4336" s="2">
        <v>0</v>
      </c>
      <c r="BC4336" s="2">
        <v>0</v>
      </c>
      <c r="BD4336" s="2">
        <v>0</v>
      </c>
      <c r="BE4336" s="2">
        <v>0</v>
      </c>
      <c r="BF4336" s="2">
        <v>0</v>
      </c>
      <c r="BG4336" s="2">
        <v>0</v>
      </c>
      <c r="BH4336" s="2">
        <v>1</v>
      </c>
      <c r="BI4336" s="2">
        <v>1</v>
      </c>
      <c r="BJ4336" s="2">
        <v>0.2</v>
      </c>
      <c r="BK4336" s="2">
        <v>1</v>
      </c>
      <c r="BL4336" s="2">
        <v>41.44</v>
      </c>
      <c r="BM4336" s="2">
        <v>5.8</v>
      </c>
      <c r="BN4336" s="2">
        <v>47.24</v>
      </c>
      <c r="BO4336" s="2">
        <v>47.24</v>
      </c>
      <c r="BP4336" s="2"/>
      <c r="BQ4336" s="2" t="s">
        <v>1499</v>
      </c>
      <c r="BR4336" s="2" t="s">
        <v>84</v>
      </c>
      <c r="BS4336" s="3">
        <v>42951</v>
      </c>
      <c r="BT4336" s="4">
        <v>0.4375</v>
      </c>
      <c r="BU4336" s="2" t="s">
        <v>3978</v>
      </c>
      <c r="BV4336" s="2" t="s">
        <v>95</v>
      </c>
      <c r="BW4336" s="2"/>
      <c r="BX4336" s="2"/>
      <c r="BY4336" s="2">
        <v>1200</v>
      </c>
      <c r="BZ4336" s="2" t="s">
        <v>27</v>
      </c>
      <c r="CA4336" s="2" t="s">
        <v>938</v>
      </c>
      <c r="CB4336" s="2"/>
      <c r="CC4336" s="2" t="s">
        <v>363</v>
      </c>
      <c r="CD4336" s="2">
        <v>3200</v>
      </c>
      <c r="CE4336" s="2" t="s">
        <v>104</v>
      </c>
      <c r="CF4336" s="5">
        <v>42954</v>
      </c>
      <c r="CG4336" s="2"/>
      <c r="CH4336" s="2"/>
      <c r="CI4336" s="2">
        <v>1</v>
      </c>
      <c r="CJ4336" s="2">
        <v>1</v>
      </c>
      <c r="CK4336" s="2">
        <v>21</v>
      </c>
      <c r="CL4336" s="2" t="s">
        <v>86</v>
      </c>
      <c r="CM4336" s="2"/>
    </row>
    <row r="4337" spans="1:91">
      <c r="A4337" s="2" t="s">
        <v>71</v>
      </c>
      <c r="B4337" s="2" t="s">
        <v>72</v>
      </c>
      <c r="C4337" s="2" t="s">
        <v>73</v>
      </c>
      <c r="D4337" s="2"/>
      <c r="E4337" s="2" t="str">
        <f>"FES1162566664"</f>
        <v>FES1162566664</v>
      </c>
      <c r="F4337" s="3">
        <v>42950</v>
      </c>
      <c r="G4337" s="2">
        <v>201802</v>
      </c>
      <c r="H4337" s="2" t="s">
        <v>74</v>
      </c>
      <c r="I4337" s="2" t="s">
        <v>75</v>
      </c>
      <c r="J4337" s="2" t="s">
        <v>76</v>
      </c>
      <c r="K4337" s="2" t="s">
        <v>77</v>
      </c>
      <c r="L4337" s="2" t="s">
        <v>144</v>
      </c>
      <c r="M4337" s="2" t="s">
        <v>145</v>
      </c>
      <c r="N4337" s="2" t="s">
        <v>146</v>
      </c>
      <c r="O4337" s="2" t="s">
        <v>100</v>
      </c>
      <c r="P4337" s="2" t="str">
        <f>"2170579582                    "</f>
        <v xml:space="preserve">2170579582                    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3.13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0</v>
      </c>
      <c r="AU4337" s="2">
        <v>0</v>
      </c>
      <c r="AV4337" s="2">
        <v>0</v>
      </c>
      <c r="AW4337" s="2">
        <v>0</v>
      </c>
      <c r="AX4337" s="2">
        <v>0</v>
      </c>
      <c r="AY4337" s="2">
        <v>0</v>
      </c>
      <c r="AZ4337" s="2">
        <v>0</v>
      </c>
      <c r="BA4337" s="2">
        <v>0</v>
      </c>
      <c r="BB4337" s="2">
        <v>0</v>
      </c>
      <c r="BC4337" s="2">
        <v>0</v>
      </c>
      <c r="BD4337" s="2">
        <v>0</v>
      </c>
      <c r="BE4337" s="2">
        <v>0</v>
      </c>
      <c r="BF4337" s="2">
        <v>0</v>
      </c>
      <c r="BG4337" s="2">
        <v>0</v>
      </c>
      <c r="BH4337" s="2">
        <v>1</v>
      </c>
      <c r="BI4337" s="2">
        <v>1</v>
      </c>
      <c r="BJ4337" s="2">
        <v>0.2</v>
      </c>
      <c r="BK4337" s="2">
        <v>1</v>
      </c>
      <c r="BL4337" s="2">
        <v>32.380000000000003</v>
      </c>
      <c r="BM4337" s="2">
        <v>4.53</v>
      </c>
      <c r="BN4337" s="2">
        <v>36.909999999999997</v>
      </c>
      <c r="BO4337" s="2">
        <v>36.909999999999997</v>
      </c>
      <c r="BP4337" s="2"/>
      <c r="BQ4337" s="2" t="s">
        <v>83</v>
      </c>
      <c r="BR4337" s="2" t="s">
        <v>84</v>
      </c>
      <c r="BS4337" s="3">
        <v>42951</v>
      </c>
      <c r="BT4337" s="4">
        <v>0.39583333333333331</v>
      </c>
      <c r="BU4337" s="2" t="s">
        <v>1176</v>
      </c>
      <c r="BV4337" s="2" t="s">
        <v>95</v>
      </c>
      <c r="BW4337" s="2"/>
      <c r="BX4337" s="2"/>
      <c r="BY4337" s="2">
        <v>1200</v>
      </c>
      <c r="BZ4337" s="2" t="s">
        <v>27</v>
      </c>
      <c r="CA4337" s="2" t="s">
        <v>729</v>
      </c>
      <c r="CB4337" s="2"/>
      <c r="CC4337" s="2" t="s">
        <v>145</v>
      </c>
      <c r="CD4337" s="2">
        <v>2094</v>
      </c>
      <c r="CE4337" s="2" t="s">
        <v>104</v>
      </c>
      <c r="CF4337" s="5">
        <v>42954</v>
      </c>
      <c r="CG4337" s="2"/>
      <c r="CH4337" s="2"/>
      <c r="CI4337" s="2">
        <v>1</v>
      </c>
      <c r="CJ4337" s="2">
        <v>1</v>
      </c>
      <c r="CK4337" s="2">
        <v>22</v>
      </c>
      <c r="CL4337" s="2" t="s">
        <v>86</v>
      </c>
      <c r="CM4337" s="2"/>
    </row>
    <row r="4338" spans="1:91">
      <c r="A4338" s="2" t="s">
        <v>71</v>
      </c>
      <c r="B4338" s="2" t="s">
        <v>72</v>
      </c>
      <c r="C4338" s="2" t="s">
        <v>73</v>
      </c>
      <c r="D4338" s="2"/>
      <c r="E4338" s="2" t="str">
        <f>"FES1162566601"</f>
        <v>FES1162566601</v>
      </c>
      <c r="F4338" s="3">
        <v>42950</v>
      </c>
      <c r="G4338" s="2">
        <v>201802</v>
      </c>
      <c r="H4338" s="2" t="s">
        <v>74</v>
      </c>
      <c r="I4338" s="2" t="s">
        <v>75</v>
      </c>
      <c r="J4338" s="2" t="s">
        <v>76</v>
      </c>
      <c r="K4338" s="2" t="s">
        <v>77</v>
      </c>
      <c r="L4338" s="2" t="s">
        <v>343</v>
      </c>
      <c r="M4338" s="2" t="s">
        <v>344</v>
      </c>
      <c r="N4338" s="2" t="s">
        <v>351</v>
      </c>
      <c r="O4338" s="2" t="s">
        <v>100</v>
      </c>
      <c r="P4338" s="2" t="str">
        <f>"2170582947                    "</f>
        <v xml:space="preserve">2170582947                    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4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0</v>
      </c>
      <c r="AU4338" s="2">
        <v>0</v>
      </c>
      <c r="AV4338" s="2">
        <v>0</v>
      </c>
      <c r="AW4338" s="2">
        <v>0</v>
      </c>
      <c r="AX4338" s="2">
        <v>0</v>
      </c>
      <c r="AY4338" s="2">
        <v>0</v>
      </c>
      <c r="AZ4338" s="2">
        <v>0</v>
      </c>
      <c r="BA4338" s="2">
        <v>0</v>
      </c>
      <c r="BB4338" s="2">
        <v>0</v>
      </c>
      <c r="BC4338" s="2">
        <v>0</v>
      </c>
      <c r="BD4338" s="2">
        <v>0</v>
      </c>
      <c r="BE4338" s="2">
        <v>0</v>
      </c>
      <c r="BF4338" s="2">
        <v>0</v>
      </c>
      <c r="BG4338" s="2">
        <v>0</v>
      </c>
      <c r="BH4338" s="2">
        <v>1</v>
      </c>
      <c r="BI4338" s="2">
        <v>1</v>
      </c>
      <c r="BJ4338" s="2">
        <v>0.2</v>
      </c>
      <c r="BK4338" s="2">
        <v>1</v>
      </c>
      <c r="BL4338" s="2">
        <v>41.44</v>
      </c>
      <c r="BM4338" s="2">
        <v>5.8</v>
      </c>
      <c r="BN4338" s="2">
        <v>47.24</v>
      </c>
      <c r="BO4338" s="2">
        <v>47.24</v>
      </c>
      <c r="BP4338" s="2"/>
      <c r="BQ4338" s="2" t="s">
        <v>1582</v>
      </c>
      <c r="BR4338" s="2" t="s">
        <v>84</v>
      </c>
      <c r="BS4338" s="3">
        <v>42951</v>
      </c>
      <c r="BT4338" s="4">
        <v>0.38055555555555554</v>
      </c>
      <c r="BU4338" s="2" t="s">
        <v>352</v>
      </c>
      <c r="BV4338" s="2" t="s">
        <v>95</v>
      </c>
      <c r="BW4338" s="2"/>
      <c r="BX4338" s="2"/>
      <c r="BY4338" s="2">
        <v>1200</v>
      </c>
      <c r="BZ4338" s="2" t="s">
        <v>27</v>
      </c>
      <c r="CA4338" s="2" t="s">
        <v>347</v>
      </c>
      <c r="CB4338" s="2"/>
      <c r="CC4338" s="2" t="s">
        <v>344</v>
      </c>
      <c r="CD4338" s="2">
        <v>4133</v>
      </c>
      <c r="CE4338" s="2" t="s">
        <v>3630</v>
      </c>
      <c r="CF4338" s="5">
        <v>42954</v>
      </c>
      <c r="CG4338" s="2"/>
      <c r="CH4338" s="2"/>
      <c r="CI4338" s="2">
        <v>1</v>
      </c>
      <c r="CJ4338" s="2">
        <v>1</v>
      </c>
      <c r="CK4338" s="2">
        <v>21</v>
      </c>
      <c r="CL4338" s="2" t="s">
        <v>86</v>
      </c>
      <c r="CM4338" s="2"/>
    </row>
    <row r="4339" spans="1:91">
      <c r="A4339" s="2" t="s">
        <v>71</v>
      </c>
      <c r="B4339" s="2" t="s">
        <v>72</v>
      </c>
      <c r="C4339" s="2" t="s">
        <v>73</v>
      </c>
      <c r="D4339" s="2"/>
      <c r="E4339" s="2" t="str">
        <f>"FES1162566684"</f>
        <v>FES1162566684</v>
      </c>
      <c r="F4339" s="3">
        <v>42950</v>
      </c>
      <c r="G4339" s="2">
        <v>201802</v>
      </c>
      <c r="H4339" s="2" t="s">
        <v>74</v>
      </c>
      <c r="I4339" s="2" t="s">
        <v>75</v>
      </c>
      <c r="J4339" s="2" t="s">
        <v>76</v>
      </c>
      <c r="K4339" s="2" t="s">
        <v>77</v>
      </c>
      <c r="L4339" s="2" t="s">
        <v>105</v>
      </c>
      <c r="M4339" s="2" t="s">
        <v>106</v>
      </c>
      <c r="N4339" s="2" t="s">
        <v>253</v>
      </c>
      <c r="O4339" s="2" t="s">
        <v>100</v>
      </c>
      <c r="P4339" s="2" t="str">
        <f>"2170573452                    "</f>
        <v xml:space="preserve">2170573452                    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4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0</v>
      </c>
      <c r="AU4339" s="2">
        <v>0</v>
      </c>
      <c r="AV4339" s="2">
        <v>0</v>
      </c>
      <c r="AW4339" s="2">
        <v>0</v>
      </c>
      <c r="AX4339" s="2">
        <v>0</v>
      </c>
      <c r="AY4339" s="2">
        <v>0</v>
      </c>
      <c r="AZ4339" s="2">
        <v>0</v>
      </c>
      <c r="BA4339" s="2">
        <v>0</v>
      </c>
      <c r="BB4339" s="2">
        <v>0</v>
      </c>
      <c r="BC4339" s="2">
        <v>0</v>
      </c>
      <c r="BD4339" s="2">
        <v>0</v>
      </c>
      <c r="BE4339" s="2">
        <v>0</v>
      </c>
      <c r="BF4339" s="2">
        <v>0</v>
      </c>
      <c r="BG4339" s="2">
        <v>0</v>
      </c>
      <c r="BH4339" s="2">
        <v>1</v>
      </c>
      <c r="BI4339" s="2">
        <v>1</v>
      </c>
      <c r="BJ4339" s="2">
        <v>0.2</v>
      </c>
      <c r="BK4339" s="2">
        <v>1</v>
      </c>
      <c r="BL4339" s="2">
        <v>41.44</v>
      </c>
      <c r="BM4339" s="2">
        <v>5.8</v>
      </c>
      <c r="BN4339" s="2">
        <v>47.24</v>
      </c>
      <c r="BO4339" s="2">
        <v>47.24</v>
      </c>
      <c r="BP4339" s="2"/>
      <c r="BQ4339" s="2" t="s">
        <v>1492</v>
      </c>
      <c r="BR4339" s="2" t="s">
        <v>84</v>
      </c>
      <c r="BS4339" s="3">
        <v>42951</v>
      </c>
      <c r="BT4339" s="4">
        <v>0.43958333333333338</v>
      </c>
      <c r="BU4339" s="2" t="s">
        <v>1074</v>
      </c>
      <c r="BV4339" s="2" t="s">
        <v>95</v>
      </c>
      <c r="BW4339" s="2"/>
      <c r="BX4339" s="2"/>
      <c r="BY4339" s="2">
        <v>1200</v>
      </c>
      <c r="BZ4339" s="2" t="s">
        <v>27</v>
      </c>
      <c r="CA4339" s="2" t="s">
        <v>654</v>
      </c>
      <c r="CB4339" s="2"/>
      <c r="CC4339" s="2" t="s">
        <v>106</v>
      </c>
      <c r="CD4339" s="2">
        <v>7490</v>
      </c>
      <c r="CE4339" s="2" t="s">
        <v>104</v>
      </c>
      <c r="CF4339" s="5">
        <v>42954</v>
      </c>
      <c r="CG4339" s="2"/>
      <c r="CH4339" s="2"/>
      <c r="CI4339" s="2">
        <v>1</v>
      </c>
      <c r="CJ4339" s="2">
        <v>1</v>
      </c>
      <c r="CK4339" s="2">
        <v>21</v>
      </c>
      <c r="CL4339" s="2" t="s">
        <v>86</v>
      </c>
      <c r="CM4339" s="2"/>
    </row>
    <row r="4340" spans="1:91">
      <c r="A4340" s="2" t="s">
        <v>71</v>
      </c>
      <c r="B4340" s="2" t="s">
        <v>72</v>
      </c>
      <c r="C4340" s="2" t="s">
        <v>73</v>
      </c>
      <c r="D4340" s="2"/>
      <c r="E4340" s="2" t="str">
        <f>"FES1162566740"</f>
        <v>FES1162566740</v>
      </c>
      <c r="F4340" s="3">
        <v>42950</v>
      </c>
      <c r="G4340" s="2">
        <v>201802</v>
      </c>
      <c r="H4340" s="2" t="s">
        <v>74</v>
      </c>
      <c r="I4340" s="2" t="s">
        <v>75</v>
      </c>
      <c r="J4340" s="2" t="s">
        <v>76</v>
      </c>
      <c r="K4340" s="2" t="s">
        <v>77</v>
      </c>
      <c r="L4340" s="2" t="s">
        <v>362</v>
      </c>
      <c r="M4340" s="2" t="s">
        <v>363</v>
      </c>
      <c r="N4340" s="2" t="s">
        <v>683</v>
      </c>
      <c r="O4340" s="2" t="s">
        <v>100</v>
      </c>
      <c r="P4340" s="2" t="str">
        <f>"2170574742                    "</f>
        <v xml:space="preserve">2170574742                    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4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0</v>
      </c>
      <c r="AU4340" s="2">
        <v>0</v>
      </c>
      <c r="AV4340" s="2">
        <v>0</v>
      </c>
      <c r="AW4340" s="2">
        <v>0</v>
      </c>
      <c r="AX4340" s="2">
        <v>0</v>
      </c>
      <c r="AY4340" s="2">
        <v>0</v>
      </c>
      <c r="AZ4340" s="2">
        <v>0</v>
      </c>
      <c r="BA4340" s="2">
        <v>0</v>
      </c>
      <c r="BB4340" s="2">
        <v>0</v>
      </c>
      <c r="BC4340" s="2">
        <v>0</v>
      </c>
      <c r="BD4340" s="2">
        <v>0</v>
      </c>
      <c r="BE4340" s="2">
        <v>0</v>
      </c>
      <c r="BF4340" s="2">
        <v>0</v>
      </c>
      <c r="BG4340" s="2">
        <v>0</v>
      </c>
      <c r="BH4340" s="2">
        <v>1</v>
      </c>
      <c r="BI4340" s="2">
        <v>0.5</v>
      </c>
      <c r="BJ4340" s="2">
        <v>0.2</v>
      </c>
      <c r="BK4340" s="2">
        <v>0.5</v>
      </c>
      <c r="BL4340" s="2">
        <v>41.44</v>
      </c>
      <c r="BM4340" s="2">
        <v>5.8</v>
      </c>
      <c r="BN4340" s="2">
        <v>47.24</v>
      </c>
      <c r="BO4340" s="2">
        <v>47.24</v>
      </c>
      <c r="BP4340" s="2"/>
      <c r="BQ4340" s="2" t="s">
        <v>108</v>
      </c>
      <c r="BR4340" s="2" t="s">
        <v>84</v>
      </c>
      <c r="BS4340" s="3">
        <v>42951</v>
      </c>
      <c r="BT4340" s="4">
        <v>0.4375</v>
      </c>
      <c r="BU4340" s="2" t="s">
        <v>805</v>
      </c>
      <c r="BV4340" s="2" t="s">
        <v>95</v>
      </c>
      <c r="BW4340" s="2"/>
      <c r="BX4340" s="2"/>
      <c r="BY4340" s="2">
        <v>1200</v>
      </c>
      <c r="BZ4340" s="2" t="s">
        <v>27</v>
      </c>
      <c r="CA4340" s="2"/>
      <c r="CB4340" s="2"/>
      <c r="CC4340" s="2" t="s">
        <v>363</v>
      </c>
      <c r="CD4340" s="2">
        <v>3201</v>
      </c>
      <c r="CE4340" s="2" t="s">
        <v>104</v>
      </c>
      <c r="CF4340" s="5">
        <v>42954</v>
      </c>
      <c r="CG4340" s="2"/>
      <c r="CH4340" s="2"/>
      <c r="CI4340" s="2">
        <v>1</v>
      </c>
      <c r="CJ4340" s="2">
        <v>1</v>
      </c>
      <c r="CK4340" s="2">
        <v>21</v>
      </c>
      <c r="CL4340" s="2" t="s">
        <v>86</v>
      </c>
      <c r="CM4340" s="2"/>
    </row>
    <row r="4341" spans="1:91">
      <c r="A4341" s="2" t="s">
        <v>71</v>
      </c>
      <c r="B4341" s="2" t="s">
        <v>72</v>
      </c>
      <c r="C4341" s="2" t="s">
        <v>73</v>
      </c>
      <c r="D4341" s="2"/>
      <c r="E4341" s="2" t="str">
        <f>"FES1162566641"</f>
        <v>FES1162566641</v>
      </c>
      <c r="F4341" s="3">
        <v>42950</v>
      </c>
      <c r="G4341" s="2">
        <v>201802</v>
      </c>
      <c r="H4341" s="2" t="s">
        <v>74</v>
      </c>
      <c r="I4341" s="2" t="s">
        <v>75</v>
      </c>
      <c r="J4341" s="2" t="s">
        <v>76</v>
      </c>
      <c r="K4341" s="2" t="s">
        <v>77</v>
      </c>
      <c r="L4341" s="2" t="s">
        <v>105</v>
      </c>
      <c r="M4341" s="2" t="s">
        <v>106</v>
      </c>
      <c r="N4341" s="2" t="s">
        <v>253</v>
      </c>
      <c r="O4341" s="2" t="s">
        <v>100</v>
      </c>
      <c r="P4341" s="2" t="str">
        <f>"2170582971                    "</f>
        <v xml:space="preserve">2170582971                    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4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0</v>
      </c>
      <c r="AU4341" s="2">
        <v>0</v>
      </c>
      <c r="AV4341" s="2">
        <v>0</v>
      </c>
      <c r="AW4341" s="2">
        <v>0</v>
      </c>
      <c r="AX4341" s="2">
        <v>0</v>
      </c>
      <c r="AY4341" s="2">
        <v>0</v>
      </c>
      <c r="AZ4341" s="2">
        <v>0</v>
      </c>
      <c r="BA4341" s="2">
        <v>0</v>
      </c>
      <c r="BB4341" s="2">
        <v>0</v>
      </c>
      <c r="BC4341" s="2">
        <v>0</v>
      </c>
      <c r="BD4341" s="2">
        <v>0</v>
      </c>
      <c r="BE4341" s="2">
        <v>0</v>
      </c>
      <c r="BF4341" s="2">
        <v>0</v>
      </c>
      <c r="BG4341" s="2">
        <v>0</v>
      </c>
      <c r="BH4341" s="2">
        <v>1</v>
      </c>
      <c r="BI4341" s="2">
        <v>1</v>
      </c>
      <c r="BJ4341" s="2">
        <v>0.2</v>
      </c>
      <c r="BK4341" s="2">
        <v>1</v>
      </c>
      <c r="BL4341" s="2">
        <v>41.44</v>
      </c>
      <c r="BM4341" s="2">
        <v>5.8</v>
      </c>
      <c r="BN4341" s="2">
        <v>47.24</v>
      </c>
      <c r="BO4341" s="2">
        <v>47.24</v>
      </c>
      <c r="BP4341" s="2"/>
      <c r="BQ4341" s="2" t="s">
        <v>1492</v>
      </c>
      <c r="BR4341" s="2" t="s">
        <v>84</v>
      </c>
      <c r="BS4341" s="3">
        <v>42951</v>
      </c>
      <c r="BT4341" s="4">
        <v>0.43958333333333338</v>
      </c>
      <c r="BU4341" s="2" t="s">
        <v>1074</v>
      </c>
      <c r="BV4341" s="2" t="s">
        <v>95</v>
      </c>
      <c r="BW4341" s="2"/>
      <c r="BX4341" s="2"/>
      <c r="BY4341" s="2">
        <v>1200</v>
      </c>
      <c r="BZ4341" s="2" t="s">
        <v>27</v>
      </c>
      <c r="CA4341" s="2" t="s">
        <v>654</v>
      </c>
      <c r="CB4341" s="2"/>
      <c r="CC4341" s="2" t="s">
        <v>106</v>
      </c>
      <c r="CD4341" s="2">
        <v>7490</v>
      </c>
      <c r="CE4341" s="2" t="s">
        <v>104</v>
      </c>
      <c r="CF4341" s="5">
        <v>42954</v>
      </c>
      <c r="CG4341" s="2"/>
      <c r="CH4341" s="2"/>
      <c r="CI4341" s="2">
        <v>1</v>
      </c>
      <c r="CJ4341" s="2">
        <v>1</v>
      </c>
      <c r="CK4341" s="2">
        <v>21</v>
      </c>
      <c r="CL4341" s="2" t="s">
        <v>86</v>
      </c>
      <c r="CM4341" s="2"/>
    </row>
    <row r="4342" spans="1:91">
      <c r="A4342" s="2" t="s">
        <v>71</v>
      </c>
      <c r="B4342" s="2" t="s">
        <v>72</v>
      </c>
      <c r="C4342" s="2" t="s">
        <v>73</v>
      </c>
      <c r="D4342" s="2"/>
      <c r="E4342" s="2" t="str">
        <f>"FES1162566626"</f>
        <v>FES1162566626</v>
      </c>
      <c r="F4342" s="3">
        <v>42950</v>
      </c>
      <c r="G4342" s="2">
        <v>201802</v>
      </c>
      <c r="H4342" s="2" t="s">
        <v>74</v>
      </c>
      <c r="I4342" s="2" t="s">
        <v>75</v>
      </c>
      <c r="J4342" s="2" t="s">
        <v>76</v>
      </c>
      <c r="K4342" s="2" t="s">
        <v>77</v>
      </c>
      <c r="L4342" s="2" t="s">
        <v>841</v>
      </c>
      <c r="M4342" s="2" t="s">
        <v>842</v>
      </c>
      <c r="N4342" s="2" t="s">
        <v>843</v>
      </c>
      <c r="O4342" s="2" t="s">
        <v>100</v>
      </c>
      <c r="P4342" s="2" t="str">
        <f>"2170582956                    "</f>
        <v xml:space="preserve">2170582956                    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7.75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0</v>
      </c>
      <c r="AU4342" s="2">
        <v>0</v>
      </c>
      <c r="AV4342" s="2">
        <v>0</v>
      </c>
      <c r="AW4342" s="2">
        <v>0</v>
      </c>
      <c r="AX4342" s="2">
        <v>0</v>
      </c>
      <c r="AY4342" s="2">
        <v>0</v>
      </c>
      <c r="AZ4342" s="2">
        <v>0</v>
      </c>
      <c r="BA4342" s="2">
        <v>0</v>
      </c>
      <c r="BB4342" s="2">
        <v>0</v>
      </c>
      <c r="BC4342" s="2">
        <v>0</v>
      </c>
      <c r="BD4342" s="2">
        <v>0</v>
      </c>
      <c r="BE4342" s="2">
        <v>0</v>
      </c>
      <c r="BF4342" s="2">
        <v>0</v>
      </c>
      <c r="BG4342" s="2">
        <v>0</v>
      </c>
      <c r="BH4342" s="2">
        <v>1</v>
      </c>
      <c r="BI4342" s="2">
        <v>0.8</v>
      </c>
      <c r="BJ4342" s="2">
        <v>0.8</v>
      </c>
      <c r="BK4342" s="2">
        <v>1</v>
      </c>
      <c r="BL4342" s="2">
        <v>80.290000000000006</v>
      </c>
      <c r="BM4342" s="2">
        <v>11.24</v>
      </c>
      <c r="BN4342" s="2">
        <v>91.53</v>
      </c>
      <c r="BO4342" s="2">
        <v>91.53</v>
      </c>
      <c r="BP4342" s="2"/>
      <c r="BQ4342" s="2" t="s">
        <v>83</v>
      </c>
      <c r="BR4342" s="2" t="s">
        <v>84</v>
      </c>
      <c r="BS4342" s="3">
        <v>42951</v>
      </c>
      <c r="BT4342" s="4">
        <v>0.58333333333333337</v>
      </c>
      <c r="BU4342" s="2" t="s">
        <v>844</v>
      </c>
      <c r="BV4342" s="2" t="s">
        <v>95</v>
      </c>
      <c r="BW4342" s="2"/>
      <c r="BX4342" s="2"/>
      <c r="BY4342" s="2">
        <v>4021.92</v>
      </c>
      <c r="BZ4342" s="2" t="s">
        <v>27</v>
      </c>
      <c r="CA4342" s="2" t="s">
        <v>845</v>
      </c>
      <c r="CB4342" s="2"/>
      <c r="CC4342" s="2" t="s">
        <v>842</v>
      </c>
      <c r="CD4342" s="2">
        <v>3370</v>
      </c>
      <c r="CE4342" s="2" t="s">
        <v>104</v>
      </c>
      <c r="CF4342" s="5">
        <v>42955</v>
      </c>
      <c r="CG4342" s="2"/>
      <c r="CH4342" s="2"/>
      <c r="CI4342" s="2">
        <v>3</v>
      </c>
      <c r="CJ4342" s="2">
        <v>1</v>
      </c>
      <c r="CK4342" s="2">
        <v>23</v>
      </c>
      <c r="CL4342" s="2" t="s">
        <v>86</v>
      </c>
      <c r="CM4342" s="2"/>
    </row>
    <row r="4343" spans="1:91">
      <c r="A4343" s="2" t="s">
        <v>71</v>
      </c>
      <c r="B4343" s="2" t="s">
        <v>72</v>
      </c>
      <c r="C4343" s="2" t="s">
        <v>73</v>
      </c>
      <c r="D4343" s="2"/>
      <c r="E4343" s="2" t="str">
        <f>"FES1162566792"</f>
        <v>FES1162566792</v>
      </c>
      <c r="F4343" s="3">
        <v>42950</v>
      </c>
      <c r="G4343" s="2">
        <v>201802</v>
      </c>
      <c r="H4343" s="2" t="s">
        <v>74</v>
      </c>
      <c r="I4343" s="2" t="s">
        <v>75</v>
      </c>
      <c r="J4343" s="2" t="s">
        <v>76</v>
      </c>
      <c r="K4343" s="2" t="s">
        <v>77</v>
      </c>
      <c r="L4343" s="2" t="s">
        <v>417</v>
      </c>
      <c r="M4343" s="2" t="s">
        <v>417</v>
      </c>
      <c r="N4343" s="2" t="s">
        <v>475</v>
      </c>
      <c r="O4343" s="2" t="s">
        <v>100</v>
      </c>
      <c r="P4343" s="2" t="str">
        <f>"2170583039                    "</f>
        <v xml:space="preserve">2170583039                    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4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0</v>
      </c>
      <c r="AU4343" s="2">
        <v>0</v>
      </c>
      <c r="AV4343" s="2">
        <v>0</v>
      </c>
      <c r="AW4343" s="2">
        <v>0</v>
      </c>
      <c r="AX4343" s="2">
        <v>0</v>
      </c>
      <c r="AY4343" s="2">
        <v>0</v>
      </c>
      <c r="AZ4343" s="2">
        <v>0</v>
      </c>
      <c r="BA4343" s="2">
        <v>0</v>
      </c>
      <c r="BB4343" s="2">
        <v>0</v>
      </c>
      <c r="BC4343" s="2">
        <v>0</v>
      </c>
      <c r="BD4343" s="2">
        <v>0</v>
      </c>
      <c r="BE4343" s="2">
        <v>0</v>
      </c>
      <c r="BF4343" s="2">
        <v>0</v>
      </c>
      <c r="BG4343" s="2">
        <v>0</v>
      </c>
      <c r="BH4343" s="2">
        <v>1</v>
      </c>
      <c r="BI4343" s="2">
        <v>1</v>
      </c>
      <c r="BJ4343" s="2">
        <v>0.2</v>
      </c>
      <c r="BK4343" s="2">
        <v>1</v>
      </c>
      <c r="BL4343" s="2">
        <v>41.44</v>
      </c>
      <c r="BM4343" s="2">
        <v>5.8</v>
      </c>
      <c r="BN4343" s="2">
        <v>47.24</v>
      </c>
      <c r="BO4343" s="2">
        <v>47.24</v>
      </c>
      <c r="BP4343" s="2"/>
      <c r="BQ4343" s="2" t="s">
        <v>108</v>
      </c>
      <c r="BR4343" s="2" t="s">
        <v>84</v>
      </c>
      <c r="BS4343" s="3">
        <v>42951</v>
      </c>
      <c r="BT4343" s="4">
        <v>0.4513888888888889</v>
      </c>
      <c r="BU4343" s="2" t="s">
        <v>2029</v>
      </c>
      <c r="BV4343" s="2"/>
      <c r="BW4343" s="2"/>
      <c r="BX4343" s="2"/>
      <c r="BY4343" s="2">
        <v>1200</v>
      </c>
      <c r="BZ4343" s="2" t="s">
        <v>27</v>
      </c>
      <c r="CA4343" s="2"/>
      <c r="CB4343" s="2"/>
      <c r="CC4343" s="2" t="s">
        <v>417</v>
      </c>
      <c r="CD4343" s="2">
        <v>7646</v>
      </c>
      <c r="CE4343" s="2" t="s">
        <v>104</v>
      </c>
      <c r="CF4343" s="5">
        <v>42951</v>
      </c>
      <c r="CG4343" s="2"/>
      <c r="CH4343" s="2"/>
      <c r="CI4343" s="2">
        <v>0</v>
      </c>
      <c r="CJ4343" s="2">
        <v>0</v>
      </c>
      <c r="CK4343" s="2">
        <v>21</v>
      </c>
      <c r="CL4343" s="2" t="s">
        <v>86</v>
      </c>
      <c r="CM4343" s="2"/>
    </row>
    <row r="4344" spans="1:91">
      <c r="A4344" s="2" t="s">
        <v>71</v>
      </c>
      <c r="B4344" s="2" t="s">
        <v>72</v>
      </c>
      <c r="C4344" s="2" t="s">
        <v>73</v>
      </c>
      <c r="D4344" s="2"/>
      <c r="E4344" s="2" t="str">
        <f>"FES1162566741"</f>
        <v>FES1162566741</v>
      </c>
      <c r="F4344" s="3">
        <v>42950</v>
      </c>
      <c r="G4344" s="2">
        <v>201802</v>
      </c>
      <c r="H4344" s="2" t="s">
        <v>74</v>
      </c>
      <c r="I4344" s="2" t="s">
        <v>75</v>
      </c>
      <c r="J4344" s="2" t="s">
        <v>76</v>
      </c>
      <c r="K4344" s="2" t="s">
        <v>77</v>
      </c>
      <c r="L4344" s="2" t="s">
        <v>362</v>
      </c>
      <c r="M4344" s="2" t="s">
        <v>363</v>
      </c>
      <c r="N4344" s="2" t="s">
        <v>683</v>
      </c>
      <c r="O4344" s="2" t="s">
        <v>100</v>
      </c>
      <c r="P4344" s="2" t="str">
        <f>"2170574768                    "</f>
        <v xml:space="preserve">2170574768                    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4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0</v>
      </c>
      <c r="AU4344" s="2">
        <v>0</v>
      </c>
      <c r="AV4344" s="2">
        <v>0</v>
      </c>
      <c r="AW4344" s="2">
        <v>0</v>
      </c>
      <c r="AX4344" s="2">
        <v>0</v>
      </c>
      <c r="AY4344" s="2">
        <v>0</v>
      </c>
      <c r="AZ4344" s="2">
        <v>0</v>
      </c>
      <c r="BA4344" s="2">
        <v>0</v>
      </c>
      <c r="BB4344" s="2">
        <v>0</v>
      </c>
      <c r="BC4344" s="2">
        <v>0</v>
      </c>
      <c r="BD4344" s="2">
        <v>0</v>
      </c>
      <c r="BE4344" s="2">
        <v>0</v>
      </c>
      <c r="BF4344" s="2">
        <v>0</v>
      </c>
      <c r="BG4344" s="2">
        <v>0</v>
      </c>
      <c r="BH4344" s="2">
        <v>1</v>
      </c>
      <c r="BI4344" s="2">
        <v>0.5</v>
      </c>
      <c r="BJ4344" s="2">
        <v>0.2</v>
      </c>
      <c r="BK4344" s="2">
        <v>0.5</v>
      </c>
      <c r="BL4344" s="2">
        <v>41.44</v>
      </c>
      <c r="BM4344" s="2">
        <v>5.8</v>
      </c>
      <c r="BN4344" s="2">
        <v>47.24</v>
      </c>
      <c r="BO4344" s="2">
        <v>47.24</v>
      </c>
      <c r="BP4344" s="2"/>
      <c r="BQ4344" s="2" t="s">
        <v>108</v>
      </c>
      <c r="BR4344" s="2" t="s">
        <v>84</v>
      </c>
      <c r="BS4344" s="3">
        <v>42951</v>
      </c>
      <c r="BT4344" s="4">
        <v>0.4375</v>
      </c>
      <c r="BU4344" s="2" t="s">
        <v>805</v>
      </c>
      <c r="BV4344" s="2" t="s">
        <v>95</v>
      </c>
      <c r="BW4344" s="2"/>
      <c r="BX4344" s="2"/>
      <c r="BY4344" s="2">
        <v>1200</v>
      </c>
      <c r="BZ4344" s="2" t="s">
        <v>27</v>
      </c>
      <c r="CA4344" s="2"/>
      <c r="CB4344" s="2"/>
      <c r="CC4344" s="2" t="s">
        <v>363</v>
      </c>
      <c r="CD4344" s="2">
        <v>3201</v>
      </c>
      <c r="CE4344" s="2" t="s">
        <v>104</v>
      </c>
      <c r="CF4344" s="5">
        <v>42954</v>
      </c>
      <c r="CG4344" s="2"/>
      <c r="CH4344" s="2"/>
      <c r="CI4344" s="2">
        <v>1</v>
      </c>
      <c r="CJ4344" s="2">
        <v>1</v>
      </c>
      <c r="CK4344" s="2">
        <v>21</v>
      </c>
      <c r="CL4344" s="2" t="s">
        <v>86</v>
      </c>
      <c r="CM4344" s="2"/>
    </row>
    <row r="4345" spans="1:91">
      <c r="A4345" s="2" t="s">
        <v>71</v>
      </c>
      <c r="B4345" s="2" t="s">
        <v>72</v>
      </c>
      <c r="C4345" s="2" t="s">
        <v>73</v>
      </c>
      <c r="D4345" s="2"/>
      <c r="E4345" s="2" t="str">
        <f>"FES1162566761"</f>
        <v>FES1162566761</v>
      </c>
      <c r="F4345" s="3">
        <v>42950</v>
      </c>
      <c r="G4345" s="2">
        <v>201802</v>
      </c>
      <c r="H4345" s="2" t="s">
        <v>74</v>
      </c>
      <c r="I4345" s="2" t="s">
        <v>75</v>
      </c>
      <c r="J4345" s="2" t="s">
        <v>76</v>
      </c>
      <c r="K4345" s="2" t="s">
        <v>77</v>
      </c>
      <c r="L4345" s="2" t="s">
        <v>105</v>
      </c>
      <c r="M4345" s="2" t="s">
        <v>106</v>
      </c>
      <c r="N4345" s="2" t="s">
        <v>486</v>
      </c>
      <c r="O4345" s="2" t="s">
        <v>100</v>
      </c>
      <c r="P4345" s="2" t="str">
        <f>"2170579857                    "</f>
        <v xml:space="preserve">2170579857                    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4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0</v>
      </c>
      <c r="AU4345" s="2">
        <v>0</v>
      </c>
      <c r="AV4345" s="2">
        <v>0</v>
      </c>
      <c r="AW4345" s="2">
        <v>0</v>
      </c>
      <c r="AX4345" s="2">
        <v>0</v>
      </c>
      <c r="AY4345" s="2">
        <v>0</v>
      </c>
      <c r="AZ4345" s="2">
        <v>0</v>
      </c>
      <c r="BA4345" s="2">
        <v>0</v>
      </c>
      <c r="BB4345" s="2">
        <v>0</v>
      </c>
      <c r="BC4345" s="2">
        <v>0</v>
      </c>
      <c r="BD4345" s="2">
        <v>0</v>
      </c>
      <c r="BE4345" s="2">
        <v>0</v>
      </c>
      <c r="BF4345" s="2">
        <v>0</v>
      </c>
      <c r="BG4345" s="2">
        <v>0</v>
      </c>
      <c r="BH4345" s="2">
        <v>1</v>
      </c>
      <c r="BI4345" s="2">
        <v>1</v>
      </c>
      <c r="BJ4345" s="2">
        <v>0.2</v>
      </c>
      <c r="BK4345" s="2">
        <v>1</v>
      </c>
      <c r="BL4345" s="2">
        <v>41.44</v>
      </c>
      <c r="BM4345" s="2">
        <v>5.8</v>
      </c>
      <c r="BN4345" s="2">
        <v>47.24</v>
      </c>
      <c r="BO4345" s="2">
        <v>47.24</v>
      </c>
      <c r="BP4345" s="2"/>
      <c r="BQ4345" s="2" t="s">
        <v>365</v>
      </c>
      <c r="BR4345" s="2" t="s">
        <v>84</v>
      </c>
      <c r="BS4345" s="3">
        <v>42951</v>
      </c>
      <c r="BT4345" s="4">
        <v>0.41666666666666669</v>
      </c>
      <c r="BU4345" s="2" t="s">
        <v>3943</v>
      </c>
      <c r="BV4345" s="2" t="s">
        <v>95</v>
      </c>
      <c r="BW4345" s="2"/>
      <c r="BX4345" s="2"/>
      <c r="BY4345" s="2">
        <v>1200</v>
      </c>
      <c r="BZ4345" s="2" t="s">
        <v>27</v>
      </c>
      <c r="CA4345" s="2"/>
      <c r="CB4345" s="2"/>
      <c r="CC4345" s="2" t="s">
        <v>106</v>
      </c>
      <c r="CD4345" s="2">
        <v>7441</v>
      </c>
      <c r="CE4345" s="2" t="s">
        <v>104</v>
      </c>
      <c r="CF4345" s="5">
        <v>42954</v>
      </c>
      <c r="CG4345" s="2"/>
      <c r="CH4345" s="2"/>
      <c r="CI4345" s="2">
        <v>1</v>
      </c>
      <c r="CJ4345" s="2">
        <v>1</v>
      </c>
      <c r="CK4345" s="2">
        <v>21</v>
      </c>
      <c r="CL4345" s="2" t="s">
        <v>86</v>
      </c>
      <c r="CM4345" s="2"/>
    </row>
    <row r="4346" spans="1:91">
      <c r="A4346" s="2" t="s">
        <v>71</v>
      </c>
      <c r="B4346" s="2" t="s">
        <v>72</v>
      </c>
      <c r="C4346" s="2" t="s">
        <v>73</v>
      </c>
      <c r="D4346" s="2"/>
      <c r="E4346" s="2" t="str">
        <f>"FES1162566747"</f>
        <v>FES1162566747</v>
      </c>
      <c r="F4346" s="3">
        <v>42950</v>
      </c>
      <c r="G4346" s="2">
        <v>201802</v>
      </c>
      <c r="H4346" s="2" t="s">
        <v>74</v>
      </c>
      <c r="I4346" s="2" t="s">
        <v>75</v>
      </c>
      <c r="J4346" s="2" t="s">
        <v>76</v>
      </c>
      <c r="K4346" s="2" t="s">
        <v>77</v>
      </c>
      <c r="L4346" s="2" t="s">
        <v>268</v>
      </c>
      <c r="M4346" s="2" t="s">
        <v>269</v>
      </c>
      <c r="N4346" s="2" t="s">
        <v>2821</v>
      </c>
      <c r="O4346" s="2" t="s">
        <v>100</v>
      </c>
      <c r="P4346" s="2" t="str">
        <f>"2170577980                    "</f>
        <v xml:space="preserve">2170577980                    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4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0</v>
      </c>
      <c r="AU4346" s="2">
        <v>0</v>
      </c>
      <c r="AV4346" s="2">
        <v>0</v>
      </c>
      <c r="AW4346" s="2">
        <v>0</v>
      </c>
      <c r="AX4346" s="2">
        <v>0</v>
      </c>
      <c r="AY4346" s="2">
        <v>0</v>
      </c>
      <c r="AZ4346" s="2">
        <v>0</v>
      </c>
      <c r="BA4346" s="2">
        <v>0</v>
      </c>
      <c r="BB4346" s="2">
        <v>0</v>
      </c>
      <c r="BC4346" s="2">
        <v>0</v>
      </c>
      <c r="BD4346" s="2">
        <v>0</v>
      </c>
      <c r="BE4346" s="2">
        <v>0</v>
      </c>
      <c r="BF4346" s="2">
        <v>0</v>
      </c>
      <c r="BG4346" s="2">
        <v>0</v>
      </c>
      <c r="BH4346" s="2">
        <v>1</v>
      </c>
      <c r="BI4346" s="2">
        <v>1</v>
      </c>
      <c r="BJ4346" s="2">
        <v>0.2</v>
      </c>
      <c r="BK4346" s="2">
        <v>1</v>
      </c>
      <c r="BL4346" s="2">
        <v>41.44</v>
      </c>
      <c r="BM4346" s="2">
        <v>5.8</v>
      </c>
      <c r="BN4346" s="2">
        <v>47.24</v>
      </c>
      <c r="BO4346" s="2">
        <v>47.24</v>
      </c>
      <c r="BP4346" s="2"/>
      <c r="BQ4346" s="2"/>
      <c r="BR4346" s="2" t="s">
        <v>84</v>
      </c>
      <c r="BS4346" s="3">
        <v>42951</v>
      </c>
      <c r="BT4346" s="4">
        <v>0.41666666666666669</v>
      </c>
      <c r="BU4346" s="2" t="s">
        <v>670</v>
      </c>
      <c r="BV4346" s="2" t="s">
        <v>95</v>
      </c>
      <c r="BW4346" s="2"/>
      <c r="BX4346" s="2"/>
      <c r="BY4346" s="2">
        <v>1200</v>
      </c>
      <c r="BZ4346" s="2" t="s">
        <v>27</v>
      </c>
      <c r="CA4346" s="2"/>
      <c r="CB4346" s="2"/>
      <c r="CC4346" s="2" t="s">
        <v>269</v>
      </c>
      <c r="CD4346" s="2">
        <v>200</v>
      </c>
      <c r="CE4346" s="2" t="s">
        <v>104</v>
      </c>
      <c r="CF4346" s="5">
        <v>42954</v>
      </c>
      <c r="CG4346" s="2"/>
      <c r="CH4346" s="2"/>
      <c r="CI4346" s="2">
        <v>1</v>
      </c>
      <c r="CJ4346" s="2">
        <v>1</v>
      </c>
      <c r="CK4346" s="2">
        <v>21</v>
      </c>
      <c r="CL4346" s="2" t="s">
        <v>86</v>
      </c>
      <c r="CM4346" s="2"/>
    </row>
    <row r="4347" spans="1:91">
      <c r="A4347" s="2" t="s">
        <v>71</v>
      </c>
      <c r="B4347" s="2" t="s">
        <v>72</v>
      </c>
      <c r="C4347" s="2" t="s">
        <v>73</v>
      </c>
      <c r="D4347" s="2"/>
      <c r="E4347" s="2" t="str">
        <f>"FES1162566742"</f>
        <v>FES1162566742</v>
      </c>
      <c r="F4347" s="3">
        <v>42950</v>
      </c>
      <c r="G4347" s="2">
        <v>201802</v>
      </c>
      <c r="H4347" s="2" t="s">
        <v>74</v>
      </c>
      <c r="I4347" s="2" t="s">
        <v>75</v>
      </c>
      <c r="J4347" s="2" t="s">
        <v>76</v>
      </c>
      <c r="K4347" s="2" t="s">
        <v>77</v>
      </c>
      <c r="L4347" s="2" t="s">
        <v>362</v>
      </c>
      <c r="M4347" s="2" t="s">
        <v>363</v>
      </c>
      <c r="N4347" s="2" t="s">
        <v>683</v>
      </c>
      <c r="O4347" s="2" t="s">
        <v>100</v>
      </c>
      <c r="P4347" s="2" t="str">
        <f>"2170574768                    "</f>
        <v xml:space="preserve">2170574768                    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0</v>
      </c>
      <c r="Z4347" s="2">
        <v>0</v>
      </c>
      <c r="AA4347" s="2">
        <v>0</v>
      </c>
      <c r="AB4347" s="2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4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0</v>
      </c>
      <c r="AU4347" s="2">
        <v>0</v>
      </c>
      <c r="AV4347" s="2">
        <v>0</v>
      </c>
      <c r="AW4347" s="2">
        <v>0</v>
      </c>
      <c r="AX4347" s="2">
        <v>0</v>
      </c>
      <c r="AY4347" s="2">
        <v>0</v>
      </c>
      <c r="AZ4347" s="2">
        <v>0</v>
      </c>
      <c r="BA4347" s="2">
        <v>0</v>
      </c>
      <c r="BB4347" s="2">
        <v>0</v>
      </c>
      <c r="BC4347" s="2">
        <v>0</v>
      </c>
      <c r="BD4347" s="2">
        <v>0</v>
      </c>
      <c r="BE4347" s="2">
        <v>0</v>
      </c>
      <c r="BF4347" s="2">
        <v>0</v>
      </c>
      <c r="BG4347" s="2">
        <v>0</v>
      </c>
      <c r="BH4347" s="2">
        <v>1</v>
      </c>
      <c r="BI4347" s="2">
        <v>0.5</v>
      </c>
      <c r="BJ4347" s="2">
        <v>0.2</v>
      </c>
      <c r="BK4347" s="2">
        <v>0.5</v>
      </c>
      <c r="BL4347" s="2">
        <v>41.44</v>
      </c>
      <c r="BM4347" s="2">
        <v>5.8</v>
      </c>
      <c r="BN4347" s="2">
        <v>47.24</v>
      </c>
      <c r="BO4347" s="2">
        <v>47.24</v>
      </c>
      <c r="BP4347" s="2"/>
      <c r="BQ4347" s="2">
        <v>1162566742</v>
      </c>
      <c r="BR4347" s="2" t="s">
        <v>84</v>
      </c>
      <c r="BS4347" s="3">
        <v>42951</v>
      </c>
      <c r="BT4347" s="4">
        <v>0.4375</v>
      </c>
      <c r="BU4347" s="2" t="s">
        <v>805</v>
      </c>
      <c r="BV4347" s="2" t="s">
        <v>95</v>
      </c>
      <c r="BW4347" s="2"/>
      <c r="BX4347" s="2"/>
      <c r="BY4347" s="2">
        <v>1200</v>
      </c>
      <c r="BZ4347" s="2" t="s">
        <v>27</v>
      </c>
      <c r="CA4347" s="2"/>
      <c r="CB4347" s="2"/>
      <c r="CC4347" s="2" t="s">
        <v>363</v>
      </c>
      <c r="CD4347" s="2">
        <v>3201</v>
      </c>
      <c r="CE4347" s="2" t="s">
        <v>104</v>
      </c>
      <c r="CF4347" s="5">
        <v>42954</v>
      </c>
      <c r="CG4347" s="2"/>
      <c r="CH4347" s="2"/>
      <c r="CI4347" s="2">
        <v>1</v>
      </c>
      <c r="CJ4347" s="2">
        <v>1</v>
      </c>
      <c r="CK4347" s="2">
        <v>21</v>
      </c>
      <c r="CL4347" s="2" t="s">
        <v>86</v>
      </c>
      <c r="CM4347" s="2"/>
    </row>
    <row r="4348" spans="1:91">
      <c r="A4348" s="2" t="s">
        <v>71</v>
      </c>
      <c r="B4348" s="2" t="s">
        <v>72</v>
      </c>
      <c r="C4348" s="2" t="s">
        <v>73</v>
      </c>
      <c r="D4348" s="2"/>
      <c r="E4348" s="2" t="str">
        <f>"FES1162566768"</f>
        <v>FES1162566768</v>
      </c>
      <c r="F4348" s="3">
        <v>42950</v>
      </c>
      <c r="G4348" s="2">
        <v>201802</v>
      </c>
      <c r="H4348" s="2" t="s">
        <v>74</v>
      </c>
      <c r="I4348" s="2" t="s">
        <v>75</v>
      </c>
      <c r="J4348" s="2" t="s">
        <v>76</v>
      </c>
      <c r="K4348" s="2" t="s">
        <v>77</v>
      </c>
      <c r="L4348" s="2" t="s">
        <v>268</v>
      </c>
      <c r="M4348" s="2" t="s">
        <v>269</v>
      </c>
      <c r="N4348" s="2" t="s">
        <v>351</v>
      </c>
      <c r="O4348" s="2" t="s">
        <v>100</v>
      </c>
      <c r="P4348" s="2" t="str">
        <f>"2170581009                    "</f>
        <v xml:space="preserve">2170581009                    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4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0</v>
      </c>
      <c r="AU4348" s="2">
        <v>0</v>
      </c>
      <c r="AV4348" s="2">
        <v>0</v>
      </c>
      <c r="AW4348" s="2">
        <v>0</v>
      </c>
      <c r="AX4348" s="2">
        <v>0</v>
      </c>
      <c r="AY4348" s="2">
        <v>0</v>
      </c>
      <c r="AZ4348" s="2">
        <v>0</v>
      </c>
      <c r="BA4348" s="2">
        <v>0</v>
      </c>
      <c r="BB4348" s="2">
        <v>0</v>
      </c>
      <c r="BC4348" s="2">
        <v>0</v>
      </c>
      <c r="BD4348" s="2">
        <v>0</v>
      </c>
      <c r="BE4348" s="2">
        <v>0</v>
      </c>
      <c r="BF4348" s="2">
        <v>0</v>
      </c>
      <c r="BG4348" s="2">
        <v>0</v>
      </c>
      <c r="BH4348" s="2">
        <v>1</v>
      </c>
      <c r="BI4348" s="2">
        <v>1</v>
      </c>
      <c r="BJ4348" s="2">
        <v>0.2</v>
      </c>
      <c r="BK4348" s="2">
        <v>1</v>
      </c>
      <c r="BL4348" s="2">
        <v>41.44</v>
      </c>
      <c r="BM4348" s="2">
        <v>5.8</v>
      </c>
      <c r="BN4348" s="2">
        <v>47.24</v>
      </c>
      <c r="BO4348" s="2">
        <v>47.24</v>
      </c>
      <c r="BP4348" s="2"/>
      <c r="BQ4348" s="2" t="s">
        <v>108</v>
      </c>
      <c r="BR4348" s="2" t="s">
        <v>84</v>
      </c>
      <c r="BS4348" s="3">
        <v>42951</v>
      </c>
      <c r="BT4348" s="4">
        <v>0.4236111111111111</v>
      </c>
      <c r="BU4348" s="2" t="s">
        <v>1671</v>
      </c>
      <c r="BV4348" s="2" t="s">
        <v>95</v>
      </c>
      <c r="BW4348" s="2"/>
      <c r="BX4348" s="2"/>
      <c r="BY4348" s="2">
        <v>1200</v>
      </c>
      <c r="BZ4348" s="2" t="s">
        <v>27</v>
      </c>
      <c r="CA4348" s="2"/>
      <c r="CB4348" s="2"/>
      <c r="CC4348" s="2" t="s">
        <v>269</v>
      </c>
      <c r="CD4348" s="2">
        <v>200</v>
      </c>
      <c r="CE4348" s="2" t="s">
        <v>104</v>
      </c>
      <c r="CF4348" s="5">
        <v>42954</v>
      </c>
      <c r="CG4348" s="2"/>
      <c r="CH4348" s="2"/>
      <c r="CI4348" s="2">
        <v>1</v>
      </c>
      <c r="CJ4348" s="2">
        <v>1</v>
      </c>
      <c r="CK4348" s="2">
        <v>21</v>
      </c>
      <c r="CL4348" s="2" t="s">
        <v>86</v>
      </c>
      <c r="CM4348" s="2"/>
    </row>
    <row r="4349" spans="1:91">
      <c r="A4349" s="2" t="s">
        <v>71</v>
      </c>
      <c r="B4349" s="2" t="s">
        <v>72</v>
      </c>
      <c r="C4349" s="2" t="s">
        <v>73</v>
      </c>
      <c r="D4349" s="2"/>
      <c r="E4349" s="2" t="str">
        <f>"FES1162566712"</f>
        <v>FES1162566712</v>
      </c>
      <c r="F4349" s="3">
        <v>42950</v>
      </c>
      <c r="G4349" s="2">
        <v>201802</v>
      </c>
      <c r="H4349" s="2" t="s">
        <v>74</v>
      </c>
      <c r="I4349" s="2" t="s">
        <v>75</v>
      </c>
      <c r="J4349" s="2" t="s">
        <v>76</v>
      </c>
      <c r="K4349" s="2" t="s">
        <v>77</v>
      </c>
      <c r="L4349" s="2" t="s">
        <v>105</v>
      </c>
      <c r="M4349" s="2" t="s">
        <v>106</v>
      </c>
      <c r="N4349" s="2" t="s">
        <v>3979</v>
      </c>
      <c r="O4349" s="2" t="s">
        <v>100</v>
      </c>
      <c r="P4349" s="2" t="str">
        <f>"2170582051                    "</f>
        <v xml:space="preserve">2170582051                    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6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0</v>
      </c>
      <c r="AU4349" s="2">
        <v>0</v>
      </c>
      <c r="AV4349" s="2">
        <v>0</v>
      </c>
      <c r="AW4349" s="2">
        <v>0</v>
      </c>
      <c r="AX4349" s="2">
        <v>0</v>
      </c>
      <c r="AY4349" s="2">
        <v>0</v>
      </c>
      <c r="AZ4349" s="2">
        <v>0</v>
      </c>
      <c r="BA4349" s="2">
        <v>0</v>
      </c>
      <c r="BB4349" s="2">
        <v>0</v>
      </c>
      <c r="BC4349" s="2">
        <v>0</v>
      </c>
      <c r="BD4349" s="2">
        <v>0</v>
      </c>
      <c r="BE4349" s="2">
        <v>0</v>
      </c>
      <c r="BF4349" s="2">
        <v>0</v>
      </c>
      <c r="BG4349" s="2">
        <v>0</v>
      </c>
      <c r="BH4349" s="2">
        <v>1</v>
      </c>
      <c r="BI4349" s="2">
        <v>3</v>
      </c>
      <c r="BJ4349" s="2">
        <v>0.4</v>
      </c>
      <c r="BK4349" s="2">
        <v>3</v>
      </c>
      <c r="BL4349" s="2">
        <v>62.16</v>
      </c>
      <c r="BM4349" s="2">
        <v>8.6999999999999993</v>
      </c>
      <c r="BN4349" s="2">
        <v>70.86</v>
      </c>
      <c r="BO4349" s="2">
        <v>70.86</v>
      </c>
      <c r="BP4349" s="2"/>
      <c r="BQ4349" s="2"/>
      <c r="BR4349" s="2" t="s">
        <v>84</v>
      </c>
      <c r="BS4349" s="3">
        <v>42951</v>
      </c>
      <c r="BT4349" s="4">
        <v>0.5</v>
      </c>
      <c r="BU4349" s="2" t="s">
        <v>3980</v>
      </c>
      <c r="BV4349" s="2" t="s">
        <v>86</v>
      </c>
      <c r="BW4349" s="2"/>
      <c r="BX4349" s="2"/>
      <c r="BY4349" s="2">
        <v>1872</v>
      </c>
      <c r="BZ4349" s="2" t="s">
        <v>27</v>
      </c>
      <c r="CA4349" s="2"/>
      <c r="CB4349" s="2"/>
      <c r="CC4349" s="2" t="s">
        <v>106</v>
      </c>
      <c r="CD4349" s="2">
        <v>7580</v>
      </c>
      <c r="CE4349" s="2" t="s">
        <v>948</v>
      </c>
      <c r="CF4349" s="5">
        <v>42954</v>
      </c>
      <c r="CG4349" s="2"/>
      <c r="CH4349" s="2"/>
      <c r="CI4349" s="2">
        <v>1</v>
      </c>
      <c r="CJ4349" s="2">
        <v>1</v>
      </c>
      <c r="CK4349" s="2">
        <v>21</v>
      </c>
      <c r="CL4349" s="2" t="s">
        <v>86</v>
      </c>
      <c r="CM4349" s="2"/>
    </row>
    <row r="4350" spans="1:91">
      <c r="A4350" s="2" t="s">
        <v>71</v>
      </c>
      <c r="B4350" s="2" t="s">
        <v>72</v>
      </c>
      <c r="C4350" s="2" t="s">
        <v>73</v>
      </c>
      <c r="D4350" s="2"/>
      <c r="E4350" s="2" t="str">
        <f>"FES1162566652"</f>
        <v>FES1162566652</v>
      </c>
      <c r="F4350" s="3">
        <v>42950</v>
      </c>
      <c r="G4350" s="2">
        <v>201802</v>
      </c>
      <c r="H4350" s="2" t="s">
        <v>74</v>
      </c>
      <c r="I4350" s="2" t="s">
        <v>75</v>
      </c>
      <c r="J4350" s="2" t="s">
        <v>76</v>
      </c>
      <c r="K4350" s="2" t="s">
        <v>77</v>
      </c>
      <c r="L4350" s="2" t="s">
        <v>74</v>
      </c>
      <c r="M4350" s="2" t="s">
        <v>75</v>
      </c>
      <c r="N4350" s="2" t="s">
        <v>329</v>
      </c>
      <c r="O4350" s="2" t="s">
        <v>100</v>
      </c>
      <c r="P4350" s="2" t="str">
        <f>"2170579338                    "</f>
        <v xml:space="preserve">2170579338                    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3.13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0</v>
      </c>
      <c r="AU4350" s="2">
        <v>0</v>
      </c>
      <c r="AV4350" s="2">
        <v>0</v>
      </c>
      <c r="AW4350" s="2">
        <v>0</v>
      </c>
      <c r="AX4350" s="2">
        <v>0</v>
      </c>
      <c r="AY4350" s="2">
        <v>0</v>
      </c>
      <c r="AZ4350" s="2">
        <v>0</v>
      </c>
      <c r="BA4350" s="2">
        <v>0</v>
      </c>
      <c r="BB4350" s="2">
        <v>0</v>
      </c>
      <c r="BC4350" s="2">
        <v>0</v>
      </c>
      <c r="BD4350" s="2">
        <v>0</v>
      </c>
      <c r="BE4350" s="2">
        <v>0</v>
      </c>
      <c r="BF4350" s="2">
        <v>0</v>
      </c>
      <c r="BG4350" s="2">
        <v>0</v>
      </c>
      <c r="BH4350" s="2">
        <v>1</v>
      </c>
      <c r="BI4350" s="2">
        <v>1</v>
      </c>
      <c r="BJ4350" s="2">
        <v>0.2</v>
      </c>
      <c r="BK4350" s="2">
        <v>1</v>
      </c>
      <c r="BL4350" s="2">
        <v>32.380000000000003</v>
      </c>
      <c r="BM4350" s="2">
        <v>4.53</v>
      </c>
      <c r="BN4350" s="2">
        <v>36.909999999999997</v>
      </c>
      <c r="BO4350" s="2">
        <v>36.909999999999997</v>
      </c>
      <c r="BP4350" s="2"/>
      <c r="BQ4350" s="2" t="s">
        <v>83</v>
      </c>
      <c r="BR4350" s="2" t="s">
        <v>84</v>
      </c>
      <c r="BS4350" s="3">
        <v>42951</v>
      </c>
      <c r="BT4350" s="4">
        <v>0.3576388888888889</v>
      </c>
      <c r="BU4350" s="2" t="s">
        <v>3067</v>
      </c>
      <c r="BV4350" s="2" t="s">
        <v>95</v>
      </c>
      <c r="BW4350" s="2"/>
      <c r="BX4350" s="2"/>
      <c r="BY4350" s="2">
        <v>1200</v>
      </c>
      <c r="BZ4350" s="2" t="s">
        <v>27</v>
      </c>
      <c r="CA4350" s="2" t="s">
        <v>331</v>
      </c>
      <c r="CB4350" s="2"/>
      <c r="CC4350" s="2" t="s">
        <v>75</v>
      </c>
      <c r="CD4350" s="2">
        <v>1600</v>
      </c>
      <c r="CE4350" s="2" t="s">
        <v>104</v>
      </c>
      <c r="CF4350" s="5">
        <v>42954</v>
      </c>
      <c r="CG4350" s="2"/>
      <c r="CH4350" s="2"/>
      <c r="CI4350" s="2">
        <v>1</v>
      </c>
      <c r="CJ4350" s="2">
        <v>1</v>
      </c>
      <c r="CK4350" s="2">
        <v>22</v>
      </c>
      <c r="CL4350" s="2" t="s">
        <v>86</v>
      </c>
      <c r="CM4350" s="2"/>
    </row>
    <row r="4351" spans="1:91">
      <c r="A4351" s="2" t="s">
        <v>71</v>
      </c>
      <c r="B4351" s="2" t="s">
        <v>72</v>
      </c>
      <c r="C4351" s="2" t="s">
        <v>73</v>
      </c>
      <c r="D4351" s="2"/>
      <c r="E4351" s="2" t="str">
        <f>"FES1162566734"</f>
        <v>FES1162566734</v>
      </c>
      <c r="F4351" s="3">
        <v>42950</v>
      </c>
      <c r="G4351" s="2">
        <v>201802</v>
      </c>
      <c r="H4351" s="2" t="s">
        <v>74</v>
      </c>
      <c r="I4351" s="2" t="s">
        <v>75</v>
      </c>
      <c r="J4351" s="2" t="s">
        <v>76</v>
      </c>
      <c r="K4351" s="2" t="s">
        <v>77</v>
      </c>
      <c r="L4351" s="2" t="s">
        <v>237</v>
      </c>
      <c r="M4351" s="2" t="s">
        <v>238</v>
      </c>
      <c r="N4351" s="2" t="s">
        <v>3981</v>
      </c>
      <c r="O4351" s="2" t="s">
        <v>100</v>
      </c>
      <c r="P4351" s="2" t="str">
        <f>"2170583013                    "</f>
        <v xml:space="preserve">2170583013                    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4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0</v>
      </c>
      <c r="AU4351" s="2">
        <v>0</v>
      </c>
      <c r="AV4351" s="2">
        <v>0</v>
      </c>
      <c r="AW4351" s="2">
        <v>0</v>
      </c>
      <c r="AX4351" s="2">
        <v>0</v>
      </c>
      <c r="AY4351" s="2">
        <v>0</v>
      </c>
      <c r="AZ4351" s="2">
        <v>0</v>
      </c>
      <c r="BA4351" s="2">
        <v>0</v>
      </c>
      <c r="BB4351" s="2">
        <v>0</v>
      </c>
      <c r="BC4351" s="2">
        <v>0</v>
      </c>
      <c r="BD4351" s="2">
        <v>0</v>
      </c>
      <c r="BE4351" s="2">
        <v>0</v>
      </c>
      <c r="BF4351" s="2">
        <v>0</v>
      </c>
      <c r="BG4351" s="2">
        <v>0</v>
      </c>
      <c r="BH4351" s="2">
        <v>1</v>
      </c>
      <c r="BI4351" s="2">
        <v>1</v>
      </c>
      <c r="BJ4351" s="2">
        <v>0.2</v>
      </c>
      <c r="BK4351" s="2">
        <v>1</v>
      </c>
      <c r="BL4351" s="2">
        <v>41.44</v>
      </c>
      <c r="BM4351" s="2">
        <v>5.8</v>
      </c>
      <c r="BN4351" s="2">
        <v>47.24</v>
      </c>
      <c r="BO4351" s="2">
        <v>47.24</v>
      </c>
      <c r="BP4351" s="2"/>
      <c r="BQ4351" s="2" t="s">
        <v>83</v>
      </c>
      <c r="BR4351" s="2" t="s">
        <v>84</v>
      </c>
      <c r="BS4351" s="3">
        <v>42951</v>
      </c>
      <c r="BT4351" s="4">
        <v>0.43263888888888885</v>
      </c>
      <c r="BU4351" s="2" t="s">
        <v>1830</v>
      </c>
      <c r="BV4351" s="2" t="s">
        <v>95</v>
      </c>
      <c r="BW4351" s="2"/>
      <c r="BX4351" s="2"/>
      <c r="BY4351" s="2">
        <v>1200</v>
      </c>
      <c r="BZ4351" s="2" t="s">
        <v>27</v>
      </c>
      <c r="CA4351" s="2"/>
      <c r="CB4351" s="2"/>
      <c r="CC4351" s="2" t="s">
        <v>238</v>
      </c>
      <c r="CD4351" s="2">
        <v>3610</v>
      </c>
      <c r="CE4351" s="2" t="s">
        <v>104</v>
      </c>
      <c r="CF4351" s="5">
        <v>42953</v>
      </c>
      <c r="CG4351" s="2"/>
      <c r="CH4351" s="2"/>
      <c r="CI4351" s="2">
        <v>1</v>
      </c>
      <c r="CJ4351" s="2">
        <v>1</v>
      </c>
      <c r="CK4351" s="2">
        <v>21</v>
      </c>
      <c r="CL4351" s="2" t="s">
        <v>86</v>
      </c>
      <c r="CM4351" s="2"/>
    </row>
    <row r="4352" spans="1:91">
      <c r="A4352" s="2" t="s">
        <v>71</v>
      </c>
      <c r="B4352" s="2" t="s">
        <v>72</v>
      </c>
      <c r="C4352" s="2" t="s">
        <v>73</v>
      </c>
      <c r="D4352" s="2"/>
      <c r="E4352" s="2" t="str">
        <f>"FES1162566625"</f>
        <v>FES1162566625</v>
      </c>
      <c r="F4352" s="3">
        <v>42950</v>
      </c>
      <c r="G4352" s="2">
        <v>201802</v>
      </c>
      <c r="H4352" s="2" t="s">
        <v>74</v>
      </c>
      <c r="I4352" s="2" t="s">
        <v>75</v>
      </c>
      <c r="J4352" s="2" t="s">
        <v>76</v>
      </c>
      <c r="K4352" s="2" t="s">
        <v>77</v>
      </c>
      <c r="L4352" s="2" t="s">
        <v>268</v>
      </c>
      <c r="M4352" s="2" t="s">
        <v>269</v>
      </c>
      <c r="N4352" s="2" t="s">
        <v>1678</v>
      </c>
      <c r="O4352" s="2" t="s">
        <v>100</v>
      </c>
      <c r="P4352" s="2" t="str">
        <f>"2170582742                    "</f>
        <v xml:space="preserve">2170582742                    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4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0</v>
      </c>
      <c r="AU4352" s="2">
        <v>0</v>
      </c>
      <c r="AV4352" s="2">
        <v>0</v>
      </c>
      <c r="AW4352" s="2">
        <v>0</v>
      </c>
      <c r="AX4352" s="2">
        <v>0</v>
      </c>
      <c r="AY4352" s="2">
        <v>0</v>
      </c>
      <c r="AZ4352" s="2">
        <v>0</v>
      </c>
      <c r="BA4352" s="2">
        <v>0</v>
      </c>
      <c r="BB4352" s="2">
        <v>0</v>
      </c>
      <c r="BC4352" s="2">
        <v>0</v>
      </c>
      <c r="BD4352" s="2">
        <v>0</v>
      </c>
      <c r="BE4352" s="2">
        <v>0</v>
      </c>
      <c r="BF4352" s="2">
        <v>0</v>
      </c>
      <c r="BG4352" s="2">
        <v>0</v>
      </c>
      <c r="BH4352" s="2">
        <v>1</v>
      </c>
      <c r="BI4352" s="2">
        <v>1</v>
      </c>
      <c r="BJ4352" s="2">
        <v>0.2</v>
      </c>
      <c r="BK4352" s="2">
        <v>1</v>
      </c>
      <c r="BL4352" s="2">
        <v>41.44</v>
      </c>
      <c r="BM4352" s="2">
        <v>5.8</v>
      </c>
      <c r="BN4352" s="2">
        <v>47.24</v>
      </c>
      <c r="BO4352" s="2">
        <v>47.24</v>
      </c>
      <c r="BP4352" s="2"/>
      <c r="BQ4352" s="2" t="s">
        <v>3982</v>
      </c>
      <c r="BR4352" s="2" t="s">
        <v>84</v>
      </c>
      <c r="BS4352" s="3">
        <v>42951</v>
      </c>
      <c r="BT4352" s="4">
        <v>0.38819444444444445</v>
      </c>
      <c r="BU4352" s="2" t="s">
        <v>1679</v>
      </c>
      <c r="BV4352" s="2" t="s">
        <v>95</v>
      </c>
      <c r="BW4352" s="2"/>
      <c r="BX4352" s="2"/>
      <c r="BY4352" s="2">
        <v>1200</v>
      </c>
      <c r="BZ4352" s="2" t="s">
        <v>27</v>
      </c>
      <c r="CA4352" s="2" t="s">
        <v>1680</v>
      </c>
      <c r="CB4352" s="2"/>
      <c r="CC4352" s="2" t="s">
        <v>269</v>
      </c>
      <c r="CD4352" s="2">
        <v>182</v>
      </c>
      <c r="CE4352" s="2" t="s">
        <v>104</v>
      </c>
      <c r="CF4352" s="5">
        <v>42954</v>
      </c>
      <c r="CG4352" s="2"/>
      <c r="CH4352" s="2"/>
      <c r="CI4352" s="2">
        <v>1</v>
      </c>
      <c r="CJ4352" s="2">
        <v>1</v>
      </c>
      <c r="CK4352" s="2">
        <v>21</v>
      </c>
      <c r="CL4352" s="2" t="s">
        <v>86</v>
      </c>
      <c r="CM4352" s="2"/>
    </row>
    <row r="4353" spans="1:91">
      <c r="A4353" s="2" t="s">
        <v>71</v>
      </c>
      <c r="B4353" s="2" t="s">
        <v>72</v>
      </c>
      <c r="C4353" s="2" t="s">
        <v>73</v>
      </c>
      <c r="D4353" s="2"/>
      <c r="E4353" s="2" t="str">
        <f>"FES1162566607"</f>
        <v>FES1162566607</v>
      </c>
      <c r="F4353" s="3">
        <v>42950</v>
      </c>
      <c r="G4353" s="2">
        <v>201802</v>
      </c>
      <c r="H4353" s="2" t="s">
        <v>74</v>
      </c>
      <c r="I4353" s="2" t="s">
        <v>75</v>
      </c>
      <c r="J4353" s="2" t="s">
        <v>76</v>
      </c>
      <c r="K4353" s="2" t="s">
        <v>77</v>
      </c>
      <c r="L4353" s="2" t="s">
        <v>237</v>
      </c>
      <c r="M4353" s="2" t="s">
        <v>238</v>
      </c>
      <c r="N4353" s="2" t="s">
        <v>669</v>
      </c>
      <c r="O4353" s="2" t="s">
        <v>100</v>
      </c>
      <c r="P4353" s="2" t="str">
        <f>"2170579163                    "</f>
        <v xml:space="preserve">2170579163                    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4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0</v>
      </c>
      <c r="AU4353" s="2">
        <v>0</v>
      </c>
      <c r="AV4353" s="2">
        <v>0</v>
      </c>
      <c r="AW4353" s="2">
        <v>0</v>
      </c>
      <c r="AX4353" s="2">
        <v>0</v>
      </c>
      <c r="AY4353" s="2">
        <v>0</v>
      </c>
      <c r="AZ4353" s="2">
        <v>0</v>
      </c>
      <c r="BA4353" s="2">
        <v>0</v>
      </c>
      <c r="BB4353" s="2">
        <v>0</v>
      </c>
      <c r="BC4353" s="2">
        <v>0</v>
      </c>
      <c r="BD4353" s="2">
        <v>0</v>
      </c>
      <c r="BE4353" s="2">
        <v>0</v>
      </c>
      <c r="BF4353" s="2">
        <v>0</v>
      </c>
      <c r="BG4353" s="2">
        <v>0</v>
      </c>
      <c r="BH4353" s="2">
        <v>1</v>
      </c>
      <c r="BI4353" s="2">
        <v>1</v>
      </c>
      <c r="BJ4353" s="2">
        <v>0.2</v>
      </c>
      <c r="BK4353" s="2">
        <v>1</v>
      </c>
      <c r="BL4353" s="2">
        <v>41.44</v>
      </c>
      <c r="BM4353" s="2">
        <v>5.8</v>
      </c>
      <c r="BN4353" s="2">
        <v>47.24</v>
      </c>
      <c r="BO4353" s="2">
        <v>47.24</v>
      </c>
      <c r="BP4353" s="2"/>
      <c r="BQ4353" s="2" t="s">
        <v>108</v>
      </c>
      <c r="BR4353" s="2" t="s">
        <v>84</v>
      </c>
      <c r="BS4353" s="3">
        <v>42951</v>
      </c>
      <c r="BT4353" s="4">
        <v>0.37847222222222227</v>
      </c>
      <c r="BU4353" s="2" t="s">
        <v>2160</v>
      </c>
      <c r="BV4353" s="2" t="s">
        <v>95</v>
      </c>
      <c r="BW4353" s="2"/>
      <c r="BX4353" s="2"/>
      <c r="BY4353" s="2">
        <v>1200</v>
      </c>
      <c r="BZ4353" s="2" t="s">
        <v>27</v>
      </c>
      <c r="CA4353" s="2" t="s">
        <v>2155</v>
      </c>
      <c r="CB4353" s="2"/>
      <c r="CC4353" s="2" t="s">
        <v>238</v>
      </c>
      <c r="CD4353" s="2">
        <v>3610</v>
      </c>
      <c r="CE4353" s="2" t="s">
        <v>3630</v>
      </c>
      <c r="CF4353" s="5">
        <v>42954</v>
      </c>
      <c r="CG4353" s="2"/>
      <c r="CH4353" s="2"/>
      <c r="CI4353" s="2">
        <v>1</v>
      </c>
      <c r="CJ4353" s="2">
        <v>1</v>
      </c>
      <c r="CK4353" s="2">
        <v>21</v>
      </c>
      <c r="CL4353" s="2" t="s">
        <v>86</v>
      </c>
      <c r="CM4353" s="2"/>
    </row>
    <row r="4354" spans="1:91">
      <c r="A4354" s="2" t="s">
        <v>71</v>
      </c>
      <c r="B4354" s="2" t="s">
        <v>72</v>
      </c>
      <c r="C4354" s="2" t="s">
        <v>73</v>
      </c>
      <c r="D4354" s="2"/>
      <c r="E4354" s="2" t="str">
        <f>"FES1162566605"</f>
        <v>FES1162566605</v>
      </c>
      <c r="F4354" s="3">
        <v>42950</v>
      </c>
      <c r="G4354" s="2">
        <v>201802</v>
      </c>
      <c r="H4354" s="2" t="s">
        <v>74</v>
      </c>
      <c r="I4354" s="2" t="s">
        <v>75</v>
      </c>
      <c r="J4354" s="2" t="s">
        <v>76</v>
      </c>
      <c r="K4354" s="2" t="s">
        <v>77</v>
      </c>
      <c r="L4354" s="2" t="s">
        <v>105</v>
      </c>
      <c r="M4354" s="2" t="s">
        <v>106</v>
      </c>
      <c r="N4354" s="2" t="s">
        <v>705</v>
      </c>
      <c r="O4354" s="2" t="s">
        <v>100</v>
      </c>
      <c r="P4354" s="2" t="str">
        <f>"2170582952                    "</f>
        <v xml:space="preserve">2170582952                    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4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0</v>
      </c>
      <c r="AU4354" s="2">
        <v>0</v>
      </c>
      <c r="AV4354" s="2">
        <v>0</v>
      </c>
      <c r="AW4354" s="2">
        <v>0</v>
      </c>
      <c r="AX4354" s="2">
        <v>0</v>
      </c>
      <c r="AY4354" s="2">
        <v>0</v>
      </c>
      <c r="AZ4354" s="2">
        <v>0</v>
      </c>
      <c r="BA4354" s="2">
        <v>0</v>
      </c>
      <c r="BB4354" s="2">
        <v>0</v>
      </c>
      <c r="BC4354" s="2">
        <v>0</v>
      </c>
      <c r="BD4354" s="2">
        <v>0</v>
      </c>
      <c r="BE4354" s="2">
        <v>0</v>
      </c>
      <c r="BF4354" s="2">
        <v>0</v>
      </c>
      <c r="BG4354" s="2">
        <v>0</v>
      </c>
      <c r="BH4354" s="2">
        <v>1</v>
      </c>
      <c r="BI4354" s="2">
        <v>1.9</v>
      </c>
      <c r="BJ4354" s="2">
        <v>1.4</v>
      </c>
      <c r="BK4354" s="2">
        <v>2</v>
      </c>
      <c r="BL4354" s="2">
        <v>41.44</v>
      </c>
      <c r="BM4354" s="2">
        <v>5.8</v>
      </c>
      <c r="BN4354" s="2">
        <v>47.24</v>
      </c>
      <c r="BO4354" s="2">
        <v>47.24</v>
      </c>
      <c r="BP4354" s="2"/>
      <c r="BQ4354" s="2" t="s">
        <v>108</v>
      </c>
      <c r="BR4354" s="2" t="s">
        <v>84</v>
      </c>
      <c r="BS4354" s="3">
        <v>42951</v>
      </c>
      <c r="BT4354" s="4">
        <v>0.3743055555555555</v>
      </c>
      <c r="BU4354" s="2" t="s">
        <v>1690</v>
      </c>
      <c r="BV4354" s="2" t="s">
        <v>95</v>
      </c>
      <c r="BW4354" s="2"/>
      <c r="BX4354" s="2"/>
      <c r="BY4354" s="2">
        <v>6751.8</v>
      </c>
      <c r="BZ4354" s="2" t="s">
        <v>27</v>
      </c>
      <c r="CA4354" s="2" t="s">
        <v>488</v>
      </c>
      <c r="CB4354" s="2"/>
      <c r="CC4354" s="2" t="s">
        <v>106</v>
      </c>
      <c r="CD4354" s="2">
        <v>7441</v>
      </c>
      <c r="CE4354" s="2" t="s">
        <v>89</v>
      </c>
      <c r="CF4354" s="5">
        <v>42951</v>
      </c>
      <c r="CG4354" s="2"/>
      <c r="CH4354" s="2"/>
      <c r="CI4354" s="2">
        <v>1</v>
      </c>
      <c r="CJ4354" s="2">
        <v>1</v>
      </c>
      <c r="CK4354" s="2">
        <v>21</v>
      </c>
      <c r="CL4354" s="2" t="s">
        <v>86</v>
      </c>
      <c r="CM4354" s="2"/>
    </row>
    <row r="4355" spans="1:91">
      <c r="A4355" s="2" t="s">
        <v>71</v>
      </c>
      <c r="B4355" s="2" t="s">
        <v>72</v>
      </c>
      <c r="C4355" s="2" t="s">
        <v>73</v>
      </c>
      <c r="D4355" s="2"/>
      <c r="E4355" s="2" t="str">
        <f>"FES1162566629"</f>
        <v>FES1162566629</v>
      </c>
      <c r="F4355" s="3">
        <v>42950</v>
      </c>
      <c r="G4355" s="2">
        <v>201802</v>
      </c>
      <c r="H4355" s="2" t="s">
        <v>74</v>
      </c>
      <c r="I4355" s="2" t="s">
        <v>75</v>
      </c>
      <c r="J4355" s="2" t="s">
        <v>76</v>
      </c>
      <c r="K4355" s="2" t="s">
        <v>77</v>
      </c>
      <c r="L4355" s="2" t="s">
        <v>237</v>
      </c>
      <c r="M4355" s="2" t="s">
        <v>238</v>
      </c>
      <c r="N4355" s="2" t="s">
        <v>837</v>
      </c>
      <c r="O4355" s="2" t="s">
        <v>100</v>
      </c>
      <c r="P4355" s="2" t="str">
        <f>"2170582962                    "</f>
        <v xml:space="preserve">2170582962                    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22.01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0</v>
      </c>
      <c r="AU4355" s="2">
        <v>0</v>
      </c>
      <c r="AV4355" s="2">
        <v>0</v>
      </c>
      <c r="AW4355" s="2">
        <v>0</v>
      </c>
      <c r="AX4355" s="2">
        <v>0</v>
      </c>
      <c r="AY4355" s="2">
        <v>0</v>
      </c>
      <c r="AZ4355" s="2">
        <v>0</v>
      </c>
      <c r="BA4355" s="2">
        <v>0</v>
      </c>
      <c r="BB4355" s="2">
        <v>0</v>
      </c>
      <c r="BC4355" s="2">
        <v>0</v>
      </c>
      <c r="BD4355" s="2">
        <v>0</v>
      </c>
      <c r="BE4355" s="2">
        <v>0</v>
      </c>
      <c r="BF4355" s="2">
        <v>0</v>
      </c>
      <c r="BG4355" s="2">
        <v>0</v>
      </c>
      <c r="BH4355" s="2">
        <v>1</v>
      </c>
      <c r="BI4355" s="2">
        <v>10.9</v>
      </c>
      <c r="BJ4355" s="2">
        <v>9</v>
      </c>
      <c r="BK4355" s="2">
        <v>11</v>
      </c>
      <c r="BL4355" s="2">
        <v>227.93</v>
      </c>
      <c r="BM4355" s="2">
        <v>31.91</v>
      </c>
      <c r="BN4355" s="2">
        <v>259.83999999999997</v>
      </c>
      <c r="BO4355" s="2">
        <v>259.83999999999997</v>
      </c>
      <c r="BP4355" s="2"/>
      <c r="BQ4355" s="2"/>
      <c r="BR4355" s="2" t="s">
        <v>84</v>
      </c>
      <c r="BS4355" s="3">
        <v>42951</v>
      </c>
      <c r="BT4355" s="4">
        <v>0.39583333333333331</v>
      </c>
      <c r="BU4355" s="2" t="s">
        <v>3983</v>
      </c>
      <c r="BV4355" s="2" t="s">
        <v>95</v>
      </c>
      <c r="BW4355" s="2"/>
      <c r="BX4355" s="2"/>
      <c r="BY4355" s="2">
        <v>45072</v>
      </c>
      <c r="BZ4355" s="2" t="s">
        <v>27</v>
      </c>
      <c r="CA4355" s="2"/>
      <c r="CB4355" s="2"/>
      <c r="CC4355" s="2" t="s">
        <v>238</v>
      </c>
      <c r="CD4355" s="2">
        <v>4037</v>
      </c>
      <c r="CE4355" s="2" t="s">
        <v>89</v>
      </c>
      <c r="CF4355" s="5">
        <v>42954</v>
      </c>
      <c r="CG4355" s="2"/>
      <c r="CH4355" s="2"/>
      <c r="CI4355" s="2">
        <v>1</v>
      </c>
      <c r="CJ4355" s="2">
        <v>1</v>
      </c>
      <c r="CK4355" s="2">
        <v>21</v>
      </c>
      <c r="CL4355" s="2" t="s">
        <v>86</v>
      </c>
      <c r="CM4355" s="2"/>
    </row>
    <row r="4356" spans="1:91">
      <c r="A4356" s="2" t="s">
        <v>71</v>
      </c>
      <c r="B4356" s="2" t="s">
        <v>72</v>
      </c>
      <c r="C4356" s="2" t="s">
        <v>73</v>
      </c>
      <c r="D4356" s="2"/>
      <c r="E4356" s="2" t="str">
        <f>"FES1162566745"</f>
        <v>FES1162566745</v>
      </c>
      <c r="F4356" s="3">
        <v>42950</v>
      </c>
      <c r="G4356" s="2">
        <v>201802</v>
      </c>
      <c r="H4356" s="2" t="s">
        <v>74</v>
      </c>
      <c r="I4356" s="2" t="s">
        <v>75</v>
      </c>
      <c r="J4356" s="2" t="s">
        <v>76</v>
      </c>
      <c r="K4356" s="2" t="s">
        <v>77</v>
      </c>
      <c r="L4356" s="2" t="s">
        <v>206</v>
      </c>
      <c r="M4356" s="2" t="s">
        <v>207</v>
      </c>
      <c r="N4356" s="2" t="s">
        <v>3984</v>
      </c>
      <c r="O4356" s="2" t="s">
        <v>100</v>
      </c>
      <c r="P4356" s="2" t="str">
        <f>"2170576722                    "</f>
        <v xml:space="preserve">2170576722                    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5.63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0</v>
      </c>
      <c r="AU4356" s="2">
        <v>0</v>
      </c>
      <c r="AV4356" s="2">
        <v>0</v>
      </c>
      <c r="AW4356" s="2">
        <v>0</v>
      </c>
      <c r="AX4356" s="2">
        <v>0</v>
      </c>
      <c r="AY4356" s="2">
        <v>0</v>
      </c>
      <c r="AZ4356" s="2">
        <v>0</v>
      </c>
      <c r="BA4356" s="2">
        <v>0</v>
      </c>
      <c r="BB4356" s="2">
        <v>0</v>
      </c>
      <c r="BC4356" s="2">
        <v>0</v>
      </c>
      <c r="BD4356" s="2">
        <v>0</v>
      </c>
      <c r="BE4356" s="2">
        <v>0</v>
      </c>
      <c r="BF4356" s="2">
        <v>0</v>
      </c>
      <c r="BG4356" s="2">
        <v>0</v>
      </c>
      <c r="BH4356" s="2">
        <v>1</v>
      </c>
      <c r="BI4356" s="2">
        <v>1</v>
      </c>
      <c r="BJ4356" s="2">
        <v>0.2</v>
      </c>
      <c r="BK4356" s="2">
        <v>1</v>
      </c>
      <c r="BL4356" s="2">
        <v>58.28</v>
      </c>
      <c r="BM4356" s="2">
        <v>8.16</v>
      </c>
      <c r="BN4356" s="2">
        <v>66.44</v>
      </c>
      <c r="BO4356" s="2">
        <v>66.44</v>
      </c>
      <c r="BP4356" s="2"/>
      <c r="BQ4356" s="2" t="s">
        <v>1451</v>
      </c>
      <c r="BR4356" s="2" t="s">
        <v>84</v>
      </c>
      <c r="BS4356" s="3">
        <v>42951</v>
      </c>
      <c r="BT4356" s="4">
        <v>0.71111111111111114</v>
      </c>
      <c r="BU4356" s="2" t="s">
        <v>3985</v>
      </c>
      <c r="BV4356" s="2" t="s">
        <v>86</v>
      </c>
      <c r="BW4356" s="2"/>
      <c r="BX4356" s="2"/>
      <c r="BY4356" s="2">
        <v>1200</v>
      </c>
      <c r="BZ4356" s="2" t="s">
        <v>27</v>
      </c>
      <c r="CA4356" s="2" t="s">
        <v>3986</v>
      </c>
      <c r="CB4356" s="2"/>
      <c r="CC4356" s="2" t="s">
        <v>207</v>
      </c>
      <c r="CD4356" s="2">
        <v>250</v>
      </c>
      <c r="CE4356" s="2" t="s">
        <v>104</v>
      </c>
      <c r="CF4356" s="5">
        <v>42955</v>
      </c>
      <c r="CG4356" s="2"/>
      <c r="CH4356" s="2"/>
      <c r="CI4356" s="2">
        <v>1</v>
      </c>
      <c r="CJ4356" s="2">
        <v>1</v>
      </c>
      <c r="CK4356" s="2">
        <v>24</v>
      </c>
      <c r="CL4356" s="2" t="s">
        <v>86</v>
      </c>
      <c r="CM4356" s="2"/>
    </row>
    <row r="4357" spans="1:91">
      <c r="A4357" s="2" t="s">
        <v>71</v>
      </c>
      <c r="B4357" s="2" t="s">
        <v>72</v>
      </c>
      <c r="C4357" s="2" t="s">
        <v>73</v>
      </c>
      <c r="D4357" s="2"/>
      <c r="E4357" s="2" t="str">
        <f>"FES1162566890"</f>
        <v>FES1162566890</v>
      </c>
      <c r="F4357" s="3">
        <v>42950</v>
      </c>
      <c r="G4357" s="2">
        <v>201802</v>
      </c>
      <c r="H4357" s="2" t="s">
        <v>74</v>
      </c>
      <c r="I4357" s="2" t="s">
        <v>75</v>
      </c>
      <c r="J4357" s="2" t="s">
        <v>76</v>
      </c>
      <c r="K4357" s="2" t="s">
        <v>77</v>
      </c>
      <c r="L4357" s="2" t="s">
        <v>97</v>
      </c>
      <c r="M4357" s="2" t="s">
        <v>98</v>
      </c>
      <c r="N4357" s="2" t="s">
        <v>119</v>
      </c>
      <c r="O4357" s="2" t="s">
        <v>100</v>
      </c>
      <c r="P4357" s="2" t="str">
        <f>"217058426                     "</f>
        <v xml:space="preserve">217058426                     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4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0</v>
      </c>
      <c r="AU4357" s="2">
        <v>0</v>
      </c>
      <c r="AV4357" s="2">
        <v>0</v>
      </c>
      <c r="AW4357" s="2">
        <v>0</v>
      </c>
      <c r="AX4357" s="2">
        <v>0</v>
      </c>
      <c r="AY4357" s="2">
        <v>0</v>
      </c>
      <c r="AZ4357" s="2">
        <v>0</v>
      </c>
      <c r="BA4357" s="2">
        <v>0</v>
      </c>
      <c r="BB4357" s="2">
        <v>0</v>
      </c>
      <c r="BC4357" s="2">
        <v>0</v>
      </c>
      <c r="BD4357" s="2">
        <v>0</v>
      </c>
      <c r="BE4357" s="2">
        <v>0</v>
      </c>
      <c r="BF4357" s="2">
        <v>0</v>
      </c>
      <c r="BG4357" s="2">
        <v>0</v>
      </c>
      <c r="BH4357" s="2">
        <v>1</v>
      </c>
      <c r="BI4357" s="2">
        <v>2</v>
      </c>
      <c r="BJ4357" s="2">
        <v>0.8</v>
      </c>
      <c r="BK4357" s="2">
        <v>2</v>
      </c>
      <c r="BL4357" s="2">
        <v>41.44</v>
      </c>
      <c r="BM4357" s="2">
        <v>5.8</v>
      </c>
      <c r="BN4357" s="2">
        <v>47.24</v>
      </c>
      <c r="BO4357" s="2">
        <v>47.24</v>
      </c>
      <c r="BP4357" s="2"/>
      <c r="BQ4357" s="2" t="s">
        <v>108</v>
      </c>
      <c r="BR4357" s="2" t="s">
        <v>84</v>
      </c>
      <c r="BS4357" s="3">
        <v>42951</v>
      </c>
      <c r="BT4357" s="4">
        <v>0.33611111111111108</v>
      </c>
      <c r="BU4357" s="2" t="s">
        <v>224</v>
      </c>
      <c r="BV4357" s="2" t="s">
        <v>95</v>
      </c>
      <c r="BW4357" s="2"/>
      <c r="BX4357" s="2"/>
      <c r="BY4357" s="2">
        <v>3792</v>
      </c>
      <c r="BZ4357" s="2" t="s">
        <v>27</v>
      </c>
      <c r="CA4357" s="2" t="s">
        <v>213</v>
      </c>
      <c r="CB4357" s="2"/>
      <c r="CC4357" s="2" t="s">
        <v>98</v>
      </c>
      <c r="CD4357" s="2">
        <v>6001</v>
      </c>
      <c r="CE4357" s="2" t="s">
        <v>1005</v>
      </c>
      <c r="CF4357" s="5">
        <v>42954</v>
      </c>
      <c r="CG4357" s="2"/>
      <c r="CH4357" s="2"/>
      <c r="CI4357" s="2">
        <v>1</v>
      </c>
      <c r="CJ4357" s="2">
        <v>1</v>
      </c>
      <c r="CK4357" s="2">
        <v>21</v>
      </c>
      <c r="CL4357" s="2" t="s">
        <v>86</v>
      </c>
      <c r="CM4357" s="2"/>
    </row>
    <row r="4358" spans="1:91">
      <c r="A4358" s="2" t="s">
        <v>71</v>
      </c>
      <c r="B4358" s="2" t="s">
        <v>72</v>
      </c>
      <c r="C4358" s="2" t="s">
        <v>73</v>
      </c>
      <c r="D4358" s="2"/>
      <c r="E4358" s="2" t="str">
        <f>"FES1162566695"</f>
        <v>FES1162566695</v>
      </c>
      <c r="F4358" s="3">
        <v>42950</v>
      </c>
      <c r="G4358" s="2">
        <v>201802</v>
      </c>
      <c r="H4358" s="2" t="s">
        <v>74</v>
      </c>
      <c r="I4358" s="2" t="s">
        <v>75</v>
      </c>
      <c r="J4358" s="2" t="s">
        <v>76</v>
      </c>
      <c r="K4358" s="2" t="s">
        <v>77</v>
      </c>
      <c r="L4358" s="2" t="s">
        <v>268</v>
      </c>
      <c r="M4358" s="2" t="s">
        <v>269</v>
      </c>
      <c r="N4358" s="2" t="s">
        <v>635</v>
      </c>
      <c r="O4358" s="2" t="s">
        <v>100</v>
      </c>
      <c r="P4358" s="2" t="str">
        <f>"2170578940                    "</f>
        <v xml:space="preserve">2170578940                    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4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0</v>
      </c>
      <c r="AU4358" s="2">
        <v>0</v>
      </c>
      <c r="AV4358" s="2">
        <v>0</v>
      </c>
      <c r="AW4358" s="2">
        <v>0</v>
      </c>
      <c r="AX4358" s="2">
        <v>0</v>
      </c>
      <c r="AY4358" s="2">
        <v>0</v>
      </c>
      <c r="AZ4358" s="2">
        <v>0</v>
      </c>
      <c r="BA4358" s="2">
        <v>0</v>
      </c>
      <c r="BB4358" s="2">
        <v>0</v>
      </c>
      <c r="BC4358" s="2">
        <v>0</v>
      </c>
      <c r="BD4358" s="2">
        <v>0</v>
      </c>
      <c r="BE4358" s="2">
        <v>0</v>
      </c>
      <c r="BF4358" s="2">
        <v>0</v>
      </c>
      <c r="BG4358" s="2">
        <v>0</v>
      </c>
      <c r="BH4358" s="2">
        <v>1</v>
      </c>
      <c r="BI4358" s="2">
        <v>1</v>
      </c>
      <c r="BJ4358" s="2">
        <v>0.2</v>
      </c>
      <c r="BK4358" s="2">
        <v>1</v>
      </c>
      <c r="BL4358" s="2">
        <v>41.44</v>
      </c>
      <c r="BM4358" s="2">
        <v>5.8</v>
      </c>
      <c r="BN4358" s="2">
        <v>47.24</v>
      </c>
      <c r="BO4358" s="2">
        <v>47.24</v>
      </c>
      <c r="BP4358" s="2"/>
      <c r="BQ4358" s="2" t="s">
        <v>636</v>
      </c>
      <c r="BR4358" s="2" t="s">
        <v>84</v>
      </c>
      <c r="BS4358" s="3">
        <v>42951</v>
      </c>
      <c r="BT4358" s="4">
        <v>0.57777777777777783</v>
      </c>
      <c r="BU4358" s="2" t="s">
        <v>3987</v>
      </c>
      <c r="BV4358" s="2" t="s">
        <v>86</v>
      </c>
      <c r="BW4358" s="2"/>
      <c r="BX4358" s="2"/>
      <c r="BY4358" s="2">
        <v>1200</v>
      </c>
      <c r="BZ4358" s="2" t="s">
        <v>27</v>
      </c>
      <c r="CA4358" s="2" t="s">
        <v>638</v>
      </c>
      <c r="CB4358" s="2"/>
      <c r="CC4358" s="2" t="s">
        <v>269</v>
      </c>
      <c r="CD4358" s="2">
        <v>184</v>
      </c>
      <c r="CE4358" s="2" t="s">
        <v>104</v>
      </c>
      <c r="CF4358" s="5">
        <v>42951</v>
      </c>
      <c r="CG4358" s="2"/>
      <c r="CH4358" s="2"/>
      <c r="CI4358" s="2">
        <v>1</v>
      </c>
      <c r="CJ4358" s="2">
        <v>1</v>
      </c>
      <c r="CK4358" s="2">
        <v>21</v>
      </c>
      <c r="CL4358" s="2" t="s">
        <v>86</v>
      </c>
      <c r="CM4358" s="2"/>
    </row>
    <row r="4359" spans="1:91">
      <c r="A4359" s="2" t="s">
        <v>71</v>
      </c>
      <c r="B4359" s="2" t="s">
        <v>72</v>
      </c>
      <c r="C4359" s="2" t="s">
        <v>73</v>
      </c>
      <c r="D4359" s="2"/>
      <c r="E4359" s="2" t="str">
        <f>"FES1162566606"</f>
        <v>FES1162566606</v>
      </c>
      <c r="F4359" s="3">
        <v>42950</v>
      </c>
      <c r="G4359" s="2">
        <v>201802</v>
      </c>
      <c r="H4359" s="2" t="s">
        <v>74</v>
      </c>
      <c r="I4359" s="2" t="s">
        <v>75</v>
      </c>
      <c r="J4359" s="2" t="s">
        <v>76</v>
      </c>
      <c r="K4359" s="2" t="s">
        <v>77</v>
      </c>
      <c r="L4359" s="2" t="s">
        <v>149</v>
      </c>
      <c r="M4359" s="2" t="s">
        <v>150</v>
      </c>
      <c r="N4359" s="2" t="s">
        <v>3494</v>
      </c>
      <c r="O4359" s="2" t="s">
        <v>100</v>
      </c>
      <c r="P4359" s="2" t="str">
        <f>"2170577927                    "</f>
        <v xml:space="preserve">2170577927                    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4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0</v>
      </c>
      <c r="AU4359" s="2">
        <v>0</v>
      </c>
      <c r="AV4359" s="2">
        <v>0</v>
      </c>
      <c r="AW4359" s="2">
        <v>0</v>
      </c>
      <c r="AX4359" s="2">
        <v>0</v>
      </c>
      <c r="AY4359" s="2">
        <v>0</v>
      </c>
      <c r="AZ4359" s="2">
        <v>0</v>
      </c>
      <c r="BA4359" s="2">
        <v>0</v>
      </c>
      <c r="BB4359" s="2">
        <v>0</v>
      </c>
      <c r="BC4359" s="2">
        <v>0</v>
      </c>
      <c r="BD4359" s="2">
        <v>0</v>
      </c>
      <c r="BE4359" s="2">
        <v>0</v>
      </c>
      <c r="BF4359" s="2">
        <v>0</v>
      </c>
      <c r="BG4359" s="2">
        <v>0</v>
      </c>
      <c r="BH4359" s="2">
        <v>1</v>
      </c>
      <c r="BI4359" s="2">
        <v>1</v>
      </c>
      <c r="BJ4359" s="2">
        <v>0.2</v>
      </c>
      <c r="BK4359" s="2">
        <v>1</v>
      </c>
      <c r="BL4359" s="2">
        <v>41.44</v>
      </c>
      <c r="BM4359" s="2">
        <v>5.8</v>
      </c>
      <c r="BN4359" s="2">
        <v>47.24</v>
      </c>
      <c r="BO4359" s="2">
        <v>47.24</v>
      </c>
      <c r="BP4359" s="2"/>
      <c r="BQ4359" s="2" t="s">
        <v>83</v>
      </c>
      <c r="BR4359" s="2" t="s">
        <v>84</v>
      </c>
      <c r="BS4359" s="3">
        <v>42951</v>
      </c>
      <c r="BT4359" s="4">
        <v>0.42152777777777778</v>
      </c>
      <c r="BU4359" s="2" t="s">
        <v>3495</v>
      </c>
      <c r="BV4359" s="2" t="s">
        <v>95</v>
      </c>
      <c r="BW4359" s="2"/>
      <c r="BX4359" s="2"/>
      <c r="BY4359" s="2">
        <v>1200</v>
      </c>
      <c r="BZ4359" s="2" t="s">
        <v>27</v>
      </c>
      <c r="CA4359" s="2" t="s">
        <v>429</v>
      </c>
      <c r="CB4359" s="2"/>
      <c r="CC4359" s="2" t="s">
        <v>150</v>
      </c>
      <c r="CD4359" s="2">
        <v>4052</v>
      </c>
      <c r="CE4359" s="2" t="s">
        <v>3630</v>
      </c>
      <c r="CF4359" s="5">
        <v>42951</v>
      </c>
      <c r="CG4359" s="2"/>
      <c r="CH4359" s="2"/>
      <c r="CI4359" s="2">
        <v>1</v>
      </c>
      <c r="CJ4359" s="2">
        <v>1</v>
      </c>
      <c r="CK4359" s="2">
        <v>21</v>
      </c>
      <c r="CL4359" s="2" t="s">
        <v>86</v>
      </c>
      <c r="CM4359" s="2"/>
    </row>
    <row r="4360" spans="1:91">
      <c r="A4360" s="2" t="s">
        <v>71</v>
      </c>
      <c r="B4360" s="2" t="s">
        <v>72</v>
      </c>
      <c r="C4360" s="2" t="s">
        <v>73</v>
      </c>
      <c r="D4360" s="2"/>
      <c r="E4360" s="2" t="str">
        <f>"FES1162566721"</f>
        <v>FES1162566721</v>
      </c>
      <c r="F4360" s="3">
        <v>42950</v>
      </c>
      <c r="G4360" s="2">
        <v>201802</v>
      </c>
      <c r="H4360" s="2" t="s">
        <v>74</v>
      </c>
      <c r="I4360" s="2" t="s">
        <v>75</v>
      </c>
      <c r="J4360" s="2" t="s">
        <v>76</v>
      </c>
      <c r="K4360" s="2" t="s">
        <v>77</v>
      </c>
      <c r="L4360" s="2" t="s">
        <v>105</v>
      </c>
      <c r="M4360" s="2" t="s">
        <v>106</v>
      </c>
      <c r="N4360" s="2" t="s">
        <v>253</v>
      </c>
      <c r="O4360" s="2" t="s">
        <v>100</v>
      </c>
      <c r="P4360" s="2" t="str">
        <f>"2170572758                    "</f>
        <v xml:space="preserve">2170572758                    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11.01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0</v>
      </c>
      <c r="AU4360" s="2">
        <v>0</v>
      </c>
      <c r="AV4360" s="2">
        <v>0</v>
      </c>
      <c r="AW4360" s="2">
        <v>0</v>
      </c>
      <c r="AX4360" s="2">
        <v>0</v>
      </c>
      <c r="AY4360" s="2">
        <v>0</v>
      </c>
      <c r="AZ4360" s="2">
        <v>0</v>
      </c>
      <c r="BA4360" s="2">
        <v>0</v>
      </c>
      <c r="BB4360" s="2">
        <v>0</v>
      </c>
      <c r="BC4360" s="2">
        <v>0</v>
      </c>
      <c r="BD4360" s="2">
        <v>0</v>
      </c>
      <c r="BE4360" s="2">
        <v>0</v>
      </c>
      <c r="BF4360" s="2">
        <v>0</v>
      </c>
      <c r="BG4360" s="2">
        <v>0</v>
      </c>
      <c r="BH4360" s="2">
        <v>1</v>
      </c>
      <c r="BI4360" s="2">
        <v>5.2</v>
      </c>
      <c r="BJ4360" s="2">
        <v>1.8</v>
      </c>
      <c r="BK4360" s="2">
        <v>5.5</v>
      </c>
      <c r="BL4360" s="2">
        <v>113.97</v>
      </c>
      <c r="BM4360" s="2">
        <v>15.96</v>
      </c>
      <c r="BN4360" s="2">
        <v>129.93</v>
      </c>
      <c r="BO4360" s="2">
        <v>129.93</v>
      </c>
      <c r="BP4360" s="2"/>
      <c r="BQ4360" s="2" t="s">
        <v>108</v>
      </c>
      <c r="BR4360" s="2" t="s">
        <v>84</v>
      </c>
      <c r="BS4360" s="3">
        <v>42951</v>
      </c>
      <c r="BT4360" s="4">
        <v>0.43958333333333338</v>
      </c>
      <c r="BU4360" s="2" t="s">
        <v>1074</v>
      </c>
      <c r="BV4360" s="2" t="s">
        <v>95</v>
      </c>
      <c r="BW4360" s="2"/>
      <c r="BX4360" s="2"/>
      <c r="BY4360" s="2">
        <v>8849.06</v>
      </c>
      <c r="BZ4360" s="2" t="s">
        <v>27</v>
      </c>
      <c r="CA4360" s="2" t="s">
        <v>654</v>
      </c>
      <c r="CB4360" s="2"/>
      <c r="CC4360" s="2" t="s">
        <v>106</v>
      </c>
      <c r="CD4360" s="2">
        <v>7490</v>
      </c>
      <c r="CE4360" s="2" t="s">
        <v>89</v>
      </c>
      <c r="CF4360" s="5">
        <v>42954</v>
      </c>
      <c r="CG4360" s="2"/>
      <c r="CH4360" s="2"/>
      <c r="CI4360" s="2">
        <v>1</v>
      </c>
      <c r="CJ4360" s="2">
        <v>1</v>
      </c>
      <c r="CK4360" s="2">
        <v>21</v>
      </c>
      <c r="CL4360" s="2" t="s">
        <v>86</v>
      </c>
      <c r="CM4360" s="2"/>
    </row>
    <row r="4361" spans="1:91">
      <c r="A4361" s="2" t="s">
        <v>71</v>
      </c>
      <c r="B4361" s="2" t="s">
        <v>72</v>
      </c>
      <c r="C4361" s="2" t="s">
        <v>73</v>
      </c>
      <c r="D4361" s="2"/>
      <c r="E4361" s="2" t="str">
        <f>"FES1162566732"</f>
        <v>FES1162566732</v>
      </c>
      <c r="F4361" s="3">
        <v>42950</v>
      </c>
      <c r="G4361" s="2">
        <v>201802</v>
      </c>
      <c r="H4361" s="2" t="s">
        <v>74</v>
      </c>
      <c r="I4361" s="2" t="s">
        <v>75</v>
      </c>
      <c r="J4361" s="2" t="s">
        <v>76</v>
      </c>
      <c r="K4361" s="2" t="s">
        <v>77</v>
      </c>
      <c r="L4361" s="2" t="s">
        <v>362</v>
      </c>
      <c r="M4361" s="2" t="s">
        <v>363</v>
      </c>
      <c r="N4361" s="2" t="s">
        <v>1020</v>
      </c>
      <c r="O4361" s="2" t="s">
        <v>100</v>
      </c>
      <c r="P4361" s="2" t="str">
        <f>"2170582848                    "</f>
        <v xml:space="preserve">2170582848                    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4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0</v>
      </c>
      <c r="AU4361" s="2">
        <v>0</v>
      </c>
      <c r="AV4361" s="2">
        <v>0</v>
      </c>
      <c r="AW4361" s="2">
        <v>0</v>
      </c>
      <c r="AX4361" s="2">
        <v>0</v>
      </c>
      <c r="AY4361" s="2">
        <v>0</v>
      </c>
      <c r="AZ4361" s="2">
        <v>0</v>
      </c>
      <c r="BA4361" s="2">
        <v>0</v>
      </c>
      <c r="BB4361" s="2">
        <v>0</v>
      </c>
      <c r="BC4361" s="2">
        <v>0</v>
      </c>
      <c r="BD4361" s="2">
        <v>0</v>
      </c>
      <c r="BE4361" s="2">
        <v>0</v>
      </c>
      <c r="BF4361" s="2">
        <v>0</v>
      </c>
      <c r="BG4361" s="2">
        <v>0</v>
      </c>
      <c r="BH4361" s="2">
        <v>1</v>
      </c>
      <c r="BI4361" s="2">
        <v>1</v>
      </c>
      <c r="BJ4361" s="2">
        <v>0.2</v>
      </c>
      <c r="BK4361" s="2">
        <v>1</v>
      </c>
      <c r="BL4361" s="2">
        <v>41.44</v>
      </c>
      <c r="BM4361" s="2">
        <v>5.8</v>
      </c>
      <c r="BN4361" s="2">
        <v>47.24</v>
      </c>
      <c r="BO4361" s="2">
        <v>47.24</v>
      </c>
      <c r="BP4361" s="2"/>
      <c r="BQ4361" s="2" t="s">
        <v>209</v>
      </c>
      <c r="BR4361" s="2" t="s">
        <v>84</v>
      </c>
      <c r="BS4361" s="3">
        <v>42951</v>
      </c>
      <c r="BT4361" s="4">
        <v>0.41666666666666669</v>
      </c>
      <c r="BU4361" s="2" t="s">
        <v>1040</v>
      </c>
      <c r="BV4361" s="2" t="s">
        <v>95</v>
      </c>
      <c r="BW4361" s="2"/>
      <c r="BX4361" s="2"/>
      <c r="BY4361" s="2">
        <v>1200</v>
      </c>
      <c r="BZ4361" s="2" t="s">
        <v>27</v>
      </c>
      <c r="CA4361" s="2" t="s">
        <v>367</v>
      </c>
      <c r="CB4361" s="2"/>
      <c r="CC4361" s="2" t="s">
        <v>363</v>
      </c>
      <c r="CD4361" s="2">
        <v>3200</v>
      </c>
      <c r="CE4361" s="2" t="s">
        <v>104</v>
      </c>
      <c r="CF4361" s="5">
        <v>42954</v>
      </c>
      <c r="CG4361" s="2"/>
      <c r="CH4361" s="2"/>
      <c r="CI4361" s="2">
        <v>1</v>
      </c>
      <c r="CJ4361" s="2">
        <v>1</v>
      </c>
      <c r="CK4361" s="2">
        <v>21</v>
      </c>
      <c r="CL4361" s="2" t="s">
        <v>86</v>
      </c>
      <c r="CM4361" s="2"/>
    </row>
    <row r="4362" spans="1:91">
      <c r="A4362" s="2" t="s">
        <v>71</v>
      </c>
      <c r="B4362" s="2" t="s">
        <v>72</v>
      </c>
      <c r="C4362" s="2" t="s">
        <v>73</v>
      </c>
      <c r="D4362" s="2"/>
      <c r="E4362" s="2" t="str">
        <f>"FES1162566600"</f>
        <v>FES1162566600</v>
      </c>
      <c r="F4362" s="3">
        <v>42950</v>
      </c>
      <c r="G4362" s="2">
        <v>201802</v>
      </c>
      <c r="H4362" s="2" t="s">
        <v>74</v>
      </c>
      <c r="I4362" s="2" t="s">
        <v>75</v>
      </c>
      <c r="J4362" s="2" t="s">
        <v>76</v>
      </c>
      <c r="K4362" s="2" t="s">
        <v>77</v>
      </c>
      <c r="L4362" s="2" t="s">
        <v>105</v>
      </c>
      <c r="M4362" s="2" t="s">
        <v>106</v>
      </c>
      <c r="N4362" s="2" t="s">
        <v>1306</v>
      </c>
      <c r="O4362" s="2" t="s">
        <v>100</v>
      </c>
      <c r="P4362" s="2" t="str">
        <f>"2170582819                    "</f>
        <v xml:space="preserve">2170582819                    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5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0</v>
      </c>
      <c r="AU4362" s="2">
        <v>0</v>
      </c>
      <c r="AV4362" s="2">
        <v>0</v>
      </c>
      <c r="AW4362" s="2">
        <v>0</v>
      </c>
      <c r="AX4362" s="2">
        <v>0</v>
      </c>
      <c r="AY4362" s="2">
        <v>0</v>
      </c>
      <c r="AZ4362" s="2">
        <v>0</v>
      </c>
      <c r="BA4362" s="2">
        <v>0</v>
      </c>
      <c r="BB4362" s="2">
        <v>0</v>
      </c>
      <c r="BC4362" s="2">
        <v>0</v>
      </c>
      <c r="BD4362" s="2">
        <v>0</v>
      </c>
      <c r="BE4362" s="2">
        <v>0</v>
      </c>
      <c r="BF4362" s="2">
        <v>0</v>
      </c>
      <c r="BG4362" s="2">
        <v>0</v>
      </c>
      <c r="BH4362" s="2">
        <v>1</v>
      </c>
      <c r="BI4362" s="2">
        <v>2.4</v>
      </c>
      <c r="BJ4362" s="2">
        <v>1.1000000000000001</v>
      </c>
      <c r="BK4362" s="2">
        <v>2.5</v>
      </c>
      <c r="BL4362" s="2">
        <v>51.8</v>
      </c>
      <c r="BM4362" s="2">
        <v>7.25</v>
      </c>
      <c r="BN4362" s="2">
        <v>59.05</v>
      </c>
      <c r="BO4362" s="2">
        <v>59.05</v>
      </c>
      <c r="BP4362" s="2"/>
      <c r="BQ4362" s="2" t="s">
        <v>209</v>
      </c>
      <c r="BR4362" s="2" t="s">
        <v>84</v>
      </c>
      <c r="BS4362" s="3">
        <v>42951</v>
      </c>
      <c r="BT4362" s="4">
        <v>0.41666666666666669</v>
      </c>
      <c r="BU4362" s="2" t="s">
        <v>1256</v>
      </c>
      <c r="BV4362" s="2" t="s">
        <v>95</v>
      </c>
      <c r="BW4362" s="2"/>
      <c r="BX4362" s="2"/>
      <c r="BY4362" s="2">
        <v>5663.58</v>
      </c>
      <c r="BZ4362" s="2" t="s">
        <v>27</v>
      </c>
      <c r="CA4362" s="2"/>
      <c r="CB4362" s="2"/>
      <c r="CC4362" s="2" t="s">
        <v>106</v>
      </c>
      <c r="CD4362" s="2">
        <v>7441</v>
      </c>
      <c r="CE4362" s="2" t="s">
        <v>89</v>
      </c>
      <c r="CF4362" s="5">
        <v>42954</v>
      </c>
      <c r="CG4362" s="2"/>
      <c r="CH4362" s="2"/>
      <c r="CI4362" s="2">
        <v>1</v>
      </c>
      <c r="CJ4362" s="2">
        <v>1</v>
      </c>
      <c r="CK4362" s="2">
        <v>21</v>
      </c>
      <c r="CL4362" s="2" t="s">
        <v>86</v>
      </c>
      <c r="CM4362" s="2"/>
    </row>
    <row r="4363" spans="1:91">
      <c r="A4363" s="2" t="s">
        <v>71</v>
      </c>
      <c r="B4363" s="2" t="s">
        <v>72</v>
      </c>
      <c r="C4363" s="2" t="s">
        <v>73</v>
      </c>
      <c r="D4363" s="2"/>
      <c r="E4363" s="2" t="str">
        <f>"FES1162566703"</f>
        <v>FES1162566703</v>
      </c>
      <c r="F4363" s="3">
        <v>42950</v>
      </c>
      <c r="G4363" s="2">
        <v>201802</v>
      </c>
      <c r="H4363" s="2" t="s">
        <v>74</v>
      </c>
      <c r="I4363" s="2" t="s">
        <v>75</v>
      </c>
      <c r="J4363" s="2" t="s">
        <v>76</v>
      </c>
      <c r="K4363" s="2" t="s">
        <v>77</v>
      </c>
      <c r="L4363" s="2" t="s">
        <v>604</v>
      </c>
      <c r="M4363" s="2" t="s">
        <v>605</v>
      </c>
      <c r="N4363" s="2" t="s">
        <v>391</v>
      </c>
      <c r="O4363" s="2" t="s">
        <v>100</v>
      </c>
      <c r="P4363" s="2" t="str">
        <f>"217058998                     "</f>
        <v xml:space="preserve">217058998                     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4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0</v>
      </c>
      <c r="AU4363" s="2">
        <v>0</v>
      </c>
      <c r="AV4363" s="2">
        <v>0</v>
      </c>
      <c r="AW4363" s="2">
        <v>0</v>
      </c>
      <c r="AX4363" s="2">
        <v>0</v>
      </c>
      <c r="AY4363" s="2">
        <v>0</v>
      </c>
      <c r="AZ4363" s="2">
        <v>0</v>
      </c>
      <c r="BA4363" s="2">
        <v>0</v>
      </c>
      <c r="BB4363" s="2">
        <v>0</v>
      </c>
      <c r="BC4363" s="2">
        <v>0</v>
      </c>
      <c r="BD4363" s="2">
        <v>0</v>
      </c>
      <c r="BE4363" s="2">
        <v>0</v>
      </c>
      <c r="BF4363" s="2">
        <v>0</v>
      </c>
      <c r="BG4363" s="2">
        <v>0</v>
      </c>
      <c r="BH4363" s="2">
        <v>1</v>
      </c>
      <c r="BI4363" s="2">
        <v>1.4</v>
      </c>
      <c r="BJ4363" s="2">
        <v>2</v>
      </c>
      <c r="BK4363" s="2">
        <v>2</v>
      </c>
      <c r="BL4363" s="2">
        <v>41.44</v>
      </c>
      <c r="BM4363" s="2">
        <v>5.8</v>
      </c>
      <c r="BN4363" s="2">
        <v>47.24</v>
      </c>
      <c r="BO4363" s="2">
        <v>47.24</v>
      </c>
      <c r="BP4363" s="2"/>
      <c r="BQ4363" s="2" t="s">
        <v>1540</v>
      </c>
      <c r="BR4363" s="2" t="s">
        <v>84</v>
      </c>
      <c r="BS4363" s="3">
        <v>42951</v>
      </c>
      <c r="BT4363" s="4">
        <v>0.40763888888888888</v>
      </c>
      <c r="BU4363" s="2" t="s">
        <v>3424</v>
      </c>
      <c r="BV4363" s="2" t="s">
        <v>95</v>
      </c>
      <c r="BW4363" s="2"/>
      <c r="BX4363" s="2"/>
      <c r="BY4363" s="2">
        <v>9909.84</v>
      </c>
      <c r="BZ4363" s="2" t="s">
        <v>27</v>
      </c>
      <c r="CA4363" s="2" t="s">
        <v>607</v>
      </c>
      <c r="CB4363" s="2"/>
      <c r="CC4363" s="2" t="s">
        <v>605</v>
      </c>
      <c r="CD4363" s="2">
        <v>4126</v>
      </c>
      <c r="CE4363" s="2" t="s">
        <v>3630</v>
      </c>
      <c r="CF4363" s="5">
        <v>42954</v>
      </c>
      <c r="CG4363" s="2"/>
      <c r="CH4363" s="2"/>
      <c r="CI4363" s="2">
        <v>1</v>
      </c>
      <c r="CJ4363" s="2">
        <v>1</v>
      </c>
      <c r="CK4363" s="2">
        <v>21</v>
      </c>
      <c r="CL4363" s="2" t="s">
        <v>86</v>
      </c>
      <c r="CM4363" s="2"/>
    </row>
    <row r="4364" spans="1:91">
      <c r="A4364" s="2" t="s">
        <v>71</v>
      </c>
      <c r="B4364" s="2" t="s">
        <v>72</v>
      </c>
      <c r="C4364" s="2" t="s">
        <v>73</v>
      </c>
      <c r="D4364" s="2"/>
      <c r="E4364" s="2" t="str">
        <f>"FES1162566620"</f>
        <v>FES1162566620</v>
      </c>
      <c r="F4364" s="3">
        <v>42950</v>
      </c>
      <c r="G4364" s="2">
        <v>201802</v>
      </c>
      <c r="H4364" s="2" t="s">
        <v>74</v>
      </c>
      <c r="I4364" s="2" t="s">
        <v>75</v>
      </c>
      <c r="J4364" s="2" t="s">
        <v>76</v>
      </c>
      <c r="K4364" s="2" t="s">
        <v>77</v>
      </c>
      <c r="L4364" s="2" t="s">
        <v>164</v>
      </c>
      <c r="M4364" s="2" t="s">
        <v>165</v>
      </c>
      <c r="N4364" s="2" t="s">
        <v>3594</v>
      </c>
      <c r="O4364" s="2" t="s">
        <v>100</v>
      </c>
      <c r="P4364" s="2" t="str">
        <f>"2170581106                    "</f>
        <v xml:space="preserve">2170581106                    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4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0</v>
      </c>
      <c r="AU4364" s="2">
        <v>0</v>
      </c>
      <c r="AV4364" s="2">
        <v>0</v>
      </c>
      <c r="AW4364" s="2">
        <v>0</v>
      </c>
      <c r="AX4364" s="2">
        <v>0</v>
      </c>
      <c r="AY4364" s="2">
        <v>0</v>
      </c>
      <c r="AZ4364" s="2">
        <v>0</v>
      </c>
      <c r="BA4364" s="2">
        <v>0</v>
      </c>
      <c r="BB4364" s="2">
        <v>0</v>
      </c>
      <c r="BC4364" s="2">
        <v>0</v>
      </c>
      <c r="BD4364" s="2">
        <v>0</v>
      </c>
      <c r="BE4364" s="2">
        <v>0</v>
      </c>
      <c r="BF4364" s="2">
        <v>0</v>
      </c>
      <c r="BG4364" s="2">
        <v>0</v>
      </c>
      <c r="BH4364" s="2">
        <v>1</v>
      </c>
      <c r="BI4364" s="2">
        <v>2</v>
      </c>
      <c r="BJ4364" s="2">
        <v>1</v>
      </c>
      <c r="BK4364" s="2">
        <v>2</v>
      </c>
      <c r="BL4364" s="2">
        <v>41.44</v>
      </c>
      <c r="BM4364" s="2">
        <v>5.8</v>
      </c>
      <c r="BN4364" s="2">
        <v>47.24</v>
      </c>
      <c r="BO4364" s="2">
        <v>47.24</v>
      </c>
      <c r="BP4364" s="2"/>
      <c r="BQ4364" s="2" t="s">
        <v>3595</v>
      </c>
      <c r="BR4364" s="2" t="s">
        <v>84</v>
      </c>
      <c r="BS4364" s="3">
        <v>42951</v>
      </c>
      <c r="BT4364" s="4">
        <v>0.39652777777777781</v>
      </c>
      <c r="BU4364" s="2" t="s">
        <v>3988</v>
      </c>
      <c r="BV4364" s="2" t="s">
        <v>95</v>
      </c>
      <c r="BW4364" s="2"/>
      <c r="BX4364" s="2"/>
      <c r="BY4364" s="2">
        <v>4900.66</v>
      </c>
      <c r="BZ4364" s="2" t="s">
        <v>27</v>
      </c>
      <c r="CA4364" s="2" t="s">
        <v>2114</v>
      </c>
      <c r="CB4364" s="2"/>
      <c r="CC4364" s="2" t="s">
        <v>165</v>
      </c>
      <c r="CD4364" s="2">
        <v>6850</v>
      </c>
      <c r="CE4364" s="2" t="s">
        <v>89</v>
      </c>
      <c r="CF4364" s="5">
        <v>42954</v>
      </c>
      <c r="CG4364" s="2"/>
      <c r="CH4364" s="2"/>
      <c r="CI4364" s="2">
        <v>3</v>
      </c>
      <c r="CJ4364" s="2">
        <v>1</v>
      </c>
      <c r="CK4364" s="2">
        <v>21</v>
      </c>
      <c r="CL4364" s="2" t="s">
        <v>86</v>
      </c>
      <c r="CM4364" s="2"/>
    </row>
    <row r="4365" spans="1:91">
      <c r="A4365" s="2" t="s">
        <v>71</v>
      </c>
      <c r="B4365" s="2" t="s">
        <v>72</v>
      </c>
      <c r="C4365" s="2" t="s">
        <v>73</v>
      </c>
      <c r="D4365" s="2"/>
      <c r="E4365" s="2" t="str">
        <f>"FES1162566623"</f>
        <v>FES1162566623</v>
      </c>
      <c r="F4365" s="3">
        <v>42950</v>
      </c>
      <c r="G4365" s="2">
        <v>201802</v>
      </c>
      <c r="H4365" s="2" t="s">
        <v>74</v>
      </c>
      <c r="I4365" s="2" t="s">
        <v>75</v>
      </c>
      <c r="J4365" s="2" t="s">
        <v>76</v>
      </c>
      <c r="K4365" s="2" t="s">
        <v>77</v>
      </c>
      <c r="L4365" s="2" t="s">
        <v>353</v>
      </c>
      <c r="M4365" s="2" t="s">
        <v>354</v>
      </c>
      <c r="N4365" s="2" t="s">
        <v>2932</v>
      </c>
      <c r="O4365" s="2" t="s">
        <v>100</v>
      </c>
      <c r="P4365" s="2" t="str">
        <f>"2170582263                    "</f>
        <v xml:space="preserve">2170582263                    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4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0</v>
      </c>
      <c r="AU4365" s="2">
        <v>0</v>
      </c>
      <c r="AV4365" s="2">
        <v>0</v>
      </c>
      <c r="AW4365" s="2">
        <v>0</v>
      </c>
      <c r="AX4365" s="2">
        <v>0</v>
      </c>
      <c r="AY4365" s="2">
        <v>0</v>
      </c>
      <c r="AZ4365" s="2">
        <v>0</v>
      </c>
      <c r="BA4365" s="2">
        <v>0</v>
      </c>
      <c r="BB4365" s="2">
        <v>0</v>
      </c>
      <c r="BC4365" s="2">
        <v>0</v>
      </c>
      <c r="BD4365" s="2">
        <v>0</v>
      </c>
      <c r="BE4365" s="2">
        <v>0</v>
      </c>
      <c r="BF4365" s="2">
        <v>0</v>
      </c>
      <c r="BG4365" s="2">
        <v>0</v>
      </c>
      <c r="BH4365" s="2">
        <v>1</v>
      </c>
      <c r="BI4365" s="2">
        <v>0.5</v>
      </c>
      <c r="BJ4365" s="2">
        <v>0.2</v>
      </c>
      <c r="BK4365" s="2">
        <v>0.5</v>
      </c>
      <c r="BL4365" s="2">
        <v>41.44</v>
      </c>
      <c r="BM4365" s="2">
        <v>5.8</v>
      </c>
      <c r="BN4365" s="2">
        <v>47.24</v>
      </c>
      <c r="BO4365" s="2">
        <v>47.24</v>
      </c>
      <c r="BP4365" s="2"/>
      <c r="BQ4365" s="2"/>
      <c r="BR4365" s="2" t="s">
        <v>84</v>
      </c>
      <c r="BS4365" s="3">
        <v>42952</v>
      </c>
      <c r="BT4365" s="4">
        <v>0.45833333333333331</v>
      </c>
      <c r="BU4365" s="2" t="s">
        <v>3088</v>
      </c>
      <c r="BV4365" s="2" t="s">
        <v>95</v>
      </c>
      <c r="BW4365" s="2"/>
      <c r="BX4365" s="2"/>
      <c r="BY4365" s="2">
        <v>1200</v>
      </c>
      <c r="BZ4365" s="2" t="s">
        <v>27</v>
      </c>
      <c r="CA4365" s="2"/>
      <c r="CB4365" s="2"/>
      <c r="CC4365" s="2" t="s">
        <v>354</v>
      </c>
      <c r="CD4365" s="2">
        <v>3699</v>
      </c>
      <c r="CE4365" s="2" t="s">
        <v>104</v>
      </c>
      <c r="CF4365" s="5">
        <v>42955</v>
      </c>
      <c r="CG4365" s="2"/>
      <c r="CH4365" s="2"/>
      <c r="CI4365" s="2">
        <v>1</v>
      </c>
      <c r="CJ4365" s="2">
        <v>1</v>
      </c>
      <c r="CK4365" s="2">
        <v>21</v>
      </c>
      <c r="CL4365" s="2" t="s">
        <v>86</v>
      </c>
      <c r="CM4365" s="2"/>
    </row>
    <row r="4366" spans="1:91">
      <c r="A4366" s="2" t="s">
        <v>71</v>
      </c>
      <c r="B4366" s="2" t="s">
        <v>72</v>
      </c>
      <c r="C4366" s="2" t="s">
        <v>73</v>
      </c>
      <c r="D4366" s="2"/>
      <c r="E4366" s="2" t="str">
        <f>"FES1162566618"</f>
        <v>FES1162566618</v>
      </c>
      <c r="F4366" s="3">
        <v>42950</v>
      </c>
      <c r="G4366" s="2">
        <v>201802</v>
      </c>
      <c r="H4366" s="2" t="s">
        <v>74</v>
      </c>
      <c r="I4366" s="2" t="s">
        <v>75</v>
      </c>
      <c r="J4366" s="2" t="s">
        <v>76</v>
      </c>
      <c r="K4366" s="2" t="s">
        <v>77</v>
      </c>
      <c r="L4366" s="2" t="s">
        <v>105</v>
      </c>
      <c r="M4366" s="2" t="s">
        <v>106</v>
      </c>
      <c r="N4366" s="2" t="s">
        <v>486</v>
      </c>
      <c r="O4366" s="2" t="s">
        <v>100</v>
      </c>
      <c r="P4366" s="2" t="str">
        <f>"2170580925                    "</f>
        <v xml:space="preserve">2170580925                    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2">
        <v>0</v>
      </c>
      <c r="Z4366" s="2">
        <v>0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4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0</v>
      </c>
      <c r="AU4366" s="2">
        <v>0</v>
      </c>
      <c r="AV4366" s="2">
        <v>0</v>
      </c>
      <c r="AW4366" s="2">
        <v>0</v>
      </c>
      <c r="AX4366" s="2">
        <v>0</v>
      </c>
      <c r="AY4366" s="2">
        <v>0</v>
      </c>
      <c r="AZ4366" s="2">
        <v>0</v>
      </c>
      <c r="BA4366" s="2">
        <v>0</v>
      </c>
      <c r="BB4366" s="2">
        <v>0</v>
      </c>
      <c r="BC4366" s="2">
        <v>0</v>
      </c>
      <c r="BD4366" s="2">
        <v>0</v>
      </c>
      <c r="BE4366" s="2">
        <v>0</v>
      </c>
      <c r="BF4366" s="2">
        <v>0</v>
      </c>
      <c r="BG4366" s="2">
        <v>0</v>
      </c>
      <c r="BH4366" s="2">
        <v>1</v>
      </c>
      <c r="BI4366" s="2">
        <v>1</v>
      </c>
      <c r="BJ4366" s="2">
        <v>0.2</v>
      </c>
      <c r="BK4366" s="2">
        <v>1</v>
      </c>
      <c r="BL4366" s="2">
        <v>41.44</v>
      </c>
      <c r="BM4366" s="2">
        <v>5.8</v>
      </c>
      <c r="BN4366" s="2">
        <v>47.24</v>
      </c>
      <c r="BO4366" s="2">
        <v>47.24</v>
      </c>
      <c r="BP4366" s="2"/>
      <c r="BQ4366" s="2" t="s">
        <v>108</v>
      </c>
      <c r="BR4366" s="2" t="s">
        <v>84</v>
      </c>
      <c r="BS4366" s="3">
        <v>42951</v>
      </c>
      <c r="BT4366" s="4">
        <v>0.41597222222222219</v>
      </c>
      <c r="BU4366" s="2" t="s">
        <v>487</v>
      </c>
      <c r="BV4366" s="2" t="s">
        <v>95</v>
      </c>
      <c r="BW4366" s="2"/>
      <c r="BX4366" s="2"/>
      <c r="BY4366" s="2">
        <v>1200</v>
      </c>
      <c r="BZ4366" s="2" t="s">
        <v>27</v>
      </c>
      <c r="CA4366" s="2" t="s">
        <v>291</v>
      </c>
      <c r="CB4366" s="2"/>
      <c r="CC4366" s="2" t="s">
        <v>106</v>
      </c>
      <c r="CD4366" s="2">
        <v>7441</v>
      </c>
      <c r="CE4366" s="2" t="s">
        <v>104</v>
      </c>
      <c r="CF4366" s="5">
        <v>42954</v>
      </c>
      <c r="CG4366" s="2"/>
      <c r="CH4366" s="2"/>
      <c r="CI4366" s="2">
        <v>1</v>
      </c>
      <c r="CJ4366" s="2">
        <v>1</v>
      </c>
      <c r="CK4366" s="2">
        <v>21</v>
      </c>
      <c r="CL4366" s="2" t="s">
        <v>86</v>
      </c>
      <c r="CM4366" s="2"/>
    </row>
    <row r="4367" spans="1:91">
      <c r="A4367" s="2" t="s">
        <v>71</v>
      </c>
      <c r="B4367" s="2" t="s">
        <v>72</v>
      </c>
      <c r="C4367" s="2" t="s">
        <v>73</v>
      </c>
      <c r="D4367" s="2"/>
      <c r="E4367" s="2" t="str">
        <f>"FES1162566699"</f>
        <v>FES1162566699</v>
      </c>
      <c r="F4367" s="3">
        <v>42950</v>
      </c>
      <c r="G4367" s="2">
        <v>201802</v>
      </c>
      <c r="H4367" s="2" t="s">
        <v>74</v>
      </c>
      <c r="I4367" s="2" t="s">
        <v>75</v>
      </c>
      <c r="J4367" s="2" t="s">
        <v>76</v>
      </c>
      <c r="K4367" s="2" t="s">
        <v>77</v>
      </c>
      <c r="L4367" s="2" t="s">
        <v>221</v>
      </c>
      <c r="M4367" s="2" t="s">
        <v>222</v>
      </c>
      <c r="N4367" s="2" t="s">
        <v>415</v>
      </c>
      <c r="O4367" s="2" t="s">
        <v>100</v>
      </c>
      <c r="P4367" s="2" t="str">
        <f>"2170582655                    "</f>
        <v xml:space="preserve">2170582655                    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>
        <v>0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5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0</v>
      </c>
      <c r="AU4367" s="2">
        <v>0</v>
      </c>
      <c r="AV4367" s="2">
        <v>0</v>
      </c>
      <c r="AW4367" s="2">
        <v>0</v>
      </c>
      <c r="AX4367" s="2">
        <v>0</v>
      </c>
      <c r="AY4367" s="2">
        <v>0</v>
      </c>
      <c r="AZ4367" s="2">
        <v>0</v>
      </c>
      <c r="BA4367" s="2">
        <v>0</v>
      </c>
      <c r="BB4367" s="2">
        <v>0</v>
      </c>
      <c r="BC4367" s="2">
        <v>0</v>
      </c>
      <c r="BD4367" s="2">
        <v>0</v>
      </c>
      <c r="BE4367" s="2">
        <v>0</v>
      </c>
      <c r="BF4367" s="2">
        <v>0</v>
      </c>
      <c r="BG4367" s="2">
        <v>0</v>
      </c>
      <c r="BH4367" s="2">
        <v>1</v>
      </c>
      <c r="BI4367" s="2">
        <v>1.4</v>
      </c>
      <c r="BJ4367" s="2">
        <v>2.2000000000000002</v>
      </c>
      <c r="BK4367" s="2">
        <v>2.5</v>
      </c>
      <c r="BL4367" s="2">
        <v>51.8</v>
      </c>
      <c r="BM4367" s="2">
        <v>7.25</v>
      </c>
      <c r="BN4367" s="2">
        <v>59.05</v>
      </c>
      <c r="BO4367" s="2">
        <v>59.05</v>
      </c>
      <c r="BP4367" s="2"/>
      <c r="BQ4367" s="2" t="s">
        <v>108</v>
      </c>
      <c r="BR4367" s="2" t="s">
        <v>84</v>
      </c>
      <c r="BS4367" s="3">
        <v>42951</v>
      </c>
      <c r="BT4367" s="4">
        <v>0.35625000000000001</v>
      </c>
      <c r="BU4367" s="2" t="s">
        <v>933</v>
      </c>
      <c r="BV4367" s="2" t="s">
        <v>95</v>
      </c>
      <c r="BW4367" s="2"/>
      <c r="BX4367" s="2"/>
      <c r="BY4367" s="2">
        <v>11086.66</v>
      </c>
      <c r="BZ4367" s="2" t="s">
        <v>27</v>
      </c>
      <c r="CA4367" s="2" t="s">
        <v>225</v>
      </c>
      <c r="CB4367" s="2"/>
      <c r="CC4367" s="2" t="s">
        <v>222</v>
      </c>
      <c r="CD4367" s="2">
        <v>4302</v>
      </c>
      <c r="CE4367" s="2" t="s">
        <v>135</v>
      </c>
      <c r="CF4367" s="5">
        <v>42954</v>
      </c>
      <c r="CG4367" s="2"/>
      <c r="CH4367" s="2"/>
      <c r="CI4367" s="2">
        <v>1</v>
      </c>
      <c r="CJ4367" s="2">
        <v>1</v>
      </c>
      <c r="CK4367" s="2">
        <v>21</v>
      </c>
      <c r="CL4367" s="2" t="s">
        <v>86</v>
      </c>
      <c r="CM4367" s="2"/>
    </row>
    <row r="4368" spans="1:91">
      <c r="A4368" s="2" t="s">
        <v>71</v>
      </c>
      <c r="B4368" s="2" t="s">
        <v>72</v>
      </c>
      <c r="C4368" s="2" t="s">
        <v>73</v>
      </c>
      <c r="D4368" s="2"/>
      <c r="E4368" s="2" t="str">
        <f>"FES1162566634"</f>
        <v>FES1162566634</v>
      </c>
      <c r="F4368" s="3">
        <v>42950</v>
      </c>
      <c r="G4368" s="2">
        <v>201802</v>
      </c>
      <c r="H4368" s="2" t="s">
        <v>74</v>
      </c>
      <c r="I4368" s="2" t="s">
        <v>75</v>
      </c>
      <c r="J4368" s="2" t="s">
        <v>76</v>
      </c>
      <c r="K4368" s="2" t="s">
        <v>77</v>
      </c>
      <c r="L4368" s="2" t="s">
        <v>2054</v>
      </c>
      <c r="M4368" s="2" t="s">
        <v>2055</v>
      </c>
      <c r="N4368" s="2" t="s">
        <v>2056</v>
      </c>
      <c r="O4368" s="2" t="s">
        <v>100</v>
      </c>
      <c r="P4368" s="2" t="str">
        <f>"2170582965                    "</f>
        <v xml:space="preserve">2170582965                    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4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0</v>
      </c>
      <c r="AU4368" s="2">
        <v>0</v>
      </c>
      <c r="AV4368" s="2">
        <v>0</v>
      </c>
      <c r="AW4368" s="2">
        <v>0</v>
      </c>
      <c r="AX4368" s="2">
        <v>0</v>
      </c>
      <c r="AY4368" s="2">
        <v>0</v>
      </c>
      <c r="AZ4368" s="2">
        <v>0</v>
      </c>
      <c r="BA4368" s="2">
        <v>0</v>
      </c>
      <c r="BB4368" s="2">
        <v>0</v>
      </c>
      <c r="BC4368" s="2">
        <v>0</v>
      </c>
      <c r="BD4368" s="2">
        <v>0</v>
      </c>
      <c r="BE4368" s="2">
        <v>0</v>
      </c>
      <c r="BF4368" s="2">
        <v>0</v>
      </c>
      <c r="BG4368" s="2">
        <v>0</v>
      </c>
      <c r="BH4368" s="2">
        <v>1</v>
      </c>
      <c r="BI4368" s="2">
        <v>0.5</v>
      </c>
      <c r="BJ4368" s="2">
        <v>0.2</v>
      </c>
      <c r="BK4368" s="2">
        <v>0.5</v>
      </c>
      <c r="BL4368" s="2">
        <v>41.44</v>
      </c>
      <c r="BM4368" s="2">
        <v>5.8</v>
      </c>
      <c r="BN4368" s="2">
        <v>47.24</v>
      </c>
      <c r="BO4368" s="2">
        <v>47.24</v>
      </c>
      <c r="BP4368" s="2"/>
      <c r="BQ4368" s="2" t="s">
        <v>3394</v>
      </c>
      <c r="BR4368" s="2" t="s">
        <v>84</v>
      </c>
      <c r="BS4368" s="3">
        <v>42954</v>
      </c>
      <c r="BT4368" s="4">
        <v>0.54166666666666663</v>
      </c>
      <c r="BU4368" s="2" t="s">
        <v>2057</v>
      </c>
      <c r="BV4368" s="2" t="s">
        <v>86</v>
      </c>
      <c r="BW4368" s="2"/>
      <c r="BX4368" s="2"/>
      <c r="BY4368" s="2">
        <v>1200</v>
      </c>
      <c r="BZ4368" s="2" t="s">
        <v>27</v>
      </c>
      <c r="CA4368" s="2" t="s">
        <v>668</v>
      </c>
      <c r="CB4368" s="2"/>
      <c r="CC4368" s="2" t="s">
        <v>2055</v>
      </c>
      <c r="CD4368" s="2">
        <v>3760</v>
      </c>
      <c r="CE4368" s="2" t="s">
        <v>104</v>
      </c>
      <c r="CF4368" s="5">
        <v>42955</v>
      </c>
      <c r="CG4368" s="2"/>
      <c r="CH4368" s="2"/>
      <c r="CI4368" s="2">
        <v>1</v>
      </c>
      <c r="CJ4368" s="2">
        <v>2</v>
      </c>
      <c r="CK4368" s="2">
        <v>21</v>
      </c>
      <c r="CL4368" s="2" t="s">
        <v>86</v>
      </c>
      <c r="CM4368" s="2"/>
    </row>
    <row r="4369" spans="1:91">
      <c r="A4369" s="2" t="s">
        <v>71</v>
      </c>
      <c r="B4369" s="2" t="s">
        <v>72</v>
      </c>
      <c r="C4369" s="2" t="s">
        <v>73</v>
      </c>
      <c r="D4369" s="2"/>
      <c r="E4369" s="2" t="str">
        <f>"FES1162566617"</f>
        <v>FES1162566617</v>
      </c>
      <c r="F4369" s="3">
        <v>42950</v>
      </c>
      <c r="G4369" s="2">
        <v>201802</v>
      </c>
      <c r="H4369" s="2" t="s">
        <v>74</v>
      </c>
      <c r="I4369" s="2" t="s">
        <v>75</v>
      </c>
      <c r="J4369" s="2" t="s">
        <v>76</v>
      </c>
      <c r="K4369" s="2" t="s">
        <v>77</v>
      </c>
      <c r="L4369" s="2" t="s">
        <v>362</v>
      </c>
      <c r="M4369" s="2" t="s">
        <v>363</v>
      </c>
      <c r="N4369" s="2" t="s">
        <v>2991</v>
      </c>
      <c r="O4369" s="2" t="s">
        <v>100</v>
      </c>
      <c r="P4369" s="2" t="str">
        <f>"2170580921                    "</f>
        <v xml:space="preserve">2170580921                    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</v>
      </c>
      <c r="Y4369" s="2">
        <v>0</v>
      </c>
      <c r="Z4369" s="2">
        <v>0</v>
      </c>
      <c r="AA4369" s="2">
        <v>0</v>
      </c>
      <c r="AB4369" s="2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12.01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0</v>
      </c>
      <c r="AU4369" s="2">
        <v>0</v>
      </c>
      <c r="AV4369" s="2">
        <v>0</v>
      </c>
      <c r="AW4369" s="2">
        <v>0</v>
      </c>
      <c r="AX4369" s="2">
        <v>0</v>
      </c>
      <c r="AY4369" s="2">
        <v>0</v>
      </c>
      <c r="AZ4369" s="2">
        <v>0</v>
      </c>
      <c r="BA4369" s="2">
        <v>0</v>
      </c>
      <c r="BB4369" s="2">
        <v>0</v>
      </c>
      <c r="BC4369" s="2">
        <v>0</v>
      </c>
      <c r="BD4369" s="2">
        <v>0</v>
      </c>
      <c r="BE4369" s="2">
        <v>0</v>
      </c>
      <c r="BF4369" s="2">
        <v>0</v>
      </c>
      <c r="BG4369" s="2">
        <v>0</v>
      </c>
      <c r="BH4369" s="2">
        <v>1</v>
      </c>
      <c r="BI4369" s="2">
        <v>5.6</v>
      </c>
      <c r="BJ4369" s="2">
        <v>1.3</v>
      </c>
      <c r="BK4369" s="2">
        <v>6</v>
      </c>
      <c r="BL4369" s="2">
        <v>124.33</v>
      </c>
      <c r="BM4369" s="2">
        <v>17.41</v>
      </c>
      <c r="BN4369" s="2">
        <v>141.74</v>
      </c>
      <c r="BO4369" s="2">
        <v>141.74</v>
      </c>
      <c r="BP4369" s="2"/>
      <c r="BQ4369" s="2" t="s">
        <v>2992</v>
      </c>
      <c r="BR4369" s="2" t="s">
        <v>84</v>
      </c>
      <c r="BS4369" s="3">
        <v>42955</v>
      </c>
      <c r="BT4369" s="4">
        <v>0.61805555555555558</v>
      </c>
      <c r="BU4369" s="2" t="s">
        <v>3989</v>
      </c>
      <c r="BV4369" s="2" t="s">
        <v>86</v>
      </c>
      <c r="BW4369" s="2" t="s">
        <v>1007</v>
      </c>
      <c r="BX4369" s="2" t="s">
        <v>549</v>
      </c>
      <c r="BY4369" s="2">
        <v>6697.11</v>
      </c>
      <c r="BZ4369" s="2" t="s">
        <v>27</v>
      </c>
      <c r="CA4369" s="2" t="s">
        <v>550</v>
      </c>
      <c r="CB4369" s="2"/>
      <c r="CC4369" s="2" t="s">
        <v>363</v>
      </c>
      <c r="CD4369" s="2">
        <v>3201</v>
      </c>
      <c r="CE4369" s="2" t="s">
        <v>89</v>
      </c>
      <c r="CF4369" s="5">
        <v>42957</v>
      </c>
      <c r="CG4369" s="2"/>
      <c r="CH4369" s="2"/>
      <c r="CI4369" s="2">
        <v>1</v>
      </c>
      <c r="CJ4369" s="2">
        <v>3</v>
      </c>
      <c r="CK4369" s="2">
        <v>21</v>
      </c>
      <c r="CL4369" s="2" t="s">
        <v>86</v>
      </c>
      <c r="CM4369" s="2"/>
    </row>
    <row r="4370" spans="1:91">
      <c r="A4370" s="2" t="s">
        <v>71</v>
      </c>
      <c r="B4370" s="2" t="s">
        <v>72</v>
      </c>
      <c r="C4370" s="2" t="s">
        <v>73</v>
      </c>
      <c r="D4370" s="2"/>
      <c r="E4370" s="2" t="str">
        <f>"FES1162566646"</f>
        <v>FES1162566646</v>
      </c>
      <c r="F4370" s="3">
        <v>42950</v>
      </c>
      <c r="G4370" s="2">
        <v>201802</v>
      </c>
      <c r="H4370" s="2" t="s">
        <v>74</v>
      </c>
      <c r="I4370" s="2" t="s">
        <v>75</v>
      </c>
      <c r="J4370" s="2" t="s">
        <v>76</v>
      </c>
      <c r="K4370" s="2" t="s">
        <v>77</v>
      </c>
      <c r="L4370" s="2" t="s">
        <v>237</v>
      </c>
      <c r="M4370" s="2" t="s">
        <v>238</v>
      </c>
      <c r="N4370" s="2" t="s">
        <v>3990</v>
      </c>
      <c r="O4370" s="2" t="s">
        <v>100</v>
      </c>
      <c r="P4370" s="2" t="str">
        <f>"2170582978                    "</f>
        <v xml:space="preserve">2170582978                    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2">
        <v>0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7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0</v>
      </c>
      <c r="AU4370" s="2">
        <v>0</v>
      </c>
      <c r="AV4370" s="2">
        <v>0</v>
      </c>
      <c r="AW4370" s="2">
        <v>0</v>
      </c>
      <c r="AX4370" s="2">
        <v>0</v>
      </c>
      <c r="AY4370" s="2">
        <v>0</v>
      </c>
      <c r="AZ4370" s="2">
        <v>0</v>
      </c>
      <c r="BA4370" s="2">
        <v>0</v>
      </c>
      <c r="BB4370" s="2">
        <v>0</v>
      </c>
      <c r="BC4370" s="2">
        <v>0</v>
      </c>
      <c r="BD4370" s="2">
        <v>0</v>
      </c>
      <c r="BE4370" s="2">
        <v>0</v>
      </c>
      <c r="BF4370" s="2">
        <v>0</v>
      </c>
      <c r="BG4370" s="2">
        <v>0</v>
      </c>
      <c r="BH4370" s="2">
        <v>1</v>
      </c>
      <c r="BI4370" s="2">
        <v>1</v>
      </c>
      <c r="BJ4370" s="2">
        <v>3.5</v>
      </c>
      <c r="BK4370" s="2">
        <v>3.5</v>
      </c>
      <c r="BL4370" s="2">
        <v>72.52</v>
      </c>
      <c r="BM4370" s="2">
        <v>10.15</v>
      </c>
      <c r="BN4370" s="2">
        <v>82.67</v>
      </c>
      <c r="BO4370" s="2">
        <v>82.67</v>
      </c>
      <c r="BP4370" s="2"/>
      <c r="BQ4370" s="2" t="s">
        <v>3991</v>
      </c>
      <c r="BR4370" s="2" t="s">
        <v>84</v>
      </c>
      <c r="BS4370" s="3">
        <v>42951</v>
      </c>
      <c r="BT4370" s="4">
        <v>0.5444444444444444</v>
      </c>
      <c r="BU4370" s="2" t="s">
        <v>3992</v>
      </c>
      <c r="BV4370" s="2" t="s">
        <v>95</v>
      </c>
      <c r="BW4370" s="2"/>
      <c r="BX4370" s="2"/>
      <c r="BY4370" s="2">
        <v>17430.59</v>
      </c>
      <c r="BZ4370" s="2" t="s">
        <v>27</v>
      </c>
      <c r="CA4370" s="2" t="s">
        <v>2155</v>
      </c>
      <c r="CB4370" s="2"/>
      <c r="CC4370" s="2" t="s">
        <v>238</v>
      </c>
      <c r="CD4370" s="2">
        <v>3610</v>
      </c>
      <c r="CE4370" s="2" t="s">
        <v>3630</v>
      </c>
      <c r="CF4370" s="5">
        <v>42954</v>
      </c>
      <c r="CG4370" s="2"/>
      <c r="CH4370" s="2"/>
      <c r="CI4370" s="2">
        <v>1</v>
      </c>
      <c r="CJ4370" s="2">
        <v>1</v>
      </c>
      <c r="CK4370" s="2">
        <v>21</v>
      </c>
      <c r="CL4370" s="2" t="s">
        <v>86</v>
      </c>
      <c r="CM4370" s="2"/>
    </row>
    <row r="4371" spans="1:91">
      <c r="A4371" s="2" t="s">
        <v>71</v>
      </c>
      <c r="B4371" s="2" t="s">
        <v>72</v>
      </c>
      <c r="C4371" s="2" t="s">
        <v>73</v>
      </c>
      <c r="D4371" s="2"/>
      <c r="E4371" s="2" t="str">
        <f>"FES1162566798"</f>
        <v>FES1162566798</v>
      </c>
      <c r="F4371" s="3">
        <v>42950</v>
      </c>
      <c r="G4371" s="2">
        <v>201802</v>
      </c>
      <c r="H4371" s="2" t="s">
        <v>74</v>
      </c>
      <c r="I4371" s="2" t="s">
        <v>75</v>
      </c>
      <c r="J4371" s="2" t="s">
        <v>76</v>
      </c>
      <c r="K4371" s="2" t="s">
        <v>77</v>
      </c>
      <c r="L4371" s="2" t="s">
        <v>105</v>
      </c>
      <c r="M4371" s="2" t="s">
        <v>106</v>
      </c>
      <c r="N4371" s="2" t="s">
        <v>1270</v>
      </c>
      <c r="O4371" s="2" t="s">
        <v>100</v>
      </c>
      <c r="P4371" s="2" t="str">
        <f>"2170572997                    "</f>
        <v xml:space="preserve">2170572997                    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</v>
      </c>
      <c r="Y4371" s="2">
        <v>0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21.01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0</v>
      </c>
      <c r="AU4371" s="2">
        <v>0</v>
      </c>
      <c r="AV4371" s="2">
        <v>0</v>
      </c>
      <c r="AW4371" s="2">
        <v>0</v>
      </c>
      <c r="AX4371" s="2">
        <v>0</v>
      </c>
      <c r="AY4371" s="2">
        <v>0</v>
      </c>
      <c r="AZ4371" s="2">
        <v>0</v>
      </c>
      <c r="BA4371" s="2">
        <v>0</v>
      </c>
      <c r="BB4371" s="2">
        <v>0</v>
      </c>
      <c r="BC4371" s="2">
        <v>0</v>
      </c>
      <c r="BD4371" s="2">
        <v>0</v>
      </c>
      <c r="BE4371" s="2">
        <v>0</v>
      </c>
      <c r="BF4371" s="2">
        <v>0</v>
      </c>
      <c r="BG4371" s="2">
        <v>0</v>
      </c>
      <c r="BH4371" s="2">
        <v>1</v>
      </c>
      <c r="BI4371" s="2">
        <v>10.199999999999999</v>
      </c>
      <c r="BJ4371" s="2">
        <v>8.8000000000000007</v>
      </c>
      <c r="BK4371" s="2">
        <v>10.5</v>
      </c>
      <c r="BL4371" s="2">
        <v>217.57</v>
      </c>
      <c r="BM4371" s="2">
        <v>30.46</v>
      </c>
      <c r="BN4371" s="2">
        <v>248.03</v>
      </c>
      <c r="BO4371" s="2">
        <v>248.03</v>
      </c>
      <c r="BP4371" s="2"/>
      <c r="BQ4371" s="2" t="s">
        <v>108</v>
      </c>
      <c r="BR4371" s="2" t="s">
        <v>84</v>
      </c>
      <c r="BS4371" s="3">
        <v>42951</v>
      </c>
      <c r="BT4371" s="4">
        <v>0.67847222222222225</v>
      </c>
      <c r="BU4371" s="2" t="s">
        <v>173</v>
      </c>
      <c r="BV4371" s="2" t="s">
        <v>86</v>
      </c>
      <c r="BW4371" s="2"/>
      <c r="BX4371" s="2"/>
      <c r="BY4371" s="2">
        <v>44108.22</v>
      </c>
      <c r="BZ4371" s="2" t="s">
        <v>27</v>
      </c>
      <c r="CA4371" s="2" t="s">
        <v>648</v>
      </c>
      <c r="CB4371" s="2"/>
      <c r="CC4371" s="2" t="s">
        <v>106</v>
      </c>
      <c r="CD4371" s="2">
        <v>7800</v>
      </c>
      <c r="CE4371" s="2" t="s">
        <v>135</v>
      </c>
      <c r="CF4371" s="5">
        <v>42951</v>
      </c>
      <c r="CG4371" s="2"/>
      <c r="CH4371" s="2"/>
      <c r="CI4371" s="2">
        <v>1</v>
      </c>
      <c r="CJ4371" s="2">
        <v>1</v>
      </c>
      <c r="CK4371" s="2">
        <v>21</v>
      </c>
      <c r="CL4371" s="2" t="s">
        <v>86</v>
      </c>
      <c r="CM4371" s="2"/>
    </row>
    <row r="4372" spans="1:91">
      <c r="A4372" s="2" t="s">
        <v>71</v>
      </c>
      <c r="B4372" s="2" t="s">
        <v>72</v>
      </c>
      <c r="C4372" s="2" t="s">
        <v>73</v>
      </c>
      <c r="D4372" s="2"/>
      <c r="E4372" s="2" t="str">
        <f>"FES1162566914"</f>
        <v>FES1162566914</v>
      </c>
      <c r="F4372" s="3">
        <v>42950</v>
      </c>
      <c r="G4372" s="2">
        <v>201802</v>
      </c>
      <c r="H4372" s="2" t="s">
        <v>74</v>
      </c>
      <c r="I4372" s="2" t="s">
        <v>75</v>
      </c>
      <c r="J4372" s="2" t="s">
        <v>76</v>
      </c>
      <c r="K4372" s="2" t="s">
        <v>77</v>
      </c>
      <c r="L4372" s="2" t="s">
        <v>237</v>
      </c>
      <c r="M4372" s="2" t="s">
        <v>238</v>
      </c>
      <c r="N4372" s="2" t="s">
        <v>3925</v>
      </c>
      <c r="O4372" s="2" t="s">
        <v>100</v>
      </c>
      <c r="P4372" s="2" t="str">
        <f>"2170583160                    "</f>
        <v xml:space="preserve">2170583160                    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4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0</v>
      </c>
      <c r="AU4372" s="2">
        <v>0</v>
      </c>
      <c r="AV4372" s="2">
        <v>0</v>
      </c>
      <c r="AW4372" s="2">
        <v>0</v>
      </c>
      <c r="AX4372" s="2">
        <v>0</v>
      </c>
      <c r="AY4372" s="2">
        <v>0</v>
      </c>
      <c r="AZ4372" s="2">
        <v>0</v>
      </c>
      <c r="BA4372" s="2">
        <v>0</v>
      </c>
      <c r="BB4372" s="2">
        <v>0</v>
      </c>
      <c r="BC4372" s="2">
        <v>0</v>
      </c>
      <c r="BD4372" s="2">
        <v>0</v>
      </c>
      <c r="BE4372" s="2">
        <v>0</v>
      </c>
      <c r="BF4372" s="2">
        <v>0</v>
      </c>
      <c r="BG4372" s="2">
        <v>0</v>
      </c>
      <c r="BH4372" s="2">
        <v>1</v>
      </c>
      <c r="BI4372" s="2">
        <v>2</v>
      </c>
      <c r="BJ4372" s="2">
        <v>2</v>
      </c>
      <c r="BK4372" s="2">
        <v>2</v>
      </c>
      <c r="BL4372" s="2">
        <v>41.44</v>
      </c>
      <c r="BM4372" s="2">
        <v>5.8</v>
      </c>
      <c r="BN4372" s="2">
        <v>47.24</v>
      </c>
      <c r="BO4372" s="2">
        <v>47.24</v>
      </c>
      <c r="BP4372" s="2"/>
      <c r="BQ4372" s="2" t="s">
        <v>83</v>
      </c>
      <c r="BR4372" s="2" t="s">
        <v>84</v>
      </c>
      <c r="BS4372" s="3">
        <v>42951</v>
      </c>
      <c r="BT4372" s="4">
        <v>0.41597222222222219</v>
      </c>
      <c r="BU4372" s="2" t="s">
        <v>3926</v>
      </c>
      <c r="BV4372" s="2" t="s">
        <v>95</v>
      </c>
      <c r="BW4372" s="2"/>
      <c r="BX4372" s="2"/>
      <c r="BY4372" s="2">
        <v>9791.7800000000007</v>
      </c>
      <c r="BZ4372" s="2" t="s">
        <v>27</v>
      </c>
      <c r="CA4372" s="2" t="s">
        <v>401</v>
      </c>
      <c r="CB4372" s="2"/>
      <c r="CC4372" s="2" t="s">
        <v>238</v>
      </c>
      <c r="CD4372" s="2">
        <v>3610</v>
      </c>
      <c r="CE4372" s="2" t="s">
        <v>104</v>
      </c>
      <c r="CF4372" s="5">
        <v>42953</v>
      </c>
      <c r="CG4372" s="2"/>
      <c r="CH4372" s="2"/>
      <c r="CI4372" s="2">
        <v>1</v>
      </c>
      <c r="CJ4372" s="2">
        <v>1</v>
      </c>
      <c r="CK4372" s="2">
        <v>21</v>
      </c>
      <c r="CL4372" s="2" t="s">
        <v>86</v>
      </c>
      <c r="CM4372" s="2"/>
    </row>
    <row r="4373" spans="1:91">
      <c r="A4373" s="2" t="s">
        <v>71</v>
      </c>
      <c r="B4373" s="2" t="s">
        <v>72</v>
      </c>
      <c r="C4373" s="2" t="s">
        <v>73</v>
      </c>
      <c r="D4373" s="2"/>
      <c r="E4373" s="2" t="str">
        <f>"FES1162566924"</f>
        <v>FES1162566924</v>
      </c>
      <c r="F4373" s="3">
        <v>42950</v>
      </c>
      <c r="G4373" s="2">
        <v>201802</v>
      </c>
      <c r="H4373" s="2" t="s">
        <v>74</v>
      </c>
      <c r="I4373" s="2" t="s">
        <v>75</v>
      </c>
      <c r="J4373" s="2" t="s">
        <v>76</v>
      </c>
      <c r="K4373" s="2" t="s">
        <v>77</v>
      </c>
      <c r="L4373" s="2" t="s">
        <v>321</v>
      </c>
      <c r="M4373" s="2" t="s">
        <v>322</v>
      </c>
      <c r="N4373" s="2" t="s">
        <v>323</v>
      </c>
      <c r="O4373" s="2" t="s">
        <v>100</v>
      </c>
      <c r="P4373" s="2" t="str">
        <f>"2170583173                    "</f>
        <v xml:space="preserve">2170583173                    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0</v>
      </c>
      <c r="Z4373" s="2">
        <v>0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6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0</v>
      </c>
      <c r="AU4373" s="2">
        <v>0</v>
      </c>
      <c r="AV4373" s="2">
        <v>0</v>
      </c>
      <c r="AW4373" s="2">
        <v>0</v>
      </c>
      <c r="AX4373" s="2">
        <v>0</v>
      </c>
      <c r="AY4373" s="2">
        <v>0</v>
      </c>
      <c r="AZ4373" s="2">
        <v>0</v>
      </c>
      <c r="BA4373" s="2">
        <v>0</v>
      </c>
      <c r="BB4373" s="2">
        <v>0</v>
      </c>
      <c r="BC4373" s="2">
        <v>0</v>
      </c>
      <c r="BD4373" s="2">
        <v>0</v>
      </c>
      <c r="BE4373" s="2">
        <v>0</v>
      </c>
      <c r="BF4373" s="2">
        <v>0</v>
      </c>
      <c r="BG4373" s="2">
        <v>0</v>
      </c>
      <c r="BH4373" s="2">
        <v>1</v>
      </c>
      <c r="BI4373" s="2">
        <v>0.8</v>
      </c>
      <c r="BJ4373" s="2">
        <v>2.8</v>
      </c>
      <c r="BK4373" s="2">
        <v>3</v>
      </c>
      <c r="BL4373" s="2">
        <v>62.16</v>
      </c>
      <c r="BM4373" s="2">
        <v>8.6999999999999993</v>
      </c>
      <c r="BN4373" s="2">
        <v>70.86</v>
      </c>
      <c r="BO4373" s="2">
        <v>70.86</v>
      </c>
      <c r="BP4373" s="2"/>
      <c r="BQ4373" s="2" t="s">
        <v>83</v>
      </c>
      <c r="BR4373" s="2" t="s">
        <v>84</v>
      </c>
      <c r="BS4373" s="3">
        <v>42951</v>
      </c>
      <c r="BT4373" s="4">
        <v>0.38194444444444442</v>
      </c>
      <c r="BU4373" s="2" t="s">
        <v>324</v>
      </c>
      <c r="BV4373" s="2" t="s">
        <v>95</v>
      </c>
      <c r="BW4373" s="2"/>
      <c r="BX4373" s="2"/>
      <c r="BY4373" s="2">
        <v>14172.6</v>
      </c>
      <c r="BZ4373" s="2" t="s">
        <v>27</v>
      </c>
      <c r="CA4373" s="2" t="s">
        <v>103</v>
      </c>
      <c r="CB4373" s="2"/>
      <c r="CC4373" s="2" t="s">
        <v>322</v>
      </c>
      <c r="CD4373" s="2">
        <v>6220</v>
      </c>
      <c r="CE4373" s="2" t="s">
        <v>104</v>
      </c>
      <c r="CF4373" s="5">
        <v>42954</v>
      </c>
      <c r="CG4373" s="2"/>
      <c r="CH4373" s="2"/>
      <c r="CI4373" s="2">
        <v>1</v>
      </c>
      <c r="CJ4373" s="2">
        <v>1</v>
      </c>
      <c r="CK4373" s="2">
        <v>21</v>
      </c>
      <c r="CL4373" s="2" t="s">
        <v>86</v>
      </c>
      <c r="CM4373" s="2"/>
    </row>
    <row r="4374" spans="1:91">
      <c r="A4374" s="2" t="s">
        <v>71</v>
      </c>
      <c r="B4374" s="2" t="s">
        <v>72</v>
      </c>
      <c r="C4374" s="2" t="s">
        <v>73</v>
      </c>
      <c r="D4374" s="2"/>
      <c r="E4374" s="2" t="str">
        <f>"FES1162566814"</f>
        <v>FES1162566814</v>
      </c>
      <c r="F4374" s="3">
        <v>42950</v>
      </c>
      <c r="G4374" s="2">
        <v>201802</v>
      </c>
      <c r="H4374" s="2" t="s">
        <v>74</v>
      </c>
      <c r="I4374" s="2" t="s">
        <v>75</v>
      </c>
      <c r="J4374" s="2" t="s">
        <v>76</v>
      </c>
      <c r="K4374" s="2" t="s">
        <v>77</v>
      </c>
      <c r="L4374" s="2" t="s">
        <v>105</v>
      </c>
      <c r="M4374" s="2" t="s">
        <v>106</v>
      </c>
      <c r="N4374" s="2" t="s">
        <v>253</v>
      </c>
      <c r="O4374" s="2" t="s">
        <v>100</v>
      </c>
      <c r="P4374" s="2" t="str">
        <f>"2170573049                    "</f>
        <v xml:space="preserve">2170573049                    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0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19.010000000000002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0</v>
      </c>
      <c r="AU4374" s="2">
        <v>0</v>
      </c>
      <c r="AV4374" s="2">
        <v>0</v>
      </c>
      <c r="AW4374" s="2">
        <v>0</v>
      </c>
      <c r="AX4374" s="2">
        <v>0</v>
      </c>
      <c r="AY4374" s="2">
        <v>0</v>
      </c>
      <c r="AZ4374" s="2">
        <v>0</v>
      </c>
      <c r="BA4374" s="2">
        <v>0</v>
      </c>
      <c r="BB4374" s="2">
        <v>0</v>
      </c>
      <c r="BC4374" s="2">
        <v>0</v>
      </c>
      <c r="BD4374" s="2">
        <v>0</v>
      </c>
      <c r="BE4374" s="2">
        <v>0</v>
      </c>
      <c r="BF4374" s="2">
        <v>0</v>
      </c>
      <c r="BG4374" s="2">
        <v>0</v>
      </c>
      <c r="BH4374" s="2">
        <v>1</v>
      </c>
      <c r="BI4374" s="2">
        <v>9.1999999999999993</v>
      </c>
      <c r="BJ4374" s="2">
        <v>3.4</v>
      </c>
      <c r="BK4374" s="2">
        <v>9.5</v>
      </c>
      <c r="BL4374" s="2">
        <v>196.85</v>
      </c>
      <c r="BM4374" s="2">
        <v>27.56</v>
      </c>
      <c r="BN4374" s="2">
        <v>224.41</v>
      </c>
      <c r="BO4374" s="2">
        <v>224.41</v>
      </c>
      <c r="BP4374" s="2"/>
      <c r="BQ4374" s="2" t="s">
        <v>108</v>
      </c>
      <c r="BR4374" s="2" t="s">
        <v>84</v>
      </c>
      <c r="BS4374" s="3">
        <v>42951</v>
      </c>
      <c r="BT4374" s="4">
        <v>0.43958333333333338</v>
      </c>
      <c r="BU4374" s="2" t="s">
        <v>1074</v>
      </c>
      <c r="BV4374" s="2" t="s">
        <v>95</v>
      </c>
      <c r="BW4374" s="2"/>
      <c r="BX4374" s="2"/>
      <c r="BY4374" s="2">
        <v>16908.68</v>
      </c>
      <c r="BZ4374" s="2" t="s">
        <v>27</v>
      </c>
      <c r="CA4374" s="2" t="s">
        <v>654</v>
      </c>
      <c r="CB4374" s="2"/>
      <c r="CC4374" s="2" t="s">
        <v>106</v>
      </c>
      <c r="CD4374" s="2">
        <v>7490</v>
      </c>
      <c r="CE4374" s="2" t="s">
        <v>89</v>
      </c>
      <c r="CF4374" s="5">
        <v>42954</v>
      </c>
      <c r="CG4374" s="2"/>
      <c r="CH4374" s="2"/>
      <c r="CI4374" s="2">
        <v>1</v>
      </c>
      <c r="CJ4374" s="2">
        <v>1</v>
      </c>
      <c r="CK4374" s="2">
        <v>21</v>
      </c>
      <c r="CL4374" s="2" t="s">
        <v>86</v>
      </c>
      <c r="CM4374" s="2"/>
    </row>
    <row r="4375" spans="1:91">
      <c r="A4375" s="2" t="s">
        <v>71</v>
      </c>
      <c r="B4375" s="2" t="s">
        <v>72</v>
      </c>
      <c r="C4375" s="2" t="s">
        <v>73</v>
      </c>
      <c r="D4375" s="2"/>
      <c r="E4375" s="2" t="str">
        <f>"FES1162566908"</f>
        <v>FES1162566908</v>
      </c>
      <c r="F4375" s="3">
        <v>42950</v>
      </c>
      <c r="G4375" s="2">
        <v>201802</v>
      </c>
      <c r="H4375" s="2" t="s">
        <v>74</v>
      </c>
      <c r="I4375" s="2" t="s">
        <v>75</v>
      </c>
      <c r="J4375" s="2" t="s">
        <v>76</v>
      </c>
      <c r="K4375" s="2" t="s">
        <v>77</v>
      </c>
      <c r="L4375" s="2" t="s">
        <v>105</v>
      </c>
      <c r="M4375" s="2" t="s">
        <v>106</v>
      </c>
      <c r="N4375" s="2" t="s">
        <v>3993</v>
      </c>
      <c r="O4375" s="2" t="s">
        <v>100</v>
      </c>
      <c r="P4375" s="2" t="str">
        <f>"2170587181                    "</f>
        <v xml:space="preserve">2170587181                    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4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0</v>
      </c>
      <c r="AU4375" s="2">
        <v>0</v>
      </c>
      <c r="AV4375" s="2">
        <v>0</v>
      </c>
      <c r="AW4375" s="2">
        <v>0</v>
      </c>
      <c r="AX4375" s="2">
        <v>0</v>
      </c>
      <c r="AY4375" s="2">
        <v>0</v>
      </c>
      <c r="AZ4375" s="2">
        <v>0</v>
      </c>
      <c r="BA4375" s="2">
        <v>0</v>
      </c>
      <c r="BB4375" s="2">
        <v>0</v>
      </c>
      <c r="BC4375" s="2">
        <v>0</v>
      </c>
      <c r="BD4375" s="2">
        <v>0</v>
      </c>
      <c r="BE4375" s="2">
        <v>0</v>
      </c>
      <c r="BF4375" s="2">
        <v>0</v>
      </c>
      <c r="BG4375" s="2">
        <v>0</v>
      </c>
      <c r="BH4375" s="2">
        <v>1</v>
      </c>
      <c r="BI4375" s="2">
        <v>1</v>
      </c>
      <c r="BJ4375" s="2">
        <v>0.2</v>
      </c>
      <c r="BK4375" s="2">
        <v>1</v>
      </c>
      <c r="BL4375" s="2">
        <v>41.44</v>
      </c>
      <c r="BM4375" s="2">
        <v>5.8</v>
      </c>
      <c r="BN4375" s="2">
        <v>47.24</v>
      </c>
      <c r="BO4375" s="2">
        <v>47.24</v>
      </c>
      <c r="BP4375" s="2"/>
      <c r="BQ4375" s="2"/>
      <c r="BR4375" s="2" t="s">
        <v>84</v>
      </c>
      <c r="BS4375" s="3">
        <v>42955</v>
      </c>
      <c r="BT4375" s="4">
        <v>0.44444444444444442</v>
      </c>
      <c r="BU4375" s="2" t="s">
        <v>3994</v>
      </c>
      <c r="BV4375" s="2" t="s">
        <v>86</v>
      </c>
      <c r="BW4375" s="2" t="s">
        <v>110</v>
      </c>
      <c r="BX4375" s="2" t="s">
        <v>327</v>
      </c>
      <c r="BY4375" s="2">
        <v>1200</v>
      </c>
      <c r="BZ4375" s="2" t="s">
        <v>27</v>
      </c>
      <c r="CA4375" s="2" t="s">
        <v>2411</v>
      </c>
      <c r="CB4375" s="2"/>
      <c r="CC4375" s="2" t="s">
        <v>106</v>
      </c>
      <c r="CD4375" s="2">
        <v>7439</v>
      </c>
      <c r="CE4375" s="2" t="s">
        <v>104</v>
      </c>
      <c r="CF4375" s="5">
        <v>42957</v>
      </c>
      <c r="CG4375" s="2"/>
      <c r="CH4375" s="2"/>
      <c r="CI4375" s="2">
        <v>1</v>
      </c>
      <c r="CJ4375" s="2">
        <v>3</v>
      </c>
      <c r="CK4375" s="2">
        <v>21</v>
      </c>
      <c r="CL4375" s="2" t="s">
        <v>86</v>
      </c>
      <c r="CM4375" s="2"/>
    </row>
    <row r="4376" spans="1:91">
      <c r="A4376" s="2" t="s">
        <v>71</v>
      </c>
      <c r="B4376" s="2" t="s">
        <v>72</v>
      </c>
      <c r="C4376" s="2" t="s">
        <v>73</v>
      </c>
      <c r="D4376" s="2"/>
      <c r="E4376" s="2" t="str">
        <f>"FES1162566724"</f>
        <v>FES1162566724</v>
      </c>
      <c r="F4376" s="3">
        <v>42950</v>
      </c>
      <c r="G4376" s="2">
        <v>201802</v>
      </c>
      <c r="H4376" s="2" t="s">
        <v>74</v>
      </c>
      <c r="I4376" s="2" t="s">
        <v>75</v>
      </c>
      <c r="J4376" s="2" t="s">
        <v>76</v>
      </c>
      <c r="K4376" s="2" t="s">
        <v>77</v>
      </c>
      <c r="L4376" s="2" t="s">
        <v>149</v>
      </c>
      <c r="M4376" s="2" t="s">
        <v>150</v>
      </c>
      <c r="N4376" s="2" t="s">
        <v>435</v>
      </c>
      <c r="O4376" s="2" t="s">
        <v>100</v>
      </c>
      <c r="P4376" s="2" t="str">
        <f>"2170575444                    "</f>
        <v xml:space="preserve">2170575444                    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4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0</v>
      </c>
      <c r="AU4376" s="2">
        <v>0</v>
      </c>
      <c r="AV4376" s="2">
        <v>0</v>
      </c>
      <c r="AW4376" s="2">
        <v>0</v>
      </c>
      <c r="AX4376" s="2">
        <v>0</v>
      </c>
      <c r="AY4376" s="2">
        <v>0</v>
      </c>
      <c r="AZ4376" s="2">
        <v>0</v>
      </c>
      <c r="BA4376" s="2">
        <v>0</v>
      </c>
      <c r="BB4376" s="2">
        <v>0</v>
      </c>
      <c r="BC4376" s="2">
        <v>0</v>
      </c>
      <c r="BD4376" s="2">
        <v>0</v>
      </c>
      <c r="BE4376" s="2">
        <v>0</v>
      </c>
      <c r="BF4376" s="2">
        <v>0</v>
      </c>
      <c r="BG4376" s="2">
        <v>0</v>
      </c>
      <c r="BH4376" s="2">
        <v>1</v>
      </c>
      <c r="BI4376" s="2">
        <v>2</v>
      </c>
      <c r="BJ4376" s="2">
        <v>0.2</v>
      </c>
      <c r="BK4376" s="2">
        <v>2</v>
      </c>
      <c r="BL4376" s="2">
        <v>41.44</v>
      </c>
      <c r="BM4376" s="2">
        <v>5.8</v>
      </c>
      <c r="BN4376" s="2">
        <v>47.24</v>
      </c>
      <c r="BO4376" s="2">
        <v>47.24</v>
      </c>
      <c r="BP4376" s="2"/>
      <c r="BQ4376" s="2" t="s">
        <v>108</v>
      </c>
      <c r="BR4376" s="2" t="s">
        <v>84</v>
      </c>
      <c r="BS4376" s="3">
        <v>42951</v>
      </c>
      <c r="BT4376" s="4">
        <v>0.41736111111111113</v>
      </c>
      <c r="BU4376" s="2" t="s">
        <v>436</v>
      </c>
      <c r="BV4376" s="2" t="s">
        <v>95</v>
      </c>
      <c r="BW4376" s="2"/>
      <c r="BX4376" s="2"/>
      <c r="BY4376" s="2">
        <v>1200</v>
      </c>
      <c r="BZ4376" s="2" t="s">
        <v>27</v>
      </c>
      <c r="CA4376" s="2" t="s">
        <v>429</v>
      </c>
      <c r="CB4376" s="2"/>
      <c r="CC4376" s="2" t="s">
        <v>150</v>
      </c>
      <c r="CD4376" s="2">
        <v>4001</v>
      </c>
      <c r="CE4376" s="2" t="s">
        <v>3630</v>
      </c>
      <c r="CF4376" s="5">
        <v>42951</v>
      </c>
      <c r="CG4376" s="2"/>
      <c r="CH4376" s="2"/>
      <c r="CI4376" s="2">
        <v>1</v>
      </c>
      <c r="CJ4376" s="2">
        <v>1</v>
      </c>
      <c r="CK4376" s="2">
        <v>21</v>
      </c>
      <c r="CL4376" s="2" t="s">
        <v>86</v>
      </c>
      <c r="CM4376" s="2"/>
    </row>
    <row r="4377" spans="1:91">
      <c r="A4377" s="2" t="s">
        <v>71</v>
      </c>
      <c r="B4377" s="2" t="s">
        <v>72</v>
      </c>
      <c r="C4377" s="2" t="s">
        <v>73</v>
      </c>
      <c r="D4377" s="2"/>
      <c r="E4377" s="2" t="str">
        <f>"FES1162566645"</f>
        <v>FES1162566645</v>
      </c>
      <c r="F4377" s="3">
        <v>42950</v>
      </c>
      <c r="G4377" s="2">
        <v>201802</v>
      </c>
      <c r="H4377" s="2" t="s">
        <v>74</v>
      </c>
      <c r="I4377" s="2" t="s">
        <v>75</v>
      </c>
      <c r="J4377" s="2" t="s">
        <v>76</v>
      </c>
      <c r="K4377" s="2" t="s">
        <v>77</v>
      </c>
      <c r="L4377" s="2" t="s">
        <v>244</v>
      </c>
      <c r="M4377" s="2" t="s">
        <v>245</v>
      </c>
      <c r="N4377" s="2" t="s">
        <v>3136</v>
      </c>
      <c r="O4377" s="2" t="s">
        <v>100</v>
      </c>
      <c r="P4377" s="2" t="str">
        <f>"2170582977                    "</f>
        <v xml:space="preserve">2170582977                    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3.13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0</v>
      </c>
      <c r="AU4377" s="2">
        <v>0</v>
      </c>
      <c r="AV4377" s="2">
        <v>0</v>
      </c>
      <c r="AW4377" s="2">
        <v>0</v>
      </c>
      <c r="AX4377" s="2">
        <v>0</v>
      </c>
      <c r="AY4377" s="2">
        <v>0</v>
      </c>
      <c r="AZ4377" s="2">
        <v>0</v>
      </c>
      <c r="BA4377" s="2">
        <v>0</v>
      </c>
      <c r="BB4377" s="2">
        <v>0</v>
      </c>
      <c r="BC4377" s="2">
        <v>0</v>
      </c>
      <c r="BD4377" s="2">
        <v>0</v>
      </c>
      <c r="BE4377" s="2">
        <v>0</v>
      </c>
      <c r="BF4377" s="2">
        <v>0</v>
      </c>
      <c r="BG4377" s="2">
        <v>0</v>
      </c>
      <c r="BH4377" s="2">
        <v>1</v>
      </c>
      <c r="BI4377" s="2">
        <v>1</v>
      </c>
      <c r="BJ4377" s="2">
        <v>0.2</v>
      </c>
      <c r="BK4377" s="2">
        <v>1</v>
      </c>
      <c r="BL4377" s="2">
        <v>32.380000000000003</v>
      </c>
      <c r="BM4377" s="2">
        <v>4.53</v>
      </c>
      <c r="BN4377" s="2">
        <v>36.909999999999997</v>
      </c>
      <c r="BO4377" s="2">
        <v>36.909999999999997</v>
      </c>
      <c r="BP4377" s="2"/>
      <c r="BQ4377" s="2" t="s">
        <v>3995</v>
      </c>
      <c r="BR4377" s="2" t="s">
        <v>84</v>
      </c>
      <c r="BS4377" s="3">
        <v>42951</v>
      </c>
      <c r="BT4377" s="4">
        <v>0.42222222222222222</v>
      </c>
      <c r="BU4377" s="2" t="s">
        <v>2024</v>
      </c>
      <c r="BV4377" s="2" t="s">
        <v>95</v>
      </c>
      <c r="BW4377" s="2"/>
      <c r="BX4377" s="2"/>
      <c r="BY4377" s="2">
        <v>1200</v>
      </c>
      <c r="BZ4377" s="2" t="s">
        <v>27</v>
      </c>
      <c r="CA4377" s="2" t="s">
        <v>1617</v>
      </c>
      <c r="CB4377" s="2"/>
      <c r="CC4377" s="2" t="s">
        <v>245</v>
      </c>
      <c r="CD4377" s="2">
        <v>1467</v>
      </c>
      <c r="CE4377" s="2" t="s">
        <v>104</v>
      </c>
      <c r="CF4377" s="5">
        <v>42951</v>
      </c>
      <c r="CG4377" s="2"/>
      <c r="CH4377" s="2"/>
      <c r="CI4377" s="2">
        <v>1</v>
      </c>
      <c r="CJ4377" s="2">
        <v>1</v>
      </c>
      <c r="CK4377" s="2">
        <v>22</v>
      </c>
      <c r="CL4377" s="2" t="s">
        <v>86</v>
      </c>
      <c r="CM4377" s="2"/>
    </row>
    <row r="4378" spans="1:91">
      <c r="A4378" s="2" t="s">
        <v>71</v>
      </c>
      <c r="B4378" s="2" t="s">
        <v>72</v>
      </c>
      <c r="C4378" s="2" t="s">
        <v>73</v>
      </c>
      <c r="D4378" s="2"/>
      <c r="E4378" s="2" t="str">
        <f>"FES1162566686"</f>
        <v>FES1162566686</v>
      </c>
      <c r="F4378" s="3">
        <v>42950</v>
      </c>
      <c r="G4378" s="2">
        <v>201802</v>
      </c>
      <c r="H4378" s="2" t="s">
        <v>74</v>
      </c>
      <c r="I4378" s="2" t="s">
        <v>75</v>
      </c>
      <c r="J4378" s="2" t="s">
        <v>76</v>
      </c>
      <c r="K4378" s="2" t="s">
        <v>77</v>
      </c>
      <c r="L4378" s="2" t="s">
        <v>149</v>
      </c>
      <c r="M4378" s="2" t="s">
        <v>150</v>
      </c>
      <c r="N4378" s="2" t="s">
        <v>435</v>
      </c>
      <c r="O4378" s="2" t="s">
        <v>100</v>
      </c>
      <c r="P4378" s="2" t="str">
        <f>"2170575444                    "</f>
        <v xml:space="preserve">2170575444                    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4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0</v>
      </c>
      <c r="AU4378" s="2">
        <v>0</v>
      </c>
      <c r="AV4378" s="2">
        <v>0</v>
      </c>
      <c r="AW4378" s="2">
        <v>0</v>
      </c>
      <c r="AX4378" s="2">
        <v>0</v>
      </c>
      <c r="AY4378" s="2">
        <v>0</v>
      </c>
      <c r="AZ4378" s="2">
        <v>0</v>
      </c>
      <c r="BA4378" s="2">
        <v>0</v>
      </c>
      <c r="BB4378" s="2">
        <v>0</v>
      </c>
      <c r="BC4378" s="2">
        <v>0</v>
      </c>
      <c r="BD4378" s="2">
        <v>0</v>
      </c>
      <c r="BE4378" s="2">
        <v>0</v>
      </c>
      <c r="BF4378" s="2">
        <v>0</v>
      </c>
      <c r="BG4378" s="2">
        <v>0</v>
      </c>
      <c r="BH4378" s="2">
        <v>1</v>
      </c>
      <c r="BI4378" s="2">
        <v>1</v>
      </c>
      <c r="BJ4378" s="2">
        <v>0.2</v>
      </c>
      <c r="BK4378" s="2">
        <v>1</v>
      </c>
      <c r="BL4378" s="2">
        <v>41.44</v>
      </c>
      <c r="BM4378" s="2">
        <v>5.8</v>
      </c>
      <c r="BN4378" s="2">
        <v>47.24</v>
      </c>
      <c r="BO4378" s="2">
        <v>47.24</v>
      </c>
      <c r="BP4378" s="2"/>
      <c r="BQ4378" s="2" t="s">
        <v>108</v>
      </c>
      <c r="BR4378" s="2" t="s">
        <v>84</v>
      </c>
      <c r="BS4378" s="3">
        <v>42951</v>
      </c>
      <c r="BT4378" s="4">
        <v>0.41666666666666669</v>
      </c>
      <c r="BU4378" s="2" t="s">
        <v>436</v>
      </c>
      <c r="BV4378" s="2" t="s">
        <v>95</v>
      </c>
      <c r="BW4378" s="2"/>
      <c r="BX4378" s="2"/>
      <c r="BY4378" s="2">
        <v>1200</v>
      </c>
      <c r="BZ4378" s="2" t="s">
        <v>27</v>
      </c>
      <c r="CA4378" s="2" t="s">
        <v>429</v>
      </c>
      <c r="CB4378" s="2"/>
      <c r="CC4378" s="2" t="s">
        <v>150</v>
      </c>
      <c r="CD4378" s="2">
        <v>4001</v>
      </c>
      <c r="CE4378" s="2" t="s">
        <v>3630</v>
      </c>
      <c r="CF4378" s="5">
        <v>42951</v>
      </c>
      <c r="CG4378" s="2"/>
      <c r="CH4378" s="2"/>
      <c r="CI4378" s="2">
        <v>1</v>
      </c>
      <c r="CJ4378" s="2">
        <v>1</v>
      </c>
      <c r="CK4378" s="2">
        <v>21</v>
      </c>
      <c r="CL4378" s="2" t="s">
        <v>86</v>
      </c>
      <c r="CM4378" s="2"/>
    </row>
    <row r="4379" spans="1:91">
      <c r="A4379" s="2" t="s">
        <v>71</v>
      </c>
      <c r="B4379" s="2" t="s">
        <v>72</v>
      </c>
      <c r="C4379" s="2" t="s">
        <v>73</v>
      </c>
      <c r="D4379" s="2"/>
      <c r="E4379" s="2" t="str">
        <f>"FES1162566656"</f>
        <v>FES1162566656</v>
      </c>
      <c r="F4379" s="3">
        <v>42950</v>
      </c>
      <c r="G4379" s="2">
        <v>201802</v>
      </c>
      <c r="H4379" s="2" t="s">
        <v>74</v>
      </c>
      <c r="I4379" s="2" t="s">
        <v>75</v>
      </c>
      <c r="J4379" s="2" t="s">
        <v>76</v>
      </c>
      <c r="K4379" s="2" t="s">
        <v>77</v>
      </c>
      <c r="L4379" s="2" t="s">
        <v>3996</v>
      </c>
      <c r="M4379" s="2" t="s">
        <v>3997</v>
      </c>
      <c r="N4379" s="2" t="s">
        <v>3998</v>
      </c>
      <c r="O4379" s="2" t="s">
        <v>100</v>
      </c>
      <c r="P4379" s="2" t="str">
        <f>"2170579431                    "</f>
        <v xml:space="preserve">2170579431                    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34.020000000000003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0</v>
      </c>
      <c r="AU4379" s="2">
        <v>0</v>
      </c>
      <c r="AV4379" s="2">
        <v>0</v>
      </c>
      <c r="AW4379" s="2">
        <v>0</v>
      </c>
      <c r="AX4379" s="2">
        <v>0</v>
      </c>
      <c r="AY4379" s="2">
        <v>0</v>
      </c>
      <c r="AZ4379" s="2">
        <v>0</v>
      </c>
      <c r="BA4379" s="2">
        <v>0</v>
      </c>
      <c r="BB4379" s="2">
        <v>0</v>
      </c>
      <c r="BC4379" s="2">
        <v>0</v>
      </c>
      <c r="BD4379" s="2">
        <v>0</v>
      </c>
      <c r="BE4379" s="2">
        <v>0</v>
      </c>
      <c r="BF4379" s="2">
        <v>0</v>
      </c>
      <c r="BG4379" s="2">
        <v>0</v>
      </c>
      <c r="BH4379" s="2">
        <v>1</v>
      </c>
      <c r="BI4379" s="2">
        <v>5.8</v>
      </c>
      <c r="BJ4379" s="2">
        <v>9.1</v>
      </c>
      <c r="BK4379" s="2">
        <v>9.5</v>
      </c>
      <c r="BL4379" s="2">
        <v>352.26</v>
      </c>
      <c r="BM4379" s="2">
        <v>49.32</v>
      </c>
      <c r="BN4379" s="2">
        <v>401.58</v>
      </c>
      <c r="BO4379" s="2">
        <v>401.58</v>
      </c>
      <c r="BP4379" s="2"/>
      <c r="BQ4379" s="2"/>
      <c r="BR4379" s="2" t="s">
        <v>84</v>
      </c>
      <c r="BS4379" s="3">
        <v>42951</v>
      </c>
      <c r="BT4379" s="4">
        <v>0.47222222222222227</v>
      </c>
      <c r="BU4379" s="2" t="s">
        <v>85</v>
      </c>
      <c r="BV4379" s="2" t="s">
        <v>86</v>
      </c>
      <c r="BW4379" s="2"/>
      <c r="BX4379" s="2"/>
      <c r="BY4379" s="2">
        <v>45404.76</v>
      </c>
      <c r="BZ4379" s="2" t="s">
        <v>27</v>
      </c>
      <c r="CA4379" s="2" t="s">
        <v>3999</v>
      </c>
      <c r="CB4379" s="2"/>
      <c r="CC4379" s="2" t="s">
        <v>3997</v>
      </c>
      <c r="CD4379" s="2">
        <v>2570</v>
      </c>
      <c r="CE4379" s="2" t="s">
        <v>4000</v>
      </c>
      <c r="CF4379" s="5">
        <v>42955</v>
      </c>
      <c r="CG4379" s="2"/>
      <c r="CH4379" s="2"/>
      <c r="CI4379" s="2">
        <v>1</v>
      </c>
      <c r="CJ4379" s="2">
        <v>1</v>
      </c>
      <c r="CK4379" s="2">
        <v>23</v>
      </c>
      <c r="CL4379" s="2" t="s">
        <v>86</v>
      </c>
      <c r="CM4379" s="2"/>
    </row>
    <row r="4380" spans="1:91">
      <c r="A4380" s="2" t="s">
        <v>71</v>
      </c>
      <c r="B4380" s="2" t="s">
        <v>72</v>
      </c>
      <c r="C4380" s="2" t="s">
        <v>73</v>
      </c>
      <c r="D4380" s="2"/>
      <c r="E4380" s="2" t="str">
        <f>"FES1162566691"</f>
        <v>FES1162566691</v>
      </c>
      <c r="F4380" s="3">
        <v>42950</v>
      </c>
      <c r="G4380" s="2">
        <v>201802</v>
      </c>
      <c r="H4380" s="2" t="s">
        <v>74</v>
      </c>
      <c r="I4380" s="2" t="s">
        <v>75</v>
      </c>
      <c r="J4380" s="2" t="s">
        <v>76</v>
      </c>
      <c r="K4380" s="2" t="s">
        <v>77</v>
      </c>
      <c r="L4380" s="2" t="s">
        <v>362</v>
      </c>
      <c r="M4380" s="2" t="s">
        <v>363</v>
      </c>
      <c r="N4380" s="2" t="s">
        <v>683</v>
      </c>
      <c r="O4380" s="2" t="s">
        <v>100</v>
      </c>
      <c r="P4380" s="2" t="str">
        <f>"2170577284                    "</f>
        <v xml:space="preserve">2170577284                    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4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0</v>
      </c>
      <c r="AU4380" s="2">
        <v>0</v>
      </c>
      <c r="AV4380" s="2">
        <v>0</v>
      </c>
      <c r="AW4380" s="2">
        <v>0</v>
      </c>
      <c r="AX4380" s="2">
        <v>0</v>
      </c>
      <c r="AY4380" s="2">
        <v>0</v>
      </c>
      <c r="AZ4380" s="2">
        <v>0</v>
      </c>
      <c r="BA4380" s="2">
        <v>0</v>
      </c>
      <c r="BB4380" s="2">
        <v>0</v>
      </c>
      <c r="BC4380" s="2">
        <v>0</v>
      </c>
      <c r="BD4380" s="2">
        <v>0</v>
      </c>
      <c r="BE4380" s="2">
        <v>0</v>
      </c>
      <c r="BF4380" s="2">
        <v>0</v>
      </c>
      <c r="BG4380" s="2">
        <v>0</v>
      </c>
      <c r="BH4380" s="2">
        <v>1</v>
      </c>
      <c r="BI4380" s="2">
        <v>1</v>
      </c>
      <c r="BJ4380" s="2">
        <v>0.2</v>
      </c>
      <c r="BK4380" s="2">
        <v>1</v>
      </c>
      <c r="BL4380" s="2">
        <v>41.44</v>
      </c>
      <c r="BM4380" s="2">
        <v>5.8</v>
      </c>
      <c r="BN4380" s="2">
        <v>47.24</v>
      </c>
      <c r="BO4380" s="2">
        <v>47.24</v>
      </c>
      <c r="BP4380" s="2"/>
      <c r="BQ4380" s="2" t="s">
        <v>108</v>
      </c>
      <c r="BR4380" s="2" t="s">
        <v>84</v>
      </c>
      <c r="BS4380" s="3">
        <v>42951</v>
      </c>
      <c r="BT4380" s="4">
        <v>0.4375</v>
      </c>
      <c r="BU4380" s="2" t="s">
        <v>805</v>
      </c>
      <c r="BV4380" s="2" t="s">
        <v>95</v>
      </c>
      <c r="BW4380" s="2"/>
      <c r="BX4380" s="2"/>
      <c r="BY4380" s="2">
        <v>1200</v>
      </c>
      <c r="BZ4380" s="2" t="s">
        <v>27</v>
      </c>
      <c r="CA4380" s="2" t="s">
        <v>367</v>
      </c>
      <c r="CB4380" s="2"/>
      <c r="CC4380" s="2" t="s">
        <v>363</v>
      </c>
      <c r="CD4380" s="2">
        <v>3201</v>
      </c>
      <c r="CE4380" s="2" t="s">
        <v>104</v>
      </c>
      <c r="CF4380" s="5">
        <v>42954</v>
      </c>
      <c r="CG4380" s="2"/>
      <c r="CH4380" s="2"/>
      <c r="CI4380" s="2">
        <v>1</v>
      </c>
      <c r="CJ4380" s="2">
        <v>1</v>
      </c>
      <c r="CK4380" s="2">
        <v>21</v>
      </c>
      <c r="CL4380" s="2" t="s">
        <v>86</v>
      </c>
      <c r="CM4380" s="2"/>
    </row>
    <row r="4381" spans="1:91">
      <c r="A4381" s="2" t="s">
        <v>71</v>
      </c>
      <c r="B4381" s="2" t="s">
        <v>72</v>
      </c>
      <c r="C4381" s="2" t="s">
        <v>73</v>
      </c>
      <c r="D4381" s="2"/>
      <c r="E4381" s="2" t="str">
        <f>"FES1162566953"</f>
        <v>FES1162566953</v>
      </c>
      <c r="F4381" s="3">
        <v>42950</v>
      </c>
      <c r="G4381" s="2">
        <v>201802</v>
      </c>
      <c r="H4381" s="2" t="s">
        <v>74</v>
      </c>
      <c r="I4381" s="2" t="s">
        <v>75</v>
      </c>
      <c r="J4381" s="2" t="s">
        <v>76</v>
      </c>
      <c r="K4381" s="2" t="s">
        <v>77</v>
      </c>
      <c r="L4381" s="2" t="s">
        <v>105</v>
      </c>
      <c r="M4381" s="2" t="s">
        <v>106</v>
      </c>
      <c r="N4381" s="2" t="s">
        <v>397</v>
      </c>
      <c r="O4381" s="2" t="s">
        <v>100</v>
      </c>
      <c r="P4381" s="2" t="str">
        <f>"2170580860                    "</f>
        <v xml:space="preserve">2170580860                    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13.01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0</v>
      </c>
      <c r="AU4381" s="2">
        <v>0</v>
      </c>
      <c r="AV4381" s="2">
        <v>0</v>
      </c>
      <c r="AW4381" s="2">
        <v>0</v>
      </c>
      <c r="AX4381" s="2">
        <v>0</v>
      </c>
      <c r="AY4381" s="2">
        <v>0</v>
      </c>
      <c r="AZ4381" s="2">
        <v>0</v>
      </c>
      <c r="BA4381" s="2">
        <v>0</v>
      </c>
      <c r="BB4381" s="2">
        <v>0</v>
      </c>
      <c r="BC4381" s="2">
        <v>0</v>
      </c>
      <c r="BD4381" s="2">
        <v>0</v>
      </c>
      <c r="BE4381" s="2">
        <v>0</v>
      </c>
      <c r="BF4381" s="2">
        <v>0</v>
      </c>
      <c r="BG4381" s="2">
        <v>0</v>
      </c>
      <c r="BH4381" s="2">
        <v>1</v>
      </c>
      <c r="BI4381" s="2">
        <v>3.8</v>
      </c>
      <c r="BJ4381" s="2">
        <v>6.3</v>
      </c>
      <c r="BK4381" s="2">
        <v>6.5</v>
      </c>
      <c r="BL4381" s="2">
        <v>134.69</v>
      </c>
      <c r="BM4381" s="2">
        <v>18.86</v>
      </c>
      <c r="BN4381" s="2">
        <v>153.55000000000001</v>
      </c>
      <c r="BO4381" s="2">
        <v>153.55000000000001</v>
      </c>
      <c r="BP4381" s="2"/>
      <c r="BQ4381" s="2" t="s">
        <v>108</v>
      </c>
      <c r="BR4381" s="2" t="s">
        <v>84</v>
      </c>
      <c r="BS4381" s="3">
        <v>42951</v>
      </c>
      <c r="BT4381" s="4">
        <v>0.40277777777777773</v>
      </c>
      <c r="BU4381" s="2" t="s">
        <v>462</v>
      </c>
      <c r="BV4381" s="2" t="s">
        <v>95</v>
      </c>
      <c r="BW4381" s="2"/>
      <c r="BX4381" s="2"/>
      <c r="BY4381" s="2">
        <v>31669.5</v>
      </c>
      <c r="BZ4381" s="2" t="s">
        <v>27</v>
      </c>
      <c r="CA4381" s="2" t="s">
        <v>302</v>
      </c>
      <c r="CB4381" s="2"/>
      <c r="CC4381" s="2" t="s">
        <v>106</v>
      </c>
      <c r="CD4381" s="2">
        <v>7530</v>
      </c>
      <c r="CE4381" s="2" t="s">
        <v>948</v>
      </c>
      <c r="CF4381" s="5">
        <v>42951</v>
      </c>
      <c r="CG4381" s="2"/>
      <c r="CH4381" s="2"/>
      <c r="CI4381" s="2">
        <v>1</v>
      </c>
      <c r="CJ4381" s="2">
        <v>1</v>
      </c>
      <c r="CK4381" s="2">
        <v>21</v>
      </c>
      <c r="CL4381" s="2" t="s">
        <v>86</v>
      </c>
      <c r="CM4381" s="2"/>
    </row>
    <row r="4382" spans="1:91">
      <c r="A4382" s="2" t="s">
        <v>71</v>
      </c>
      <c r="B4382" s="2" t="s">
        <v>72</v>
      </c>
      <c r="C4382" s="2" t="s">
        <v>73</v>
      </c>
      <c r="D4382" s="2"/>
      <c r="E4382" s="2" t="str">
        <f>"FES1162566822"</f>
        <v>FES1162566822</v>
      </c>
      <c r="F4382" s="3">
        <v>42950</v>
      </c>
      <c r="G4382" s="2">
        <v>201802</v>
      </c>
      <c r="H4382" s="2" t="s">
        <v>74</v>
      </c>
      <c r="I4382" s="2" t="s">
        <v>75</v>
      </c>
      <c r="J4382" s="2" t="s">
        <v>76</v>
      </c>
      <c r="K4382" s="2" t="s">
        <v>77</v>
      </c>
      <c r="L4382" s="2" t="s">
        <v>105</v>
      </c>
      <c r="M4382" s="2" t="s">
        <v>106</v>
      </c>
      <c r="N4382" s="2" t="s">
        <v>644</v>
      </c>
      <c r="O4382" s="2" t="s">
        <v>100</v>
      </c>
      <c r="P4382" s="2" t="str">
        <f>"2170583059                    "</f>
        <v xml:space="preserve">2170583059                    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4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0</v>
      </c>
      <c r="AU4382" s="2">
        <v>0</v>
      </c>
      <c r="AV4382" s="2">
        <v>0</v>
      </c>
      <c r="AW4382" s="2">
        <v>0</v>
      </c>
      <c r="AX4382" s="2">
        <v>0</v>
      </c>
      <c r="AY4382" s="2">
        <v>0</v>
      </c>
      <c r="AZ4382" s="2">
        <v>0</v>
      </c>
      <c r="BA4382" s="2">
        <v>0</v>
      </c>
      <c r="BB4382" s="2">
        <v>0</v>
      </c>
      <c r="BC4382" s="2">
        <v>0</v>
      </c>
      <c r="BD4382" s="2">
        <v>0</v>
      </c>
      <c r="BE4382" s="2">
        <v>0</v>
      </c>
      <c r="BF4382" s="2">
        <v>0</v>
      </c>
      <c r="BG4382" s="2">
        <v>0</v>
      </c>
      <c r="BH4382" s="2">
        <v>1</v>
      </c>
      <c r="BI4382" s="2">
        <v>1</v>
      </c>
      <c r="BJ4382" s="2">
        <v>0.2</v>
      </c>
      <c r="BK4382" s="2">
        <v>1</v>
      </c>
      <c r="BL4382" s="2">
        <v>41.44</v>
      </c>
      <c r="BM4382" s="2">
        <v>5.8</v>
      </c>
      <c r="BN4382" s="2">
        <v>47.24</v>
      </c>
      <c r="BO4382" s="2">
        <v>47.24</v>
      </c>
      <c r="BP4382" s="2"/>
      <c r="BQ4382" s="2" t="s">
        <v>108</v>
      </c>
      <c r="BR4382" s="2" t="s">
        <v>84</v>
      </c>
      <c r="BS4382" s="3">
        <v>42951</v>
      </c>
      <c r="BT4382" s="4">
        <v>0.41666666666666669</v>
      </c>
      <c r="BU4382" s="2" t="s">
        <v>4001</v>
      </c>
      <c r="BV4382" s="2" t="s">
        <v>95</v>
      </c>
      <c r="BW4382" s="2"/>
      <c r="BX4382" s="2"/>
      <c r="BY4382" s="2">
        <v>1200</v>
      </c>
      <c r="BZ4382" s="2" t="s">
        <v>27</v>
      </c>
      <c r="CA4382" s="2" t="s">
        <v>148</v>
      </c>
      <c r="CB4382" s="2"/>
      <c r="CC4382" s="2" t="s">
        <v>106</v>
      </c>
      <c r="CD4382" s="2">
        <v>7441</v>
      </c>
      <c r="CE4382" s="2" t="s">
        <v>104</v>
      </c>
      <c r="CF4382" s="5">
        <v>42954</v>
      </c>
      <c r="CG4382" s="2"/>
      <c r="CH4382" s="2"/>
      <c r="CI4382" s="2">
        <v>1</v>
      </c>
      <c r="CJ4382" s="2">
        <v>1</v>
      </c>
      <c r="CK4382" s="2">
        <v>21</v>
      </c>
      <c r="CL4382" s="2" t="s">
        <v>86</v>
      </c>
      <c r="CM4382" s="2"/>
    </row>
    <row r="4383" spans="1:91">
      <c r="A4383" s="2" t="s">
        <v>71</v>
      </c>
      <c r="B4383" s="2" t="s">
        <v>72</v>
      </c>
      <c r="C4383" s="2" t="s">
        <v>73</v>
      </c>
      <c r="D4383" s="2"/>
      <c r="E4383" s="2" t="str">
        <f>"FES1162566613"</f>
        <v>FES1162566613</v>
      </c>
      <c r="F4383" s="3">
        <v>42950</v>
      </c>
      <c r="G4383" s="2">
        <v>201802</v>
      </c>
      <c r="H4383" s="2" t="s">
        <v>74</v>
      </c>
      <c r="I4383" s="2" t="s">
        <v>75</v>
      </c>
      <c r="J4383" s="2" t="s">
        <v>76</v>
      </c>
      <c r="K4383" s="2" t="s">
        <v>77</v>
      </c>
      <c r="L4383" s="2" t="s">
        <v>170</v>
      </c>
      <c r="M4383" s="2" t="s">
        <v>171</v>
      </c>
      <c r="N4383" s="2" t="s">
        <v>821</v>
      </c>
      <c r="O4383" s="2" t="s">
        <v>100</v>
      </c>
      <c r="P4383" s="2" t="str">
        <f>"2170580853                    "</f>
        <v xml:space="preserve">2170580853                    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3.13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0</v>
      </c>
      <c r="AU4383" s="2">
        <v>0</v>
      </c>
      <c r="AV4383" s="2">
        <v>0</v>
      </c>
      <c r="AW4383" s="2">
        <v>0</v>
      </c>
      <c r="AX4383" s="2">
        <v>0</v>
      </c>
      <c r="AY4383" s="2">
        <v>0</v>
      </c>
      <c r="AZ4383" s="2">
        <v>0</v>
      </c>
      <c r="BA4383" s="2">
        <v>0</v>
      </c>
      <c r="BB4383" s="2">
        <v>0</v>
      </c>
      <c r="BC4383" s="2">
        <v>0</v>
      </c>
      <c r="BD4383" s="2">
        <v>0</v>
      </c>
      <c r="BE4383" s="2">
        <v>0</v>
      </c>
      <c r="BF4383" s="2">
        <v>0</v>
      </c>
      <c r="BG4383" s="2">
        <v>0</v>
      </c>
      <c r="BH4383" s="2">
        <v>1</v>
      </c>
      <c r="BI4383" s="2">
        <v>2.1</v>
      </c>
      <c r="BJ4383" s="2">
        <v>0.9</v>
      </c>
      <c r="BK4383" s="2">
        <v>3</v>
      </c>
      <c r="BL4383" s="2">
        <v>32.380000000000003</v>
      </c>
      <c r="BM4383" s="2">
        <v>4.53</v>
      </c>
      <c r="BN4383" s="2">
        <v>36.909999999999997</v>
      </c>
      <c r="BO4383" s="2">
        <v>36.909999999999997</v>
      </c>
      <c r="BP4383" s="2"/>
      <c r="BQ4383" s="2" t="s">
        <v>83</v>
      </c>
      <c r="BR4383" s="2" t="s">
        <v>84</v>
      </c>
      <c r="BS4383" s="3">
        <v>42951</v>
      </c>
      <c r="BT4383" s="4">
        <v>0.65833333333333333</v>
      </c>
      <c r="BU4383" s="2" t="s">
        <v>719</v>
      </c>
      <c r="BV4383" s="2" t="s">
        <v>86</v>
      </c>
      <c r="BW4383" s="2"/>
      <c r="BX4383" s="2"/>
      <c r="BY4383" s="2">
        <v>4416.41</v>
      </c>
      <c r="BZ4383" s="2" t="s">
        <v>27</v>
      </c>
      <c r="CA4383" s="2" t="s">
        <v>492</v>
      </c>
      <c r="CB4383" s="2"/>
      <c r="CC4383" s="2" t="s">
        <v>171</v>
      </c>
      <c r="CD4383" s="2">
        <v>1422</v>
      </c>
      <c r="CE4383" s="2" t="s">
        <v>89</v>
      </c>
      <c r="CF4383" s="5">
        <v>42951</v>
      </c>
      <c r="CG4383" s="2"/>
      <c r="CH4383" s="2"/>
      <c r="CI4383" s="2">
        <v>1</v>
      </c>
      <c r="CJ4383" s="2">
        <v>1</v>
      </c>
      <c r="CK4383" s="2">
        <v>22</v>
      </c>
      <c r="CL4383" s="2" t="s">
        <v>86</v>
      </c>
      <c r="CM4383" s="2"/>
    </row>
    <row r="4384" spans="1:91">
      <c r="A4384" s="2" t="s">
        <v>71</v>
      </c>
      <c r="B4384" s="2" t="s">
        <v>72</v>
      </c>
      <c r="C4384" s="2" t="s">
        <v>73</v>
      </c>
      <c r="D4384" s="2"/>
      <c r="E4384" s="2" t="str">
        <f>"FES1162566826"</f>
        <v>FES1162566826</v>
      </c>
      <c r="F4384" s="3">
        <v>42950</v>
      </c>
      <c r="G4384" s="2">
        <v>201802</v>
      </c>
      <c r="H4384" s="2" t="s">
        <v>74</v>
      </c>
      <c r="I4384" s="2" t="s">
        <v>75</v>
      </c>
      <c r="J4384" s="2" t="s">
        <v>76</v>
      </c>
      <c r="K4384" s="2" t="s">
        <v>77</v>
      </c>
      <c r="L4384" s="2" t="s">
        <v>105</v>
      </c>
      <c r="M4384" s="2" t="s">
        <v>106</v>
      </c>
      <c r="N4384" s="2" t="s">
        <v>3732</v>
      </c>
      <c r="O4384" s="2" t="s">
        <v>100</v>
      </c>
      <c r="P4384" s="2" t="str">
        <f>"2170583064                    "</f>
        <v xml:space="preserve">2170583064                    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4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0</v>
      </c>
      <c r="AU4384" s="2">
        <v>0</v>
      </c>
      <c r="AV4384" s="2">
        <v>0</v>
      </c>
      <c r="AW4384" s="2">
        <v>0</v>
      </c>
      <c r="AX4384" s="2">
        <v>0</v>
      </c>
      <c r="AY4384" s="2">
        <v>0</v>
      </c>
      <c r="AZ4384" s="2">
        <v>0</v>
      </c>
      <c r="BA4384" s="2">
        <v>0</v>
      </c>
      <c r="BB4384" s="2">
        <v>0</v>
      </c>
      <c r="BC4384" s="2">
        <v>0</v>
      </c>
      <c r="BD4384" s="2">
        <v>0</v>
      </c>
      <c r="BE4384" s="2">
        <v>0</v>
      </c>
      <c r="BF4384" s="2">
        <v>0</v>
      </c>
      <c r="BG4384" s="2">
        <v>0</v>
      </c>
      <c r="BH4384" s="2">
        <v>1</v>
      </c>
      <c r="BI4384" s="2">
        <v>1</v>
      </c>
      <c r="BJ4384" s="2">
        <v>0.2</v>
      </c>
      <c r="BK4384" s="2">
        <v>1</v>
      </c>
      <c r="BL4384" s="2">
        <v>41.44</v>
      </c>
      <c r="BM4384" s="2">
        <v>5.8</v>
      </c>
      <c r="BN4384" s="2">
        <v>47.24</v>
      </c>
      <c r="BO4384" s="2">
        <v>47.24</v>
      </c>
      <c r="BP4384" s="2"/>
      <c r="BQ4384" s="2" t="s">
        <v>108</v>
      </c>
      <c r="BR4384" s="2" t="s">
        <v>84</v>
      </c>
      <c r="BS4384" s="3">
        <v>42951</v>
      </c>
      <c r="BT4384" s="4">
        <v>0.5</v>
      </c>
      <c r="BU4384" s="2" t="s">
        <v>4002</v>
      </c>
      <c r="BV4384" s="2" t="s">
        <v>86</v>
      </c>
      <c r="BW4384" s="2"/>
      <c r="BX4384" s="2"/>
      <c r="BY4384" s="2">
        <v>1200</v>
      </c>
      <c r="BZ4384" s="2" t="s">
        <v>27</v>
      </c>
      <c r="CA4384" s="2"/>
      <c r="CB4384" s="2"/>
      <c r="CC4384" s="2" t="s">
        <v>106</v>
      </c>
      <c r="CD4384" s="2">
        <v>7441</v>
      </c>
      <c r="CE4384" s="2" t="s">
        <v>104</v>
      </c>
      <c r="CF4384" s="5">
        <v>42954</v>
      </c>
      <c r="CG4384" s="2"/>
      <c r="CH4384" s="2"/>
      <c r="CI4384" s="2">
        <v>1</v>
      </c>
      <c r="CJ4384" s="2">
        <v>1</v>
      </c>
      <c r="CK4384" s="2">
        <v>21</v>
      </c>
      <c r="CL4384" s="2" t="s">
        <v>86</v>
      </c>
      <c r="CM4384" s="2"/>
    </row>
    <row r="4385" spans="1:91">
      <c r="A4385" s="2" t="s">
        <v>71</v>
      </c>
      <c r="B4385" s="2" t="s">
        <v>72</v>
      </c>
      <c r="C4385" s="2" t="s">
        <v>73</v>
      </c>
      <c r="D4385" s="2"/>
      <c r="E4385" s="2" t="str">
        <f>"FES1162566848"</f>
        <v>FES1162566848</v>
      </c>
      <c r="F4385" s="3">
        <v>42950</v>
      </c>
      <c r="G4385" s="2">
        <v>201802</v>
      </c>
      <c r="H4385" s="2" t="s">
        <v>74</v>
      </c>
      <c r="I4385" s="2" t="s">
        <v>75</v>
      </c>
      <c r="J4385" s="2" t="s">
        <v>76</v>
      </c>
      <c r="K4385" s="2" t="s">
        <v>77</v>
      </c>
      <c r="L4385" s="2" t="s">
        <v>1487</v>
      </c>
      <c r="M4385" s="2" t="s">
        <v>1488</v>
      </c>
      <c r="N4385" s="2" t="s">
        <v>1489</v>
      </c>
      <c r="O4385" s="2" t="s">
        <v>100</v>
      </c>
      <c r="P4385" s="2" t="str">
        <f>"2170575534                    "</f>
        <v xml:space="preserve">2170575534                    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5.63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0</v>
      </c>
      <c r="AU4385" s="2">
        <v>0</v>
      </c>
      <c r="AV4385" s="2">
        <v>0</v>
      </c>
      <c r="AW4385" s="2">
        <v>0</v>
      </c>
      <c r="AX4385" s="2">
        <v>0</v>
      </c>
      <c r="AY4385" s="2">
        <v>0</v>
      </c>
      <c r="AZ4385" s="2">
        <v>0</v>
      </c>
      <c r="BA4385" s="2">
        <v>0</v>
      </c>
      <c r="BB4385" s="2">
        <v>0</v>
      </c>
      <c r="BC4385" s="2">
        <v>0</v>
      </c>
      <c r="BD4385" s="2">
        <v>0</v>
      </c>
      <c r="BE4385" s="2">
        <v>0</v>
      </c>
      <c r="BF4385" s="2">
        <v>0</v>
      </c>
      <c r="BG4385" s="2">
        <v>0</v>
      </c>
      <c r="BH4385" s="2">
        <v>1</v>
      </c>
      <c r="BI4385" s="2">
        <v>1</v>
      </c>
      <c r="BJ4385" s="2">
        <v>1.4</v>
      </c>
      <c r="BK4385" s="2">
        <v>1.5</v>
      </c>
      <c r="BL4385" s="2">
        <v>58.28</v>
      </c>
      <c r="BM4385" s="2">
        <v>8.16</v>
      </c>
      <c r="BN4385" s="2">
        <v>66.44</v>
      </c>
      <c r="BO4385" s="2">
        <v>66.44</v>
      </c>
      <c r="BP4385" s="2"/>
      <c r="BQ4385" s="2" t="s">
        <v>83</v>
      </c>
      <c r="BR4385" s="2" t="s">
        <v>84</v>
      </c>
      <c r="BS4385" s="3">
        <v>42955</v>
      </c>
      <c r="BT4385" s="4">
        <v>0.66805555555555562</v>
      </c>
      <c r="BU4385" s="2" t="s">
        <v>4003</v>
      </c>
      <c r="BV4385" s="2" t="s">
        <v>86</v>
      </c>
      <c r="BW4385" s="2"/>
      <c r="BX4385" s="2"/>
      <c r="BY4385" s="2">
        <v>7105.39</v>
      </c>
      <c r="BZ4385" s="2" t="s">
        <v>27</v>
      </c>
      <c r="CA4385" s="2" t="s">
        <v>550</v>
      </c>
      <c r="CB4385" s="2"/>
      <c r="CC4385" s="2" t="s">
        <v>1488</v>
      </c>
      <c r="CD4385" s="2">
        <v>284</v>
      </c>
      <c r="CE4385" s="2" t="s">
        <v>104</v>
      </c>
      <c r="CF4385" s="5">
        <v>42972</v>
      </c>
      <c r="CG4385" s="2"/>
      <c r="CH4385" s="2"/>
      <c r="CI4385" s="2">
        <v>1</v>
      </c>
      <c r="CJ4385" s="2">
        <v>3</v>
      </c>
      <c r="CK4385" s="2">
        <v>24</v>
      </c>
      <c r="CL4385" s="2" t="s">
        <v>86</v>
      </c>
      <c r="CM4385" s="2"/>
    </row>
    <row r="4386" spans="1:91">
      <c r="A4386" s="2" t="s">
        <v>71</v>
      </c>
      <c r="B4386" s="2" t="s">
        <v>72</v>
      </c>
      <c r="C4386" s="2" t="s">
        <v>73</v>
      </c>
      <c r="D4386" s="2"/>
      <c r="E4386" s="2" t="str">
        <f>"FES1162566670"</f>
        <v>FES1162566670</v>
      </c>
      <c r="F4386" s="3">
        <v>42950</v>
      </c>
      <c r="G4386" s="2">
        <v>201802</v>
      </c>
      <c r="H4386" s="2" t="s">
        <v>74</v>
      </c>
      <c r="I4386" s="2" t="s">
        <v>75</v>
      </c>
      <c r="J4386" s="2" t="s">
        <v>76</v>
      </c>
      <c r="K4386" s="2" t="s">
        <v>77</v>
      </c>
      <c r="L4386" s="2" t="s">
        <v>105</v>
      </c>
      <c r="M4386" s="2" t="s">
        <v>106</v>
      </c>
      <c r="N4386" s="2" t="s">
        <v>2277</v>
      </c>
      <c r="O4386" s="2" t="s">
        <v>100</v>
      </c>
      <c r="P4386" s="2" t="str">
        <f>"2170580080                    "</f>
        <v xml:space="preserve">2170580080                    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  <c r="Y4386" s="2">
        <v>0</v>
      </c>
      <c r="Z4386" s="2">
        <v>0</v>
      </c>
      <c r="AA4386" s="2">
        <v>0</v>
      </c>
      <c r="AB4386" s="2">
        <v>0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4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0</v>
      </c>
      <c r="AU4386" s="2">
        <v>0</v>
      </c>
      <c r="AV4386" s="2">
        <v>0</v>
      </c>
      <c r="AW4386" s="2">
        <v>0</v>
      </c>
      <c r="AX4386" s="2">
        <v>0</v>
      </c>
      <c r="AY4386" s="2">
        <v>0</v>
      </c>
      <c r="AZ4386" s="2">
        <v>0</v>
      </c>
      <c r="BA4386" s="2">
        <v>0</v>
      </c>
      <c r="BB4386" s="2">
        <v>0</v>
      </c>
      <c r="BC4386" s="2">
        <v>0</v>
      </c>
      <c r="BD4386" s="2">
        <v>0</v>
      </c>
      <c r="BE4386" s="2">
        <v>0</v>
      </c>
      <c r="BF4386" s="2">
        <v>0</v>
      </c>
      <c r="BG4386" s="2">
        <v>0</v>
      </c>
      <c r="BH4386" s="2">
        <v>1</v>
      </c>
      <c r="BI4386" s="2">
        <v>1</v>
      </c>
      <c r="BJ4386" s="2">
        <v>0.2</v>
      </c>
      <c r="BK4386" s="2">
        <v>1</v>
      </c>
      <c r="BL4386" s="2">
        <v>41.44</v>
      </c>
      <c r="BM4386" s="2">
        <v>5.8</v>
      </c>
      <c r="BN4386" s="2">
        <v>47.24</v>
      </c>
      <c r="BO4386" s="2">
        <v>47.24</v>
      </c>
      <c r="BP4386" s="2"/>
      <c r="BQ4386" s="2" t="s">
        <v>108</v>
      </c>
      <c r="BR4386" s="2" t="s">
        <v>84</v>
      </c>
      <c r="BS4386" s="3">
        <v>42951</v>
      </c>
      <c r="BT4386" s="4">
        <v>0.4680555555555555</v>
      </c>
      <c r="BU4386" s="2" t="s">
        <v>4004</v>
      </c>
      <c r="BV4386" s="2" t="s">
        <v>86</v>
      </c>
      <c r="BW4386" s="2"/>
      <c r="BX4386" s="2"/>
      <c r="BY4386" s="2">
        <v>1200</v>
      </c>
      <c r="BZ4386" s="2" t="s">
        <v>27</v>
      </c>
      <c r="CA4386" s="2"/>
      <c r="CB4386" s="2"/>
      <c r="CC4386" s="2" t="s">
        <v>106</v>
      </c>
      <c r="CD4386" s="2">
        <v>7500</v>
      </c>
      <c r="CE4386" s="2" t="s">
        <v>104</v>
      </c>
      <c r="CF4386" s="5">
        <v>42954</v>
      </c>
      <c r="CG4386" s="2"/>
      <c r="CH4386" s="2"/>
      <c r="CI4386" s="2">
        <v>1</v>
      </c>
      <c r="CJ4386" s="2">
        <v>1</v>
      </c>
      <c r="CK4386" s="2">
        <v>21</v>
      </c>
      <c r="CL4386" s="2" t="s">
        <v>86</v>
      </c>
      <c r="CM4386" s="2"/>
    </row>
    <row r="4387" spans="1:91">
      <c r="A4387" s="2" t="s">
        <v>71</v>
      </c>
      <c r="B4387" s="2" t="s">
        <v>72</v>
      </c>
      <c r="C4387" s="2" t="s">
        <v>73</v>
      </c>
      <c r="D4387" s="2"/>
      <c r="E4387" s="2" t="str">
        <f>"FES1162566942"</f>
        <v>FES1162566942</v>
      </c>
      <c r="F4387" s="3">
        <v>42950</v>
      </c>
      <c r="G4387" s="2">
        <v>201802</v>
      </c>
      <c r="H4387" s="2" t="s">
        <v>74</v>
      </c>
      <c r="I4387" s="2" t="s">
        <v>75</v>
      </c>
      <c r="J4387" s="2" t="s">
        <v>76</v>
      </c>
      <c r="K4387" s="2" t="s">
        <v>77</v>
      </c>
      <c r="L4387" s="2" t="s">
        <v>1781</v>
      </c>
      <c r="M4387" s="2" t="s">
        <v>1781</v>
      </c>
      <c r="N4387" s="2" t="s">
        <v>1782</v>
      </c>
      <c r="O4387" s="2" t="s">
        <v>100</v>
      </c>
      <c r="P4387" s="2" t="str">
        <f>"2170583188                    "</f>
        <v xml:space="preserve">2170583188                    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39.270000000000003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0</v>
      </c>
      <c r="AU4387" s="2">
        <v>0</v>
      </c>
      <c r="AV4387" s="2">
        <v>0</v>
      </c>
      <c r="AW4387" s="2">
        <v>0</v>
      </c>
      <c r="AX4387" s="2">
        <v>0</v>
      </c>
      <c r="AY4387" s="2">
        <v>0</v>
      </c>
      <c r="AZ4387" s="2">
        <v>0</v>
      </c>
      <c r="BA4387" s="2">
        <v>0</v>
      </c>
      <c r="BB4387" s="2">
        <v>0</v>
      </c>
      <c r="BC4387" s="2">
        <v>0</v>
      </c>
      <c r="BD4387" s="2">
        <v>0</v>
      </c>
      <c r="BE4387" s="2">
        <v>0</v>
      </c>
      <c r="BF4387" s="2">
        <v>0</v>
      </c>
      <c r="BG4387" s="2">
        <v>0</v>
      </c>
      <c r="BH4387" s="2">
        <v>1</v>
      </c>
      <c r="BI4387" s="2">
        <v>10.6</v>
      </c>
      <c r="BJ4387" s="2">
        <v>2.4</v>
      </c>
      <c r="BK4387" s="2">
        <v>11</v>
      </c>
      <c r="BL4387" s="2">
        <v>406.65</v>
      </c>
      <c r="BM4387" s="2">
        <v>56.93</v>
      </c>
      <c r="BN4387" s="2">
        <v>463.58</v>
      </c>
      <c r="BO4387" s="2">
        <v>463.58</v>
      </c>
      <c r="BP4387" s="2"/>
      <c r="BQ4387" s="2" t="s">
        <v>365</v>
      </c>
      <c r="BR4387" s="2" t="s">
        <v>84</v>
      </c>
      <c r="BS4387" s="3">
        <v>42954</v>
      </c>
      <c r="BT4387" s="4">
        <v>0.625</v>
      </c>
      <c r="BU4387" s="2" t="s">
        <v>3864</v>
      </c>
      <c r="BV4387" s="2" t="s">
        <v>95</v>
      </c>
      <c r="BW4387" s="2"/>
      <c r="BX4387" s="2"/>
      <c r="BY4387" s="2">
        <v>12045.38</v>
      </c>
      <c r="BZ4387" s="2" t="s">
        <v>27</v>
      </c>
      <c r="CA4387" s="2" t="s">
        <v>148</v>
      </c>
      <c r="CB4387" s="2"/>
      <c r="CC4387" s="2" t="s">
        <v>1781</v>
      </c>
      <c r="CD4387" s="2">
        <v>5470</v>
      </c>
      <c r="CE4387" s="2" t="s">
        <v>948</v>
      </c>
      <c r="CF4387" s="5">
        <v>42961</v>
      </c>
      <c r="CG4387" s="2"/>
      <c r="CH4387" s="2"/>
      <c r="CI4387" s="2">
        <v>4</v>
      </c>
      <c r="CJ4387" s="2">
        <v>2</v>
      </c>
      <c r="CK4387" s="2">
        <v>23</v>
      </c>
      <c r="CL4387" s="2" t="s">
        <v>86</v>
      </c>
      <c r="CM4387" s="2"/>
    </row>
    <row r="4388" spans="1:91">
      <c r="A4388" s="2" t="s">
        <v>71</v>
      </c>
      <c r="B4388" s="2" t="s">
        <v>72</v>
      </c>
      <c r="C4388" s="2" t="s">
        <v>73</v>
      </c>
      <c r="D4388" s="2"/>
      <c r="E4388" s="2" t="str">
        <f>"FES1162566838"</f>
        <v>FES1162566838</v>
      </c>
      <c r="F4388" s="3">
        <v>42950</v>
      </c>
      <c r="G4388" s="2">
        <v>201802</v>
      </c>
      <c r="H4388" s="2" t="s">
        <v>74</v>
      </c>
      <c r="I4388" s="2" t="s">
        <v>75</v>
      </c>
      <c r="J4388" s="2" t="s">
        <v>76</v>
      </c>
      <c r="K4388" s="2" t="s">
        <v>77</v>
      </c>
      <c r="L4388" s="2" t="s">
        <v>170</v>
      </c>
      <c r="M4388" s="2" t="s">
        <v>171</v>
      </c>
      <c r="N4388" s="2" t="s">
        <v>2252</v>
      </c>
      <c r="O4388" s="2" t="s">
        <v>100</v>
      </c>
      <c r="P4388" s="2" t="str">
        <f>"217083076                     "</f>
        <v xml:space="preserve">217083076                     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3.13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0</v>
      </c>
      <c r="AU4388" s="2">
        <v>0</v>
      </c>
      <c r="AV4388" s="2">
        <v>0</v>
      </c>
      <c r="AW4388" s="2">
        <v>0</v>
      </c>
      <c r="AX4388" s="2">
        <v>0</v>
      </c>
      <c r="AY4388" s="2">
        <v>0</v>
      </c>
      <c r="AZ4388" s="2">
        <v>0</v>
      </c>
      <c r="BA4388" s="2">
        <v>0</v>
      </c>
      <c r="BB4388" s="2">
        <v>0</v>
      </c>
      <c r="BC4388" s="2">
        <v>0</v>
      </c>
      <c r="BD4388" s="2">
        <v>0</v>
      </c>
      <c r="BE4388" s="2">
        <v>0</v>
      </c>
      <c r="BF4388" s="2">
        <v>0</v>
      </c>
      <c r="BG4388" s="2">
        <v>0</v>
      </c>
      <c r="BH4388" s="2">
        <v>1</v>
      </c>
      <c r="BI4388" s="2">
        <v>1</v>
      </c>
      <c r="BJ4388" s="2">
        <v>0.2</v>
      </c>
      <c r="BK4388" s="2">
        <v>1</v>
      </c>
      <c r="BL4388" s="2">
        <v>32.380000000000003</v>
      </c>
      <c r="BM4388" s="2">
        <v>4.53</v>
      </c>
      <c r="BN4388" s="2">
        <v>36.909999999999997</v>
      </c>
      <c r="BO4388" s="2">
        <v>36.909999999999997</v>
      </c>
      <c r="BP4388" s="2"/>
      <c r="BQ4388" s="2" t="s">
        <v>3615</v>
      </c>
      <c r="BR4388" s="2" t="s">
        <v>84</v>
      </c>
      <c r="BS4388" s="3">
        <v>42951</v>
      </c>
      <c r="BT4388" s="4">
        <v>0.71111111111111114</v>
      </c>
      <c r="BU4388" s="2" t="s">
        <v>2253</v>
      </c>
      <c r="BV4388" s="2" t="s">
        <v>86</v>
      </c>
      <c r="BW4388" s="2"/>
      <c r="BX4388" s="2"/>
      <c r="BY4388" s="2">
        <v>1200</v>
      </c>
      <c r="BZ4388" s="2" t="s">
        <v>27</v>
      </c>
      <c r="CA4388" s="2" t="s">
        <v>492</v>
      </c>
      <c r="CB4388" s="2"/>
      <c r="CC4388" s="2" t="s">
        <v>171</v>
      </c>
      <c r="CD4388" s="2">
        <v>1428</v>
      </c>
      <c r="CE4388" s="2" t="s">
        <v>104</v>
      </c>
      <c r="CF4388" s="5">
        <v>42951</v>
      </c>
      <c r="CG4388" s="2"/>
      <c r="CH4388" s="2"/>
      <c r="CI4388" s="2">
        <v>1</v>
      </c>
      <c r="CJ4388" s="2">
        <v>1</v>
      </c>
      <c r="CK4388" s="2">
        <v>22</v>
      </c>
      <c r="CL4388" s="2" t="s">
        <v>86</v>
      </c>
      <c r="CM4388" s="2"/>
    </row>
    <row r="4389" spans="1:91">
      <c r="A4389" s="2" t="s">
        <v>71</v>
      </c>
      <c r="B4389" s="2" t="s">
        <v>72</v>
      </c>
      <c r="C4389" s="2" t="s">
        <v>73</v>
      </c>
      <c r="D4389" s="2"/>
      <c r="E4389" s="2" t="str">
        <f>"FES1162566780"</f>
        <v>FES1162566780</v>
      </c>
      <c r="F4389" s="3">
        <v>42950</v>
      </c>
      <c r="G4389" s="2">
        <v>201802</v>
      </c>
      <c r="H4389" s="2" t="s">
        <v>74</v>
      </c>
      <c r="I4389" s="2" t="s">
        <v>75</v>
      </c>
      <c r="J4389" s="2" t="s">
        <v>76</v>
      </c>
      <c r="K4389" s="2" t="s">
        <v>77</v>
      </c>
      <c r="L4389" s="2" t="s">
        <v>144</v>
      </c>
      <c r="M4389" s="2" t="s">
        <v>145</v>
      </c>
      <c r="N4389" s="2" t="s">
        <v>4005</v>
      </c>
      <c r="O4389" s="2" t="s">
        <v>100</v>
      </c>
      <c r="P4389" s="2" t="str">
        <f>"2170583019                    "</f>
        <v xml:space="preserve">2170583019                    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3.13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0</v>
      </c>
      <c r="AU4389" s="2">
        <v>0</v>
      </c>
      <c r="AV4389" s="2">
        <v>0</v>
      </c>
      <c r="AW4389" s="2">
        <v>0</v>
      </c>
      <c r="AX4389" s="2">
        <v>0</v>
      </c>
      <c r="AY4389" s="2">
        <v>0</v>
      </c>
      <c r="AZ4389" s="2">
        <v>0</v>
      </c>
      <c r="BA4389" s="2">
        <v>0</v>
      </c>
      <c r="BB4389" s="2">
        <v>0</v>
      </c>
      <c r="BC4389" s="2">
        <v>0</v>
      </c>
      <c r="BD4389" s="2">
        <v>0</v>
      </c>
      <c r="BE4389" s="2">
        <v>0</v>
      </c>
      <c r="BF4389" s="2">
        <v>0</v>
      </c>
      <c r="BG4389" s="2">
        <v>0</v>
      </c>
      <c r="BH4389" s="2">
        <v>2</v>
      </c>
      <c r="BI4389" s="2">
        <v>4.8</v>
      </c>
      <c r="BJ4389" s="2">
        <v>3</v>
      </c>
      <c r="BK4389" s="2">
        <v>5</v>
      </c>
      <c r="BL4389" s="2">
        <v>32.380000000000003</v>
      </c>
      <c r="BM4389" s="2">
        <v>4.53</v>
      </c>
      <c r="BN4389" s="2">
        <v>36.909999999999997</v>
      </c>
      <c r="BO4389" s="2">
        <v>36.909999999999997</v>
      </c>
      <c r="BP4389" s="2"/>
      <c r="BQ4389" s="2"/>
      <c r="BR4389" s="2" t="s">
        <v>84</v>
      </c>
      <c r="BS4389" s="3">
        <v>42951</v>
      </c>
      <c r="BT4389" s="4">
        <v>0.3888888888888889</v>
      </c>
      <c r="BU4389" s="2" t="s">
        <v>1494</v>
      </c>
      <c r="BV4389" s="2" t="s">
        <v>95</v>
      </c>
      <c r="BW4389" s="2"/>
      <c r="BX4389" s="2"/>
      <c r="BY4389" s="2">
        <v>15171.22</v>
      </c>
      <c r="BZ4389" s="2" t="s">
        <v>27</v>
      </c>
      <c r="CA4389" s="2" t="s">
        <v>923</v>
      </c>
      <c r="CB4389" s="2"/>
      <c r="CC4389" s="2" t="s">
        <v>145</v>
      </c>
      <c r="CD4389" s="2">
        <v>2092</v>
      </c>
      <c r="CE4389" s="2" t="s">
        <v>104</v>
      </c>
      <c r="CF4389" s="5">
        <v>42954</v>
      </c>
      <c r="CG4389" s="2"/>
      <c r="CH4389" s="2"/>
      <c r="CI4389" s="2">
        <v>1</v>
      </c>
      <c r="CJ4389" s="2">
        <v>1</v>
      </c>
      <c r="CK4389" s="2">
        <v>22</v>
      </c>
      <c r="CL4389" s="2" t="s">
        <v>86</v>
      </c>
      <c r="CM4389" s="2"/>
    </row>
    <row r="4390" spans="1:91">
      <c r="A4390" s="2" t="s">
        <v>71</v>
      </c>
      <c r="B4390" s="2" t="s">
        <v>72</v>
      </c>
      <c r="C4390" s="2" t="s">
        <v>73</v>
      </c>
      <c r="D4390" s="2"/>
      <c r="E4390" s="2" t="str">
        <f>"FES1162566877"</f>
        <v>FES1162566877</v>
      </c>
      <c r="F4390" s="3">
        <v>42950</v>
      </c>
      <c r="G4390" s="2">
        <v>201802</v>
      </c>
      <c r="H4390" s="2" t="s">
        <v>74</v>
      </c>
      <c r="I4390" s="2" t="s">
        <v>75</v>
      </c>
      <c r="J4390" s="2" t="s">
        <v>76</v>
      </c>
      <c r="K4390" s="2" t="s">
        <v>77</v>
      </c>
      <c r="L4390" s="2" t="s">
        <v>170</v>
      </c>
      <c r="M4390" s="2" t="s">
        <v>171</v>
      </c>
      <c r="N4390" s="2" t="s">
        <v>3701</v>
      </c>
      <c r="O4390" s="2" t="s">
        <v>100</v>
      </c>
      <c r="P4390" s="2" t="str">
        <f>"2170583125                    "</f>
        <v xml:space="preserve">2170583125                    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0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3.13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0</v>
      </c>
      <c r="AU4390" s="2">
        <v>0</v>
      </c>
      <c r="AV4390" s="2">
        <v>0</v>
      </c>
      <c r="AW4390" s="2">
        <v>0</v>
      </c>
      <c r="AX4390" s="2">
        <v>0</v>
      </c>
      <c r="AY4390" s="2">
        <v>0</v>
      </c>
      <c r="AZ4390" s="2">
        <v>0</v>
      </c>
      <c r="BA4390" s="2">
        <v>0</v>
      </c>
      <c r="BB4390" s="2">
        <v>0</v>
      </c>
      <c r="BC4390" s="2">
        <v>0</v>
      </c>
      <c r="BD4390" s="2">
        <v>0</v>
      </c>
      <c r="BE4390" s="2">
        <v>0</v>
      </c>
      <c r="BF4390" s="2">
        <v>0</v>
      </c>
      <c r="BG4390" s="2">
        <v>0</v>
      </c>
      <c r="BH4390" s="2">
        <v>1</v>
      </c>
      <c r="BI4390" s="2">
        <v>1</v>
      </c>
      <c r="BJ4390" s="2">
        <v>0.2</v>
      </c>
      <c r="BK4390" s="2">
        <v>1</v>
      </c>
      <c r="BL4390" s="2">
        <v>32.380000000000003</v>
      </c>
      <c r="BM4390" s="2">
        <v>4.53</v>
      </c>
      <c r="BN4390" s="2">
        <v>36.909999999999997</v>
      </c>
      <c r="BO4390" s="2">
        <v>36.909999999999997</v>
      </c>
      <c r="BP4390" s="2"/>
      <c r="BQ4390" s="2" t="s">
        <v>108</v>
      </c>
      <c r="BR4390" s="2" t="s">
        <v>84</v>
      </c>
      <c r="BS4390" s="3">
        <v>42954</v>
      </c>
      <c r="BT4390" s="4">
        <v>0.34027777777777773</v>
      </c>
      <c r="BU4390" s="2" t="s">
        <v>4006</v>
      </c>
      <c r="BV4390" s="2" t="s">
        <v>86</v>
      </c>
      <c r="BW4390" s="2"/>
      <c r="BX4390" s="2"/>
      <c r="BY4390" s="2">
        <v>1200</v>
      </c>
      <c r="BZ4390" s="2" t="s">
        <v>27</v>
      </c>
      <c r="CA4390" s="2"/>
      <c r="CB4390" s="2"/>
      <c r="CC4390" s="2" t="s">
        <v>171</v>
      </c>
      <c r="CD4390" s="2">
        <v>1401</v>
      </c>
      <c r="CE4390" s="2" t="s">
        <v>104</v>
      </c>
      <c r="CF4390" s="5">
        <v>42955</v>
      </c>
      <c r="CG4390" s="2"/>
      <c r="CH4390" s="2"/>
      <c r="CI4390" s="2">
        <v>1</v>
      </c>
      <c r="CJ4390" s="2">
        <v>2</v>
      </c>
      <c r="CK4390" s="2">
        <v>22</v>
      </c>
      <c r="CL4390" s="2" t="s">
        <v>86</v>
      </c>
      <c r="CM4390" s="2"/>
    </row>
    <row r="4391" spans="1:91">
      <c r="A4391" s="2" t="s">
        <v>71</v>
      </c>
      <c r="B4391" s="2" t="s">
        <v>72</v>
      </c>
      <c r="C4391" s="2" t="s">
        <v>73</v>
      </c>
      <c r="D4391" s="2"/>
      <c r="E4391" s="2" t="str">
        <f>"FES1162566952"</f>
        <v>FES1162566952</v>
      </c>
      <c r="F4391" s="3">
        <v>42950</v>
      </c>
      <c r="G4391" s="2">
        <v>201802</v>
      </c>
      <c r="H4391" s="2" t="s">
        <v>74</v>
      </c>
      <c r="I4391" s="2" t="s">
        <v>75</v>
      </c>
      <c r="J4391" s="2" t="s">
        <v>76</v>
      </c>
      <c r="K4391" s="2" t="s">
        <v>77</v>
      </c>
      <c r="L4391" s="2" t="s">
        <v>237</v>
      </c>
      <c r="M4391" s="2" t="s">
        <v>238</v>
      </c>
      <c r="N4391" s="2" t="s">
        <v>669</v>
      </c>
      <c r="O4391" s="2" t="s">
        <v>100</v>
      </c>
      <c r="P4391" s="2" t="str">
        <f>"2170583201                    "</f>
        <v xml:space="preserve">2170583201                    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6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0</v>
      </c>
      <c r="AU4391" s="2">
        <v>0</v>
      </c>
      <c r="AV4391" s="2">
        <v>0</v>
      </c>
      <c r="AW4391" s="2">
        <v>0</v>
      </c>
      <c r="AX4391" s="2">
        <v>0</v>
      </c>
      <c r="AY4391" s="2">
        <v>0</v>
      </c>
      <c r="AZ4391" s="2">
        <v>0</v>
      </c>
      <c r="BA4391" s="2">
        <v>0</v>
      </c>
      <c r="BB4391" s="2">
        <v>0</v>
      </c>
      <c r="BC4391" s="2">
        <v>0</v>
      </c>
      <c r="BD4391" s="2">
        <v>0</v>
      </c>
      <c r="BE4391" s="2">
        <v>0</v>
      </c>
      <c r="BF4391" s="2">
        <v>0</v>
      </c>
      <c r="BG4391" s="2">
        <v>0</v>
      </c>
      <c r="BH4391" s="2">
        <v>1</v>
      </c>
      <c r="BI4391" s="2">
        <v>3</v>
      </c>
      <c r="BJ4391" s="2">
        <v>0.1</v>
      </c>
      <c r="BK4391" s="2">
        <v>3</v>
      </c>
      <c r="BL4391" s="2">
        <v>62.16</v>
      </c>
      <c r="BM4391" s="2">
        <v>8.6999999999999993</v>
      </c>
      <c r="BN4391" s="2">
        <v>70.86</v>
      </c>
      <c r="BO4391" s="2">
        <v>70.86</v>
      </c>
      <c r="BP4391" s="2"/>
      <c r="BQ4391" s="2" t="s">
        <v>670</v>
      </c>
      <c r="BR4391" s="2" t="s">
        <v>84</v>
      </c>
      <c r="BS4391" s="3">
        <v>42951</v>
      </c>
      <c r="BT4391" s="4">
        <v>0.37986111111111115</v>
      </c>
      <c r="BU4391" s="2" t="s">
        <v>2160</v>
      </c>
      <c r="BV4391" s="2" t="s">
        <v>95</v>
      </c>
      <c r="BW4391" s="2"/>
      <c r="BX4391" s="2"/>
      <c r="BY4391" s="2">
        <v>425</v>
      </c>
      <c r="BZ4391" s="2" t="s">
        <v>27</v>
      </c>
      <c r="CA4391" s="2" t="s">
        <v>2155</v>
      </c>
      <c r="CB4391" s="2"/>
      <c r="CC4391" s="2" t="s">
        <v>238</v>
      </c>
      <c r="CD4391" s="2">
        <v>3610</v>
      </c>
      <c r="CE4391" s="2" t="s">
        <v>259</v>
      </c>
      <c r="CF4391" s="5">
        <v>42954</v>
      </c>
      <c r="CG4391" s="2"/>
      <c r="CH4391" s="2"/>
      <c r="CI4391" s="2">
        <v>1</v>
      </c>
      <c r="CJ4391" s="2">
        <v>1</v>
      </c>
      <c r="CK4391" s="2">
        <v>21</v>
      </c>
      <c r="CL4391" s="2" t="s">
        <v>86</v>
      </c>
      <c r="CM4391" s="2"/>
    </row>
    <row r="4392" spans="1:91">
      <c r="A4392" s="2" t="s">
        <v>71</v>
      </c>
      <c r="B4392" s="2" t="s">
        <v>72</v>
      </c>
      <c r="C4392" s="2" t="s">
        <v>73</v>
      </c>
      <c r="D4392" s="2"/>
      <c r="E4392" s="2" t="str">
        <f>"FES1162566819"</f>
        <v>FES1162566819</v>
      </c>
      <c r="F4392" s="3">
        <v>42950</v>
      </c>
      <c r="G4392" s="2">
        <v>201802</v>
      </c>
      <c r="H4392" s="2" t="s">
        <v>74</v>
      </c>
      <c r="I4392" s="2" t="s">
        <v>75</v>
      </c>
      <c r="J4392" s="2" t="s">
        <v>76</v>
      </c>
      <c r="K4392" s="2" t="s">
        <v>77</v>
      </c>
      <c r="L4392" s="2" t="s">
        <v>74</v>
      </c>
      <c r="M4392" s="2" t="s">
        <v>75</v>
      </c>
      <c r="N4392" s="2" t="s">
        <v>2345</v>
      </c>
      <c r="O4392" s="2" t="s">
        <v>100</v>
      </c>
      <c r="P4392" s="2" t="str">
        <f>"2170583053                    "</f>
        <v xml:space="preserve">2170583053                    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0</v>
      </c>
      <c r="Z4392" s="2">
        <v>0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3.13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0</v>
      </c>
      <c r="AU4392" s="2">
        <v>0</v>
      </c>
      <c r="AV4392" s="2">
        <v>0</v>
      </c>
      <c r="AW4392" s="2">
        <v>0</v>
      </c>
      <c r="AX4392" s="2">
        <v>0</v>
      </c>
      <c r="AY4392" s="2">
        <v>0</v>
      </c>
      <c r="AZ4392" s="2">
        <v>0</v>
      </c>
      <c r="BA4392" s="2">
        <v>0</v>
      </c>
      <c r="BB4392" s="2">
        <v>0</v>
      </c>
      <c r="BC4392" s="2">
        <v>0</v>
      </c>
      <c r="BD4392" s="2">
        <v>0</v>
      </c>
      <c r="BE4392" s="2">
        <v>0</v>
      </c>
      <c r="BF4392" s="2">
        <v>0</v>
      </c>
      <c r="BG4392" s="2">
        <v>0</v>
      </c>
      <c r="BH4392" s="2">
        <v>1</v>
      </c>
      <c r="BI4392" s="2">
        <v>1</v>
      </c>
      <c r="BJ4392" s="2">
        <v>0.2</v>
      </c>
      <c r="BK4392" s="2">
        <v>1</v>
      </c>
      <c r="BL4392" s="2">
        <v>32.380000000000003</v>
      </c>
      <c r="BM4392" s="2">
        <v>4.53</v>
      </c>
      <c r="BN4392" s="2">
        <v>36.909999999999997</v>
      </c>
      <c r="BO4392" s="2">
        <v>36.909999999999997</v>
      </c>
      <c r="BP4392" s="2"/>
      <c r="BQ4392" s="2" t="s">
        <v>4007</v>
      </c>
      <c r="BR4392" s="2" t="s">
        <v>84</v>
      </c>
      <c r="BS4392" s="3">
        <v>42951</v>
      </c>
      <c r="BT4392" s="4">
        <v>0.53402777777777777</v>
      </c>
      <c r="BU4392" s="2" t="s">
        <v>4008</v>
      </c>
      <c r="BV4392" s="2" t="s">
        <v>86</v>
      </c>
      <c r="BW4392" s="2"/>
      <c r="BX4392" s="2"/>
      <c r="BY4392" s="2">
        <v>1200</v>
      </c>
      <c r="BZ4392" s="2" t="s">
        <v>27</v>
      </c>
      <c r="CA4392" s="2" t="s">
        <v>328</v>
      </c>
      <c r="CB4392" s="2"/>
      <c r="CC4392" s="2" t="s">
        <v>75</v>
      </c>
      <c r="CD4392" s="2">
        <v>1600</v>
      </c>
      <c r="CE4392" s="2" t="s">
        <v>104</v>
      </c>
      <c r="CF4392" s="5">
        <v>42954</v>
      </c>
      <c r="CG4392" s="2"/>
      <c r="CH4392" s="2"/>
      <c r="CI4392" s="2">
        <v>1</v>
      </c>
      <c r="CJ4392" s="2">
        <v>1</v>
      </c>
      <c r="CK4392" s="2">
        <v>22</v>
      </c>
      <c r="CL4392" s="2" t="s">
        <v>86</v>
      </c>
      <c r="CM4392" s="2"/>
    </row>
    <row r="4393" spans="1:91">
      <c r="A4393" s="2" t="s">
        <v>71</v>
      </c>
      <c r="B4393" s="2" t="s">
        <v>72</v>
      </c>
      <c r="C4393" s="2" t="s">
        <v>73</v>
      </c>
      <c r="D4393" s="2"/>
      <c r="E4393" s="2" t="str">
        <f>"FES1162566940"</f>
        <v>FES1162566940</v>
      </c>
      <c r="F4393" s="3">
        <v>42950</v>
      </c>
      <c r="G4393" s="2">
        <v>201802</v>
      </c>
      <c r="H4393" s="2" t="s">
        <v>74</v>
      </c>
      <c r="I4393" s="2" t="s">
        <v>75</v>
      </c>
      <c r="J4393" s="2" t="s">
        <v>76</v>
      </c>
      <c r="K4393" s="2" t="s">
        <v>77</v>
      </c>
      <c r="L4393" s="2" t="s">
        <v>97</v>
      </c>
      <c r="M4393" s="2" t="s">
        <v>98</v>
      </c>
      <c r="N4393" s="2" t="s">
        <v>1029</v>
      </c>
      <c r="O4393" s="2" t="s">
        <v>100</v>
      </c>
      <c r="P4393" s="2" t="str">
        <f>"2170582963                    "</f>
        <v xml:space="preserve">2170582963                    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6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0</v>
      </c>
      <c r="AU4393" s="2">
        <v>0</v>
      </c>
      <c r="AV4393" s="2">
        <v>0</v>
      </c>
      <c r="AW4393" s="2">
        <v>0</v>
      </c>
      <c r="AX4393" s="2">
        <v>0</v>
      </c>
      <c r="AY4393" s="2">
        <v>0</v>
      </c>
      <c r="AZ4393" s="2">
        <v>0</v>
      </c>
      <c r="BA4393" s="2">
        <v>0</v>
      </c>
      <c r="BB4393" s="2">
        <v>0</v>
      </c>
      <c r="BC4393" s="2">
        <v>0</v>
      </c>
      <c r="BD4393" s="2">
        <v>0</v>
      </c>
      <c r="BE4393" s="2">
        <v>0</v>
      </c>
      <c r="BF4393" s="2">
        <v>0</v>
      </c>
      <c r="BG4393" s="2">
        <v>0</v>
      </c>
      <c r="BH4393" s="2">
        <v>1</v>
      </c>
      <c r="BI4393" s="2">
        <v>3</v>
      </c>
      <c r="BJ4393" s="2">
        <v>1.5</v>
      </c>
      <c r="BK4393" s="2">
        <v>3</v>
      </c>
      <c r="BL4393" s="2">
        <v>62.16</v>
      </c>
      <c r="BM4393" s="2">
        <v>8.6999999999999993</v>
      </c>
      <c r="BN4393" s="2">
        <v>70.86</v>
      </c>
      <c r="BO4393" s="2">
        <v>70.86</v>
      </c>
      <c r="BP4393" s="2"/>
      <c r="BQ4393" s="2" t="s">
        <v>1277</v>
      </c>
      <c r="BR4393" s="2" t="s">
        <v>84</v>
      </c>
      <c r="BS4393" s="3">
        <v>42950</v>
      </c>
      <c r="BT4393" s="4">
        <v>0.32500000000000001</v>
      </c>
      <c r="BU4393" s="2" t="s">
        <v>1176</v>
      </c>
      <c r="BV4393" s="2" t="s">
        <v>95</v>
      </c>
      <c r="BW4393" s="2"/>
      <c r="BX4393" s="2"/>
      <c r="BY4393" s="2">
        <v>7719.66</v>
      </c>
      <c r="BZ4393" s="2" t="s">
        <v>27</v>
      </c>
      <c r="CA4393" s="2"/>
      <c r="CB4393" s="2"/>
      <c r="CC4393" s="2" t="s">
        <v>98</v>
      </c>
      <c r="CD4393" s="2">
        <v>6001</v>
      </c>
      <c r="CE4393" s="2" t="s">
        <v>1005</v>
      </c>
      <c r="CF4393" s="5">
        <v>42954</v>
      </c>
      <c r="CG4393" s="2"/>
      <c r="CH4393" s="2"/>
      <c r="CI4393" s="2">
        <v>1</v>
      </c>
      <c r="CJ4393" s="2">
        <v>0</v>
      </c>
      <c r="CK4393" s="2">
        <v>21</v>
      </c>
      <c r="CL4393" s="2" t="s">
        <v>86</v>
      </c>
      <c r="CM4393" s="2"/>
    </row>
    <row r="4394" spans="1:91">
      <c r="A4394" s="2" t="s">
        <v>71</v>
      </c>
      <c r="B4394" s="2" t="s">
        <v>72</v>
      </c>
      <c r="C4394" s="2" t="s">
        <v>73</v>
      </c>
      <c r="D4394" s="2"/>
      <c r="E4394" s="2" t="str">
        <f>"FES1162566823"</f>
        <v>FES1162566823</v>
      </c>
      <c r="F4394" s="3">
        <v>42950</v>
      </c>
      <c r="G4394" s="2">
        <v>201802</v>
      </c>
      <c r="H4394" s="2" t="s">
        <v>74</v>
      </c>
      <c r="I4394" s="2" t="s">
        <v>75</v>
      </c>
      <c r="J4394" s="2" t="s">
        <v>76</v>
      </c>
      <c r="K4394" s="2" t="s">
        <v>77</v>
      </c>
      <c r="L4394" s="2" t="s">
        <v>417</v>
      </c>
      <c r="M4394" s="2" t="s">
        <v>417</v>
      </c>
      <c r="N4394" s="2" t="s">
        <v>475</v>
      </c>
      <c r="O4394" s="2" t="s">
        <v>100</v>
      </c>
      <c r="P4394" s="2" t="str">
        <f>"2170583060                    "</f>
        <v xml:space="preserve">2170583060                    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4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0</v>
      </c>
      <c r="AU4394" s="2">
        <v>0</v>
      </c>
      <c r="AV4394" s="2">
        <v>0</v>
      </c>
      <c r="AW4394" s="2">
        <v>0</v>
      </c>
      <c r="AX4394" s="2">
        <v>0</v>
      </c>
      <c r="AY4394" s="2">
        <v>0</v>
      </c>
      <c r="AZ4394" s="2">
        <v>0</v>
      </c>
      <c r="BA4394" s="2">
        <v>0</v>
      </c>
      <c r="BB4394" s="2">
        <v>0</v>
      </c>
      <c r="BC4394" s="2">
        <v>0</v>
      </c>
      <c r="BD4394" s="2">
        <v>0</v>
      </c>
      <c r="BE4394" s="2">
        <v>0</v>
      </c>
      <c r="BF4394" s="2">
        <v>0</v>
      </c>
      <c r="BG4394" s="2">
        <v>0</v>
      </c>
      <c r="BH4394" s="2">
        <v>1</v>
      </c>
      <c r="BI4394" s="2">
        <v>1</v>
      </c>
      <c r="BJ4394" s="2">
        <v>0.2</v>
      </c>
      <c r="BK4394" s="2">
        <v>1</v>
      </c>
      <c r="BL4394" s="2">
        <v>41.44</v>
      </c>
      <c r="BM4394" s="2">
        <v>5.8</v>
      </c>
      <c r="BN4394" s="2">
        <v>47.24</v>
      </c>
      <c r="BO4394" s="2">
        <v>47.24</v>
      </c>
      <c r="BP4394" s="2"/>
      <c r="BQ4394" s="2" t="s">
        <v>108</v>
      </c>
      <c r="BR4394" s="2" t="s">
        <v>84</v>
      </c>
      <c r="BS4394" s="3">
        <v>42951</v>
      </c>
      <c r="BT4394" s="4">
        <v>0.45347222222222222</v>
      </c>
      <c r="BU4394" s="2" t="s">
        <v>476</v>
      </c>
      <c r="BV4394" s="2"/>
      <c r="BW4394" s="2"/>
      <c r="BX4394" s="2"/>
      <c r="BY4394" s="2">
        <v>1200</v>
      </c>
      <c r="BZ4394" s="2" t="s">
        <v>27</v>
      </c>
      <c r="CA4394" s="2" t="s">
        <v>460</v>
      </c>
      <c r="CB4394" s="2"/>
      <c r="CC4394" s="2" t="s">
        <v>417</v>
      </c>
      <c r="CD4394" s="2">
        <v>7646</v>
      </c>
      <c r="CE4394" s="2" t="s">
        <v>104</v>
      </c>
      <c r="CF4394" s="5">
        <v>42951</v>
      </c>
      <c r="CG4394" s="2"/>
      <c r="CH4394" s="2"/>
      <c r="CI4394" s="2">
        <v>0</v>
      </c>
      <c r="CJ4394" s="2">
        <v>0</v>
      </c>
      <c r="CK4394" s="2">
        <v>21</v>
      </c>
      <c r="CL4394" s="2" t="s">
        <v>86</v>
      </c>
      <c r="CM4394" s="2"/>
    </row>
    <row r="4395" spans="1:91">
      <c r="A4395" s="2" t="s">
        <v>71</v>
      </c>
      <c r="B4395" s="2" t="s">
        <v>72</v>
      </c>
      <c r="C4395" s="2" t="s">
        <v>73</v>
      </c>
      <c r="D4395" s="2"/>
      <c r="E4395" s="2" t="str">
        <f>"FES1162566885"</f>
        <v>FES1162566885</v>
      </c>
      <c r="F4395" s="3">
        <v>42950</v>
      </c>
      <c r="G4395" s="2">
        <v>201802</v>
      </c>
      <c r="H4395" s="2" t="s">
        <v>74</v>
      </c>
      <c r="I4395" s="2" t="s">
        <v>75</v>
      </c>
      <c r="J4395" s="2" t="s">
        <v>76</v>
      </c>
      <c r="K4395" s="2" t="s">
        <v>77</v>
      </c>
      <c r="L4395" s="2" t="s">
        <v>164</v>
      </c>
      <c r="M4395" s="2" t="s">
        <v>165</v>
      </c>
      <c r="N4395" s="2" t="s">
        <v>3750</v>
      </c>
      <c r="O4395" s="2" t="s">
        <v>100</v>
      </c>
      <c r="P4395" s="2" t="str">
        <f>"2170583132                    "</f>
        <v xml:space="preserve">2170583132                    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4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0</v>
      </c>
      <c r="AU4395" s="2">
        <v>0</v>
      </c>
      <c r="AV4395" s="2">
        <v>0</v>
      </c>
      <c r="AW4395" s="2">
        <v>0</v>
      </c>
      <c r="AX4395" s="2">
        <v>0</v>
      </c>
      <c r="AY4395" s="2">
        <v>0</v>
      </c>
      <c r="AZ4395" s="2">
        <v>0</v>
      </c>
      <c r="BA4395" s="2">
        <v>0</v>
      </c>
      <c r="BB4395" s="2">
        <v>0</v>
      </c>
      <c r="BC4395" s="2">
        <v>0</v>
      </c>
      <c r="BD4395" s="2">
        <v>0</v>
      </c>
      <c r="BE4395" s="2">
        <v>0</v>
      </c>
      <c r="BF4395" s="2">
        <v>0</v>
      </c>
      <c r="BG4395" s="2">
        <v>0</v>
      </c>
      <c r="BH4395" s="2">
        <v>1</v>
      </c>
      <c r="BI4395" s="2">
        <v>0.5</v>
      </c>
      <c r="BJ4395" s="2">
        <v>0.2</v>
      </c>
      <c r="BK4395" s="2">
        <v>0.5</v>
      </c>
      <c r="BL4395" s="2">
        <v>41.44</v>
      </c>
      <c r="BM4395" s="2">
        <v>5.8</v>
      </c>
      <c r="BN4395" s="2">
        <v>47.24</v>
      </c>
      <c r="BO4395" s="2">
        <v>47.24</v>
      </c>
      <c r="BP4395" s="2"/>
      <c r="BQ4395" s="2" t="s">
        <v>83</v>
      </c>
      <c r="BR4395" s="2" t="s">
        <v>84</v>
      </c>
      <c r="BS4395" s="3">
        <v>42951</v>
      </c>
      <c r="BT4395" s="4">
        <v>0.40763888888888888</v>
      </c>
      <c r="BU4395" s="2" t="s">
        <v>4009</v>
      </c>
      <c r="BV4395" s="2" t="s">
        <v>95</v>
      </c>
      <c r="BW4395" s="2"/>
      <c r="BX4395" s="2"/>
      <c r="BY4395" s="2">
        <v>1200</v>
      </c>
      <c r="BZ4395" s="2" t="s">
        <v>27</v>
      </c>
      <c r="CA4395" s="2" t="s">
        <v>2114</v>
      </c>
      <c r="CB4395" s="2"/>
      <c r="CC4395" s="2" t="s">
        <v>165</v>
      </c>
      <c r="CD4395" s="2">
        <v>6850</v>
      </c>
      <c r="CE4395" s="2" t="s">
        <v>104</v>
      </c>
      <c r="CF4395" s="5">
        <v>42951</v>
      </c>
      <c r="CG4395" s="2"/>
      <c r="CH4395" s="2"/>
      <c r="CI4395" s="2">
        <v>3</v>
      </c>
      <c r="CJ4395" s="2">
        <v>1</v>
      </c>
      <c r="CK4395" s="2">
        <v>21</v>
      </c>
      <c r="CL4395" s="2" t="s">
        <v>86</v>
      </c>
      <c r="CM4395" s="2"/>
    </row>
    <row r="4396" spans="1:91">
      <c r="A4396" s="2" t="s">
        <v>71</v>
      </c>
      <c r="B4396" s="2" t="s">
        <v>72</v>
      </c>
      <c r="C4396" s="2" t="s">
        <v>73</v>
      </c>
      <c r="D4396" s="2"/>
      <c r="E4396" s="2" t="str">
        <f>"FES1162566872"</f>
        <v>FES1162566872</v>
      </c>
      <c r="F4396" s="3">
        <v>42950</v>
      </c>
      <c r="G4396" s="2">
        <v>201802</v>
      </c>
      <c r="H4396" s="2" t="s">
        <v>74</v>
      </c>
      <c r="I4396" s="2" t="s">
        <v>75</v>
      </c>
      <c r="J4396" s="2" t="s">
        <v>76</v>
      </c>
      <c r="K4396" s="2" t="s">
        <v>77</v>
      </c>
      <c r="L4396" s="2" t="s">
        <v>216</v>
      </c>
      <c r="M4396" s="2" t="s">
        <v>217</v>
      </c>
      <c r="N4396" s="2" t="s">
        <v>1450</v>
      </c>
      <c r="O4396" s="2" t="s">
        <v>100</v>
      </c>
      <c r="P4396" s="2" t="str">
        <f>"2170583119                    "</f>
        <v xml:space="preserve">2170583119                    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3.13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0</v>
      </c>
      <c r="AU4396" s="2">
        <v>0</v>
      </c>
      <c r="AV4396" s="2">
        <v>0</v>
      </c>
      <c r="AW4396" s="2">
        <v>0</v>
      </c>
      <c r="AX4396" s="2">
        <v>0</v>
      </c>
      <c r="AY4396" s="2">
        <v>0</v>
      </c>
      <c r="AZ4396" s="2">
        <v>0</v>
      </c>
      <c r="BA4396" s="2">
        <v>0</v>
      </c>
      <c r="BB4396" s="2">
        <v>0</v>
      </c>
      <c r="BC4396" s="2">
        <v>0</v>
      </c>
      <c r="BD4396" s="2">
        <v>0</v>
      </c>
      <c r="BE4396" s="2">
        <v>0</v>
      </c>
      <c r="BF4396" s="2">
        <v>0</v>
      </c>
      <c r="BG4396" s="2">
        <v>0</v>
      </c>
      <c r="BH4396" s="2">
        <v>1</v>
      </c>
      <c r="BI4396" s="2">
        <v>1</v>
      </c>
      <c r="BJ4396" s="2">
        <v>0.2</v>
      </c>
      <c r="BK4396" s="2">
        <v>1</v>
      </c>
      <c r="BL4396" s="2">
        <v>32.380000000000003</v>
      </c>
      <c r="BM4396" s="2">
        <v>4.53</v>
      </c>
      <c r="BN4396" s="2">
        <v>36.909999999999997</v>
      </c>
      <c r="BO4396" s="2">
        <v>36.909999999999997</v>
      </c>
      <c r="BP4396" s="2"/>
      <c r="BQ4396" s="2" t="s">
        <v>209</v>
      </c>
      <c r="BR4396" s="2" t="s">
        <v>84</v>
      </c>
      <c r="BS4396" s="3">
        <v>42951</v>
      </c>
      <c r="BT4396" s="4">
        <v>0.42499999999999999</v>
      </c>
      <c r="BU4396" s="2" t="s">
        <v>1451</v>
      </c>
      <c r="BV4396" s="2" t="s">
        <v>95</v>
      </c>
      <c r="BW4396" s="2"/>
      <c r="BX4396" s="2"/>
      <c r="BY4396" s="2">
        <v>1200</v>
      </c>
      <c r="BZ4396" s="2" t="s">
        <v>27</v>
      </c>
      <c r="CA4396" s="2"/>
      <c r="CB4396" s="2"/>
      <c r="CC4396" s="2" t="s">
        <v>217</v>
      </c>
      <c r="CD4396" s="2">
        <v>1540</v>
      </c>
      <c r="CE4396" s="2" t="s">
        <v>104</v>
      </c>
      <c r="CF4396" s="5">
        <v>42954</v>
      </c>
      <c r="CG4396" s="2"/>
      <c r="CH4396" s="2"/>
      <c r="CI4396" s="2">
        <v>1</v>
      </c>
      <c r="CJ4396" s="2">
        <v>1</v>
      </c>
      <c r="CK4396" s="2">
        <v>22</v>
      </c>
      <c r="CL4396" s="2" t="s">
        <v>86</v>
      </c>
      <c r="CM4396" s="2"/>
    </row>
    <row r="4397" spans="1:91">
      <c r="A4397" s="2" t="s">
        <v>71</v>
      </c>
      <c r="B4397" s="2" t="s">
        <v>72</v>
      </c>
      <c r="C4397" s="2" t="s">
        <v>73</v>
      </c>
      <c r="D4397" s="2"/>
      <c r="E4397" s="2" t="str">
        <f>"FES1162566917"</f>
        <v>FES1162566917</v>
      </c>
      <c r="F4397" s="3">
        <v>42950</v>
      </c>
      <c r="G4397" s="2">
        <v>201802</v>
      </c>
      <c r="H4397" s="2" t="s">
        <v>74</v>
      </c>
      <c r="I4397" s="2" t="s">
        <v>75</v>
      </c>
      <c r="J4397" s="2" t="s">
        <v>76</v>
      </c>
      <c r="K4397" s="2" t="s">
        <v>77</v>
      </c>
      <c r="L4397" s="2" t="s">
        <v>105</v>
      </c>
      <c r="M4397" s="2" t="s">
        <v>106</v>
      </c>
      <c r="N4397" s="2" t="s">
        <v>486</v>
      </c>
      <c r="O4397" s="2" t="s">
        <v>100</v>
      </c>
      <c r="P4397" s="2" t="str">
        <f>"2170583165                    "</f>
        <v xml:space="preserve">2170583165                    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4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0</v>
      </c>
      <c r="AU4397" s="2">
        <v>0</v>
      </c>
      <c r="AV4397" s="2">
        <v>0</v>
      </c>
      <c r="AW4397" s="2">
        <v>0</v>
      </c>
      <c r="AX4397" s="2">
        <v>0</v>
      </c>
      <c r="AY4397" s="2">
        <v>0</v>
      </c>
      <c r="AZ4397" s="2">
        <v>0</v>
      </c>
      <c r="BA4397" s="2">
        <v>0</v>
      </c>
      <c r="BB4397" s="2">
        <v>0</v>
      </c>
      <c r="BC4397" s="2">
        <v>0</v>
      </c>
      <c r="BD4397" s="2">
        <v>0</v>
      </c>
      <c r="BE4397" s="2">
        <v>0</v>
      </c>
      <c r="BF4397" s="2">
        <v>0</v>
      </c>
      <c r="BG4397" s="2">
        <v>0</v>
      </c>
      <c r="BH4397" s="2">
        <v>1</v>
      </c>
      <c r="BI4397" s="2">
        <v>0.5</v>
      </c>
      <c r="BJ4397" s="2">
        <v>0.2</v>
      </c>
      <c r="BK4397" s="2">
        <v>0.5</v>
      </c>
      <c r="BL4397" s="2">
        <v>41.44</v>
      </c>
      <c r="BM4397" s="2">
        <v>5.8</v>
      </c>
      <c r="BN4397" s="2">
        <v>47.24</v>
      </c>
      <c r="BO4397" s="2">
        <v>47.24</v>
      </c>
      <c r="BP4397" s="2"/>
      <c r="BQ4397" s="2" t="s">
        <v>365</v>
      </c>
      <c r="BR4397" s="2" t="s">
        <v>84</v>
      </c>
      <c r="BS4397" s="3">
        <v>42951</v>
      </c>
      <c r="BT4397" s="4">
        <v>0.41666666666666669</v>
      </c>
      <c r="BU4397" s="2" t="s">
        <v>3943</v>
      </c>
      <c r="BV4397" s="2" t="s">
        <v>95</v>
      </c>
      <c r="BW4397" s="2"/>
      <c r="BX4397" s="2"/>
      <c r="BY4397" s="2">
        <v>1200</v>
      </c>
      <c r="BZ4397" s="2" t="s">
        <v>27</v>
      </c>
      <c r="CA4397" s="2"/>
      <c r="CB4397" s="2"/>
      <c r="CC4397" s="2" t="s">
        <v>106</v>
      </c>
      <c r="CD4397" s="2">
        <v>7441</v>
      </c>
      <c r="CE4397" s="2" t="s">
        <v>104</v>
      </c>
      <c r="CF4397" s="5">
        <v>42954</v>
      </c>
      <c r="CG4397" s="2"/>
      <c r="CH4397" s="2"/>
      <c r="CI4397" s="2">
        <v>1</v>
      </c>
      <c r="CJ4397" s="2">
        <v>1</v>
      </c>
      <c r="CK4397" s="2">
        <v>21</v>
      </c>
      <c r="CL4397" s="2" t="s">
        <v>86</v>
      </c>
      <c r="CM4397" s="2"/>
    </row>
    <row r="4398" spans="1:91">
      <c r="A4398" s="2" t="s">
        <v>71</v>
      </c>
      <c r="B4398" s="2" t="s">
        <v>72</v>
      </c>
      <c r="C4398" s="2" t="s">
        <v>73</v>
      </c>
      <c r="D4398" s="2"/>
      <c r="E4398" s="2" t="str">
        <f>"FES1162566611"</f>
        <v>FES1162566611</v>
      </c>
      <c r="F4398" s="3">
        <v>42950</v>
      </c>
      <c r="G4398" s="2">
        <v>201802</v>
      </c>
      <c r="H4398" s="2" t="s">
        <v>74</v>
      </c>
      <c r="I4398" s="2" t="s">
        <v>75</v>
      </c>
      <c r="J4398" s="2" t="s">
        <v>76</v>
      </c>
      <c r="K4398" s="2" t="s">
        <v>77</v>
      </c>
      <c r="L4398" s="2" t="s">
        <v>105</v>
      </c>
      <c r="M4398" s="2" t="s">
        <v>106</v>
      </c>
      <c r="N4398" s="2" t="s">
        <v>348</v>
      </c>
      <c r="O4398" s="2" t="s">
        <v>100</v>
      </c>
      <c r="P4398" s="2" t="str">
        <f>"2170580769                    "</f>
        <v xml:space="preserve">2170580769                    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0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4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0</v>
      </c>
      <c r="AU4398" s="2">
        <v>0</v>
      </c>
      <c r="AV4398" s="2">
        <v>0</v>
      </c>
      <c r="AW4398" s="2">
        <v>0</v>
      </c>
      <c r="AX4398" s="2">
        <v>0</v>
      </c>
      <c r="AY4398" s="2">
        <v>0</v>
      </c>
      <c r="AZ4398" s="2">
        <v>0</v>
      </c>
      <c r="BA4398" s="2">
        <v>0</v>
      </c>
      <c r="BB4398" s="2">
        <v>0</v>
      </c>
      <c r="BC4398" s="2">
        <v>0</v>
      </c>
      <c r="BD4398" s="2">
        <v>0</v>
      </c>
      <c r="BE4398" s="2">
        <v>0</v>
      </c>
      <c r="BF4398" s="2">
        <v>0</v>
      </c>
      <c r="BG4398" s="2">
        <v>0</v>
      </c>
      <c r="BH4398" s="2">
        <v>1</v>
      </c>
      <c r="BI4398" s="2">
        <v>1</v>
      </c>
      <c r="BJ4398" s="2">
        <v>0.2</v>
      </c>
      <c r="BK4398" s="2">
        <v>1</v>
      </c>
      <c r="BL4398" s="2">
        <v>41.44</v>
      </c>
      <c r="BM4398" s="2">
        <v>5.8</v>
      </c>
      <c r="BN4398" s="2">
        <v>47.24</v>
      </c>
      <c r="BO4398" s="2">
        <v>47.24</v>
      </c>
      <c r="BP4398" s="2"/>
      <c r="BQ4398" s="2" t="s">
        <v>108</v>
      </c>
      <c r="BR4398" s="2" t="s">
        <v>84</v>
      </c>
      <c r="BS4398" s="3">
        <v>42951</v>
      </c>
      <c r="BT4398" s="4">
        <v>0.53611111111111109</v>
      </c>
      <c r="BU4398" s="2" t="s">
        <v>778</v>
      </c>
      <c r="BV4398" s="2" t="s">
        <v>95</v>
      </c>
      <c r="BW4398" s="2"/>
      <c r="BX4398" s="2"/>
      <c r="BY4398" s="2">
        <v>1200</v>
      </c>
      <c r="BZ4398" s="2" t="s">
        <v>27</v>
      </c>
      <c r="CA4398" s="2" t="s">
        <v>350</v>
      </c>
      <c r="CB4398" s="2"/>
      <c r="CC4398" s="2" t="s">
        <v>106</v>
      </c>
      <c r="CD4398" s="2">
        <v>7945</v>
      </c>
      <c r="CE4398" s="2" t="s">
        <v>104</v>
      </c>
      <c r="CF4398" s="5">
        <v>42954</v>
      </c>
      <c r="CG4398" s="2"/>
      <c r="CH4398" s="2"/>
      <c r="CI4398" s="2">
        <v>1</v>
      </c>
      <c r="CJ4398" s="2">
        <v>1</v>
      </c>
      <c r="CK4398" s="2">
        <v>21</v>
      </c>
      <c r="CL4398" s="2" t="s">
        <v>86</v>
      </c>
      <c r="CM4398" s="2"/>
    </row>
    <row r="4399" spans="1:91">
      <c r="A4399" s="2" t="s">
        <v>71</v>
      </c>
      <c r="B4399" s="2" t="s">
        <v>72</v>
      </c>
      <c r="C4399" s="2" t="s">
        <v>73</v>
      </c>
      <c r="D4399" s="2"/>
      <c r="E4399" s="2" t="str">
        <f>"FES1162566867"</f>
        <v>FES1162566867</v>
      </c>
      <c r="F4399" s="3">
        <v>42950</v>
      </c>
      <c r="G4399" s="2">
        <v>201802</v>
      </c>
      <c r="H4399" s="2" t="s">
        <v>74</v>
      </c>
      <c r="I4399" s="2" t="s">
        <v>75</v>
      </c>
      <c r="J4399" s="2" t="s">
        <v>76</v>
      </c>
      <c r="K4399" s="2" t="s">
        <v>77</v>
      </c>
      <c r="L4399" s="2" t="s">
        <v>105</v>
      </c>
      <c r="M4399" s="2" t="s">
        <v>106</v>
      </c>
      <c r="N4399" s="2" t="s">
        <v>397</v>
      </c>
      <c r="O4399" s="2" t="s">
        <v>100</v>
      </c>
      <c r="P4399" s="2" t="str">
        <f>"2170583113                    "</f>
        <v xml:space="preserve">2170583113                    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0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4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0</v>
      </c>
      <c r="AU4399" s="2">
        <v>0</v>
      </c>
      <c r="AV4399" s="2">
        <v>0</v>
      </c>
      <c r="AW4399" s="2">
        <v>0</v>
      </c>
      <c r="AX4399" s="2">
        <v>0</v>
      </c>
      <c r="AY4399" s="2">
        <v>0</v>
      </c>
      <c r="AZ4399" s="2">
        <v>0</v>
      </c>
      <c r="BA4399" s="2">
        <v>0</v>
      </c>
      <c r="BB4399" s="2">
        <v>0</v>
      </c>
      <c r="BC4399" s="2">
        <v>0</v>
      </c>
      <c r="BD4399" s="2">
        <v>0</v>
      </c>
      <c r="BE4399" s="2">
        <v>0</v>
      </c>
      <c r="BF4399" s="2">
        <v>0</v>
      </c>
      <c r="BG4399" s="2">
        <v>0</v>
      </c>
      <c r="BH4399" s="2">
        <v>1</v>
      </c>
      <c r="BI4399" s="2">
        <v>1</v>
      </c>
      <c r="BJ4399" s="2">
        <v>0.2</v>
      </c>
      <c r="BK4399" s="2">
        <v>1</v>
      </c>
      <c r="BL4399" s="2">
        <v>41.44</v>
      </c>
      <c r="BM4399" s="2">
        <v>5.8</v>
      </c>
      <c r="BN4399" s="2">
        <v>47.24</v>
      </c>
      <c r="BO4399" s="2">
        <v>47.24</v>
      </c>
      <c r="BP4399" s="2"/>
      <c r="BQ4399" s="2" t="s">
        <v>83</v>
      </c>
      <c r="BR4399" s="2" t="s">
        <v>84</v>
      </c>
      <c r="BS4399" s="3">
        <v>42951</v>
      </c>
      <c r="BT4399" s="4">
        <v>0.37638888888888888</v>
      </c>
      <c r="BU4399" s="2" t="s">
        <v>3043</v>
      </c>
      <c r="BV4399" s="2" t="s">
        <v>95</v>
      </c>
      <c r="BW4399" s="2"/>
      <c r="BX4399" s="2"/>
      <c r="BY4399" s="2">
        <v>1200</v>
      </c>
      <c r="BZ4399" s="2" t="s">
        <v>27</v>
      </c>
      <c r="CA4399" s="2" t="s">
        <v>856</v>
      </c>
      <c r="CB4399" s="2"/>
      <c r="CC4399" s="2" t="s">
        <v>106</v>
      </c>
      <c r="CD4399" s="2">
        <v>7405</v>
      </c>
      <c r="CE4399" s="2" t="s">
        <v>104</v>
      </c>
      <c r="CF4399" s="5">
        <v>42951</v>
      </c>
      <c r="CG4399" s="2"/>
      <c r="CH4399" s="2"/>
      <c r="CI4399" s="2">
        <v>1</v>
      </c>
      <c r="CJ4399" s="2">
        <v>1</v>
      </c>
      <c r="CK4399" s="2">
        <v>21</v>
      </c>
      <c r="CL4399" s="2" t="s">
        <v>86</v>
      </c>
      <c r="CM4399" s="2"/>
    </row>
    <row r="4400" spans="1:91">
      <c r="A4400" s="2" t="s">
        <v>71</v>
      </c>
      <c r="B4400" s="2" t="s">
        <v>72</v>
      </c>
      <c r="C4400" s="2" t="s">
        <v>73</v>
      </c>
      <c r="D4400" s="2"/>
      <c r="E4400" s="2" t="str">
        <f>"FES1162566817"</f>
        <v>FES1162566817</v>
      </c>
      <c r="F4400" s="3">
        <v>42950</v>
      </c>
      <c r="G4400" s="2">
        <v>201802</v>
      </c>
      <c r="H4400" s="2" t="s">
        <v>74</v>
      </c>
      <c r="I4400" s="2" t="s">
        <v>75</v>
      </c>
      <c r="J4400" s="2" t="s">
        <v>76</v>
      </c>
      <c r="K4400" s="2" t="s">
        <v>77</v>
      </c>
      <c r="L4400" s="2" t="s">
        <v>105</v>
      </c>
      <c r="M4400" s="2" t="s">
        <v>106</v>
      </c>
      <c r="N4400" s="2" t="s">
        <v>397</v>
      </c>
      <c r="O4400" s="2" t="s">
        <v>100</v>
      </c>
      <c r="P4400" s="2" t="str">
        <f>"2170583051                    "</f>
        <v xml:space="preserve">2170583051                    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0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4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0</v>
      </c>
      <c r="AU4400" s="2">
        <v>0</v>
      </c>
      <c r="AV4400" s="2">
        <v>0</v>
      </c>
      <c r="AW4400" s="2">
        <v>0</v>
      </c>
      <c r="AX4400" s="2">
        <v>0</v>
      </c>
      <c r="AY4400" s="2">
        <v>0</v>
      </c>
      <c r="AZ4400" s="2">
        <v>0</v>
      </c>
      <c r="BA4400" s="2">
        <v>0</v>
      </c>
      <c r="BB4400" s="2">
        <v>0</v>
      </c>
      <c r="BC4400" s="2">
        <v>0</v>
      </c>
      <c r="BD4400" s="2">
        <v>0</v>
      </c>
      <c r="BE4400" s="2">
        <v>0</v>
      </c>
      <c r="BF4400" s="2">
        <v>0</v>
      </c>
      <c r="BG4400" s="2">
        <v>0</v>
      </c>
      <c r="BH4400" s="2">
        <v>1</v>
      </c>
      <c r="BI4400" s="2">
        <v>1</v>
      </c>
      <c r="BJ4400" s="2">
        <v>0.2</v>
      </c>
      <c r="BK4400" s="2">
        <v>1</v>
      </c>
      <c r="BL4400" s="2">
        <v>41.44</v>
      </c>
      <c r="BM4400" s="2">
        <v>5.8</v>
      </c>
      <c r="BN4400" s="2">
        <v>47.24</v>
      </c>
      <c r="BO4400" s="2">
        <v>47.24</v>
      </c>
      <c r="BP4400" s="2"/>
      <c r="BQ4400" s="2" t="s">
        <v>83</v>
      </c>
      <c r="BR4400" s="2" t="s">
        <v>84</v>
      </c>
      <c r="BS4400" s="3">
        <v>42951</v>
      </c>
      <c r="BT4400" s="4">
        <v>0.37638888888888888</v>
      </c>
      <c r="BU4400" s="2" t="s">
        <v>3043</v>
      </c>
      <c r="BV4400" s="2" t="s">
        <v>95</v>
      </c>
      <c r="BW4400" s="2"/>
      <c r="BX4400" s="2"/>
      <c r="BY4400" s="2">
        <v>1200</v>
      </c>
      <c r="BZ4400" s="2" t="s">
        <v>27</v>
      </c>
      <c r="CA4400" s="2" t="s">
        <v>856</v>
      </c>
      <c r="CB4400" s="2"/>
      <c r="CC4400" s="2" t="s">
        <v>106</v>
      </c>
      <c r="CD4400" s="2">
        <v>7405</v>
      </c>
      <c r="CE4400" s="2" t="s">
        <v>104</v>
      </c>
      <c r="CF4400" s="5">
        <v>42951</v>
      </c>
      <c r="CG4400" s="2"/>
      <c r="CH4400" s="2"/>
      <c r="CI4400" s="2">
        <v>1</v>
      </c>
      <c r="CJ4400" s="2">
        <v>1</v>
      </c>
      <c r="CK4400" s="2">
        <v>21</v>
      </c>
      <c r="CL4400" s="2" t="s">
        <v>86</v>
      </c>
      <c r="CM4400" s="2"/>
    </row>
    <row r="4401" spans="1:91">
      <c r="A4401" s="2" t="s">
        <v>71</v>
      </c>
      <c r="B4401" s="2" t="s">
        <v>72</v>
      </c>
      <c r="C4401" s="2" t="s">
        <v>73</v>
      </c>
      <c r="D4401" s="2"/>
      <c r="E4401" s="2" t="str">
        <f>"FES1162566915"</f>
        <v>FES1162566915</v>
      </c>
      <c r="F4401" s="3">
        <v>42950</v>
      </c>
      <c r="G4401" s="2">
        <v>201802</v>
      </c>
      <c r="H4401" s="2" t="s">
        <v>74</v>
      </c>
      <c r="I4401" s="2" t="s">
        <v>75</v>
      </c>
      <c r="J4401" s="2" t="s">
        <v>76</v>
      </c>
      <c r="K4401" s="2" t="s">
        <v>77</v>
      </c>
      <c r="L4401" s="2" t="s">
        <v>105</v>
      </c>
      <c r="M4401" s="2" t="s">
        <v>106</v>
      </c>
      <c r="N4401" s="2" t="s">
        <v>705</v>
      </c>
      <c r="O4401" s="2" t="s">
        <v>100</v>
      </c>
      <c r="P4401" s="2" t="str">
        <f>"2170583161                    "</f>
        <v xml:space="preserve">2170583161                    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4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0</v>
      </c>
      <c r="AU4401" s="2">
        <v>0</v>
      </c>
      <c r="AV4401" s="2">
        <v>0</v>
      </c>
      <c r="AW4401" s="2">
        <v>0</v>
      </c>
      <c r="AX4401" s="2">
        <v>0</v>
      </c>
      <c r="AY4401" s="2">
        <v>0</v>
      </c>
      <c r="AZ4401" s="2">
        <v>0</v>
      </c>
      <c r="BA4401" s="2">
        <v>0</v>
      </c>
      <c r="BB4401" s="2">
        <v>0</v>
      </c>
      <c r="BC4401" s="2">
        <v>0</v>
      </c>
      <c r="BD4401" s="2">
        <v>0</v>
      </c>
      <c r="BE4401" s="2">
        <v>0</v>
      </c>
      <c r="BF4401" s="2">
        <v>0</v>
      </c>
      <c r="BG4401" s="2">
        <v>0</v>
      </c>
      <c r="BH4401" s="2">
        <v>1</v>
      </c>
      <c r="BI4401" s="2">
        <v>1</v>
      </c>
      <c r="BJ4401" s="2">
        <v>0.2</v>
      </c>
      <c r="BK4401" s="2">
        <v>1</v>
      </c>
      <c r="BL4401" s="2">
        <v>41.44</v>
      </c>
      <c r="BM4401" s="2">
        <v>5.8</v>
      </c>
      <c r="BN4401" s="2">
        <v>47.24</v>
      </c>
      <c r="BO4401" s="2">
        <v>47.24</v>
      </c>
      <c r="BP4401" s="2"/>
      <c r="BQ4401" s="2" t="s">
        <v>108</v>
      </c>
      <c r="BR4401" s="2" t="s">
        <v>84</v>
      </c>
      <c r="BS4401" s="3">
        <v>42951</v>
      </c>
      <c r="BT4401" s="4">
        <v>0.3756944444444445</v>
      </c>
      <c r="BU4401" s="2" t="s">
        <v>1690</v>
      </c>
      <c r="BV4401" s="2" t="s">
        <v>95</v>
      </c>
      <c r="BW4401" s="2"/>
      <c r="BX4401" s="2"/>
      <c r="BY4401" s="2">
        <v>1200</v>
      </c>
      <c r="BZ4401" s="2" t="s">
        <v>27</v>
      </c>
      <c r="CA4401" s="2" t="s">
        <v>488</v>
      </c>
      <c r="CB4401" s="2"/>
      <c r="CC4401" s="2" t="s">
        <v>106</v>
      </c>
      <c r="CD4401" s="2">
        <v>7441</v>
      </c>
      <c r="CE4401" s="2" t="s">
        <v>104</v>
      </c>
      <c r="CF4401" s="5">
        <v>42951</v>
      </c>
      <c r="CG4401" s="2"/>
      <c r="CH4401" s="2"/>
      <c r="CI4401" s="2">
        <v>1</v>
      </c>
      <c r="CJ4401" s="2">
        <v>1</v>
      </c>
      <c r="CK4401" s="2">
        <v>21</v>
      </c>
      <c r="CL4401" s="2" t="s">
        <v>86</v>
      </c>
      <c r="CM4401" s="2"/>
    </row>
    <row r="4402" spans="1:91">
      <c r="A4402" s="2" t="s">
        <v>71</v>
      </c>
      <c r="B4402" s="2" t="s">
        <v>72</v>
      </c>
      <c r="C4402" s="2" t="s">
        <v>73</v>
      </c>
      <c r="D4402" s="2"/>
      <c r="E4402" s="2" t="str">
        <f>"FES1162566795"</f>
        <v>FES1162566795</v>
      </c>
      <c r="F4402" s="3">
        <v>42950</v>
      </c>
      <c r="G4402" s="2">
        <v>201802</v>
      </c>
      <c r="H4402" s="2" t="s">
        <v>74</v>
      </c>
      <c r="I4402" s="2" t="s">
        <v>75</v>
      </c>
      <c r="J4402" s="2" t="s">
        <v>76</v>
      </c>
      <c r="K4402" s="2" t="s">
        <v>77</v>
      </c>
      <c r="L4402" s="2" t="s">
        <v>144</v>
      </c>
      <c r="M4402" s="2" t="s">
        <v>145</v>
      </c>
      <c r="N4402" s="2" t="s">
        <v>146</v>
      </c>
      <c r="O4402" s="2" t="s">
        <v>100</v>
      </c>
      <c r="P4402" s="2" t="str">
        <f>"2170583024                    "</f>
        <v xml:space="preserve">2170583024                    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2">
        <v>0</v>
      </c>
      <c r="AB4402" s="2">
        <v>0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3.13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0</v>
      </c>
      <c r="AU4402" s="2">
        <v>0</v>
      </c>
      <c r="AV4402" s="2">
        <v>0</v>
      </c>
      <c r="AW4402" s="2">
        <v>0</v>
      </c>
      <c r="AX4402" s="2">
        <v>0</v>
      </c>
      <c r="AY4402" s="2">
        <v>0</v>
      </c>
      <c r="AZ4402" s="2">
        <v>0</v>
      </c>
      <c r="BA4402" s="2">
        <v>0</v>
      </c>
      <c r="BB4402" s="2">
        <v>0</v>
      </c>
      <c r="BC4402" s="2">
        <v>0</v>
      </c>
      <c r="BD4402" s="2">
        <v>0</v>
      </c>
      <c r="BE4402" s="2">
        <v>0</v>
      </c>
      <c r="BF4402" s="2">
        <v>0</v>
      </c>
      <c r="BG4402" s="2">
        <v>0</v>
      </c>
      <c r="BH4402" s="2">
        <v>1</v>
      </c>
      <c r="BI4402" s="2">
        <v>1</v>
      </c>
      <c r="BJ4402" s="2">
        <v>0.2</v>
      </c>
      <c r="BK4402" s="2">
        <v>1</v>
      </c>
      <c r="BL4402" s="2">
        <v>32.380000000000003</v>
      </c>
      <c r="BM4402" s="2">
        <v>4.53</v>
      </c>
      <c r="BN4402" s="2">
        <v>36.909999999999997</v>
      </c>
      <c r="BO4402" s="2">
        <v>36.909999999999997</v>
      </c>
      <c r="BP4402" s="2"/>
      <c r="BQ4402" s="2" t="s">
        <v>83</v>
      </c>
      <c r="BR4402" s="2" t="s">
        <v>84</v>
      </c>
      <c r="BS4402" s="3">
        <v>42951</v>
      </c>
      <c r="BT4402" s="4">
        <v>0.38541666666666669</v>
      </c>
      <c r="BU4402" s="2" t="s">
        <v>469</v>
      </c>
      <c r="BV4402" s="2" t="s">
        <v>95</v>
      </c>
      <c r="BW4402" s="2"/>
      <c r="BX4402" s="2"/>
      <c r="BY4402" s="2">
        <v>1200</v>
      </c>
      <c r="BZ4402" s="2" t="s">
        <v>27</v>
      </c>
      <c r="CA4402" s="2"/>
      <c r="CB4402" s="2"/>
      <c r="CC4402" s="2" t="s">
        <v>145</v>
      </c>
      <c r="CD4402" s="2">
        <v>2094</v>
      </c>
      <c r="CE4402" s="2" t="s">
        <v>104</v>
      </c>
      <c r="CF4402" s="5">
        <v>42954</v>
      </c>
      <c r="CG4402" s="2"/>
      <c r="CH4402" s="2"/>
      <c r="CI4402" s="2">
        <v>1</v>
      </c>
      <c r="CJ4402" s="2">
        <v>1</v>
      </c>
      <c r="CK4402" s="2">
        <v>22</v>
      </c>
      <c r="CL4402" s="2" t="s">
        <v>86</v>
      </c>
      <c r="CM4402" s="2"/>
    </row>
    <row r="4403" spans="1:91">
      <c r="A4403" s="2" t="s">
        <v>71</v>
      </c>
      <c r="B4403" s="2" t="s">
        <v>72</v>
      </c>
      <c r="C4403" s="2" t="s">
        <v>73</v>
      </c>
      <c r="D4403" s="2"/>
      <c r="E4403" s="2" t="str">
        <f>"FES1162566875"</f>
        <v>FES1162566875</v>
      </c>
      <c r="F4403" s="3">
        <v>42950</v>
      </c>
      <c r="G4403" s="2">
        <v>201802</v>
      </c>
      <c r="H4403" s="2" t="s">
        <v>74</v>
      </c>
      <c r="I4403" s="2" t="s">
        <v>75</v>
      </c>
      <c r="J4403" s="2" t="s">
        <v>76</v>
      </c>
      <c r="K4403" s="2" t="s">
        <v>77</v>
      </c>
      <c r="L4403" s="2" t="s">
        <v>164</v>
      </c>
      <c r="M4403" s="2" t="s">
        <v>165</v>
      </c>
      <c r="N4403" s="2" t="s">
        <v>3750</v>
      </c>
      <c r="O4403" s="2" t="s">
        <v>100</v>
      </c>
      <c r="P4403" s="2" t="str">
        <f>"2170582123                    "</f>
        <v xml:space="preserve">2170582123                    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4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0</v>
      </c>
      <c r="AU4403" s="2">
        <v>0</v>
      </c>
      <c r="AV4403" s="2">
        <v>0</v>
      </c>
      <c r="AW4403" s="2">
        <v>0</v>
      </c>
      <c r="AX4403" s="2">
        <v>0</v>
      </c>
      <c r="AY4403" s="2">
        <v>0</v>
      </c>
      <c r="AZ4403" s="2">
        <v>0</v>
      </c>
      <c r="BA4403" s="2">
        <v>0</v>
      </c>
      <c r="BB4403" s="2">
        <v>0</v>
      </c>
      <c r="BC4403" s="2">
        <v>0</v>
      </c>
      <c r="BD4403" s="2">
        <v>0</v>
      </c>
      <c r="BE4403" s="2">
        <v>0</v>
      </c>
      <c r="BF4403" s="2">
        <v>0</v>
      </c>
      <c r="BG4403" s="2">
        <v>0</v>
      </c>
      <c r="BH4403" s="2">
        <v>1</v>
      </c>
      <c r="BI4403" s="2">
        <v>1</v>
      </c>
      <c r="BJ4403" s="2">
        <v>0.2</v>
      </c>
      <c r="BK4403" s="2">
        <v>1</v>
      </c>
      <c r="BL4403" s="2">
        <v>41.44</v>
      </c>
      <c r="BM4403" s="2">
        <v>5.8</v>
      </c>
      <c r="BN4403" s="2">
        <v>47.24</v>
      </c>
      <c r="BO4403" s="2">
        <v>47.24</v>
      </c>
      <c r="BP4403" s="2"/>
      <c r="BQ4403" s="2" t="s">
        <v>83</v>
      </c>
      <c r="BR4403" s="2" t="s">
        <v>84</v>
      </c>
      <c r="BS4403" s="3">
        <v>42951</v>
      </c>
      <c r="BT4403" s="4">
        <v>0.40763888888888888</v>
      </c>
      <c r="BU4403" s="2" t="s">
        <v>4010</v>
      </c>
      <c r="BV4403" s="2"/>
      <c r="BW4403" s="2"/>
      <c r="BX4403" s="2"/>
      <c r="BY4403" s="2">
        <v>1200</v>
      </c>
      <c r="BZ4403" s="2" t="s">
        <v>27</v>
      </c>
      <c r="CA4403" s="2" t="s">
        <v>2114</v>
      </c>
      <c r="CB4403" s="2"/>
      <c r="CC4403" s="2" t="s">
        <v>165</v>
      </c>
      <c r="CD4403" s="2">
        <v>6850</v>
      </c>
      <c r="CE4403" s="2" t="s">
        <v>104</v>
      </c>
      <c r="CF4403" s="5">
        <v>42951</v>
      </c>
      <c r="CG4403" s="2"/>
      <c r="CH4403" s="2"/>
      <c r="CI4403" s="2">
        <v>0</v>
      </c>
      <c r="CJ4403" s="2">
        <v>0</v>
      </c>
      <c r="CK4403" s="2">
        <v>21</v>
      </c>
      <c r="CL4403" s="2" t="s">
        <v>86</v>
      </c>
      <c r="CM4403" s="2"/>
    </row>
    <row r="4404" spans="1:91">
      <c r="A4404" s="2" t="s">
        <v>71</v>
      </c>
      <c r="B4404" s="2" t="s">
        <v>72</v>
      </c>
      <c r="C4404" s="2" t="s">
        <v>73</v>
      </c>
      <c r="D4404" s="2"/>
      <c r="E4404" s="2" t="str">
        <f>"FES1162566728"</f>
        <v>FES1162566728</v>
      </c>
      <c r="F4404" s="3">
        <v>42950</v>
      </c>
      <c r="G4404" s="2">
        <v>201802</v>
      </c>
      <c r="H4404" s="2" t="s">
        <v>74</v>
      </c>
      <c r="I4404" s="2" t="s">
        <v>75</v>
      </c>
      <c r="J4404" s="2" t="s">
        <v>76</v>
      </c>
      <c r="K4404" s="2" t="s">
        <v>77</v>
      </c>
      <c r="L4404" s="2" t="s">
        <v>105</v>
      </c>
      <c r="M4404" s="2" t="s">
        <v>106</v>
      </c>
      <c r="N4404" s="2" t="s">
        <v>851</v>
      </c>
      <c r="O4404" s="2" t="s">
        <v>100</v>
      </c>
      <c r="P4404" s="2" t="str">
        <f>"2170579742                    "</f>
        <v xml:space="preserve">2170579742                    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4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0</v>
      </c>
      <c r="AU4404" s="2">
        <v>0</v>
      </c>
      <c r="AV4404" s="2">
        <v>0</v>
      </c>
      <c r="AW4404" s="2">
        <v>0</v>
      </c>
      <c r="AX4404" s="2">
        <v>0</v>
      </c>
      <c r="AY4404" s="2">
        <v>0</v>
      </c>
      <c r="AZ4404" s="2">
        <v>0</v>
      </c>
      <c r="BA4404" s="2">
        <v>0</v>
      </c>
      <c r="BB4404" s="2">
        <v>0</v>
      </c>
      <c r="BC4404" s="2">
        <v>0</v>
      </c>
      <c r="BD4404" s="2">
        <v>0</v>
      </c>
      <c r="BE4404" s="2">
        <v>0</v>
      </c>
      <c r="BF4404" s="2">
        <v>0</v>
      </c>
      <c r="BG4404" s="2">
        <v>0</v>
      </c>
      <c r="BH4404" s="2">
        <v>1</v>
      </c>
      <c r="BI4404" s="2">
        <v>1</v>
      </c>
      <c r="BJ4404" s="2">
        <v>0.2</v>
      </c>
      <c r="BK4404" s="2">
        <v>1</v>
      </c>
      <c r="BL4404" s="2">
        <v>41.44</v>
      </c>
      <c r="BM4404" s="2">
        <v>5.8</v>
      </c>
      <c r="BN4404" s="2">
        <v>47.24</v>
      </c>
      <c r="BO4404" s="2">
        <v>47.24</v>
      </c>
      <c r="BP4404" s="2"/>
      <c r="BQ4404" s="2" t="s">
        <v>108</v>
      </c>
      <c r="BR4404" s="2" t="s">
        <v>84</v>
      </c>
      <c r="BS4404" s="3">
        <v>42951</v>
      </c>
      <c r="BT4404" s="4">
        <v>0.6777777777777777</v>
      </c>
      <c r="BU4404" s="2" t="s">
        <v>4011</v>
      </c>
      <c r="BV4404" s="2" t="s">
        <v>86</v>
      </c>
      <c r="BW4404" s="2"/>
      <c r="BX4404" s="2"/>
      <c r="BY4404" s="2">
        <v>1200</v>
      </c>
      <c r="BZ4404" s="2" t="s">
        <v>27</v>
      </c>
      <c r="CA4404" s="2" t="s">
        <v>648</v>
      </c>
      <c r="CB4404" s="2"/>
      <c r="CC4404" s="2" t="s">
        <v>106</v>
      </c>
      <c r="CD4404" s="2">
        <v>7800</v>
      </c>
      <c r="CE4404" s="2" t="s">
        <v>104</v>
      </c>
      <c r="CF4404" s="5">
        <v>42951</v>
      </c>
      <c r="CG4404" s="2"/>
      <c r="CH4404" s="2"/>
      <c r="CI4404" s="2">
        <v>1</v>
      </c>
      <c r="CJ4404" s="2">
        <v>1</v>
      </c>
      <c r="CK4404" s="2">
        <v>21</v>
      </c>
      <c r="CL4404" s="2" t="s">
        <v>86</v>
      </c>
      <c r="CM4404" s="2"/>
    </row>
    <row r="4405" spans="1:91">
      <c r="A4405" s="2" t="s">
        <v>71</v>
      </c>
      <c r="B4405" s="2" t="s">
        <v>72</v>
      </c>
      <c r="C4405" s="2" t="s">
        <v>73</v>
      </c>
      <c r="D4405" s="2"/>
      <c r="E4405" s="2" t="str">
        <f>"FES1162566966"</f>
        <v>FES1162566966</v>
      </c>
      <c r="F4405" s="3">
        <v>42950</v>
      </c>
      <c r="G4405" s="2">
        <v>201802</v>
      </c>
      <c r="H4405" s="2" t="s">
        <v>74</v>
      </c>
      <c r="I4405" s="2" t="s">
        <v>75</v>
      </c>
      <c r="J4405" s="2" t="s">
        <v>76</v>
      </c>
      <c r="K4405" s="2" t="s">
        <v>77</v>
      </c>
      <c r="L4405" s="2" t="s">
        <v>321</v>
      </c>
      <c r="M4405" s="2" t="s">
        <v>322</v>
      </c>
      <c r="N4405" s="2" t="s">
        <v>323</v>
      </c>
      <c r="O4405" s="2" t="s">
        <v>100</v>
      </c>
      <c r="P4405" s="2" t="str">
        <f>"2170583219                    "</f>
        <v xml:space="preserve">2170583219                    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4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0</v>
      </c>
      <c r="AU4405" s="2">
        <v>0</v>
      </c>
      <c r="AV4405" s="2">
        <v>0</v>
      </c>
      <c r="AW4405" s="2">
        <v>0</v>
      </c>
      <c r="AX4405" s="2">
        <v>0</v>
      </c>
      <c r="AY4405" s="2">
        <v>0</v>
      </c>
      <c r="AZ4405" s="2">
        <v>0</v>
      </c>
      <c r="BA4405" s="2">
        <v>0</v>
      </c>
      <c r="BB4405" s="2">
        <v>0</v>
      </c>
      <c r="BC4405" s="2">
        <v>0</v>
      </c>
      <c r="BD4405" s="2">
        <v>0</v>
      </c>
      <c r="BE4405" s="2">
        <v>0</v>
      </c>
      <c r="BF4405" s="2">
        <v>0</v>
      </c>
      <c r="BG4405" s="2">
        <v>0</v>
      </c>
      <c r="BH4405" s="2">
        <v>1</v>
      </c>
      <c r="BI4405" s="2">
        <v>1</v>
      </c>
      <c r="BJ4405" s="2">
        <v>0.2</v>
      </c>
      <c r="BK4405" s="2">
        <v>1</v>
      </c>
      <c r="BL4405" s="2">
        <v>41.44</v>
      </c>
      <c r="BM4405" s="2">
        <v>5.8</v>
      </c>
      <c r="BN4405" s="2">
        <v>47.24</v>
      </c>
      <c r="BO4405" s="2">
        <v>47.24</v>
      </c>
      <c r="BP4405" s="2"/>
      <c r="BQ4405" s="2" t="s">
        <v>83</v>
      </c>
      <c r="BR4405" s="2" t="s">
        <v>84</v>
      </c>
      <c r="BS4405" s="3">
        <v>42951</v>
      </c>
      <c r="BT4405" s="4">
        <v>0.38194444444444442</v>
      </c>
      <c r="BU4405" s="2" t="s">
        <v>324</v>
      </c>
      <c r="BV4405" s="2" t="s">
        <v>95</v>
      </c>
      <c r="BW4405" s="2"/>
      <c r="BX4405" s="2"/>
      <c r="BY4405" s="2">
        <v>1200</v>
      </c>
      <c r="BZ4405" s="2" t="s">
        <v>27</v>
      </c>
      <c r="CA4405" s="2" t="s">
        <v>103</v>
      </c>
      <c r="CB4405" s="2"/>
      <c r="CC4405" s="2" t="s">
        <v>322</v>
      </c>
      <c r="CD4405" s="2">
        <v>6220</v>
      </c>
      <c r="CE4405" s="2" t="s">
        <v>104</v>
      </c>
      <c r="CF4405" s="5">
        <v>42954</v>
      </c>
      <c r="CG4405" s="2"/>
      <c r="CH4405" s="2"/>
      <c r="CI4405" s="2">
        <v>1</v>
      </c>
      <c r="CJ4405" s="2">
        <v>1</v>
      </c>
      <c r="CK4405" s="2">
        <v>21</v>
      </c>
      <c r="CL4405" s="2" t="s">
        <v>86</v>
      </c>
      <c r="CM4405" s="2"/>
    </row>
    <row r="4406" spans="1:91">
      <c r="A4406" s="2" t="s">
        <v>71</v>
      </c>
      <c r="B4406" s="2" t="s">
        <v>72</v>
      </c>
      <c r="C4406" s="2" t="s">
        <v>73</v>
      </c>
      <c r="D4406" s="2"/>
      <c r="E4406" s="2" t="str">
        <f>"FES1162566767"</f>
        <v>FES1162566767</v>
      </c>
      <c r="F4406" s="3">
        <v>42950</v>
      </c>
      <c r="G4406" s="2">
        <v>201802</v>
      </c>
      <c r="H4406" s="2" t="s">
        <v>74</v>
      </c>
      <c r="I4406" s="2" t="s">
        <v>75</v>
      </c>
      <c r="J4406" s="2" t="s">
        <v>76</v>
      </c>
      <c r="K4406" s="2" t="s">
        <v>77</v>
      </c>
      <c r="L4406" s="2" t="s">
        <v>170</v>
      </c>
      <c r="M4406" s="2" t="s">
        <v>171</v>
      </c>
      <c r="N4406" s="2" t="s">
        <v>821</v>
      </c>
      <c r="O4406" s="2" t="s">
        <v>100</v>
      </c>
      <c r="P4406" s="2" t="str">
        <f>"2170580853                    "</f>
        <v xml:space="preserve">2170580853                    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3.13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0</v>
      </c>
      <c r="AU4406" s="2">
        <v>0</v>
      </c>
      <c r="AV4406" s="2">
        <v>0</v>
      </c>
      <c r="AW4406" s="2">
        <v>0</v>
      </c>
      <c r="AX4406" s="2">
        <v>0</v>
      </c>
      <c r="AY4406" s="2">
        <v>0</v>
      </c>
      <c r="AZ4406" s="2">
        <v>0</v>
      </c>
      <c r="BA4406" s="2">
        <v>0</v>
      </c>
      <c r="BB4406" s="2">
        <v>0</v>
      </c>
      <c r="BC4406" s="2">
        <v>0</v>
      </c>
      <c r="BD4406" s="2">
        <v>0</v>
      </c>
      <c r="BE4406" s="2">
        <v>0</v>
      </c>
      <c r="BF4406" s="2">
        <v>0</v>
      </c>
      <c r="BG4406" s="2">
        <v>0</v>
      </c>
      <c r="BH4406" s="2">
        <v>1</v>
      </c>
      <c r="BI4406" s="2">
        <v>1</v>
      </c>
      <c r="BJ4406" s="2">
        <v>0.2</v>
      </c>
      <c r="BK4406" s="2">
        <v>1</v>
      </c>
      <c r="BL4406" s="2">
        <v>32.380000000000003</v>
      </c>
      <c r="BM4406" s="2">
        <v>4.53</v>
      </c>
      <c r="BN4406" s="2">
        <v>36.909999999999997</v>
      </c>
      <c r="BO4406" s="2">
        <v>36.909999999999997</v>
      </c>
      <c r="BP4406" s="2"/>
      <c r="BQ4406" s="2" t="s">
        <v>1216</v>
      </c>
      <c r="BR4406" s="2" t="s">
        <v>84</v>
      </c>
      <c r="BS4406" s="3">
        <v>42951</v>
      </c>
      <c r="BT4406" s="4">
        <v>0.65972222222222221</v>
      </c>
      <c r="BU4406" s="2" t="s">
        <v>719</v>
      </c>
      <c r="BV4406" s="2" t="s">
        <v>86</v>
      </c>
      <c r="BW4406" s="2"/>
      <c r="BX4406" s="2"/>
      <c r="BY4406" s="2">
        <v>1200</v>
      </c>
      <c r="BZ4406" s="2" t="s">
        <v>27</v>
      </c>
      <c r="CA4406" s="2" t="s">
        <v>492</v>
      </c>
      <c r="CB4406" s="2"/>
      <c r="CC4406" s="2" t="s">
        <v>171</v>
      </c>
      <c r="CD4406" s="2">
        <v>1422</v>
      </c>
      <c r="CE4406" s="2" t="s">
        <v>104</v>
      </c>
      <c r="CF4406" s="5">
        <v>42951</v>
      </c>
      <c r="CG4406" s="2"/>
      <c r="CH4406" s="2"/>
      <c r="CI4406" s="2">
        <v>1</v>
      </c>
      <c r="CJ4406" s="2">
        <v>1</v>
      </c>
      <c r="CK4406" s="2">
        <v>22</v>
      </c>
      <c r="CL4406" s="2" t="s">
        <v>86</v>
      </c>
      <c r="CM4406" s="2"/>
    </row>
    <row r="4407" spans="1:91">
      <c r="A4407" s="2" t="s">
        <v>71</v>
      </c>
      <c r="B4407" s="2" t="s">
        <v>72</v>
      </c>
      <c r="C4407" s="2" t="s">
        <v>73</v>
      </c>
      <c r="D4407" s="2"/>
      <c r="E4407" s="2" t="str">
        <f>"FES1162566671"</f>
        <v>FES1162566671</v>
      </c>
      <c r="F4407" s="3">
        <v>42950</v>
      </c>
      <c r="G4407" s="2">
        <v>201802</v>
      </c>
      <c r="H4407" s="2" t="s">
        <v>74</v>
      </c>
      <c r="I4407" s="2" t="s">
        <v>75</v>
      </c>
      <c r="J4407" s="2" t="s">
        <v>76</v>
      </c>
      <c r="K4407" s="2" t="s">
        <v>77</v>
      </c>
      <c r="L4407" s="2" t="s">
        <v>244</v>
      </c>
      <c r="M4407" s="2" t="s">
        <v>245</v>
      </c>
      <c r="N4407" s="2" t="s">
        <v>246</v>
      </c>
      <c r="O4407" s="2" t="s">
        <v>100</v>
      </c>
      <c r="P4407" s="2" t="str">
        <f>"2170582698                    "</f>
        <v xml:space="preserve">2170582698                    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3.13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0</v>
      </c>
      <c r="AU4407" s="2">
        <v>0</v>
      </c>
      <c r="AV4407" s="2">
        <v>0</v>
      </c>
      <c r="AW4407" s="2">
        <v>0</v>
      </c>
      <c r="AX4407" s="2">
        <v>0</v>
      </c>
      <c r="AY4407" s="2">
        <v>0</v>
      </c>
      <c r="AZ4407" s="2">
        <v>0</v>
      </c>
      <c r="BA4407" s="2">
        <v>0</v>
      </c>
      <c r="BB4407" s="2">
        <v>0</v>
      </c>
      <c r="BC4407" s="2">
        <v>0</v>
      </c>
      <c r="BD4407" s="2">
        <v>0</v>
      </c>
      <c r="BE4407" s="2">
        <v>0</v>
      </c>
      <c r="BF4407" s="2">
        <v>0</v>
      </c>
      <c r="BG4407" s="2">
        <v>0</v>
      </c>
      <c r="BH4407" s="2">
        <v>1</v>
      </c>
      <c r="BI4407" s="2">
        <v>1</v>
      </c>
      <c r="BJ4407" s="2">
        <v>0.2</v>
      </c>
      <c r="BK4407" s="2">
        <v>1</v>
      </c>
      <c r="BL4407" s="2">
        <v>32.380000000000003</v>
      </c>
      <c r="BM4407" s="2">
        <v>4.53</v>
      </c>
      <c r="BN4407" s="2">
        <v>36.909999999999997</v>
      </c>
      <c r="BO4407" s="2">
        <v>36.909999999999997</v>
      </c>
      <c r="BP4407" s="2"/>
      <c r="BQ4407" s="2" t="s">
        <v>209</v>
      </c>
      <c r="BR4407" s="2" t="s">
        <v>84</v>
      </c>
      <c r="BS4407" s="3">
        <v>42955</v>
      </c>
      <c r="BT4407" s="4">
        <v>0.375</v>
      </c>
      <c r="BU4407" s="2" t="s">
        <v>4012</v>
      </c>
      <c r="BV4407" s="2" t="s">
        <v>86</v>
      </c>
      <c r="BW4407" s="2" t="s">
        <v>548</v>
      </c>
      <c r="BX4407" s="2" t="s">
        <v>1452</v>
      </c>
      <c r="BY4407" s="2">
        <v>1200</v>
      </c>
      <c r="BZ4407" s="2" t="s">
        <v>27</v>
      </c>
      <c r="CA4407" s="2" t="s">
        <v>550</v>
      </c>
      <c r="CB4407" s="2"/>
      <c r="CC4407" s="2" t="s">
        <v>245</v>
      </c>
      <c r="CD4407" s="2">
        <v>1459</v>
      </c>
      <c r="CE4407" s="2" t="s">
        <v>104</v>
      </c>
      <c r="CF4407" s="2"/>
      <c r="CG4407" s="2"/>
      <c r="CH4407" s="2"/>
      <c r="CI4407" s="2">
        <v>1</v>
      </c>
      <c r="CJ4407" s="2">
        <v>3</v>
      </c>
      <c r="CK4407" s="2">
        <v>22</v>
      </c>
      <c r="CL4407" s="2" t="s">
        <v>86</v>
      </c>
      <c r="CM4407" s="2"/>
    </row>
    <row r="4408" spans="1:91">
      <c r="A4408" s="2" t="s">
        <v>71</v>
      </c>
      <c r="B4408" s="2" t="s">
        <v>72</v>
      </c>
      <c r="C4408" s="2" t="s">
        <v>73</v>
      </c>
      <c r="D4408" s="2"/>
      <c r="E4408" s="2" t="str">
        <f>"FES1162566571"</f>
        <v>FES1162566571</v>
      </c>
      <c r="F4408" s="3">
        <v>42950</v>
      </c>
      <c r="G4408" s="2">
        <v>201802</v>
      </c>
      <c r="H4408" s="2" t="s">
        <v>74</v>
      </c>
      <c r="I4408" s="2" t="s">
        <v>75</v>
      </c>
      <c r="J4408" s="2" t="s">
        <v>76</v>
      </c>
      <c r="K4408" s="2" t="s">
        <v>77</v>
      </c>
      <c r="L4408" s="2" t="s">
        <v>144</v>
      </c>
      <c r="M4408" s="2" t="s">
        <v>145</v>
      </c>
      <c r="N4408" s="2" t="s">
        <v>146</v>
      </c>
      <c r="O4408" s="2" t="s">
        <v>100</v>
      </c>
      <c r="P4408" s="2" t="str">
        <f>"2170582922                    "</f>
        <v xml:space="preserve">2170582922                    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2">
        <v>0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3.13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0</v>
      </c>
      <c r="AU4408" s="2">
        <v>0</v>
      </c>
      <c r="AV4408" s="2">
        <v>0</v>
      </c>
      <c r="AW4408" s="2">
        <v>0</v>
      </c>
      <c r="AX4408" s="2">
        <v>0</v>
      </c>
      <c r="AY4408" s="2">
        <v>0</v>
      </c>
      <c r="AZ4408" s="2">
        <v>0</v>
      </c>
      <c r="BA4408" s="2">
        <v>0</v>
      </c>
      <c r="BB4408" s="2">
        <v>0</v>
      </c>
      <c r="BC4408" s="2">
        <v>0</v>
      </c>
      <c r="BD4408" s="2">
        <v>0</v>
      </c>
      <c r="BE4408" s="2">
        <v>0</v>
      </c>
      <c r="BF4408" s="2">
        <v>0</v>
      </c>
      <c r="BG4408" s="2">
        <v>0</v>
      </c>
      <c r="BH4408" s="2">
        <v>1</v>
      </c>
      <c r="BI4408" s="2">
        <v>4.5</v>
      </c>
      <c r="BJ4408" s="2">
        <v>1.4</v>
      </c>
      <c r="BK4408" s="2">
        <v>5</v>
      </c>
      <c r="BL4408" s="2">
        <v>32.380000000000003</v>
      </c>
      <c r="BM4408" s="2">
        <v>4.53</v>
      </c>
      <c r="BN4408" s="2">
        <v>36.909999999999997</v>
      </c>
      <c r="BO4408" s="2">
        <v>36.909999999999997</v>
      </c>
      <c r="BP4408" s="2"/>
      <c r="BQ4408" s="2" t="s">
        <v>83</v>
      </c>
      <c r="BR4408" s="2" t="s">
        <v>84</v>
      </c>
      <c r="BS4408" s="3">
        <v>42951</v>
      </c>
      <c r="BT4408" s="4">
        <v>0.38541666666666669</v>
      </c>
      <c r="BU4408" s="2" t="s">
        <v>469</v>
      </c>
      <c r="BV4408" s="2" t="s">
        <v>95</v>
      </c>
      <c r="BW4408" s="2"/>
      <c r="BX4408" s="2"/>
      <c r="BY4408" s="2">
        <v>7021.72</v>
      </c>
      <c r="BZ4408" s="2" t="s">
        <v>27</v>
      </c>
      <c r="CA4408" s="2"/>
      <c r="CB4408" s="2"/>
      <c r="CC4408" s="2" t="s">
        <v>145</v>
      </c>
      <c r="CD4408" s="2">
        <v>2094</v>
      </c>
      <c r="CE4408" s="2" t="s">
        <v>89</v>
      </c>
      <c r="CF4408" s="5">
        <v>42954</v>
      </c>
      <c r="CG4408" s="2"/>
      <c r="CH4408" s="2"/>
      <c r="CI4408" s="2">
        <v>1</v>
      </c>
      <c r="CJ4408" s="2">
        <v>1</v>
      </c>
      <c r="CK4408" s="2">
        <v>22</v>
      </c>
      <c r="CL4408" s="2" t="s">
        <v>86</v>
      </c>
      <c r="CM4408" s="2"/>
    </row>
    <row r="4409" spans="1:91">
      <c r="A4409" s="2" t="s">
        <v>71</v>
      </c>
      <c r="B4409" s="2" t="s">
        <v>72</v>
      </c>
      <c r="C4409" s="2" t="s">
        <v>73</v>
      </c>
      <c r="D4409" s="2"/>
      <c r="E4409" s="2" t="str">
        <f>"FES1162566821"</f>
        <v>FES1162566821</v>
      </c>
      <c r="F4409" s="3">
        <v>42950</v>
      </c>
      <c r="G4409" s="2">
        <v>201802</v>
      </c>
      <c r="H4409" s="2" t="s">
        <v>74</v>
      </c>
      <c r="I4409" s="2" t="s">
        <v>75</v>
      </c>
      <c r="J4409" s="2" t="s">
        <v>76</v>
      </c>
      <c r="K4409" s="2" t="s">
        <v>77</v>
      </c>
      <c r="L4409" s="2" t="s">
        <v>144</v>
      </c>
      <c r="M4409" s="2" t="s">
        <v>145</v>
      </c>
      <c r="N4409" s="2" t="s">
        <v>146</v>
      </c>
      <c r="O4409" s="2" t="s">
        <v>100</v>
      </c>
      <c r="P4409" s="2" t="str">
        <f>"2170583055                    "</f>
        <v xml:space="preserve">2170583055                    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3.13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0</v>
      </c>
      <c r="AU4409" s="2">
        <v>0</v>
      </c>
      <c r="AV4409" s="2">
        <v>0</v>
      </c>
      <c r="AW4409" s="2">
        <v>0</v>
      </c>
      <c r="AX4409" s="2">
        <v>0</v>
      </c>
      <c r="AY4409" s="2">
        <v>0</v>
      </c>
      <c r="AZ4409" s="2">
        <v>0</v>
      </c>
      <c r="BA4409" s="2">
        <v>0</v>
      </c>
      <c r="BB4409" s="2">
        <v>0</v>
      </c>
      <c r="BC4409" s="2">
        <v>0</v>
      </c>
      <c r="BD4409" s="2">
        <v>0</v>
      </c>
      <c r="BE4409" s="2">
        <v>0</v>
      </c>
      <c r="BF4409" s="2">
        <v>0</v>
      </c>
      <c r="BG4409" s="2">
        <v>0</v>
      </c>
      <c r="BH4409" s="2">
        <v>1</v>
      </c>
      <c r="BI4409" s="2">
        <v>1</v>
      </c>
      <c r="BJ4409" s="2">
        <v>0.2</v>
      </c>
      <c r="BK4409" s="2">
        <v>1</v>
      </c>
      <c r="BL4409" s="2">
        <v>32.380000000000003</v>
      </c>
      <c r="BM4409" s="2">
        <v>4.53</v>
      </c>
      <c r="BN4409" s="2">
        <v>36.909999999999997</v>
      </c>
      <c r="BO4409" s="2">
        <v>36.909999999999997</v>
      </c>
      <c r="BP4409" s="2"/>
      <c r="BQ4409" s="2" t="s">
        <v>83</v>
      </c>
      <c r="BR4409" s="2" t="s">
        <v>84</v>
      </c>
      <c r="BS4409" s="3">
        <v>42951</v>
      </c>
      <c r="BT4409" s="4">
        <v>0.38541666666666669</v>
      </c>
      <c r="BU4409" s="2" t="s">
        <v>469</v>
      </c>
      <c r="BV4409" s="2" t="s">
        <v>95</v>
      </c>
      <c r="BW4409" s="2"/>
      <c r="BX4409" s="2"/>
      <c r="BY4409" s="2">
        <v>1200</v>
      </c>
      <c r="BZ4409" s="2" t="s">
        <v>27</v>
      </c>
      <c r="CA4409" s="2"/>
      <c r="CB4409" s="2"/>
      <c r="CC4409" s="2" t="s">
        <v>145</v>
      </c>
      <c r="CD4409" s="2">
        <v>2094</v>
      </c>
      <c r="CE4409" s="2" t="s">
        <v>104</v>
      </c>
      <c r="CF4409" s="5">
        <v>42954</v>
      </c>
      <c r="CG4409" s="2"/>
      <c r="CH4409" s="2"/>
      <c r="CI4409" s="2">
        <v>1</v>
      </c>
      <c r="CJ4409" s="2">
        <v>1</v>
      </c>
      <c r="CK4409" s="2">
        <v>22</v>
      </c>
      <c r="CL4409" s="2" t="s">
        <v>86</v>
      </c>
      <c r="CM4409" s="2"/>
    </row>
    <row r="4410" spans="1:91">
      <c r="A4410" s="2" t="s">
        <v>71</v>
      </c>
      <c r="B4410" s="2" t="s">
        <v>72</v>
      </c>
      <c r="C4410" s="2" t="s">
        <v>73</v>
      </c>
      <c r="D4410" s="2"/>
      <c r="E4410" s="2" t="str">
        <f>"FES1162566685"</f>
        <v>FES1162566685</v>
      </c>
      <c r="F4410" s="3">
        <v>42950</v>
      </c>
      <c r="G4410" s="2">
        <v>201802</v>
      </c>
      <c r="H4410" s="2" t="s">
        <v>74</v>
      </c>
      <c r="I4410" s="2" t="s">
        <v>75</v>
      </c>
      <c r="J4410" s="2" t="s">
        <v>76</v>
      </c>
      <c r="K4410" s="2" t="s">
        <v>77</v>
      </c>
      <c r="L4410" s="2" t="s">
        <v>362</v>
      </c>
      <c r="M4410" s="2" t="s">
        <v>363</v>
      </c>
      <c r="N4410" s="2" t="s">
        <v>683</v>
      </c>
      <c r="O4410" s="2" t="s">
        <v>100</v>
      </c>
      <c r="P4410" s="2" t="str">
        <f>"21705874783                   "</f>
        <v xml:space="preserve">21705874783                   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2">
        <v>0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4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0</v>
      </c>
      <c r="AU4410" s="2">
        <v>0</v>
      </c>
      <c r="AV4410" s="2">
        <v>0</v>
      </c>
      <c r="AW4410" s="2">
        <v>0</v>
      </c>
      <c r="AX4410" s="2">
        <v>0</v>
      </c>
      <c r="AY4410" s="2">
        <v>0</v>
      </c>
      <c r="AZ4410" s="2">
        <v>0</v>
      </c>
      <c r="BA4410" s="2">
        <v>0</v>
      </c>
      <c r="BB4410" s="2">
        <v>0</v>
      </c>
      <c r="BC4410" s="2">
        <v>0</v>
      </c>
      <c r="BD4410" s="2">
        <v>0</v>
      </c>
      <c r="BE4410" s="2">
        <v>0</v>
      </c>
      <c r="BF4410" s="2">
        <v>0</v>
      </c>
      <c r="BG4410" s="2">
        <v>0</v>
      </c>
      <c r="BH4410" s="2">
        <v>1</v>
      </c>
      <c r="BI4410" s="2">
        <v>1</v>
      </c>
      <c r="BJ4410" s="2">
        <v>0.2</v>
      </c>
      <c r="BK4410" s="2">
        <v>1</v>
      </c>
      <c r="BL4410" s="2">
        <v>41.44</v>
      </c>
      <c r="BM4410" s="2">
        <v>5.8</v>
      </c>
      <c r="BN4410" s="2">
        <v>47.24</v>
      </c>
      <c r="BO4410" s="2">
        <v>47.24</v>
      </c>
      <c r="BP4410" s="2"/>
      <c r="BQ4410" s="2" t="s">
        <v>108</v>
      </c>
      <c r="BR4410" s="2" t="s">
        <v>84</v>
      </c>
      <c r="BS4410" s="3">
        <v>42951</v>
      </c>
      <c r="BT4410" s="4">
        <v>0.4375</v>
      </c>
      <c r="BU4410" s="2" t="s">
        <v>805</v>
      </c>
      <c r="BV4410" s="2" t="s">
        <v>95</v>
      </c>
      <c r="BW4410" s="2"/>
      <c r="BX4410" s="2"/>
      <c r="BY4410" s="2">
        <v>1200</v>
      </c>
      <c r="BZ4410" s="2" t="s">
        <v>27</v>
      </c>
      <c r="CA4410" s="2"/>
      <c r="CB4410" s="2"/>
      <c r="CC4410" s="2" t="s">
        <v>363</v>
      </c>
      <c r="CD4410" s="2">
        <v>3201</v>
      </c>
      <c r="CE4410" s="2" t="s">
        <v>104</v>
      </c>
      <c r="CF4410" s="5">
        <v>42954</v>
      </c>
      <c r="CG4410" s="2"/>
      <c r="CH4410" s="2"/>
      <c r="CI4410" s="2">
        <v>1</v>
      </c>
      <c r="CJ4410" s="2">
        <v>1</v>
      </c>
      <c r="CK4410" s="2">
        <v>21</v>
      </c>
      <c r="CL4410" s="2" t="s">
        <v>86</v>
      </c>
      <c r="CM4410" s="2"/>
    </row>
    <row r="4411" spans="1:91">
      <c r="A4411" s="2" t="s">
        <v>71</v>
      </c>
      <c r="B4411" s="2" t="s">
        <v>72</v>
      </c>
      <c r="C4411" s="2" t="s">
        <v>73</v>
      </c>
      <c r="D4411" s="2"/>
      <c r="E4411" s="2" t="str">
        <f>"FES1162566887"</f>
        <v>FES1162566887</v>
      </c>
      <c r="F4411" s="3">
        <v>42950</v>
      </c>
      <c r="G4411" s="2">
        <v>201802</v>
      </c>
      <c r="H4411" s="2" t="s">
        <v>74</v>
      </c>
      <c r="I4411" s="2" t="s">
        <v>75</v>
      </c>
      <c r="J4411" s="2" t="s">
        <v>76</v>
      </c>
      <c r="K4411" s="2" t="s">
        <v>77</v>
      </c>
      <c r="L4411" s="2" t="s">
        <v>710</v>
      </c>
      <c r="M4411" s="2" t="s">
        <v>711</v>
      </c>
      <c r="N4411" s="2" t="s">
        <v>3317</v>
      </c>
      <c r="O4411" s="2" t="s">
        <v>100</v>
      </c>
      <c r="P4411" s="2" t="str">
        <f>"2170582163                    "</f>
        <v xml:space="preserve">2170582163                    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7.75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0</v>
      </c>
      <c r="AU4411" s="2">
        <v>0</v>
      </c>
      <c r="AV4411" s="2">
        <v>0</v>
      </c>
      <c r="AW4411" s="2">
        <v>0</v>
      </c>
      <c r="AX4411" s="2">
        <v>0</v>
      </c>
      <c r="AY4411" s="2">
        <v>0</v>
      </c>
      <c r="AZ4411" s="2">
        <v>0</v>
      </c>
      <c r="BA4411" s="2">
        <v>0</v>
      </c>
      <c r="BB4411" s="2">
        <v>0</v>
      </c>
      <c r="BC4411" s="2">
        <v>0</v>
      </c>
      <c r="BD4411" s="2">
        <v>0</v>
      </c>
      <c r="BE4411" s="2">
        <v>0</v>
      </c>
      <c r="BF4411" s="2">
        <v>0</v>
      </c>
      <c r="BG4411" s="2">
        <v>0</v>
      </c>
      <c r="BH4411" s="2">
        <v>1</v>
      </c>
      <c r="BI4411" s="2">
        <v>1</v>
      </c>
      <c r="BJ4411" s="2">
        <v>0.2</v>
      </c>
      <c r="BK4411" s="2">
        <v>1</v>
      </c>
      <c r="BL4411" s="2">
        <v>80.290000000000006</v>
      </c>
      <c r="BM4411" s="2">
        <v>11.24</v>
      </c>
      <c r="BN4411" s="2">
        <v>91.53</v>
      </c>
      <c r="BO4411" s="2">
        <v>91.53</v>
      </c>
      <c r="BP4411" s="2"/>
      <c r="BQ4411" s="2" t="s">
        <v>83</v>
      </c>
      <c r="BR4411" s="2" t="s">
        <v>84</v>
      </c>
      <c r="BS4411" s="3">
        <v>42951</v>
      </c>
      <c r="BT4411" s="4">
        <v>0.47500000000000003</v>
      </c>
      <c r="BU4411" s="2" t="s">
        <v>3318</v>
      </c>
      <c r="BV4411" s="2" t="s">
        <v>95</v>
      </c>
      <c r="BW4411" s="2"/>
      <c r="BX4411" s="2"/>
      <c r="BY4411" s="2">
        <v>1200</v>
      </c>
      <c r="BZ4411" s="2" t="s">
        <v>27</v>
      </c>
      <c r="CA4411" s="2"/>
      <c r="CB4411" s="2"/>
      <c r="CC4411" s="2" t="s">
        <v>711</v>
      </c>
      <c r="CD4411" s="2">
        <v>4339</v>
      </c>
      <c r="CE4411" s="2" t="s">
        <v>104</v>
      </c>
      <c r="CF4411" s="5">
        <v>42954</v>
      </c>
      <c r="CG4411" s="2"/>
      <c r="CH4411" s="2"/>
      <c r="CI4411" s="2">
        <v>1</v>
      </c>
      <c r="CJ4411" s="2">
        <v>1</v>
      </c>
      <c r="CK4411" s="2">
        <v>23</v>
      </c>
      <c r="CL4411" s="2" t="s">
        <v>86</v>
      </c>
      <c r="CM4411" s="2"/>
    </row>
    <row r="4412" spans="1:91">
      <c r="A4412" s="2" t="s">
        <v>71</v>
      </c>
      <c r="B4412" s="2" t="s">
        <v>72</v>
      </c>
      <c r="C4412" s="2" t="s">
        <v>73</v>
      </c>
      <c r="D4412" s="2"/>
      <c r="E4412" s="2" t="str">
        <f>"FES1162566624"</f>
        <v>FES1162566624</v>
      </c>
      <c r="F4412" s="3">
        <v>42950</v>
      </c>
      <c r="G4412" s="2">
        <v>201802</v>
      </c>
      <c r="H4412" s="2" t="s">
        <v>74</v>
      </c>
      <c r="I4412" s="2" t="s">
        <v>75</v>
      </c>
      <c r="J4412" s="2" t="s">
        <v>76</v>
      </c>
      <c r="K4412" s="2" t="s">
        <v>77</v>
      </c>
      <c r="L4412" s="2" t="s">
        <v>149</v>
      </c>
      <c r="M4412" s="2" t="s">
        <v>150</v>
      </c>
      <c r="N4412" s="2" t="s">
        <v>372</v>
      </c>
      <c r="O4412" s="2" t="s">
        <v>100</v>
      </c>
      <c r="P4412" s="2" t="str">
        <f>"2170582607                    "</f>
        <v xml:space="preserve">2170582607                    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  <c r="Y4412" s="2">
        <v>0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4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0</v>
      </c>
      <c r="AU4412" s="2">
        <v>0</v>
      </c>
      <c r="AV4412" s="2">
        <v>0</v>
      </c>
      <c r="AW4412" s="2">
        <v>0</v>
      </c>
      <c r="AX4412" s="2">
        <v>0</v>
      </c>
      <c r="AY4412" s="2">
        <v>0</v>
      </c>
      <c r="AZ4412" s="2">
        <v>0</v>
      </c>
      <c r="BA4412" s="2">
        <v>0</v>
      </c>
      <c r="BB4412" s="2">
        <v>0</v>
      </c>
      <c r="BC4412" s="2">
        <v>0</v>
      </c>
      <c r="BD4412" s="2">
        <v>0</v>
      </c>
      <c r="BE4412" s="2">
        <v>0</v>
      </c>
      <c r="BF4412" s="2">
        <v>0</v>
      </c>
      <c r="BG4412" s="2">
        <v>0</v>
      </c>
      <c r="BH4412" s="2">
        <v>1</v>
      </c>
      <c r="BI4412" s="2">
        <v>1</v>
      </c>
      <c r="BJ4412" s="2">
        <v>0.2</v>
      </c>
      <c r="BK4412" s="2">
        <v>1</v>
      </c>
      <c r="BL4412" s="2">
        <v>41.44</v>
      </c>
      <c r="BM4412" s="2">
        <v>5.8</v>
      </c>
      <c r="BN4412" s="2">
        <v>47.24</v>
      </c>
      <c r="BO4412" s="2">
        <v>47.24</v>
      </c>
      <c r="BP4412" s="2"/>
      <c r="BQ4412" s="2" t="s">
        <v>83</v>
      </c>
      <c r="BR4412" s="2" t="s">
        <v>84</v>
      </c>
      <c r="BS4412" s="3">
        <v>42951</v>
      </c>
      <c r="BT4412" s="4">
        <v>0.3444444444444445</v>
      </c>
      <c r="BU4412" s="2" t="s">
        <v>4013</v>
      </c>
      <c r="BV4412" s="2" t="s">
        <v>95</v>
      </c>
      <c r="BW4412" s="2"/>
      <c r="BX4412" s="2"/>
      <c r="BY4412" s="2">
        <v>1200</v>
      </c>
      <c r="BZ4412" s="2" t="s">
        <v>27</v>
      </c>
      <c r="CA4412" s="2" t="s">
        <v>235</v>
      </c>
      <c r="CB4412" s="2"/>
      <c r="CC4412" s="2" t="s">
        <v>150</v>
      </c>
      <c r="CD4412" s="2">
        <v>4052</v>
      </c>
      <c r="CE4412" s="2" t="s">
        <v>3630</v>
      </c>
      <c r="CF4412" s="5">
        <v>42954</v>
      </c>
      <c r="CG4412" s="2"/>
      <c r="CH4412" s="2"/>
      <c r="CI4412" s="2">
        <v>1</v>
      </c>
      <c r="CJ4412" s="2">
        <v>1</v>
      </c>
      <c r="CK4412" s="2">
        <v>21</v>
      </c>
      <c r="CL4412" s="2" t="s">
        <v>86</v>
      </c>
      <c r="CM4412" s="2"/>
    </row>
    <row r="4413" spans="1:91">
      <c r="A4413" s="2" t="s">
        <v>71</v>
      </c>
      <c r="B4413" s="2" t="s">
        <v>72</v>
      </c>
      <c r="C4413" s="2" t="s">
        <v>73</v>
      </c>
      <c r="D4413" s="2"/>
      <c r="E4413" s="2" t="str">
        <f>"FES1162566934"</f>
        <v>FES1162566934</v>
      </c>
      <c r="F4413" s="3">
        <v>42950</v>
      </c>
      <c r="G4413" s="2">
        <v>201802</v>
      </c>
      <c r="H4413" s="2" t="s">
        <v>74</v>
      </c>
      <c r="I4413" s="2" t="s">
        <v>75</v>
      </c>
      <c r="J4413" s="2" t="s">
        <v>76</v>
      </c>
      <c r="K4413" s="2" t="s">
        <v>77</v>
      </c>
      <c r="L4413" s="2" t="s">
        <v>237</v>
      </c>
      <c r="M4413" s="2" t="s">
        <v>238</v>
      </c>
      <c r="N4413" s="2" t="s">
        <v>2040</v>
      </c>
      <c r="O4413" s="2" t="s">
        <v>100</v>
      </c>
      <c r="P4413" s="2" t="str">
        <f>"2170583186                    "</f>
        <v xml:space="preserve">2170583186                    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0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4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0</v>
      </c>
      <c r="AU4413" s="2">
        <v>0</v>
      </c>
      <c r="AV4413" s="2">
        <v>0</v>
      </c>
      <c r="AW4413" s="2">
        <v>0</v>
      </c>
      <c r="AX4413" s="2">
        <v>0</v>
      </c>
      <c r="AY4413" s="2">
        <v>0</v>
      </c>
      <c r="AZ4413" s="2">
        <v>0</v>
      </c>
      <c r="BA4413" s="2">
        <v>0</v>
      </c>
      <c r="BB4413" s="2">
        <v>0</v>
      </c>
      <c r="BC4413" s="2">
        <v>0</v>
      </c>
      <c r="BD4413" s="2">
        <v>0</v>
      </c>
      <c r="BE4413" s="2">
        <v>0</v>
      </c>
      <c r="BF4413" s="2">
        <v>0</v>
      </c>
      <c r="BG4413" s="2">
        <v>0</v>
      </c>
      <c r="BH4413" s="2">
        <v>1</v>
      </c>
      <c r="BI4413" s="2">
        <v>0.5</v>
      </c>
      <c r="BJ4413" s="2">
        <v>1.9</v>
      </c>
      <c r="BK4413" s="2">
        <v>2</v>
      </c>
      <c r="BL4413" s="2">
        <v>41.44</v>
      </c>
      <c r="BM4413" s="2">
        <v>5.8</v>
      </c>
      <c r="BN4413" s="2">
        <v>47.24</v>
      </c>
      <c r="BO4413" s="2">
        <v>47.24</v>
      </c>
      <c r="BP4413" s="2"/>
      <c r="BQ4413" s="2" t="s">
        <v>83</v>
      </c>
      <c r="BR4413" s="2" t="s">
        <v>84</v>
      </c>
      <c r="BS4413" s="3">
        <v>42951</v>
      </c>
      <c r="BT4413" s="4">
        <v>0.42708333333333331</v>
      </c>
      <c r="BU4413" s="2" t="s">
        <v>4014</v>
      </c>
      <c r="BV4413" s="2" t="s">
        <v>95</v>
      </c>
      <c r="BW4413" s="2"/>
      <c r="BX4413" s="2"/>
      <c r="BY4413" s="2">
        <v>9654.98</v>
      </c>
      <c r="BZ4413" s="2" t="s">
        <v>27</v>
      </c>
      <c r="CA4413" s="2"/>
      <c r="CB4413" s="2"/>
      <c r="CC4413" s="2" t="s">
        <v>238</v>
      </c>
      <c r="CD4413" s="2">
        <v>3610</v>
      </c>
      <c r="CE4413" s="2" t="s">
        <v>104</v>
      </c>
      <c r="CF4413" s="5">
        <v>42953</v>
      </c>
      <c r="CG4413" s="2"/>
      <c r="CH4413" s="2"/>
      <c r="CI4413" s="2">
        <v>1</v>
      </c>
      <c r="CJ4413" s="2">
        <v>1</v>
      </c>
      <c r="CK4413" s="2">
        <v>21</v>
      </c>
      <c r="CL4413" s="2" t="s">
        <v>86</v>
      </c>
      <c r="CM4413" s="2"/>
    </row>
    <row r="4414" spans="1:91">
      <c r="A4414" s="2" t="s">
        <v>71</v>
      </c>
      <c r="B4414" s="2" t="s">
        <v>72</v>
      </c>
      <c r="C4414" s="2" t="s">
        <v>73</v>
      </c>
      <c r="D4414" s="2"/>
      <c r="E4414" s="2" t="str">
        <f>"FES1162566789"</f>
        <v>FES1162566789</v>
      </c>
      <c r="F4414" s="3">
        <v>42950</v>
      </c>
      <c r="G4414" s="2">
        <v>201802</v>
      </c>
      <c r="H4414" s="2" t="s">
        <v>74</v>
      </c>
      <c r="I4414" s="2" t="s">
        <v>75</v>
      </c>
      <c r="J4414" s="2" t="s">
        <v>76</v>
      </c>
      <c r="K4414" s="2" t="s">
        <v>77</v>
      </c>
      <c r="L4414" s="2" t="s">
        <v>105</v>
      </c>
      <c r="M4414" s="2" t="s">
        <v>106</v>
      </c>
      <c r="N4414" s="2" t="s">
        <v>287</v>
      </c>
      <c r="O4414" s="2" t="s">
        <v>100</v>
      </c>
      <c r="P4414" s="2" t="str">
        <f>"2170583033                    "</f>
        <v xml:space="preserve">2170583033                    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4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0</v>
      </c>
      <c r="AU4414" s="2">
        <v>0</v>
      </c>
      <c r="AV4414" s="2">
        <v>0</v>
      </c>
      <c r="AW4414" s="2">
        <v>0</v>
      </c>
      <c r="AX4414" s="2">
        <v>0</v>
      </c>
      <c r="AY4414" s="2">
        <v>0</v>
      </c>
      <c r="AZ4414" s="2">
        <v>0</v>
      </c>
      <c r="BA4414" s="2">
        <v>0</v>
      </c>
      <c r="BB4414" s="2">
        <v>0</v>
      </c>
      <c r="BC4414" s="2">
        <v>0</v>
      </c>
      <c r="BD4414" s="2">
        <v>0</v>
      </c>
      <c r="BE4414" s="2">
        <v>0</v>
      </c>
      <c r="BF4414" s="2">
        <v>0</v>
      </c>
      <c r="BG4414" s="2">
        <v>0</v>
      </c>
      <c r="BH4414" s="2">
        <v>1</v>
      </c>
      <c r="BI4414" s="2">
        <v>1</v>
      </c>
      <c r="BJ4414" s="2">
        <v>0.2</v>
      </c>
      <c r="BK4414" s="2">
        <v>1</v>
      </c>
      <c r="BL4414" s="2">
        <v>41.44</v>
      </c>
      <c r="BM4414" s="2">
        <v>5.8</v>
      </c>
      <c r="BN4414" s="2">
        <v>47.24</v>
      </c>
      <c r="BO4414" s="2">
        <v>47.24</v>
      </c>
      <c r="BP4414" s="2"/>
      <c r="BQ4414" s="2" t="s">
        <v>108</v>
      </c>
      <c r="BR4414" s="2" t="s">
        <v>84</v>
      </c>
      <c r="BS4414" s="3">
        <v>42951</v>
      </c>
      <c r="BT4414" s="4">
        <v>0.39374999999999999</v>
      </c>
      <c r="BU4414" s="2" t="s">
        <v>1509</v>
      </c>
      <c r="BV4414" s="2" t="s">
        <v>95</v>
      </c>
      <c r="BW4414" s="2"/>
      <c r="BX4414" s="2"/>
      <c r="BY4414" s="2">
        <v>1200</v>
      </c>
      <c r="BZ4414" s="2" t="s">
        <v>27</v>
      </c>
      <c r="CA4414" s="2" t="s">
        <v>291</v>
      </c>
      <c r="CB4414" s="2"/>
      <c r="CC4414" s="2" t="s">
        <v>106</v>
      </c>
      <c r="CD4414" s="2">
        <v>7441</v>
      </c>
      <c r="CE4414" s="2" t="s">
        <v>104</v>
      </c>
      <c r="CF4414" s="5">
        <v>42954</v>
      </c>
      <c r="CG4414" s="2"/>
      <c r="CH4414" s="2"/>
      <c r="CI4414" s="2">
        <v>1</v>
      </c>
      <c r="CJ4414" s="2">
        <v>1</v>
      </c>
      <c r="CK4414" s="2">
        <v>21</v>
      </c>
      <c r="CL4414" s="2" t="s">
        <v>86</v>
      </c>
      <c r="CM4414" s="2"/>
    </row>
    <row r="4415" spans="1:91">
      <c r="A4415" s="2" t="s">
        <v>71</v>
      </c>
      <c r="B4415" s="2" t="s">
        <v>72</v>
      </c>
      <c r="C4415" s="2" t="s">
        <v>73</v>
      </c>
      <c r="D4415" s="2"/>
      <c r="E4415" s="2" t="str">
        <f>"FES1162566788"</f>
        <v>FES1162566788</v>
      </c>
      <c r="F4415" s="3">
        <v>42950</v>
      </c>
      <c r="G4415" s="2">
        <v>201802</v>
      </c>
      <c r="H4415" s="2" t="s">
        <v>74</v>
      </c>
      <c r="I4415" s="2" t="s">
        <v>75</v>
      </c>
      <c r="J4415" s="2" t="s">
        <v>76</v>
      </c>
      <c r="K4415" s="2" t="s">
        <v>77</v>
      </c>
      <c r="L4415" s="2" t="s">
        <v>105</v>
      </c>
      <c r="M4415" s="2" t="s">
        <v>106</v>
      </c>
      <c r="N4415" s="2" t="s">
        <v>1093</v>
      </c>
      <c r="O4415" s="2" t="s">
        <v>100</v>
      </c>
      <c r="P4415" s="2" t="str">
        <f>"2170583031                    "</f>
        <v xml:space="preserve">2170583031                    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4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0</v>
      </c>
      <c r="AU4415" s="2">
        <v>0</v>
      </c>
      <c r="AV4415" s="2">
        <v>0</v>
      </c>
      <c r="AW4415" s="2">
        <v>0</v>
      </c>
      <c r="AX4415" s="2">
        <v>0</v>
      </c>
      <c r="AY4415" s="2">
        <v>0</v>
      </c>
      <c r="AZ4415" s="2">
        <v>0</v>
      </c>
      <c r="BA4415" s="2">
        <v>0</v>
      </c>
      <c r="BB4415" s="2">
        <v>0</v>
      </c>
      <c r="BC4415" s="2">
        <v>0</v>
      </c>
      <c r="BD4415" s="2">
        <v>0</v>
      </c>
      <c r="BE4415" s="2">
        <v>0</v>
      </c>
      <c r="BF4415" s="2">
        <v>0</v>
      </c>
      <c r="BG4415" s="2">
        <v>0</v>
      </c>
      <c r="BH4415" s="2">
        <v>1</v>
      </c>
      <c r="BI4415" s="2">
        <v>0.9</v>
      </c>
      <c r="BJ4415" s="2">
        <v>1.6</v>
      </c>
      <c r="BK4415" s="2">
        <v>2</v>
      </c>
      <c r="BL4415" s="2">
        <v>41.44</v>
      </c>
      <c r="BM4415" s="2">
        <v>5.8</v>
      </c>
      <c r="BN4415" s="2">
        <v>47.24</v>
      </c>
      <c r="BO4415" s="2">
        <v>47.24</v>
      </c>
      <c r="BP4415" s="2"/>
      <c r="BQ4415" s="2" t="s">
        <v>83</v>
      </c>
      <c r="BR4415" s="2" t="s">
        <v>84</v>
      </c>
      <c r="BS4415" s="3">
        <v>42954</v>
      </c>
      <c r="BT4415" s="4">
        <v>0.3972222222222222</v>
      </c>
      <c r="BU4415" s="2" t="s">
        <v>1094</v>
      </c>
      <c r="BV4415" s="2" t="s">
        <v>86</v>
      </c>
      <c r="BW4415" s="2"/>
      <c r="BX4415" s="2"/>
      <c r="BY4415" s="2">
        <v>8060.3</v>
      </c>
      <c r="BZ4415" s="2" t="s">
        <v>27</v>
      </c>
      <c r="CA4415" s="2" t="s">
        <v>1095</v>
      </c>
      <c r="CB4415" s="2"/>
      <c r="CC4415" s="2" t="s">
        <v>106</v>
      </c>
      <c r="CD4415" s="2">
        <v>7975</v>
      </c>
      <c r="CE4415" s="2" t="s">
        <v>89</v>
      </c>
      <c r="CF4415" s="5">
        <v>42955</v>
      </c>
      <c r="CG4415" s="2"/>
      <c r="CH4415" s="2"/>
      <c r="CI4415" s="2">
        <v>1</v>
      </c>
      <c r="CJ4415" s="2">
        <v>2</v>
      </c>
      <c r="CK4415" s="2">
        <v>21</v>
      </c>
      <c r="CL4415" s="2" t="s">
        <v>86</v>
      </c>
      <c r="CM4415" s="2"/>
    </row>
    <row r="4416" spans="1:91">
      <c r="A4416" s="2" t="s">
        <v>71</v>
      </c>
      <c r="B4416" s="2" t="s">
        <v>72</v>
      </c>
      <c r="C4416" s="2" t="s">
        <v>73</v>
      </c>
      <c r="D4416" s="2"/>
      <c r="E4416" s="2" t="str">
        <f>"FES1162566690"</f>
        <v>FES1162566690</v>
      </c>
      <c r="F4416" s="3">
        <v>42950</v>
      </c>
      <c r="G4416" s="2">
        <v>201802</v>
      </c>
      <c r="H4416" s="2" t="s">
        <v>74</v>
      </c>
      <c r="I4416" s="2" t="s">
        <v>75</v>
      </c>
      <c r="J4416" s="2" t="s">
        <v>76</v>
      </c>
      <c r="K4416" s="2" t="s">
        <v>77</v>
      </c>
      <c r="L4416" s="2" t="s">
        <v>362</v>
      </c>
      <c r="M4416" s="2" t="s">
        <v>363</v>
      </c>
      <c r="N4416" s="2" t="s">
        <v>683</v>
      </c>
      <c r="O4416" s="2" t="s">
        <v>100</v>
      </c>
      <c r="P4416" s="2" t="str">
        <f>"21705777078                   "</f>
        <v xml:space="preserve">21705777078                   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4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0</v>
      </c>
      <c r="AU4416" s="2">
        <v>0</v>
      </c>
      <c r="AV4416" s="2">
        <v>0</v>
      </c>
      <c r="AW4416" s="2">
        <v>0</v>
      </c>
      <c r="AX4416" s="2">
        <v>0</v>
      </c>
      <c r="AY4416" s="2">
        <v>0</v>
      </c>
      <c r="AZ4416" s="2">
        <v>0</v>
      </c>
      <c r="BA4416" s="2">
        <v>0</v>
      </c>
      <c r="BB4416" s="2">
        <v>0</v>
      </c>
      <c r="BC4416" s="2">
        <v>0</v>
      </c>
      <c r="BD4416" s="2">
        <v>0</v>
      </c>
      <c r="BE4416" s="2">
        <v>0</v>
      </c>
      <c r="BF4416" s="2">
        <v>0</v>
      </c>
      <c r="BG4416" s="2">
        <v>0</v>
      </c>
      <c r="BH4416" s="2">
        <v>1</v>
      </c>
      <c r="BI4416" s="2">
        <v>1</v>
      </c>
      <c r="BJ4416" s="2">
        <v>0.2</v>
      </c>
      <c r="BK4416" s="2">
        <v>1</v>
      </c>
      <c r="BL4416" s="2">
        <v>41.44</v>
      </c>
      <c r="BM4416" s="2">
        <v>5.8</v>
      </c>
      <c r="BN4416" s="2">
        <v>47.24</v>
      </c>
      <c r="BO4416" s="2">
        <v>47.24</v>
      </c>
      <c r="BP4416" s="2"/>
      <c r="BQ4416" s="2" t="s">
        <v>108</v>
      </c>
      <c r="BR4416" s="2" t="s">
        <v>84</v>
      </c>
      <c r="BS4416" s="3">
        <v>42951</v>
      </c>
      <c r="BT4416" s="4">
        <v>0.4375</v>
      </c>
      <c r="BU4416" s="2" t="s">
        <v>805</v>
      </c>
      <c r="BV4416" s="2" t="s">
        <v>95</v>
      </c>
      <c r="BW4416" s="2"/>
      <c r="BX4416" s="2"/>
      <c r="BY4416" s="2">
        <v>1200</v>
      </c>
      <c r="BZ4416" s="2" t="s">
        <v>27</v>
      </c>
      <c r="CA4416" s="2"/>
      <c r="CB4416" s="2"/>
      <c r="CC4416" s="2" t="s">
        <v>363</v>
      </c>
      <c r="CD4416" s="2">
        <v>3201</v>
      </c>
      <c r="CE4416" s="2" t="s">
        <v>104</v>
      </c>
      <c r="CF4416" s="5">
        <v>42954</v>
      </c>
      <c r="CG4416" s="2"/>
      <c r="CH4416" s="2"/>
      <c r="CI4416" s="2">
        <v>1</v>
      </c>
      <c r="CJ4416" s="2">
        <v>1</v>
      </c>
      <c r="CK4416" s="2">
        <v>21</v>
      </c>
      <c r="CL4416" s="2" t="s">
        <v>86</v>
      </c>
      <c r="CM4416" s="2"/>
    </row>
    <row r="4417" spans="1:91">
      <c r="A4417" s="2" t="s">
        <v>71</v>
      </c>
      <c r="B4417" s="2" t="s">
        <v>72</v>
      </c>
      <c r="C4417" s="2" t="s">
        <v>73</v>
      </c>
      <c r="D4417" s="2"/>
      <c r="E4417" s="2" t="str">
        <f>"FES1162566847"</f>
        <v>FES1162566847</v>
      </c>
      <c r="F4417" s="3">
        <v>42950</v>
      </c>
      <c r="G4417" s="2">
        <v>201802</v>
      </c>
      <c r="H4417" s="2" t="s">
        <v>74</v>
      </c>
      <c r="I4417" s="2" t="s">
        <v>75</v>
      </c>
      <c r="J4417" s="2" t="s">
        <v>76</v>
      </c>
      <c r="K4417" s="2" t="s">
        <v>77</v>
      </c>
      <c r="L4417" s="2" t="s">
        <v>105</v>
      </c>
      <c r="M4417" s="2" t="s">
        <v>106</v>
      </c>
      <c r="N4417" s="2" t="s">
        <v>655</v>
      </c>
      <c r="O4417" s="2" t="s">
        <v>100</v>
      </c>
      <c r="P4417" s="2" t="str">
        <f>"2170583092                    "</f>
        <v xml:space="preserve">2170583092                    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  <c r="Y4417" s="2">
        <v>0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4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0</v>
      </c>
      <c r="AU4417" s="2">
        <v>0</v>
      </c>
      <c r="AV4417" s="2">
        <v>0</v>
      </c>
      <c r="AW4417" s="2">
        <v>0</v>
      </c>
      <c r="AX4417" s="2">
        <v>0</v>
      </c>
      <c r="AY4417" s="2">
        <v>0</v>
      </c>
      <c r="AZ4417" s="2">
        <v>0</v>
      </c>
      <c r="BA4417" s="2">
        <v>0</v>
      </c>
      <c r="BB4417" s="2">
        <v>0</v>
      </c>
      <c r="BC4417" s="2">
        <v>0</v>
      </c>
      <c r="BD4417" s="2">
        <v>0</v>
      </c>
      <c r="BE4417" s="2">
        <v>0</v>
      </c>
      <c r="BF4417" s="2">
        <v>0</v>
      </c>
      <c r="BG4417" s="2">
        <v>0</v>
      </c>
      <c r="BH4417" s="2">
        <v>1</v>
      </c>
      <c r="BI4417" s="2">
        <v>0.8</v>
      </c>
      <c r="BJ4417" s="2">
        <v>0.9</v>
      </c>
      <c r="BK4417" s="2">
        <v>1</v>
      </c>
      <c r="BL4417" s="2">
        <v>41.44</v>
      </c>
      <c r="BM4417" s="2">
        <v>5.8</v>
      </c>
      <c r="BN4417" s="2">
        <v>47.24</v>
      </c>
      <c r="BO4417" s="2">
        <v>47.24</v>
      </c>
      <c r="BP4417" s="2"/>
      <c r="BQ4417" s="2" t="s">
        <v>209</v>
      </c>
      <c r="BR4417" s="2" t="s">
        <v>84</v>
      </c>
      <c r="BS4417" s="3">
        <v>42951</v>
      </c>
      <c r="BT4417" s="4">
        <v>0.53680555555555554</v>
      </c>
      <c r="BU4417" s="2" t="s">
        <v>2589</v>
      </c>
      <c r="BV4417" s="2" t="s">
        <v>86</v>
      </c>
      <c r="BW4417" s="2"/>
      <c r="BX4417" s="2"/>
      <c r="BY4417" s="2">
        <v>4476.3999999999996</v>
      </c>
      <c r="BZ4417" s="2" t="s">
        <v>27</v>
      </c>
      <c r="CA4417" s="2" t="s">
        <v>350</v>
      </c>
      <c r="CB4417" s="2"/>
      <c r="CC4417" s="2" t="s">
        <v>106</v>
      </c>
      <c r="CD4417" s="2">
        <v>7945</v>
      </c>
      <c r="CE4417" s="2" t="s">
        <v>948</v>
      </c>
      <c r="CF4417" s="5">
        <v>42954</v>
      </c>
      <c r="CG4417" s="2"/>
      <c r="CH4417" s="2"/>
      <c r="CI4417" s="2">
        <v>1</v>
      </c>
      <c r="CJ4417" s="2">
        <v>1</v>
      </c>
      <c r="CK4417" s="2">
        <v>21</v>
      </c>
      <c r="CL4417" s="2" t="s">
        <v>86</v>
      </c>
      <c r="CM4417" s="2"/>
    </row>
    <row r="4418" spans="1:91">
      <c r="A4418" s="2" t="s">
        <v>71</v>
      </c>
      <c r="B4418" s="2" t="s">
        <v>72</v>
      </c>
      <c r="C4418" s="2" t="s">
        <v>73</v>
      </c>
      <c r="D4418" s="2"/>
      <c r="E4418" s="2" t="str">
        <f>"FES1162566682"</f>
        <v>FES1162566682</v>
      </c>
      <c r="F4418" s="3">
        <v>42950</v>
      </c>
      <c r="G4418" s="2">
        <v>201802</v>
      </c>
      <c r="H4418" s="2" t="s">
        <v>74</v>
      </c>
      <c r="I4418" s="2" t="s">
        <v>75</v>
      </c>
      <c r="J4418" s="2" t="s">
        <v>76</v>
      </c>
      <c r="K4418" s="2" t="s">
        <v>77</v>
      </c>
      <c r="L4418" s="2" t="s">
        <v>149</v>
      </c>
      <c r="M4418" s="2" t="s">
        <v>150</v>
      </c>
      <c r="N4418" s="2" t="s">
        <v>2562</v>
      </c>
      <c r="O4418" s="2" t="s">
        <v>100</v>
      </c>
      <c r="P4418" s="2" t="str">
        <f>"2170582995                    "</f>
        <v xml:space="preserve">2170582995                    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0</v>
      </c>
      <c r="Z4418" s="2">
        <v>0</v>
      </c>
      <c r="AA4418" s="2">
        <v>0</v>
      </c>
      <c r="AB4418" s="2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4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0</v>
      </c>
      <c r="AU4418" s="2">
        <v>0</v>
      </c>
      <c r="AV4418" s="2">
        <v>0</v>
      </c>
      <c r="AW4418" s="2">
        <v>0</v>
      </c>
      <c r="AX4418" s="2">
        <v>0</v>
      </c>
      <c r="AY4418" s="2">
        <v>0</v>
      </c>
      <c r="AZ4418" s="2">
        <v>0</v>
      </c>
      <c r="BA4418" s="2">
        <v>0</v>
      </c>
      <c r="BB4418" s="2">
        <v>0</v>
      </c>
      <c r="BC4418" s="2">
        <v>0</v>
      </c>
      <c r="BD4418" s="2">
        <v>0</v>
      </c>
      <c r="BE4418" s="2">
        <v>0</v>
      </c>
      <c r="BF4418" s="2">
        <v>0</v>
      </c>
      <c r="BG4418" s="2">
        <v>0</v>
      </c>
      <c r="BH4418" s="2">
        <v>1</v>
      </c>
      <c r="BI4418" s="2">
        <v>1</v>
      </c>
      <c r="BJ4418" s="2">
        <v>0.2</v>
      </c>
      <c r="BK4418" s="2">
        <v>1</v>
      </c>
      <c r="BL4418" s="2">
        <v>41.44</v>
      </c>
      <c r="BM4418" s="2">
        <v>5.8</v>
      </c>
      <c r="BN4418" s="2">
        <v>47.24</v>
      </c>
      <c r="BO4418" s="2">
        <v>47.24</v>
      </c>
      <c r="BP4418" s="2"/>
      <c r="BQ4418" s="2" t="s">
        <v>108</v>
      </c>
      <c r="BR4418" s="2" t="s">
        <v>84</v>
      </c>
      <c r="BS4418" s="3">
        <v>42951</v>
      </c>
      <c r="BT4418" s="4">
        <v>0.35694444444444445</v>
      </c>
      <c r="BU4418" s="2" t="s">
        <v>4015</v>
      </c>
      <c r="BV4418" s="2" t="s">
        <v>95</v>
      </c>
      <c r="BW4418" s="2"/>
      <c r="BX4418" s="2"/>
      <c r="BY4418" s="2">
        <v>1200</v>
      </c>
      <c r="BZ4418" s="2" t="s">
        <v>27</v>
      </c>
      <c r="CA4418" s="2" t="s">
        <v>1163</v>
      </c>
      <c r="CB4418" s="2"/>
      <c r="CC4418" s="2" t="s">
        <v>150</v>
      </c>
      <c r="CD4418" s="2">
        <v>4052</v>
      </c>
      <c r="CE4418" s="2" t="s">
        <v>3630</v>
      </c>
      <c r="CF4418" s="5">
        <v>42954</v>
      </c>
      <c r="CG4418" s="2"/>
      <c r="CH4418" s="2"/>
      <c r="CI4418" s="2">
        <v>1</v>
      </c>
      <c r="CJ4418" s="2">
        <v>1</v>
      </c>
      <c r="CK4418" s="2">
        <v>21</v>
      </c>
      <c r="CL4418" s="2" t="s">
        <v>86</v>
      </c>
      <c r="CM4418" s="2"/>
    </row>
    <row r="4419" spans="1:91">
      <c r="A4419" s="2" t="s">
        <v>71</v>
      </c>
      <c r="B4419" s="2" t="s">
        <v>72</v>
      </c>
      <c r="C4419" s="2" t="s">
        <v>73</v>
      </c>
      <c r="D4419" s="2"/>
      <c r="E4419" s="2" t="str">
        <f>"FES1162566948"</f>
        <v>FES1162566948</v>
      </c>
      <c r="F4419" s="3">
        <v>42950</v>
      </c>
      <c r="G4419" s="2">
        <v>201802</v>
      </c>
      <c r="H4419" s="2" t="s">
        <v>74</v>
      </c>
      <c r="I4419" s="2" t="s">
        <v>75</v>
      </c>
      <c r="J4419" s="2" t="s">
        <v>76</v>
      </c>
      <c r="K4419" s="2" t="s">
        <v>77</v>
      </c>
      <c r="L4419" s="2" t="s">
        <v>510</v>
      </c>
      <c r="M4419" s="2" t="s">
        <v>511</v>
      </c>
      <c r="N4419" s="2" t="s">
        <v>1504</v>
      </c>
      <c r="O4419" s="2" t="s">
        <v>100</v>
      </c>
      <c r="P4419" s="2" t="str">
        <f>"217055809                     "</f>
        <v xml:space="preserve">217055809                     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15.01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0</v>
      </c>
      <c r="AU4419" s="2">
        <v>0</v>
      </c>
      <c r="AV4419" s="2">
        <v>0</v>
      </c>
      <c r="AW4419" s="2">
        <v>0</v>
      </c>
      <c r="AX4419" s="2">
        <v>0</v>
      </c>
      <c r="AY4419" s="2">
        <v>0</v>
      </c>
      <c r="AZ4419" s="2">
        <v>0</v>
      </c>
      <c r="BA4419" s="2">
        <v>0</v>
      </c>
      <c r="BB4419" s="2">
        <v>0</v>
      </c>
      <c r="BC4419" s="2">
        <v>0</v>
      </c>
      <c r="BD4419" s="2">
        <v>0</v>
      </c>
      <c r="BE4419" s="2">
        <v>0</v>
      </c>
      <c r="BF4419" s="2">
        <v>0</v>
      </c>
      <c r="BG4419" s="2">
        <v>0</v>
      </c>
      <c r="BH4419" s="2">
        <v>1</v>
      </c>
      <c r="BI4419" s="2">
        <v>7.3</v>
      </c>
      <c r="BJ4419" s="2">
        <v>6.9</v>
      </c>
      <c r="BK4419" s="2">
        <v>7.5</v>
      </c>
      <c r="BL4419" s="2">
        <v>155.41</v>
      </c>
      <c r="BM4419" s="2">
        <v>21.76</v>
      </c>
      <c r="BN4419" s="2">
        <v>177.17</v>
      </c>
      <c r="BO4419" s="2">
        <v>177.17</v>
      </c>
      <c r="BP4419" s="2"/>
      <c r="BQ4419" s="2" t="s">
        <v>108</v>
      </c>
      <c r="BR4419" s="2" t="s">
        <v>84</v>
      </c>
      <c r="BS4419" s="3">
        <v>42951</v>
      </c>
      <c r="BT4419" s="4">
        <v>0.31527777777777777</v>
      </c>
      <c r="BU4419" s="2" t="s">
        <v>1999</v>
      </c>
      <c r="BV4419" s="2" t="s">
        <v>95</v>
      </c>
      <c r="BW4419" s="2"/>
      <c r="BX4419" s="2"/>
      <c r="BY4419" s="2">
        <v>34321.279999999999</v>
      </c>
      <c r="BZ4419" s="2" t="s">
        <v>27</v>
      </c>
      <c r="CA4419" s="2" t="s">
        <v>514</v>
      </c>
      <c r="CB4419" s="2"/>
      <c r="CC4419" s="2" t="s">
        <v>511</v>
      </c>
      <c r="CD4419" s="2">
        <v>6230</v>
      </c>
      <c r="CE4419" s="2" t="s">
        <v>948</v>
      </c>
      <c r="CF4419" s="5">
        <v>42954</v>
      </c>
      <c r="CG4419" s="2"/>
      <c r="CH4419" s="2"/>
      <c r="CI4419" s="2">
        <v>1</v>
      </c>
      <c r="CJ4419" s="2">
        <v>1</v>
      </c>
      <c r="CK4419" s="2">
        <v>21</v>
      </c>
      <c r="CL4419" s="2" t="s">
        <v>86</v>
      </c>
      <c r="CM4419" s="2"/>
    </row>
    <row r="4420" spans="1:91">
      <c r="A4420" s="2" t="s">
        <v>71</v>
      </c>
      <c r="B4420" s="2" t="s">
        <v>72</v>
      </c>
      <c r="C4420" s="2" t="s">
        <v>73</v>
      </c>
      <c r="D4420" s="2"/>
      <c r="E4420" s="2" t="str">
        <f>"FES1162566689"</f>
        <v>FES1162566689</v>
      </c>
      <c r="F4420" s="3">
        <v>42950</v>
      </c>
      <c r="G4420" s="2">
        <v>201802</v>
      </c>
      <c r="H4420" s="2" t="s">
        <v>74</v>
      </c>
      <c r="I4420" s="2" t="s">
        <v>75</v>
      </c>
      <c r="J4420" s="2" t="s">
        <v>76</v>
      </c>
      <c r="K4420" s="2" t="s">
        <v>77</v>
      </c>
      <c r="L4420" s="2" t="s">
        <v>105</v>
      </c>
      <c r="M4420" s="2" t="s">
        <v>106</v>
      </c>
      <c r="N4420" s="2" t="s">
        <v>652</v>
      </c>
      <c r="O4420" s="2" t="s">
        <v>100</v>
      </c>
      <c r="P4420" s="2" t="str">
        <f>"2170576780                    "</f>
        <v xml:space="preserve">2170576780                    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4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0</v>
      </c>
      <c r="AU4420" s="2">
        <v>0</v>
      </c>
      <c r="AV4420" s="2">
        <v>0</v>
      </c>
      <c r="AW4420" s="2">
        <v>0</v>
      </c>
      <c r="AX4420" s="2">
        <v>0</v>
      </c>
      <c r="AY4420" s="2">
        <v>0</v>
      </c>
      <c r="AZ4420" s="2">
        <v>0</v>
      </c>
      <c r="BA4420" s="2">
        <v>0</v>
      </c>
      <c r="BB4420" s="2">
        <v>0</v>
      </c>
      <c r="BC4420" s="2">
        <v>0</v>
      </c>
      <c r="BD4420" s="2">
        <v>0</v>
      </c>
      <c r="BE4420" s="2">
        <v>0</v>
      </c>
      <c r="BF4420" s="2">
        <v>0</v>
      </c>
      <c r="BG4420" s="2">
        <v>0</v>
      </c>
      <c r="BH4420" s="2">
        <v>1</v>
      </c>
      <c r="BI4420" s="2">
        <v>1</v>
      </c>
      <c r="BJ4420" s="2">
        <v>0.2</v>
      </c>
      <c r="BK4420" s="2">
        <v>1</v>
      </c>
      <c r="BL4420" s="2">
        <v>41.44</v>
      </c>
      <c r="BM4420" s="2">
        <v>5.8</v>
      </c>
      <c r="BN4420" s="2">
        <v>47.24</v>
      </c>
      <c r="BO4420" s="2">
        <v>47.24</v>
      </c>
      <c r="BP4420" s="2"/>
      <c r="BQ4420" s="2" t="s">
        <v>83</v>
      </c>
      <c r="BR4420" s="2" t="s">
        <v>84</v>
      </c>
      <c r="BS4420" s="3">
        <v>42951</v>
      </c>
      <c r="BT4420" s="4">
        <v>0.3298611111111111</v>
      </c>
      <c r="BU4420" s="2" t="s">
        <v>4016</v>
      </c>
      <c r="BV4420" s="2" t="s">
        <v>95</v>
      </c>
      <c r="BW4420" s="2"/>
      <c r="BX4420" s="2"/>
      <c r="BY4420" s="2">
        <v>1200</v>
      </c>
      <c r="BZ4420" s="2" t="s">
        <v>27</v>
      </c>
      <c r="CA4420" s="2" t="s">
        <v>654</v>
      </c>
      <c r="CB4420" s="2"/>
      <c r="CC4420" s="2" t="s">
        <v>106</v>
      </c>
      <c r="CD4420" s="2">
        <v>7493</v>
      </c>
      <c r="CE4420" s="2" t="s">
        <v>104</v>
      </c>
      <c r="CF4420" s="5">
        <v>42954</v>
      </c>
      <c r="CG4420" s="2"/>
      <c r="CH4420" s="2"/>
      <c r="CI4420" s="2">
        <v>1</v>
      </c>
      <c r="CJ4420" s="2">
        <v>1</v>
      </c>
      <c r="CK4420" s="2">
        <v>21</v>
      </c>
      <c r="CL4420" s="2" t="s">
        <v>86</v>
      </c>
      <c r="CM4420" s="2"/>
    </row>
    <row r="4421" spans="1:91">
      <c r="A4421" s="2" t="s">
        <v>71</v>
      </c>
      <c r="B4421" s="2" t="s">
        <v>72</v>
      </c>
      <c r="C4421" s="2" t="s">
        <v>73</v>
      </c>
      <c r="D4421" s="2"/>
      <c r="E4421" s="2" t="str">
        <f>"FES1162566931"</f>
        <v>FES1162566931</v>
      </c>
      <c r="F4421" s="3">
        <v>42950</v>
      </c>
      <c r="G4421" s="2">
        <v>201802</v>
      </c>
      <c r="H4421" s="2" t="s">
        <v>74</v>
      </c>
      <c r="I4421" s="2" t="s">
        <v>75</v>
      </c>
      <c r="J4421" s="2" t="s">
        <v>76</v>
      </c>
      <c r="K4421" s="2" t="s">
        <v>77</v>
      </c>
      <c r="L4421" s="2" t="s">
        <v>710</v>
      </c>
      <c r="M4421" s="2" t="s">
        <v>711</v>
      </c>
      <c r="N4421" s="2" t="s">
        <v>1902</v>
      </c>
      <c r="O4421" s="2" t="s">
        <v>100</v>
      </c>
      <c r="P4421" s="2" t="str">
        <f>"2170583154                    "</f>
        <v xml:space="preserve">2170583154                    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7.75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0</v>
      </c>
      <c r="AU4421" s="2">
        <v>0</v>
      </c>
      <c r="AV4421" s="2">
        <v>0</v>
      </c>
      <c r="AW4421" s="2">
        <v>0</v>
      </c>
      <c r="AX4421" s="2">
        <v>0</v>
      </c>
      <c r="AY4421" s="2">
        <v>0</v>
      </c>
      <c r="AZ4421" s="2">
        <v>0</v>
      </c>
      <c r="BA4421" s="2">
        <v>0</v>
      </c>
      <c r="BB4421" s="2">
        <v>0</v>
      </c>
      <c r="BC4421" s="2">
        <v>0</v>
      </c>
      <c r="BD4421" s="2">
        <v>0</v>
      </c>
      <c r="BE4421" s="2">
        <v>0</v>
      </c>
      <c r="BF4421" s="2">
        <v>0</v>
      </c>
      <c r="BG4421" s="2">
        <v>0</v>
      </c>
      <c r="BH4421" s="2">
        <v>1</v>
      </c>
      <c r="BI4421" s="2">
        <v>1</v>
      </c>
      <c r="BJ4421" s="2">
        <v>0.2</v>
      </c>
      <c r="BK4421" s="2">
        <v>1</v>
      </c>
      <c r="BL4421" s="2">
        <v>80.290000000000006</v>
      </c>
      <c r="BM4421" s="2">
        <v>11.24</v>
      </c>
      <c r="BN4421" s="2">
        <v>91.53</v>
      </c>
      <c r="BO4421" s="2">
        <v>91.53</v>
      </c>
      <c r="BP4421" s="2"/>
      <c r="BQ4421" s="2" t="s">
        <v>1903</v>
      </c>
      <c r="BR4421" s="2" t="s">
        <v>84</v>
      </c>
      <c r="BS4421" s="3">
        <v>42951</v>
      </c>
      <c r="BT4421" s="4">
        <v>0.47916666666666669</v>
      </c>
      <c r="BU4421" s="2" t="s">
        <v>392</v>
      </c>
      <c r="BV4421" s="2" t="s">
        <v>95</v>
      </c>
      <c r="BW4421" s="2"/>
      <c r="BX4421" s="2"/>
      <c r="BY4421" s="2">
        <v>1200</v>
      </c>
      <c r="BZ4421" s="2" t="s">
        <v>27</v>
      </c>
      <c r="CA4421" s="2"/>
      <c r="CB4421" s="2"/>
      <c r="CC4421" s="2" t="s">
        <v>711</v>
      </c>
      <c r="CD4421" s="2">
        <v>4339</v>
      </c>
      <c r="CE4421" s="2" t="s">
        <v>104</v>
      </c>
      <c r="CF4421" s="5">
        <v>42954</v>
      </c>
      <c r="CG4421" s="2"/>
      <c r="CH4421" s="2"/>
      <c r="CI4421" s="2">
        <v>1</v>
      </c>
      <c r="CJ4421" s="2">
        <v>1</v>
      </c>
      <c r="CK4421" s="2">
        <v>23</v>
      </c>
      <c r="CL4421" s="2" t="s">
        <v>86</v>
      </c>
      <c r="CM4421" s="2"/>
    </row>
    <row r="4422" spans="1:91">
      <c r="A4422" s="2" t="s">
        <v>71</v>
      </c>
      <c r="B4422" s="2" t="s">
        <v>72</v>
      </c>
      <c r="C4422" s="2" t="s">
        <v>73</v>
      </c>
      <c r="D4422" s="2"/>
      <c r="E4422" s="2" t="str">
        <f>"FES1162566827"</f>
        <v>FES1162566827</v>
      </c>
      <c r="F4422" s="3">
        <v>42950</v>
      </c>
      <c r="G4422" s="2">
        <v>201802</v>
      </c>
      <c r="H4422" s="2" t="s">
        <v>74</v>
      </c>
      <c r="I4422" s="2" t="s">
        <v>75</v>
      </c>
      <c r="J4422" s="2" t="s">
        <v>76</v>
      </c>
      <c r="K4422" s="2" t="s">
        <v>77</v>
      </c>
      <c r="L4422" s="2" t="s">
        <v>437</v>
      </c>
      <c r="M4422" s="2" t="s">
        <v>438</v>
      </c>
      <c r="N4422" s="2" t="s">
        <v>749</v>
      </c>
      <c r="O4422" s="2" t="s">
        <v>100</v>
      </c>
      <c r="P4422" s="2" t="str">
        <f>"21705830066                   "</f>
        <v xml:space="preserve">21705830066                   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4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0</v>
      </c>
      <c r="AU4422" s="2">
        <v>0</v>
      </c>
      <c r="AV4422" s="2">
        <v>0</v>
      </c>
      <c r="AW4422" s="2">
        <v>0</v>
      </c>
      <c r="AX4422" s="2">
        <v>0</v>
      </c>
      <c r="AY4422" s="2">
        <v>0</v>
      </c>
      <c r="AZ4422" s="2">
        <v>0</v>
      </c>
      <c r="BA4422" s="2">
        <v>0</v>
      </c>
      <c r="BB4422" s="2">
        <v>0</v>
      </c>
      <c r="BC4422" s="2">
        <v>0</v>
      </c>
      <c r="BD4422" s="2">
        <v>0</v>
      </c>
      <c r="BE4422" s="2">
        <v>0</v>
      </c>
      <c r="BF4422" s="2">
        <v>0</v>
      </c>
      <c r="BG4422" s="2">
        <v>0</v>
      </c>
      <c r="BH4422" s="2">
        <v>1</v>
      </c>
      <c r="BI4422" s="2">
        <v>1</v>
      </c>
      <c r="BJ4422" s="2">
        <v>0.2</v>
      </c>
      <c r="BK4422" s="2">
        <v>1</v>
      </c>
      <c r="BL4422" s="2">
        <v>41.44</v>
      </c>
      <c r="BM4422" s="2">
        <v>5.8</v>
      </c>
      <c r="BN4422" s="2">
        <v>47.24</v>
      </c>
      <c r="BO4422" s="2">
        <v>47.24</v>
      </c>
      <c r="BP4422" s="2"/>
      <c r="BQ4422" s="2" t="s">
        <v>108</v>
      </c>
      <c r="BR4422" s="2" t="s">
        <v>84</v>
      </c>
      <c r="BS4422" s="3">
        <v>42951</v>
      </c>
      <c r="BT4422" s="4">
        <v>0.375</v>
      </c>
      <c r="BU4422" s="2" t="s">
        <v>750</v>
      </c>
      <c r="BV4422" s="2" t="s">
        <v>95</v>
      </c>
      <c r="BW4422" s="2"/>
      <c r="BX4422" s="2"/>
      <c r="BY4422" s="2">
        <v>1200</v>
      </c>
      <c r="BZ4422" s="2" t="s">
        <v>27</v>
      </c>
      <c r="CA4422" s="2" t="s">
        <v>441</v>
      </c>
      <c r="CB4422" s="2"/>
      <c r="CC4422" s="2" t="s">
        <v>438</v>
      </c>
      <c r="CD4422" s="2">
        <v>6536</v>
      </c>
      <c r="CE4422" s="2" t="s">
        <v>104</v>
      </c>
      <c r="CF4422" s="5">
        <v>42954</v>
      </c>
      <c r="CG4422" s="2"/>
      <c r="CH4422" s="2"/>
      <c r="CI4422" s="2">
        <v>1</v>
      </c>
      <c r="CJ4422" s="2">
        <v>1</v>
      </c>
      <c r="CK4422" s="2">
        <v>21</v>
      </c>
      <c r="CL4422" s="2" t="s">
        <v>86</v>
      </c>
      <c r="CM4422" s="2"/>
    </row>
    <row r="4423" spans="1:91">
      <c r="A4423" s="2" t="s">
        <v>71</v>
      </c>
      <c r="B4423" s="2" t="s">
        <v>72</v>
      </c>
      <c r="C4423" s="2" t="s">
        <v>73</v>
      </c>
      <c r="D4423" s="2"/>
      <c r="E4423" s="2" t="str">
        <f>"FES1162566907"</f>
        <v>FES1162566907</v>
      </c>
      <c r="F4423" s="3">
        <v>42950</v>
      </c>
      <c r="G4423" s="2">
        <v>201802</v>
      </c>
      <c r="H4423" s="2" t="s">
        <v>74</v>
      </c>
      <c r="I4423" s="2" t="s">
        <v>75</v>
      </c>
      <c r="J4423" s="2" t="s">
        <v>76</v>
      </c>
      <c r="K4423" s="2" t="s">
        <v>77</v>
      </c>
      <c r="L4423" s="2" t="s">
        <v>604</v>
      </c>
      <c r="M4423" s="2" t="s">
        <v>605</v>
      </c>
      <c r="N4423" s="2" t="s">
        <v>1907</v>
      </c>
      <c r="O4423" s="2" t="s">
        <v>100</v>
      </c>
      <c r="P4423" s="2" t="str">
        <f>"2170582955                    "</f>
        <v xml:space="preserve">2170582955                    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0</v>
      </c>
      <c r="Y4423" s="2">
        <v>0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4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0</v>
      </c>
      <c r="AU4423" s="2">
        <v>0</v>
      </c>
      <c r="AV4423" s="2">
        <v>0</v>
      </c>
      <c r="AW4423" s="2">
        <v>0</v>
      </c>
      <c r="AX4423" s="2">
        <v>0</v>
      </c>
      <c r="AY4423" s="2">
        <v>0</v>
      </c>
      <c r="AZ4423" s="2">
        <v>0</v>
      </c>
      <c r="BA4423" s="2">
        <v>0</v>
      </c>
      <c r="BB4423" s="2">
        <v>0</v>
      </c>
      <c r="BC4423" s="2">
        <v>0</v>
      </c>
      <c r="BD4423" s="2">
        <v>0</v>
      </c>
      <c r="BE4423" s="2">
        <v>0</v>
      </c>
      <c r="BF4423" s="2">
        <v>0</v>
      </c>
      <c r="BG4423" s="2">
        <v>0</v>
      </c>
      <c r="BH4423" s="2">
        <v>1</v>
      </c>
      <c r="BI4423" s="2">
        <v>1</v>
      </c>
      <c r="BJ4423" s="2">
        <v>0.2</v>
      </c>
      <c r="BK4423" s="2">
        <v>1</v>
      </c>
      <c r="BL4423" s="2">
        <v>41.44</v>
      </c>
      <c r="BM4423" s="2">
        <v>5.8</v>
      </c>
      <c r="BN4423" s="2">
        <v>47.24</v>
      </c>
      <c r="BO4423" s="2">
        <v>47.24</v>
      </c>
      <c r="BP4423" s="2"/>
      <c r="BQ4423" s="2" t="s">
        <v>1540</v>
      </c>
      <c r="BR4423" s="2" t="s">
        <v>84</v>
      </c>
      <c r="BS4423" s="3">
        <v>42951</v>
      </c>
      <c r="BT4423" s="4">
        <v>0.40763888888888888</v>
      </c>
      <c r="BU4423" s="2" t="s">
        <v>3424</v>
      </c>
      <c r="BV4423" s="2" t="s">
        <v>95</v>
      </c>
      <c r="BW4423" s="2"/>
      <c r="BX4423" s="2"/>
      <c r="BY4423" s="2">
        <v>1200</v>
      </c>
      <c r="BZ4423" s="2" t="s">
        <v>27</v>
      </c>
      <c r="CA4423" s="2" t="s">
        <v>607</v>
      </c>
      <c r="CB4423" s="2"/>
      <c r="CC4423" s="2" t="s">
        <v>605</v>
      </c>
      <c r="CD4423" s="2">
        <v>4126</v>
      </c>
      <c r="CE4423" s="2" t="s">
        <v>3630</v>
      </c>
      <c r="CF4423" s="5">
        <v>42951</v>
      </c>
      <c r="CG4423" s="2"/>
      <c r="CH4423" s="2"/>
      <c r="CI4423" s="2">
        <v>1</v>
      </c>
      <c r="CJ4423" s="2">
        <v>1</v>
      </c>
      <c r="CK4423" s="2">
        <v>21</v>
      </c>
      <c r="CL4423" s="2" t="s">
        <v>86</v>
      </c>
      <c r="CM4423" s="2"/>
    </row>
    <row r="4424" spans="1:91">
      <c r="A4424" s="2" t="s">
        <v>71</v>
      </c>
      <c r="B4424" s="2" t="s">
        <v>72</v>
      </c>
      <c r="C4424" s="2" t="s">
        <v>73</v>
      </c>
      <c r="D4424" s="2"/>
      <c r="E4424" s="2" t="str">
        <f>"FES1162566738"</f>
        <v>FES1162566738</v>
      </c>
      <c r="F4424" s="3">
        <v>42950</v>
      </c>
      <c r="G4424" s="2">
        <v>201802</v>
      </c>
      <c r="H4424" s="2" t="s">
        <v>74</v>
      </c>
      <c r="I4424" s="2" t="s">
        <v>75</v>
      </c>
      <c r="J4424" s="2" t="s">
        <v>76</v>
      </c>
      <c r="K4424" s="2" t="s">
        <v>77</v>
      </c>
      <c r="L4424" s="2" t="s">
        <v>105</v>
      </c>
      <c r="M4424" s="2" t="s">
        <v>106</v>
      </c>
      <c r="N4424" s="2" t="s">
        <v>657</v>
      </c>
      <c r="O4424" s="2" t="s">
        <v>100</v>
      </c>
      <c r="P4424" s="2" t="str">
        <f>"2170583018                    "</f>
        <v xml:space="preserve">2170583018                    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  <c r="AB4424" s="2">
        <v>0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4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0</v>
      </c>
      <c r="AU4424" s="2">
        <v>0</v>
      </c>
      <c r="AV4424" s="2">
        <v>0</v>
      </c>
      <c r="AW4424" s="2">
        <v>0</v>
      </c>
      <c r="AX4424" s="2">
        <v>0</v>
      </c>
      <c r="AY4424" s="2">
        <v>0</v>
      </c>
      <c r="AZ4424" s="2">
        <v>0</v>
      </c>
      <c r="BA4424" s="2">
        <v>0</v>
      </c>
      <c r="BB4424" s="2">
        <v>0</v>
      </c>
      <c r="BC4424" s="2">
        <v>0</v>
      </c>
      <c r="BD4424" s="2">
        <v>0</v>
      </c>
      <c r="BE4424" s="2">
        <v>0</v>
      </c>
      <c r="BF4424" s="2">
        <v>0</v>
      </c>
      <c r="BG4424" s="2">
        <v>0</v>
      </c>
      <c r="BH4424" s="2">
        <v>1</v>
      </c>
      <c r="BI4424" s="2">
        <v>1</v>
      </c>
      <c r="BJ4424" s="2">
        <v>0.2</v>
      </c>
      <c r="BK4424" s="2">
        <v>1</v>
      </c>
      <c r="BL4424" s="2">
        <v>41.44</v>
      </c>
      <c r="BM4424" s="2">
        <v>5.8</v>
      </c>
      <c r="BN4424" s="2">
        <v>47.24</v>
      </c>
      <c r="BO4424" s="2">
        <v>47.24</v>
      </c>
      <c r="BP4424" s="2"/>
      <c r="BQ4424" s="2" t="s">
        <v>108</v>
      </c>
      <c r="BR4424" s="2" t="s">
        <v>84</v>
      </c>
      <c r="BS4424" s="3">
        <v>42951</v>
      </c>
      <c r="BT4424" s="4">
        <v>0.53888888888888886</v>
      </c>
      <c r="BU4424" s="2" t="s">
        <v>2350</v>
      </c>
      <c r="BV4424" s="2" t="s">
        <v>86</v>
      </c>
      <c r="BW4424" s="2"/>
      <c r="BX4424" s="2"/>
      <c r="BY4424" s="2">
        <v>1200</v>
      </c>
      <c r="BZ4424" s="2" t="s">
        <v>27</v>
      </c>
      <c r="CA4424" s="2" t="s">
        <v>350</v>
      </c>
      <c r="CB4424" s="2"/>
      <c r="CC4424" s="2" t="s">
        <v>106</v>
      </c>
      <c r="CD4424" s="2">
        <v>7945</v>
      </c>
      <c r="CE4424" s="2" t="s">
        <v>104</v>
      </c>
      <c r="CF4424" s="5">
        <v>42954</v>
      </c>
      <c r="CG4424" s="2"/>
      <c r="CH4424" s="2"/>
      <c r="CI4424" s="2">
        <v>1</v>
      </c>
      <c r="CJ4424" s="2">
        <v>1</v>
      </c>
      <c r="CK4424" s="2">
        <v>21</v>
      </c>
      <c r="CL4424" s="2" t="s">
        <v>86</v>
      </c>
      <c r="CM4424" s="2"/>
    </row>
    <row r="4425" spans="1:91">
      <c r="A4425" s="2" t="s">
        <v>71</v>
      </c>
      <c r="B4425" s="2" t="s">
        <v>72</v>
      </c>
      <c r="C4425" s="2" t="s">
        <v>73</v>
      </c>
      <c r="D4425" s="2"/>
      <c r="E4425" s="2" t="str">
        <f>"FES1162566938"</f>
        <v>FES1162566938</v>
      </c>
      <c r="F4425" s="3">
        <v>42950</v>
      </c>
      <c r="G4425" s="2">
        <v>201802</v>
      </c>
      <c r="H4425" s="2" t="s">
        <v>74</v>
      </c>
      <c r="I4425" s="2" t="s">
        <v>75</v>
      </c>
      <c r="J4425" s="2" t="s">
        <v>76</v>
      </c>
      <c r="K4425" s="2" t="s">
        <v>77</v>
      </c>
      <c r="L4425" s="2" t="s">
        <v>97</v>
      </c>
      <c r="M4425" s="2" t="s">
        <v>98</v>
      </c>
      <c r="N4425" s="2" t="s">
        <v>248</v>
      </c>
      <c r="O4425" s="2" t="s">
        <v>100</v>
      </c>
      <c r="P4425" s="2" t="str">
        <f>"2170582816                    "</f>
        <v xml:space="preserve">2170582816                    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8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0</v>
      </c>
      <c r="AU4425" s="2">
        <v>0</v>
      </c>
      <c r="AV4425" s="2">
        <v>0</v>
      </c>
      <c r="AW4425" s="2">
        <v>0</v>
      </c>
      <c r="AX4425" s="2">
        <v>0</v>
      </c>
      <c r="AY4425" s="2">
        <v>0</v>
      </c>
      <c r="AZ4425" s="2">
        <v>0</v>
      </c>
      <c r="BA4425" s="2">
        <v>0</v>
      </c>
      <c r="BB4425" s="2">
        <v>0</v>
      </c>
      <c r="BC4425" s="2">
        <v>0</v>
      </c>
      <c r="BD4425" s="2">
        <v>0</v>
      </c>
      <c r="BE4425" s="2">
        <v>0</v>
      </c>
      <c r="BF4425" s="2">
        <v>0</v>
      </c>
      <c r="BG4425" s="2">
        <v>0</v>
      </c>
      <c r="BH4425" s="2">
        <v>1</v>
      </c>
      <c r="BI4425" s="2">
        <v>3.5</v>
      </c>
      <c r="BJ4425" s="2">
        <v>3.8</v>
      </c>
      <c r="BK4425" s="2">
        <v>4</v>
      </c>
      <c r="BL4425" s="2">
        <v>82.88</v>
      </c>
      <c r="BM4425" s="2">
        <v>11.6</v>
      </c>
      <c r="BN4425" s="2">
        <v>94.48</v>
      </c>
      <c r="BO4425" s="2">
        <v>94.48</v>
      </c>
      <c r="BP4425" s="2"/>
      <c r="BQ4425" s="2" t="s">
        <v>83</v>
      </c>
      <c r="BR4425" s="2" t="s">
        <v>84</v>
      </c>
      <c r="BS4425" s="3">
        <v>42951</v>
      </c>
      <c r="BT4425" s="4">
        <v>0.33333333333333331</v>
      </c>
      <c r="BU4425" s="2" t="s">
        <v>1130</v>
      </c>
      <c r="BV4425" s="2" t="s">
        <v>95</v>
      </c>
      <c r="BW4425" s="2"/>
      <c r="BX4425" s="2"/>
      <c r="BY4425" s="2">
        <v>19106.16</v>
      </c>
      <c r="BZ4425" s="2" t="s">
        <v>27</v>
      </c>
      <c r="CA4425" s="2" t="s">
        <v>804</v>
      </c>
      <c r="CB4425" s="2"/>
      <c r="CC4425" s="2" t="s">
        <v>98</v>
      </c>
      <c r="CD4425" s="2">
        <v>6001</v>
      </c>
      <c r="CE4425" s="2" t="s">
        <v>89</v>
      </c>
      <c r="CF4425" s="5">
        <v>42951</v>
      </c>
      <c r="CG4425" s="2"/>
      <c r="CH4425" s="2"/>
      <c r="CI4425" s="2">
        <v>1</v>
      </c>
      <c r="CJ4425" s="2">
        <v>1</v>
      </c>
      <c r="CK4425" s="2">
        <v>21</v>
      </c>
      <c r="CL4425" s="2" t="s">
        <v>86</v>
      </c>
      <c r="CM4425" s="2"/>
    </row>
    <row r="4426" spans="1:91">
      <c r="A4426" s="2" t="s">
        <v>71</v>
      </c>
      <c r="B4426" s="2" t="s">
        <v>72</v>
      </c>
      <c r="C4426" s="2" t="s">
        <v>73</v>
      </c>
      <c r="D4426" s="2"/>
      <c r="E4426" s="2" t="str">
        <f>"FES1162566783"</f>
        <v>FES1162566783</v>
      </c>
      <c r="F4426" s="3">
        <v>42950</v>
      </c>
      <c r="G4426" s="2">
        <v>201802</v>
      </c>
      <c r="H4426" s="2" t="s">
        <v>74</v>
      </c>
      <c r="I4426" s="2" t="s">
        <v>75</v>
      </c>
      <c r="J4426" s="2" t="s">
        <v>76</v>
      </c>
      <c r="K4426" s="2" t="s">
        <v>77</v>
      </c>
      <c r="L4426" s="2" t="s">
        <v>846</v>
      </c>
      <c r="M4426" s="2" t="s">
        <v>847</v>
      </c>
      <c r="N4426" s="2" t="s">
        <v>1017</v>
      </c>
      <c r="O4426" s="2" t="s">
        <v>100</v>
      </c>
      <c r="P4426" s="2" t="str">
        <f>"2170583029                    "</f>
        <v xml:space="preserve">2170583029                    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7.75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0</v>
      </c>
      <c r="AU4426" s="2">
        <v>0</v>
      </c>
      <c r="AV4426" s="2">
        <v>0</v>
      </c>
      <c r="AW4426" s="2">
        <v>0</v>
      </c>
      <c r="AX4426" s="2">
        <v>0</v>
      </c>
      <c r="AY4426" s="2">
        <v>0</v>
      </c>
      <c r="AZ4426" s="2">
        <v>0</v>
      </c>
      <c r="BA4426" s="2">
        <v>0</v>
      </c>
      <c r="BB4426" s="2">
        <v>0</v>
      </c>
      <c r="BC4426" s="2">
        <v>0</v>
      </c>
      <c r="BD4426" s="2">
        <v>0</v>
      </c>
      <c r="BE4426" s="2">
        <v>0</v>
      </c>
      <c r="BF4426" s="2">
        <v>0</v>
      </c>
      <c r="BG4426" s="2">
        <v>0</v>
      </c>
      <c r="BH4426" s="2">
        <v>1</v>
      </c>
      <c r="BI4426" s="2">
        <v>1</v>
      </c>
      <c r="BJ4426" s="2">
        <v>0.2</v>
      </c>
      <c r="BK4426" s="2">
        <v>1</v>
      </c>
      <c r="BL4426" s="2">
        <v>80.290000000000006</v>
      </c>
      <c r="BM4426" s="2">
        <v>11.24</v>
      </c>
      <c r="BN4426" s="2">
        <v>91.53</v>
      </c>
      <c r="BO4426" s="2">
        <v>91.53</v>
      </c>
      <c r="BP4426" s="2"/>
      <c r="BQ4426" s="2" t="s">
        <v>83</v>
      </c>
      <c r="BR4426" s="2" t="s">
        <v>84</v>
      </c>
      <c r="BS4426" s="3">
        <v>42951</v>
      </c>
      <c r="BT4426" s="4">
        <v>0.55555555555555558</v>
      </c>
      <c r="BU4426" s="2" t="s">
        <v>4017</v>
      </c>
      <c r="BV4426" s="2" t="s">
        <v>95</v>
      </c>
      <c r="BW4426" s="2"/>
      <c r="BX4426" s="2"/>
      <c r="BY4426" s="2">
        <v>1200</v>
      </c>
      <c r="BZ4426" s="2" t="s">
        <v>27</v>
      </c>
      <c r="CA4426" s="2"/>
      <c r="CB4426" s="2"/>
      <c r="CC4426" s="2" t="s">
        <v>847</v>
      </c>
      <c r="CD4426" s="2">
        <v>7349</v>
      </c>
      <c r="CE4426" s="2" t="s">
        <v>104</v>
      </c>
      <c r="CF4426" s="5">
        <v>42954</v>
      </c>
      <c r="CG4426" s="2"/>
      <c r="CH4426" s="2"/>
      <c r="CI4426" s="2">
        <v>1</v>
      </c>
      <c r="CJ4426" s="2">
        <v>1</v>
      </c>
      <c r="CK4426" s="2">
        <v>23</v>
      </c>
      <c r="CL4426" s="2" t="s">
        <v>86</v>
      </c>
      <c r="CM4426" s="2"/>
    </row>
    <row r="4427" spans="1:91">
      <c r="A4427" s="2" t="s">
        <v>71</v>
      </c>
      <c r="B4427" s="2" t="s">
        <v>72</v>
      </c>
      <c r="C4427" s="2" t="s">
        <v>73</v>
      </c>
      <c r="D4427" s="2"/>
      <c r="E4427" s="2" t="str">
        <f>"FES1162566818"</f>
        <v>FES1162566818</v>
      </c>
      <c r="F4427" s="3">
        <v>42950</v>
      </c>
      <c r="G4427" s="2">
        <v>201802</v>
      </c>
      <c r="H4427" s="2" t="s">
        <v>74</v>
      </c>
      <c r="I4427" s="2" t="s">
        <v>75</v>
      </c>
      <c r="J4427" s="2" t="s">
        <v>76</v>
      </c>
      <c r="K4427" s="2" t="s">
        <v>77</v>
      </c>
      <c r="L4427" s="2" t="s">
        <v>105</v>
      </c>
      <c r="M4427" s="2" t="s">
        <v>106</v>
      </c>
      <c r="N4427" s="2" t="s">
        <v>107</v>
      </c>
      <c r="O4427" s="2" t="s">
        <v>100</v>
      </c>
      <c r="P4427" s="2" t="str">
        <f>"2170583052                    "</f>
        <v xml:space="preserve">2170583052                    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2">
        <v>0</v>
      </c>
      <c r="Z4427" s="2">
        <v>0</v>
      </c>
      <c r="AA4427" s="2">
        <v>0</v>
      </c>
      <c r="AB4427" s="2">
        <v>0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4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0</v>
      </c>
      <c r="AU4427" s="2">
        <v>0</v>
      </c>
      <c r="AV4427" s="2">
        <v>0</v>
      </c>
      <c r="AW4427" s="2">
        <v>0</v>
      </c>
      <c r="AX4427" s="2">
        <v>0</v>
      </c>
      <c r="AY4427" s="2">
        <v>0</v>
      </c>
      <c r="AZ4427" s="2">
        <v>0</v>
      </c>
      <c r="BA4427" s="2">
        <v>0</v>
      </c>
      <c r="BB4427" s="2">
        <v>0</v>
      </c>
      <c r="BC4427" s="2">
        <v>0</v>
      </c>
      <c r="BD4427" s="2">
        <v>0</v>
      </c>
      <c r="BE4427" s="2">
        <v>0</v>
      </c>
      <c r="BF4427" s="2">
        <v>0</v>
      </c>
      <c r="BG4427" s="2">
        <v>0</v>
      </c>
      <c r="BH4427" s="2">
        <v>1</v>
      </c>
      <c r="BI4427" s="2">
        <v>2</v>
      </c>
      <c r="BJ4427" s="2">
        <v>1</v>
      </c>
      <c r="BK4427" s="2">
        <v>2</v>
      </c>
      <c r="BL4427" s="2">
        <v>41.44</v>
      </c>
      <c r="BM4427" s="2">
        <v>5.8</v>
      </c>
      <c r="BN4427" s="2">
        <v>47.24</v>
      </c>
      <c r="BO4427" s="2">
        <v>47.24</v>
      </c>
      <c r="BP4427" s="2"/>
      <c r="BQ4427" s="2" t="s">
        <v>108</v>
      </c>
      <c r="BR4427" s="2" t="s">
        <v>84</v>
      </c>
      <c r="BS4427" s="3">
        <v>42951</v>
      </c>
      <c r="BT4427" s="4">
        <v>0.39999999999999997</v>
      </c>
      <c r="BU4427" s="2" t="s">
        <v>1888</v>
      </c>
      <c r="BV4427" s="2" t="s">
        <v>95</v>
      </c>
      <c r="BW4427" s="2"/>
      <c r="BX4427" s="2"/>
      <c r="BY4427" s="2">
        <v>4877.47</v>
      </c>
      <c r="BZ4427" s="2" t="s">
        <v>27</v>
      </c>
      <c r="CA4427" s="2" t="s">
        <v>856</v>
      </c>
      <c r="CB4427" s="2"/>
      <c r="CC4427" s="2" t="s">
        <v>106</v>
      </c>
      <c r="CD4427" s="2">
        <v>7405</v>
      </c>
      <c r="CE4427" s="2" t="s">
        <v>89</v>
      </c>
      <c r="CF4427" s="5">
        <v>42951</v>
      </c>
      <c r="CG4427" s="2"/>
      <c r="CH4427" s="2"/>
      <c r="CI4427" s="2">
        <v>1</v>
      </c>
      <c r="CJ4427" s="2">
        <v>1</v>
      </c>
      <c r="CK4427" s="2">
        <v>21</v>
      </c>
      <c r="CL4427" s="2" t="s">
        <v>86</v>
      </c>
      <c r="CM4427" s="2"/>
    </row>
    <row r="4428" spans="1:91">
      <c r="A4428" s="2" t="s">
        <v>71</v>
      </c>
      <c r="B4428" s="2" t="s">
        <v>72</v>
      </c>
      <c r="C4428" s="2" t="s">
        <v>73</v>
      </c>
      <c r="D4428" s="2"/>
      <c r="E4428" s="2" t="str">
        <f>"FES1162566662"</f>
        <v>FES1162566662</v>
      </c>
      <c r="F4428" s="3">
        <v>42950</v>
      </c>
      <c r="G4428" s="2">
        <v>201802</v>
      </c>
      <c r="H4428" s="2" t="s">
        <v>74</v>
      </c>
      <c r="I4428" s="2" t="s">
        <v>75</v>
      </c>
      <c r="J4428" s="2" t="s">
        <v>76</v>
      </c>
      <c r="K4428" s="2" t="s">
        <v>77</v>
      </c>
      <c r="L4428" s="2" t="s">
        <v>206</v>
      </c>
      <c r="M4428" s="2" t="s">
        <v>207</v>
      </c>
      <c r="N4428" s="2" t="s">
        <v>1570</v>
      </c>
      <c r="O4428" s="2" t="s">
        <v>100</v>
      </c>
      <c r="P4428" s="2" t="str">
        <f>"2170579563                    "</f>
        <v xml:space="preserve">2170579563                    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2">
        <v>0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5.63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0</v>
      </c>
      <c r="AU4428" s="2">
        <v>0</v>
      </c>
      <c r="AV4428" s="2">
        <v>0</v>
      </c>
      <c r="AW4428" s="2">
        <v>0</v>
      </c>
      <c r="AX4428" s="2">
        <v>0</v>
      </c>
      <c r="AY4428" s="2">
        <v>0</v>
      </c>
      <c r="AZ4428" s="2">
        <v>0</v>
      </c>
      <c r="BA4428" s="2">
        <v>0</v>
      </c>
      <c r="BB4428" s="2">
        <v>0</v>
      </c>
      <c r="BC4428" s="2">
        <v>0</v>
      </c>
      <c r="BD4428" s="2">
        <v>0</v>
      </c>
      <c r="BE4428" s="2">
        <v>0</v>
      </c>
      <c r="BF4428" s="2">
        <v>0</v>
      </c>
      <c r="BG4428" s="2">
        <v>0</v>
      </c>
      <c r="BH4428" s="2">
        <v>1</v>
      </c>
      <c r="BI4428" s="2">
        <v>1</v>
      </c>
      <c r="BJ4428" s="2">
        <v>0.2</v>
      </c>
      <c r="BK4428" s="2">
        <v>1</v>
      </c>
      <c r="BL4428" s="2">
        <v>58.28</v>
      </c>
      <c r="BM4428" s="2">
        <v>8.16</v>
      </c>
      <c r="BN4428" s="2">
        <v>66.44</v>
      </c>
      <c r="BO4428" s="2">
        <v>66.44</v>
      </c>
      <c r="BP4428" s="2"/>
      <c r="BQ4428" s="2" t="s">
        <v>1571</v>
      </c>
      <c r="BR4428" s="2" t="s">
        <v>84</v>
      </c>
      <c r="BS4428" s="3">
        <v>42951</v>
      </c>
      <c r="BT4428" s="4">
        <v>0.42777777777777781</v>
      </c>
      <c r="BU4428" s="2" t="s">
        <v>4018</v>
      </c>
      <c r="BV4428" s="2" t="s">
        <v>95</v>
      </c>
      <c r="BW4428" s="2"/>
      <c r="BX4428" s="2"/>
      <c r="BY4428" s="2">
        <v>1200</v>
      </c>
      <c r="BZ4428" s="2" t="s">
        <v>27</v>
      </c>
      <c r="CA4428" s="2" t="s">
        <v>211</v>
      </c>
      <c r="CB4428" s="2"/>
      <c r="CC4428" s="2" t="s">
        <v>207</v>
      </c>
      <c r="CD4428" s="2">
        <v>250</v>
      </c>
      <c r="CE4428" s="2" t="s">
        <v>104</v>
      </c>
      <c r="CF4428" s="5">
        <v>42955</v>
      </c>
      <c r="CG4428" s="2"/>
      <c r="CH4428" s="2"/>
      <c r="CI4428" s="2">
        <v>1</v>
      </c>
      <c r="CJ4428" s="2">
        <v>1</v>
      </c>
      <c r="CK4428" s="2">
        <v>24</v>
      </c>
      <c r="CL4428" s="2" t="s">
        <v>86</v>
      </c>
      <c r="CM4428" s="2"/>
    </row>
    <row r="4429" spans="1:91">
      <c r="A4429" s="2" t="s">
        <v>71</v>
      </c>
      <c r="B4429" s="2" t="s">
        <v>72</v>
      </c>
      <c r="C4429" s="2" t="s">
        <v>73</v>
      </c>
      <c r="D4429" s="2"/>
      <c r="E4429" s="2" t="str">
        <f>"FES1162566936"</f>
        <v>FES1162566936</v>
      </c>
      <c r="F4429" s="3">
        <v>42950</v>
      </c>
      <c r="G4429" s="2">
        <v>201802</v>
      </c>
      <c r="H4429" s="2" t="s">
        <v>74</v>
      </c>
      <c r="I4429" s="2" t="s">
        <v>75</v>
      </c>
      <c r="J4429" s="2" t="s">
        <v>76</v>
      </c>
      <c r="K4429" s="2" t="s">
        <v>77</v>
      </c>
      <c r="L4429" s="2" t="s">
        <v>97</v>
      </c>
      <c r="M4429" s="2" t="s">
        <v>98</v>
      </c>
      <c r="N4429" s="2" t="s">
        <v>119</v>
      </c>
      <c r="O4429" s="2" t="s">
        <v>100</v>
      </c>
      <c r="P4429" s="2" t="str">
        <f>"217058426                     "</f>
        <v xml:space="preserve">217058426                     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2">
        <v>0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4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0</v>
      </c>
      <c r="AU4429" s="2">
        <v>0</v>
      </c>
      <c r="AV4429" s="2">
        <v>0</v>
      </c>
      <c r="AW4429" s="2">
        <v>0</v>
      </c>
      <c r="AX4429" s="2">
        <v>0</v>
      </c>
      <c r="AY4429" s="2">
        <v>0</v>
      </c>
      <c r="AZ4429" s="2">
        <v>0</v>
      </c>
      <c r="BA4429" s="2">
        <v>0</v>
      </c>
      <c r="BB4429" s="2">
        <v>0</v>
      </c>
      <c r="BC4429" s="2">
        <v>0</v>
      </c>
      <c r="BD4429" s="2">
        <v>0</v>
      </c>
      <c r="BE4429" s="2">
        <v>0</v>
      </c>
      <c r="BF4429" s="2">
        <v>0</v>
      </c>
      <c r="BG4429" s="2">
        <v>0</v>
      </c>
      <c r="BH4429" s="2">
        <v>1</v>
      </c>
      <c r="BI4429" s="2">
        <v>1.1000000000000001</v>
      </c>
      <c r="BJ4429" s="2">
        <v>0.8</v>
      </c>
      <c r="BK4429" s="2">
        <v>1.5</v>
      </c>
      <c r="BL4429" s="2">
        <v>41.44</v>
      </c>
      <c r="BM4429" s="2">
        <v>5.8</v>
      </c>
      <c r="BN4429" s="2">
        <v>47.24</v>
      </c>
      <c r="BO4429" s="2">
        <v>47.24</v>
      </c>
      <c r="BP4429" s="2"/>
      <c r="BQ4429" s="2" t="s">
        <v>108</v>
      </c>
      <c r="BR4429" s="2" t="s">
        <v>84</v>
      </c>
      <c r="BS4429" s="3">
        <v>42951</v>
      </c>
      <c r="BT4429" s="4">
        <v>0.33680555555555558</v>
      </c>
      <c r="BU4429" s="2" t="s">
        <v>224</v>
      </c>
      <c r="BV4429" s="2" t="s">
        <v>95</v>
      </c>
      <c r="BW4429" s="2"/>
      <c r="BX4429" s="2"/>
      <c r="BY4429" s="2">
        <v>4031.04</v>
      </c>
      <c r="BZ4429" s="2" t="s">
        <v>27</v>
      </c>
      <c r="CA4429" s="2" t="s">
        <v>213</v>
      </c>
      <c r="CB4429" s="2"/>
      <c r="CC4429" s="2" t="s">
        <v>98</v>
      </c>
      <c r="CD4429" s="2">
        <v>6001</v>
      </c>
      <c r="CE4429" s="2" t="s">
        <v>1005</v>
      </c>
      <c r="CF4429" s="5">
        <v>42954</v>
      </c>
      <c r="CG4429" s="2"/>
      <c r="CH4429" s="2"/>
      <c r="CI4429" s="2">
        <v>1</v>
      </c>
      <c r="CJ4429" s="2">
        <v>1</v>
      </c>
      <c r="CK4429" s="2">
        <v>21</v>
      </c>
      <c r="CL4429" s="2" t="s">
        <v>86</v>
      </c>
      <c r="CM4429" s="2"/>
    </row>
    <row r="4430" spans="1:91">
      <c r="A4430" s="2" t="s">
        <v>71</v>
      </c>
      <c r="B4430" s="2" t="s">
        <v>72</v>
      </c>
      <c r="C4430" s="2" t="s">
        <v>73</v>
      </c>
      <c r="D4430" s="2"/>
      <c r="E4430" s="2" t="str">
        <f>"FES1162566564"</f>
        <v>FES1162566564</v>
      </c>
      <c r="F4430" s="3">
        <v>42950</v>
      </c>
      <c r="G4430" s="2">
        <v>201802</v>
      </c>
      <c r="H4430" s="2" t="s">
        <v>74</v>
      </c>
      <c r="I4430" s="2" t="s">
        <v>75</v>
      </c>
      <c r="J4430" s="2" t="s">
        <v>76</v>
      </c>
      <c r="K4430" s="2" t="s">
        <v>77</v>
      </c>
      <c r="L4430" s="2" t="s">
        <v>144</v>
      </c>
      <c r="M4430" s="2" t="s">
        <v>145</v>
      </c>
      <c r="N4430" s="2" t="s">
        <v>1578</v>
      </c>
      <c r="O4430" s="2" t="s">
        <v>100</v>
      </c>
      <c r="P4430" s="2" t="str">
        <f>"2170582912                    "</f>
        <v xml:space="preserve">2170582912                    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3.13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0</v>
      </c>
      <c r="AU4430" s="2">
        <v>0</v>
      </c>
      <c r="AV4430" s="2">
        <v>0</v>
      </c>
      <c r="AW4430" s="2">
        <v>0</v>
      </c>
      <c r="AX4430" s="2">
        <v>0</v>
      </c>
      <c r="AY4430" s="2">
        <v>0</v>
      </c>
      <c r="AZ4430" s="2">
        <v>0</v>
      </c>
      <c r="BA4430" s="2">
        <v>0</v>
      </c>
      <c r="BB4430" s="2">
        <v>0</v>
      </c>
      <c r="BC4430" s="2">
        <v>0</v>
      </c>
      <c r="BD4430" s="2">
        <v>0</v>
      </c>
      <c r="BE4430" s="2">
        <v>0</v>
      </c>
      <c r="BF4430" s="2">
        <v>0</v>
      </c>
      <c r="BG4430" s="2">
        <v>0</v>
      </c>
      <c r="BH4430" s="2">
        <v>1</v>
      </c>
      <c r="BI4430" s="2">
        <v>1</v>
      </c>
      <c r="BJ4430" s="2">
        <v>0.2</v>
      </c>
      <c r="BK4430" s="2">
        <v>1</v>
      </c>
      <c r="BL4430" s="2">
        <v>32.380000000000003</v>
      </c>
      <c r="BM4430" s="2">
        <v>4.53</v>
      </c>
      <c r="BN4430" s="2">
        <v>36.909999999999997</v>
      </c>
      <c r="BO4430" s="2">
        <v>36.909999999999997</v>
      </c>
      <c r="BP4430" s="2"/>
      <c r="BQ4430" s="2" t="s">
        <v>108</v>
      </c>
      <c r="BR4430" s="2" t="s">
        <v>84</v>
      </c>
      <c r="BS4430" s="3">
        <v>42951</v>
      </c>
      <c r="BT4430" s="4">
        <v>0.44930555555555557</v>
      </c>
      <c r="BU4430" s="2" t="s">
        <v>1754</v>
      </c>
      <c r="BV4430" s="2" t="s">
        <v>95</v>
      </c>
      <c r="BW4430" s="2"/>
      <c r="BX4430" s="2"/>
      <c r="BY4430" s="2">
        <v>1200</v>
      </c>
      <c r="BZ4430" s="2" t="s">
        <v>27</v>
      </c>
      <c r="CA4430" s="2"/>
      <c r="CB4430" s="2"/>
      <c r="CC4430" s="2" t="s">
        <v>145</v>
      </c>
      <c r="CD4430" s="2">
        <v>2197</v>
      </c>
      <c r="CE4430" s="2" t="s">
        <v>104</v>
      </c>
      <c r="CF4430" s="5">
        <v>42954</v>
      </c>
      <c r="CG4430" s="2"/>
      <c r="CH4430" s="2"/>
      <c r="CI4430" s="2">
        <v>1</v>
      </c>
      <c r="CJ4430" s="2">
        <v>1</v>
      </c>
      <c r="CK4430" s="2">
        <v>22</v>
      </c>
      <c r="CL4430" s="2" t="s">
        <v>86</v>
      </c>
      <c r="CM4430" s="2"/>
    </row>
    <row r="4431" spans="1:91">
      <c r="A4431" s="2" t="s">
        <v>71</v>
      </c>
      <c r="B4431" s="2" t="s">
        <v>72</v>
      </c>
      <c r="C4431" s="2" t="s">
        <v>73</v>
      </c>
      <c r="D4431" s="2"/>
      <c r="E4431" s="2" t="str">
        <f>"FES1162566751"</f>
        <v>FES1162566751</v>
      </c>
      <c r="F4431" s="3">
        <v>42950</v>
      </c>
      <c r="G4431" s="2">
        <v>201802</v>
      </c>
      <c r="H4431" s="2" t="s">
        <v>74</v>
      </c>
      <c r="I4431" s="2" t="s">
        <v>75</v>
      </c>
      <c r="J4431" s="2" t="s">
        <v>76</v>
      </c>
      <c r="K4431" s="2" t="s">
        <v>77</v>
      </c>
      <c r="L4431" s="2" t="s">
        <v>144</v>
      </c>
      <c r="M4431" s="2" t="s">
        <v>145</v>
      </c>
      <c r="N4431" s="2" t="s">
        <v>2512</v>
      </c>
      <c r="O4431" s="2" t="s">
        <v>100</v>
      </c>
      <c r="P4431" s="2" t="str">
        <f>"217059566                     "</f>
        <v xml:space="preserve">217059566                     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3.13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0</v>
      </c>
      <c r="AU4431" s="2">
        <v>0</v>
      </c>
      <c r="AV4431" s="2">
        <v>0</v>
      </c>
      <c r="AW4431" s="2">
        <v>0</v>
      </c>
      <c r="AX4431" s="2">
        <v>0</v>
      </c>
      <c r="AY4431" s="2">
        <v>0</v>
      </c>
      <c r="AZ4431" s="2">
        <v>0</v>
      </c>
      <c r="BA4431" s="2">
        <v>0</v>
      </c>
      <c r="BB4431" s="2">
        <v>0</v>
      </c>
      <c r="BC4431" s="2">
        <v>0</v>
      </c>
      <c r="BD4431" s="2">
        <v>0</v>
      </c>
      <c r="BE4431" s="2">
        <v>0</v>
      </c>
      <c r="BF4431" s="2">
        <v>0</v>
      </c>
      <c r="BG4431" s="2">
        <v>0</v>
      </c>
      <c r="BH4431" s="2">
        <v>1</v>
      </c>
      <c r="BI4431" s="2">
        <v>1.7</v>
      </c>
      <c r="BJ4431" s="2">
        <v>0.8</v>
      </c>
      <c r="BK4431" s="2">
        <v>2</v>
      </c>
      <c r="BL4431" s="2">
        <v>32.380000000000003</v>
      </c>
      <c r="BM4431" s="2">
        <v>4.53</v>
      </c>
      <c r="BN4431" s="2">
        <v>36.909999999999997</v>
      </c>
      <c r="BO4431" s="2">
        <v>36.909999999999997</v>
      </c>
      <c r="BP4431" s="2"/>
      <c r="BQ4431" s="2" t="s">
        <v>4019</v>
      </c>
      <c r="BR4431" s="2" t="s">
        <v>84</v>
      </c>
      <c r="BS4431" s="3">
        <v>42951</v>
      </c>
      <c r="BT4431" s="4">
        <v>0.30694444444444441</v>
      </c>
      <c r="BU4431" s="2" t="s">
        <v>4020</v>
      </c>
      <c r="BV4431" s="2" t="s">
        <v>95</v>
      </c>
      <c r="BW4431" s="2"/>
      <c r="BX4431" s="2"/>
      <c r="BY4431" s="2">
        <v>3842.57</v>
      </c>
      <c r="BZ4431" s="2" t="s">
        <v>27</v>
      </c>
      <c r="CA4431" s="2" t="s">
        <v>729</v>
      </c>
      <c r="CB4431" s="2"/>
      <c r="CC4431" s="2" t="s">
        <v>145</v>
      </c>
      <c r="CD4431" s="2">
        <v>2094</v>
      </c>
      <c r="CE4431" s="2" t="s">
        <v>89</v>
      </c>
      <c r="CF4431" s="5">
        <v>42954</v>
      </c>
      <c r="CG4431" s="2"/>
      <c r="CH4431" s="2"/>
      <c r="CI4431" s="2">
        <v>1</v>
      </c>
      <c r="CJ4431" s="2">
        <v>1</v>
      </c>
      <c r="CK4431" s="2">
        <v>22</v>
      </c>
      <c r="CL4431" s="2" t="s">
        <v>86</v>
      </c>
      <c r="CM4431" s="2"/>
    </row>
    <row r="4432" spans="1:91">
      <c r="A4432" s="2" t="s">
        <v>71</v>
      </c>
      <c r="B4432" s="2" t="s">
        <v>72</v>
      </c>
      <c r="C4432" s="2" t="s">
        <v>73</v>
      </c>
      <c r="D4432" s="2"/>
      <c r="E4432" s="2" t="str">
        <f>"FES1162566577"</f>
        <v>FES1162566577</v>
      </c>
      <c r="F4432" s="3">
        <v>42950</v>
      </c>
      <c r="G4432" s="2">
        <v>201802</v>
      </c>
      <c r="H4432" s="2" t="s">
        <v>74</v>
      </c>
      <c r="I4432" s="2" t="s">
        <v>75</v>
      </c>
      <c r="J4432" s="2" t="s">
        <v>76</v>
      </c>
      <c r="K4432" s="2" t="s">
        <v>77</v>
      </c>
      <c r="L4432" s="2" t="s">
        <v>144</v>
      </c>
      <c r="M4432" s="2" t="s">
        <v>145</v>
      </c>
      <c r="N4432" s="2" t="s">
        <v>1462</v>
      </c>
      <c r="O4432" s="2" t="s">
        <v>100</v>
      </c>
      <c r="P4432" s="2" t="str">
        <f>"2170582930                    "</f>
        <v xml:space="preserve">2170582930                    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3.13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0</v>
      </c>
      <c r="AU4432" s="2">
        <v>0</v>
      </c>
      <c r="AV4432" s="2">
        <v>0</v>
      </c>
      <c r="AW4432" s="2">
        <v>0</v>
      </c>
      <c r="AX4432" s="2">
        <v>0</v>
      </c>
      <c r="AY4432" s="2">
        <v>0</v>
      </c>
      <c r="AZ4432" s="2">
        <v>0</v>
      </c>
      <c r="BA4432" s="2">
        <v>0</v>
      </c>
      <c r="BB4432" s="2">
        <v>0</v>
      </c>
      <c r="BC4432" s="2">
        <v>0</v>
      </c>
      <c r="BD4432" s="2">
        <v>0</v>
      </c>
      <c r="BE4432" s="2">
        <v>0</v>
      </c>
      <c r="BF4432" s="2">
        <v>0</v>
      </c>
      <c r="BG4432" s="2">
        <v>0</v>
      </c>
      <c r="BH4432" s="2">
        <v>1</v>
      </c>
      <c r="BI4432" s="2">
        <v>1</v>
      </c>
      <c r="BJ4432" s="2">
        <v>0.2</v>
      </c>
      <c r="BK4432" s="2">
        <v>1</v>
      </c>
      <c r="BL4432" s="2">
        <v>32.380000000000003</v>
      </c>
      <c r="BM4432" s="2">
        <v>4.53</v>
      </c>
      <c r="BN4432" s="2">
        <v>36.909999999999997</v>
      </c>
      <c r="BO4432" s="2">
        <v>36.909999999999997</v>
      </c>
      <c r="BP4432" s="2"/>
      <c r="BQ4432" s="2" t="s">
        <v>209</v>
      </c>
      <c r="BR4432" s="2" t="s">
        <v>84</v>
      </c>
      <c r="BS4432" s="3">
        <v>42951</v>
      </c>
      <c r="BT4432" s="4">
        <v>0.3611111111111111</v>
      </c>
      <c r="BU4432" s="2" t="s">
        <v>4021</v>
      </c>
      <c r="BV4432" s="2" t="s">
        <v>95</v>
      </c>
      <c r="BW4432" s="2"/>
      <c r="BX4432" s="2"/>
      <c r="BY4432" s="2">
        <v>1200</v>
      </c>
      <c r="BZ4432" s="2" t="s">
        <v>27</v>
      </c>
      <c r="CA4432" s="2" t="s">
        <v>729</v>
      </c>
      <c r="CB4432" s="2"/>
      <c r="CC4432" s="2" t="s">
        <v>145</v>
      </c>
      <c r="CD4432" s="2">
        <v>2094</v>
      </c>
      <c r="CE4432" s="2" t="s">
        <v>104</v>
      </c>
      <c r="CF4432" s="5">
        <v>42954</v>
      </c>
      <c r="CG4432" s="2"/>
      <c r="CH4432" s="2"/>
      <c r="CI4432" s="2">
        <v>1</v>
      </c>
      <c r="CJ4432" s="2">
        <v>1</v>
      </c>
      <c r="CK4432" s="2">
        <v>22</v>
      </c>
      <c r="CL4432" s="2" t="s">
        <v>86</v>
      </c>
      <c r="CM4432" s="2"/>
    </row>
    <row r="4433" spans="1:91">
      <c r="A4433" s="2" t="s">
        <v>71</v>
      </c>
      <c r="B4433" s="2" t="s">
        <v>72</v>
      </c>
      <c r="C4433" s="2" t="s">
        <v>73</v>
      </c>
      <c r="D4433" s="2"/>
      <c r="E4433" s="2" t="str">
        <f>"FES1162566958"</f>
        <v>FES1162566958</v>
      </c>
      <c r="F4433" s="3">
        <v>42950</v>
      </c>
      <c r="G4433" s="2">
        <v>201802</v>
      </c>
      <c r="H4433" s="2" t="s">
        <v>74</v>
      </c>
      <c r="I4433" s="2" t="s">
        <v>75</v>
      </c>
      <c r="J4433" s="2" t="s">
        <v>76</v>
      </c>
      <c r="K4433" s="2" t="s">
        <v>77</v>
      </c>
      <c r="L4433" s="2" t="s">
        <v>174</v>
      </c>
      <c r="M4433" s="2" t="s">
        <v>175</v>
      </c>
      <c r="N4433" s="2" t="s">
        <v>930</v>
      </c>
      <c r="O4433" s="2" t="s">
        <v>100</v>
      </c>
      <c r="P4433" s="2" t="str">
        <f>"2170583208                    "</f>
        <v xml:space="preserve">2170583208                    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9.01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0</v>
      </c>
      <c r="AU4433" s="2">
        <v>0</v>
      </c>
      <c r="AV4433" s="2">
        <v>0</v>
      </c>
      <c r="AW4433" s="2">
        <v>0</v>
      </c>
      <c r="AX4433" s="2">
        <v>0</v>
      </c>
      <c r="AY4433" s="2">
        <v>0</v>
      </c>
      <c r="AZ4433" s="2">
        <v>0</v>
      </c>
      <c r="BA4433" s="2">
        <v>0</v>
      </c>
      <c r="BB4433" s="2">
        <v>0</v>
      </c>
      <c r="BC4433" s="2">
        <v>0</v>
      </c>
      <c r="BD4433" s="2">
        <v>0</v>
      </c>
      <c r="BE4433" s="2">
        <v>0</v>
      </c>
      <c r="BF4433" s="2">
        <v>0</v>
      </c>
      <c r="BG4433" s="2">
        <v>0</v>
      </c>
      <c r="BH4433" s="2">
        <v>1</v>
      </c>
      <c r="BI4433" s="2">
        <v>1</v>
      </c>
      <c r="BJ4433" s="2">
        <v>4.3</v>
      </c>
      <c r="BK4433" s="2">
        <v>4.5</v>
      </c>
      <c r="BL4433" s="2">
        <v>93.25</v>
      </c>
      <c r="BM4433" s="2">
        <v>13.06</v>
      </c>
      <c r="BN4433" s="2">
        <v>106.31</v>
      </c>
      <c r="BO4433" s="2">
        <v>106.31</v>
      </c>
      <c r="BP4433" s="2"/>
      <c r="BQ4433" s="2" t="s">
        <v>83</v>
      </c>
      <c r="BR4433" s="2" t="s">
        <v>84</v>
      </c>
      <c r="BS4433" s="3">
        <v>42951</v>
      </c>
      <c r="BT4433" s="4">
        <v>0.41388888888888892</v>
      </c>
      <c r="BU4433" s="2" t="s">
        <v>1408</v>
      </c>
      <c r="BV4433" s="2" t="s">
        <v>95</v>
      </c>
      <c r="BW4433" s="2"/>
      <c r="BX4433" s="2"/>
      <c r="BY4433" s="2">
        <v>21580.42</v>
      </c>
      <c r="BZ4433" s="2" t="s">
        <v>27</v>
      </c>
      <c r="CA4433" s="2" t="s">
        <v>1373</v>
      </c>
      <c r="CB4433" s="2"/>
      <c r="CC4433" s="2" t="s">
        <v>175</v>
      </c>
      <c r="CD4433" s="2">
        <v>5201</v>
      </c>
      <c r="CE4433" s="2" t="s">
        <v>3630</v>
      </c>
      <c r="CF4433" s="5">
        <v>42954</v>
      </c>
      <c r="CG4433" s="2"/>
      <c r="CH4433" s="2"/>
      <c r="CI4433" s="2">
        <v>1</v>
      </c>
      <c r="CJ4433" s="2">
        <v>1</v>
      </c>
      <c r="CK4433" s="2">
        <v>21</v>
      </c>
      <c r="CL4433" s="2" t="s">
        <v>86</v>
      </c>
      <c r="CM4433" s="2"/>
    </row>
    <row r="4434" spans="1:91">
      <c r="A4434" s="2" t="s">
        <v>71</v>
      </c>
      <c r="B4434" s="2" t="s">
        <v>72</v>
      </c>
      <c r="C4434" s="2" t="s">
        <v>73</v>
      </c>
      <c r="D4434" s="2"/>
      <c r="E4434" s="2" t="str">
        <f>"FES1162566757"</f>
        <v>FES1162566757</v>
      </c>
      <c r="F4434" s="3">
        <v>42950</v>
      </c>
      <c r="G4434" s="2">
        <v>201802</v>
      </c>
      <c r="H4434" s="2" t="s">
        <v>74</v>
      </c>
      <c r="I4434" s="2" t="s">
        <v>75</v>
      </c>
      <c r="J4434" s="2" t="s">
        <v>76</v>
      </c>
      <c r="K4434" s="2" t="s">
        <v>77</v>
      </c>
      <c r="L4434" s="2" t="s">
        <v>144</v>
      </c>
      <c r="M4434" s="2" t="s">
        <v>145</v>
      </c>
      <c r="N4434" s="2" t="s">
        <v>2662</v>
      </c>
      <c r="O4434" s="2" t="s">
        <v>100</v>
      </c>
      <c r="P4434" s="2" t="str">
        <f>"2170579763                    "</f>
        <v xml:space="preserve">2170579763                    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  <c r="AB4434" s="2">
        <v>0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3.13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0</v>
      </c>
      <c r="AU4434" s="2">
        <v>0</v>
      </c>
      <c r="AV4434" s="2">
        <v>0</v>
      </c>
      <c r="AW4434" s="2">
        <v>0</v>
      </c>
      <c r="AX4434" s="2">
        <v>0</v>
      </c>
      <c r="AY4434" s="2">
        <v>0</v>
      </c>
      <c r="AZ4434" s="2">
        <v>0</v>
      </c>
      <c r="BA4434" s="2">
        <v>0</v>
      </c>
      <c r="BB4434" s="2">
        <v>0</v>
      </c>
      <c r="BC4434" s="2">
        <v>0</v>
      </c>
      <c r="BD4434" s="2">
        <v>0</v>
      </c>
      <c r="BE4434" s="2">
        <v>0</v>
      </c>
      <c r="BF4434" s="2">
        <v>0</v>
      </c>
      <c r="BG4434" s="2">
        <v>0</v>
      </c>
      <c r="BH4434" s="2">
        <v>1</v>
      </c>
      <c r="BI4434" s="2">
        <v>1</v>
      </c>
      <c r="BJ4434" s="2">
        <v>0.2</v>
      </c>
      <c r="BK4434" s="2">
        <v>1</v>
      </c>
      <c r="BL4434" s="2">
        <v>32.380000000000003</v>
      </c>
      <c r="BM4434" s="2">
        <v>4.53</v>
      </c>
      <c r="BN4434" s="2">
        <v>36.909999999999997</v>
      </c>
      <c r="BO4434" s="2">
        <v>36.909999999999997</v>
      </c>
      <c r="BP4434" s="2"/>
      <c r="BQ4434" s="2" t="s">
        <v>3610</v>
      </c>
      <c r="BR4434" s="2" t="s">
        <v>84</v>
      </c>
      <c r="BS4434" s="3">
        <v>42951</v>
      </c>
      <c r="BT4434" s="4">
        <v>0.375</v>
      </c>
      <c r="BU4434" s="2" t="s">
        <v>2545</v>
      </c>
      <c r="BV4434" s="2" t="s">
        <v>95</v>
      </c>
      <c r="BW4434" s="2"/>
      <c r="BX4434" s="2"/>
      <c r="BY4434" s="2">
        <v>1200</v>
      </c>
      <c r="BZ4434" s="2" t="s">
        <v>27</v>
      </c>
      <c r="CA4434" s="2"/>
      <c r="CB4434" s="2"/>
      <c r="CC4434" s="2" t="s">
        <v>145</v>
      </c>
      <c r="CD4434" s="2">
        <v>2090</v>
      </c>
      <c r="CE4434" s="2" t="s">
        <v>104</v>
      </c>
      <c r="CF4434" s="5">
        <v>42954</v>
      </c>
      <c r="CG4434" s="2"/>
      <c r="CH4434" s="2"/>
      <c r="CI4434" s="2">
        <v>1</v>
      </c>
      <c r="CJ4434" s="2">
        <v>1</v>
      </c>
      <c r="CK4434" s="2">
        <v>22</v>
      </c>
      <c r="CL4434" s="2" t="s">
        <v>86</v>
      </c>
      <c r="CM4434" s="2"/>
    </row>
    <row r="4435" spans="1:91">
      <c r="A4435" s="2" t="s">
        <v>71</v>
      </c>
      <c r="B4435" s="2" t="s">
        <v>72</v>
      </c>
      <c r="C4435" s="2" t="s">
        <v>73</v>
      </c>
      <c r="D4435" s="2"/>
      <c r="E4435" s="2" t="str">
        <f>"FES1162566909"</f>
        <v>FES1162566909</v>
      </c>
      <c r="F4435" s="3">
        <v>42950</v>
      </c>
      <c r="G4435" s="2">
        <v>201802</v>
      </c>
      <c r="H4435" s="2" t="s">
        <v>74</v>
      </c>
      <c r="I4435" s="2" t="s">
        <v>75</v>
      </c>
      <c r="J4435" s="2" t="s">
        <v>76</v>
      </c>
      <c r="K4435" s="2" t="s">
        <v>77</v>
      </c>
      <c r="L4435" s="2" t="s">
        <v>105</v>
      </c>
      <c r="M4435" s="2" t="s">
        <v>106</v>
      </c>
      <c r="N4435" s="2" t="s">
        <v>4022</v>
      </c>
      <c r="O4435" s="2" t="s">
        <v>100</v>
      </c>
      <c r="P4435" s="2" t="str">
        <f>"2170583155                    "</f>
        <v xml:space="preserve">2170583155                    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  <c r="AM4435" s="2">
        <v>37.020000000000003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0</v>
      </c>
      <c r="AU4435" s="2">
        <v>0</v>
      </c>
      <c r="AV4435" s="2">
        <v>0</v>
      </c>
      <c r="AW4435" s="2">
        <v>0</v>
      </c>
      <c r="AX4435" s="2">
        <v>0</v>
      </c>
      <c r="AY4435" s="2">
        <v>0</v>
      </c>
      <c r="AZ4435" s="2">
        <v>0</v>
      </c>
      <c r="BA4435" s="2">
        <v>0</v>
      </c>
      <c r="BB4435" s="2">
        <v>0</v>
      </c>
      <c r="BC4435" s="2">
        <v>0</v>
      </c>
      <c r="BD4435" s="2">
        <v>0</v>
      </c>
      <c r="BE4435" s="2">
        <v>0</v>
      </c>
      <c r="BF4435" s="2">
        <v>0</v>
      </c>
      <c r="BG4435" s="2">
        <v>0</v>
      </c>
      <c r="BH4435" s="2">
        <v>1</v>
      </c>
      <c r="BI4435" s="2">
        <v>7</v>
      </c>
      <c r="BJ4435" s="2">
        <v>18.100000000000001</v>
      </c>
      <c r="BK4435" s="2">
        <v>18.5</v>
      </c>
      <c r="BL4435" s="2">
        <v>383.34</v>
      </c>
      <c r="BM4435" s="2">
        <v>53.67</v>
      </c>
      <c r="BN4435" s="2">
        <v>437.01</v>
      </c>
      <c r="BO4435" s="2">
        <v>437.01</v>
      </c>
      <c r="BP4435" s="2"/>
      <c r="BQ4435" s="2"/>
      <c r="BR4435" s="2" t="s">
        <v>84</v>
      </c>
      <c r="BS4435" s="3">
        <v>42951</v>
      </c>
      <c r="BT4435" s="4">
        <v>0.39999999999999997</v>
      </c>
      <c r="BU4435" s="2" t="s">
        <v>4023</v>
      </c>
      <c r="BV4435" s="2" t="s">
        <v>95</v>
      </c>
      <c r="BW4435" s="2"/>
      <c r="BX4435" s="2"/>
      <c r="BY4435" s="2">
        <v>90506</v>
      </c>
      <c r="BZ4435" s="2" t="s">
        <v>27</v>
      </c>
      <c r="CA4435" s="2" t="s">
        <v>302</v>
      </c>
      <c r="CB4435" s="2"/>
      <c r="CC4435" s="2" t="s">
        <v>106</v>
      </c>
      <c r="CD4435" s="2">
        <v>7530</v>
      </c>
      <c r="CE4435" s="2" t="s">
        <v>948</v>
      </c>
      <c r="CF4435" s="5">
        <v>42954</v>
      </c>
      <c r="CG4435" s="2"/>
      <c r="CH4435" s="2"/>
      <c r="CI4435" s="2">
        <v>1</v>
      </c>
      <c r="CJ4435" s="2">
        <v>1</v>
      </c>
      <c r="CK4435" s="2">
        <v>21</v>
      </c>
      <c r="CL4435" s="2" t="s">
        <v>86</v>
      </c>
      <c r="CM4435" s="2"/>
    </row>
    <row r="4436" spans="1:91">
      <c r="A4436" s="2" t="s">
        <v>71</v>
      </c>
      <c r="B4436" s="2" t="s">
        <v>72</v>
      </c>
      <c r="C4436" s="2" t="s">
        <v>73</v>
      </c>
      <c r="D4436" s="2"/>
      <c r="E4436" s="2" t="str">
        <f>"FES1162566667"</f>
        <v>FES1162566667</v>
      </c>
      <c r="F4436" s="3">
        <v>42950</v>
      </c>
      <c r="G4436" s="2">
        <v>201802</v>
      </c>
      <c r="H4436" s="2" t="s">
        <v>74</v>
      </c>
      <c r="I4436" s="2" t="s">
        <v>75</v>
      </c>
      <c r="J4436" s="2" t="s">
        <v>76</v>
      </c>
      <c r="K4436" s="2" t="s">
        <v>77</v>
      </c>
      <c r="L4436" s="2" t="s">
        <v>244</v>
      </c>
      <c r="M4436" s="2" t="s">
        <v>245</v>
      </c>
      <c r="N4436" s="2" t="s">
        <v>2784</v>
      </c>
      <c r="O4436" s="2" t="s">
        <v>100</v>
      </c>
      <c r="P4436" s="2" t="str">
        <f>"2170579634                    "</f>
        <v xml:space="preserve">2170579634                    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3.13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0</v>
      </c>
      <c r="AU4436" s="2">
        <v>0</v>
      </c>
      <c r="AV4436" s="2">
        <v>0</v>
      </c>
      <c r="AW4436" s="2">
        <v>0</v>
      </c>
      <c r="AX4436" s="2">
        <v>0</v>
      </c>
      <c r="AY4436" s="2">
        <v>0</v>
      </c>
      <c r="AZ4436" s="2">
        <v>0</v>
      </c>
      <c r="BA4436" s="2">
        <v>0</v>
      </c>
      <c r="BB4436" s="2">
        <v>0</v>
      </c>
      <c r="BC4436" s="2">
        <v>0</v>
      </c>
      <c r="BD4436" s="2">
        <v>0</v>
      </c>
      <c r="BE4436" s="2">
        <v>0</v>
      </c>
      <c r="BF4436" s="2">
        <v>0</v>
      </c>
      <c r="BG4436" s="2">
        <v>0</v>
      </c>
      <c r="BH4436" s="2">
        <v>1</v>
      </c>
      <c r="BI4436" s="2">
        <v>1</v>
      </c>
      <c r="BJ4436" s="2">
        <v>0.2</v>
      </c>
      <c r="BK4436" s="2">
        <v>1</v>
      </c>
      <c r="BL4436" s="2">
        <v>32.380000000000003</v>
      </c>
      <c r="BM4436" s="2">
        <v>4.53</v>
      </c>
      <c r="BN4436" s="2">
        <v>36.909999999999997</v>
      </c>
      <c r="BO4436" s="2">
        <v>36.909999999999997</v>
      </c>
      <c r="BP4436" s="2"/>
      <c r="BQ4436" s="2" t="s">
        <v>108</v>
      </c>
      <c r="BR4436" s="2" t="s">
        <v>84</v>
      </c>
      <c r="BS4436" s="3">
        <v>42951</v>
      </c>
      <c r="BT4436" s="4">
        <v>0.43402777777777773</v>
      </c>
      <c r="BU4436" s="2" t="s">
        <v>4024</v>
      </c>
      <c r="BV4436" s="2" t="s">
        <v>95</v>
      </c>
      <c r="BW4436" s="2"/>
      <c r="BX4436" s="2"/>
      <c r="BY4436" s="2">
        <v>1200</v>
      </c>
      <c r="BZ4436" s="2" t="s">
        <v>27</v>
      </c>
      <c r="CA4436" s="2" t="s">
        <v>148</v>
      </c>
      <c r="CB4436" s="2"/>
      <c r="CC4436" s="2" t="s">
        <v>245</v>
      </c>
      <c r="CD4436" s="2">
        <v>1459</v>
      </c>
      <c r="CE4436" s="2" t="s">
        <v>104</v>
      </c>
      <c r="CF4436" s="5">
        <v>42954</v>
      </c>
      <c r="CG4436" s="2"/>
      <c r="CH4436" s="2"/>
      <c r="CI4436" s="2">
        <v>1</v>
      </c>
      <c r="CJ4436" s="2">
        <v>1</v>
      </c>
      <c r="CK4436" s="2">
        <v>22</v>
      </c>
      <c r="CL4436" s="2" t="s">
        <v>86</v>
      </c>
      <c r="CM4436" s="2"/>
    </row>
    <row r="4437" spans="1:91">
      <c r="A4437" s="2" t="s">
        <v>71</v>
      </c>
      <c r="B4437" s="2" t="s">
        <v>72</v>
      </c>
      <c r="C4437" s="2" t="s">
        <v>73</v>
      </c>
      <c r="D4437" s="2"/>
      <c r="E4437" s="2" t="str">
        <f>"FES1162566842"</f>
        <v>FES1162566842</v>
      </c>
      <c r="F4437" s="3">
        <v>42950</v>
      </c>
      <c r="G4437" s="2">
        <v>201802</v>
      </c>
      <c r="H4437" s="2" t="s">
        <v>74</v>
      </c>
      <c r="I4437" s="2" t="s">
        <v>75</v>
      </c>
      <c r="J4437" s="2" t="s">
        <v>76</v>
      </c>
      <c r="K4437" s="2" t="s">
        <v>77</v>
      </c>
      <c r="L4437" s="2" t="s">
        <v>74</v>
      </c>
      <c r="M4437" s="2" t="s">
        <v>75</v>
      </c>
      <c r="N4437" s="2" t="s">
        <v>4025</v>
      </c>
      <c r="O4437" s="2" t="s">
        <v>100</v>
      </c>
      <c r="P4437" s="2" t="str">
        <f>"2170583084                    "</f>
        <v xml:space="preserve">2170583084                    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3.13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0</v>
      </c>
      <c r="AU4437" s="2">
        <v>0</v>
      </c>
      <c r="AV4437" s="2">
        <v>0</v>
      </c>
      <c r="AW4437" s="2">
        <v>0</v>
      </c>
      <c r="AX4437" s="2">
        <v>0</v>
      </c>
      <c r="AY4437" s="2">
        <v>0</v>
      </c>
      <c r="AZ4437" s="2">
        <v>0</v>
      </c>
      <c r="BA4437" s="2">
        <v>0</v>
      </c>
      <c r="BB4437" s="2">
        <v>0</v>
      </c>
      <c r="BC4437" s="2">
        <v>0</v>
      </c>
      <c r="BD4437" s="2">
        <v>0</v>
      </c>
      <c r="BE4437" s="2">
        <v>0</v>
      </c>
      <c r="BF4437" s="2">
        <v>0</v>
      </c>
      <c r="BG4437" s="2">
        <v>0</v>
      </c>
      <c r="BH4437" s="2">
        <v>1</v>
      </c>
      <c r="BI4437" s="2">
        <v>3.1</v>
      </c>
      <c r="BJ4437" s="2">
        <v>1.9</v>
      </c>
      <c r="BK4437" s="2">
        <v>4</v>
      </c>
      <c r="BL4437" s="2">
        <v>32.380000000000003</v>
      </c>
      <c r="BM4437" s="2">
        <v>4.53</v>
      </c>
      <c r="BN4437" s="2">
        <v>36.909999999999997</v>
      </c>
      <c r="BO4437" s="2">
        <v>36.909999999999997</v>
      </c>
      <c r="BP4437" s="2"/>
      <c r="BQ4437" s="2"/>
      <c r="BR4437" s="2" t="s">
        <v>84</v>
      </c>
      <c r="BS4437" s="3">
        <v>42951</v>
      </c>
      <c r="BT4437" s="4">
        <v>0.53888888888888886</v>
      </c>
      <c r="BU4437" s="2" t="s">
        <v>4026</v>
      </c>
      <c r="BV4437" s="2" t="s">
        <v>86</v>
      </c>
      <c r="BW4437" s="2"/>
      <c r="BX4437" s="2"/>
      <c r="BY4437" s="2">
        <v>9274.6200000000008</v>
      </c>
      <c r="BZ4437" s="2" t="s">
        <v>27</v>
      </c>
      <c r="CA4437" s="2" t="s">
        <v>328</v>
      </c>
      <c r="CB4437" s="2"/>
      <c r="CC4437" s="2" t="s">
        <v>75</v>
      </c>
      <c r="CD4437" s="2">
        <v>1600</v>
      </c>
      <c r="CE4437" s="2" t="s">
        <v>89</v>
      </c>
      <c r="CF4437" s="5">
        <v>42954</v>
      </c>
      <c r="CG4437" s="2"/>
      <c r="CH4437" s="2"/>
      <c r="CI4437" s="2">
        <v>1</v>
      </c>
      <c r="CJ4437" s="2">
        <v>1</v>
      </c>
      <c r="CK4437" s="2">
        <v>22</v>
      </c>
      <c r="CL4437" s="2" t="s">
        <v>86</v>
      </c>
      <c r="CM4437" s="2"/>
    </row>
    <row r="4438" spans="1:91">
      <c r="A4438" s="2" t="s">
        <v>71</v>
      </c>
      <c r="B4438" s="2" t="s">
        <v>72</v>
      </c>
      <c r="C4438" s="2" t="s">
        <v>73</v>
      </c>
      <c r="D4438" s="2"/>
      <c r="E4438" s="2" t="str">
        <f>"FES1162566580"</f>
        <v>FES1162566580</v>
      </c>
      <c r="F4438" s="3">
        <v>42950</v>
      </c>
      <c r="G4438" s="2">
        <v>201802</v>
      </c>
      <c r="H4438" s="2" t="s">
        <v>74</v>
      </c>
      <c r="I4438" s="2" t="s">
        <v>75</v>
      </c>
      <c r="J4438" s="2" t="s">
        <v>76</v>
      </c>
      <c r="K4438" s="2" t="s">
        <v>77</v>
      </c>
      <c r="L4438" s="2" t="s">
        <v>74</v>
      </c>
      <c r="M4438" s="2" t="s">
        <v>75</v>
      </c>
      <c r="N4438" s="2" t="s">
        <v>4027</v>
      </c>
      <c r="O4438" s="2" t="s">
        <v>100</v>
      </c>
      <c r="P4438" s="2" t="str">
        <f>"2170580563                    "</f>
        <v xml:space="preserve">2170580563                    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2">
        <v>0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3.13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0</v>
      </c>
      <c r="AU4438" s="2">
        <v>0</v>
      </c>
      <c r="AV4438" s="2">
        <v>0</v>
      </c>
      <c r="AW4438" s="2">
        <v>0</v>
      </c>
      <c r="AX4438" s="2">
        <v>0</v>
      </c>
      <c r="AY4438" s="2">
        <v>0</v>
      </c>
      <c r="AZ4438" s="2">
        <v>0</v>
      </c>
      <c r="BA4438" s="2">
        <v>0</v>
      </c>
      <c r="BB4438" s="2">
        <v>0</v>
      </c>
      <c r="BC4438" s="2">
        <v>0</v>
      </c>
      <c r="BD4438" s="2">
        <v>0</v>
      </c>
      <c r="BE4438" s="2">
        <v>0</v>
      </c>
      <c r="BF4438" s="2">
        <v>0</v>
      </c>
      <c r="BG4438" s="2">
        <v>0</v>
      </c>
      <c r="BH4438" s="2">
        <v>1</v>
      </c>
      <c r="BI4438" s="2">
        <v>1</v>
      </c>
      <c r="BJ4438" s="2">
        <v>0.2</v>
      </c>
      <c r="BK4438" s="2">
        <v>1</v>
      </c>
      <c r="BL4438" s="2">
        <v>32.380000000000003</v>
      </c>
      <c r="BM4438" s="2">
        <v>4.53</v>
      </c>
      <c r="BN4438" s="2">
        <v>36.909999999999997</v>
      </c>
      <c r="BO4438" s="2">
        <v>36.909999999999997</v>
      </c>
      <c r="BP4438" s="2"/>
      <c r="BQ4438" s="2"/>
      <c r="BR4438" s="2" t="s">
        <v>84</v>
      </c>
      <c r="BS4438" s="3">
        <v>42951</v>
      </c>
      <c r="BT4438" s="4">
        <v>0.33194444444444443</v>
      </c>
      <c r="BU4438" s="2" t="s">
        <v>4028</v>
      </c>
      <c r="BV4438" s="2" t="s">
        <v>95</v>
      </c>
      <c r="BW4438" s="2"/>
      <c r="BX4438" s="2"/>
      <c r="BY4438" s="2">
        <v>1200</v>
      </c>
      <c r="BZ4438" s="2" t="s">
        <v>27</v>
      </c>
      <c r="CA4438" s="2" t="s">
        <v>328</v>
      </c>
      <c r="CB4438" s="2"/>
      <c r="CC4438" s="2" t="s">
        <v>75</v>
      </c>
      <c r="CD4438" s="2">
        <v>1600</v>
      </c>
      <c r="CE4438" s="2" t="s">
        <v>104</v>
      </c>
      <c r="CF4438" s="5">
        <v>42954</v>
      </c>
      <c r="CG4438" s="2"/>
      <c r="CH4438" s="2"/>
      <c r="CI4438" s="2">
        <v>1</v>
      </c>
      <c r="CJ4438" s="2">
        <v>1</v>
      </c>
      <c r="CK4438" s="2">
        <v>22</v>
      </c>
      <c r="CL4438" s="2" t="s">
        <v>86</v>
      </c>
      <c r="CM4438" s="2"/>
    </row>
    <row r="4439" spans="1:91">
      <c r="A4439" s="2" t="s">
        <v>71</v>
      </c>
      <c r="B4439" s="2" t="s">
        <v>72</v>
      </c>
      <c r="C4439" s="2" t="s">
        <v>73</v>
      </c>
      <c r="D4439" s="2"/>
      <c r="E4439" s="2" t="str">
        <f>"FES1162566957"</f>
        <v>FES1162566957</v>
      </c>
      <c r="F4439" s="3">
        <v>42950</v>
      </c>
      <c r="G4439" s="2">
        <v>201802</v>
      </c>
      <c r="H4439" s="2" t="s">
        <v>74</v>
      </c>
      <c r="I4439" s="2" t="s">
        <v>75</v>
      </c>
      <c r="J4439" s="2" t="s">
        <v>76</v>
      </c>
      <c r="K4439" s="2" t="s">
        <v>77</v>
      </c>
      <c r="L4439" s="2" t="s">
        <v>321</v>
      </c>
      <c r="M4439" s="2" t="s">
        <v>322</v>
      </c>
      <c r="N4439" s="2" t="s">
        <v>1947</v>
      </c>
      <c r="O4439" s="2" t="s">
        <v>100</v>
      </c>
      <c r="P4439" s="2" t="str">
        <f>"2170583207                    "</f>
        <v xml:space="preserve">2170583207                    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9.01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0</v>
      </c>
      <c r="AU4439" s="2">
        <v>0</v>
      </c>
      <c r="AV4439" s="2">
        <v>0</v>
      </c>
      <c r="AW4439" s="2">
        <v>0</v>
      </c>
      <c r="AX4439" s="2">
        <v>0</v>
      </c>
      <c r="AY4439" s="2">
        <v>0</v>
      </c>
      <c r="AZ4439" s="2">
        <v>0</v>
      </c>
      <c r="BA4439" s="2">
        <v>0</v>
      </c>
      <c r="BB4439" s="2">
        <v>0</v>
      </c>
      <c r="BC4439" s="2">
        <v>0</v>
      </c>
      <c r="BD4439" s="2">
        <v>0</v>
      </c>
      <c r="BE4439" s="2">
        <v>0</v>
      </c>
      <c r="BF4439" s="2">
        <v>0</v>
      </c>
      <c r="BG4439" s="2">
        <v>0</v>
      </c>
      <c r="BH4439" s="2">
        <v>1</v>
      </c>
      <c r="BI4439" s="2">
        <v>0.1</v>
      </c>
      <c r="BJ4439" s="2">
        <v>4.5</v>
      </c>
      <c r="BK4439" s="2">
        <v>4.5</v>
      </c>
      <c r="BL4439" s="2">
        <v>93.25</v>
      </c>
      <c r="BM4439" s="2">
        <v>13.06</v>
      </c>
      <c r="BN4439" s="2">
        <v>106.31</v>
      </c>
      <c r="BO4439" s="2">
        <v>106.31</v>
      </c>
      <c r="BP4439" s="2"/>
      <c r="BQ4439" s="2" t="s">
        <v>83</v>
      </c>
      <c r="BR4439" s="2" t="s">
        <v>84</v>
      </c>
      <c r="BS4439" s="3">
        <v>42951</v>
      </c>
      <c r="BT4439" s="4">
        <v>0.375</v>
      </c>
      <c r="BU4439" s="2" t="s">
        <v>3909</v>
      </c>
      <c r="BV4439" s="2" t="s">
        <v>95</v>
      </c>
      <c r="BW4439" s="2"/>
      <c r="BX4439" s="2"/>
      <c r="BY4439" s="2">
        <v>22456.9</v>
      </c>
      <c r="BZ4439" s="2" t="s">
        <v>27</v>
      </c>
      <c r="CA4439" s="2" t="s">
        <v>103</v>
      </c>
      <c r="CB4439" s="2"/>
      <c r="CC4439" s="2" t="s">
        <v>322</v>
      </c>
      <c r="CD4439" s="2">
        <v>6220</v>
      </c>
      <c r="CE4439" s="2" t="s">
        <v>104</v>
      </c>
      <c r="CF4439" s="5">
        <v>42954</v>
      </c>
      <c r="CG4439" s="2"/>
      <c r="CH4439" s="2"/>
      <c r="CI4439" s="2">
        <v>1</v>
      </c>
      <c r="CJ4439" s="2">
        <v>1</v>
      </c>
      <c r="CK4439" s="2">
        <v>21</v>
      </c>
      <c r="CL4439" s="2" t="s">
        <v>86</v>
      </c>
      <c r="CM4439" s="2"/>
    </row>
    <row r="4440" spans="1:91">
      <c r="A4440" s="2" t="s">
        <v>71</v>
      </c>
      <c r="B4440" s="2" t="s">
        <v>72</v>
      </c>
      <c r="C4440" s="2" t="s">
        <v>73</v>
      </c>
      <c r="D4440" s="2"/>
      <c r="E4440" s="2" t="str">
        <f>"FES1162566568"</f>
        <v>FES1162566568</v>
      </c>
      <c r="F4440" s="3">
        <v>42950</v>
      </c>
      <c r="G4440" s="2">
        <v>201802</v>
      </c>
      <c r="H4440" s="2" t="s">
        <v>74</v>
      </c>
      <c r="I4440" s="2" t="s">
        <v>75</v>
      </c>
      <c r="J4440" s="2" t="s">
        <v>76</v>
      </c>
      <c r="K4440" s="2" t="s">
        <v>77</v>
      </c>
      <c r="L4440" s="2" t="s">
        <v>128</v>
      </c>
      <c r="M4440" s="2" t="s">
        <v>129</v>
      </c>
      <c r="N4440" s="2" t="s">
        <v>857</v>
      </c>
      <c r="O4440" s="2" t="s">
        <v>100</v>
      </c>
      <c r="P4440" s="2" t="str">
        <f>"2170582920                    "</f>
        <v xml:space="preserve">2170582920                    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</v>
      </c>
      <c r="Y4440" s="2">
        <v>0</v>
      </c>
      <c r="Z4440" s="2">
        <v>0</v>
      </c>
      <c r="AA4440" s="2">
        <v>0</v>
      </c>
      <c r="AB4440" s="2">
        <v>0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3.13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0</v>
      </c>
      <c r="AU4440" s="2">
        <v>0</v>
      </c>
      <c r="AV4440" s="2">
        <v>0</v>
      </c>
      <c r="AW4440" s="2">
        <v>0</v>
      </c>
      <c r="AX4440" s="2">
        <v>0</v>
      </c>
      <c r="AY4440" s="2">
        <v>0</v>
      </c>
      <c r="AZ4440" s="2">
        <v>0</v>
      </c>
      <c r="BA4440" s="2">
        <v>0</v>
      </c>
      <c r="BB4440" s="2">
        <v>0</v>
      </c>
      <c r="BC4440" s="2">
        <v>0</v>
      </c>
      <c r="BD4440" s="2">
        <v>0</v>
      </c>
      <c r="BE4440" s="2">
        <v>0</v>
      </c>
      <c r="BF4440" s="2">
        <v>0</v>
      </c>
      <c r="BG4440" s="2">
        <v>0</v>
      </c>
      <c r="BH4440" s="2">
        <v>1</v>
      </c>
      <c r="BI4440" s="2">
        <v>1</v>
      </c>
      <c r="BJ4440" s="2">
        <v>0.2</v>
      </c>
      <c r="BK4440" s="2">
        <v>1</v>
      </c>
      <c r="BL4440" s="2">
        <v>32.380000000000003</v>
      </c>
      <c r="BM4440" s="2">
        <v>4.53</v>
      </c>
      <c r="BN4440" s="2">
        <v>36.909999999999997</v>
      </c>
      <c r="BO4440" s="2">
        <v>36.909999999999997</v>
      </c>
      <c r="BP4440" s="2"/>
      <c r="BQ4440" s="2" t="s">
        <v>1624</v>
      </c>
      <c r="BR4440" s="2" t="s">
        <v>84</v>
      </c>
      <c r="BS4440" s="3">
        <v>42951</v>
      </c>
      <c r="BT4440" s="4">
        <v>0.39027777777777778</v>
      </c>
      <c r="BU4440" s="2" t="s">
        <v>1506</v>
      </c>
      <c r="BV4440" s="2" t="s">
        <v>95</v>
      </c>
      <c r="BW4440" s="2"/>
      <c r="BX4440" s="2"/>
      <c r="BY4440" s="2">
        <v>1200</v>
      </c>
      <c r="BZ4440" s="2" t="s">
        <v>27</v>
      </c>
      <c r="CA4440" s="2" t="s">
        <v>923</v>
      </c>
      <c r="CB4440" s="2"/>
      <c r="CC4440" s="2" t="s">
        <v>129</v>
      </c>
      <c r="CD4440" s="2">
        <v>1709</v>
      </c>
      <c r="CE4440" s="2" t="s">
        <v>104</v>
      </c>
      <c r="CF4440" s="5">
        <v>42954</v>
      </c>
      <c r="CG4440" s="2"/>
      <c r="CH4440" s="2"/>
      <c r="CI4440" s="2">
        <v>1</v>
      </c>
      <c r="CJ4440" s="2">
        <v>1</v>
      </c>
      <c r="CK4440" s="2">
        <v>22</v>
      </c>
      <c r="CL4440" s="2" t="s">
        <v>86</v>
      </c>
      <c r="CM4440" s="2"/>
    </row>
    <row r="4441" spans="1:91">
      <c r="A4441" s="2" t="s">
        <v>71</v>
      </c>
      <c r="B4441" s="2" t="s">
        <v>72</v>
      </c>
      <c r="C4441" s="2" t="s">
        <v>73</v>
      </c>
      <c r="D4441" s="2"/>
      <c r="E4441" s="2" t="str">
        <f>"FES1162566912"</f>
        <v>FES1162566912</v>
      </c>
      <c r="F4441" s="3">
        <v>42950</v>
      </c>
      <c r="G4441" s="2">
        <v>201802</v>
      </c>
      <c r="H4441" s="2" t="s">
        <v>74</v>
      </c>
      <c r="I4441" s="2" t="s">
        <v>75</v>
      </c>
      <c r="J4441" s="2" t="s">
        <v>76</v>
      </c>
      <c r="K4441" s="2" t="s">
        <v>77</v>
      </c>
      <c r="L4441" s="2" t="s">
        <v>417</v>
      </c>
      <c r="M4441" s="2" t="s">
        <v>417</v>
      </c>
      <c r="N4441" s="2" t="s">
        <v>1414</v>
      </c>
      <c r="O4441" s="2" t="s">
        <v>100</v>
      </c>
      <c r="P4441" s="2" t="str">
        <f>"2170583163                    "</f>
        <v xml:space="preserve">2170583163                    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8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0</v>
      </c>
      <c r="AU4441" s="2">
        <v>0</v>
      </c>
      <c r="AV4441" s="2">
        <v>0</v>
      </c>
      <c r="AW4441" s="2">
        <v>0</v>
      </c>
      <c r="AX4441" s="2">
        <v>0</v>
      </c>
      <c r="AY4441" s="2">
        <v>0</v>
      </c>
      <c r="AZ4441" s="2">
        <v>0</v>
      </c>
      <c r="BA4441" s="2">
        <v>0</v>
      </c>
      <c r="BB4441" s="2">
        <v>0</v>
      </c>
      <c r="BC4441" s="2">
        <v>0</v>
      </c>
      <c r="BD4441" s="2">
        <v>0</v>
      </c>
      <c r="BE4441" s="2">
        <v>0</v>
      </c>
      <c r="BF4441" s="2">
        <v>0</v>
      </c>
      <c r="BG4441" s="2">
        <v>0</v>
      </c>
      <c r="BH4441" s="2">
        <v>1</v>
      </c>
      <c r="BI4441" s="2">
        <v>4</v>
      </c>
      <c r="BJ4441" s="2">
        <v>1.7</v>
      </c>
      <c r="BK4441" s="2">
        <v>4</v>
      </c>
      <c r="BL4441" s="2">
        <v>82.88</v>
      </c>
      <c r="BM4441" s="2">
        <v>11.6</v>
      </c>
      <c r="BN4441" s="2">
        <v>94.48</v>
      </c>
      <c r="BO4441" s="2">
        <v>94.48</v>
      </c>
      <c r="BP4441" s="2"/>
      <c r="BQ4441" s="2" t="s">
        <v>108</v>
      </c>
      <c r="BR4441" s="2" t="s">
        <v>84</v>
      </c>
      <c r="BS4441" s="3">
        <v>42951</v>
      </c>
      <c r="BT4441" s="4">
        <v>0.41666666666666669</v>
      </c>
      <c r="BU4441" s="2" t="s">
        <v>4029</v>
      </c>
      <c r="BV4441" s="2" t="s">
        <v>95</v>
      </c>
      <c r="BW4441" s="2"/>
      <c r="BX4441" s="2"/>
      <c r="BY4441" s="2">
        <v>8557.16</v>
      </c>
      <c r="BZ4441" s="2" t="s">
        <v>27</v>
      </c>
      <c r="CA4441" s="2"/>
      <c r="CB4441" s="2"/>
      <c r="CC4441" s="2" t="s">
        <v>417</v>
      </c>
      <c r="CD4441" s="2">
        <v>7646</v>
      </c>
      <c r="CE4441" s="2" t="s">
        <v>89</v>
      </c>
      <c r="CF4441" s="5">
        <v>42954</v>
      </c>
      <c r="CG4441" s="2"/>
      <c r="CH4441" s="2"/>
      <c r="CI4441" s="2">
        <v>1</v>
      </c>
      <c r="CJ4441" s="2">
        <v>1</v>
      </c>
      <c r="CK4441" s="2">
        <v>21</v>
      </c>
      <c r="CL4441" s="2" t="s">
        <v>86</v>
      </c>
      <c r="CM4441" s="2"/>
    </row>
    <row r="4442" spans="1:91">
      <c r="A4442" s="2" t="s">
        <v>71</v>
      </c>
      <c r="B4442" s="2" t="s">
        <v>72</v>
      </c>
      <c r="C4442" s="2" t="s">
        <v>73</v>
      </c>
      <c r="D4442" s="2"/>
      <c r="E4442" s="2" t="str">
        <f>"FES1162566566"</f>
        <v>FES1162566566</v>
      </c>
      <c r="F4442" s="3">
        <v>42950</v>
      </c>
      <c r="G4442" s="2">
        <v>201802</v>
      </c>
      <c r="H4442" s="2" t="s">
        <v>74</v>
      </c>
      <c r="I4442" s="2" t="s">
        <v>75</v>
      </c>
      <c r="J4442" s="2" t="s">
        <v>76</v>
      </c>
      <c r="K4442" s="2" t="s">
        <v>77</v>
      </c>
      <c r="L4442" s="2" t="s">
        <v>144</v>
      </c>
      <c r="M4442" s="2" t="s">
        <v>145</v>
      </c>
      <c r="N4442" s="2" t="s">
        <v>1578</v>
      </c>
      <c r="O4442" s="2" t="s">
        <v>100</v>
      </c>
      <c r="P4442" s="2" t="str">
        <f>"2170582915                    "</f>
        <v xml:space="preserve">2170582915                    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2">
        <v>0</v>
      </c>
      <c r="Z4442" s="2">
        <v>0</v>
      </c>
      <c r="AA4442" s="2">
        <v>0</v>
      </c>
      <c r="AB4442" s="2">
        <v>0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3.13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0</v>
      </c>
      <c r="AU4442" s="2">
        <v>0</v>
      </c>
      <c r="AV4442" s="2">
        <v>0</v>
      </c>
      <c r="AW4442" s="2">
        <v>0</v>
      </c>
      <c r="AX4442" s="2">
        <v>0</v>
      </c>
      <c r="AY4442" s="2">
        <v>0</v>
      </c>
      <c r="AZ4442" s="2">
        <v>0</v>
      </c>
      <c r="BA4442" s="2">
        <v>0</v>
      </c>
      <c r="BB4442" s="2">
        <v>0</v>
      </c>
      <c r="BC4442" s="2">
        <v>0</v>
      </c>
      <c r="BD4442" s="2">
        <v>0</v>
      </c>
      <c r="BE4442" s="2">
        <v>0</v>
      </c>
      <c r="BF4442" s="2">
        <v>0</v>
      </c>
      <c r="BG4442" s="2">
        <v>0</v>
      </c>
      <c r="BH4442" s="2">
        <v>1</v>
      </c>
      <c r="BI4442" s="2">
        <v>1</v>
      </c>
      <c r="BJ4442" s="2">
        <v>0.2</v>
      </c>
      <c r="BK4442" s="2">
        <v>1</v>
      </c>
      <c r="BL4442" s="2">
        <v>32.380000000000003</v>
      </c>
      <c r="BM4442" s="2">
        <v>4.53</v>
      </c>
      <c r="BN4442" s="2">
        <v>36.909999999999997</v>
      </c>
      <c r="BO4442" s="2">
        <v>36.909999999999997</v>
      </c>
      <c r="BP4442" s="2"/>
      <c r="BQ4442" s="2" t="s">
        <v>108</v>
      </c>
      <c r="BR4442" s="2" t="s">
        <v>84</v>
      </c>
      <c r="BS4442" s="3">
        <v>42951</v>
      </c>
      <c r="BT4442" s="4">
        <v>0.44930555555555557</v>
      </c>
      <c r="BU4442" s="2" t="s">
        <v>1754</v>
      </c>
      <c r="BV4442" s="2" t="s">
        <v>95</v>
      </c>
      <c r="BW4442" s="2"/>
      <c r="BX4442" s="2"/>
      <c r="BY4442" s="2">
        <v>1200</v>
      </c>
      <c r="BZ4442" s="2" t="s">
        <v>27</v>
      </c>
      <c r="CA4442" s="2"/>
      <c r="CB4442" s="2"/>
      <c r="CC4442" s="2" t="s">
        <v>145</v>
      </c>
      <c r="CD4442" s="2">
        <v>2197</v>
      </c>
      <c r="CE4442" s="2" t="s">
        <v>104</v>
      </c>
      <c r="CF4442" s="5">
        <v>42954</v>
      </c>
      <c r="CG4442" s="2"/>
      <c r="CH4442" s="2"/>
      <c r="CI4442" s="2">
        <v>1</v>
      </c>
      <c r="CJ4442" s="2">
        <v>1</v>
      </c>
      <c r="CK4442" s="2">
        <v>22</v>
      </c>
      <c r="CL4442" s="2" t="s">
        <v>86</v>
      </c>
      <c r="CM4442" s="2"/>
    </row>
    <row r="4443" spans="1:91">
      <c r="A4443" s="2" t="s">
        <v>71</v>
      </c>
      <c r="B4443" s="2" t="s">
        <v>72</v>
      </c>
      <c r="C4443" s="2" t="s">
        <v>73</v>
      </c>
      <c r="D4443" s="2"/>
      <c r="E4443" s="2" t="str">
        <f>"FES1162566970"</f>
        <v>FES1162566970</v>
      </c>
      <c r="F4443" s="3">
        <v>42950</v>
      </c>
      <c r="G4443" s="2">
        <v>201802</v>
      </c>
      <c r="H4443" s="2" t="s">
        <v>74</v>
      </c>
      <c r="I4443" s="2" t="s">
        <v>75</v>
      </c>
      <c r="J4443" s="2" t="s">
        <v>76</v>
      </c>
      <c r="K4443" s="2" t="s">
        <v>77</v>
      </c>
      <c r="L4443" s="2" t="s">
        <v>321</v>
      </c>
      <c r="M4443" s="2" t="s">
        <v>322</v>
      </c>
      <c r="N4443" s="2" t="s">
        <v>323</v>
      </c>
      <c r="O4443" s="2" t="s">
        <v>100</v>
      </c>
      <c r="P4443" s="2" t="str">
        <f>"2170583225                    "</f>
        <v xml:space="preserve">2170583225                    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8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0</v>
      </c>
      <c r="AU4443" s="2">
        <v>0</v>
      </c>
      <c r="AV4443" s="2">
        <v>0</v>
      </c>
      <c r="AW4443" s="2">
        <v>0</v>
      </c>
      <c r="AX4443" s="2">
        <v>0</v>
      </c>
      <c r="AY4443" s="2">
        <v>0</v>
      </c>
      <c r="AZ4443" s="2">
        <v>0</v>
      </c>
      <c r="BA4443" s="2">
        <v>0</v>
      </c>
      <c r="BB4443" s="2">
        <v>0</v>
      </c>
      <c r="BC4443" s="2">
        <v>0</v>
      </c>
      <c r="BD4443" s="2">
        <v>0</v>
      </c>
      <c r="BE4443" s="2">
        <v>0</v>
      </c>
      <c r="BF4443" s="2">
        <v>0</v>
      </c>
      <c r="BG4443" s="2">
        <v>0</v>
      </c>
      <c r="BH4443" s="2">
        <v>1</v>
      </c>
      <c r="BI4443" s="2">
        <v>1.1000000000000001</v>
      </c>
      <c r="BJ4443" s="2">
        <v>3.9</v>
      </c>
      <c r="BK4443" s="2">
        <v>4</v>
      </c>
      <c r="BL4443" s="2">
        <v>82.88</v>
      </c>
      <c r="BM4443" s="2">
        <v>11.6</v>
      </c>
      <c r="BN4443" s="2">
        <v>94.48</v>
      </c>
      <c r="BO4443" s="2">
        <v>94.48</v>
      </c>
      <c r="BP4443" s="2"/>
      <c r="BQ4443" s="2" t="s">
        <v>83</v>
      </c>
      <c r="BR4443" s="2" t="s">
        <v>84</v>
      </c>
      <c r="BS4443" s="3">
        <v>42951</v>
      </c>
      <c r="BT4443" s="4">
        <v>0.38194444444444442</v>
      </c>
      <c r="BU4443" s="2" t="s">
        <v>324</v>
      </c>
      <c r="BV4443" s="2" t="s">
        <v>95</v>
      </c>
      <c r="BW4443" s="2"/>
      <c r="BX4443" s="2"/>
      <c r="BY4443" s="2">
        <v>19440.54</v>
      </c>
      <c r="BZ4443" s="2" t="s">
        <v>27</v>
      </c>
      <c r="CA4443" s="2" t="s">
        <v>103</v>
      </c>
      <c r="CB4443" s="2"/>
      <c r="CC4443" s="2" t="s">
        <v>322</v>
      </c>
      <c r="CD4443" s="2">
        <v>6220</v>
      </c>
      <c r="CE4443" s="2" t="s">
        <v>104</v>
      </c>
      <c r="CF4443" s="5">
        <v>42954</v>
      </c>
      <c r="CG4443" s="2"/>
      <c r="CH4443" s="2"/>
      <c r="CI4443" s="2">
        <v>1</v>
      </c>
      <c r="CJ4443" s="2">
        <v>1</v>
      </c>
      <c r="CK4443" s="2">
        <v>21</v>
      </c>
      <c r="CL4443" s="2" t="s">
        <v>86</v>
      </c>
      <c r="CM4443" s="2"/>
    </row>
    <row r="4444" spans="1:91">
      <c r="A4444" s="2" t="s">
        <v>71</v>
      </c>
      <c r="B4444" s="2" t="s">
        <v>72</v>
      </c>
      <c r="C4444" s="2" t="s">
        <v>73</v>
      </c>
      <c r="D4444" s="2"/>
      <c r="E4444" s="2" t="str">
        <f>"FES1162566771"</f>
        <v>FES1162566771</v>
      </c>
      <c r="F4444" s="3">
        <v>42950</v>
      </c>
      <c r="G4444" s="2">
        <v>201802</v>
      </c>
      <c r="H4444" s="2" t="s">
        <v>74</v>
      </c>
      <c r="I4444" s="2" t="s">
        <v>75</v>
      </c>
      <c r="J4444" s="2" t="s">
        <v>76</v>
      </c>
      <c r="K4444" s="2" t="s">
        <v>77</v>
      </c>
      <c r="L4444" s="2" t="s">
        <v>268</v>
      </c>
      <c r="M4444" s="2" t="s">
        <v>269</v>
      </c>
      <c r="N4444" s="2" t="s">
        <v>991</v>
      </c>
      <c r="O4444" s="2" t="s">
        <v>100</v>
      </c>
      <c r="P4444" s="2" t="str">
        <f>"2170582578                    "</f>
        <v xml:space="preserve">2170582578                    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2">
        <v>0</v>
      </c>
      <c r="Z4444" s="2">
        <v>0</v>
      </c>
      <c r="AA4444" s="2">
        <v>0</v>
      </c>
      <c r="AB4444" s="2">
        <v>0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4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0</v>
      </c>
      <c r="AU4444" s="2">
        <v>0</v>
      </c>
      <c r="AV4444" s="2">
        <v>0</v>
      </c>
      <c r="AW4444" s="2">
        <v>0</v>
      </c>
      <c r="AX4444" s="2">
        <v>0</v>
      </c>
      <c r="AY4444" s="2">
        <v>0</v>
      </c>
      <c r="AZ4444" s="2">
        <v>0</v>
      </c>
      <c r="BA4444" s="2">
        <v>0</v>
      </c>
      <c r="BB4444" s="2">
        <v>0</v>
      </c>
      <c r="BC4444" s="2">
        <v>0</v>
      </c>
      <c r="BD4444" s="2">
        <v>0</v>
      </c>
      <c r="BE4444" s="2">
        <v>0</v>
      </c>
      <c r="BF4444" s="2">
        <v>0</v>
      </c>
      <c r="BG4444" s="2">
        <v>0</v>
      </c>
      <c r="BH4444" s="2">
        <v>1</v>
      </c>
      <c r="BI4444" s="2">
        <v>1</v>
      </c>
      <c r="BJ4444" s="2">
        <v>0.2</v>
      </c>
      <c r="BK4444" s="2">
        <v>1</v>
      </c>
      <c r="BL4444" s="2">
        <v>41.44</v>
      </c>
      <c r="BM4444" s="2">
        <v>5.8</v>
      </c>
      <c r="BN4444" s="2">
        <v>47.24</v>
      </c>
      <c r="BO4444" s="2">
        <v>47.24</v>
      </c>
      <c r="BP4444" s="2"/>
      <c r="BQ4444" s="2" t="s">
        <v>209</v>
      </c>
      <c r="BR4444" s="2" t="s">
        <v>84</v>
      </c>
      <c r="BS4444" s="3">
        <v>42951</v>
      </c>
      <c r="BT4444" s="4">
        <v>0.38541666666666669</v>
      </c>
      <c r="BU4444" s="2" t="s">
        <v>992</v>
      </c>
      <c r="BV4444" s="2" t="s">
        <v>95</v>
      </c>
      <c r="BW4444" s="2"/>
      <c r="BX4444" s="2"/>
      <c r="BY4444" s="2">
        <v>1200</v>
      </c>
      <c r="BZ4444" s="2" t="s">
        <v>27</v>
      </c>
      <c r="CA4444" s="2"/>
      <c r="CB4444" s="2"/>
      <c r="CC4444" s="2" t="s">
        <v>269</v>
      </c>
      <c r="CD4444" s="2">
        <v>182</v>
      </c>
      <c r="CE4444" s="2" t="s">
        <v>104</v>
      </c>
      <c r="CF4444" s="5">
        <v>42954</v>
      </c>
      <c r="CG4444" s="2"/>
      <c r="CH4444" s="2"/>
      <c r="CI4444" s="2">
        <v>1</v>
      </c>
      <c r="CJ4444" s="2">
        <v>1</v>
      </c>
      <c r="CK4444" s="2">
        <v>21</v>
      </c>
      <c r="CL4444" s="2" t="s">
        <v>86</v>
      </c>
      <c r="CM4444" s="2"/>
    </row>
    <row r="4445" spans="1:91">
      <c r="A4445" s="2" t="s">
        <v>71</v>
      </c>
      <c r="B4445" s="2" t="s">
        <v>72</v>
      </c>
      <c r="C4445" s="2" t="s">
        <v>73</v>
      </c>
      <c r="D4445" s="2"/>
      <c r="E4445" s="2" t="str">
        <f>"FES1162566688"</f>
        <v>FES1162566688</v>
      </c>
      <c r="F4445" s="3">
        <v>42950</v>
      </c>
      <c r="G4445" s="2">
        <v>201802</v>
      </c>
      <c r="H4445" s="2" t="s">
        <v>74</v>
      </c>
      <c r="I4445" s="2" t="s">
        <v>75</v>
      </c>
      <c r="J4445" s="2" t="s">
        <v>76</v>
      </c>
      <c r="K4445" s="2" t="s">
        <v>77</v>
      </c>
      <c r="L4445" s="2" t="s">
        <v>206</v>
      </c>
      <c r="M4445" s="2" t="s">
        <v>207</v>
      </c>
      <c r="N4445" s="2" t="s">
        <v>3984</v>
      </c>
      <c r="O4445" s="2" t="s">
        <v>100</v>
      </c>
      <c r="P4445" s="2" t="str">
        <f>"21705761772                   "</f>
        <v xml:space="preserve">21705761772                   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0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5.63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0</v>
      </c>
      <c r="AU4445" s="2">
        <v>0</v>
      </c>
      <c r="AV4445" s="2">
        <v>0</v>
      </c>
      <c r="AW4445" s="2">
        <v>0</v>
      </c>
      <c r="AX4445" s="2">
        <v>0</v>
      </c>
      <c r="AY4445" s="2">
        <v>0</v>
      </c>
      <c r="AZ4445" s="2">
        <v>0</v>
      </c>
      <c r="BA4445" s="2">
        <v>0</v>
      </c>
      <c r="BB4445" s="2">
        <v>0</v>
      </c>
      <c r="BC4445" s="2">
        <v>0</v>
      </c>
      <c r="BD4445" s="2">
        <v>0</v>
      </c>
      <c r="BE4445" s="2">
        <v>0</v>
      </c>
      <c r="BF4445" s="2">
        <v>0</v>
      </c>
      <c r="BG4445" s="2">
        <v>0</v>
      </c>
      <c r="BH4445" s="2">
        <v>1</v>
      </c>
      <c r="BI4445" s="2">
        <v>1</v>
      </c>
      <c r="BJ4445" s="2">
        <v>0.2</v>
      </c>
      <c r="BK4445" s="2">
        <v>1</v>
      </c>
      <c r="BL4445" s="2">
        <v>58.28</v>
      </c>
      <c r="BM4445" s="2">
        <v>8.16</v>
      </c>
      <c r="BN4445" s="2">
        <v>66.44</v>
      </c>
      <c r="BO4445" s="2">
        <v>66.44</v>
      </c>
      <c r="BP4445" s="2"/>
      <c r="BQ4445" s="2" t="s">
        <v>1451</v>
      </c>
      <c r="BR4445" s="2" t="s">
        <v>84</v>
      </c>
      <c r="BS4445" s="3">
        <v>42951</v>
      </c>
      <c r="BT4445" s="4">
        <v>0.7104166666666667</v>
      </c>
      <c r="BU4445" s="2" t="s">
        <v>3461</v>
      </c>
      <c r="BV4445" s="2" t="s">
        <v>86</v>
      </c>
      <c r="BW4445" s="2"/>
      <c r="BX4445" s="2"/>
      <c r="BY4445" s="2">
        <v>1200</v>
      </c>
      <c r="BZ4445" s="2" t="s">
        <v>27</v>
      </c>
      <c r="CA4445" s="2" t="s">
        <v>640</v>
      </c>
      <c r="CB4445" s="2"/>
      <c r="CC4445" s="2" t="s">
        <v>207</v>
      </c>
      <c r="CD4445" s="2">
        <v>250</v>
      </c>
      <c r="CE4445" s="2" t="s">
        <v>104</v>
      </c>
      <c r="CF4445" s="5">
        <v>42955</v>
      </c>
      <c r="CG4445" s="2"/>
      <c r="CH4445" s="2"/>
      <c r="CI4445" s="2">
        <v>1</v>
      </c>
      <c r="CJ4445" s="2">
        <v>1</v>
      </c>
      <c r="CK4445" s="2">
        <v>24</v>
      </c>
      <c r="CL4445" s="2" t="s">
        <v>86</v>
      </c>
      <c r="CM4445" s="2"/>
    </row>
    <row r="4446" spans="1:91">
      <c r="A4446" s="2" t="s">
        <v>71</v>
      </c>
      <c r="B4446" s="2" t="s">
        <v>72</v>
      </c>
      <c r="C4446" s="2" t="s">
        <v>73</v>
      </c>
      <c r="D4446" s="2"/>
      <c r="E4446" s="2" t="str">
        <f>"FES1162566622"</f>
        <v>FES1162566622</v>
      </c>
      <c r="F4446" s="3">
        <v>42950</v>
      </c>
      <c r="G4446" s="2">
        <v>201802</v>
      </c>
      <c r="H4446" s="2" t="s">
        <v>74</v>
      </c>
      <c r="I4446" s="2" t="s">
        <v>75</v>
      </c>
      <c r="J4446" s="2" t="s">
        <v>76</v>
      </c>
      <c r="K4446" s="2" t="s">
        <v>77</v>
      </c>
      <c r="L4446" s="2" t="s">
        <v>539</v>
      </c>
      <c r="M4446" s="2" t="s">
        <v>540</v>
      </c>
      <c r="N4446" s="2" t="s">
        <v>541</v>
      </c>
      <c r="O4446" s="2" t="s">
        <v>358</v>
      </c>
      <c r="P4446" s="2" t="str">
        <f>"2170582011                    "</f>
        <v xml:space="preserve">2170582011                    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0</v>
      </c>
      <c r="Z4446" s="2">
        <v>0</v>
      </c>
      <c r="AA4446" s="2">
        <v>0</v>
      </c>
      <c r="AB4446" s="2">
        <v>0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4.88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0</v>
      </c>
      <c r="AU4446" s="2">
        <v>0</v>
      </c>
      <c r="AV4446" s="2">
        <v>0</v>
      </c>
      <c r="AW4446" s="2">
        <v>0</v>
      </c>
      <c r="AX4446" s="2">
        <v>0</v>
      </c>
      <c r="AY4446" s="2">
        <v>0</v>
      </c>
      <c r="AZ4446" s="2">
        <v>0</v>
      </c>
      <c r="BA4446" s="2">
        <v>0</v>
      </c>
      <c r="BB4446" s="2">
        <v>0</v>
      </c>
      <c r="BC4446" s="2">
        <v>0</v>
      </c>
      <c r="BD4446" s="2">
        <v>0</v>
      </c>
      <c r="BE4446" s="2">
        <v>0</v>
      </c>
      <c r="BF4446" s="2">
        <v>0</v>
      </c>
      <c r="BG4446" s="2">
        <v>0</v>
      </c>
      <c r="BH4446" s="2">
        <v>1</v>
      </c>
      <c r="BI4446" s="2">
        <v>12.5</v>
      </c>
      <c r="BJ4446" s="2">
        <v>9</v>
      </c>
      <c r="BK4446" s="2">
        <v>13</v>
      </c>
      <c r="BL4446" s="2">
        <v>50.53</v>
      </c>
      <c r="BM4446" s="2">
        <v>7.07</v>
      </c>
      <c r="BN4446" s="2">
        <v>57.6</v>
      </c>
      <c r="BO4446" s="2">
        <v>57.6</v>
      </c>
      <c r="BP4446" s="2"/>
      <c r="BQ4446" s="2" t="s">
        <v>542</v>
      </c>
      <c r="BR4446" s="2" t="s">
        <v>84</v>
      </c>
      <c r="BS4446" s="3">
        <v>42951</v>
      </c>
      <c r="BT4446" s="4">
        <v>0.39930555555555558</v>
      </c>
      <c r="BU4446" s="2" t="s">
        <v>2667</v>
      </c>
      <c r="BV4446" s="2" t="s">
        <v>95</v>
      </c>
      <c r="BW4446" s="2"/>
      <c r="BX4446" s="2"/>
      <c r="BY4446" s="2">
        <v>44858.239999999998</v>
      </c>
      <c r="BZ4446" s="2" t="s">
        <v>27</v>
      </c>
      <c r="CA4446" s="2" t="s">
        <v>722</v>
      </c>
      <c r="CB4446" s="2"/>
      <c r="CC4446" s="2" t="s">
        <v>540</v>
      </c>
      <c r="CD4446" s="2">
        <v>2162</v>
      </c>
      <c r="CE4446" s="2" t="s">
        <v>89</v>
      </c>
      <c r="CF4446" s="5">
        <v>42954</v>
      </c>
      <c r="CG4446" s="2"/>
      <c r="CH4446" s="2"/>
      <c r="CI4446" s="2">
        <v>1</v>
      </c>
      <c r="CJ4446" s="2">
        <v>1</v>
      </c>
      <c r="CK4446" s="2">
        <v>32</v>
      </c>
      <c r="CL4446" s="2" t="s">
        <v>86</v>
      </c>
      <c r="CM4446" s="2"/>
    </row>
    <row r="4447" spans="1:91">
      <c r="A4447" s="2" t="s">
        <v>71</v>
      </c>
      <c r="B4447" s="2" t="s">
        <v>72</v>
      </c>
      <c r="C4447" s="2" t="s">
        <v>73</v>
      </c>
      <c r="D4447" s="2"/>
      <c r="E4447" s="2" t="str">
        <f>"FES1162566791"</f>
        <v>FES1162566791</v>
      </c>
      <c r="F4447" s="3">
        <v>42950</v>
      </c>
      <c r="G4447" s="2">
        <v>201802</v>
      </c>
      <c r="H4447" s="2" t="s">
        <v>74</v>
      </c>
      <c r="I4447" s="2" t="s">
        <v>75</v>
      </c>
      <c r="J4447" s="2" t="s">
        <v>76</v>
      </c>
      <c r="K4447" s="2" t="s">
        <v>77</v>
      </c>
      <c r="L4447" s="2" t="s">
        <v>339</v>
      </c>
      <c r="M4447" s="2" t="s">
        <v>340</v>
      </c>
      <c r="N4447" s="2" t="s">
        <v>1341</v>
      </c>
      <c r="O4447" s="2" t="s">
        <v>100</v>
      </c>
      <c r="P4447" s="2" t="str">
        <f>"2170583038                    "</f>
        <v xml:space="preserve">2170583038                    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0</v>
      </c>
      <c r="Y4447" s="2">
        <v>0</v>
      </c>
      <c r="Z4447" s="2">
        <v>0</v>
      </c>
      <c r="AA4447" s="2">
        <v>0</v>
      </c>
      <c r="AB4447" s="2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4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0</v>
      </c>
      <c r="AU4447" s="2">
        <v>0</v>
      </c>
      <c r="AV4447" s="2">
        <v>0</v>
      </c>
      <c r="AW4447" s="2">
        <v>0</v>
      </c>
      <c r="AX4447" s="2">
        <v>0</v>
      </c>
      <c r="AY4447" s="2">
        <v>0</v>
      </c>
      <c r="AZ4447" s="2">
        <v>0</v>
      </c>
      <c r="BA4447" s="2">
        <v>0</v>
      </c>
      <c r="BB4447" s="2">
        <v>0</v>
      </c>
      <c r="BC4447" s="2">
        <v>0</v>
      </c>
      <c r="BD4447" s="2">
        <v>0</v>
      </c>
      <c r="BE4447" s="2">
        <v>0</v>
      </c>
      <c r="BF4447" s="2">
        <v>0</v>
      </c>
      <c r="BG4447" s="2">
        <v>0</v>
      </c>
      <c r="BH4447" s="2">
        <v>1</v>
      </c>
      <c r="BI4447" s="2">
        <v>1</v>
      </c>
      <c r="BJ4447" s="2">
        <v>0.2</v>
      </c>
      <c r="BK4447" s="2">
        <v>1</v>
      </c>
      <c r="BL4447" s="2">
        <v>41.44</v>
      </c>
      <c r="BM4447" s="2">
        <v>5.8</v>
      </c>
      <c r="BN4447" s="2">
        <v>47.24</v>
      </c>
      <c r="BO4447" s="2">
        <v>47.24</v>
      </c>
      <c r="BP4447" s="2"/>
      <c r="BQ4447" s="2" t="s">
        <v>4030</v>
      </c>
      <c r="BR4447" s="2" t="s">
        <v>84</v>
      </c>
      <c r="BS4447" s="3">
        <v>42951</v>
      </c>
      <c r="BT4447" s="4">
        <v>0.41666666666666669</v>
      </c>
      <c r="BU4447" s="2" t="s">
        <v>3085</v>
      </c>
      <c r="BV4447" s="2" t="s">
        <v>95</v>
      </c>
      <c r="BW4447" s="2"/>
      <c r="BX4447" s="2"/>
      <c r="BY4447" s="2">
        <v>1200</v>
      </c>
      <c r="BZ4447" s="2" t="s">
        <v>27</v>
      </c>
      <c r="CA4447" s="2"/>
      <c r="CB4447" s="2"/>
      <c r="CC4447" s="2" t="s">
        <v>340</v>
      </c>
      <c r="CD4447" s="2">
        <v>1947</v>
      </c>
      <c r="CE4447" s="2" t="s">
        <v>104</v>
      </c>
      <c r="CF4447" s="5">
        <v>42954</v>
      </c>
      <c r="CG4447" s="2"/>
      <c r="CH4447" s="2"/>
      <c r="CI4447" s="2">
        <v>1</v>
      </c>
      <c r="CJ4447" s="2">
        <v>1</v>
      </c>
      <c r="CK4447" s="2">
        <v>21</v>
      </c>
      <c r="CL4447" s="2" t="s">
        <v>86</v>
      </c>
      <c r="CM4447" s="2"/>
    </row>
    <row r="4448" spans="1:91">
      <c r="A4448" s="2" t="s">
        <v>71</v>
      </c>
      <c r="B4448" s="2" t="s">
        <v>72</v>
      </c>
      <c r="C4448" s="2" t="s">
        <v>73</v>
      </c>
      <c r="D4448" s="2"/>
      <c r="E4448" s="2" t="str">
        <f>"FES1162566868"</f>
        <v>FES1162566868</v>
      </c>
      <c r="F4448" s="3">
        <v>42950</v>
      </c>
      <c r="G4448" s="2">
        <v>201802</v>
      </c>
      <c r="H4448" s="2" t="s">
        <v>74</v>
      </c>
      <c r="I4448" s="2" t="s">
        <v>75</v>
      </c>
      <c r="J4448" s="2" t="s">
        <v>76</v>
      </c>
      <c r="K4448" s="2" t="s">
        <v>77</v>
      </c>
      <c r="L4448" s="2" t="s">
        <v>105</v>
      </c>
      <c r="M4448" s="2" t="s">
        <v>106</v>
      </c>
      <c r="N4448" s="2" t="s">
        <v>107</v>
      </c>
      <c r="O4448" s="2" t="s">
        <v>100</v>
      </c>
      <c r="P4448" s="2" t="str">
        <f>"2170583114                    "</f>
        <v xml:space="preserve">2170583114                    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11.01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0</v>
      </c>
      <c r="AU4448" s="2">
        <v>0</v>
      </c>
      <c r="AV4448" s="2">
        <v>0</v>
      </c>
      <c r="AW4448" s="2">
        <v>0</v>
      </c>
      <c r="AX4448" s="2">
        <v>0</v>
      </c>
      <c r="AY4448" s="2">
        <v>0</v>
      </c>
      <c r="AZ4448" s="2">
        <v>0</v>
      </c>
      <c r="BA4448" s="2">
        <v>0</v>
      </c>
      <c r="BB4448" s="2">
        <v>0</v>
      </c>
      <c r="BC4448" s="2">
        <v>0</v>
      </c>
      <c r="BD4448" s="2">
        <v>0</v>
      </c>
      <c r="BE4448" s="2">
        <v>0</v>
      </c>
      <c r="BF4448" s="2">
        <v>0</v>
      </c>
      <c r="BG4448" s="2">
        <v>0</v>
      </c>
      <c r="BH4448" s="2">
        <v>1</v>
      </c>
      <c r="BI4448" s="2">
        <v>5.4</v>
      </c>
      <c r="BJ4448" s="2">
        <v>1.8</v>
      </c>
      <c r="BK4448" s="2">
        <v>5.5</v>
      </c>
      <c r="BL4448" s="2">
        <v>113.97</v>
      </c>
      <c r="BM4448" s="2">
        <v>15.96</v>
      </c>
      <c r="BN4448" s="2">
        <v>129.93</v>
      </c>
      <c r="BO4448" s="2">
        <v>129.93</v>
      </c>
      <c r="BP4448" s="2"/>
      <c r="BQ4448" s="2" t="s">
        <v>108</v>
      </c>
      <c r="BR4448" s="2" t="s">
        <v>84</v>
      </c>
      <c r="BS4448" s="3">
        <v>42951</v>
      </c>
      <c r="BT4448" s="4">
        <v>0.39999999999999997</v>
      </c>
      <c r="BU4448" s="2" t="s">
        <v>1888</v>
      </c>
      <c r="BV4448" s="2" t="s">
        <v>95</v>
      </c>
      <c r="BW4448" s="2"/>
      <c r="BX4448" s="2"/>
      <c r="BY4448" s="2">
        <v>9224.5400000000009</v>
      </c>
      <c r="BZ4448" s="2" t="s">
        <v>27</v>
      </c>
      <c r="CA4448" s="2" t="s">
        <v>856</v>
      </c>
      <c r="CB4448" s="2"/>
      <c r="CC4448" s="2" t="s">
        <v>106</v>
      </c>
      <c r="CD4448" s="2">
        <v>7405</v>
      </c>
      <c r="CE4448" s="2" t="s">
        <v>89</v>
      </c>
      <c r="CF4448" s="5">
        <v>42954</v>
      </c>
      <c r="CG4448" s="2"/>
      <c r="CH4448" s="2"/>
      <c r="CI4448" s="2">
        <v>1</v>
      </c>
      <c r="CJ4448" s="2">
        <v>1</v>
      </c>
      <c r="CK4448" s="2">
        <v>21</v>
      </c>
      <c r="CL4448" s="2" t="s">
        <v>86</v>
      </c>
      <c r="CM4448" s="2"/>
    </row>
    <row r="4449" spans="1:91">
      <c r="A4449" s="2" t="s">
        <v>71</v>
      </c>
      <c r="B4449" s="2" t="s">
        <v>72</v>
      </c>
      <c r="C4449" s="2" t="s">
        <v>73</v>
      </c>
      <c r="D4449" s="2"/>
      <c r="E4449" s="2" t="str">
        <f>"FES1162566668"</f>
        <v>FES1162566668</v>
      </c>
      <c r="F4449" s="3">
        <v>42950</v>
      </c>
      <c r="G4449" s="2">
        <v>201802</v>
      </c>
      <c r="H4449" s="2" t="s">
        <v>74</v>
      </c>
      <c r="I4449" s="2" t="s">
        <v>75</v>
      </c>
      <c r="J4449" s="2" t="s">
        <v>76</v>
      </c>
      <c r="K4449" s="2" t="s">
        <v>77</v>
      </c>
      <c r="L4449" s="2" t="s">
        <v>206</v>
      </c>
      <c r="M4449" s="2" t="s">
        <v>207</v>
      </c>
      <c r="N4449" s="2" t="s">
        <v>650</v>
      </c>
      <c r="O4449" s="2" t="s">
        <v>100</v>
      </c>
      <c r="P4449" s="2" t="str">
        <f>"2170579648                    "</f>
        <v xml:space="preserve">2170579648                    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2">
        <v>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5.63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0</v>
      </c>
      <c r="AU4449" s="2">
        <v>0</v>
      </c>
      <c r="AV4449" s="2">
        <v>0</v>
      </c>
      <c r="AW4449" s="2">
        <v>0</v>
      </c>
      <c r="AX4449" s="2">
        <v>0</v>
      </c>
      <c r="AY4449" s="2">
        <v>0</v>
      </c>
      <c r="AZ4449" s="2">
        <v>0</v>
      </c>
      <c r="BA4449" s="2">
        <v>0</v>
      </c>
      <c r="BB4449" s="2">
        <v>0</v>
      </c>
      <c r="BC4449" s="2">
        <v>0</v>
      </c>
      <c r="BD4449" s="2">
        <v>0</v>
      </c>
      <c r="BE4449" s="2">
        <v>0</v>
      </c>
      <c r="BF4449" s="2">
        <v>0</v>
      </c>
      <c r="BG4449" s="2">
        <v>0</v>
      </c>
      <c r="BH4449" s="2">
        <v>1</v>
      </c>
      <c r="BI4449" s="2">
        <v>1</v>
      </c>
      <c r="BJ4449" s="2">
        <v>0.2</v>
      </c>
      <c r="BK4449" s="2">
        <v>1</v>
      </c>
      <c r="BL4449" s="2">
        <v>58.28</v>
      </c>
      <c r="BM4449" s="2">
        <v>8.16</v>
      </c>
      <c r="BN4449" s="2">
        <v>66.44</v>
      </c>
      <c r="BO4449" s="2">
        <v>66.44</v>
      </c>
      <c r="BP4449" s="2"/>
      <c r="BQ4449" s="2" t="s">
        <v>209</v>
      </c>
      <c r="BR4449" s="2" t="s">
        <v>84</v>
      </c>
      <c r="BS4449" s="3">
        <v>42951</v>
      </c>
      <c r="BT4449" s="4">
        <v>0.54583333333333328</v>
      </c>
      <c r="BU4449" s="2" t="s">
        <v>2822</v>
      </c>
      <c r="BV4449" s="2" t="s">
        <v>95</v>
      </c>
      <c r="BW4449" s="2"/>
      <c r="BX4449" s="2"/>
      <c r="BY4449" s="2">
        <v>1200</v>
      </c>
      <c r="BZ4449" s="2" t="s">
        <v>27</v>
      </c>
      <c r="CA4449" s="2" t="s">
        <v>211</v>
      </c>
      <c r="CB4449" s="2"/>
      <c r="CC4449" s="2" t="s">
        <v>207</v>
      </c>
      <c r="CD4449" s="2">
        <v>250</v>
      </c>
      <c r="CE4449" s="2" t="s">
        <v>104</v>
      </c>
      <c r="CF4449" s="5">
        <v>42955</v>
      </c>
      <c r="CG4449" s="2"/>
      <c r="CH4449" s="2"/>
      <c r="CI4449" s="2">
        <v>1</v>
      </c>
      <c r="CJ4449" s="2">
        <v>1</v>
      </c>
      <c r="CK4449" s="2">
        <v>24</v>
      </c>
      <c r="CL4449" s="2" t="s">
        <v>86</v>
      </c>
      <c r="CM4449" s="2"/>
    </row>
    <row r="4450" spans="1:91">
      <c r="A4450" s="2" t="s">
        <v>71</v>
      </c>
      <c r="B4450" s="2" t="s">
        <v>72</v>
      </c>
      <c r="C4450" s="2" t="s">
        <v>73</v>
      </c>
      <c r="D4450" s="2"/>
      <c r="E4450" s="2" t="str">
        <f>"FES1162566576"</f>
        <v>FES1162566576</v>
      </c>
      <c r="F4450" s="3">
        <v>42950</v>
      </c>
      <c r="G4450" s="2">
        <v>201802</v>
      </c>
      <c r="H4450" s="2" t="s">
        <v>74</v>
      </c>
      <c r="I4450" s="2" t="s">
        <v>75</v>
      </c>
      <c r="J4450" s="2" t="s">
        <v>76</v>
      </c>
      <c r="K4450" s="2" t="s">
        <v>77</v>
      </c>
      <c r="L4450" s="2" t="s">
        <v>144</v>
      </c>
      <c r="M4450" s="2" t="s">
        <v>145</v>
      </c>
      <c r="N4450" s="2" t="s">
        <v>1462</v>
      </c>
      <c r="O4450" s="2" t="s">
        <v>100</v>
      </c>
      <c r="P4450" s="2" t="str">
        <f>"2170582929                    "</f>
        <v xml:space="preserve">2170582929                    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3.13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0</v>
      </c>
      <c r="AU4450" s="2">
        <v>0</v>
      </c>
      <c r="AV4450" s="2">
        <v>0</v>
      </c>
      <c r="AW4450" s="2">
        <v>0</v>
      </c>
      <c r="AX4450" s="2">
        <v>0</v>
      </c>
      <c r="AY4450" s="2">
        <v>0</v>
      </c>
      <c r="AZ4450" s="2">
        <v>0</v>
      </c>
      <c r="BA4450" s="2">
        <v>0</v>
      </c>
      <c r="BB4450" s="2">
        <v>0</v>
      </c>
      <c r="BC4450" s="2">
        <v>0</v>
      </c>
      <c r="BD4450" s="2">
        <v>0</v>
      </c>
      <c r="BE4450" s="2">
        <v>0</v>
      </c>
      <c r="BF4450" s="2">
        <v>0</v>
      </c>
      <c r="BG4450" s="2">
        <v>0</v>
      </c>
      <c r="BH4450" s="2">
        <v>1</v>
      </c>
      <c r="BI4450" s="2">
        <v>1</v>
      </c>
      <c r="BJ4450" s="2">
        <v>0.2</v>
      </c>
      <c r="BK4450" s="2">
        <v>1</v>
      </c>
      <c r="BL4450" s="2">
        <v>32.380000000000003</v>
      </c>
      <c r="BM4450" s="2">
        <v>4.53</v>
      </c>
      <c r="BN4450" s="2">
        <v>36.909999999999997</v>
      </c>
      <c r="BO4450" s="2">
        <v>36.909999999999997</v>
      </c>
      <c r="BP4450" s="2"/>
      <c r="BQ4450" s="2" t="s">
        <v>209</v>
      </c>
      <c r="BR4450" s="2" t="s">
        <v>84</v>
      </c>
      <c r="BS4450" s="3">
        <v>42951</v>
      </c>
      <c r="BT4450" s="4">
        <v>0.3611111111111111</v>
      </c>
      <c r="BU4450" s="2" t="s">
        <v>1463</v>
      </c>
      <c r="BV4450" s="2" t="s">
        <v>95</v>
      </c>
      <c r="BW4450" s="2"/>
      <c r="BX4450" s="2"/>
      <c r="BY4450" s="2">
        <v>1200</v>
      </c>
      <c r="BZ4450" s="2" t="s">
        <v>27</v>
      </c>
      <c r="CA4450" s="2" t="s">
        <v>729</v>
      </c>
      <c r="CB4450" s="2"/>
      <c r="CC4450" s="2" t="s">
        <v>145</v>
      </c>
      <c r="CD4450" s="2">
        <v>2094</v>
      </c>
      <c r="CE4450" s="2" t="s">
        <v>104</v>
      </c>
      <c r="CF4450" s="5">
        <v>42954</v>
      </c>
      <c r="CG4450" s="2"/>
      <c r="CH4450" s="2"/>
      <c r="CI4450" s="2">
        <v>1</v>
      </c>
      <c r="CJ4450" s="2">
        <v>1</v>
      </c>
      <c r="CK4450" s="2">
        <v>22</v>
      </c>
      <c r="CL4450" s="2" t="s">
        <v>86</v>
      </c>
      <c r="CM4450" s="2"/>
    </row>
    <row r="4451" spans="1:91">
      <c r="A4451" s="2" t="s">
        <v>71</v>
      </c>
      <c r="B4451" s="2" t="s">
        <v>72</v>
      </c>
      <c r="C4451" s="2" t="s">
        <v>73</v>
      </c>
      <c r="D4451" s="2"/>
      <c r="E4451" s="2" t="str">
        <f>"FES1162566759"</f>
        <v>FES1162566759</v>
      </c>
      <c r="F4451" s="3">
        <v>42950</v>
      </c>
      <c r="G4451" s="2">
        <v>201802</v>
      </c>
      <c r="H4451" s="2" t="s">
        <v>74</v>
      </c>
      <c r="I4451" s="2" t="s">
        <v>75</v>
      </c>
      <c r="J4451" s="2" t="s">
        <v>76</v>
      </c>
      <c r="K4451" s="2" t="s">
        <v>77</v>
      </c>
      <c r="L4451" s="2" t="s">
        <v>206</v>
      </c>
      <c r="M4451" s="2" t="s">
        <v>207</v>
      </c>
      <c r="N4451" s="2" t="s">
        <v>1672</v>
      </c>
      <c r="O4451" s="2" t="s">
        <v>100</v>
      </c>
      <c r="P4451" s="2" t="str">
        <f>"2170579814                    "</f>
        <v xml:space="preserve">2170579814                    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5.63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0</v>
      </c>
      <c r="AU4451" s="2">
        <v>0</v>
      </c>
      <c r="AV4451" s="2">
        <v>0</v>
      </c>
      <c r="AW4451" s="2">
        <v>0</v>
      </c>
      <c r="AX4451" s="2">
        <v>0</v>
      </c>
      <c r="AY4451" s="2">
        <v>0</v>
      </c>
      <c r="AZ4451" s="2">
        <v>0</v>
      </c>
      <c r="BA4451" s="2">
        <v>0</v>
      </c>
      <c r="BB4451" s="2">
        <v>0</v>
      </c>
      <c r="BC4451" s="2">
        <v>0</v>
      </c>
      <c r="BD4451" s="2">
        <v>0</v>
      </c>
      <c r="BE4451" s="2">
        <v>0</v>
      </c>
      <c r="BF4451" s="2">
        <v>0</v>
      </c>
      <c r="BG4451" s="2">
        <v>0</v>
      </c>
      <c r="BH4451" s="2">
        <v>1</v>
      </c>
      <c r="BI4451" s="2">
        <v>1</v>
      </c>
      <c r="BJ4451" s="2">
        <v>0.2</v>
      </c>
      <c r="BK4451" s="2">
        <v>1</v>
      </c>
      <c r="BL4451" s="2">
        <v>58.28</v>
      </c>
      <c r="BM4451" s="2">
        <v>8.16</v>
      </c>
      <c r="BN4451" s="2">
        <v>66.44</v>
      </c>
      <c r="BO4451" s="2">
        <v>66.44</v>
      </c>
      <c r="BP4451" s="2"/>
      <c r="BQ4451" s="2" t="s">
        <v>2847</v>
      </c>
      <c r="BR4451" s="2" t="s">
        <v>84</v>
      </c>
      <c r="BS4451" s="3">
        <v>42951</v>
      </c>
      <c r="BT4451" s="4">
        <v>0.7104166666666667</v>
      </c>
      <c r="BU4451" s="2" t="s">
        <v>4031</v>
      </c>
      <c r="BV4451" s="2" t="s">
        <v>86</v>
      </c>
      <c r="BW4451" s="2"/>
      <c r="BX4451" s="2"/>
      <c r="BY4451" s="2">
        <v>1200</v>
      </c>
      <c r="BZ4451" s="2" t="s">
        <v>27</v>
      </c>
      <c r="CA4451" s="2" t="s">
        <v>640</v>
      </c>
      <c r="CB4451" s="2"/>
      <c r="CC4451" s="2" t="s">
        <v>207</v>
      </c>
      <c r="CD4451" s="2">
        <v>250</v>
      </c>
      <c r="CE4451" s="2" t="s">
        <v>104</v>
      </c>
      <c r="CF4451" s="5">
        <v>42955</v>
      </c>
      <c r="CG4451" s="2"/>
      <c r="CH4451" s="2"/>
      <c r="CI4451" s="2">
        <v>1</v>
      </c>
      <c r="CJ4451" s="2">
        <v>1</v>
      </c>
      <c r="CK4451" s="2">
        <v>24</v>
      </c>
      <c r="CL4451" s="2" t="s">
        <v>86</v>
      </c>
      <c r="CM4451" s="2"/>
    </row>
    <row r="4452" spans="1:91">
      <c r="A4452" s="2" t="s">
        <v>71</v>
      </c>
      <c r="B4452" s="2" t="s">
        <v>72</v>
      </c>
      <c r="C4452" s="2" t="s">
        <v>73</v>
      </c>
      <c r="D4452" s="2"/>
      <c r="E4452" s="2" t="str">
        <f>"FES1162566876"</f>
        <v>FES1162566876</v>
      </c>
      <c r="F4452" s="3">
        <v>42950</v>
      </c>
      <c r="G4452" s="2">
        <v>201802</v>
      </c>
      <c r="H4452" s="2" t="s">
        <v>74</v>
      </c>
      <c r="I4452" s="2" t="s">
        <v>75</v>
      </c>
      <c r="J4452" s="2" t="s">
        <v>76</v>
      </c>
      <c r="K4452" s="2" t="s">
        <v>77</v>
      </c>
      <c r="L4452" s="2" t="s">
        <v>170</v>
      </c>
      <c r="M4452" s="2" t="s">
        <v>171</v>
      </c>
      <c r="N4452" s="2" t="s">
        <v>3524</v>
      </c>
      <c r="O4452" s="2" t="s">
        <v>100</v>
      </c>
      <c r="P4452" s="2" t="str">
        <f>"2170583124                    "</f>
        <v xml:space="preserve">2170583124                    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3.13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0</v>
      </c>
      <c r="AU4452" s="2">
        <v>0</v>
      </c>
      <c r="AV4452" s="2">
        <v>0</v>
      </c>
      <c r="AW4452" s="2">
        <v>0</v>
      </c>
      <c r="AX4452" s="2">
        <v>0</v>
      </c>
      <c r="AY4452" s="2">
        <v>0</v>
      </c>
      <c r="AZ4452" s="2">
        <v>0</v>
      </c>
      <c r="BA4452" s="2">
        <v>0</v>
      </c>
      <c r="BB4452" s="2">
        <v>0</v>
      </c>
      <c r="BC4452" s="2">
        <v>0</v>
      </c>
      <c r="BD4452" s="2">
        <v>0</v>
      </c>
      <c r="BE4452" s="2">
        <v>0</v>
      </c>
      <c r="BF4452" s="2">
        <v>0</v>
      </c>
      <c r="BG4452" s="2">
        <v>0</v>
      </c>
      <c r="BH4452" s="2">
        <v>1</v>
      </c>
      <c r="BI4452" s="2">
        <v>2.2000000000000002</v>
      </c>
      <c r="BJ4452" s="2">
        <v>1.8</v>
      </c>
      <c r="BK4452" s="2">
        <v>3</v>
      </c>
      <c r="BL4452" s="2">
        <v>32.380000000000003</v>
      </c>
      <c r="BM4452" s="2">
        <v>4.53</v>
      </c>
      <c r="BN4452" s="2">
        <v>36.909999999999997</v>
      </c>
      <c r="BO4452" s="2">
        <v>36.909999999999997</v>
      </c>
      <c r="BP4452" s="2"/>
      <c r="BQ4452" s="2" t="s">
        <v>83</v>
      </c>
      <c r="BR4452" s="2" t="s">
        <v>84</v>
      </c>
      <c r="BS4452" s="3">
        <v>42951</v>
      </c>
      <c r="BT4452" s="4">
        <v>0.61249999999999993</v>
      </c>
      <c r="BU4452" s="2" t="s">
        <v>3526</v>
      </c>
      <c r="BV4452" s="2" t="s">
        <v>86</v>
      </c>
      <c r="BW4452" s="2"/>
      <c r="BX4452" s="2"/>
      <c r="BY4452" s="2">
        <v>9182.99</v>
      </c>
      <c r="BZ4452" s="2" t="s">
        <v>27</v>
      </c>
      <c r="CA4452" s="2" t="s">
        <v>492</v>
      </c>
      <c r="CB4452" s="2"/>
      <c r="CC4452" s="2" t="s">
        <v>171</v>
      </c>
      <c r="CD4452" s="2">
        <v>1401</v>
      </c>
      <c r="CE4452" s="2" t="s">
        <v>104</v>
      </c>
      <c r="CF4452" s="5">
        <v>42951</v>
      </c>
      <c r="CG4452" s="2"/>
      <c r="CH4452" s="2"/>
      <c r="CI4452" s="2">
        <v>1</v>
      </c>
      <c r="CJ4452" s="2">
        <v>1</v>
      </c>
      <c r="CK4452" s="2">
        <v>22</v>
      </c>
      <c r="CL4452" s="2" t="s">
        <v>86</v>
      </c>
      <c r="CM4452" s="2"/>
    </row>
    <row r="4453" spans="1:91">
      <c r="A4453" s="2" t="s">
        <v>71</v>
      </c>
      <c r="B4453" s="2" t="s">
        <v>72</v>
      </c>
      <c r="C4453" s="2" t="s">
        <v>73</v>
      </c>
      <c r="D4453" s="2"/>
      <c r="E4453" s="2" t="str">
        <f>"FES1162566893"</f>
        <v>FES1162566893</v>
      </c>
      <c r="F4453" s="3">
        <v>42950</v>
      </c>
      <c r="G4453" s="2">
        <v>201802</v>
      </c>
      <c r="H4453" s="2" t="s">
        <v>74</v>
      </c>
      <c r="I4453" s="2" t="s">
        <v>75</v>
      </c>
      <c r="J4453" s="2" t="s">
        <v>76</v>
      </c>
      <c r="K4453" s="2" t="s">
        <v>77</v>
      </c>
      <c r="L4453" s="2" t="s">
        <v>343</v>
      </c>
      <c r="M4453" s="2" t="s">
        <v>344</v>
      </c>
      <c r="N4453" s="2" t="s">
        <v>2794</v>
      </c>
      <c r="O4453" s="2" t="s">
        <v>100</v>
      </c>
      <c r="P4453" s="2" t="str">
        <f>"2170582354                    "</f>
        <v xml:space="preserve">2170582354                    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</v>
      </c>
      <c r="Y4453" s="2">
        <v>0</v>
      </c>
      <c r="Z4453" s="2">
        <v>0</v>
      </c>
      <c r="AA4453" s="2">
        <v>0</v>
      </c>
      <c r="AB4453" s="2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4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0</v>
      </c>
      <c r="AU4453" s="2">
        <v>0</v>
      </c>
      <c r="AV4453" s="2">
        <v>0</v>
      </c>
      <c r="AW4453" s="2">
        <v>0</v>
      </c>
      <c r="AX4453" s="2">
        <v>0</v>
      </c>
      <c r="AY4453" s="2">
        <v>0</v>
      </c>
      <c r="AZ4453" s="2">
        <v>0</v>
      </c>
      <c r="BA4453" s="2">
        <v>0</v>
      </c>
      <c r="BB4453" s="2">
        <v>0</v>
      </c>
      <c r="BC4453" s="2">
        <v>0</v>
      </c>
      <c r="BD4453" s="2">
        <v>0</v>
      </c>
      <c r="BE4453" s="2">
        <v>0</v>
      </c>
      <c r="BF4453" s="2">
        <v>0</v>
      </c>
      <c r="BG4453" s="2">
        <v>0</v>
      </c>
      <c r="BH4453" s="2">
        <v>1</v>
      </c>
      <c r="BI4453" s="2">
        <v>0.8</v>
      </c>
      <c r="BJ4453" s="2">
        <v>1</v>
      </c>
      <c r="BK4453" s="2">
        <v>1</v>
      </c>
      <c r="BL4453" s="2">
        <v>41.44</v>
      </c>
      <c r="BM4453" s="2">
        <v>5.8</v>
      </c>
      <c r="BN4453" s="2">
        <v>47.24</v>
      </c>
      <c r="BO4453" s="2">
        <v>47.24</v>
      </c>
      <c r="BP4453" s="2"/>
      <c r="BQ4453" s="2" t="s">
        <v>365</v>
      </c>
      <c r="BR4453" s="2" t="s">
        <v>84</v>
      </c>
      <c r="BS4453" s="3">
        <v>42954</v>
      </c>
      <c r="BT4453" s="4">
        <v>0.33333333333333331</v>
      </c>
      <c r="BU4453" s="2" t="s">
        <v>4032</v>
      </c>
      <c r="BV4453" s="2" t="s">
        <v>86</v>
      </c>
      <c r="BW4453" s="2"/>
      <c r="BX4453" s="2"/>
      <c r="BY4453" s="2">
        <v>4875.78</v>
      </c>
      <c r="BZ4453" s="2" t="s">
        <v>27</v>
      </c>
      <c r="CA4453" s="2" t="s">
        <v>550</v>
      </c>
      <c r="CB4453" s="2"/>
      <c r="CC4453" s="2" t="s">
        <v>344</v>
      </c>
      <c r="CD4453" s="2">
        <v>4110</v>
      </c>
      <c r="CE4453" s="2" t="s">
        <v>89</v>
      </c>
      <c r="CF4453" s="5">
        <v>42957</v>
      </c>
      <c r="CG4453" s="2"/>
      <c r="CH4453" s="2"/>
      <c r="CI4453" s="2">
        <v>1</v>
      </c>
      <c r="CJ4453" s="2">
        <v>2</v>
      </c>
      <c r="CK4453" s="2">
        <v>21</v>
      </c>
      <c r="CL4453" s="2" t="s">
        <v>86</v>
      </c>
      <c r="CM4453" s="2"/>
    </row>
    <row r="4454" spans="1:91">
      <c r="A4454" s="2" t="s">
        <v>71</v>
      </c>
      <c r="B4454" s="2" t="s">
        <v>72</v>
      </c>
      <c r="C4454" s="2" t="s">
        <v>73</v>
      </c>
      <c r="D4454" s="2"/>
      <c r="E4454" s="2" t="str">
        <f>"FES1162566787"</f>
        <v>FES1162566787</v>
      </c>
      <c r="F4454" s="3">
        <v>42950</v>
      </c>
      <c r="G4454" s="2">
        <v>201802</v>
      </c>
      <c r="H4454" s="2" t="s">
        <v>74</v>
      </c>
      <c r="I4454" s="2" t="s">
        <v>75</v>
      </c>
      <c r="J4454" s="2" t="s">
        <v>76</v>
      </c>
      <c r="K4454" s="2" t="s">
        <v>77</v>
      </c>
      <c r="L4454" s="2" t="s">
        <v>105</v>
      </c>
      <c r="M4454" s="2" t="s">
        <v>106</v>
      </c>
      <c r="N4454" s="2" t="s">
        <v>1669</v>
      </c>
      <c r="O4454" s="2" t="s">
        <v>100</v>
      </c>
      <c r="P4454" s="2" t="str">
        <f>"2170582808                    "</f>
        <v xml:space="preserve">2170582808                    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16.010000000000002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0</v>
      </c>
      <c r="AU4454" s="2">
        <v>0</v>
      </c>
      <c r="AV4454" s="2">
        <v>0</v>
      </c>
      <c r="AW4454" s="2">
        <v>0</v>
      </c>
      <c r="AX4454" s="2">
        <v>0</v>
      </c>
      <c r="AY4454" s="2">
        <v>0</v>
      </c>
      <c r="AZ4454" s="2">
        <v>0</v>
      </c>
      <c r="BA4454" s="2">
        <v>0</v>
      </c>
      <c r="BB4454" s="2">
        <v>0</v>
      </c>
      <c r="BC4454" s="2">
        <v>0</v>
      </c>
      <c r="BD4454" s="2">
        <v>0</v>
      </c>
      <c r="BE4454" s="2">
        <v>0</v>
      </c>
      <c r="BF4454" s="2">
        <v>0</v>
      </c>
      <c r="BG4454" s="2">
        <v>0</v>
      </c>
      <c r="BH4454" s="2">
        <v>1</v>
      </c>
      <c r="BI4454" s="2">
        <v>7.6</v>
      </c>
      <c r="BJ4454" s="2">
        <v>3.4</v>
      </c>
      <c r="BK4454" s="2">
        <v>8</v>
      </c>
      <c r="BL4454" s="2">
        <v>165.77</v>
      </c>
      <c r="BM4454" s="2">
        <v>23.21</v>
      </c>
      <c r="BN4454" s="2">
        <v>188.98</v>
      </c>
      <c r="BO4454" s="2">
        <v>188.98</v>
      </c>
      <c r="BP4454" s="2"/>
      <c r="BQ4454" s="2" t="s">
        <v>1859</v>
      </c>
      <c r="BR4454" s="2" t="s">
        <v>84</v>
      </c>
      <c r="BS4454" s="3">
        <v>42951</v>
      </c>
      <c r="BT4454" s="4">
        <v>0.36458333333333331</v>
      </c>
      <c r="BU4454" s="2" t="s">
        <v>3348</v>
      </c>
      <c r="BV4454" s="2" t="s">
        <v>95</v>
      </c>
      <c r="BW4454" s="2"/>
      <c r="BX4454" s="2"/>
      <c r="BY4454" s="2">
        <v>16774</v>
      </c>
      <c r="BZ4454" s="2" t="s">
        <v>27</v>
      </c>
      <c r="CA4454" s="2" t="s">
        <v>654</v>
      </c>
      <c r="CB4454" s="2"/>
      <c r="CC4454" s="2" t="s">
        <v>106</v>
      </c>
      <c r="CD4454" s="2">
        <v>7493</v>
      </c>
      <c r="CE4454" s="2" t="s">
        <v>89</v>
      </c>
      <c r="CF4454" s="5">
        <v>42954</v>
      </c>
      <c r="CG4454" s="2"/>
      <c r="CH4454" s="2"/>
      <c r="CI4454" s="2">
        <v>1</v>
      </c>
      <c r="CJ4454" s="2">
        <v>1</v>
      </c>
      <c r="CK4454" s="2">
        <v>21</v>
      </c>
      <c r="CL4454" s="2" t="s">
        <v>86</v>
      </c>
      <c r="CM4454" s="2"/>
    </row>
    <row r="4455" spans="1:91">
      <c r="A4455" s="2" t="s">
        <v>71</v>
      </c>
      <c r="B4455" s="2" t="s">
        <v>72</v>
      </c>
      <c r="C4455" s="2" t="s">
        <v>73</v>
      </c>
      <c r="D4455" s="2"/>
      <c r="E4455" s="2" t="str">
        <f>"FES1162566933"</f>
        <v>FES1162566933</v>
      </c>
      <c r="F4455" s="3">
        <v>42950</v>
      </c>
      <c r="G4455" s="2">
        <v>201802</v>
      </c>
      <c r="H4455" s="2" t="s">
        <v>74</v>
      </c>
      <c r="I4455" s="2" t="s">
        <v>75</v>
      </c>
      <c r="J4455" s="2" t="s">
        <v>76</v>
      </c>
      <c r="K4455" s="2" t="s">
        <v>77</v>
      </c>
      <c r="L4455" s="2" t="s">
        <v>97</v>
      </c>
      <c r="M4455" s="2" t="s">
        <v>98</v>
      </c>
      <c r="N4455" s="2" t="s">
        <v>2147</v>
      </c>
      <c r="O4455" s="2" t="s">
        <v>100</v>
      </c>
      <c r="P4455" s="2" t="str">
        <f>"2170583182                    "</f>
        <v xml:space="preserve">2170583182                    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7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0</v>
      </c>
      <c r="AU4455" s="2">
        <v>0</v>
      </c>
      <c r="AV4455" s="2">
        <v>0</v>
      </c>
      <c r="AW4455" s="2">
        <v>0</v>
      </c>
      <c r="AX4455" s="2">
        <v>0</v>
      </c>
      <c r="AY4455" s="2">
        <v>0</v>
      </c>
      <c r="AZ4455" s="2">
        <v>0</v>
      </c>
      <c r="BA4455" s="2">
        <v>0</v>
      </c>
      <c r="BB4455" s="2">
        <v>0</v>
      </c>
      <c r="BC4455" s="2">
        <v>0</v>
      </c>
      <c r="BD4455" s="2">
        <v>0</v>
      </c>
      <c r="BE4455" s="2">
        <v>0</v>
      </c>
      <c r="BF4455" s="2">
        <v>0</v>
      </c>
      <c r="BG4455" s="2">
        <v>0</v>
      </c>
      <c r="BH4455" s="2">
        <v>1</v>
      </c>
      <c r="BI4455" s="2">
        <v>0.7</v>
      </c>
      <c r="BJ4455" s="2">
        <v>3.1</v>
      </c>
      <c r="BK4455" s="2">
        <v>3.5</v>
      </c>
      <c r="BL4455" s="2">
        <v>72.52</v>
      </c>
      <c r="BM4455" s="2">
        <v>10.15</v>
      </c>
      <c r="BN4455" s="2">
        <v>82.67</v>
      </c>
      <c r="BO4455" s="2">
        <v>82.67</v>
      </c>
      <c r="BP4455" s="2"/>
      <c r="BQ4455" s="2" t="s">
        <v>4033</v>
      </c>
      <c r="BR4455" s="2" t="s">
        <v>84</v>
      </c>
      <c r="BS4455" s="3">
        <v>42951</v>
      </c>
      <c r="BT4455" s="4">
        <v>0.4375</v>
      </c>
      <c r="BU4455" s="2" t="s">
        <v>4034</v>
      </c>
      <c r="BV4455" s="2" t="s">
        <v>95</v>
      </c>
      <c r="BW4455" s="2"/>
      <c r="BX4455" s="2"/>
      <c r="BY4455" s="2">
        <v>15734.88</v>
      </c>
      <c r="BZ4455" s="2" t="s">
        <v>27</v>
      </c>
      <c r="CA4455" s="2" t="s">
        <v>804</v>
      </c>
      <c r="CB4455" s="2"/>
      <c r="CC4455" s="2" t="s">
        <v>98</v>
      </c>
      <c r="CD4455" s="2">
        <v>6012</v>
      </c>
      <c r="CE4455" s="2" t="s">
        <v>104</v>
      </c>
      <c r="CF4455" s="5">
        <v>42951</v>
      </c>
      <c r="CG4455" s="2"/>
      <c r="CH4455" s="2"/>
      <c r="CI4455" s="2">
        <v>1</v>
      </c>
      <c r="CJ4455" s="2">
        <v>1</v>
      </c>
      <c r="CK4455" s="2">
        <v>21</v>
      </c>
      <c r="CL4455" s="2" t="s">
        <v>86</v>
      </c>
      <c r="CM4455" s="2"/>
    </row>
    <row r="4456" spans="1:91">
      <c r="A4456" s="2" t="s">
        <v>71</v>
      </c>
      <c r="B4456" s="2" t="s">
        <v>72</v>
      </c>
      <c r="C4456" s="2" t="s">
        <v>73</v>
      </c>
      <c r="D4456" s="2"/>
      <c r="E4456" s="2" t="str">
        <f>"FES1162566597"</f>
        <v>FES1162566597</v>
      </c>
      <c r="F4456" s="3">
        <v>42950</v>
      </c>
      <c r="G4456" s="2">
        <v>201802</v>
      </c>
      <c r="H4456" s="2" t="s">
        <v>74</v>
      </c>
      <c r="I4456" s="2" t="s">
        <v>75</v>
      </c>
      <c r="J4456" s="2" t="s">
        <v>76</v>
      </c>
      <c r="K4456" s="2" t="s">
        <v>77</v>
      </c>
      <c r="L4456" s="2" t="s">
        <v>105</v>
      </c>
      <c r="M4456" s="2" t="s">
        <v>106</v>
      </c>
      <c r="N4456" s="2" t="s">
        <v>107</v>
      </c>
      <c r="O4456" s="2" t="s">
        <v>100</v>
      </c>
      <c r="P4456" s="2" t="str">
        <f>"2170582941                    "</f>
        <v xml:space="preserve">2170582941                    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0</v>
      </c>
      <c r="Z4456" s="2">
        <v>0</v>
      </c>
      <c r="AA4456" s="2">
        <v>0</v>
      </c>
      <c r="AB4456" s="2">
        <v>0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7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0</v>
      </c>
      <c r="AU4456" s="2">
        <v>0</v>
      </c>
      <c r="AV4456" s="2">
        <v>0</v>
      </c>
      <c r="AW4456" s="2">
        <v>0</v>
      </c>
      <c r="AX4456" s="2">
        <v>0</v>
      </c>
      <c r="AY4456" s="2">
        <v>0</v>
      </c>
      <c r="AZ4456" s="2">
        <v>0</v>
      </c>
      <c r="BA4456" s="2">
        <v>0</v>
      </c>
      <c r="BB4456" s="2">
        <v>0</v>
      </c>
      <c r="BC4456" s="2">
        <v>0</v>
      </c>
      <c r="BD4456" s="2">
        <v>0</v>
      </c>
      <c r="BE4456" s="2">
        <v>0</v>
      </c>
      <c r="BF4456" s="2">
        <v>0</v>
      </c>
      <c r="BG4456" s="2">
        <v>0</v>
      </c>
      <c r="BH4456" s="2">
        <v>1</v>
      </c>
      <c r="BI4456" s="2">
        <v>3.2</v>
      </c>
      <c r="BJ4456" s="2">
        <v>3.4</v>
      </c>
      <c r="BK4456" s="2">
        <v>3.5</v>
      </c>
      <c r="BL4456" s="2">
        <v>72.52</v>
      </c>
      <c r="BM4456" s="2">
        <v>10.15</v>
      </c>
      <c r="BN4456" s="2">
        <v>82.67</v>
      </c>
      <c r="BO4456" s="2">
        <v>82.67</v>
      </c>
      <c r="BP4456" s="2"/>
      <c r="BQ4456" s="2" t="s">
        <v>108</v>
      </c>
      <c r="BR4456" s="2" t="s">
        <v>84</v>
      </c>
      <c r="BS4456" s="3">
        <v>42951</v>
      </c>
      <c r="BT4456" s="4">
        <v>0.40069444444444446</v>
      </c>
      <c r="BU4456" s="2" t="s">
        <v>1888</v>
      </c>
      <c r="BV4456" s="2" t="s">
        <v>95</v>
      </c>
      <c r="BW4456" s="2"/>
      <c r="BX4456" s="2"/>
      <c r="BY4456" s="2">
        <v>16800.3</v>
      </c>
      <c r="BZ4456" s="2" t="s">
        <v>27</v>
      </c>
      <c r="CA4456" s="2" t="s">
        <v>856</v>
      </c>
      <c r="CB4456" s="2"/>
      <c r="CC4456" s="2" t="s">
        <v>106</v>
      </c>
      <c r="CD4456" s="2">
        <v>7405</v>
      </c>
      <c r="CE4456" s="2" t="s">
        <v>89</v>
      </c>
      <c r="CF4456" s="5">
        <v>42951</v>
      </c>
      <c r="CG4456" s="2"/>
      <c r="CH4456" s="2"/>
      <c r="CI4456" s="2">
        <v>1</v>
      </c>
      <c r="CJ4456" s="2">
        <v>1</v>
      </c>
      <c r="CK4456" s="2">
        <v>21</v>
      </c>
      <c r="CL4456" s="2" t="s">
        <v>86</v>
      </c>
      <c r="CM4456" s="2"/>
    </row>
    <row r="4457" spans="1:91">
      <c r="A4457" s="2" t="s">
        <v>71</v>
      </c>
      <c r="B4457" s="2" t="s">
        <v>72</v>
      </c>
      <c r="C4457" s="2" t="s">
        <v>73</v>
      </c>
      <c r="D4457" s="2"/>
      <c r="E4457" s="2" t="str">
        <f>"FES1162566892"</f>
        <v>FES1162566892</v>
      </c>
      <c r="F4457" s="3">
        <v>42950</v>
      </c>
      <c r="G4457" s="2">
        <v>201802</v>
      </c>
      <c r="H4457" s="2" t="s">
        <v>74</v>
      </c>
      <c r="I4457" s="2" t="s">
        <v>75</v>
      </c>
      <c r="J4457" s="2" t="s">
        <v>76</v>
      </c>
      <c r="K4457" s="2" t="s">
        <v>77</v>
      </c>
      <c r="L4457" s="2" t="s">
        <v>841</v>
      </c>
      <c r="M4457" s="2" t="s">
        <v>842</v>
      </c>
      <c r="N4457" s="2" t="s">
        <v>843</v>
      </c>
      <c r="O4457" s="2" t="s">
        <v>100</v>
      </c>
      <c r="P4457" s="2" t="str">
        <f>"2170582206                    "</f>
        <v xml:space="preserve">2170582206                    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7.75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0</v>
      </c>
      <c r="AU4457" s="2">
        <v>0</v>
      </c>
      <c r="AV4457" s="2">
        <v>0</v>
      </c>
      <c r="AW4457" s="2">
        <v>0</v>
      </c>
      <c r="AX4457" s="2">
        <v>0</v>
      </c>
      <c r="AY4457" s="2">
        <v>0</v>
      </c>
      <c r="AZ4457" s="2">
        <v>0</v>
      </c>
      <c r="BA4457" s="2">
        <v>0</v>
      </c>
      <c r="BB4457" s="2">
        <v>0</v>
      </c>
      <c r="BC4457" s="2">
        <v>0</v>
      </c>
      <c r="BD4457" s="2">
        <v>0</v>
      </c>
      <c r="BE4457" s="2">
        <v>0</v>
      </c>
      <c r="BF4457" s="2">
        <v>0</v>
      </c>
      <c r="BG4457" s="2">
        <v>0</v>
      </c>
      <c r="BH4457" s="2">
        <v>1</v>
      </c>
      <c r="BI4457" s="2">
        <v>2</v>
      </c>
      <c r="BJ4457" s="2">
        <v>1</v>
      </c>
      <c r="BK4457" s="2">
        <v>2</v>
      </c>
      <c r="BL4457" s="2">
        <v>80.290000000000006</v>
      </c>
      <c r="BM4457" s="2">
        <v>11.24</v>
      </c>
      <c r="BN4457" s="2">
        <v>91.53</v>
      </c>
      <c r="BO4457" s="2">
        <v>91.53</v>
      </c>
      <c r="BP4457" s="2"/>
      <c r="BQ4457" s="2" t="s">
        <v>83</v>
      </c>
      <c r="BR4457" s="2" t="s">
        <v>84</v>
      </c>
      <c r="BS4457" s="3">
        <v>42951</v>
      </c>
      <c r="BT4457" s="4">
        <v>0.58333333333333337</v>
      </c>
      <c r="BU4457" s="2" t="s">
        <v>844</v>
      </c>
      <c r="BV4457" s="2" t="s">
        <v>95</v>
      </c>
      <c r="BW4457" s="2"/>
      <c r="BX4457" s="2"/>
      <c r="BY4457" s="2">
        <v>4875.78</v>
      </c>
      <c r="BZ4457" s="2" t="s">
        <v>27</v>
      </c>
      <c r="CA4457" s="2" t="s">
        <v>845</v>
      </c>
      <c r="CB4457" s="2"/>
      <c r="CC4457" s="2" t="s">
        <v>842</v>
      </c>
      <c r="CD4457" s="2">
        <v>3370</v>
      </c>
      <c r="CE4457" s="2" t="s">
        <v>89</v>
      </c>
      <c r="CF4457" s="5">
        <v>42955</v>
      </c>
      <c r="CG4457" s="2"/>
      <c r="CH4457" s="2"/>
      <c r="CI4457" s="2">
        <v>3</v>
      </c>
      <c r="CJ4457" s="2">
        <v>1</v>
      </c>
      <c r="CK4457" s="2">
        <v>23</v>
      </c>
      <c r="CL4457" s="2" t="s">
        <v>86</v>
      </c>
      <c r="CM4457" s="2"/>
    </row>
    <row r="4458" spans="1:91">
      <c r="A4458" s="2" t="s">
        <v>71</v>
      </c>
      <c r="B4458" s="2" t="s">
        <v>72</v>
      </c>
      <c r="C4458" s="2" t="s">
        <v>73</v>
      </c>
      <c r="D4458" s="2"/>
      <c r="E4458" s="2" t="str">
        <f>"FES1162566937"</f>
        <v>FES1162566937</v>
      </c>
      <c r="F4458" s="3">
        <v>42950</v>
      </c>
      <c r="G4458" s="2">
        <v>201802</v>
      </c>
      <c r="H4458" s="2" t="s">
        <v>74</v>
      </c>
      <c r="I4458" s="2" t="s">
        <v>75</v>
      </c>
      <c r="J4458" s="2" t="s">
        <v>76</v>
      </c>
      <c r="K4458" s="2" t="s">
        <v>77</v>
      </c>
      <c r="L4458" s="2" t="s">
        <v>417</v>
      </c>
      <c r="M4458" s="2" t="s">
        <v>417</v>
      </c>
      <c r="N4458" s="2" t="s">
        <v>458</v>
      </c>
      <c r="O4458" s="2" t="s">
        <v>100</v>
      </c>
      <c r="P4458" s="2" t="str">
        <f>"2170582665                    "</f>
        <v xml:space="preserve">2170582665                    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0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4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0</v>
      </c>
      <c r="AU4458" s="2">
        <v>0</v>
      </c>
      <c r="AV4458" s="2">
        <v>0</v>
      </c>
      <c r="AW4458" s="2">
        <v>0</v>
      </c>
      <c r="AX4458" s="2">
        <v>0</v>
      </c>
      <c r="AY4458" s="2">
        <v>0</v>
      </c>
      <c r="AZ4458" s="2">
        <v>0</v>
      </c>
      <c r="BA4458" s="2">
        <v>0</v>
      </c>
      <c r="BB4458" s="2">
        <v>0</v>
      </c>
      <c r="BC4458" s="2">
        <v>0</v>
      </c>
      <c r="BD4458" s="2">
        <v>0</v>
      </c>
      <c r="BE4458" s="2">
        <v>0</v>
      </c>
      <c r="BF4458" s="2">
        <v>0</v>
      </c>
      <c r="BG4458" s="2">
        <v>0</v>
      </c>
      <c r="BH4458" s="2">
        <v>1</v>
      </c>
      <c r="BI4458" s="2">
        <v>1</v>
      </c>
      <c r="BJ4458" s="2">
        <v>0.2</v>
      </c>
      <c r="BK4458" s="2">
        <v>1</v>
      </c>
      <c r="BL4458" s="2">
        <v>41.44</v>
      </c>
      <c r="BM4458" s="2">
        <v>5.8</v>
      </c>
      <c r="BN4458" s="2">
        <v>47.24</v>
      </c>
      <c r="BO4458" s="2">
        <v>47.24</v>
      </c>
      <c r="BP4458" s="2"/>
      <c r="BQ4458" s="2" t="s">
        <v>83</v>
      </c>
      <c r="BR4458" s="2" t="s">
        <v>84</v>
      </c>
      <c r="BS4458" s="3">
        <v>42951</v>
      </c>
      <c r="BT4458" s="4">
        <v>0.59236111111111112</v>
      </c>
      <c r="BU4458" s="2" t="s">
        <v>459</v>
      </c>
      <c r="BV4458" s="2"/>
      <c r="BW4458" s="2"/>
      <c r="BX4458" s="2"/>
      <c r="BY4458" s="2">
        <v>1200</v>
      </c>
      <c r="BZ4458" s="2" t="s">
        <v>27</v>
      </c>
      <c r="CA4458" s="2" t="s">
        <v>460</v>
      </c>
      <c r="CB4458" s="2"/>
      <c r="CC4458" s="2" t="s">
        <v>417</v>
      </c>
      <c r="CD4458" s="2">
        <v>7646</v>
      </c>
      <c r="CE4458" s="2" t="s">
        <v>104</v>
      </c>
      <c r="CF4458" s="5">
        <v>42954</v>
      </c>
      <c r="CG4458" s="2"/>
      <c r="CH4458" s="2"/>
      <c r="CI4458" s="2">
        <v>0</v>
      </c>
      <c r="CJ4458" s="2">
        <v>0</v>
      </c>
      <c r="CK4458" s="2">
        <v>21</v>
      </c>
      <c r="CL4458" s="2" t="s">
        <v>86</v>
      </c>
      <c r="CM4458" s="2"/>
    </row>
    <row r="4459" spans="1:91">
      <c r="A4459" s="2" t="s">
        <v>71</v>
      </c>
      <c r="B4459" s="2" t="s">
        <v>72</v>
      </c>
      <c r="C4459" s="2" t="s">
        <v>73</v>
      </c>
      <c r="D4459" s="2"/>
      <c r="E4459" s="2" t="str">
        <f>"FES1162566720"</f>
        <v>FES1162566720</v>
      </c>
      <c r="F4459" s="3">
        <v>42950</v>
      </c>
      <c r="G4459" s="2">
        <v>201802</v>
      </c>
      <c r="H4459" s="2" t="s">
        <v>74</v>
      </c>
      <c r="I4459" s="2" t="s">
        <v>75</v>
      </c>
      <c r="J4459" s="2" t="s">
        <v>76</v>
      </c>
      <c r="K4459" s="2" t="s">
        <v>77</v>
      </c>
      <c r="L4459" s="2" t="s">
        <v>105</v>
      </c>
      <c r="M4459" s="2" t="s">
        <v>106</v>
      </c>
      <c r="N4459" s="2" t="s">
        <v>4035</v>
      </c>
      <c r="O4459" s="2" t="s">
        <v>100</v>
      </c>
      <c r="P4459" s="2" t="str">
        <f>"2170571830                    "</f>
        <v xml:space="preserve">2170571830                    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4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0</v>
      </c>
      <c r="AU4459" s="2">
        <v>0</v>
      </c>
      <c r="AV4459" s="2">
        <v>0</v>
      </c>
      <c r="AW4459" s="2">
        <v>0</v>
      </c>
      <c r="AX4459" s="2">
        <v>0</v>
      </c>
      <c r="AY4459" s="2">
        <v>0</v>
      </c>
      <c r="AZ4459" s="2">
        <v>0</v>
      </c>
      <c r="BA4459" s="2">
        <v>0</v>
      </c>
      <c r="BB4459" s="2">
        <v>0</v>
      </c>
      <c r="BC4459" s="2">
        <v>0</v>
      </c>
      <c r="BD4459" s="2">
        <v>0</v>
      </c>
      <c r="BE4459" s="2">
        <v>0</v>
      </c>
      <c r="BF4459" s="2">
        <v>0</v>
      </c>
      <c r="BG4459" s="2">
        <v>0</v>
      </c>
      <c r="BH4459" s="2">
        <v>1</v>
      </c>
      <c r="BI4459" s="2">
        <v>0.5</v>
      </c>
      <c r="BJ4459" s="2">
        <v>1</v>
      </c>
      <c r="BK4459" s="2">
        <v>1</v>
      </c>
      <c r="BL4459" s="2">
        <v>41.44</v>
      </c>
      <c r="BM4459" s="2">
        <v>5.8</v>
      </c>
      <c r="BN4459" s="2">
        <v>47.24</v>
      </c>
      <c r="BO4459" s="2">
        <v>47.24</v>
      </c>
      <c r="BP4459" s="2"/>
      <c r="BQ4459" s="2"/>
      <c r="BR4459" s="2" t="s">
        <v>84</v>
      </c>
      <c r="BS4459" s="3">
        <v>42951</v>
      </c>
      <c r="BT4459" s="4">
        <v>0.29722222222222222</v>
      </c>
      <c r="BU4459" s="2" t="s">
        <v>4036</v>
      </c>
      <c r="BV4459" s="2" t="s">
        <v>95</v>
      </c>
      <c r="BW4459" s="2"/>
      <c r="BX4459" s="2"/>
      <c r="BY4459" s="2">
        <v>4924.8</v>
      </c>
      <c r="BZ4459" s="2" t="s">
        <v>27</v>
      </c>
      <c r="CA4459" s="2" t="s">
        <v>148</v>
      </c>
      <c r="CB4459" s="2"/>
      <c r="CC4459" s="2" t="s">
        <v>106</v>
      </c>
      <c r="CD4459" s="2">
        <v>7460</v>
      </c>
      <c r="CE4459" s="2" t="s">
        <v>89</v>
      </c>
      <c r="CF4459" s="5">
        <v>42954</v>
      </c>
      <c r="CG4459" s="2"/>
      <c r="CH4459" s="2"/>
      <c r="CI4459" s="2">
        <v>1</v>
      </c>
      <c r="CJ4459" s="2">
        <v>1</v>
      </c>
      <c r="CK4459" s="2">
        <v>21</v>
      </c>
      <c r="CL4459" s="2" t="s">
        <v>86</v>
      </c>
      <c r="CM4459" s="2"/>
    </row>
    <row r="4460" spans="1:91">
      <c r="A4460" s="2" t="s">
        <v>71</v>
      </c>
      <c r="B4460" s="2" t="s">
        <v>72</v>
      </c>
      <c r="C4460" s="2" t="s">
        <v>73</v>
      </c>
      <c r="D4460" s="2"/>
      <c r="E4460" s="2" t="str">
        <f>"FES1162566760"</f>
        <v>FES1162566760</v>
      </c>
      <c r="F4460" s="3">
        <v>42950</v>
      </c>
      <c r="G4460" s="2">
        <v>201802</v>
      </c>
      <c r="H4460" s="2" t="s">
        <v>74</v>
      </c>
      <c r="I4460" s="2" t="s">
        <v>75</v>
      </c>
      <c r="J4460" s="2" t="s">
        <v>76</v>
      </c>
      <c r="K4460" s="2" t="s">
        <v>77</v>
      </c>
      <c r="L4460" s="2" t="s">
        <v>944</v>
      </c>
      <c r="M4460" s="2" t="s">
        <v>944</v>
      </c>
      <c r="N4460" s="2" t="s">
        <v>1756</v>
      </c>
      <c r="O4460" s="2" t="s">
        <v>100</v>
      </c>
      <c r="P4460" s="2" t="str">
        <f>"2170579850                    "</f>
        <v xml:space="preserve">2170579850                    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  <c r="Y4460" s="2">
        <v>0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5.63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0</v>
      </c>
      <c r="AU4460" s="2">
        <v>0</v>
      </c>
      <c r="AV4460" s="2">
        <v>0</v>
      </c>
      <c r="AW4460" s="2">
        <v>0</v>
      </c>
      <c r="AX4460" s="2">
        <v>0</v>
      </c>
      <c r="AY4460" s="2">
        <v>0</v>
      </c>
      <c r="AZ4460" s="2">
        <v>0</v>
      </c>
      <c r="BA4460" s="2">
        <v>0</v>
      </c>
      <c r="BB4460" s="2">
        <v>0</v>
      </c>
      <c r="BC4460" s="2">
        <v>0</v>
      </c>
      <c r="BD4460" s="2">
        <v>0</v>
      </c>
      <c r="BE4460" s="2">
        <v>0</v>
      </c>
      <c r="BF4460" s="2">
        <v>0</v>
      </c>
      <c r="BG4460" s="2">
        <v>0</v>
      </c>
      <c r="BH4460" s="2">
        <v>1</v>
      </c>
      <c r="BI4460" s="2">
        <v>1</v>
      </c>
      <c r="BJ4460" s="2">
        <v>1.4</v>
      </c>
      <c r="BK4460" s="2">
        <v>1.5</v>
      </c>
      <c r="BL4460" s="2">
        <v>58.28</v>
      </c>
      <c r="BM4460" s="2">
        <v>8.16</v>
      </c>
      <c r="BN4460" s="2">
        <v>66.44</v>
      </c>
      <c r="BO4460" s="2">
        <v>66.44</v>
      </c>
      <c r="BP4460" s="2"/>
      <c r="BQ4460" s="2" t="s">
        <v>83</v>
      </c>
      <c r="BR4460" s="2" t="s">
        <v>84</v>
      </c>
      <c r="BS4460" s="3">
        <v>42951</v>
      </c>
      <c r="BT4460" s="4">
        <v>0.42708333333333331</v>
      </c>
      <c r="BU4460" s="2" t="s">
        <v>4006</v>
      </c>
      <c r="BV4460" s="2" t="s">
        <v>95</v>
      </c>
      <c r="BW4460" s="2"/>
      <c r="BX4460" s="2"/>
      <c r="BY4460" s="2">
        <v>6931.01</v>
      </c>
      <c r="BZ4460" s="2" t="s">
        <v>27</v>
      </c>
      <c r="CA4460" s="2"/>
      <c r="CB4460" s="2"/>
      <c r="CC4460" s="2" t="s">
        <v>944</v>
      </c>
      <c r="CD4460" s="2">
        <v>1491</v>
      </c>
      <c r="CE4460" s="2" t="s">
        <v>104</v>
      </c>
      <c r="CF4460" s="5">
        <v>42951</v>
      </c>
      <c r="CG4460" s="2"/>
      <c r="CH4460" s="2"/>
      <c r="CI4460" s="2">
        <v>1</v>
      </c>
      <c r="CJ4460" s="2">
        <v>1</v>
      </c>
      <c r="CK4460" s="2">
        <v>24</v>
      </c>
      <c r="CL4460" s="2" t="s">
        <v>86</v>
      </c>
      <c r="CM4460" s="2"/>
    </row>
    <row r="4461" spans="1:91">
      <c r="A4461" s="2" t="s">
        <v>71</v>
      </c>
      <c r="B4461" s="2" t="s">
        <v>72</v>
      </c>
      <c r="C4461" s="2" t="s">
        <v>73</v>
      </c>
      <c r="D4461" s="2"/>
      <c r="E4461" s="2" t="str">
        <f>"FES1162566807"</f>
        <v>FES1162566807</v>
      </c>
      <c r="F4461" s="3">
        <v>42950</v>
      </c>
      <c r="G4461" s="2">
        <v>201802</v>
      </c>
      <c r="H4461" s="2" t="s">
        <v>74</v>
      </c>
      <c r="I4461" s="2" t="s">
        <v>75</v>
      </c>
      <c r="J4461" s="2" t="s">
        <v>76</v>
      </c>
      <c r="K4461" s="2" t="s">
        <v>77</v>
      </c>
      <c r="L4461" s="2" t="s">
        <v>105</v>
      </c>
      <c r="M4461" s="2" t="s">
        <v>106</v>
      </c>
      <c r="N4461" s="2" t="s">
        <v>893</v>
      </c>
      <c r="O4461" s="2" t="s">
        <v>100</v>
      </c>
      <c r="P4461" s="2" t="str">
        <f>"2170579204                    "</f>
        <v xml:space="preserve">2170579204                    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4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0</v>
      </c>
      <c r="AU4461" s="2">
        <v>0</v>
      </c>
      <c r="AV4461" s="2">
        <v>0</v>
      </c>
      <c r="AW4461" s="2">
        <v>0</v>
      </c>
      <c r="AX4461" s="2">
        <v>0</v>
      </c>
      <c r="AY4461" s="2">
        <v>0</v>
      </c>
      <c r="AZ4461" s="2">
        <v>0</v>
      </c>
      <c r="BA4461" s="2">
        <v>0</v>
      </c>
      <c r="BB4461" s="2">
        <v>0</v>
      </c>
      <c r="BC4461" s="2">
        <v>0</v>
      </c>
      <c r="BD4461" s="2">
        <v>0</v>
      </c>
      <c r="BE4461" s="2">
        <v>0</v>
      </c>
      <c r="BF4461" s="2">
        <v>0</v>
      </c>
      <c r="BG4461" s="2">
        <v>0</v>
      </c>
      <c r="BH4461" s="2">
        <v>1</v>
      </c>
      <c r="BI4461" s="2">
        <v>1.2</v>
      </c>
      <c r="BJ4461" s="2">
        <v>1.2</v>
      </c>
      <c r="BK4461" s="2">
        <v>1.5</v>
      </c>
      <c r="BL4461" s="2">
        <v>41.44</v>
      </c>
      <c r="BM4461" s="2">
        <v>5.8</v>
      </c>
      <c r="BN4461" s="2">
        <v>47.24</v>
      </c>
      <c r="BO4461" s="2">
        <v>47.24</v>
      </c>
      <c r="BP4461" s="2"/>
      <c r="BQ4461" s="2" t="s">
        <v>3883</v>
      </c>
      <c r="BR4461" s="2" t="s">
        <v>84</v>
      </c>
      <c r="BS4461" s="3">
        <v>42951</v>
      </c>
      <c r="BT4461" s="4">
        <v>0.41666666666666669</v>
      </c>
      <c r="BU4461" s="2" t="s">
        <v>4037</v>
      </c>
      <c r="BV4461" s="2" t="s">
        <v>95</v>
      </c>
      <c r="BW4461" s="2"/>
      <c r="BX4461" s="2"/>
      <c r="BY4461" s="2">
        <v>6178.48</v>
      </c>
      <c r="BZ4461" s="2" t="s">
        <v>27</v>
      </c>
      <c r="CA4461" s="2" t="s">
        <v>148</v>
      </c>
      <c r="CB4461" s="2"/>
      <c r="CC4461" s="2" t="s">
        <v>106</v>
      </c>
      <c r="CD4461" s="2">
        <v>7460</v>
      </c>
      <c r="CE4461" s="2" t="s">
        <v>89</v>
      </c>
      <c r="CF4461" s="5">
        <v>42954</v>
      </c>
      <c r="CG4461" s="2"/>
      <c r="CH4461" s="2"/>
      <c r="CI4461" s="2">
        <v>1</v>
      </c>
      <c r="CJ4461" s="2">
        <v>1</v>
      </c>
      <c r="CK4461" s="2">
        <v>21</v>
      </c>
      <c r="CL4461" s="2" t="s">
        <v>86</v>
      </c>
      <c r="CM4461" s="2"/>
    </row>
    <row r="4462" spans="1:91">
      <c r="A4462" s="2" t="s">
        <v>71</v>
      </c>
      <c r="B4462" s="2" t="s">
        <v>72</v>
      </c>
      <c r="C4462" s="2" t="s">
        <v>73</v>
      </c>
      <c r="D4462" s="2"/>
      <c r="E4462" s="2" t="str">
        <f>"FES1162566651"</f>
        <v>FES1162566651</v>
      </c>
      <c r="F4462" s="3">
        <v>42950</v>
      </c>
      <c r="G4462" s="2">
        <v>201802</v>
      </c>
      <c r="H4462" s="2" t="s">
        <v>74</v>
      </c>
      <c r="I4462" s="2" t="s">
        <v>75</v>
      </c>
      <c r="J4462" s="2" t="s">
        <v>76</v>
      </c>
      <c r="K4462" s="2" t="s">
        <v>77</v>
      </c>
      <c r="L4462" s="2" t="s">
        <v>170</v>
      </c>
      <c r="M4462" s="2" t="s">
        <v>171</v>
      </c>
      <c r="N4462" s="2" t="s">
        <v>821</v>
      </c>
      <c r="O4462" s="2" t="s">
        <v>100</v>
      </c>
      <c r="P4462" s="2" t="str">
        <f>"2170579335                    "</f>
        <v xml:space="preserve">2170579335                    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3.13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0</v>
      </c>
      <c r="AU4462" s="2">
        <v>0</v>
      </c>
      <c r="AV4462" s="2">
        <v>0</v>
      </c>
      <c r="AW4462" s="2">
        <v>0</v>
      </c>
      <c r="AX4462" s="2">
        <v>0</v>
      </c>
      <c r="AY4462" s="2">
        <v>0</v>
      </c>
      <c r="AZ4462" s="2">
        <v>0</v>
      </c>
      <c r="BA4462" s="2">
        <v>0</v>
      </c>
      <c r="BB4462" s="2">
        <v>0</v>
      </c>
      <c r="BC4462" s="2">
        <v>0</v>
      </c>
      <c r="BD4462" s="2">
        <v>0</v>
      </c>
      <c r="BE4462" s="2">
        <v>0</v>
      </c>
      <c r="BF4462" s="2">
        <v>0</v>
      </c>
      <c r="BG4462" s="2">
        <v>0</v>
      </c>
      <c r="BH4462" s="2">
        <v>1</v>
      </c>
      <c r="BI4462" s="2">
        <v>7</v>
      </c>
      <c r="BJ4462" s="2">
        <v>3.3</v>
      </c>
      <c r="BK4462" s="2">
        <v>7</v>
      </c>
      <c r="BL4462" s="2">
        <v>32.380000000000003</v>
      </c>
      <c r="BM4462" s="2">
        <v>4.53</v>
      </c>
      <c r="BN4462" s="2">
        <v>36.909999999999997</v>
      </c>
      <c r="BO4462" s="2">
        <v>36.909999999999997</v>
      </c>
      <c r="BP4462" s="2"/>
      <c r="BQ4462" s="2" t="s">
        <v>83</v>
      </c>
      <c r="BR4462" s="2" t="s">
        <v>84</v>
      </c>
      <c r="BS4462" s="3">
        <v>42951</v>
      </c>
      <c r="BT4462" s="4">
        <v>0.71319444444444446</v>
      </c>
      <c r="BU4462" s="2" t="s">
        <v>719</v>
      </c>
      <c r="BV4462" s="2" t="s">
        <v>86</v>
      </c>
      <c r="BW4462" s="2"/>
      <c r="BX4462" s="2"/>
      <c r="BY4462" s="2">
        <v>16656.189999999999</v>
      </c>
      <c r="BZ4462" s="2" t="s">
        <v>27</v>
      </c>
      <c r="CA4462" s="2" t="s">
        <v>492</v>
      </c>
      <c r="CB4462" s="2"/>
      <c r="CC4462" s="2" t="s">
        <v>171</v>
      </c>
      <c r="CD4462" s="2">
        <v>1422</v>
      </c>
      <c r="CE4462" s="2" t="s">
        <v>89</v>
      </c>
      <c r="CF4462" s="5">
        <v>42951</v>
      </c>
      <c r="CG4462" s="2"/>
      <c r="CH4462" s="2"/>
      <c r="CI4462" s="2">
        <v>1</v>
      </c>
      <c r="CJ4462" s="2">
        <v>1</v>
      </c>
      <c r="CK4462" s="2">
        <v>22</v>
      </c>
      <c r="CL4462" s="2" t="s">
        <v>86</v>
      </c>
      <c r="CM4462" s="2"/>
    </row>
    <row r="4463" spans="1:91">
      <c r="A4463" s="2" t="s">
        <v>71</v>
      </c>
      <c r="B4463" s="2" t="s">
        <v>72</v>
      </c>
      <c r="C4463" s="2" t="s">
        <v>73</v>
      </c>
      <c r="D4463" s="2"/>
      <c r="E4463" s="2" t="str">
        <f>"FES1162566650"</f>
        <v>FES1162566650</v>
      </c>
      <c r="F4463" s="3">
        <v>42950</v>
      </c>
      <c r="G4463" s="2">
        <v>201802</v>
      </c>
      <c r="H4463" s="2" t="s">
        <v>74</v>
      </c>
      <c r="I4463" s="2" t="s">
        <v>75</v>
      </c>
      <c r="J4463" s="2" t="s">
        <v>76</v>
      </c>
      <c r="K4463" s="2" t="s">
        <v>77</v>
      </c>
      <c r="L4463" s="2" t="s">
        <v>105</v>
      </c>
      <c r="M4463" s="2" t="s">
        <v>106</v>
      </c>
      <c r="N4463" s="2" t="s">
        <v>3901</v>
      </c>
      <c r="O4463" s="2" t="s">
        <v>100</v>
      </c>
      <c r="P4463" s="2" t="str">
        <f>"2170579329                    "</f>
        <v xml:space="preserve">2170579329                    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4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0</v>
      </c>
      <c r="AU4463" s="2">
        <v>0</v>
      </c>
      <c r="AV4463" s="2">
        <v>0</v>
      </c>
      <c r="AW4463" s="2">
        <v>0</v>
      </c>
      <c r="AX4463" s="2">
        <v>0</v>
      </c>
      <c r="AY4463" s="2">
        <v>0</v>
      </c>
      <c r="AZ4463" s="2">
        <v>0</v>
      </c>
      <c r="BA4463" s="2">
        <v>0</v>
      </c>
      <c r="BB4463" s="2">
        <v>0</v>
      </c>
      <c r="BC4463" s="2">
        <v>0</v>
      </c>
      <c r="BD4463" s="2">
        <v>0</v>
      </c>
      <c r="BE4463" s="2">
        <v>0</v>
      </c>
      <c r="BF4463" s="2">
        <v>0</v>
      </c>
      <c r="BG4463" s="2">
        <v>0</v>
      </c>
      <c r="BH4463" s="2">
        <v>1</v>
      </c>
      <c r="BI4463" s="2">
        <v>0.4</v>
      </c>
      <c r="BJ4463" s="2">
        <v>1.3</v>
      </c>
      <c r="BK4463" s="2">
        <v>1.5</v>
      </c>
      <c r="BL4463" s="2">
        <v>41.44</v>
      </c>
      <c r="BM4463" s="2">
        <v>5.8</v>
      </c>
      <c r="BN4463" s="2">
        <v>47.24</v>
      </c>
      <c r="BO4463" s="2">
        <v>47.24</v>
      </c>
      <c r="BP4463" s="2"/>
      <c r="BQ4463" s="2" t="s">
        <v>83</v>
      </c>
      <c r="BR4463" s="2" t="s">
        <v>84</v>
      </c>
      <c r="BS4463" s="3">
        <v>42951</v>
      </c>
      <c r="BT4463" s="4">
        <v>0.4368055555555555</v>
      </c>
      <c r="BU4463" s="2" t="s">
        <v>4038</v>
      </c>
      <c r="BV4463" s="2" t="s">
        <v>95</v>
      </c>
      <c r="BW4463" s="2"/>
      <c r="BX4463" s="2"/>
      <c r="BY4463" s="2">
        <v>6674.78</v>
      </c>
      <c r="BZ4463" s="2" t="s">
        <v>27</v>
      </c>
      <c r="CA4463" s="2" t="s">
        <v>643</v>
      </c>
      <c r="CB4463" s="2"/>
      <c r="CC4463" s="2" t="s">
        <v>106</v>
      </c>
      <c r="CD4463" s="2">
        <v>7925</v>
      </c>
      <c r="CE4463" s="2" t="s">
        <v>89</v>
      </c>
      <c r="CF4463" s="5">
        <v>42954</v>
      </c>
      <c r="CG4463" s="2"/>
      <c r="CH4463" s="2"/>
      <c r="CI4463" s="2">
        <v>1</v>
      </c>
      <c r="CJ4463" s="2">
        <v>1</v>
      </c>
      <c r="CK4463" s="2">
        <v>21</v>
      </c>
      <c r="CL4463" s="2" t="s">
        <v>86</v>
      </c>
      <c r="CM4463" s="2"/>
    </row>
    <row r="4464" spans="1:91">
      <c r="A4464" s="2" t="s">
        <v>71</v>
      </c>
      <c r="B4464" s="2" t="s">
        <v>72</v>
      </c>
      <c r="C4464" s="2" t="s">
        <v>73</v>
      </c>
      <c r="D4464" s="2"/>
      <c r="E4464" s="2" t="str">
        <f>"FES1162566881"</f>
        <v>FES1162566881</v>
      </c>
      <c r="F4464" s="3">
        <v>42950</v>
      </c>
      <c r="G4464" s="2">
        <v>201802</v>
      </c>
      <c r="H4464" s="2" t="s">
        <v>74</v>
      </c>
      <c r="I4464" s="2" t="s">
        <v>75</v>
      </c>
      <c r="J4464" s="2" t="s">
        <v>76</v>
      </c>
      <c r="K4464" s="2" t="s">
        <v>77</v>
      </c>
      <c r="L4464" s="2" t="s">
        <v>237</v>
      </c>
      <c r="M4464" s="2" t="s">
        <v>238</v>
      </c>
      <c r="N4464" s="2" t="s">
        <v>669</v>
      </c>
      <c r="O4464" s="2" t="s">
        <v>100</v>
      </c>
      <c r="P4464" s="2" t="str">
        <f>"2170582232                    "</f>
        <v xml:space="preserve">2170582232                    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0</v>
      </c>
      <c r="Z4464" s="2">
        <v>0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4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0</v>
      </c>
      <c r="AU4464" s="2">
        <v>0</v>
      </c>
      <c r="AV4464" s="2">
        <v>0</v>
      </c>
      <c r="AW4464" s="2">
        <v>0</v>
      </c>
      <c r="AX4464" s="2">
        <v>0</v>
      </c>
      <c r="AY4464" s="2">
        <v>0</v>
      </c>
      <c r="AZ4464" s="2">
        <v>0</v>
      </c>
      <c r="BA4464" s="2">
        <v>0</v>
      </c>
      <c r="BB4464" s="2">
        <v>0</v>
      </c>
      <c r="BC4464" s="2">
        <v>0</v>
      </c>
      <c r="BD4464" s="2">
        <v>0</v>
      </c>
      <c r="BE4464" s="2">
        <v>0</v>
      </c>
      <c r="BF4464" s="2">
        <v>0</v>
      </c>
      <c r="BG4464" s="2">
        <v>0</v>
      </c>
      <c r="BH4464" s="2">
        <v>1</v>
      </c>
      <c r="BI4464" s="2">
        <v>2</v>
      </c>
      <c r="BJ4464" s="2">
        <v>1</v>
      </c>
      <c r="BK4464" s="2">
        <v>2</v>
      </c>
      <c r="BL4464" s="2">
        <v>41.44</v>
      </c>
      <c r="BM4464" s="2">
        <v>5.8</v>
      </c>
      <c r="BN4464" s="2">
        <v>47.24</v>
      </c>
      <c r="BO4464" s="2">
        <v>47.24</v>
      </c>
      <c r="BP4464" s="2"/>
      <c r="BQ4464" s="2" t="s">
        <v>670</v>
      </c>
      <c r="BR4464" s="2" t="s">
        <v>84</v>
      </c>
      <c r="BS4464" s="3">
        <v>42951</v>
      </c>
      <c r="BT4464" s="4">
        <v>0.37777777777777777</v>
      </c>
      <c r="BU4464" s="2" t="s">
        <v>2160</v>
      </c>
      <c r="BV4464" s="2" t="s">
        <v>95</v>
      </c>
      <c r="BW4464" s="2"/>
      <c r="BX4464" s="2"/>
      <c r="BY4464" s="2">
        <v>4838.9799999999996</v>
      </c>
      <c r="BZ4464" s="2" t="s">
        <v>27</v>
      </c>
      <c r="CA4464" s="2" t="s">
        <v>2155</v>
      </c>
      <c r="CB4464" s="2"/>
      <c r="CC4464" s="2" t="s">
        <v>238</v>
      </c>
      <c r="CD4464" s="2">
        <v>3610</v>
      </c>
      <c r="CE4464" s="2" t="s">
        <v>259</v>
      </c>
      <c r="CF4464" s="5">
        <v>42954</v>
      </c>
      <c r="CG4464" s="2"/>
      <c r="CH4464" s="2"/>
      <c r="CI4464" s="2">
        <v>1</v>
      </c>
      <c r="CJ4464" s="2">
        <v>1</v>
      </c>
      <c r="CK4464" s="2">
        <v>21</v>
      </c>
      <c r="CL4464" s="2" t="s">
        <v>86</v>
      </c>
      <c r="CM4464" s="2"/>
    </row>
    <row r="4465" spans="1:91">
      <c r="A4465" s="2" t="s">
        <v>71</v>
      </c>
      <c r="B4465" s="2" t="s">
        <v>72</v>
      </c>
      <c r="C4465" s="2" t="s">
        <v>73</v>
      </c>
      <c r="D4465" s="2"/>
      <c r="E4465" s="2" t="str">
        <f>"FES1162566710"</f>
        <v>FES1162566710</v>
      </c>
      <c r="F4465" s="3">
        <v>42950</v>
      </c>
      <c r="G4465" s="2">
        <v>201802</v>
      </c>
      <c r="H4465" s="2" t="s">
        <v>74</v>
      </c>
      <c r="I4465" s="2" t="s">
        <v>75</v>
      </c>
      <c r="J4465" s="2" t="s">
        <v>76</v>
      </c>
      <c r="K4465" s="2" t="s">
        <v>77</v>
      </c>
      <c r="L4465" s="2" t="s">
        <v>105</v>
      </c>
      <c r="M4465" s="2" t="s">
        <v>106</v>
      </c>
      <c r="N4465" s="2" t="s">
        <v>287</v>
      </c>
      <c r="O4465" s="2" t="s">
        <v>100</v>
      </c>
      <c r="P4465" s="2" t="str">
        <f>"2170579764                    "</f>
        <v xml:space="preserve">2170579764                    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6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0</v>
      </c>
      <c r="AU4465" s="2">
        <v>0</v>
      </c>
      <c r="AV4465" s="2">
        <v>0</v>
      </c>
      <c r="AW4465" s="2">
        <v>0</v>
      </c>
      <c r="AX4465" s="2">
        <v>0</v>
      </c>
      <c r="AY4465" s="2">
        <v>0</v>
      </c>
      <c r="AZ4465" s="2">
        <v>0</v>
      </c>
      <c r="BA4465" s="2">
        <v>0</v>
      </c>
      <c r="BB4465" s="2">
        <v>0</v>
      </c>
      <c r="BC4465" s="2">
        <v>0</v>
      </c>
      <c r="BD4465" s="2">
        <v>0</v>
      </c>
      <c r="BE4465" s="2">
        <v>0</v>
      </c>
      <c r="BF4465" s="2">
        <v>0</v>
      </c>
      <c r="BG4465" s="2">
        <v>0</v>
      </c>
      <c r="BH4465" s="2">
        <v>1</v>
      </c>
      <c r="BI4465" s="2">
        <v>2.6</v>
      </c>
      <c r="BJ4465" s="2">
        <v>1.5</v>
      </c>
      <c r="BK4465" s="2">
        <v>3</v>
      </c>
      <c r="BL4465" s="2">
        <v>62.16</v>
      </c>
      <c r="BM4465" s="2">
        <v>8.6999999999999993</v>
      </c>
      <c r="BN4465" s="2">
        <v>70.86</v>
      </c>
      <c r="BO4465" s="2">
        <v>70.86</v>
      </c>
      <c r="BP4465" s="2"/>
      <c r="BQ4465" s="2" t="s">
        <v>4039</v>
      </c>
      <c r="BR4465" s="2" t="s">
        <v>84</v>
      </c>
      <c r="BS4465" s="3">
        <v>42951</v>
      </c>
      <c r="BT4465" s="4">
        <v>0.39374999999999999</v>
      </c>
      <c r="BU4465" s="2" t="s">
        <v>1509</v>
      </c>
      <c r="BV4465" s="2" t="s">
        <v>95</v>
      </c>
      <c r="BW4465" s="2"/>
      <c r="BX4465" s="2"/>
      <c r="BY4465" s="2">
        <v>7591.07</v>
      </c>
      <c r="BZ4465" s="2" t="s">
        <v>27</v>
      </c>
      <c r="CA4465" s="2" t="s">
        <v>291</v>
      </c>
      <c r="CB4465" s="2"/>
      <c r="CC4465" s="2" t="s">
        <v>106</v>
      </c>
      <c r="CD4465" s="2">
        <v>7441</v>
      </c>
      <c r="CE4465" s="2" t="s">
        <v>89</v>
      </c>
      <c r="CF4465" s="5">
        <v>42954</v>
      </c>
      <c r="CG4465" s="2"/>
      <c r="CH4465" s="2"/>
      <c r="CI4465" s="2">
        <v>1</v>
      </c>
      <c r="CJ4465" s="2">
        <v>1</v>
      </c>
      <c r="CK4465" s="2">
        <v>21</v>
      </c>
      <c r="CL4465" s="2" t="s">
        <v>86</v>
      </c>
      <c r="CM4465" s="2"/>
    </row>
    <row r="4466" spans="1:91">
      <c r="A4466" s="2" t="s">
        <v>71</v>
      </c>
      <c r="B4466" s="2" t="s">
        <v>72</v>
      </c>
      <c r="C4466" s="2" t="s">
        <v>73</v>
      </c>
      <c r="D4466" s="2"/>
      <c r="E4466" s="2" t="str">
        <f>"FES1162566744"</f>
        <v>FES1162566744</v>
      </c>
      <c r="F4466" s="3">
        <v>42950</v>
      </c>
      <c r="G4466" s="2">
        <v>201802</v>
      </c>
      <c r="H4466" s="2" t="s">
        <v>74</v>
      </c>
      <c r="I4466" s="2" t="s">
        <v>75</v>
      </c>
      <c r="J4466" s="2" t="s">
        <v>76</v>
      </c>
      <c r="K4466" s="2" t="s">
        <v>77</v>
      </c>
      <c r="L4466" s="2" t="s">
        <v>237</v>
      </c>
      <c r="M4466" s="2" t="s">
        <v>238</v>
      </c>
      <c r="N4466" s="2" t="s">
        <v>2510</v>
      </c>
      <c r="O4466" s="2" t="s">
        <v>100</v>
      </c>
      <c r="P4466" s="2" t="str">
        <f>"217076105                     "</f>
        <v xml:space="preserve">217076105                     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0</v>
      </c>
      <c r="Z4466" s="2">
        <v>0</v>
      </c>
      <c r="AA4466" s="2">
        <v>0</v>
      </c>
      <c r="AB4466" s="2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4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0</v>
      </c>
      <c r="AU4466" s="2">
        <v>0</v>
      </c>
      <c r="AV4466" s="2">
        <v>0</v>
      </c>
      <c r="AW4466" s="2">
        <v>0</v>
      </c>
      <c r="AX4466" s="2">
        <v>0</v>
      </c>
      <c r="AY4466" s="2">
        <v>0</v>
      </c>
      <c r="AZ4466" s="2">
        <v>0</v>
      </c>
      <c r="BA4466" s="2">
        <v>0</v>
      </c>
      <c r="BB4466" s="2">
        <v>0</v>
      </c>
      <c r="BC4466" s="2">
        <v>0</v>
      </c>
      <c r="BD4466" s="2">
        <v>0</v>
      </c>
      <c r="BE4466" s="2">
        <v>0</v>
      </c>
      <c r="BF4466" s="2">
        <v>0</v>
      </c>
      <c r="BG4466" s="2">
        <v>0</v>
      </c>
      <c r="BH4466" s="2">
        <v>1</v>
      </c>
      <c r="BI4466" s="2">
        <v>2</v>
      </c>
      <c r="BJ4466" s="2">
        <v>1.8</v>
      </c>
      <c r="BK4466" s="2">
        <v>2</v>
      </c>
      <c r="BL4466" s="2">
        <v>41.44</v>
      </c>
      <c r="BM4466" s="2">
        <v>5.8</v>
      </c>
      <c r="BN4466" s="2">
        <v>47.24</v>
      </c>
      <c r="BO4466" s="2">
        <v>47.24</v>
      </c>
      <c r="BP4466" s="2"/>
      <c r="BQ4466" s="2" t="s">
        <v>83</v>
      </c>
      <c r="BR4466" s="2" t="s">
        <v>84</v>
      </c>
      <c r="BS4466" s="3">
        <v>42951</v>
      </c>
      <c r="BT4466" s="4">
        <v>0.3611111111111111</v>
      </c>
      <c r="BU4466" s="2" t="s">
        <v>3019</v>
      </c>
      <c r="BV4466" s="2" t="s">
        <v>95</v>
      </c>
      <c r="BW4466" s="2"/>
      <c r="BX4466" s="2"/>
      <c r="BY4466" s="2">
        <v>9219.4599999999991</v>
      </c>
      <c r="BZ4466" s="2" t="s">
        <v>27</v>
      </c>
      <c r="CA4466" s="2" t="s">
        <v>401</v>
      </c>
      <c r="CB4466" s="2"/>
      <c r="CC4466" s="2" t="s">
        <v>238</v>
      </c>
      <c r="CD4466" s="2">
        <v>3610</v>
      </c>
      <c r="CE4466" s="2" t="s">
        <v>948</v>
      </c>
      <c r="CF4466" s="5">
        <v>42953</v>
      </c>
      <c r="CG4466" s="2"/>
      <c r="CH4466" s="2"/>
      <c r="CI4466" s="2">
        <v>1</v>
      </c>
      <c r="CJ4466" s="2">
        <v>1</v>
      </c>
      <c r="CK4466" s="2">
        <v>21</v>
      </c>
      <c r="CL4466" s="2" t="s">
        <v>86</v>
      </c>
      <c r="CM4466" s="2"/>
    </row>
    <row r="4467" spans="1:91">
      <c r="A4467" s="2" t="s">
        <v>71</v>
      </c>
      <c r="B4467" s="2" t="s">
        <v>72</v>
      </c>
      <c r="C4467" s="2" t="s">
        <v>73</v>
      </c>
      <c r="D4467" s="2"/>
      <c r="E4467" s="2" t="str">
        <f>"FES1162566743"</f>
        <v>FES1162566743</v>
      </c>
      <c r="F4467" s="3">
        <v>42950</v>
      </c>
      <c r="G4467" s="2">
        <v>201802</v>
      </c>
      <c r="H4467" s="2" t="s">
        <v>74</v>
      </c>
      <c r="I4467" s="2" t="s">
        <v>75</v>
      </c>
      <c r="J4467" s="2" t="s">
        <v>76</v>
      </c>
      <c r="K4467" s="2" t="s">
        <v>77</v>
      </c>
      <c r="L4467" s="2" t="s">
        <v>149</v>
      </c>
      <c r="M4467" s="2" t="s">
        <v>150</v>
      </c>
      <c r="N4467" s="2" t="s">
        <v>435</v>
      </c>
      <c r="O4467" s="2" t="s">
        <v>100</v>
      </c>
      <c r="P4467" s="2" t="str">
        <f>"2170575444                    "</f>
        <v xml:space="preserve">2170575444                    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0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30.02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0</v>
      </c>
      <c r="AU4467" s="2">
        <v>0</v>
      </c>
      <c r="AV4467" s="2">
        <v>0</v>
      </c>
      <c r="AW4467" s="2">
        <v>0</v>
      </c>
      <c r="AX4467" s="2">
        <v>0</v>
      </c>
      <c r="AY4467" s="2">
        <v>0</v>
      </c>
      <c r="AZ4467" s="2">
        <v>0</v>
      </c>
      <c r="BA4467" s="2">
        <v>0</v>
      </c>
      <c r="BB4467" s="2">
        <v>0</v>
      </c>
      <c r="BC4467" s="2">
        <v>0</v>
      </c>
      <c r="BD4467" s="2">
        <v>0</v>
      </c>
      <c r="BE4467" s="2">
        <v>0</v>
      </c>
      <c r="BF4467" s="2">
        <v>0</v>
      </c>
      <c r="BG4467" s="2">
        <v>0</v>
      </c>
      <c r="BH4467" s="2">
        <v>2</v>
      </c>
      <c r="BI4467" s="2">
        <v>14.6</v>
      </c>
      <c r="BJ4467" s="2">
        <v>8</v>
      </c>
      <c r="BK4467" s="2">
        <v>15</v>
      </c>
      <c r="BL4467" s="2">
        <v>310.82</v>
      </c>
      <c r="BM4467" s="2">
        <v>43.51</v>
      </c>
      <c r="BN4467" s="2">
        <v>354.33</v>
      </c>
      <c r="BO4467" s="2">
        <v>354.33</v>
      </c>
      <c r="BP4467" s="2"/>
      <c r="BQ4467" s="2" t="s">
        <v>2984</v>
      </c>
      <c r="BR4467" s="2" t="s">
        <v>84</v>
      </c>
      <c r="BS4467" s="3">
        <v>42951</v>
      </c>
      <c r="BT4467" s="4">
        <v>0.41875000000000001</v>
      </c>
      <c r="BU4467" s="2" t="s">
        <v>436</v>
      </c>
      <c r="BV4467" s="2" t="s">
        <v>95</v>
      </c>
      <c r="BW4467" s="2"/>
      <c r="BX4467" s="2"/>
      <c r="BY4467" s="2">
        <v>39804.5</v>
      </c>
      <c r="BZ4467" s="2" t="s">
        <v>27</v>
      </c>
      <c r="CA4467" s="2" t="s">
        <v>429</v>
      </c>
      <c r="CB4467" s="2"/>
      <c r="CC4467" s="2" t="s">
        <v>150</v>
      </c>
      <c r="CD4467" s="2">
        <v>4001</v>
      </c>
      <c r="CE4467" s="2" t="s">
        <v>4040</v>
      </c>
      <c r="CF4467" s="5">
        <v>42951</v>
      </c>
      <c r="CG4467" s="2"/>
      <c r="CH4467" s="2"/>
      <c r="CI4467" s="2">
        <v>1</v>
      </c>
      <c r="CJ4467" s="2">
        <v>1</v>
      </c>
      <c r="CK4467" s="2">
        <v>21</v>
      </c>
      <c r="CL4467" s="2" t="s">
        <v>86</v>
      </c>
      <c r="CM4467" s="2"/>
    </row>
    <row r="4468" spans="1:91">
      <c r="A4468" s="2" t="s">
        <v>71</v>
      </c>
      <c r="B4468" s="2" t="s">
        <v>72</v>
      </c>
      <c r="C4468" s="2" t="s">
        <v>73</v>
      </c>
      <c r="D4468" s="2"/>
      <c r="E4468" s="2" t="str">
        <f>"FES1162566896"</f>
        <v>FES1162566896</v>
      </c>
      <c r="F4468" s="3">
        <v>42950</v>
      </c>
      <c r="G4468" s="2">
        <v>201802</v>
      </c>
      <c r="H4468" s="2" t="s">
        <v>74</v>
      </c>
      <c r="I4468" s="2" t="s">
        <v>75</v>
      </c>
      <c r="J4468" s="2" t="s">
        <v>76</v>
      </c>
      <c r="K4468" s="2" t="s">
        <v>77</v>
      </c>
      <c r="L4468" s="2" t="s">
        <v>97</v>
      </c>
      <c r="M4468" s="2" t="s">
        <v>98</v>
      </c>
      <c r="N4468" s="2" t="s">
        <v>119</v>
      </c>
      <c r="O4468" s="2" t="s">
        <v>100</v>
      </c>
      <c r="P4468" s="2" t="str">
        <f>"2170583135                    "</f>
        <v xml:space="preserve">2170583135                    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2">
        <v>0</v>
      </c>
      <c r="Z4468" s="2">
        <v>0</v>
      </c>
      <c r="AA4468" s="2">
        <v>0</v>
      </c>
      <c r="AB4468" s="2">
        <v>0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4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0</v>
      </c>
      <c r="AU4468" s="2">
        <v>0</v>
      </c>
      <c r="AV4468" s="2">
        <v>0</v>
      </c>
      <c r="AW4468" s="2">
        <v>0</v>
      </c>
      <c r="AX4468" s="2">
        <v>0</v>
      </c>
      <c r="AY4468" s="2">
        <v>0</v>
      </c>
      <c r="AZ4468" s="2">
        <v>0</v>
      </c>
      <c r="BA4468" s="2">
        <v>0</v>
      </c>
      <c r="BB4468" s="2">
        <v>0</v>
      </c>
      <c r="BC4468" s="2">
        <v>0</v>
      </c>
      <c r="BD4468" s="2">
        <v>0</v>
      </c>
      <c r="BE4468" s="2">
        <v>0</v>
      </c>
      <c r="BF4468" s="2">
        <v>0</v>
      </c>
      <c r="BG4468" s="2">
        <v>0</v>
      </c>
      <c r="BH4468" s="2">
        <v>1</v>
      </c>
      <c r="BI4468" s="2">
        <v>1</v>
      </c>
      <c r="BJ4468" s="2">
        <v>0.2</v>
      </c>
      <c r="BK4468" s="2">
        <v>1</v>
      </c>
      <c r="BL4468" s="2">
        <v>41.44</v>
      </c>
      <c r="BM4468" s="2">
        <v>5.8</v>
      </c>
      <c r="BN4468" s="2">
        <v>47.24</v>
      </c>
      <c r="BO4468" s="2">
        <v>47.24</v>
      </c>
      <c r="BP4468" s="2"/>
      <c r="BQ4468" s="2" t="s">
        <v>108</v>
      </c>
      <c r="BR4468" s="2" t="s">
        <v>84</v>
      </c>
      <c r="BS4468" s="3">
        <v>42951</v>
      </c>
      <c r="BT4468" s="4">
        <v>0.33194444444444443</v>
      </c>
      <c r="BU4468" s="2" t="s">
        <v>392</v>
      </c>
      <c r="BV4468" s="2" t="s">
        <v>95</v>
      </c>
      <c r="BW4468" s="2"/>
      <c r="BX4468" s="2"/>
      <c r="BY4468" s="2">
        <v>1200</v>
      </c>
      <c r="BZ4468" s="2" t="s">
        <v>27</v>
      </c>
      <c r="CA4468" s="2"/>
      <c r="CB4468" s="2"/>
      <c r="CC4468" s="2" t="s">
        <v>98</v>
      </c>
      <c r="CD4468" s="2">
        <v>6001</v>
      </c>
      <c r="CE4468" s="2" t="s">
        <v>3630</v>
      </c>
      <c r="CF4468" s="5">
        <v>42951</v>
      </c>
      <c r="CG4468" s="2"/>
      <c r="CH4468" s="2"/>
      <c r="CI4468" s="2">
        <v>1</v>
      </c>
      <c r="CJ4468" s="2">
        <v>1</v>
      </c>
      <c r="CK4468" s="2">
        <v>21</v>
      </c>
      <c r="CL4468" s="2" t="s">
        <v>86</v>
      </c>
      <c r="CM4468" s="2"/>
    </row>
    <row r="4469" spans="1:91">
      <c r="A4469" s="2" t="s">
        <v>71</v>
      </c>
      <c r="B4469" s="2" t="s">
        <v>72</v>
      </c>
      <c r="C4469" s="2" t="s">
        <v>73</v>
      </c>
      <c r="D4469" s="2"/>
      <c r="E4469" s="2" t="str">
        <f>"FES1162566884"</f>
        <v>FES1162566884</v>
      </c>
      <c r="F4469" s="3">
        <v>42950</v>
      </c>
      <c r="G4469" s="2">
        <v>201802</v>
      </c>
      <c r="H4469" s="2" t="s">
        <v>74</v>
      </c>
      <c r="I4469" s="2" t="s">
        <v>75</v>
      </c>
      <c r="J4469" s="2" t="s">
        <v>76</v>
      </c>
      <c r="K4469" s="2" t="s">
        <v>77</v>
      </c>
      <c r="L4469" s="2" t="s">
        <v>97</v>
      </c>
      <c r="M4469" s="2" t="s">
        <v>98</v>
      </c>
      <c r="N4469" s="2" t="s">
        <v>119</v>
      </c>
      <c r="O4469" s="2" t="s">
        <v>100</v>
      </c>
      <c r="P4469" s="2" t="str">
        <f>"2170583131                    "</f>
        <v xml:space="preserve">2170583131                    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4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0</v>
      </c>
      <c r="AU4469" s="2">
        <v>0</v>
      </c>
      <c r="AV4469" s="2">
        <v>0</v>
      </c>
      <c r="AW4469" s="2">
        <v>0</v>
      </c>
      <c r="AX4469" s="2">
        <v>0</v>
      </c>
      <c r="AY4469" s="2">
        <v>0</v>
      </c>
      <c r="AZ4469" s="2">
        <v>0</v>
      </c>
      <c r="BA4469" s="2">
        <v>0</v>
      </c>
      <c r="BB4469" s="2">
        <v>0</v>
      </c>
      <c r="BC4469" s="2">
        <v>0</v>
      </c>
      <c r="BD4469" s="2">
        <v>0</v>
      </c>
      <c r="BE4469" s="2">
        <v>0</v>
      </c>
      <c r="BF4469" s="2">
        <v>0</v>
      </c>
      <c r="BG4469" s="2">
        <v>0</v>
      </c>
      <c r="BH4469" s="2">
        <v>2</v>
      </c>
      <c r="BI4469" s="2">
        <v>2</v>
      </c>
      <c r="BJ4469" s="2">
        <v>0.5</v>
      </c>
      <c r="BK4469" s="2">
        <v>2</v>
      </c>
      <c r="BL4469" s="2">
        <v>41.44</v>
      </c>
      <c r="BM4469" s="2">
        <v>5.8</v>
      </c>
      <c r="BN4469" s="2">
        <v>47.24</v>
      </c>
      <c r="BO4469" s="2">
        <v>47.24</v>
      </c>
      <c r="BP4469" s="2"/>
      <c r="BQ4469" s="2" t="s">
        <v>108</v>
      </c>
      <c r="BR4469" s="2" t="s">
        <v>84</v>
      </c>
      <c r="BS4469" s="3">
        <v>42951</v>
      </c>
      <c r="BT4469" s="4">
        <v>0.3354166666666667</v>
      </c>
      <c r="BU4469" s="2" t="s">
        <v>224</v>
      </c>
      <c r="BV4469" s="2" t="s">
        <v>95</v>
      </c>
      <c r="BW4469" s="2"/>
      <c r="BX4469" s="2"/>
      <c r="BY4469" s="2">
        <v>2400</v>
      </c>
      <c r="BZ4469" s="2" t="s">
        <v>27</v>
      </c>
      <c r="CA4469" s="2" t="s">
        <v>213</v>
      </c>
      <c r="CB4469" s="2"/>
      <c r="CC4469" s="2" t="s">
        <v>98</v>
      </c>
      <c r="CD4469" s="2">
        <v>6001</v>
      </c>
      <c r="CE4469" s="2" t="s">
        <v>2494</v>
      </c>
      <c r="CF4469" s="5">
        <v>42954</v>
      </c>
      <c r="CG4469" s="2"/>
      <c r="CH4469" s="2"/>
      <c r="CI4469" s="2">
        <v>1</v>
      </c>
      <c r="CJ4469" s="2">
        <v>1</v>
      </c>
      <c r="CK4469" s="2">
        <v>21</v>
      </c>
      <c r="CL4469" s="2" t="s">
        <v>86</v>
      </c>
      <c r="CM4469" s="2"/>
    </row>
    <row r="4470" spans="1:91">
      <c r="A4470" s="2" t="s">
        <v>71</v>
      </c>
      <c r="B4470" s="2" t="s">
        <v>72</v>
      </c>
      <c r="C4470" s="2" t="s">
        <v>73</v>
      </c>
      <c r="D4470" s="2"/>
      <c r="E4470" s="2" t="str">
        <f>"FES1162566630"</f>
        <v>FES1162566630</v>
      </c>
      <c r="F4470" s="3">
        <v>42950</v>
      </c>
      <c r="G4470" s="2">
        <v>201802</v>
      </c>
      <c r="H4470" s="2" t="s">
        <v>74</v>
      </c>
      <c r="I4470" s="2" t="s">
        <v>75</v>
      </c>
      <c r="J4470" s="2" t="s">
        <v>76</v>
      </c>
      <c r="K4470" s="2" t="s">
        <v>77</v>
      </c>
      <c r="L4470" s="2" t="s">
        <v>237</v>
      </c>
      <c r="M4470" s="2" t="s">
        <v>238</v>
      </c>
      <c r="N4470" s="2" t="s">
        <v>4041</v>
      </c>
      <c r="O4470" s="2" t="s">
        <v>100</v>
      </c>
      <c r="P4470" s="2" t="str">
        <f>"2170582967                    "</f>
        <v xml:space="preserve">2170582967                    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16.010000000000002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0</v>
      </c>
      <c r="AU4470" s="2">
        <v>0</v>
      </c>
      <c r="AV4470" s="2">
        <v>0</v>
      </c>
      <c r="AW4470" s="2">
        <v>0</v>
      </c>
      <c r="AX4470" s="2">
        <v>0</v>
      </c>
      <c r="AY4470" s="2">
        <v>0</v>
      </c>
      <c r="AZ4470" s="2">
        <v>0</v>
      </c>
      <c r="BA4470" s="2">
        <v>0</v>
      </c>
      <c r="BB4470" s="2">
        <v>0</v>
      </c>
      <c r="BC4470" s="2">
        <v>0</v>
      </c>
      <c r="BD4470" s="2">
        <v>0</v>
      </c>
      <c r="BE4470" s="2">
        <v>0</v>
      </c>
      <c r="BF4470" s="2">
        <v>0</v>
      </c>
      <c r="BG4470" s="2">
        <v>0</v>
      </c>
      <c r="BH4470" s="2">
        <v>1</v>
      </c>
      <c r="BI4470" s="2">
        <v>8</v>
      </c>
      <c r="BJ4470" s="2">
        <v>2.2000000000000002</v>
      </c>
      <c r="BK4470" s="2">
        <v>8</v>
      </c>
      <c r="BL4470" s="2">
        <v>165.77</v>
      </c>
      <c r="BM4470" s="2">
        <v>23.21</v>
      </c>
      <c r="BN4470" s="2">
        <v>188.98</v>
      </c>
      <c r="BO4470" s="2">
        <v>188.98</v>
      </c>
      <c r="BP4470" s="2"/>
      <c r="BQ4470" s="2" t="s">
        <v>365</v>
      </c>
      <c r="BR4470" s="2" t="s">
        <v>84</v>
      </c>
      <c r="BS4470" s="3">
        <v>42951</v>
      </c>
      <c r="BT4470" s="4">
        <v>0.37152777777777773</v>
      </c>
      <c r="BU4470" s="2" t="s">
        <v>4042</v>
      </c>
      <c r="BV4470" s="2" t="s">
        <v>95</v>
      </c>
      <c r="BW4470" s="2"/>
      <c r="BX4470" s="2"/>
      <c r="BY4470" s="2">
        <v>11226.8</v>
      </c>
      <c r="BZ4470" s="2" t="s">
        <v>27</v>
      </c>
      <c r="CA4470" s="2" t="s">
        <v>401</v>
      </c>
      <c r="CB4470" s="2"/>
      <c r="CC4470" s="2" t="s">
        <v>238</v>
      </c>
      <c r="CD4470" s="2">
        <v>3610</v>
      </c>
      <c r="CE4470" s="2" t="s">
        <v>1623</v>
      </c>
      <c r="CF4470" s="5">
        <v>42954</v>
      </c>
      <c r="CG4470" s="2"/>
      <c r="CH4470" s="2"/>
      <c r="CI4470" s="2">
        <v>1</v>
      </c>
      <c r="CJ4470" s="2">
        <v>1</v>
      </c>
      <c r="CK4470" s="2">
        <v>21</v>
      </c>
      <c r="CL4470" s="2" t="s">
        <v>86</v>
      </c>
      <c r="CM4470" s="2"/>
    </row>
    <row r="4471" spans="1:91">
      <c r="A4471" s="2" t="s">
        <v>71</v>
      </c>
      <c r="B4471" s="2" t="s">
        <v>72</v>
      </c>
      <c r="C4471" s="2" t="s">
        <v>73</v>
      </c>
      <c r="D4471" s="2"/>
      <c r="E4471" s="2" t="str">
        <f>"FES1162566874"</f>
        <v>FES1162566874</v>
      </c>
      <c r="F4471" s="3">
        <v>42950</v>
      </c>
      <c r="G4471" s="2">
        <v>201802</v>
      </c>
      <c r="H4471" s="2" t="s">
        <v>74</v>
      </c>
      <c r="I4471" s="2" t="s">
        <v>75</v>
      </c>
      <c r="J4471" s="2" t="s">
        <v>76</v>
      </c>
      <c r="K4471" s="2" t="s">
        <v>77</v>
      </c>
      <c r="L4471" s="2" t="s">
        <v>97</v>
      </c>
      <c r="M4471" s="2" t="s">
        <v>98</v>
      </c>
      <c r="N4471" s="2" t="s">
        <v>119</v>
      </c>
      <c r="O4471" s="2" t="s">
        <v>100</v>
      </c>
      <c r="P4471" s="2" t="str">
        <f>"2170583122                    "</f>
        <v xml:space="preserve">2170583122                    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6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0</v>
      </c>
      <c r="AU4471" s="2">
        <v>0</v>
      </c>
      <c r="AV4471" s="2">
        <v>0</v>
      </c>
      <c r="AW4471" s="2">
        <v>0</v>
      </c>
      <c r="AX4471" s="2">
        <v>0</v>
      </c>
      <c r="AY4471" s="2">
        <v>0</v>
      </c>
      <c r="AZ4471" s="2">
        <v>0</v>
      </c>
      <c r="BA4471" s="2">
        <v>0</v>
      </c>
      <c r="BB4471" s="2">
        <v>0</v>
      </c>
      <c r="BC4471" s="2">
        <v>0</v>
      </c>
      <c r="BD4471" s="2">
        <v>0</v>
      </c>
      <c r="BE4471" s="2">
        <v>0</v>
      </c>
      <c r="BF4471" s="2">
        <v>0</v>
      </c>
      <c r="BG4471" s="2">
        <v>0</v>
      </c>
      <c r="BH4471" s="2">
        <v>1</v>
      </c>
      <c r="BI4471" s="2">
        <v>3</v>
      </c>
      <c r="BJ4471" s="2">
        <v>1.3</v>
      </c>
      <c r="BK4471" s="2">
        <v>3</v>
      </c>
      <c r="BL4471" s="2">
        <v>62.16</v>
      </c>
      <c r="BM4471" s="2">
        <v>8.6999999999999993</v>
      </c>
      <c r="BN4471" s="2">
        <v>70.86</v>
      </c>
      <c r="BO4471" s="2">
        <v>70.86</v>
      </c>
      <c r="BP4471" s="2"/>
      <c r="BQ4471" s="2" t="s">
        <v>108</v>
      </c>
      <c r="BR4471" s="2" t="s">
        <v>84</v>
      </c>
      <c r="BS4471" s="3">
        <v>42951</v>
      </c>
      <c r="BT4471" s="4">
        <v>0.33680555555555558</v>
      </c>
      <c r="BU4471" s="2" t="s">
        <v>224</v>
      </c>
      <c r="BV4471" s="2" t="s">
        <v>95</v>
      </c>
      <c r="BW4471" s="2"/>
      <c r="BX4471" s="2"/>
      <c r="BY4471" s="2">
        <v>6699.26</v>
      </c>
      <c r="BZ4471" s="2" t="s">
        <v>27</v>
      </c>
      <c r="CA4471" s="2" t="s">
        <v>213</v>
      </c>
      <c r="CB4471" s="2"/>
      <c r="CC4471" s="2" t="s">
        <v>98</v>
      </c>
      <c r="CD4471" s="2">
        <v>6001</v>
      </c>
      <c r="CE4471" s="2" t="s">
        <v>2716</v>
      </c>
      <c r="CF4471" s="5">
        <v>42954</v>
      </c>
      <c r="CG4471" s="2"/>
      <c r="CH4471" s="2"/>
      <c r="CI4471" s="2">
        <v>1</v>
      </c>
      <c r="CJ4471" s="2">
        <v>1</v>
      </c>
      <c r="CK4471" s="2">
        <v>21</v>
      </c>
      <c r="CL4471" s="2" t="s">
        <v>86</v>
      </c>
      <c r="CM4471" s="2"/>
    </row>
    <row r="4472" spans="1:91">
      <c r="A4472" s="2" t="s">
        <v>71</v>
      </c>
      <c r="B4472" s="2" t="s">
        <v>72</v>
      </c>
      <c r="C4472" s="2" t="s">
        <v>73</v>
      </c>
      <c r="D4472" s="2"/>
      <c r="E4472" s="2" t="str">
        <f>"FES1162566638"</f>
        <v>FES1162566638</v>
      </c>
      <c r="F4472" s="3">
        <v>42950</v>
      </c>
      <c r="G4472" s="2">
        <v>201802</v>
      </c>
      <c r="H4472" s="2" t="s">
        <v>74</v>
      </c>
      <c r="I4472" s="2" t="s">
        <v>75</v>
      </c>
      <c r="J4472" s="2" t="s">
        <v>76</v>
      </c>
      <c r="K4472" s="2" t="s">
        <v>77</v>
      </c>
      <c r="L4472" s="2" t="s">
        <v>201</v>
      </c>
      <c r="M4472" s="2" t="s">
        <v>202</v>
      </c>
      <c r="N4472" s="2" t="s">
        <v>2279</v>
      </c>
      <c r="O4472" s="2" t="s">
        <v>100</v>
      </c>
      <c r="P4472" s="2" t="str">
        <f>"2170582975                    "</f>
        <v xml:space="preserve">2170582975                    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2">
        <v>0</v>
      </c>
      <c r="Z4472" s="2">
        <v>0</v>
      </c>
      <c r="AA4472" s="2">
        <v>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7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0</v>
      </c>
      <c r="AU4472" s="2">
        <v>0</v>
      </c>
      <c r="AV4472" s="2">
        <v>0</v>
      </c>
      <c r="AW4472" s="2">
        <v>0</v>
      </c>
      <c r="AX4472" s="2">
        <v>0</v>
      </c>
      <c r="AY4472" s="2">
        <v>0</v>
      </c>
      <c r="AZ4472" s="2">
        <v>0</v>
      </c>
      <c r="BA4472" s="2">
        <v>0</v>
      </c>
      <c r="BB4472" s="2">
        <v>0</v>
      </c>
      <c r="BC4472" s="2">
        <v>0</v>
      </c>
      <c r="BD4472" s="2">
        <v>0</v>
      </c>
      <c r="BE4472" s="2">
        <v>0</v>
      </c>
      <c r="BF4472" s="2">
        <v>0</v>
      </c>
      <c r="BG4472" s="2">
        <v>0</v>
      </c>
      <c r="BH4472" s="2">
        <v>1</v>
      </c>
      <c r="BI4472" s="2">
        <v>1.9</v>
      </c>
      <c r="BJ4472" s="2">
        <v>3.5</v>
      </c>
      <c r="BK4472" s="2">
        <v>3.5</v>
      </c>
      <c r="BL4472" s="2">
        <v>72.52</v>
      </c>
      <c r="BM4472" s="2">
        <v>10.15</v>
      </c>
      <c r="BN4472" s="2">
        <v>82.67</v>
      </c>
      <c r="BO4472" s="2">
        <v>82.67</v>
      </c>
      <c r="BP4472" s="2"/>
      <c r="BQ4472" s="2" t="s">
        <v>83</v>
      </c>
      <c r="BR4472" s="2" t="s">
        <v>84</v>
      </c>
      <c r="BS4472" s="3">
        <v>42954</v>
      </c>
      <c r="BT4472" s="4">
        <v>0.47500000000000003</v>
      </c>
      <c r="BU4472" s="2" t="s">
        <v>2280</v>
      </c>
      <c r="BV4472" s="2" t="s">
        <v>86</v>
      </c>
      <c r="BW4472" s="2"/>
      <c r="BX4472" s="2"/>
      <c r="BY4472" s="2">
        <v>17386.169999999998</v>
      </c>
      <c r="BZ4472" s="2" t="s">
        <v>27</v>
      </c>
      <c r="CA4472" s="2" t="s">
        <v>205</v>
      </c>
      <c r="CB4472" s="2"/>
      <c r="CC4472" s="2" t="s">
        <v>202</v>
      </c>
      <c r="CD4472" s="2">
        <v>7130</v>
      </c>
      <c r="CE4472" s="2" t="s">
        <v>89</v>
      </c>
      <c r="CF4472" s="5">
        <v>42955</v>
      </c>
      <c r="CG4472" s="2"/>
      <c r="CH4472" s="2"/>
      <c r="CI4472" s="2">
        <v>1</v>
      </c>
      <c r="CJ4472" s="2">
        <v>2</v>
      </c>
      <c r="CK4472" s="2">
        <v>21</v>
      </c>
      <c r="CL4472" s="2" t="s">
        <v>86</v>
      </c>
      <c r="CM4472" s="2"/>
    </row>
    <row r="4473" spans="1:91">
      <c r="A4473" s="2" t="s">
        <v>71</v>
      </c>
      <c r="B4473" s="2" t="s">
        <v>72</v>
      </c>
      <c r="C4473" s="2" t="s">
        <v>73</v>
      </c>
      <c r="D4473" s="2"/>
      <c r="E4473" s="2" t="str">
        <f>"FES1162566860"</f>
        <v>FES1162566860</v>
      </c>
      <c r="F4473" s="3">
        <v>42950</v>
      </c>
      <c r="G4473" s="2">
        <v>201802</v>
      </c>
      <c r="H4473" s="2" t="s">
        <v>74</v>
      </c>
      <c r="I4473" s="2" t="s">
        <v>75</v>
      </c>
      <c r="J4473" s="2" t="s">
        <v>76</v>
      </c>
      <c r="K4473" s="2" t="s">
        <v>77</v>
      </c>
      <c r="L4473" s="2" t="s">
        <v>97</v>
      </c>
      <c r="M4473" s="2" t="s">
        <v>98</v>
      </c>
      <c r="N4473" s="2" t="s">
        <v>2762</v>
      </c>
      <c r="O4473" s="2" t="s">
        <v>100</v>
      </c>
      <c r="P4473" s="2" t="str">
        <f>"217058101                     "</f>
        <v xml:space="preserve">217058101                     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4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0</v>
      </c>
      <c r="AU4473" s="2">
        <v>0</v>
      </c>
      <c r="AV4473" s="2">
        <v>0</v>
      </c>
      <c r="AW4473" s="2">
        <v>0</v>
      </c>
      <c r="AX4473" s="2">
        <v>0</v>
      </c>
      <c r="AY4473" s="2">
        <v>0</v>
      </c>
      <c r="AZ4473" s="2">
        <v>0</v>
      </c>
      <c r="BA4473" s="2">
        <v>0</v>
      </c>
      <c r="BB4473" s="2">
        <v>0</v>
      </c>
      <c r="BC4473" s="2">
        <v>0</v>
      </c>
      <c r="BD4473" s="2">
        <v>0</v>
      </c>
      <c r="BE4473" s="2">
        <v>0</v>
      </c>
      <c r="BF4473" s="2">
        <v>0</v>
      </c>
      <c r="BG4473" s="2">
        <v>0</v>
      </c>
      <c r="BH4473" s="2">
        <v>1</v>
      </c>
      <c r="BI4473" s="2">
        <v>1</v>
      </c>
      <c r="BJ4473" s="2">
        <v>0.2</v>
      </c>
      <c r="BK4473" s="2">
        <v>1</v>
      </c>
      <c r="BL4473" s="2">
        <v>41.44</v>
      </c>
      <c r="BM4473" s="2">
        <v>5.8</v>
      </c>
      <c r="BN4473" s="2">
        <v>47.24</v>
      </c>
      <c r="BO4473" s="2">
        <v>47.24</v>
      </c>
      <c r="BP4473" s="2"/>
      <c r="BQ4473" s="2" t="s">
        <v>365</v>
      </c>
      <c r="BR4473" s="2" t="s">
        <v>84</v>
      </c>
      <c r="BS4473" s="3">
        <v>42951</v>
      </c>
      <c r="BT4473" s="4">
        <v>0.37777777777777777</v>
      </c>
      <c r="BU4473" s="2" t="s">
        <v>4043</v>
      </c>
      <c r="BV4473" s="2" t="s">
        <v>95</v>
      </c>
      <c r="BW4473" s="2"/>
      <c r="BX4473" s="2"/>
      <c r="BY4473" s="2">
        <v>1200</v>
      </c>
      <c r="BZ4473" s="2" t="s">
        <v>27</v>
      </c>
      <c r="CA4473" s="2" t="s">
        <v>213</v>
      </c>
      <c r="CB4473" s="2"/>
      <c r="CC4473" s="2" t="s">
        <v>98</v>
      </c>
      <c r="CD4473" s="2">
        <v>6014</v>
      </c>
      <c r="CE4473" s="2" t="s">
        <v>3630</v>
      </c>
      <c r="CF4473" s="5">
        <v>42954</v>
      </c>
      <c r="CG4473" s="2"/>
      <c r="CH4473" s="2"/>
      <c r="CI4473" s="2">
        <v>1</v>
      </c>
      <c r="CJ4473" s="2">
        <v>1</v>
      </c>
      <c r="CK4473" s="2">
        <v>21</v>
      </c>
      <c r="CL4473" s="2" t="s">
        <v>86</v>
      </c>
      <c r="CM4473" s="2"/>
    </row>
    <row r="4474" spans="1:91">
      <c r="A4474" s="2" t="s">
        <v>71</v>
      </c>
      <c r="B4474" s="2" t="s">
        <v>72</v>
      </c>
      <c r="C4474" s="2" t="s">
        <v>73</v>
      </c>
      <c r="D4474" s="2"/>
      <c r="E4474" s="2" t="str">
        <f>"FES1162566862"</f>
        <v>FES1162566862</v>
      </c>
      <c r="F4474" s="3">
        <v>42950</v>
      </c>
      <c r="G4474" s="2">
        <v>201802</v>
      </c>
      <c r="H4474" s="2" t="s">
        <v>74</v>
      </c>
      <c r="I4474" s="2" t="s">
        <v>75</v>
      </c>
      <c r="J4474" s="2" t="s">
        <v>76</v>
      </c>
      <c r="K4474" s="2" t="s">
        <v>77</v>
      </c>
      <c r="L4474" s="2" t="s">
        <v>97</v>
      </c>
      <c r="M4474" s="2" t="s">
        <v>98</v>
      </c>
      <c r="N4474" s="2" t="s">
        <v>3277</v>
      </c>
      <c r="O4474" s="2" t="s">
        <v>100</v>
      </c>
      <c r="P4474" s="2" t="str">
        <f>"2170583106                    "</f>
        <v xml:space="preserve">2170583106                    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0</v>
      </c>
      <c r="Z4474" s="2">
        <v>0</v>
      </c>
      <c r="AA4474" s="2">
        <v>0</v>
      </c>
      <c r="AB4474" s="2">
        <v>0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4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0</v>
      </c>
      <c r="AU4474" s="2">
        <v>0</v>
      </c>
      <c r="AV4474" s="2">
        <v>0</v>
      </c>
      <c r="AW4474" s="2">
        <v>0</v>
      </c>
      <c r="AX4474" s="2">
        <v>0</v>
      </c>
      <c r="AY4474" s="2">
        <v>0</v>
      </c>
      <c r="AZ4474" s="2">
        <v>0</v>
      </c>
      <c r="BA4474" s="2">
        <v>0</v>
      </c>
      <c r="BB4474" s="2">
        <v>0</v>
      </c>
      <c r="BC4474" s="2">
        <v>0</v>
      </c>
      <c r="BD4474" s="2">
        <v>0</v>
      </c>
      <c r="BE4474" s="2">
        <v>0</v>
      </c>
      <c r="BF4474" s="2">
        <v>0</v>
      </c>
      <c r="BG4474" s="2">
        <v>0</v>
      </c>
      <c r="BH4474" s="2">
        <v>1</v>
      </c>
      <c r="BI4474" s="2">
        <v>1</v>
      </c>
      <c r="BJ4474" s="2">
        <v>0.2</v>
      </c>
      <c r="BK4474" s="2">
        <v>1</v>
      </c>
      <c r="BL4474" s="2">
        <v>41.44</v>
      </c>
      <c r="BM4474" s="2">
        <v>5.8</v>
      </c>
      <c r="BN4474" s="2">
        <v>47.24</v>
      </c>
      <c r="BO4474" s="2">
        <v>47.24</v>
      </c>
      <c r="BP4474" s="2"/>
      <c r="BQ4474" s="2" t="s">
        <v>83</v>
      </c>
      <c r="BR4474" s="2" t="s">
        <v>84</v>
      </c>
      <c r="BS4474" s="3">
        <v>42951</v>
      </c>
      <c r="BT4474" s="4">
        <v>0.40972222222222227</v>
      </c>
      <c r="BU4474" s="2" t="s">
        <v>3866</v>
      </c>
      <c r="BV4474" s="2" t="s">
        <v>95</v>
      </c>
      <c r="BW4474" s="2"/>
      <c r="BX4474" s="2"/>
      <c r="BY4474" s="2">
        <v>1200</v>
      </c>
      <c r="BZ4474" s="2" t="s">
        <v>27</v>
      </c>
      <c r="CA4474" s="2" t="s">
        <v>103</v>
      </c>
      <c r="CB4474" s="2"/>
      <c r="CC4474" s="2" t="s">
        <v>98</v>
      </c>
      <c r="CD4474" s="2">
        <v>6001</v>
      </c>
      <c r="CE4474" s="2" t="s">
        <v>104</v>
      </c>
      <c r="CF4474" s="5">
        <v>42951</v>
      </c>
      <c r="CG4474" s="2"/>
      <c r="CH4474" s="2"/>
      <c r="CI4474" s="2">
        <v>1</v>
      </c>
      <c r="CJ4474" s="2">
        <v>1</v>
      </c>
      <c r="CK4474" s="2">
        <v>21</v>
      </c>
      <c r="CL4474" s="2" t="s">
        <v>86</v>
      </c>
      <c r="CM4474" s="2"/>
    </row>
    <row r="4475" spans="1:91">
      <c r="A4475" s="2" t="s">
        <v>71</v>
      </c>
      <c r="B4475" s="2" t="s">
        <v>72</v>
      </c>
      <c r="C4475" s="2" t="s">
        <v>73</v>
      </c>
      <c r="D4475" s="2"/>
      <c r="E4475" s="2" t="str">
        <f>"FES1162566593"</f>
        <v>FES1162566593</v>
      </c>
      <c r="F4475" s="3">
        <v>42950</v>
      </c>
      <c r="G4475" s="2">
        <v>201802</v>
      </c>
      <c r="H4475" s="2" t="s">
        <v>74</v>
      </c>
      <c r="I4475" s="2" t="s">
        <v>75</v>
      </c>
      <c r="J4475" s="2" t="s">
        <v>76</v>
      </c>
      <c r="K4475" s="2" t="s">
        <v>77</v>
      </c>
      <c r="L4475" s="2" t="s">
        <v>723</v>
      </c>
      <c r="M4475" s="2" t="s">
        <v>724</v>
      </c>
      <c r="N4475" s="2" t="s">
        <v>2327</v>
      </c>
      <c r="O4475" s="2" t="s">
        <v>100</v>
      </c>
      <c r="P4475" s="2" t="str">
        <f>"2170582936                    "</f>
        <v xml:space="preserve">2170582936                    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5.63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0</v>
      </c>
      <c r="AU4475" s="2">
        <v>0</v>
      </c>
      <c r="AV4475" s="2">
        <v>0</v>
      </c>
      <c r="AW4475" s="2">
        <v>0</v>
      </c>
      <c r="AX4475" s="2">
        <v>0</v>
      </c>
      <c r="AY4475" s="2">
        <v>0</v>
      </c>
      <c r="AZ4475" s="2">
        <v>0</v>
      </c>
      <c r="BA4475" s="2">
        <v>0</v>
      </c>
      <c r="BB4475" s="2">
        <v>0</v>
      </c>
      <c r="BC4475" s="2">
        <v>0</v>
      </c>
      <c r="BD4475" s="2">
        <v>0</v>
      </c>
      <c r="BE4475" s="2">
        <v>0</v>
      </c>
      <c r="BF4475" s="2">
        <v>0</v>
      </c>
      <c r="BG4475" s="2">
        <v>0</v>
      </c>
      <c r="BH4475" s="2">
        <v>1</v>
      </c>
      <c r="BI4475" s="2">
        <v>1</v>
      </c>
      <c r="BJ4475" s="2">
        <v>0.2</v>
      </c>
      <c r="BK4475" s="2">
        <v>1</v>
      </c>
      <c r="BL4475" s="2">
        <v>58.28</v>
      </c>
      <c r="BM4475" s="2">
        <v>8.16</v>
      </c>
      <c r="BN4475" s="2">
        <v>66.44</v>
      </c>
      <c r="BO4475" s="2">
        <v>66.44</v>
      </c>
      <c r="BP4475" s="2"/>
      <c r="BQ4475" s="2" t="s">
        <v>108</v>
      </c>
      <c r="BR4475" s="2" t="s">
        <v>84</v>
      </c>
      <c r="BS4475" s="3">
        <v>42951</v>
      </c>
      <c r="BT4475" s="4">
        <v>0.4375</v>
      </c>
      <c r="BU4475" s="2" t="s">
        <v>2328</v>
      </c>
      <c r="BV4475" s="2" t="s">
        <v>95</v>
      </c>
      <c r="BW4475" s="2"/>
      <c r="BX4475" s="2"/>
      <c r="BY4475" s="2">
        <v>1200</v>
      </c>
      <c r="BZ4475" s="2" t="s">
        <v>27</v>
      </c>
      <c r="CA4475" s="2" t="s">
        <v>2188</v>
      </c>
      <c r="CB4475" s="2"/>
      <c r="CC4475" s="2" t="s">
        <v>724</v>
      </c>
      <c r="CD4475" s="2">
        <v>1739</v>
      </c>
      <c r="CE4475" s="2" t="s">
        <v>104</v>
      </c>
      <c r="CF4475" s="5">
        <v>42954</v>
      </c>
      <c r="CG4475" s="2"/>
      <c r="CH4475" s="2"/>
      <c r="CI4475" s="2">
        <v>1</v>
      </c>
      <c r="CJ4475" s="2">
        <v>1</v>
      </c>
      <c r="CK4475" s="2">
        <v>24</v>
      </c>
      <c r="CL4475" s="2" t="s">
        <v>86</v>
      </c>
      <c r="CM4475" s="2"/>
    </row>
    <row r="4476" spans="1:91">
      <c r="A4476" s="2" t="s">
        <v>71</v>
      </c>
      <c r="B4476" s="2" t="s">
        <v>72</v>
      </c>
      <c r="C4476" s="2" t="s">
        <v>73</v>
      </c>
      <c r="D4476" s="2"/>
      <c r="E4476" s="2" t="str">
        <f>"FES1162566698"</f>
        <v>FES1162566698</v>
      </c>
      <c r="F4476" s="3">
        <v>42950</v>
      </c>
      <c r="G4476" s="2">
        <v>201802</v>
      </c>
      <c r="H4476" s="2" t="s">
        <v>74</v>
      </c>
      <c r="I4476" s="2" t="s">
        <v>75</v>
      </c>
      <c r="J4476" s="2" t="s">
        <v>76</v>
      </c>
      <c r="K4476" s="2" t="s">
        <v>77</v>
      </c>
      <c r="L4476" s="2" t="s">
        <v>144</v>
      </c>
      <c r="M4476" s="2" t="s">
        <v>145</v>
      </c>
      <c r="N4476" s="2" t="s">
        <v>1711</v>
      </c>
      <c r="O4476" s="2" t="s">
        <v>100</v>
      </c>
      <c r="P4476" s="2" t="str">
        <f>"2170582460                    "</f>
        <v xml:space="preserve">2170582460                    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3.13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0</v>
      </c>
      <c r="AU4476" s="2">
        <v>0</v>
      </c>
      <c r="AV4476" s="2">
        <v>0</v>
      </c>
      <c r="AW4476" s="2">
        <v>0</v>
      </c>
      <c r="AX4476" s="2">
        <v>0</v>
      </c>
      <c r="AY4476" s="2">
        <v>0</v>
      </c>
      <c r="AZ4476" s="2">
        <v>0</v>
      </c>
      <c r="BA4476" s="2">
        <v>0</v>
      </c>
      <c r="BB4476" s="2">
        <v>0</v>
      </c>
      <c r="BC4476" s="2">
        <v>0</v>
      </c>
      <c r="BD4476" s="2">
        <v>0</v>
      </c>
      <c r="BE4476" s="2">
        <v>0</v>
      </c>
      <c r="BF4476" s="2">
        <v>0</v>
      </c>
      <c r="BG4476" s="2">
        <v>0</v>
      </c>
      <c r="BH4476" s="2">
        <v>1</v>
      </c>
      <c r="BI4476" s="2">
        <v>1</v>
      </c>
      <c r="BJ4476" s="2">
        <v>0.2</v>
      </c>
      <c r="BK4476" s="2">
        <v>1</v>
      </c>
      <c r="BL4476" s="2">
        <v>32.380000000000003</v>
      </c>
      <c r="BM4476" s="2">
        <v>4.53</v>
      </c>
      <c r="BN4476" s="2">
        <v>36.909999999999997</v>
      </c>
      <c r="BO4476" s="2">
        <v>36.909999999999997</v>
      </c>
      <c r="BP4476" s="2"/>
      <c r="BQ4476" s="2" t="s">
        <v>1712</v>
      </c>
      <c r="BR4476" s="2" t="s">
        <v>84</v>
      </c>
      <c r="BS4476" s="3">
        <v>42951</v>
      </c>
      <c r="BT4476" s="4">
        <v>0.37847222222222227</v>
      </c>
      <c r="BU4476" s="2" t="s">
        <v>1360</v>
      </c>
      <c r="BV4476" s="2" t="s">
        <v>95</v>
      </c>
      <c r="BW4476" s="2"/>
      <c r="BX4476" s="2"/>
      <c r="BY4476" s="2">
        <v>1200</v>
      </c>
      <c r="BZ4476" s="2" t="s">
        <v>27</v>
      </c>
      <c r="CA4476" s="2" t="s">
        <v>1296</v>
      </c>
      <c r="CB4476" s="2"/>
      <c r="CC4476" s="2" t="s">
        <v>145</v>
      </c>
      <c r="CD4476" s="2">
        <v>2091</v>
      </c>
      <c r="CE4476" s="2" t="s">
        <v>104</v>
      </c>
      <c r="CF4476" s="5">
        <v>42954</v>
      </c>
      <c r="CG4476" s="2"/>
      <c r="CH4476" s="2"/>
      <c r="CI4476" s="2">
        <v>1</v>
      </c>
      <c r="CJ4476" s="2">
        <v>1</v>
      </c>
      <c r="CK4476" s="2">
        <v>22</v>
      </c>
      <c r="CL4476" s="2" t="s">
        <v>86</v>
      </c>
      <c r="CM4476" s="2"/>
    </row>
    <row r="4477" spans="1:91">
      <c r="A4477" s="2" t="s">
        <v>71</v>
      </c>
      <c r="B4477" s="2" t="s">
        <v>72</v>
      </c>
      <c r="C4477" s="2" t="s">
        <v>73</v>
      </c>
      <c r="D4477" s="2"/>
      <c r="E4477" s="2" t="str">
        <f>"FES1162566755"</f>
        <v>FES1162566755</v>
      </c>
      <c r="F4477" s="3">
        <v>42950</v>
      </c>
      <c r="G4477" s="2">
        <v>201802</v>
      </c>
      <c r="H4477" s="2" t="s">
        <v>74</v>
      </c>
      <c r="I4477" s="2" t="s">
        <v>75</v>
      </c>
      <c r="J4477" s="2" t="s">
        <v>76</v>
      </c>
      <c r="K4477" s="2" t="s">
        <v>77</v>
      </c>
      <c r="L4477" s="2" t="s">
        <v>4044</v>
      </c>
      <c r="M4477" s="2" t="s">
        <v>4045</v>
      </c>
      <c r="N4477" s="2" t="s">
        <v>475</v>
      </c>
      <c r="O4477" s="2" t="s">
        <v>100</v>
      </c>
      <c r="P4477" s="2" t="str">
        <f>"2170579737                    "</f>
        <v xml:space="preserve">2170579737                    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7.75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0</v>
      </c>
      <c r="AU4477" s="2">
        <v>0</v>
      </c>
      <c r="AV4477" s="2">
        <v>0</v>
      </c>
      <c r="AW4477" s="2">
        <v>0</v>
      </c>
      <c r="AX4477" s="2">
        <v>0</v>
      </c>
      <c r="AY4477" s="2">
        <v>0</v>
      </c>
      <c r="AZ4477" s="2">
        <v>0</v>
      </c>
      <c r="BA4477" s="2">
        <v>0</v>
      </c>
      <c r="BB4477" s="2">
        <v>0</v>
      </c>
      <c r="BC4477" s="2">
        <v>0</v>
      </c>
      <c r="BD4477" s="2">
        <v>0</v>
      </c>
      <c r="BE4477" s="2">
        <v>0</v>
      </c>
      <c r="BF4477" s="2">
        <v>0</v>
      </c>
      <c r="BG4477" s="2">
        <v>0</v>
      </c>
      <c r="BH4477" s="2">
        <v>1</v>
      </c>
      <c r="BI4477" s="2">
        <v>1.3</v>
      </c>
      <c r="BJ4477" s="2">
        <v>1.7</v>
      </c>
      <c r="BK4477" s="2">
        <v>2</v>
      </c>
      <c r="BL4477" s="2">
        <v>80.290000000000006</v>
      </c>
      <c r="BM4477" s="2">
        <v>11.24</v>
      </c>
      <c r="BN4477" s="2">
        <v>91.53</v>
      </c>
      <c r="BO4477" s="2">
        <v>91.53</v>
      </c>
      <c r="BP4477" s="2"/>
      <c r="BQ4477" s="2" t="s">
        <v>83</v>
      </c>
      <c r="BR4477" s="2" t="s">
        <v>84</v>
      </c>
      <c r="BS4477" s="3">
        <v>42955</v>
      </c>
      <c r="BT4477" s="4">
        <v>0.54166666666666663</v>
      </c>
      <c r="BU4477" s="2" t="s">
        <v>4046</v>
      </c>
      <c r="BV4477" s="2" t="s">
        <v>86</v>
      </c>
      <c r="BW4477" s="2" t="s">
        <v>336</v>
      </c>
      <c r="BX4477" s="2" t="s">
        <v>4047</v>
      </c>
      <c r="BY4477" s="2">
        <v>8411.6299999999992</v>
      </c>
      <c r="BZ4477" s="2" t="s">
        <v>27</v>
      </c>
      <c r="CA4477" s="2" t="s">
        <v>4048</v>
      </c>
      <c r="CB4477" s="2"/>
      <c r="CC4477" s="2" t="s">
        <v>4045</v>
      </c>
      <c r="CD4477" s="2">
        <v>600</v>
      </c>
      <c r="CE4477" s="2" t="s">
        <v>89</v>
      </c>
      <c r="CF4477" s="5">
        <v>42958</v>
      </c>
      <c r="CG4477" s="2"/>
      <c r="CH4477" s="2"/>
      <c r="CI4477" s="2">
        <v>1</v>
      </c>
      <c r="CJ4477" s="2">
        <v>3</v>
      </c>
      <c r="CK4477" s="2">
        <v>23</v>
      </c>
      <c r="CL4477" s="2" t="s">
        <v>86</v>
      </c>
      <c r="CM4477" s="2"/>
    </row>
    <row r="4478" spans="1:91">
      <c r="A4478" s="2" t="s">
        <v>71</v>
      </c>
      <c r="B4478" s="2" t="s">
        <v>72</v>
      </c>
      <c r="C4478" s="2" t="s">
        <v>73</v>
      </c>
      <c r="D4478" s="2"/>
      <c r="E4478" s="2" t="str">
        <f>"FES1162566663"</f>
        <v>FES1162566663</v>
      </c>
      <c r="F4478" s="3">
        <v>42950</v>
      </c>
      <c r="G4478" s="2">
        <v>201802</v>
      </c>
      <c r="H4478" s="2" t="s">
        <v>74</v>
      </c>
      <c r="I4478" s="2" t="s">
        <v>75</v>
      </c>
      <c r="J4478" s="2" t="s">
        <v>76</v>
      </c>
      <c r="K4478" s="2" t="s">
        <v>77</v>
      </c>
      <c r="L4478" s="2" t="s">
        <v>105</v>
      </c>
      <c r="M4478" s="2" t="s">
        <v>106</v>
      </c>
      <c r="N4478" s="2" t="s">
        <v>705</v>
      </c>
      <c r="O4478" s="2" t="s">
        <v>100</v>
      </c>
      <c r="P4478" s="2" t="str">
        <f>"2170579567                    "</f>
        <v xml:space="preserve">2170579567                    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4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0</v>
      </c>
      <c r="AU4478" s="2">
        <v>0</v>
      </c>
      <c r="AV4478" s="2">
        <v>0</v>
      </c>
      <c r="AW4478" s="2">
        <v>0</v>
      </c>
      <c r="AX4478" s="2">
        <v>0</v>
      </c>
      <c r="AY4478" s="2">
        <v>0</v>
      </c>
      <c r="AZ4478" s="2">
        <v>0</v>
      </c>
      <c r="BA4478" s="2">
        <v>0</v>
      </c>
      <c r="BB4478" s="2">
        <v>0</v>
      </c>
      <c r="BC4478" s="2">
        <v>0</v>
      </c>
      <c r="BD4478" s="2">
        <v>0</v>
      </c>
      <c r="BE4478" s="2">
        <v>0</v>
      </c>
      <c r="BF4478" s="2">
        <v>0</v>
      </c>
      <c r="BG4478" s="2">
        <v>0</v>
      </c>
      <c r="BH4478" s="2">
        <v>1</v>
      </c>
      <c r="BI4478" s="2">
        <v>1.5</v>
      </c>
      <c r="BJ4478" s="2">
        <v>1.4</v>
      </c>
      <c r="BK4478" s="2">
        <v>1.5</v>
      </c>
      <c r="BL4478" s="2">
        <v>41.44</v>
      </c>
      <c r="BM4478" s="2">
        <v>5.8</v>
      </c>
      <c r="BN4478" s="2">
        <v>47.24</v>
      </c>
      <c r="BO4478" s="2">
        <v>47.24</v>
      </c>
      <c r="BP4478" s="2"/>
      <c r="BQ4478" s="2" t="s">
        <v>108</v>
      </c>
      <c r="BR4478" s="2" t="s">
        <v>84</v>
      </c>
      <c r="BS4478" s="3">
        <v>42951</v>
      </c>
      <c r="BT4478" s="4">
        <v>0.375</v>
      </c>
      <c r="BU4478" s="2" t="s">
        <v>1690</v>
      </c>
      <c r="BV4478" s="2" t="s">
        <v>95</v>
      </c>
      <c r="BW4478" s="2"/>
      <c r="BX4478" s="2"/>
      <c r="BY4478" s="2">
        <v>6915.29</v>
      </c>
      <c r="BZ4478" s="2" t="s">
        <v>27</v>
      </c>
      <c r="CA4478" s="2" t="s">
        <v>488</v>
      </c>
      <c r="CB4478" s="2"/>
      <c r="CC4478" s="2" t="s">
        <v>106</v>
      </c>
      <c r="CD4478" s="2">
        <v>7441</v>
      </c>
      <c r="CE4478" s="2" t="s">
        <v>89</v>
      </c>
      <c r="CF4478" s="5">
        <v>42951</v>
      </c>
      <c r="CG4478" s="2"/>
      <c r="CH4478" s="2"/>
      <c r="CI4478" s="2">
        <v>1</v>
      </c>
      <c r="CJ4478" s="2">
        <v>1</v>
      </c>
      <c r="CK4478" s="2">
        <v>21</v>
      </c>
      <c r="CL4478" s="2" t="s">
        <v>86</v>
      </c>
      <c r="CM4478" s="2"/>
    </row>
    <row r="4479" spans="1:91">
      <c r="A4479" s="2" t="s">
        <v>71</v>
      </c>
      <c r="B4479" s="2" t="s">
        <v>72</v>
      </c>
      <c r="C4479" s="2" t="s">
        <v>73</v>
      </c>
      <c r="D4479" s="2"/>
      <c r="E4479" s="2" t="str">
        <f>"FES1162566582"</f>
        <v>FES1162566582</v>
      </c>
      <c r="F4479" s="3">
        <v>42950</v>
      </c>
      <c r="G4479" s="2">
        <v>201802</v>
      </c>
      <c r="H4479" s="2" t="s">
        <v>74</v>
      </c>
      <c r="I4479" s="2" t="s">
        <v>75</v>
      </c>
      <c r="J4479" s="2" t="s">
        <v>76</v>
      </c>
      <c r="K4479" s="2" t="s">
        <v>77</v>
      </c>
      <c r="L4479" s="2" t="s">
        <v>74</v>
      </c>
      <c r="M4479" s="2" t="s">
        <v>75</v>
      </c>
      <c r="N4479" s="2" t="s">
        <v>821</v>
      </c>
      <c r="O4479" s="2" t="s">
        <v>100</v>
      </c>
      <c r="P4479" s="2" t="str">
        <f>"2170581168                    "</f>
        <v xml:space="preserve">2170581168                    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3.13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0</v>
      </c>
      <c r="AU4479" s="2">
        <v>0</v>
      </c>
      <c r="AV4479" s="2">
        <v>0</v>
      </c>
      <c r="AW4479" s="2">
        <v>0</v>
      </c>
      <c r="AX4479" s="2">
        <v>0</v>
      </c>
      <c r="AY4479" s="2">
        <v>0</v>
      </c>
      <c r="AZ4479" s="2">
        <v>0</v>
      </c>
      <c r="BA4479" s="2">
        <v>0</v>
      </c>
      <c r="BB4479" s="2">
        <v>0</v>
      </c>
      <c r="BC4479" s="2">
        <v>0</v>
      </c>
      <c r="BD4479" s="2">
        <v>0</v>
      </c>
      <c r="BE4479" s="2">
        <v>0</v>
      </c>
      <c r="BF4479" s="2">
        <v>0</v>
      </c>
      <c r="BG4479" s="2">
        <v>0</v>
      </c>
      <c r="BH4479" s="2">
        <v>1</v>
      </c>
      <c r="BI4479" s="2">
        <v>1</v>
      </c>
      <c r="BJ4479" s="2">
        <v>0.2</v>
      </c>
      <c r="BK4479" s="2">
        <v>1</v>
      </c>
      <c r="BL4479" s="2">
        <v>32.380000000000003</v>
      </c>
      <c r="BM4479" s="2">
        <v>4.53</v>
      </c>
      <c r="BN4479" s="2">
        <v>36.909999999999997</v>
      </c>
      <c r="BO4479" s="2">
        <v>36.909999999999997</v>
      </c>
      <c r="BP4479" s="2"/>
      <c r="BQ4479" s="2" t="s">
        <v>83</v>
      </c>
      <c r="BR4479" s="2" t="s">
        <v>84</v>
      </c>
      <c r="BS4479" s="3">
        <v>42951</v>
      </c>
      <c r="BT4479" s="4">
        <v>0.32708333333333334</v>
      </c>
      <c r="BU4479" s="2" t="s">
        <v>1435</v>
      </c>
      <c r="BV4479" s="2" t="s">
        <v>95</v>
      </c>
      <c r="BW4479" s="2"/>
      <c r="BX4479" s="2"/>
      <c r="BY4479" s="2">
        <v>1200</v>
      </c>
      <c r="BZ4479" s="2" t="s">
        <v>27</v>
      </c>
      <c r="CA4479" s="2"/>
      <c r="CB4479" s="2"/>
      <c r="CC4479" s="2" t="s">
        <v>75</v>
      </c>
      <c r="CD4479" s="2">
        <v>1665</v>
      </c>
      <c r="CE4479" s="2" t="s">
        <v>104</v>
      </c>
      <c r="CF4479" s="5">
        <v>42954</v>
      </c>
      <c r="CG4479" s="2"/>
      <c r="CH4479" s="2"/>
      <c r="CI4479" s="2">
        <v>1</v>
      </c>
      <c r="CJ4479" s="2">
        <v>1</v>
      </c>
      <c r="CK4479" s="2">
        <v>22</v>
      </c>
      <c r="CL4479" s="2" t="s">
        <v>86</v>
      </c>
      <c r="CM4479" s="2"/>
    </row>
    <row r="4480" spans="1:91">
      <c r="A4480" s="2" t="s">
        <v>71</v>
      </c>
      <c r="B4480" s="2" t="s">
        <v>72</v>
      </c>
      <c r="C4480" s="2" t="s">
        <v>73</v>
      </c>
      <c r="D4480" s="2"/>
      <c r="E4480" s="2" t="str">
        <f>"FES1162566589"</f>
        <v>FES1162566589</v>
      </c>
      <c r="F4480" s="3">
        <v>42950</v>
      </c>
      <c r="G4480" s="2">
        <v>201802</v>
      </c>
      <c r="H4480" s="2" t="s">
        <v>74</v>
      </c>
      <c r="I4480" s="2" t="s">
        <v>75</v>
      </c>
      <c r="J4480" s="2" t="s">
        <v>76</v>
      </c>
      <c r="K4480" s="2" t="s">
        <v>77</v>
      </c>
      <c r="L4480" s="2" t="s">
        <v>74</v>
      </c>
      <c r="M4480" s="2" t="s">
        <v>75</v>
      </c>
      <c r="N4480" s="2" t="s">
        <v>407</v>
      </c>
      <c r="O4480" s="2" t="s">
        <v>100</v>
      </c>
      <c r="P4480" s="2" t="str">
        <f>"2170582458                    "</f>
        <v xml:space="preserve">2170582458                    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3.13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0</v>
      </c>
      <c r="AU4480" s="2">
        <v>0</v>
      </c>
      <c r="AV4480" s="2">
        <v>0</v>
      </c>
      <c r="AW4480" s="2">
        <v>0</v>
      </c>
      <c r="AX4480" s="2">
        <v>0</v>
      </c>
      <c r="AY4480" s="2">
        <v>0</v>
      </c>
      <c r="AZ4480" s="2">
        <v>0</v>
      </c>
      <c r="BA4480" s="2">
        <v>0</v>
      </c>
      <c r="BB4480" s="2">
        <v>0</v>
      </c>
      <c r="BC4480" s="2">
        <v>0</v>
      </c>
      <c r="BD4480" s="2">
        <v>0</v>
      </c>
      <c r="BE4480" s="2">
        <v>0</v>
      </c>
      <c r="BF4480" s="2">
        <v>0</v>
      </c>
      <c r="BG4480" s="2">
        <v>0</v>
      </c>
      <c r="BH4480" s="2">
        <v>1</v>
      </c>
      <c r="BI4480" s="2">
        <v>1</v>
      </c>
      <c r="BJ4480" s="2">
        <v>0.2</v>
      </c>
      <c r="BK4480" s="2">
        <v>1</v>
      </c>
      <c r="BL4480" s="2">
        <v>32.380000000000003</v>
      </c>
      <c r="BM4480" s="2">
        <v>4.53</v>
      </c>
      <c r="BN4480" s="2">
        <v>36.909999999999997</v>
      </c>
      <c r="BO4480" s="2">
        <v>36.909999999999997</v>
      </c>
      <c r="BP4480" s="2"/>
      <c r="BQ4480" s="2" t="s">
        <v>108</v>
      </c>
      <c r="BR4480" s="2" t="s">
        <v>84</v>
      </c>
      <c r="BS4480" s="3">
        <v>42951</v>
      </c>
      <c r="BT4480" s="4">
        <v>0.35972222222222222</v>
      </c>
      <c r="BU4480" s="2" t="s">
        <v>1872</v>
      </c>
      <c r="BV4480" s="2" t="s">
        <v>95</v>
      </c>
      <c r="BW4480" s="2"/>
      <c r="BX4480" s="2"/>
      <c r="BY4480" s="2">
        <v>1200</v>
      </c>
      <c r="BZ4480" s="2" t="s">
        <v>27</v>
      </c>
      <c r="CA4480" s="2" t="s">
        <v>267</v>
      </c>
      <c r="CB4480" s="2"/>
      <c r="CC4480" s="2" t="s">
        <v>75</v>
      </c>
      <c r="CD4480" s="2">
        <v>1645</v>
      </c>
      <c r="CE4480" s="2" t="s">
        <v>104</v>
      </c>
      <c r="CF4480" s="5">
        <v>42954</v>
      </c>
      <c r="CG4480" s="2"/>
      <c r="CH4480" s="2"/>
      <c r="CI4480" s="2">
        <v>1</v>
      </c>
      <c r="CJ4480" s="2">
        <v>1</v>
      </c>
      <c r="CK4480" s="2">
        <v>22</v>
      </c>
      <c r="CL4480" s="2" t="s">
        <v>86</v>
      </c>
      <c r="CM4480" s="2"/>
    </row>
    <row r="4481" spans="1:91">
      <c r="A4481" s="2" t="s">
        <v>71</v>
      </c>
      <c r="B4481" s="2" t="s">
        <v>72</v>
      </c>
      <c r="C4481" s="2" t="s">
        <v>73</v>
      </c>
      <c r="D4481" s="2"/>
      <c r="E4481" s="2" t="str">
        <f>"FES1162566591"</f>
        <v>FES1162566591</v>
      </c>
      <c r="F4481" s="3">
        <v>42950</v>
      </c>
      <c r="G4481" s="2">
        <v>201802</v>
      </c>
      <c r="H4481" s="2" t="s">
        <v>74</v>
      </c>
      <c r="I4481" s="2" t="s">
        <v>75</v>
      </c>
      <c r="J4481" s="2" t="s">
        <v>76</v>
      </c>
      <c r="K4481" s="2" t="s">
        <v>77</v>
      </c>
      <c r="L4481" s="2" t="s">
        <v>105</v>
      </c>
      <c r="M4481" s="2" t="s">
        <v>106</v>
      </c>
      <c r="N4481" s="2" t="s">
        <v>2094</v>
      </c>
      <c r="O4481" s="2" t="s">
        <v>100</v>
      </c>
      <c r="P4481" s="2" t="str">
        <f>"2170582934                    "</f>
        <v xml:space="preserve">2170582934                    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4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0</v>
      </c>
      <c r="AU4481" s="2">
        <v>0</v>
      </c>
      <c r="AV4481" s="2">
        <v>0</v>
      </c>
      <c r="AW4481" s="2">
        <v>0</v>
      </c>
      <c r="AX4481" s="2">
        <v>0</v>
      </c>
      <c r="AY4481" s="2">
        <v>0</v>
      </c>
      <c r="AZ4481" s="2">
        <v>0</v>
      </c>
      <c r="BA4481" s="2">
        <v>0</v>
      </c>
      <c r="BB4481" s="2">
        <v>0</v>
      </c>
      <c r="BC4481" s="2">
        <v>0</v>
      </c>
      <c r="BD4481" s="2">
        <v>0</v>
      </c>
      <c r="BE4481" s="2">
        <v>0</v>
      </c>
      <c r="BF4481" s="2">
        <v>0</v>
      </c>
      <c r="BG4481" s="2">
        <v>0</v>
      </c>
      <c r="BH4481" s="2">
        <v>1</v>
      </c>
      <c r="BI4481" s="2">
        <v>1</v>
      </c>
      <c r="BJ4481" s="2">
        <v>1.5</v>
      </c>
      <c r="BK4481" s="2">
        <v>1.5</v>
      </c>
      <c r="BL4481" s="2">
        <v>41.44</v>
      </c>
      <c r="BM4481" s="2">
        <v>5.8</v>
      </c>
      <c r="BN4481" s="2">
        <v>47.24</v>
      </c>
      <c r="BO4481" s="2">
        <v>47.24</v>
      </c>
      <c r="BP4481" s="2"/>
      <c r="BQ4481" s="2" t="s">
        <v>83</v>
      </c>
      <c r="BR4481" s="2" t="s">
        <v>84</v>
      </c>
      <c r="BS4481" s="3">
        <v>42951</v>
      </c>
      <c r="BT4481" s="4">
        <v>0.47222222222222227</v>
      </c>
      <c r="BU4481" s="2" t="s">
        <v>508</v>
      </c>
      <c r="BV4481" s="2" t="s">
        <v>86</v>
      </c>
      <c r="BW4481" s="2"/>
      <c r="BX4481" s="2"/>
      <c r="BY4481" s="2">
        <v>7298.8</v>
      </c>
      <c r="BZ4481" s="2" t="s">
        <v>27</v>
      </c>
      <c r="CA4481" s="2"/>
      <c r="CB4481" s="2"/>
      <c r="CC4481" s="2" t="s">
        <v>106</v>
      </c>
      <c r="CD4481" s="2">
        <v>7405</v>
      </c>
      <c r="CE4481" s="2" t="s">
        <v>89</v>
      </c>
      <c r="CF4481" s="5">
        <v>42954</v>
      </c>
      <c r="CG4481" s="2"/>
      <c r="CH4481" s="2"/>
      <c r="CI4481" s="2">
        <v>1</v>
      </c>
      <c r="CJ4481" s="2">
        <v>1</v>
      </c>
      <c r="CK4481" s="2">
        <v>21</v>
      </c>
      <c r="CL4481" s="2" t="s">
        <v>86</v>
      </c>
      <c r="CM4481" s="2"/>
    </row>
    <row r="4482" spans="1:91">
      <c r="A4482" s="2" t="s">
        <v>71</v>
      </c>
      <c r="B4482" s="2" t="s">
        <v>72</v>
      </c>
      <c r="C4482" s="2" t="s">
        <v>73</v>
      </c>
      <c r="D4482" s="2"/>
      <c r="E4482" s="2" t="str">
        <f>"FES1162566581"</f>
        <v>FES1162566581</v>
      </c>
      <c r="F4482" s="3">
        <v>42950</v>
      </c>
      <c r="G4482" s="2">
        <v>201802</v>
      </c>
      <c r="H4482" s="2" t="s">
        <v>74</v>
      </c>
      <c r="I4482" s="2" t="s">
        <v>75</v>
      </c>
      <c r="J4482" s="2" t="s">
        <v>76</v>
      </c>
      <c r="K4482" s="2" t="s">
        <v>77</v>
      </c>
      <c r="L4482" s="2" t="s">
        <v>74</v>
      </c>
      <c r="M4482" s="2" t="s">
        <v>75</v>
      </c>
      <c r="N4482" s="2" t="s">
        <v>407</v>
      </c>
      <c r="O4482" s="2" t="s">
        <v>100</v>
      </c>
      <c r="P4482" s="2" t="str">
        <f>"2170581065                    "</f>
        <v xml:space="preserve">2170581065                    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0</v>
      </c>
      <c r="Z4482" s="2">
        <v>0</v>
      </c>
      <c r="AA4482" s="2">
        <v>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3.13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0</v>
      </c>
      <c r="AU4482" s="2">
        <v>0</v>
      </c>
      <c r="AV4482" s="2">
        <v>0</v>
      </c>
      <c r="AW4482" s="2">
        <v>0</v>
      </c>
      <c r="AX4482" s="2">
        <v>0</v>
      </c>
      <c r="AY4482" s="2">
        <v>0</v>
      </c>
      <c r="AZ4482" s="2">
        <v>0</v>
      </c>
      <c r="BA4482" s="2">
        <v>0</v>
      </c>
      <c r="BB4482" s="2">
        <v>0</v>
      </c>
      <c r="BC4482" s="2">
        <v>0</v>
      </c>
      <c r="BD4482" s="2">
        <v>0</v>
      </c>
      <c r="BE4482" s="2">
        <v>0</v>
      </c>
      <c r="BF4482" s="2">
        <v>0</v>
      </c>
      <c r="BG4482" s="2">
        <v>0</v>
      </c>
      <c r="BH4482" s="2">
        <v>1</v>
      </c>
      <c r="BI4482" s="2">
        <v>1</v>
      </c>
      <c r="BJ4482" s="2">
        <v>0.2</v>
      </c>
      <c r="BK4482" s="2">
        <v>1</v>
      </c>
      <c r="BL4482" s="2">
        <v>32.380000000000003</v>
      </c>
      <c r="BM4482" s="2">
        <v>4.53</v>
      </c>
      <c r="BN4482" s="2">
        <v>36.909999999999997</v>
      </c>
      <c r="BO4482" s="2">
        <v>36.909999999999997</v>
      </c>
      <c r="BP4482" s="2"/>
      <c r="BQ4482" s="2" t="s">
        <v>108</v>
      </c>
      <c r="BR4482" s="2" t="s">
        <v>84</v>
      </c>
      <c r="BS4482" s="3">
        <v>42951</v>
      </c>
      <c r="BT4482" s="4">
        <v>0.35902777777777778</v>
      </c>
      <c r="BU4482" s="2" t="s">
        <v>1872</v>
      </c>
      <c r="BV4482" s="2" t="s">
        <v>95</v>
      </c>
      <c r="BW4482" s="2"/>
      <c r="BX4482" s="2"/>
      <c r="BY4482" s="2">
        <v>1200</v>
      </c>
      <c r="BZ4482" s="2" t="s">
        <v>27</v>
      </c>
      <c r="CA4482" s="2" t="s">
        <v>267</v>
      </c>
      <c r="CB4482" s="2"/>
      <c r="CC4482" s="2" t="s">
        <v>75</v>
      </c>
      <c r="CD4482" s="2">
        <v>1645</v>
      </c>
      <c r="CE4482" s="2" t="s">
        <v>104</v>
      </c>
      <c r="CF4482" s="5">
        <v>42954</v>
      </c>
      <c r="CG4482" s="2"/>
      <c r="CH4482" s="2"/>
      <c r="CI4482" s="2">
        <v>1</v>
      </c>
      <c r="CJ4482" s="2">
        <v>1</v>
      </c>
      <c r="CK4482" s="2">
        <v>22</v>
      </c>
      <c r="CL4482" s="2" t="s">
        <v>86</v>
      </c>
      <c r="CM4482" s="2"/>
    </row>
    <row r="4483" spans="1:91">
      <c r="A4483" s="2" t="s">
        <v>71</v>
      </c>
      <c r="B4483" s="2" t="s">
        <v>72</v>
      </c>
      <c r="C4483" s="2" t="s">
        <v>73</v>
      </c>
      <c r="D4483" s="2"/>
      <c r="E4483" s="2" t="str">
        <f>"FES1162566592"</f>
        <v>FES1162566592</v>
      </c>
      <c r="F4483" s="3">
        <v>42950</v>
      </c>
      <c r="G4483" s="2">
        <v>201802</v>
      </c>
      <c r="H4483" s="2" t="s">
        <v>74</v>
      </c>
      <c r="I4483" s="2" t="s">
        <v>75</v>
      </c>
      <c r="J4483" s="2" t="s">
        <v>76</v>
      </c>
      <c r="K4483" s="2" t="s">
        <v>77</v>
      </c>
      <c r="L4483" s="2" t="s">
        <v>144</v>
      </c>
      <c r="M4483" s="2" t="s">
        <v>145</v>
      </c>
      <c r="N4483" s="2" t="s">
        <v>146</v>
      </c>
      <c r="O4483" s="2" t="s">
        <v>100</v>
      </c>
      <c r="P4483" s="2" t="str">
        <f>"2170582935                    "</f>
        <v xml:space="preserve">2170582935                    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3.13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0</v>
      </c>
      <c r="AU4483" s="2">
        <v>0</v>
      </c>
      <c r="AV4483" s="2">
        <v>0</v>
      </c>
      <c r="AW4483" s="2">
        <v>0</v>
      </c>
      <c r="AX4483" s="2">
        <v>0</v>
      </c>
      <c r="AY4483" s="2">
        <v>0</v>
      </c>
      <c r="AZ4483" s="2">
        <v>0</v>
      </c>
      <c r="BA4483" s="2">
        <v>0</v>
      </c>
      <c r="BB4483" s="2">
        <v>0</v>
      </c>
      <c r="BC4483" s="2">
        <v>0</v>
      </c>
      <c r="BD4483" s="2">
        <v>0</v>
      </c>
      <c r="BE4483" s="2">
        <v>0</v>
      </c>
      <c r="BF4483" s="2">
        <v>0</v>
      </c>
      <c r="BG4483" s="2">
        <v>0</v>
      </c>
      <c r="BH4483" s="2">
        <v>1</v>
      </c>
      <c r="BI4483" s="2">
        <v>1</v>
      </c>
      <c r="BJ4483" s="2">
        <v>0.2</v>
      </c>
      <c r="BK4483" s="2">
        <v>1</v>
      </c>
      <c r="BL4483" s="2">
        <v>32.380000000000003</v>
      </c>
      <c r="BM4483" s="2">
        <v>4.53</v>
      </c>
      <c r="BN4483" s="2">
        <v>36.909999999999997</v>
      </c>
      <c r="BO4483" s="2">
        <v>36.909999999999997</v>
      </c>
      <c r="BP4483" s="2"/>
      <c r="BQ4483" s="2" t="s">
        <v>83</v>
      </c>
      <c r="BR4483" s="2" t="s">
        <v>84</v>
      </c>
      <c r="BS4483" s="3">
        <v>42951</v>
      </c>
      <c r="BT4483" s="4">
        <v>0.38541666666666669</v>
      </c>
      <c r="BU4483" s="2" t="s">
        <v>469</v>
      </c>
      <c r="BV4483" s="2" t="s">
        <v>95</v>
      </c>
      <c r="BW4483" s="2"/>
      <c r="BX4483" s="2"/>
      <c r="BY4483" s="2">
        <v>1200</v>
      </c>
      <c r="BZ4483" s="2" t="s">
        <v>27</v>
      </c>
      <c r="CA4483" s="2"/>
      <c r="CB4483" s="2"/>
      <c r="CC4483" s="2" t="s">
        <v>145</v>
      </c>
      <c r="CD4483" s="2">
        <v>2094</v>
      </c>
      <c r="CE4483" s="2" t="s">
        <v>104</v>
      </c>
      <c r="CF4483" s="5">
        <v>42954</v>
      </c>
      <c r="CG4483" s="2"/>
      <c r="CH4483" s="2"/>
      <c r="CI4483" s="2">
        <v>1</v>
      </c>
      <c r="CJ4483" s="2">
        <v>1</v>
      </c>
      <c r="CK4483" s="2">
        <v>22</v>
      </c>
      <c r="CL4483" s="2" t="s">
        <v>86</v>
      </c>
      <c r="CM4483" s="2"/>
    </row>
    <row r="4484" spans="1:91">
      <c r="A4484" s="2" t="s">
        <v>71</v>
      </c>
      <c r="B4484" s="2" t="s">
        <v>72</v>
      </c>
      <c r="C4484" s="2" t="s">
        <v>73</v>
      </c>
      <c r="D4484" s="2"/>
      <c r="E4484" s="2" t="str">
        <f>"FES1162566678"</f>
        <v>FES1162566678</v>
      </c>
      <c r="F4484" s="3">
        <v>42950</v>
      </c>
      <c r="G4484" s="2">
        <v>201802</v>
      </c>
      <c r="H4484" s="2" t="s">
        <v>74</v>
      </c>
      <c r="I4484" s="2" t="s">
        <v>75</v>
      </c>
      <c r="J4484" s="2" t="s">
        <v>76</v>
      </c>
      <c r="K4484" s="2" t="s">
        <v>77</v>
      </c>
      <c r="L4484" s="2" t="s">
        <v>105</v>
      </c>
      <c r="M4484" s="2" t="s">
        <v>106</v>
      </c>
      <c r="N4484" s="2" t="s">
        <v>253</v>
      </c>
      <c r="O4484" s="2" t="s">
        <v>100</v>
      </c>
      <c r="P4484" s="2" t="str">
        <f>"2170582990                    "</f>
        <v xml:space="preserve">2170582990                    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2">
        <v>0</v>
      </c>
      <c r="Z4484" s="2">
        <v>0</v>
      </c>
      <c r="AA4484" s="2">
        <v>0</v>
      </c>
      <c r="AB4484" s="2">
        <v>0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4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0</v>
      </c>
      <c r="AU4484" s="2">
        <v>0</v>
      </c>
      <c r="AV4484" s="2">
        <v>0</v>
      </c>
      <c r="AW4484" s="2">
        <v>0</v>
      </c>
      <c r="AX4484" s="2">
        <v>0</v>
      </c>
      <c r="AY4484" s="2">
        <v>0</v>
      </c>
      <c r="AZ4484" s="2">
        <v>0</v>
      </c>
      <c r="BA4484" s="2">
        <v>0</v>
      </c>
      <c r="BB4484" s="2">
        <v>0</v>
      </c>
      <c r="BC4484" s="2">
        <v>0</v>
      </c>
      <c r="BD4484" s="2">
        <v>0</v>
      </c>
      <c r="BE4484" s="2">
        <v>0</v>
      </c>
      <c r="BF4484" s="2">
        <v>0</v>
      </c>
      <c r="BG4484" s="2">
        <v>0</v>
      </c>
      <c r="BH4484" s="2">
        <v>1</v>
      </c>
      <c r="BI4484" s="2">
        <v>1.3</v>
      </c>
      <c r="BJ4484" s="2">
        <v>2</v>
      </c>
      <c r="BK4484" s="2">
        <v>2</v>
      </c>
      <c r="BL4484" s="2">
        <v>41.44</v>
      </c>
      <c r="BM4484" s="2">
        <v>5.8</v>
      </c>
      <c r="BN4484" s="2">
        <v>47.24</v>
      </c>
      <c r="BO4484" s="2">
        <v>47.24</v>
      </c>
      <c r="BP4484" s="2"/>
      <c r="BQ4484" s="2" t="s">
        <v>108</v>
      </c>
      <c r="BR4484" s="2" t="s">
        <v>84</v>
      </c>
      <c r="BS4484" s="3">
        <v>42951</v>
      </c>
      <c r="BT4484" s="4">
        <v>0.43958333333333338</v>
      </c>
      <c r="BU4484" s="2" t="s">
        <v>1074</v>
      </c>
      <c r="BV4484" s="2" t="s">
        <v>95</v>
      </c>
      <c r="BW4484" s="2"/>
      <c r="BX4484" s="2"/>
      <c r="BY4484" s="2">
        <v>9941.32</v>
      </c>
      <c r="BZ4484" s="2" t="s">
        <v>27</v>
      </c>
      <c r="CA4484" s="2" t="s">
        <v>654</v>
      </c>
      <c r="CB4484" s="2"/>
      <c r="CC4484" s="2" t="s">
        <v>106</v>
      </c>
      <c r="CD4484" s="2">
        <v>7490</v>
      </c>
      <c r="CE4484" s="2" t="s">
        <v>89</v>
      </c>
      <c r="CF4484" s="5">
        <v>42954</v>
      </c>
      <c r="CG4484" s="2"/>
      <c r="CH4484" s="2"/>
      <c r="CI4484" s="2">
        <v>1</v>
      </c>
      <c r="CJ4484" s="2">
        <v>1</v>
      </c>
      <c r="CK4484" s="2">
        <v>21</v>
      </c>
      <c r="CL4484" s="2" t="s">
        <v>86</v>
      </c>
      <c r="CM4484" s="2"/>
    </row>
    <row r="4485" spans="1:91">
      <c r="A4485" s="2" t="s">
        <v>71</v>
      </c>
      <c r="B4485" s="2" t="s">
        <v>72</v>
      </c>
      <c r="C4485" s="2" t="s">
        <v>73</v>
      </c>
      <c r="D4485" s="2"/>
      <c r="E4485" s="2" t="str">
        <f>"FES1162566498"</f>
        <v>FES1162566498</v>
      </c>
      <c r="F4485" s="3">
        <v>42950</v>
      </c>
      <c r="G4485" s="2">
        <v>201802</v>
      </c>
      <c r="H4485" s="2" t="s">
        <v>74</v>
      </c>
      <c r="I4485" s="2" t="s">
        <v>75</v>
      </c>
      <c r="J4485" s="2" t="s">
        <v>76</v>
      </c>
      <c r="K4485" s="2" t="s">
        <v>77</v>
      </c>
      <c r="L4485" s="2" t="s">
        <v>244</v>
      </c>
      <c r="M4485" s="2" t="s">
        <v>245</v>
      </c>
      <c r="N4485" s="2" t="s">
        <v>882</v>
      </c>
      <c r="O4485" s="2" t="s">
        <v>100</v>
      </c>
      <c r="P4485" s="2" t="str">
        <f>"2170582856                    "</f>
        <v xml:space="preserve">2170582856                    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0</v>
      </c>
      <c r="Z4485" s="2">
        <v>0</v>
      </c>
      <c r="AA4485" s="2">
        <v>0</v>
      </c>
      <c r="AB4485" s="2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3.13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0</v>
      </c>
      <c r="AU4485" s="2">
        <v>0</v>
      </c>
      <c r="AV4485" s="2">
        <v>0</v>
      </c>
      <c r="AW4485" s="2">
        <v>0</v>
      </c>
      <c r="AX4485" s="2">
        <v>0</v>
      </c>
      <c r="AY4485" s="2">
        <v>0</v>
      </c>
      <c r="AZ4485" s="2">
        <v>0</v>
      </c>
      <c r="BA4485" s="2">
        <v>0</v>
      </c>
      <c r="BB4485" s="2">
        <v>0</v>
      </c>
      <c r="BC4485" s="2">
        <v>0</v>
      </c>
      <c r="BD4485" s="2">
        <v>0</v>
      </c>
      <c r="BE4485" s="2">
        <v>0</v>
      </c>
      <c r="BF4485" s="2">
        <v>0</v>
      </c>
      <c r="BG4485" s="2">
        <v>0</v>
      </c>
      <c r="BH4485" s="2">
        <v>1</v>
      </c>
      <c r="BI4485" s="2">
        <v>1</v>
      </c>
      <c r="BJ4485" s="2">
        <v>0.2</v>
      </c>
      <c r="BK4485" s="2">
        <v>1</v>
      </c>
      <c r="BL4485" s="2">
        <v>32.380000000000003</v>
      </c>
      <c r="BM4485" s="2">
        <v>4.53</v>
      </c>
      <c r="BN4485" s="2">
        <v>36.909999999999997</v>
      </c>
      <c r="BO4485" s="2">
        <v>36.909999999999997</v>
      </c>
      <c r="BP4485" s="2"/>
      <c r="BQ4485" s="2" t="s">
        <v>108</v>
      </c>
      <c r="BR4485" s="2" t="s">
        <v>84</v>
      </c>
      <c r="BS4485" s="3">
        <v>42951</v>
      </c>
      <c r="BT4485" s="4">
        <v>0.3444444444444445</v>
      </c>
      <c r="BU4485" s="2" t="s">
        <v>3947</v>
      </c>
      <c r="BV4485" s="2" t="s">
        <v>95</v>
      </c>
      <c r="BW4485" s="2"/>
      <c r="BX4485" s="2"/>
      <c r="BY4485" s="2">
        <v>1200</v>
      </c>
      <c r="BZ4485" s="2" t="s">
        <v>27</v>
      </c>
      <c r="CA4485" s="2" t="s">
        <v>148</v>
      </c>
      <c r="CB4485" s="2"/>
      <c r="CC4485" s="2" t="s">
        <v>245</v>
      </c>
      <c r="CD4485" s="2">
        <v>1459</v>
      </c>
      <c r="CE4485" s="2" t="s">
        <v>104</v>
      </c>
      <c r="CF4485" s="5">
        <v>42954</v>
      </c>
      <c r="CG4485" s="2"/>
      <c r="CH4485" s="2"/>
      <c r="CI4485" s="2">
        <v>1</v>
      </c>
      <c r="CJ4485" s="2">
        <v>1</v>
      </c>
      <c r="CK4485" s="2">
        <v>22</v>
      </c>
      <c r="CL4485" s="2" t="s">
        <v>86</v>
      </c>
      <c r="CM4485" s="2"/>
    </row>
    <row r="4486" spans="1:91">
      <c r="A4486" s="2" t="s">
        <v>71</v>
      </c>
      <c r="B4486" s="2" t="s">
        <v>72</v>
      </c>
      <c r="C4486" s="2" t="s">
        <v>73</v>
      </c>
      <c r="D4486" s="2"/>
      <c r="E4486" s="2" t="str">
        <f>"FES1162566518"</f>
        <v>FES1162566518</v>
      </c>
      <c r="F4486" s="3">
        <v>42950</v>
      </c>
      <c r="G4486" s="2">
        <v>201802</v>
      </c>
      <c r="H4486" s="2" t="s">
        <v>74</v>
      </c>
      <c r="I4486" s="2" t="s">
        <v>75</v>
      </c>
      <c r="J4486" s="2" t="s">
        <v>76</v>
      </c>
      <c r="K4486" s="2" t="s">
        <v>77</v>
      </c>
      <c r="L4486" s="2" t="s">
        <v>311</v>
      </c>
      <c r="M4486" s="2" t="s">
        <v>312</v>
      </c>
      <c r="N4486" s="2" t="s">
        <v>2450</v>
      </c>
      <c r="O4486" s="2" t="s">
        <v>100</v>
      </c>
      <c r="P4486" s="2" t="str">
        <f>"2170581980                    "</f>
        <v xml:space="preserve">2170581980                    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3.13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0</v>
      </c>
      <c r="AU4486" s="2">
        <v>0</v>
      </c>
      <c r="AV4486" s="2">
        <v>0</v>
      </c>
      <c r="AW4486" s="2">
        <v>0</v>
      </c>
      <c r="AX4486" s="2">
        <v>0</v>
      </c>
      <c r="AY4486" s="2">
        <v>0</v>
      </c>
      <c r="AZ4486" s="2">
        <v>0</v>
      </c>
      <c r="BA4486" s="2">
        <v>0</v>
      </c>
      <c r="BB4486" s="2">
        <v>0</v>
      </c>
      <c r="BC4486" s="2">
        <v>0</v>
      </c>
      <c r="BD4486" s="2">
        <v>0</v>
      </c>
      <c r="BE4486" s="2">
        <v>0</v>
      </c>
      <c r="BF4486" s="2">
        <v>0</v>
      </c>
      <c r="BG4486" s="2">
        <v>0</v>
      </c>
      <c r="BH4486" s="2">
        <v>1</v>
      </c>
      <c r="BI4486" s="2">
        <v>1</v>
      </c>
      <c r="BJ4486" s="2">
        <v>0.2</v>
      </c>
      <c r="BK4486" s="2">
        <v>1</v>
      </c>
      <c r="BL4486" s="2">
        <v>32.380000000000003</v>
      </c>
      <c r="BM4486" s="2">
        <v>4.53</v>
      </c>
      <c r="BN4486" s="2">
        <v>36.909999999999997</v>
      </c>
      <c r="BO4486" s="2">
        <v>36.909999999999997</v>
      </c>
      <c r="BP4486" s="2"/>
      <c r="BQ4486" s="2" t="s">
        <v>108</v>
      </c>
      <c r="BR4486" s="2" t="s">
        <v>84</v>
      </c>
      <c r="BS4486" s="3">
        <v>42951</v>
      </c>
      <c r="BT4486" s="4">
        <v>0.4375</v>
      </c>
      <c r="BU4486" s="2" t="s">
        <v>4049</v>
      </c>
      <c r="BV4486" s="2" t="s">
        <v>95</v>
      </c>
      <c r="BW4486" s="2"/>
      <c r="BX4486" s="2"/>
      <c r="BY4486" s="2">
        <v>1200</v>
      </c>
      <c r="BZ4486" s="2" t="s">
        <v>27</v>
      </c>
      <c r="CA4486" s="2"/>
      <c r="CB4486" s="2"/>
      <c r="CC4486" s="2" t="s">
        <v>312</v>
      </c>
      <c r="CD4486" s="2">
        <v>1559</v>
      </c>
      <c r="CE4486" s="2" t="s">
        <v>104</v>
      </c>
      <c r="CF4486" s="5">
        <v>42951</v>
      </c>
      <c r="CG4486" s="2"/>
      <c r="CH4486" s="2"/>
      <c r="CI4486" s="2">
        <v>1</v>
      </c>
      <c r="CJ4486" s="2">
        <v>1</v>
      </c>
      <c r="CK4486" s="2">
        <v>22</v>
      </c>
      <c r="CL4486" s="2" t="s">
        <v>86</v>
      </c>
      <c r="CM4486" s="2"/>
    </row>
    <row r="4487" spans="1:91">
      <c r="A4487" s="2" t="s">
        <v>71</v>
      </c>
      <c r="B4487" s="2" t="s">
        <v>72</v>
      </c>
      <c r="C4487" s="2" t="s">
        <v>73</v>
      </c>
      <c r="D4487" s="2"/>
      <c r="E4487" s="2" t="str">
        <f>"FES1162566527"</f>
        <v>FES1162566527</v>
      </c>
      <c r="F4487" s="3">
        <v>42950</v>
      </c>
      <c r="G4487" s="2">
        <v>201802</v>
      </c>
      <c r="H4487" s="2" t="s">
        <v>74</v>
      </c>
      <c r="I4487" s="2" t="s">
        <v>75</v>
      </c>
      <c r="J4487" s="2" t="s">
        <v>76</v>
      </c>
      <c r="K4487" s="2" t="s">
        <v>77</v>
      </c>
      <c r="L4487" s="2" t="s">
        <v>216</v>
      </c>
      <c r="M4487" s="2" t="s">
        <v>217</v>
      </c>
      <c r="N4487" s="2" t="s">
        <v>2337</v>
      </c>
      <c r="O4487" s="2" t="s">
        <v>100</v>
      </c>
      <c r="P4487" s="2" t="str">
        <f>"2170582616                    "</f>
        <v xml:space="preserve">2170582616                    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2">
        <v>0</v>
      </c>
      <c r="AB4487" s="2">
        <v>0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3.13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0</v>
      </c>
      <c r="AU4487" s="2">
        <v>0</v>
      </c>
      <c r="AV4487" s="2">
        <v>0</v>
      </c>
      <c r="AW4487" s="2">
        <v>0</v>
      </c>
      <c r="AX4487" s="2">
        <v>0</v>
      </c>
      <c r="AY4487" s="2">
        <v>0</v>
      </c>
      <c r="AZ4487" s="2">
        <v>0</v>
      </c>
      <c r="BA4487" s="2">
        <v>0</v>
      </c>
      <c r="BB4487" s="2">
        <v>0</v>
      </c>
      <c r="BC4487" s="2">
        <v>0</v>
      </c>
      <c r="BD4487" s="2">
        <v>0</v>
      </c>
      <c r="BE4487" s="2">
        <v>0</v>
      </c>
      <c r="BF4487" s="2">
        <v>0</v>
      </c>
      <c r="BG4487" s="2">
        <v>0</v>
      </c>
      <c r="BH4487" s="2">
        <v>1</v>
      </c>
      <c r="BI4487" s="2">
        <v>1</v>
      </c>
      <c r="BJ4487" s="2">
        <v>0.2</v>
      </c>
      <c r="BK4487" s="2">
        <v>1</v>
      </c>
      <c r="BL4487" s="2">
        <v>32.380000000000003</v>
      </c>
      <c r="BM4487" s="2">
        <v>4.53</v>
      </c>
      <c r="BN4487" s="2">
        <v>36.909999999999997</v>
      </c>
      <c r="BO4487" s="2">
        <v>36.909999999999997</v>
      </c>
      <c r="BP4487" s="2"/>
      <c r="BQ4487" s="2" t="s">
        <v>108</v>
      </c>
      <c r="BR4487" s="2" t="s">
        <v>84</v>
      </c>
      <c r="BS4487" s="3">
        <v>42951</v>
      </c>
      <c r="BT4487" s="4">
        <v>0.40625</v>
      </c>
      <c r="BU4487" s="2" t="s">
        <v>4050</v>
      </c>
      <c r="BV4487" s="2" t="s">
        <v>95</v>
      </c>
      <c r="BW4487" s="2"/>
      <c r="BX4487" s="2"/>
      <c r="BY4487" s="2">
        <v>1200</v>
      </c>
      <c r="BZ4487" s="2" t="s">
        <v>27</v>
      </c>
      <c r="CA4487" s="2"/>
      <c r="CB4487" s="2"/>
      <c r="CC4487" s="2" t="s">
        <v>217</v>
      </c>
      <c r="CD4487" s="2">
        <v>1451</v>
      </c>
      <c r="CE4487" s="2" t="s">
        <v>104</v>
      </c>
      <c r="CF4487" s="5">
        <v>42951</v>
      </c>
      <c r="CG4487" s="2"/>
      <c r="CH4487" s="2"/>
      <c r="CI4487" s="2">
        <v>1</v>
      </c>
      <c r="CJ4487" s="2">
        <v>1</v>
      </c>
      <c r="CK4487" s="2">
        <v>22</v>
      </c>
      <c r="CL4487" s="2" t="s">
        <v>86</v>
      </c>
      <c r="CM4487" s="2"/>
    </row>
    <row r="4488" spans="1:91">
      <c r="A4488" s="2" t="s">
        <v>71</v>
      </c>
      <c r="B4488" s="2" t="s">
        <v>72</v>
      </c>
      <c r="C4488" s="2" t="s">
        <v>73</v>
      </c>
      <c r="D4488" s="2"/>
      <c r="E4488" s="2" t="str">
        <f>"FES1162566429"</f>
        <v>FES1162566429</v>
      </c>
      <c r="F4488" s="3">
        <v>42950</v>
      </c>
      <c r="G4488" s="2">
        <v>201802</v>
      </c>
      <c r="H4488" s="2" t="s">
        <v>74</v>
      </c>
      <c r="I4488" s="2" t="s">
        <v>75</v>
      </c>
      <c r="J4488" s="2" t="s">
        <v>76</v>
      </c>
      <c r="K4488" s="2" t="s">
        <v>77</v>
      </c>
      <c r="L4488" s="2" t="s">
        <v>144</v>
      </c>
      <c r="M4488" s="2" t="s">
        <v>145</v>
      </c>
      <c r="N4488" s="2" t="s">
        <v>3879</v>
      </c>
      <c r="O4488" s="2" t="s">
        <v>100</v>
      </c>
      <c r="P4488" s="2" t="str">
        <f>"2170577515                    "</f>
        <v xml:space="preserve">2170577515                    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3.13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0</v>
      </c>
      <c r="AU4488" s="2">
        <v>0</v>
      </c>
      <c r="AV4488" s="2">
        <v>0</v>
      </c>
      <c r="AW4488" s="2">
        <v>0</v>
      </c>
      <c r="AX4488" s="2">
        <v>0</v>
      </c>
      <c r="AY4488" s="2">
        <v>0</v>
      </c>
      <c r="AZ4488" s="2">
        <v>0</v>
      </c>
      <c r="BA4488" s="2">
        <v>0</v>
      </c>
      <c r="BB4488" s="2">
        <v>0</v>
      </c>
      <c r="BC4488" s="2">
        <v>0</v>
      </c>
      <c r="BD4488" s="2">
        <v>0</v>
      </c>
      <c r="BE4488" s="2">
        <v>0</v>
      </c>
      <c r="BF4488" s="2">
        <v>0</v>
      </c>
      <c r="BG4488" s="2">
        <v>0</v>
      </c>
      <c r="BH4488" s="2">
        <v>1</v>
      </c>
      <c r="BI4488" s="2">
        <v>1</v>
      </c>
      <c r="BJ4488" s="2">
        <v>0.2</v>
      </c>
      <c r="BK4488" s="2">
        <v>1</v>
      </c>
      <c r="BL4488" s="2">
        <v>32.380000000000003</v>
      </c>
      <c r="BM4488" s="2">
        <v>4.53</v>
      </c>
      <c r="BN4488" s="2">
        <v>36.909999999999997</v>
      </c>
      <c r="BO4488" s="2">
        <v>36.909999999999997</v>
      </c>
      <c r="BP4488" s="2"/>
      <c r="BQ4488" s="2" t="s">
        <v>108</v>
      </c>
      <c r="BR4488" s="2" t="s">
        <v>84</v>
      </c>
      <c r="BS4488" s="3">
        <v>42951</v>
      </c>
      <c r="BT4488" s="4">
        <v>0.30694444444444441</v>
      </c>
      <c r="BU4488" s="2" t="s">
        <v>4051</v>
      </c>
      <c r="BV4488" s="2" t="s">
        <v>95</v>
      </c>
      <c r="BW4488" s="2"/>
      <c r="BX4488" s="2"/>
      <c r="BY4488" s="2">
        <v>1200</v>
      </c>
      <c r="BZ4488" s="2" t="s">
        <v>27</v>
      </c>
      <c r="CA4488" s="2" t="s">
        <v>2696</v>
      </c>
      <c r="CB4488" s="2"/>
      <c r="CC4488" s="2" t="s">
        <v>145</v>
      </c>
      <c r="CD4488" s="2">
        <v>2139</v>
      </c>
      <c r="CE4488" s="2" t="s">
        <v>104</v>
      </c>
      <c r="CF4488" s="5">
        <v>42954</v>
      </c>
      <c r="CG4488" s="2"/>
      <c r="CH4488" s="2"/>
      <c r="CI4488" s="2">
        <v>1</v>
      </c>
      <c r="CJ4488" s="2">
        <v>1</v>
      </c>
      <c r="CK4488" s="2">
        <v>22</v>
      </c>
      <c r="CL4488" s="2" t="s">
        <v>86</v>
      </c>
      <c r="CM4488" s="2"/>
    </row>
    <row r="4489" spans="1:91">
      <c r="A4489" s="2" t="s">
        <v>71</v>
      </c>
      <c r="B4489" s="2" t="s">
        <v>72</v>
      </c>
      <c r="C4489" s="2" t="s">
        <v>73</v>
      </c>
      <c r="D4489" s="2"/>
      <c r="E4489" s="2" t="str">
        <f>"FES1162566549"</f>
        <v>FES1162566549</v>
      </c>
      <c r="F4489" s="3">
        <v>42950</v>
      </c>
      <c r="G4489" s="2">
        <v>201802</v>
      </c>
      <c r="H4489" s="2" t="s">
        <v>74</v>
      </c>
      <c r="I4489" s="2" t="s">
        <v>75</v>
      </c>
      <c r="J4489" s="2" t="s">
        <v>76</v>
      </c>
      <c r="K4489" s="2" t="s">
        <v>77</v>
      </c>
      <c r="L4489" s="2" t="s">
        <v>144</v>
      </c>
      <c r="M4489" s="2" t="s">
        <v>145</v>
      </c>
      <c r="N4489" s="2" t="s">
        <v>1578</v>
      </c>
      <c r="O4489" s="2" t="s">
        <v>100</v>
      </c>
      <c r="P4489" s="2" t="str">
        <f>"2170582898                    "</f>
        <v xml:space="preserve">2170582898                    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0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3.13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0</v>
      </c>
      <c r="AU4489" s="2">
        <v>0</v>
      </c>
      <c r="AV4489" s="2">
        <v>0</v>
      </c>
      <c r="AW4489" s="2">
        <v>0</v>
      </c>
      <c r="AX4489" s="2">
        <v>0</v>
      </c>
      <c r="AY4489" s="2">
        <v>0</v>
      </c>
      <c r="AZ4489" s="2">
        <v>0</v>
      </c>
      <c r="BA4489" s="2">
        <v>0</v>
      </c>
      <c r="BB4489" s="2">
        <v>0</v>
      </c>
      <c r="BC4489" s="2">
        <v>0</v>
      </c>
      <c r="BD4489" s="2">
        <v>0</v>
      </c>
      <c r="BE4489" s="2">
        <v>0</v>
      </c>
      <c r="BF4489" s="2">
        <v>0</v>
      </c>
      <c r="BG4489" s="2">
        <v>0</v>
      </c>
      <c r="BH4489" s="2">
        <v>1</v>
      </c>
      <c r="BI4489" s="2">
        <v>7</v>
      </c>
      <c r="BJ4489" s="2">
        <v>4.0999999999999996</v>
      </c>
      <c r="BK4489" s="2">
        <v>7</v>
      </c>
      <c r="BL4489" s="2">
        <v>32.380000000000003</v>
      </c>
      <c r="BM4489" s="2">
        <v>4.53</v>
      </c>
      <c r="BN4489" s="2">
        <v>36.909999999999997</v>
      </c>
      <c r="BO4489" s="2">
        <v>36.909999999999997</v>
      </c>
      <c r="BP4489" s="2"/>
      <c r="BQ4489" s="2" t="s">
        <v>108</v>
      </c>
      <c r="BR4489" s="2" t="s">
        <v>84</v>
      </c>
      <c r="BS4489" s="3">
        <v>42951</v>
      </c>
      <c r="BT4489" s="4">
        <v>0.69930555555555562</v>
      </c>
      <c r="BU4489" s="2" t="s">
        <v>1754</v>
      </c>
      <c r="BV4489" s="2" t="s">
        <v>86</v>
      </c>
      <c r="BW4489" s="2"/>
      <c r="BX4489" s="2"/>
      <c r="BY4489" s="2">
        <v>20358</v>
      </c>
      <c r="BZ4489" s="2" t="s">
        <v>27</v>
      </c>
      <c r="CA4489" s="2"/>
      <c r="CB4489" s="2"/>
      <c r="CC4489" s="2" t="s">
        <v>145</v>
      </c>
      <c r="CD4489" s="2">
        <v>2197</v>
      </c>
      <c r="CE4489" s="2" t="s">
        <v>89</v>
      </c>
      <c r="CF4489" s="5">
        <v>42954</v>
      </c>
      <c r="CG4489" s="2"/>
      <c r="CH4489" s="2"/>
      <c r="CI4489" s="2">
        <v>1</v>
      </c>
      <c r="CJ4489" s="2">
        <v>1</v>
      </c>
      <c r="CK4489" s="2">
        <v>22</v>
      </c>
      <c r="CL4489" s="2" t="s">
        <v>86</v>
      </c>
      <c r="CM4489" s="2"/>
    </row>
    <row r="4490" spans="1:91">
      <c r="A4490" s="2" t="s">
        <v>71</v>
      </c>
      <c r="B4490" s="2" t="s">
        <v>72</v>
      </c>
      <c r="C4490" s="2" t="s">
        <v>73</v>
      </c>
      <c r="D4490" s="2"/>
      <c r="E4490" s="2" t="str">
        <f>"FES1162566323"</f>
        <v>FES1162566323</v>
      </c>
      <c r="F4490" s="3">
        <v>42950</v>
      </c>
      <c r="G4490" s="2">
        <v>201802</v>
      </c>
      <c r="H4490" s="2" t="s">
        <v>74</v>
      </c>
      <c r="I4490" s="2" t="s">
        <v>75</v>
      </c>
      <c r="J4490" s="2" t="s">
        <v>76</v>
      </c>
      <c r="K4490" s="2" t="s">
        <v>77</v>
      </c>
      <c r="L4490" s="2" t="s">
        <v>144</v>
      </c>
      <c r="M4490" s="2" t="s">
        <v>145</v>
      </c>
      <c r="N4490" s="2" t="s">
        <v>146</v>
      </c>
      <c r="O4490" s="2" t="s">
        <v>100</v>
      </c>
      <c r="P4490" s="2" t="str">
        <f>"2170579574                    "</f>
        <v xml:space="preserve">2170579574                    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3.13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2">
        <v>0</v>
      </c>
      <c r="AT4490" s="2">
        <v>0</v>
      </c>
      <c r="AU4490" s="2">
        <v>0</v>
      </c>
      <c r="AV4490" s="2">
        <v>0</v>
      </c>
      <c r="AW4490" s="2">
        <v>0</v>
      </c>
      <c r="AX4490" s="2">
        <v>0</v>
      </c>
      <c r="AY4490" s="2">
        <v>0</v>
      </c>
      <c r="AZ4490" s="2">
        <v>0</v>
      </c>
      <c r="BA4490" s="2">
        <v>0</v>
      </c>
      <c r="BB4490" s="2">
        <v>0</v>
      </c>
      <c r="BC4490" s="2">
        <v>0</v>
      </c>
      <c r="BD4490" s="2">
        <v>0</v>
      </c>
      <c r="BE4490" s="2">
        <v>0</v>
      </c>
      <c r="BF4490" s="2">
        <v>0</v>
      </c>
      <c r="BG4490" s="2">
        <v>0</v>
      </c>
      <c r="BH4490" s="2">
        <v>1</v>
      </c>
      <c r="BI4490" s="2">
        <v>4</v>
      </c>
      <c r="BJ4490" s="2">
        <v>1.7</v>
      </c>
      <c r="BK4490" s="2">
        <v>4</v>
      </c>
      <c r="BL4490" s="2">
        <v>32.380000000000003</v>
      </c>
      <c r="BM4490" s="2">
        <v>4.53</v>
      </c>
      <c r="BN4490" s="2">
        <v>36.909999999999997</v>
      </c>
      <c r="BO4490" s="2">
        <v>36.909999999999997</v>
      </c>
      <c r="BP4490" s="2"/>
      <c r="BQ4490" s="2" t="s">
        <v>83</v>
      </c>
      <c r="BR4490" s="2" t="s">
        <v>84</v>
      </c>
      <c r="BS4490" s="3">
        <v>42951</v>
      </c>
      <c r="BT4490" s="4">
        <v>0.38541666666666669</v>
      </c>
      <c r="BU4490" s="2" t="s">
        <v>469</v>
      </c>
      <c r="BV4490" s="2" t="s">
        <v>95</v>
      </c>
      <c r="BW4490" s="2"/>
      <c r="BX4490" s="2"/>
      <c r="BY4490" s="2">
        <v>8702.01</v>
      </c>
      <c r="BZ4490" s="2" t="s">
        <v>27</v>
      </c>
      <c r="CA4490" s="2"/>
      <c r="CB4490" s="2"/>
      <c r="CC4490" s="2" t="s">
        <v>145</v>
      </c>
      <c r="CD4490" s="2">
        <v>2094</v>
      </c>
      <c r="CE4490" s="2" t="s">
        <v>89</v>
      </c>
      <c r="CF4490" s="5">
        <v>42954</v>
      </c>
      <c r="CG4490" s="2"/>
      <c r="CH4490" s="2"/>
      <c r="CI4490" s="2">
        <v>1</v>
      </c>
      <c r="CJ4490" s="2">
        <v>1</v>
      </c>
      <c r="CK4490" s="2">
        <v>22</v>
      </c>
      <c r="CL4490" s="2" t="s">
        <v>86</v>
      </c>
      <c r="CM4490" s="2"/>
    </row>
    <row r="4491" spans="1:91">
      <c r="A4491" s="2" t="s">
        <v>71</v>
      </c>
      <c r="B4491" s="2" t="s">
        <v>72</v>
      </c>
      <c r="C4491" s="2" t="s">
        <v>73</v>
      </c>
      <c r="D4491" s="2"/>
      <c r="E4491" s="2" t="str">
        <f>"FES1162566557"</f>
        <v>FES1162566557</v>
      </c>
      <c r="F4491" s="3">
        <v>42950</v>
      </c>
      <c r="G4491" s="2">
        <v>201802</v>
      </c>
      <c r="H4491" s="2" t="s">
        <v>74</v>
      </c>
      <c r="I4491" s="2" t="s">
        <v>75</v>
      </c>
      <c r="J4491" s="2" t="s">
        <v>76</v>
      </c>
      <c r="K4491" s="2" t="s">
        <v>77</v>
      </c>
      <c r="L4491" s="2" t="s">
        <v>144</v>
      </c>
      <c r="M4491" s="2" t="s">
        <v>145</v>
      </c>
      <c r="N4491" s="2" t="s">
        <v>1713</v>
      </c>
      <c r="O4491" s="2" t="s">
        <v>100</v>
      </c>
      <c r="P4491" s="2" t="str">
        <f>"2170582910                    "</f>
        <v xml:space="preserve">2170582910                    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3.13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0</v>
      </c>
      <c r="AU4491" s="2">
        <v>0</v>
      </c>
      <c r="AV4491" s="2">
        <v>0</v>
      </c>
      <c r="AW4491" s="2">
        <v>0</v>
      </c>
      <c r="AX4491" s="2">
        <v>0</v>
      </c>
      <c r="AY4491" s="2">
        <v>0</v>
      </c>
      <c r="AZ4491" s="2">
        <v>0</v>
      </c>
      <c r="BA4491" s="2">
        <v>0</v>
      </c>
      <c r="BB4491" s="2">
        <v>0</v>
      </c>
      <c r="BC4491" s="2">
        <v>0</v>
      </c>
      <c r="BD4491" s="2">
        <v>0</v>
      </c>
      <c r="BE4491" s="2">
        <v>0</v>
      </c>
      <c r="BF4491" s="2">
        <v>0</v>
      </c>
      <c r="BG4491" s="2">
        <v>0</v>
      </c>
      <c r="BH4491" s="2">
        <v>1</v>
      </c>
      <c r="BI4491" s="2">
        <v>6.1</v>
      </c>
      <c r="BJ4491" s="2">
        <v>3.3</v>
      </c>
      <c r="BK4491" s="2">
        <v>7</v>
      </c>
      <c r="BL4491" s="2">
        <v>32.380000000000003</v>
      </c>
      <c r="BM4491" s="2">
        <v>4.53</v>
      </c>
      <c r="BN4491" s="2">
        <v>36.909999999999997</v>
      </c>
      <c r="BO4491" s="2">
        <v>36.909999999999997</v>
      </c>
      <c r="BP4491" s="2"/>
      <c r="BQ4491" s="2" t="s">
        <v>108</v>
      </c>
      <c r="BR4491" s="2" t="s">
        <v>84</v>
      </c>
      <c r="BS4491" s="3">
        <v>42954</v>
      </c>
      <c r="BT4491" s="4">
        <v>0.4513888888888889</v>
      </c>
      <c r="BU4491" s="2" t="s">
        <v>4052</v>
      </c>
      <c r="BV4491" s="2" t="s">
        <v>86</v>
      </c>
      <c r="BW4491" s="2" t="s">
        <v>110</v>
      </c>
      <c r="BX4491" s="2" t="s">
        <v>327</v>
      </c>
      <c r="BY4491" s="2">
        <v>16635.849999999999</v>
      </c>
      <c r="BZ4491" s="2" t="s">
        <v>27</v>
      </c>
      <c r="CA4491" s="2"/>
      <c r="CB4491" s="2"/>
      <c r="CC4491" s="2" t="s">
        <v>145</v>
      </c>
      <c r="CD4491" s="2">
        <v>2090</v>
      </c>
      <c r="CE4491" s="2" t="s">
        <v>104</v>
      </c>
      <c r="CF4491" s="5">
        <v>42955</v>
      </c>
      <c r="CG4491" s="2"/>
      <c r="CH4491" s="2"/>
      <c r="CI4491" s="2">
        <v>1</v>
      </c>
      <c r="CJ4491" s="2">
        <v>2</v>
      </c>
      <c r="CK4491" s="2">
        <v>22</v>
      </c>
      <c r="CL4491" s="2" t="s">
        <v>86</v>
      </c>
      <c r="CM4491" s="2"/>
    </row>
    <row r="4492" spans="1:91">
      <c r="A4492" s="2" t="s">
        <v>71</v>
      </c>
      <c r="B4492" s="2" t="s">
        <v>72</v>
      </c>
      <c r="C4492" s="2" t="s">
        <v>73</v>
      </c>
      <c r="D4492" s="2"/>
      <c r="E4492" s="2" t="str">
        <f>"FES1162566529"</f>
        <v>FES1162566529</v>
      </c>
      <c r="F4492" s="3">
        <v>42950</v>
      </c>
      <c r="G4492" s="2">
        <v>201802</v>
      </c>
      <c r="H4492" s="2" t="s">
        <v>74</v>
      </c>
      <c r="I4492" s="2" t="s">
        <v>75</v>
      </c>
      <c r="J4492" s="2" t="s">
        <v>76</v>
      </c>
      <c r="K4492" s="2" t="s">
        <v>77</v>
      </c>
      <c r="L4492" s="2" t="s">
        <v>170</v>
      </c>
      <c r="M4492" s="2" t="s">
        <v>171</v>
      </c>
      <c r="N4492" s="2" t="s">
        <v>3527</v>
      </c>
      <c r="O4492" s="2" t="s">
        <v>358</v>
      </c>
      <c r="P4492" s="2" t="str">
        <f>"2170582873                    "</f>
        <v xml:space="preserve">2170582873                    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5.93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0</v>
      </c>
      <c r="AU4492" s="2">
        <v>0</v>
      </c>
      <c r="AV4492" s="2">
        <v>0</v>
      </c>
      <c r="AW4492" s="2">
        <v>0</v>
      </c>
      <c r="AX4492" s="2">
        <v>0</v>
      </c>
      <c r="AY4492" s="2">
        <v>0</v>
      </c>
      <c r="AZ4492" s="2">
        <v>0</v>
      </c>
      <c r="BA4492" s="2">
        <v>0</v>
      </c>
      <c r="BB4492" s="2">
        <v>0</v>
      </c>
      <c r="BC4492" s="2">
        <v>0</v>
      </c>
      <c r="BD4492" s="2">
        <v>0</v>
      </c>
      <c r="BE4492" s="2">
        <v>0</v>
      </c>
      <c r="BF4492" s="2">
        <v>0</v>
      </c>
      <c r="BG4492" s="2">
        <v>0</v>
      </c>
      <c r="BH4492" s="2">
        <v>1</v>
      </c>
      <c r="BI4492" s="2">
        <v>15.6</v>
      </c>
      <c r="BJ4492" s="2">
        <v>8.9</v>
      </c>
      <c r="BK4492" s="2">
        <v>16</v>
      </c>
      <c r="BL4492" s="2">
        <v>61.42</v>
      </c>
      <c r="BM4492" s="2">
        <v>8.6</v>
      </c>
      <c r="BN4492" s="2">
        <v>70.02</v>
      </c>
      <c r="BO4492" s="2">
        <v>70.02</v>
      </c>
      <c r="BP4492" s="2"/>
      <c r="BQ4492" s="2" t="s">
        <v>108</v>
      </c>
      <c r="BR4492" s="2" t="s">
        <v>84</v>
      </c>
      <c r="BS4492" s="3">
        <v>42951</v>
      </c>
      <c r="BT4492" s="4">
        <v>0.39305555555555555</v>
      </c>
      <c r="BU4492" s="2" t="s">
        <v>1327</v>
      </c>
      <c r="BV4492" s="2" t="s">
        <v>95</v>
      </c>
      <c r="BW4492" s="2"/>
      <c r="BX4492" s="2"/>
      <c r="BY4492" s="2">
        <v>44606.25</v>
      </c>
      <c r="BZ4492" s="2" t="s">
        <v>27</v>
      </c>
      <c r="CA4492" s="2" t="s">
        <v>1617</v>
      </c>
      <c r="CB4492" s="2"/>
      <c r="CC4492" s="2" t="s">
        <v>171</v>
      </c>
      <c r="CD4492" s="2">
        <v>1401</v>
      </c>
      <c r="CE4492" s="2" t="s">
        <v>89</v>
      </c>
      <c r="CF4492" s="5">
        <v>42951</v>
      </c>
      <c r="CG4492" s="2"/>
      <c r="CH4492" s="2"/>
      <c r="CI4492" s="2">
        <v>1</v>
      </c>
      <c r="CJ4492" s="2">
        <v>1</v>
      </c>
      <c r="CK4492" s="2">
        <v>32</v>
      </c>
      <c r="CL4492" s="2" t="s">
        <v>86</v>
      </c>
      <c r="CM4492" s="2"/>
    </row>
    <row r="4493" spans="1:91">
      <c r="A4493" s="2" t="s">
        <v>71</v>
      </c>
      <c r="B4493" s="2" t="s">
        <v>72</v>
      </c>
      <c r="C4493" s="2" t="s">
        <v>73</v>
      </c>
      <c r="D4493" s="2"/>
      <c r="E4493" s="2" t="str">
        <f>"FES1162566521"</f>
        <v>FES1162566521</v>
      </c>
      <c r="F4493" s="3">
        <v>42950</v>
      </c>
      <c r="G4493" s="2">
        <v>201802</v>
      </c>
      <c r="H4493" s="2" t="s">
        <v>74</v>
      </c>
      <c r="I4493" s="2" t="s">
        <v>75</v>
      </c>
      <c r="J4493" s="2" t="s">
        <v>76</v>
      </c>
      <c r="K4493" s="2" t="s">
        <v>77</v>
      </c>
      <c r="L4493" s="2" t="s">
        <v>343</v>
      </c>
      <c r="M4493" s="2" t="s">
        <v>344</v>
      </c>
      <c r="N4493" s="2" t="s">
        <v>2794</v>
      </c>
      <c r="O4493" s="2" t="s">
        <v>100</v>
      </c>
      <c r="P4493" s="2" t="str">
        <f>"2170582354                    "</f>
        <v xml:space="preserve">2170582354                    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4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0</v>
      </c>
      <c r="AU4493" s="2">
        <v>0</v>
      </c>
      <c r="AV4493" s="2">
        <v>0</v>
      </c>
      <c r="AW4493" s="2">
        <v>0</v>
      </c>
      <c r="AX4493" s="2">
        <v>0</v>
      </c>
      <c r="AY4493" s="2">
        <v>0</v>
      </c>
      <c r="AZ4493" s="2">
        <v>0</v>
      </c>
      <c r="BA4493" s="2">
        <v>0</v>
      </c>
      <c r="BB4493" s="2">
        <v>0</v>
      </c>
      <c r="BC4493" s="2">
        <v>0</v>
      </c>
      <c r="BD4493" s="2">
        <v>0</v>
      </c>
      <c r="BE4493" s="2">
        <v>0</v>
      </c>
      <c r="BF4493" s="2">
        <v>0</v>
      </c>
      <c r="BG4493" s="2">
        <v>0</v>
      </c>
      <c r="BH4493" s="2">
        <v>1</v>
      </c>
      <c r="BI4493" s="2">
        <v>1.7</v>
      </c>
      <c r="BJ4493" s="2">
        <v>1</v>
      </c>
      <c r="BK4493" s="2">
        <v>2</v>
      </c>
      <c r="BL4493" s="2">
        <v>41.44</v>
      </c>
      <c r="BM4493" s="2">
        <v>5.8</v>
      </c>
      <c r="BN4493" s="2">
        <v>47.24</v>
      </c>
      <c r="BO4493" s="2">
        <v>47.24</v>
      </c>
      <c r="BP4493" s="2"/>
      <c r="BQ4493" s="2" t="s">
        <v>108</v>
      </c>
      <c r="BR4493" s="2" t="s">
        <v>84</v>
      </c>
      <c r="BS4493" s="3">
        <v>42954</v>
      </c>
      <c r="BT4493" s="4">
        <v>0.33333333333333331</v>
      </c>
      <c r="BU4493" s="2" t="s">
        <v>4053</v>
      </c>
      <c r="BV4493" s="2" t="s">
        <v>86</v>
      </c>
      <c r="BW4493" s="2"/>
      <c r="BX4493" s="2"/>
      <c r="BY4493" s="2">
        <v>4857.92</v>
      </c>
      <c r="BZ4493" s="2" t="s">
        <v>27</v>
      </c>
      <c r="CA4493" s="2" t="s">
        <v>550</v>
      </c>
      <c r="CB4493" s="2"/>
      <c r="CC4493" s="2" t="s">
        <v>344</v>
      </c>
      <c r="CD4493" s="2">
        <v>4110</v>
      </c>
      <c r="CE4493" s="2" t="s">
        <v>89</v>
      </c>
      <c r="CF4493" s="5">
        <v>42957</v>
      </c>
      <c r="CG4493" s="2"/>
      <c r="CH4493" s="2"/>
      <c r="CI4493" s="2">
        <v>1</v>
      </c>
      <c r="CJ4493" s="2">
        <v>2</v>
      </c>
      <c r="CK4493" s="2">
        <v>21</v>
      </c>
      <c r="CL4493" s="2" t="s">
        <v>86</v>
      </c>
      <c r="CM4493" s="2"/>
    </row>
    <row r="4494" spans="1:91">
      <c r="A4494" s="2" t="s">
        <v>71</v>
      </c>
      <c r="B4494" s="2" t="s">
        <v>72</v>
      </c>
      <c r="C4494" s="2" t="s">
        <v>73</v>
      </c>
      <c r="D4494" s="2"/>
      <c r="E4494" s="2" t="str">
        <f>"FES1162566505"</f>
        <v>FES1162566505</v>
      </c>
      <c r="F4494" s="3">
        <v>42950</v>
      </c>
      <c r="G4494" s="2">
        <v>201802</v>
      </c>
      <c r="H4494" s="2" t="s">
        <v>74</v>
      </c>
      <c r="I4494" s="2" t="s">
        <v>75</v>
      </c>
      <c r="J4494" s="2" t="s">
        <v>76</v>
      </c>
      <c r="K4494" s="2" t="s">
        <v>77</v>
      </c>
      <c r="L4494" s="2" t="s">
        <v>339</v>
      </c>
      <c r="M4494" s="2" t="s">
        <v>340</v>
      </c>
      <c r="N4494" s="2" t="s">
        <v>1341</v>
      </c>
      <c r="O4494" s="2" t="s">
        <v>100</v>
      </c>
      <c r="P4494" s="2" t="str">
        <f>"2170580495                    "</f>
        <v xml:space="preserve">2170580495                    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0</v>
      </c>
      <c r="AB4494" s="2">
        <v>0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6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0</v>
      </c>
      <c r="AU4494" s="2">
        <v>0</v>
      </c>
      <c r="AV4494" s="2">
        <v>0</v>
      </c>
      <c r="AW4494" s="2">
        <v>0</v>
      </c>
      <c r="AX4494" s="2">
        <v>0</v>
      </c>
      <c r="AY4494" s="2">
        <v>0</v>
      </c>
      <c r="AZ4494" s="2">
        <v>0</v>
      </c>
      <c r="BA4494" s="2">
        <v>0</v>
      </c>
      <c r="BB4494" s="2">
        <v>0</v>
      </c>
      <c r="BC4494" s="2">
        <v>0</v>
      </c>
      <c r="BD4494" s="2">
        <v>0</v>
      </c>
      <c r="BE4494" s="2">
        <v>0</v>
      </c>
      <c r="BF4494" s="2">
        <v>0</v>
      </c>
      <c r="BG4494" s="2">
        <v>0</v>
      </c>
      <c r="BH4494" s="2">
        <v>1</v>
      </c>
      <c r="BI4494" s="2">
        <v>2.6</v>
      </c>
      <c r="BJ4494" s="2">
        <v>1.3</v>
      </c>
      <c r="BK4494" s="2">
        <v>3</v>
      </c>
      <c r="BL4494" s="2">
        <v>62.16</v>
      </c>
      <c r="BM4494" s="2">
        <v>8.6999999999999993</v>
      </c>
      <c r="BN4494" s="2">
        <v>70.86</v>
      </c>
      <c r="BO4494" s="2">
        <v>70.86</v>
      </c>
      <c r="BP4494" s="2"/>
      <c r="BQ4494" s="2" t="s">
        <v>83</v>
      </c>
      <c r="BR4494" s="2" t="s">
        <v>84</v>
      </c>
      <c r="BS4494" s="3">
        <v>42951</v>
      </c>
      <c r="BT4494" s="4">
        <v>0.41666666666666669</v>
      </c>
      <c r="BU4494" s="2" t="s">
        <v>3085</v>
      </c>
      <c r="BV4494" s="2" t="s">
        <v>95</v>
      </c>
      <c r="BW4494" s="2"/>
      <c r="BX4494" s="2"/>
      <c r="BY4494" s="2">
        <v>6287.1</v>
      </c>
      <c r="BZ4494" s="2" t="s">
        <v>27</v>
      </c>
      <c r="CA4494" s="2"/>
      <c r="CB4494" s="2"/>
      <c r="CC4494" s="2" t="s">
        <v>340</v>
      </c>
      <c r="CD4494" s="2">
        <v>1947</v>
      </c>
      <c r="CE4494" s="2" t="s">
        <v>89</v>
      </c>
      <c r="CF4494" s="5">
        <v>42954</v>
      </c>
      <c r="CG4494" s="2"/>
      <c r="CH4494" s="2"/>
      <c r="CI4494" s="2">
        <v>1</v>
      </c>
      <c r="CJ4494" s="2">
        <v>1</v>
      </c>
      <c r="CK4494" s="2">
        <v>21</v>
      </c>
      <c r="CL4494" s="2" t="s">
        <v>86</v>
      </c>
      <c r="CM4494" s="2"/>
    </row>
    <row r="4495" spans="1:91">
      <c r="A4495" s="2" t="s">
        <v>71</v>
      </c>
      <c r="B4495" s="2" t="s">
        <v>72</v>
      </c>
      <c r="C4495" s="2" t="s">
        <v>73</v>
      </c>
      <c r="D4495" s="2"/>
      <c r="E4495" s="2" t="str">
        <f>"FES1162566752"</f>
        <v>FES1162566752</v>
      </c>
      <c r="F4495" s="3">
        <v>42950</v>
      </c>
      <c r="G4495" s="2">
        <v>201802</v>
      </c>
      <c r="H4495" s="2" t="s">
        <v>74</v>
      </c>
      <c r="I4495" s="2" t="s">
        <v>75</v>
      </c>
      <c r="J4495" s="2" t="s">
        <v>76</v>
      </c>
      <c r="K4495" s="2" t="s">
        <v>77</v>
      </c>
      <c r="L4495" s="2" t="s">
        <v>97</v>
      </c>
      <c r="M4495" s="2" t="s">
        <v>98</v>
      </c>
      <c r="N4495" s="2" t="s">
        <v>3269</v>
      </c>
      <c r="O4495" s="2" t="s">
        <v>100</v>
      </c>
      <c r="P4495" s="2" t="str">
        <f>"2170579600                    "</f>
        <v xml:space="preserve">2170579600                    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4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0</v>
      </c>
      <c r="AU4495" s="2">
        <v>0</v>
      </c>
      <c r="AV4495" s="2">
        <v>0</v>
      </c>
      <c r="AW4495" s="2">
        <v>0</v>
      </c>
      <c r="AX4495" s="2">
        <v>0</v>
      </c>
      <c r="AY4495" s="2">
        <v>0</v>
      </c>
      <c r="AZ4495" s="2">
        <v>0</v>
      </c>
      <c r="BA4495" s="2">
        <v>0</v>
      </c>
      <c r="BB4495" s="2">
        <v>0</v>
      </c>
      <c r="BC4495" s="2">
        <v>0</v>
      </c>
      <c r="BD4495" s="2">
        <v>0</v>
      </c>
      <c r="BE4495" s="2">
        <v>0</v>
      </c>
      <c r="BF4495" s="2">
        <v>0</v>
      </c>
      <c r="BG4495" s="2">
        <v>0</v>
      </c>
      <c r="BH4495" s="2">
        <v>1</v>
      </c>
      <c r="BI4495" s="2">
        <v>1</v>
      </c>
      <c r="BJ4495" s="2">
        <v>0.2</v>
      </c>
      <c r="BK4495" s="2">
        <v>1</v>
      </c>
      <c r="BL4495" s="2">
        <v>41.44</v>
      </c>
      <c r="BM4495" s="2">
        <v>5.8</v>
      </c>
      <c r="BN4495" s="2">
        <v>47.24</v>
      </c>
      <c r="BO4495" s="2">
        <v>47.24</v>
      </c>
      <c r="BP4495" s="2"/>
      <c r="BQ4495" s="2"/>
      <c r="BR4495" s="2" t="s">
        <v>84</v>
      </c>
      <c r="BS4495" s="3">
        <v>42951</v>
      </c>
      <c r="BT4495" s="4">
        <v>0.39583333333333331</v>
      </c>
      <c r="BU4495" s="2" t="s">
        <v>560</v>
      </c>
      <c r="BV4495" s="2" t="s">
        <v>95</v>
      </c>
      <c r="BW4495" s="2"/>
      <c r="BX4495" s="2"/>
      <c r="BY4495" s="2">
        <v>1200</v>
      </c>
      <c r="BZ4495" s="2" t="s">
        <v>27</v>
      </c>
      <c r="CA4495" s="2" t="s">
        <v>103</v>
      </c>
      <c r="CB4495" s="2"/>
      <c r="CC4495" s="2" t="s">
        <v>98</v>
      </c>
      <c r="CD4495" s="2">
        <v>6001</v>
      </c>
      <c r="CE4495" s="2" t="s">
        <v>104</v>
      </c>
      <c r="CF4495" s="5">
        <v>42951</v>
      </c>
      <c r="CG4495" s="2"/>
      <c r="CH4495" s="2"/>
      <c r="CI4495" s="2">
        <v>1</v>
      </c>
      <c r="CJ4495" s="2">
        <v>1</v>
      </c>
      <c r="CK4495" s="2">
        <v>21</v>
      </c>
      <c r="CL4495" s="2" t="s">
        <v>86</v>
      </c>
      <c r="CM4495" s="2"/>
    </row>
    <row r="4496" spans="1:91">
      <c r="A4496" s="2" t="s">
        <v>71</v>
      </c>
      <c r="B4496" s="2" t="s">
        <v>72</v>
      </c>
      <c r="C4496" s="2" t="s">
        <v>73</v>
      </c>
      <c r="D4496" s="2"/>
      <c r="E4496" s="2" t="str">
        <f>"FES1162566681"</f>
        <v>FES1162566681</v>
      </c>
      <c r="F4496" s="3">
        <v>42950</v>
      </c>
      <c r="G4496" s="2">
        <v>201802</v>
      </c>
      <c r="H4496" s="2" t="s">
        <v>74</v>
      </c>
      <c r="I4496" s="2" t="s">
        <v>75</v>
      </c>
      <c r="J4496" s="2" t="s">
        <v>76</v>
      </c>
      <c r="K4496" s="2" t="s">
        <v>77</v>
      </c>
      <c r="L4496" s="2" t="s">
        <v>97</v>
      </c>
      <c r="M4496" s="2" t="s">
        <v>98</v>
      </c>
      <c r="N4496" s="2" t="s">
        <v>1058</v>
      </c>
      <c r="O4496" s="2" t="s">
        <v>100</v>
      </c>
      <c r="P4496" s="2" t="str">
        <f>"2170582994                    "</f>
        <v xml:space="preserve">2170582994                    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4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0</v>
      </c>
      <c r="AU4496" s="2">
        <v>0</v>
      </c>
      <c r="AV4496" s="2">
        <v>0</v>
      </c>
      <c r="AW4496" s="2">
        <v>0</v>
      </c>
      <c r="AX4496" s="2">
        <v>0</v>
      </c>
      <c r="AY4496" s="2">
        <v>0</v>
      </c>
      <c r="AZ4496" s="2">
        <v>0</v>
      </c>
      <c r="BA4496" s="2">
        <v>0</v>
      </c>
      <c r="BB4496" s="2">
        <v>0</v>
      </c>
      <c r="BC4496" s="2">
        <v>0</v>
      </c>
      <c r="BD4496" s="2">
        <v>0</v>
      </c>
      <c r="BE4496" s="2">
        <v>0</v>
      </c>
      <c r="BF4496" s="2">
        <v>0</v>
      </c>
      <c r="BG4496" s="2">
        <v>0</v>
      </c>
      <c r="BH4496" s="2">
        <v>1</v>
      </c>
      <c r="BI4496" s="2">
        <v>1</v>
      </c>
      <c r="BJ4496" s="2">
        <v>0.2</v>
      </c>
      <c r="BK4496" s="2">
        <v>1</v>
      </c>
      <c r="BL4496" s="2">
        <v>41.44</v>
      </c>
      <c r="BM4496" s="2">
        <v>5.8</v>
      </c>
      <c r="BN4496" s="2">
        <v>47.24</v>
      </c>
      <c r="BO4496" s="2">
        <v>47.24</v>
      </c>
      <c r="BP4496" s="2"/>
      <c r="BQ4496" s="2" t="s">
        <v>108</v>
      </c>
      <c r="BR4496" s="2" t="s">
        <v>84</v>
      </c>
      <c r="BS4496" s="3">
        <v>42951</v>
      </c>
      <c r="BT4496" s="4">
        <v>0.4291666666666667</v>
      </c>
      <c r="BU4496" s="2" t="s">
        <v>1060</v>
      </c>
      <c r="BV4496" s="2" t="s">
        <v>95</v>
      </c>
      <c r="BW4496" s="2"/>
      <c r="BX4496" s="2"/>
      <c r="BY4496" s="2">
        <v>1200</v>
      </c>
      <c r="BZ4496" s="2" t="s">
        <v>27</v>
      </c>
      <c r="CA4496" s="2" t="s">
        <v>103</v>
      </c>
      <c r="CB4496" s="2"/>
      <c r="CC4496" s="2" t="s">
        <v>98</v>
      </c>
      <c r="CD4496" s="2">
        <v>6001</v>
      </c>
      <c r="CE4496" s="2" t="s">
        <v>104</v>
      </c>
      <c r="CF4496" s="5">
        <v>42951</v>
      </c>
      <c r="CG4496" s="2"/>
      <c r="CH4496" s="2"/>
      <c r="CI4496" s="2">
        <v>1</v>
      </c>
      <c r="CJ4496" s="2">
        <v>1</v>
      </c>
      <c r="CK4496" s="2">
        <v>21</v>
      </c>
      <c r="CL4496" s="2" t="s">
        <v>86</v>
      </c>
      <c r="CM4496" s="2"/>
    </row>
    <row r="4497" spans="1:91">
      <c r="A4497" s="2" t="s">
        <v>71</v>
      </c>
      <c r="B4497" s="2" t="s">
        <v>72</v>
      </c>
      <c r="C4497" s="2" t="s">
        <v>73</v>
      </c>
      <c r="D4497" s="2"/>
      <c r="E4497" s="2" t="str">
        <f>"FES1162566423"</f>
        <v>FES1162566423</v>
      </c>
      <c r="F4497" s="3">
        <v>42950</v>
      </c>
      <c r="G4497" s="2">
        <v>201802</v>
      </c>
      <c r="H4497" s="2" t="s">
        <v>74</v>
      </c>
      <c r="I4497" s="2" t="s">
        <v>75</v>
      </c>
      <c r="J4497" s="2" t="s">
        <v>76</v>
      </c>
      <c r="K4497" s="2" t="s">
        <v>77</v>
      </c>
      <c r="L4497" s="2" t="s">
        <v>841</v>
      </c>
      <c r="M4497" s="2" t="s">
        <v>842</v>
      </c>
      <c r="N4497" s="2" t="s">
        <v>4054</v>
      </c>
      <c r="O4497" s="2" t="s">
        <v>100</v>
      </c>
      <c r="P4497" s="2" t="str">
        <f>"2170582780                    "</f>
        <v xml:space="preserve">2170582780                    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0</v>
      </c>
      <c r="Y4497" s="2">
        <v>0</v>
      </c>
      <c r="Z4497" s="2">
        <v>0</v>
      </c>
      <c r="AA4497" s="2">
        <v>0</v>
      </c>
      <c r="AB4497" s="2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27.02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0</v>
      </c>
      <c r="AU4497" s="2">
        <v>0</v>
      </c>
      <c r="AV4497" s="2">
        <v>0</v>
      </c>
      <c r="AW4497" s="2">
        <v>0</v>
      </c>
      <c r="AX4497" s="2">
        <v>0</v>
      </c>
      <c r="AY4497" s="2">
        <v>0</v>
      </c>
      <c r="AZ4497" s="2">
        <v>0</v>
      </c>
      <c r="BA4497" s="2">
        <v>0</v>
      </c>
      <c r="BB4497" s="2">
        <v>0</v>
      </c>
      <c r="BC4497" s="2">
        <v>0</v>
      </c>
      <c r="BD4497" s="2">
        <v>0</v>
      </c>
      <c r="BE4497" s="2">
        <v>0</v>
      </c>
      <c r="BF4497" s="2">
        <v>0</v>
      </c>
      <c r="BG4497" s="2">
        <v>0</v>
      </c>
      <c r="BH4497" s="2">
        <v>2</v>
      </c>
      <c r="BI4497" s="2">
        <v>7.1</v>
      </c>
      <c r="BJ4497" s="2">
        <v>3.5</v>
      </c>
      <c r="BK4497" s="2">
        <v>7.5</v>
      </c>
      <c r="BL4497" s="2">
        <v>279.74</v>
      </c>
      <c r="BM4497" s="2">
        <v>39.159999999999997</v>
      </c>
      <c r="BN4497" s="2">
        <v>318.89999999999998</v>
      </c>
      <c r="BO4497" s="2">
        <v>318.89999999999998</v>
      </c>
      <c r="BP4497" s="2"/>
      <c r="BQ4497" s="2" t="s">
        <v>1567</v>
      </c>
      <c r="BR4497" s="2" t="s">
        <v>84</v>
      </c>
      <c r="BS4497" s="3">
        <v>42954</v>
      </c>
      <c r="BT4497" s="4">
        <v>0.58333333333333337</v>
      </c>
      <c r="BU4497" s="2" t="s">
        <v>1360</v>
      </c>
      <c r="BV4497" s="2" t="s">
        <v>95</v>
      </c>
      <c r="BW4497" s="2"/>
      <c r="BX4497" s="2"/>
      <c r="BY4497" s="2">
        <v>17516.150000000001</v>
      </c>
      <c r="BZ4497" s="2" t="s">
        <v>27</v>
      </c>
      <c r="CA4497" s="2" t="s">
        <v>845</v>
      </c>
      <c r="CB4497" s="2"/>
      <c r="CC4497" s="2" t="s">
        <v>842</v>
      </c>
      <c r="CD4497" s="2">
        <v>3370</v>
      </c>
      <c r="CE4497" s="2" t="s">
        <v>89</v>
      </c>
      <c r="CF4497" s="5">
        <v>42957</v>
      </c>
      <c r="CG4497" s="2"/>
      <c r="CH4497" s="2"/>
      <c r="CI4497" s="2">
        <v>3</v>
      </c>
      <c r="CJ4497" s="2">
        <v>2</v>
      </c>
      <c r="CK4497" s="2">
        <v>23</v>
      </c>
      <c r="CL4497" s="2" t="s">
        <v>86</v>
      </c>
      <c r="CM4497" s="2"/>
    </row>
    <row r="4498" spans="1:91">
      <c r="A4498" s="2" t="s">
        <v>71</v>
      </c>
      <c r="B4498" s="2" t="s">
        <v>72</v>
      </c>
      <c r="C4498" s="2" t="s">
        <v>73</v>
      </c>
      <c r="D4498" s="2"/>
      <c r="E4498" s="2" t="str">
        <f>"FES1162566642"</f>
        <v>FES1162566642</v>
      </c>
      <c r="F4498" s="3">
        <v>42950</v>
      </c>
      <c r="G4498" s="2">
        <v>201802</v>
      </c>
      <c r="H4498" s="2" t="s">
        <v>74</v>
      </c>
      <c r="I4498" s="2" t="s">
        <v>75</v>
      </c>
      <c r="J4498" s="2" t="s">
        <v>76</v>
      </c>
      <c r="K4498" s="2" t="s">
        <v>77</v>
      </c>
      <c r="L4498" s="2" t="s">
        <v>97</v>
      </c>
      <c r="M4498" s="2" t="s">
        <v>98</v>
      </c>
      <c r="N4498" s="2" t="s">
        <v>1075</v>
      </c>
      <c r="O4498" s="2" t="s">
        <v>100</v>
      </c>
      <c r="P4498" s="2" t="str">
        <f>"2170582973                    "</f>
        <v xml:space="preserve">2170582973                    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2">
        <v>0</v>
      </c>
      <c r="Z4498" s="2">
        <v>0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4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0</v>
      </c>
      <c r="AU4498" s="2">
        <v>0</v>
      </c>
      <c r="AV4498" s="2">
        <v>0</v>
      </c>
      <c r="AW4498" s="2">
        <v>0</v>
      </c>
      <c r="AX4498" s="2">
        <v>0</v>
      </c>
      <c r="AY4498" s="2">
        <v>0</v>
      </c>
      <c r="AZ4498" s="2">
        <v>0</v>
      </c>
      <c r="BA4498" s="2">
        <v>0</v>
      </c>
      <c r="BB4498" s="2">
        <v>0</v>
      </c>
      <c r="BC4498" s="2">
        <v>0</v>
      </c>
      <c r="BD4498" s="2">
        <v>0</v>
      </c>
      <c r="BE4498" s="2">
        <v>0</v>
      </c>
      <c r="BF4498" s="2">
        <v>0</v>
      </c>
      <c r="BG4498" s="2">
        <v>0</v>
      </c>
      <c r="BH4498" s="2">
        <v>1</v>
      </c>
      <c r="BI4498" s="2">
        <v>1</v>
      </c>
      <c r="BJ4498" s="2">
        <v>0.2</v>
      </c>
      <c r="BK4498" s="2">
        <v>1</v>
      </c>
      <c r="BL4498" s="2">
        <v>41.44</v>
      </c>
      <c r="BM4498" s="2">
        <v>5.8</v>
      </c>
      <c r="BN4498" s="2">
        <v>47.24</v>
      </c>
      <c r="BO4498" s="2">
        <v>47.24</v>
      </c>
      <c r="BP4498" s="2"/>
      <c r="BQ4498" s="2" t="s">
        <v>3357</v>
      </c>
      <c r="BR4498" s="2" t="s">
        <v>84</v>
      </c>
      <c r="BS4498" s="3">
        <v>42951</v>
      </c>
      <c r="BT4498" s="4">
        <v>0.42291666666666666</v>
      </c>
      <c r="BU4498" s="2" t="s">
        <v>3365</v>
      </c>
      <c r="BV4498" s="2" t="s">
        <v>95</v>
      </c>
      <c r="BW4498" s="2"/>
      <c r="BX4498" s="2"/>
      <c r="BY4498" s="2">
        <v>1200</v>
      </c>
      <c r="BZ4498" s="2" t="s">
        <v>27</v>
      </c>
      <c r="CA4498" s="2" t="s">
        <v>103</v>
      </c>
      <c r="CB4498" s="2"/>
      <c r="CC4498" s="2" t="s">
        <v>98</v>
      </c>
      <c r="CD4498" s="2">
        <v>6001</v>
      </c>
      <c r="CE4498" s="2" t="s">
        <v>104</v>
      </c>
      <c r="CF4498" s="5">
        <v>42951</v>
      </c>
      <c r="CG4498" s="2"/>
      <c r="CH4498" s="2"/>
      <c r="CI4498" s="2">
        <v>1</v>
      </c>
      <c r="CJ4498" s="2">
        <v>1</v>
      </c>
      <c r="CK4498" s="2">
        <v>21</v>
      </c>
      <c r="CL4498" s="2" t="s">
        <v>86</v>
      </c>
      <c r="CM4498" s="2"/>
    </row>
    <row r="4499" spans="1:91">
      <c r="A4499" s="2" t="s">
        <v>71</v>
      </c>
      <c r="B4499" s="2" t="s">
        <v>72</v>
      </c>
      <c r="C4499" s="2" t="s">
        <v>73</v>
      </c>
      <c r="D4499" s="2"/>
      <c r="E4499" s="2" t="str">
        <f>"FES1162566621"</f>
        <v>FES1162566621</v>
      </c>
      <c r="F4499" s="3">
        <v>42950</v>
      </c>
      <c r="G4499" s="2">
        <v>201802</v>
      </c>
      <c r="H4499" s="2" t="s">
        <v>74</v>
      </c>
      <c r="I4499" s="2" t="s">
        <v>75</v>
      </c>
      <c r="J4499" s="2" t="s">
        <v>76</v>
      </c>
      <c r="K4499" s="2" t="s">
        <v>77</v>
      </c>
      <c r="L4499" s="2" t="s">
        <v>97</v>
      </c>
      <c r="M4499" s="2" t="s">
        <v>98</v>
      </c>
      <c r="N4499" s="2" t="s">
        <v>625</v>
      </c>
      <c r="O4499" s="2" t="s">
        <v>100</v>
      </c>
      <c r="P4499" s="2" t="str">
        <f>"2170581646                    "</f>
        <v xml:space="preserve">2170581646                    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4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0</v>
      </c>
      <c r="AU4499" s="2">
        <v>0</v>
      </c>
      <c r="AV4499" s="2">
        <v>0</v>
      </c>
      <c r="AW4499" s="2">
        <v>0</v>
      </c>
      <c r="AX4499" s="2">
        <v>0</v>
      </c>
      <c r="AY4499" s="2">
        <v>0</v>
      </c>
      <c r="AZ4499" s="2">
        <v>0</v>
      </c>
      <c r="BA4499" s="2">
        <v>0</v>
      </c>
      <c r="BB4499" s="2">
        <v>0</v>
      </c>
      <c r="BC4499" s="2">
        <v>0</v>
      </c>
      <c r="BD4499" s="2">
        <v>0</v>
      </c>
      <c r="BE4499" s="2">
        <v>0</v>
      </c>
      <c r="BF4499" s="2">
        <v>0</v>
      </c>
      <c r="BG4499" s="2">
        <v>0</v>
      </c>
      <c r="BH4499" s="2">
        <v>1</v>
      </c>
      <c r="BI4499" s="2">
        <v>1</v>
      </c>
      <c r="BJ4499" s="2">
        <v>0.2</v>
      </c>
      <c r="BK4499" s="2">
        <v>1</v>
      </c>
      <c r="BL4499" s="2">
        <v>41.44</v>
      </c>
      <c r="BM4499" s="2">
        <v>5.8</v>
      </c>
      <c r="BN4499" s="2">
        <v>47.24</v>
      </c>
      <c r="BO4499" s="2">
        <v>47.24</v>
      </c>
      <c r="BP4499" s="2"/>
      <c r="BQ4499" s="2" t="s">
        <v>108</v>
      </c>
      <c r="BR4499" s="2" t="s">
        <v>84</v>
      </c>
      <c r="BS4499" s="3">
        <v>42951</v>
      </c>
      <c r="BT4499" s="4">
        <v>0.3979166666666667</v>
      </c>
      <c r="BU4499" s="2" t="s">
        <v>4055</v>
      </c>
      <c r="BV4499" s="2" t="s">
        <v>95</v>
      </c>
      <c r="BW4499" s="2"/>
      <c r="BX4499" s="2"/>
      <c r="BY4499" s="2">
        <v>1200</v>
      </c>
      <c r="BZ4499" s="2" t="s">
        <v>27</v>
      </c>
      <c r="CA4499" s="2" t="s">
        <v>103</v>
      </c>
      <c r="CB4499" s="2"/>
      <c r="CC4499" s="2" t="s">
        <v>98</v>
      </c>
      <c r="CD4499" s="2">
        <v>6001</v>
      </c>
      <c r="CE4499" s="2" t="s">
        <v>104</v>
      </c>
      <c r="CF4499" s="5">
        <v>42951</v>
      </c>
      <c r="CG4499" s="2"/>
      <c r="CH4499" s="2"/>
      <c r="CI4499" s="2">
        <v>1</v>
      </c>
      <c r="CJ4499" s="2">
        <v>1</v>
      </c>
      <c r="CK4499" s="2">
        <v>21</v>
      </c>
      <c r="CL4499" s="2" t="s">
        <v>86</v>
      </c>
      <c r="CM4499" s="2"/>
    </row>
    <row r="4500" spans="1:91">
      <c r="A4500" s="2" t="s">
        <v>71</v>
      </c>
      <c r="B4500" s="2" t="s">
        <v>72</v>
      </c>
      <c r="C4500" s="2" t="s">
        <v>73</v>
      </c>
      <c r="D4500" s="2"/>
      <c r="E4500" s="2" t="str">
        <f>"FES1162566715"</f>
        <v>FES1162566715</v>
      </c>
      <c r="F4500" s="3">
        <v>42950</v>
      </c>
      <c r="G4500" s="2">
        <v>201802</v>
      </c>
      <c r="H4500" s="2" t="s">
        <v>74</v>
      </c>
      <c r="I4500" s="2" t="s">
        <v>75</v>
      </c>
      <c r="J4500" s="2" t="s">
        <v>76</v>
      </c>
      <c r="K4500" s="2" t="s">
        <v>77</v>
      </c>
      <c r="L4500" s="2" t="s">
        <v>97</v>
      </c>
      <c r="M4500" s="2" t="s">
        <v>98</v>
      </c>
      <c r="N4500" s="2" t="s">
        <v>214</v>
      </c>
      <c r="O4500" s="2" t="s">
        <v>100</v>
      </c>
      <c r="P4500" s="2" t="str">
        <f>"2170583008                    "</f>
        <v xml:space="preserve">2170583008                    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4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0</v>
      </c>
      <c r="AU4500" s="2">
        <v>0</v>
      </c>
      <c r="AV4500" s="2">
        <v>0</v>
      </c>
      <c r="AW4500" s="2">
        <v>0</v>
      </c>
      <c r="AX4500" s="2">
        <v>0</v>
      </c>
      <c r="AY4500" s="2">
        <v>0</v>
      </c>
      <c r="AZ4500" s="2">
        <v>0</v>
      </c>
      <c r="BA4500" s="2">
        <v>0</v>
      </c>
      <c r="BB4500" s="2">
        <v>0</v>
      </c>
      <c r="BC4500" s="2">
        <v>0</v>
      </c>
      <c r="BD4500" s="2">
        <v>0</v>
      </c>
      <c r="BE4500" s="2">
        <v>0</v>
      </c>
      <c r="BF4500" s="2">
        <v>0</v>
      </c>
      <c r="BG4500" s="2">
        <v>0</v>
      </c>
      <c r="BH4500" s="2">
        <v>1</v>
      </c>
      <c r="BI4500" s="2">
        <v>1</v>
      </c>
      <c r="BJ4500" s="2">
        <v>0.2</v>
      </c>
      <c r="BK4500" s="2">
        <v>1</v>
      </c>
      <c r="BL4500" s="2">
        <v>41.44</v>
      </c>
      <c r="BM4500" s="2">
        <v>5.8</v>
      </c>
      <c r="BN4500" s="2">
        <v>47.24</v>
      </c>
      <c r="BO4500" s="2">
        <v>47.24</v>
      </c>
      <c r="BP4500" s="2"/>
      <c r="BQ4500" s="2" t="s">
        <v>108</v>
      </c>
      <c r="BR4500" s="2" t="s">
        <v>84</v>
      </c>
      <c r="BS4500" s="3">
        <v>42951</v>
      </c>
      <c r="BT4500" s="4">
        <v>0.31875000000000003</v>
      </c>
      <c r="BU4500" s="2" t="s">
        <v>3867</v>
      </c>
      <c r="BV4500" s="2" t="s">
        <v>95</v>
      </c>
      <c r="BW4500" s="2"/>
      <c r="BX4500" s="2"/>
      <c r="BY4500" s="2">
        <v>1200</v>
      </c>
      <c r="BZ4500" s="2" t="s">
        <v>27</v>
      </c>
      <c r="CA4500" s="2" t="s">
        <v>213</v>
      </c>
      <c r="CB4500" s="2"/>
      <c r="CC4500" s="2" t="s">
        <v>98</v>
      </c>
      <c r="CD4500" s="2">
        <v>6001</v>
      </c>
      <c r="CE4500" s="2" t="s">
        <v>3630</v>
      </c>
      <c r="CF4500" s="5">
        <v>42954</v>
      </c>
      <c r="CG4500" s="2"/>
      <c r="CH4500" s="2"/>
      <c r="CI4500" s="2">
        <v>1</v>
      </c>
      <c r="CJ4500" s="2">
        <v>1</v>
      </c>
      <c r="CK4500" s="2">
        <v>21</v>
      </c>
      <c r="CL4500" s="2" t="s">
        <v>86</v>
      </c>
      <c r="CM4500" s="2"/>
    </row>
    <row r="4501" spans="1:91">
      <c r="A4501" s="2" t="s">
        <v>71</v>
      </c>
      <c r="B4501" s="2" t="s">
        <v>72</v>
      </c>
      <c r="C4501" s="2" t="s">
        <v>73</v>
      </c>
      <c r="D4501" s="2"/>
      <c r="E4501" s="2" t="str">
        <f>"FES1162566666"</f>
        <v>FES1162566666</v>
      </c>
      <c r="F4501" s="3">
        <v>42950</v>
      </c>
      <c r="G4501" s="2">
        <v>201802</v>
      </c>
      <c r="H4501" s="2" t="s">
        <v>74</v>
      </c>
      <c r="I4501" s="2" t="s">
        <v>75</v>
      </c>
      <c r="J4501" s="2" t="s">
        <v>76</v>
      </c>
      <c r="K4501" s="2" t="s">
        <v>77</v>
      </c>
      <c r="L4501" s="2" t="s">
        <v>97</v>
      </c>
      <c r="M4501" s="2" t="s">
        <v>98</v>
      </c>
      <c r="N4501" s="2" t="s">
        <v>119</v>
      </c>
      <c r="O4501" s="2" t="s">
        <v>100</v>
      </c>
      <c r="P4501" s="2" t="str">
        <f>"2170579628                    "</f>
        <v xml:space="preserve">2170579628                    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  <c r="AB4501" s="2">
        <v>0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4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0</v>
      </c>
      <c r="AU4501" s="2">
        <v>0</v>
      </c>
      <c r="AV4501" s="2">
        <v>0</v>
      </c>
      <c r="AW4501" s="2">
        <v>0</v>
      </c>
      <c r="AX4501" s="2">
        <v>0</v>
      </c>
      <c r="AY4501" s="2">
        <v>0</v>
      </c>
      <c r="AZ4501" s="2">
        <v>0</v>
      </c>
      <c r="BA4501" s="2">
        <v>0</v>
      </c>
      <c r="BB4501" s="2">
        <v>0</v>
      </c>
      <c r="BC4501" s="2">
        <v>0</v>
      </c>
      <c r="BD4501" s="2">
        <v>0</v>
      </c>
      <c r="BE4501" s="2">
        <v>0</v>
      </c>
      <c r="BF4501" s="2">
        <v>0</v>
      </c>
      <c r="BG4501" s="2">
        <v>0</v>
      </c>
      <c r="BH4501" s="2">
        <v>1</v>
      </c>
      <c r="BI4501" s="2">
        <v>1</v>
      </c>
      <c r="BJ4501" s="2">
        <v>0.2</v>
      </c>
      <c r="BK4501" s="2">
        <v>1</v>
      </c>
      <c r="BL4501" s="2">
        <v>41.44</v>
      </c>
      <c r="BM4501" s="2">
        <v>5.8</v>
      </c>
      <c r="BN4501" s="2">
        <v>47.24</v>
      </c>
      <c r="BO4501" s="2">
        <v>47.24</v>
      </c>
      <c r="BP4501" s="2"/>
      <c r="BQ4501" s="2" t="s">
        <v>108</v>
      </c>
      <c r="BR4501" s="2" t="s">
        <v>84</v>
      </c>
      <c r="BS4501" s="3">
        <v>42951</v>
      </c>
      <c r="BT4501" s="4">
        <v>0.3347222222222222</v>
      </c>
      <c r="BU4501" s="2" t="s">
        <v>224</v>
      </c>
      <c r="BV4501" s="2" t="s">
        <v>95</v>
      </c>
      <c r="BW4501" s="2"/>
      <c r="BX4501" s="2"/>
      <c r="BY4501" s="2">
        <v>1200</v>
      </c>
      <c r="BZ4501" s="2" t="s">
        <v>27</v>
      </c>
      <c r="CA4501" s="2" t="s">
        <v>213</v>
      </c>
      <c r="CB4501" s="2"/>
      <c r="CC4501" s="2" t="s">
        <v>98</v>
      </c>
      <c r="CD4501" s="2">
        <v>6001</v>
      </c>
      <c r="CE4501" s="2" t="s">
        <v>3630</v>
      </c>
      <c r="CF4501" s="5">
        <v>42954</v>
      </c>
      <c r="CG4501" s="2"/>
      <c r="CH4501" s="2"/>
      <c r="CI4501" s="2">
        <v>1</v>
      </c>
      <c r="CJ4501" s="2">
        <v>1</v>
      </c>
      <c r="CK4501" s="2">
        <v>21</v>
      </c>
      <c r="CL4501" s="2" t="s">
        <v>86</v>
      </c>
      <c r="CM4501" s="2"/>
    </row>
    <row r="4502" spans="1:91">
      <c r="A4502" s="2" t="s">
        <v>71</v>
      </c>
      <c r="B4502" s="2" t="s">
        <v>72</v>
      </c>
      <c r="C4502" s="2" t="s">
        <v>73</v>
      </c>
      <c r="D4502" s="2"/>
      <c r="E4502" s="2" t="str">
        <f>"FES1162566833"</f>
        <v>FES1162566833</v>
      </c>
      <c r="F4502" s="3">
        <v>42950</v>
      </c>
      <c r="G4502" s="2">
        <v>201802</v>
      </c>
      <c r="H4502" s="2" t="s">
        <v>74</v>
      </c>
      <c r="I4502" s="2" t="s">
        <v>75</v>
      </c>
      <c r="J4502" s="2" t="s">
        <v>76</v>
      </c>
      <c r="K4502" s="2" t="s">
        <v>77</v>
      </c>
      <c r="L4502" s="2" t="s">
        <v>97</v>
      </c>
      <c r="M4502" s="2" t="s">
        <v>98</v>
      </c>
      <c r="N4502" s="2" t="s">
        <v>119</v>
      </c>
      <c r="O4502" s="2" t="s">
        <v>100</v>
      </c>
      <c r="P4502" s="2" t="str">
        <f>"2170583075                    "</f>
        <v xml:space="preserve">2170583075                    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  <c r="AB4502" s="2">
        <v>0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4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0</v>
      </c>
      <c r="AU4502" s="2">
        <v>0</v>
      </c>
      <c r="AV4502" s="2">
        <v>0</v>
      </c>
      <c r="AW4502" s="2">
        <v>0</v>
      </c>
      <c r="AX4502" s="2">
        <v>0</v>
      </c>
      <c r="AY4502" s="2">
        <v>0</v>
      </c>
      <c r="AZ4502" s="2">
        <v>0</v>
      </c>
      <c r="BA4502" s="2">
        <v>0</v>
      </c>
      <c r="BB4502" s="2">
        <v>0</v>
      </c>
      <c r="BC4502" s="2">
        <v>0</v>
      </c>
      <c r="BD4502" s="2">
        <v>0</v>
      </c>
      <c r="BE4502" s="2">
        <v>0</v>
      </c>
      <c r="BF4502" s="2">
        <v>0</v>
      </c>
      <c r="BG4502" s="2">
        <v>0</v>
      </c>
      <c r="BH4502" s="2">
        <v>2</v>
      </c>
      <c r="BI4502" s="2">
        <v>2</v>
      </c>
      <c r="BJ4502" s="2">
        <v>0.5</v>
      </c>
      <c r="BK4502" s="2">
        <v>2</v>
      </c>
      <c r="BL4502" s="2">
        <v>41.44</v>
      </c>
      <c r="BM4502" s="2">
        <v>5.8</v>
      </c>
      <c r="BN4502" s="2">
        <v>47.24</v>
      </c>
      <c r="BO4502" s="2">
        <v>47.24</v>
      </c>
      <c r="BP4502" s="2"/>
      <c r="BQ4502" s="2" t="s">
        <v>108</v>
      </c>
      <c r="BR4502" s="2" t="s">
        <v>84</v>
      </c>
      <c r="BS4502" s="3">
        <v>42951</v>
      </c>
      <c r="BT4502" s="4">
        <v>0.33749999999999997</v>
      </c>
      <c r="BU4502" s="2" t="s">
        <v>224</v>
      </c>
      <c r="BV4502" s="2" t="s">
        <v>95</v>
      </c>
      <c r="BW4502" s="2"/>
      <c r="BX4502" s="2"/>
      <c r="BY4502" s="2">
        <v>2400</v>
      </c>
      <c r="BZ4502" s="2" t="s">
        <v>27</v>
      </c>
      <c r="CA4502" s="2" t="s">
        <v>213</v>
      </c>
      <c r="CB4502" s="2"/>
      <c r="CC4502" s="2" t="s">
        <v>98</v>
      </c>
      <c r="CD4502" s="2">
        <v>6001</v>
      </c>
      <c r="CE4502" s="2" t="s">
        <v>2494</v>
      </c>
      <c r="CF4502" s="5">
        <v>42951</v>
      </c>
      <c r="CG4502" s="2"/>
      <c r="CH4502" s="2"/>
      <c r="CI4502" s="2">
        <v>1</v>
      </c>
      <c r="CJ4502" s="2">
        <v>1</v>
      </c>
      <c r="CK4502" s="2">
        <v>21</v>
      </c>
      <c r="CL4502" s="2" t="s">
        <v>86</v>
      </c>
      <c r="CM4502" s="2"/>
    </row>
    <row r="4503" spans="1:91">
      <c r="A4503" s="2" t="s">
        <v>71</v>
      </c>
      <c r="B4503" s="2" t="s">
        <v>72</v>
      </c>
      <c r="C4503" s="2" t="s">
        <v>73</v>
      </c>
      <c r="D4503" s="2"/>
      <c r="E4503" s="2" t="str">
        <f>"FES1162566714"</f>
        <v>FES1162566714</v>
      </c>
      <c r="F4503" s="3">
        <v>42950</v>
      </c>
      <c r="G4503" s="2">
        <v>201802</v>
      </c>
      <c r="H4503" s="2" t="s">
        <v>74</v>
      </c>
      <c r="I4503" s="2" t="s">
        <v>75</v>
      </c>
      <c r="J4503" s="2" t="s">
        <v>76</v>
      </c>
      <c r="K4503" s="2" t="s">
        <v>77</v>
      </c>
      <c r="L4503" s="2" t="s">
        <v>174</v>
      </c>
      <c r="M4503" s="2" t="s">
        <v>175</v>
      </c>
      <c r="N4503" s="2" t="s">
        <v>2521</v>
      </c>
      <c r="O4503" s="2" t="s">
        <v>100</v>
      </c>
      <c r="P4503" s="2" t="str">
        <f>"2170583005                    "</f>
        <v xml:space="preserve">2170583005                    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9.01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0</v>
      </c>
      <c r="AU4503" s="2">
        <v>0</v>
      </c>
      <c r="AV4503" s="2">
        <v>0</v>
      </c>
      <c r="AW4503" s="2">
        <v>0</v>
      </c>
      <c r="AX4503" s="2">
        <v>0</v>
      </c>
      <c r="AY4503" s="2">
        <v>0</v>
      </c>
      <c r="AZ4503" s="2">
        <v>0</v>
      </c>
      <c r="BA4503" s="2">
        <v>0</v>
      </c>
      <c r="BB4503" s="2">
        <v>0</v>
      </c>
      <c r="BC4503" s="2">
        <v>0</v>
      </c>
      <c r="BD4503" s="2">
        <v>0</v>
      </c>
      <c r="BE4503" s="2">
        <v>0</v>
      </c>
      <c r="BF4503" s="2">
        <v>0</v>
      </c>
      <c r="BG4503" s="2">
        <v>0</v>
      </c>
      <c r="BH4503" s="2">
        <v>1</v>
      </c>
      <c r="BI4503" s="2">
        <v>3</v>
      </c>
      <c r="BJ4503" s="2">
        <v>4.5</v>
      </c>
      <c r="BK4503" s="2">
        <v>4.5</v>
      </c>
      <c r="BL4503" s="2">
        <v>93.25</v>
      </c>
      <c r="BM4503" s="2">
        <v>13.06</v>
      </c>
      <c r="BN4503" s="2">
        <v>106.31</v>
      </c>
      <c r="BO4503" s="2">
        <v>106.31</v>
      </c>
      <c r="BP4503" s="2"/>
      <c r="BQ4503" s="2" t="s">
        <v>4056</v>
      </c>
      <c r="BR4503" s="2" t="s">
        <v>84</v>
      </c>
      <c r="BS4503" s="3">
        <v>42951</v>
      </c>
      <c r="BT4503" s="4">
        <v>0.35555555555555557</v>
      </c>
      <c r="BU4503" s="2" t="s">
        <v>4057</v>
      </c>
      <c r="BV4503" s="2" t="s">
        <v>95</v>
      </c>
      <c r="BW4503" s="2"/>
      <c r="BX4503" s="2"/>
      <c r="BY4503" s="2">
        <v>22400</v>
      </c>
      <c r="BZ4503" s="2" t="s">
        <v>27</v>
      </c>
      <c r="CA4503" s="2" t="s">
        <v>1420</v>
      </c>
      <c r="CB4503" s="2"/>
      <c r="CC4503" s="2" t="s">
        <v>175</v>
      </c>
      <c r="CD4503" s="2">
        <v>5201</v>
      </c>
      <c r="CE4503" s="2" t="s">
        <v>1005</v>
      </c>
      <c r="CF4503" s="5">
        <v>42954</v>
      </c>
      <c r="CG4503" s="2"/>
      <c r="CH4503" s="2"/>
      <c r="CI4503" s="2">
        <v>1</v>
      </c>
      <c r="CJ4503" s="2">
        <v>1</v>
      </c>
      <c r="CK4503" s="2">
        <v>21</v>
      </c>
      <c r="CL4503" s="2" t="s">
        <v>86</v>
      </c>
      <c r="CM4503" s="2"/>
    </row>
    <row r="4504" spans="1:91">
      <c r="A4504" s="2" t="s">
        <v>71</v>
      </c>
      <c r="B4504" s="2" t="s">
        <v>72</v>
      </c>
      <c r="C4504" s="2" t="s">
        <v>73</v>
      </c>
      <c r="D4504" s="2"/>
      <c r="E4504" s="2" t="str">
        <f>"FES1162566340"</f>
        <v>FES1162566340</v>
      </c>
      <c r="F4504" s="3">
        <v>42950</v>
      </c>
      <c r="G4504" s="2">
        <v>201802</v>
      </c>
      <c r="H4504" s="2" t="s">
        <v>74</v>
      </c>
      <c r="I4504" s="2" t="s">
        <v>75</v>
      </c>
      <c r="J4504" s="2" t="s">
        <v>76</v>
      </c>
      <c r="K4504" s="2" t="s">
        <v>77</v>
      </c>
      <c r="L4504" s="2" t="s">
        <v>841</v>
      </c>
      <c r="M4504" s="2" t="s">
        <v>842</v>
      </c>
      <c r="N4504" s="2" t="s">
        <v>843</v>
      </c>
      <c r="O4504" s="2" t="s">
        <v>100</v>
      </c>
      <c r="P4504" s="2" t="str">
        <f>"2170571441                    "</f>
        <v xml:space="preserve">2170571441                    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  <c r="AB4504" s="2">
        <v>0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62.04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0</v>
      </c>
      <c r="AU4504" s="2">
        <v>0</v>
      </c>
      <c r="AV4504" s="2">
        <v>0</v>
      </c>
      <c r="AW4504" s="2">
        <v>0</v>
      </c>
      <c r="AX4504" s="2">
        <v>0</v>
      </c>
      <c r="AY4504" s="2">
        <v>0</v>
      </c>
      <c r="AZ4504" s="2">
        <v>0</v>
      </c>
      <c r="BA4504" s="2">
        <v>0</v>
      </c>
      <c r="BB4504" s="2">
        <v>0</v>
      </c>
      <c r="BC4504" s="2">
        <v>0</v>
      </c>
      <c r="BD4504" s="2">
        <v>0</v>
      </c>
      <c r="BE4504" s="2">
        <v>0</v>
      </c>
      <c r="BF4504" s="2">
        <v>0</v>
      </c>
      <c r="BG4504" s="2">
        <v>0</v>
      </c>
      <c r="BH4504" s="2">
        <v>1</v>
      </c>
      <c r="BI4504" s="2">
        <v>17.100000000000001</v>
      </c>
      <c r="BJ4504" s="2">
        <v>10.1</v>
      </c>
      <c r="BK4504" s="2">
        <v>17.5</v>
      </c>
      <c r="BL4504" s="2">
        <v>642.36</v>
      </c>
      <c r="BM4504" s="2">
        <v>89.93</v>
      </c>
      <c r="BN4504" s="2">
        <v>732.29</v>
      </c>
      <c r="BO4504" s="2">
        <v>732.29</v>
      </c>
      <c r="BP4504" s="2"/>
      <c r="BQ4504" s="2" t="s">
        <v>83</v>
      </c>
      <c r="BR4504" s="2" t="s">
        <v>84</v>
      </c>
      <c r="BS4504" s="3">
        <v>42951</v>
      </c>
      <c r="BT4504" s="4">
        <v>0.52083333333333337</v>
      </c>
      <c r="BU4504" s="2" t="s">
        <v>4058</v>
      </c>
      <c r="BV4504" s="2" t="s">
        <v>95</v>
      </c>
      <c r="BW4504" s="2"/>
      <c r="BX4504" s="2"/>
      <c r="BY4504" s="2">
        <v>50319.360000000001</v>
      </c>
      <c r="BZ4504" s="2" t="s">
        <v>27</v>
      </c>
      <c r="CA4504" s="2" t="s">
        <v>148</v>
      </c>
      <c r="CB4504" s="2"/>
      <c r="CC4504" s="2" t="s">
        <v>842</v>
      </c>
      <c r="CD4504" s="2">
        <v>3370</v>
      </c>
      <c r="CE4504" s="2" t="s">
        <v>89</v>
      </c>
      <c r="CF4504" s="5">
        <v>42955</v>
      </c>
      <c r="CG4504" s="2"/>
      <c r="CH4504" s="2"/>
      <c r="CI4504" s="2">
        <v>3</v>
      </c>
      <c r="CJ4504" s="2">
        <v>1</v>
      </c>
      <c r="CK4504" s="2">
        <v>23</v>
      </c>
      <c r="CL4504" s="2" t="s">
        <v>86</v>
      </c>
      <c r="CM4504" s="2"/>
    </row>
    <row r="4505" spans="1:91">
      <c r="A4505" s="2" t="s">
        <v>71</v>
      </c>
      <c r="B4505" s="2" t="s">
        <v>72</v>
      </c>
      <c r="C4505" s="2" t="s">
        <v>73</v>
      </c>
      <c r="D4505" s="2"/>
      <c r="E4505" s="2" t="str">
        <f>"FES1162566820"</f>
        <v>FES1162566820</v>
      </c>
      <c r="F4505" s="3">
        <v>42950</v>
      </c>
      <c r="G4505" s="2">
        <v>201802</v>
      </c>
      <c r="H4505" s="2" t="s">
        <v>74</v>
      </c>
      <c r="I4505" s="2" t="s">
        <v>75</v>
      </c>
      <c r="J4505" s="2" t="s">
        <v>76</v>
      </c>
      <c r="K4505" s="2" t="s">
        <v>77</v>
      </c>
      <c r="L4505" s="2" t="s">
        <v>97</v>
      </c>
      <c r="M4505" s="2" t="s">
        <v>98</v>
      </c>
      <c r="N4505" s="2" t="s">
        <v>2203</v>
      </c>
      <c r="O4505" s="2" t="s">
        <v>100</v>
      </c>
      <c r="P4505" s="2" t="str">
        <f>"2170583054                    "</f>
        <v xml:space="preserve">2170583054                    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0</v>
      </c>
      <c r="Z4505" s="2">
        <v>0</v>
      </c>
      <c r="AA4505" s="2">
        <v>0</v>
      </c>
      <c r="AB4505" s="2">
        <v>0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4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0</v>
      </c>
      <c r="AU4505" s="2">
        <v>0</v>
      </c>
      <c r="AV4505" s="2">
        <v>0</v>
      </c>
      <c r="AW4505" s="2">
        <v>0</v>
      </c>
      <c r="AX4505" s="2">
        <v>0</v>
      </c>
      <c r="AY4505" s="2">
        <v>0</v>
      </c>
      <c r="AZ4505" s="2">
        <v>0</v>
      </c>
      <c r="BA4505" s="2">
        <v>0</v>
      </c>
      <c r="BB4505" s="2">
        <v>0</v>
      </c>
      <c r="BC4505" s="2">
        <v>0</v>
      </c>
      <c r="BD4505" s="2">
        <v>0</v>
      </c>
      <c r="BE4505" s="2">
        <v>0</v>
      </c>
      <c r="BF4505" s="2">
        <v>0</v>
      </c>
      <c r="BG4505" s="2">
        <v>0</v>
      </c>
      <c r="BH4505" s="2">
        <v>1</v>
      </c>
      <c r="BI4505" s="2">
        <v>1</v>
      </c>
      <c r="BJ4505" s="2">
        <v>0.2</v>
      </c>
      <c r="BK4505" s="2">
        <v>1</v>
      </c>
      <c r="BL4505" s="2">
        <v>41.44</v>
      </c>
      <c r="BM4505" s="2">
        <v>5.8</v>
      </c>
      <c r="BN4505" s="2">
        <v>47.24</v>
      </c>
      <c r="BO4505" s="2">
        <v>47.24</v>
      </c>
      <c r="BP4505" s="2"/>
      <c r="BQ4505" s="2" t="s">
        <v>4059</v>
      </c>
      <c r="BR4505" s="2" t="s">
        <v>84</v>
      </c>
      <c r="BS4505" s="3">
        <v>42951</v>
      </c>
      <c r="BT4505" s="4">
        <v>0.3125</v>
      </c>
      <c r="BU4505" s="2" t="s">
        <v>4060</v>
      </c>
      <c r="BV4505" s="2" t="s">
        <v>95</v>
      </c>
      <c r="BW4505" s="2"/>
      <c r="BX4505" s="2"/>
      <c r="BY4505" s="2">
        <v>1200</v>
      </c>
      <c r="BZ4505" s="2" t="s">
        <v>27</v>
      </c>
      <c r="CA4505" s="2" t="s">
        <v>804</v>
      </c>
      <c r="CB4505" s="2"/>
      <c r="CC4505" s="2" t="s">
        <v>98</v>
      </c>
      <c r="CD4505" s="2">
        <v>6001</v>
      </c>
      <c r="CE4505" s="2" t="s">
        <v>104</v>
      </c>
      <c r="CF4505" s="5">
        <v>42954</v>
      </c>
      <c r="CG4505" s="2"/>
      <c r="CH4505" s="2"/>
      <c r="CI4505" s="2">
        <v>1</v>
      </c>
      <c r="CJ4505" s="2">
        <v>1</v>
      </c>
      <c r="CK4505" s="2">
        <v>21</v>
      </c>
      <c r="CL4505" s="2" t="s">
        <v>86</v>
      </c>
      <c r="CM4505" s="2"/>
    </row>
    <row r="4506" spans="1:91">
      <c r="A4506" s="2" t="s">
        <v>71</v>
      </c>
      <c r="B4506" s="2" t="s">
        <v>72</v>
      </c>
      <c r="C4506" s="2" t="s">
        <v>73</v>
      </c>
      <c r="D4506" s="2"/>
      <c r="E4506" s="2" t="str">
        <f>"FES1162566511"</f>
        <v>FES1162566511</v>
      </c>
      <c r="F4506" s="3">
        <v>42950</v>
      </c>
      <c r="G4506" s="2">
        <v>201802</v>
      </c>
      <c r="H4506" s="2" t="s">
        <v>74</v>
      </c>
      <c r="I4506" s="2" t="s">
        <v>75</v>
      </c>
      <c r="J4506" s="2" t="s">
        <v>76</v>
      </c>
      <c r="K4506" s="2" t="s">
        <v>77</v>
      </c>
      <c r="L4506" s="2" t="s">
        <v>149</v>
      </c>
      <c r="M4506" s="2" t="s">
        <v>150</v>
      </c>
      <c r="N4506" s="2" t="s">
        <v>1268</v>
      </c>
      <c r="O4506" s="2" t="s">
        <v>358</v>
      </c>
      <c r="P4506" s="2" t="str">
        <f>"2170581721                    "</f>
        <v xml:space="preserve">2170581721                    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33.770000000000003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0</v>
      </c>
      <c r="AU4506" s="2">
        <v>0</v>
      </c>
      <c r="AV4506" s="2">
        <v>0</v>
      </c>
      <c r="AW4506" s="2">
        <v>0</v>
      </c>
      <c r="AX4506" s="2">
        <v>0</v>
      </c>
      <c r="AY4506" s="2">
        <v>0</v>
      </c>
      <c r="AZ4506" s="2">
        <v>0</v>
      </c>
      <c r="BA4506" s="2">
        <v>0</v>
      </c>
      <c r="BB4506" s="2">
        <v>0</v>
      </c>
      <c r="BC4506" s="2">
        <v>0</v>
      </c>
      <c r="BD4506" s="2">
        <v>0</v>
      </c>
      <c r="BE4506" s="2">
        <v>0</v>
      </c>
      <c r="BF4506" s="2">
        <v>0</v>
      </c>
      <c r="BG4506" s="2">
        <v>0</v>
      </c>
      <c r="BH4506" s="2">
        <v>1</v>
      </c>
      <c r="BI4506" s="2">
        <v>18</v>
      </c>
      <c r="BJ4506" s="2">
        <v>17.600000000000001</v>
      </c>
      <c r="BK4506" s="2">
        <v>18</v>
      </c>
      <c r="BL4506" s="2">
        <v>349.67</v>
      </c>
      <c r="BM4506" s="2">
        <v>48.95</v>
      </c>
      <c r="BN4506" s="2">
        <v>398.62</v>
      </c>
      <c r="BO4506" s="2">
        <v>398.62</v>
      </c>
      <c r="BP4506" s="2"/>
      <c r="BQ4506" s="2" t="s">
        <v>83</v>
      </c>
      <c r="BR4506" s="2" t="s">
        <v>84</v>
      </c>
      <c r="BS4506" s="3">
        <v>42951</v>
      </c>
      <c r="BT4506" s="4">
        <v>0.35694444444444445</v>
      </c>
      <c r="BU4506" s="2" t="s">
        <v>1817</v>
      </c>
      <c r="BV4506" s="2" t="s">
        <v>95</v>
      </c>
      <c r="BW4506" s="2"/>
      <c r="BX4506" s="2"/>
      <c r="BY4506" s="2">
        <v>88225.51</v>
      </c>
      <c r="BZ4506" s="2" t="s">
        <v>27</v>
      </c>
      <c r="CA4506" s="2" t="s">
        <v>682</v>
      </c>
      <c r="CB4506" s="2"/>
      <c r="CC4506" s="2" t="s">
        <v>150</v>
      </c>
      <c r="CD4506" s="2">
        <v>4001</v>
      </c>
      <c r="CE4506" s="2" t="s">
        <v>259</v>
      </c>
      <c r="CF4506" s="5">
        <v>42954</v>
      </c>
      <c r="CG4506" s="2"/>
      <c r="CH4506" s="2"/>
      <c r="CI4506" s="2">
        <v>1</v>
      </c>
      <c r="CJ4506" s="2">
        <v>1</v>
      </c>
      <c r="CK4506" s="2">
        <v>31</v>
      </c>
      <c r="CL4506" s="2" t="s">
        <v>86</v>
      </c>
      <c r="CM4506" s="2"/>
    </row>
    <row r="4507" spans="1:91">
      <c r="A4507" s="2" t="s">
        <v>71</v>
      </c>
      <c r="B4507" s="2" t="s">
        <v>72</v>
      </c>
      <c r="C4507" s="2" t="s">
        <v>73</v>
      </c>
      <c r="D4507" s="2"/>
      <c r="E4507" s="2" t="str">
        <f>"FES1162566647"</f>
        <v>FES1162566647</v>
      </c>
      <c r="F4507" s="3">
        <v>42950</v>
      </c>
      <c r="G4507" s="2">
        <v>201802</v>
      </c>
      <c r="H4507" s="2" t="s">
        <v>74</v>
      </c>
      <c r="I4507" s="2" t="s">
        <v>75</v>
      </c>
      <c r="J4507" s="2" t="s">
        <v>76</v>
      </c>
      <c r="K4507" s="2" t="s">
        <v>77</v>
      </c>
      <c r="L4507" s="2" t="s">
        <v>97</v>
      </c>
      <c r="M4507" s="2" t="s">
        <v>98</v>
      </c>
      <c r="N4507" s="2" t="s">
        <v>1904</v>
      </c>
      <c r="O4507" s="2" t="s">
        <v>100</v>
      </c>
      <c r="P4507" s="2" t="str">
        <f>"2170582984                    "</f>
        <v xml:space="preserve">2170582984                    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4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0</v>
      </c>
      <c r="AU4507" s="2">
        <v>0</v>
      </c>
      <c r="AV4507" s="2">
        <v>0</v>
      </c>
      <c r="AW4507" s="2">
        <v>0</v>
      </c>
      <c r="AX4507" s="2">
        <v>0</v>
      </c>
      <c r="AY4507" s="2">
        <v>0</v>
      </c>
      <c r="AZ4507" s="2">
        <v>0</v>
      </c>
      <c r="BA4507" s="2">
        <v>0</v>
      </c>
      <c r="BB4507" s="2">
        <v>0</v>
      </c>
      <c r="BC4507" s="2">
        <v>0</v>
      </c>
      <c r="BD4507" s="2">
        <v>0</v>
      </c>
      <c r="BE4507" s="2">
        <v>0</v>
      </c>
      <c r="BF4507" s="2">
        <v>0</v>
      </c>
      <c r="BG4507" s="2">
        <v>0</v>
      </c>
      <c r="BH4507" s="2">
        <v>1</v>
      </c>
      <c r="BI4507" s="2">
        <v>1</v>
      </c>
      <c r="BJ4507" s="2">
        <v>0.9</v>
      </c>
      <c r="BK4507" s="2">
        <v>1</v>
      </c>
      <c r="BL4507" s="2">
        <v>41.44</v>
      </c>
      <c r="BM4507" s="2">
        <v>5.8</v>
      </c>
      <c r="BN4507" s="2">
        <v>47.24</v>
      </c>
      <c r="BO4507" s="2">
        <v>47.24</v>
      </c>
      <c r="BP4507" s="2"/>
      <c r="BQ4507" s="2" t="s">
        <v>1905</v>
      </c>
      <c r="BR4507" s="2" t="s">
        <v>84</v>
      </c>
      <c r="BS4507" s="3">
        <v>42951</v>
      </c>
      <c r="BT4507" s="4">
        <v>0.40138888888888885</v>
      </c>
      <c r="BU4507" s="2" t="s">
        <v>4061</v>
      </c>
      <c r="BV4507" s="2" t="s">
        <v>95</v>
      </c>
      <c r="BW4507" s="2"/>
      <c r="BX4507" s="2"/>
      <c r="BY4507" s="2">
        <v>4553.6400000000003</v>
      </c>
      <c r="BZ4507" s="2" t="s">
        <v>27</v>
      </c>
      <c r="CA4507" s="2" t="s">
        <v>213</v>
      </c>
      <c r="CB4507" s="2"/>
      <c r="CC4507" s="2" t="s">
        <v>98</v>
      </c>
      <c r="CD4507" s="2">
        <v>6001</v>
      </c>
      <c r="CE4507" s="2" t="s">
        <v>259</v>
      </c>
      <c r="CF4507" s="5">
        <v>42951</v>
      </c>
      <c r="CG4507" s="2"/>
      <c r="CH4507" s="2"/>
      <c r="CI4507" s="2">
        <v>1</v>
      </c>
      <c r="CJ4507" s="2">
        <v>1</v>
      </c>
      <c r="CK4507" s="2">
        <v>21</v>
      </c>
      <c r="CL4507" s="2" t="s">
        <v>86</v>
      </c>
      <c r="CM4507" s="2"/>
    </row>
    <row r="4508" spans="1:91">
      <c r="A4508" s="2" t="s">
        <v>71</v>
      </c>
      <c r="B4508" s="2" t="s">
        <v>72</v>
      </c>
      <c r="C4508" s="2" t="s">
        <v>73</v>
      </c>
      <c r="D4508" s="2"/>
      <c r="E4508" s="2" t="str">
        <f>"FES1162566774"</f>
        <v>FES1162566774</v>
      </c>
      <c r="F4508" s="3">
        <v>42950</v>
      </c>
      <c r="G4508" s="2">
        <v>201802</v>
      </c>
      <c r="H4508" s="2" t="s">
        <v>74</v>
      </c>
      <c r="I4508" s="2" t="s">
        <v>75</v>
      </c>
      <c r="J4508" s="2" t="s">
        <v>76</v>
      </c>
      <c r="K4508" s="2" t="s">
        <v>77</v>
      </c>
      <c r="L4508" s="2" t="s">
        <v>174</v>
      </c>
      <c r="M4508" s="2" t="s">
        <v>175</v>
      </c>
      <c r="N4508" s="2" t="s">
        <v>4062</v>
      </c>
      <c r="O4508" s="2" t="s">
        <v>100</v>
      </c>
      <c r="P4508" s="2" t="str">
        <f>"2170583020                    "</f>
        <v xml:space="preserve">2170583020                    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2">
        <v>0</v>
      </c>
      <c r="Z4508" s="2">
        <v>0</v>
      </c>
      <c r="AA4508" s="2">
        <v>0</v>
      </c>
      <c r="AB4508" s="2">
        <v>0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4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0</v>
      </c>
      <c r="AU4508" s="2">
        <v>0</v>
      </c>
      <c r="AV4508" s="2">
        <v>0</v>
      </c>
      <c r="AW4508" s="2">
        <v>0</v>
      </c>
      <c r="AX4508" s="2">
        <v>0</v>
      </c>
      <c r="AY4508" s="2">
        <v>0</v>
      </c>
      <c r="AZ4508" s="2">
        <v>0</v>
      </c>
      <c r="BA4508" s="2">
        <v>0</v>
      </c>
      <c r="BB4508" s="2">
        <v>0</v>
      </c>
      <c r="BC4508" s="2">
        <v>0</v>
      </c>
      <c r="BD4508" s="2">
        <v>0</v>
      </c>
      <c r="BE4508" s="2">
        <v>0</v>
      </c>
      <c r="BF4508" s="2">
        <v>0</v>
      </c>
      <c r="BG4508" s="2">
        <v>0</v>
      </c>
      <c r="BH4508" s="2">
        <v>1</v>
      </c>
      <c r="BI4508" s="2">
        <v>1</v>
      </c>
      <c r="BJ4508" s="2">
        <v>0.2</v>
      </c>
      <c r="BK4508" s="2">
        <v>1</v>
      </c>
      <c r="BL4508" s="2">
        <v>41.44</v>
      </c>
      <c r="BM4508" s="2">
        <v>5.8</v>
      </c>
      <c r="BN4508" s="2">
        <v>47.24</v>
      </c>
      <c r="BO4508" s="2">
        <v>47.24</v>
      </c>
      <c r="BP4508" s="2"/>
      <c r="BQ4508" s="2"/>
      <c r="BR4508" s="2" t="s">
        <v>84</v>
      </c>
      <c r="BS4508" s="3">
        <v>42951</v>
      </c>
      <c r="BT4508" s="4">
        <v>0.4375</v>
      </c>
      <c r="BU4508" s="2" t="s">
        <v>4063</v>
      </c>
      <c r="BV4508" s="2" t="s">
        <v>95</v>
      </c>
      <c r="BW4508" s="2"/>
      <c r="BX4508" s="2"/>
      <c r="BY4508" s="2">
        <v>1200</v>
      </c>
      <c r="BZ4508" s="2" t="s">
        <v>27</v>
      </c>
      <c r="CA4508" s="2" t="s">
        <v>1420</v>
      </c>
      <c r="CB4508" s="2"/>
      <c r="CC4508" s="2" t="s">
        <v>175</v>
      </c>
      <c r="CD4508" s="2">
        <v>5201</v>
      </c>
      <c r="CE4508" s="2" t="s">
        <v>3630</v>
      </c>
      <c r="CF4508" s="5">
        <v>42954</v>
      </c>
      <c r="CG4508" s="2"/>
      <c r="CH4508" s="2"/>
      <c r="CI4508" s="2">
        <v>1</v>
      </c>
      <c r="CJ4508" s="2">
        <v>1</v>
      </c>
      <c r="CK4508" s="2">
        <v>21</v>
      </c>
      <c r="CL4508" s="2" t="s">
        <v>86</v>
      </c>
      <c r="CM4508" s="2"/>
    </row>
    <row r="4509" spans="1:91">
      <c r="A4509" s="2" t="s">
        <v>71</v>
      </c>
      <c r="B4509" s="2" t="s">
        <v>72</v>
      </c>
      <c r="C4509" s="2" t="s">
        <v>73</v>
      </c>
      <c r="D4509" s="2"/>
      <c r="E4509" s="2" t="str">
        <f>"FES1162566687"</f>
        <v>FES1162566687</v>
      </c>
      <c r="F4509" s="3">
        <v>42950</v>
      </c>
      <c r="G4509" s="2">
        <v>201802</v>
      </c>
      <c r="H4509" s="2" t="s">
        <v>74</v>
      </c>
      <c r="I4509" s="2" t="s">
        <v>75</v>
      </c>
      <c r="J4509" s="2" t="s">
        <v>76</v>
      </c>
      <c r="K4509" s="2" t="s">
        <v>77</v>
      </c>
      <c r="L4509" s="2" t="s">
        <v>97</v>
      </c>
      <c r="M4509" s="2" t="s">
        <v>98</v>
      </c>
      <c r="N4509" s="2" t="s">
        <v>4064</v>
      </c>
      <c r="O4509" s="2" t="s">
        <v>100</v>
      </c>
      <c r="P4509" s="2" t="str">
        <f>"2170587993                    "</f>
        <v xml:space="preserve">2170587993                    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  <c r="AB4509" s="2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4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0</v>
      </c>
      <c r="AU4509" s="2">
        <v>0</v>
      </c>
      <c r="AV4509" s="2">
        <v>0</v>
      </c>
      <c r="AW4509" s="2">
        <v>0</v>
      </c>
      <c r="AX4509" s="2">
        <v>0</v>
      </c>
      <c r="AY4509" s="2">
        <v>0</v>
      </c>
      <c r="AZ4509" s="2">
        <v>0</v>
      </c>
      <c r="BA4509" s="2">
        <v>0</v>
      </c>
      <c r="BB4509" s="2">
        <v>0</v>
      </c>
      <c r="BC4509" s="2">
        <v>0</v>
      </c>
      <c r="BD4509" s="2">
        <v>0</v>
      </c>
      <c r="BE4509" s="2">
        <v>0</v>
      </c>
      <c r="BF4509" s="2">
        <v>0</v>
      </c>
      <c r="BG4509" s="2">
        <v>0</v>
      </c>
      <c r="BH4509" s="2">
        <v>1</v>
      </c>
      <c r="BI4509" s="2">
        <v>1</v>
      </c>
      <c r="BJ4509" s="2">
        <v>0.2</v>
      </c>
      <c r="BK4509" s="2">
        <v>1</v>
      </c>
      <c r="BL4509" s="2">
        <v>41.44</v>
      </c>
      <c r="BM4509" s="2">
        <v>5.8</v>
      </c>
      <c r="BN4509" s="2">
        <v>47.24</v>
      </c>
      <c r="BO4509" s="2">
        <v>47.24</v>
      </c>
      <c r="BP4509" s="2"/>
      <c r="BQ4509" s="2" t="s">
        <v>4065</v>
      </c>
      <c r="BR4509" s="2" t="s">
        <v>84</v>
      </c>
      <c r="BS4509" s="3">
        <v>42951</v>
      </c>
      <c r="BT4509" s="4">
        <v>0.35069444444444442</v>
      </c>
      <c r="BU4509" s="2" t="s">
        <v>4066</v>
      </c>
      <c r="BV4509" s="2" t="s">
        <v>95</v>
      </c>
      <c r="BW4509" s="2"/>
      <c r="BX4509" s="2"/>
      <c r="BY4509" s="2">
        <v>1200</v>
      </c>
      <c r="BZ4509" s="2" t="s">
        <v>27</v>
      </c>
      <c r="CA4509" s="2" t="s">
        <v>103</v>
      </c>
      <c r="CB4509" s="2"/>
      <c r="CC4509" s="2" t="s">
        <v>98</v>
      </c>
      <c r="CD4509" s="2">
        <v>6001</v>
      </c>
      <c r="CE4509" s="2" t="s">
        <v>104</v>
      </c>
      <c r="CF4509" s="5">
        <v>42954</v>
      </c>
      <c r="CG4509" s="2"/>
      <c r="CH4509" s="2"/>
      <c r="CI4509" s="2">
        <v>1</v>
      </c>
      <c r="CJ4509" s="2">
        <v>1</v>
      </c>
      <c r="CK4509" s="2">
        <v>21</v>
      </c>
      <c r="CL4509" s="2" t="s">
        <v>86</v>
      </c>
      <c r="CM4509" s="2"/>
    </row>
    <row r="4510" spans="1:91">
      <c r="A4510" s="2" t="s">
        <v>71</v>
      </c>
      <c r="B4510" s="2" t="s">
        <v>72</v>
      </c>
      <c r="C4510" s="2" t="s">
        <v>73</v>
      </c>
      <c r="D4510" s="2"/>
      <c r="E4510" s="2" t="str">
        <f>"FES1162566772"</f>
        <v>FES1162566772</v>
      </c>
      <c r="F4510" s="3">
        <v>42950</v>
      </c>
      <c r="G4510" s="2">
        <v>201802</v>
      </c>
      <c r="H4510" s="2" t="s">
        <v>74</v>
      </c>
      <c r="I4510" s="2" t="s">
        <v>75</v>
      </c>
      <c r="J4510" s="2" t="s">
        <v>76</v>
      </c>
      <c r="K4510" s="2" t="s">
        <v>77</v>
      </c>
      <c r="L4510" s="2" t="s">
        <v>321</v>
      </c>
      <c r="M4510" s="2" t="s">
        <v>322</v>
      </c>
      <c r="N4510" s="2" t="s">
        <v>323</v>
      </c>
      <c r="O4510" s="2" t="s">
        <v>100</v>
      </c>
      <c r="P4510" s="2" t="str">
        <f>"2170582591                    "</f>
        <v xml:space="preserve">2170582591                    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2">
        <v>0</v>
      </c>
      <c r="AB4510" s="2">
        <v>0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4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0</v>
      </c>
      <c r="AU4510" s="2">
        <v>0</v>
      </c>
      <c r="AV4510" s="2">
        <v>0</v>
      </c>
      <c r="AW4510" s="2">
        <v>0</v>
      </c>
      <c r="AX4510" s="2">
        <v>0</v>
      </c>
      <c r="AY4510" s="2">
        <v>0</v>
      </c>
      <c r="AZ4510" s="2">
        <v>0</v>
      </c>
      <c r="BA4510" s="2">
        <v>0</v>
      </c>
      <c r="BB4510" s="2">
        <v>0</v>
      </c>
      <c r="BC4510" s="2">
        <v>0</v>
      </c>
      <c r="BD4510" s="2">
        <v>0</v>
      </c>
      <c r="BE4510" s="2">
        <v>0</v>
      </c>
      <c r="BF4510" s="2">
        <v>0</v>
      </c>
      <c r="BG4510" s="2">
        <v>0</v>
      </c>
      <c r="BH4510" s="2">
        <v>1</v>
      </c>
      <c r="BI4510" s="2">
        <v>1</v>
      </c>
      <c r="BJ4510" s="2">
        <v>0.2</v>
      </c>
      <c r="BK4510" s="2">
        <v>1</v>
      </c>
      <c r="BL4510" s="2">
        <v>41.44</v>
      </c>
      <c r="BM4510" s="2">
        <v>5.8</v>
      </c>
      <c r="BN4510" s="2">
        <v>47.24</v>
      </c>
      <c r="BO4510" s="2">
        <v>47.24</v>
      </c>
      <c r="BP4510" s="2"/>
      <c r="BQ4510" s="2" t="s">
        <v>83</v>
      </c>
      <c r="BR4510" s="2" t="s">
        <v>84</v>
      </c>
      <c r="BS4510" s="3">
        <v>42951</v>
      </c>
      <c r="BT4510" s="4">
        <v>0.38194444444444442</v>
      </c>
      <c r="BU4510" s="2" t="s">
        <v>4067</v>
      </c>
      <c r="BV4510" s="2" t="s">
        <v>95</v>
      </c>
      <c r="BW4510" s="2"/>
      <c r="BX4510" s="2"/>
      <c r="BY4510" s="2">
        <v>1200</v>
      </c>
      <c r="BZ4510" s="2" t="s">
        <v>27</v>
      </c>
      <c r="CA4510" s="2" t="s">
        <v>103</v>
      </c>
      <c r="CB4510" s="2"/>
      <c r="CC4510" s="2" t="s">
        <v>322</v>
      </c>
      <c r="CD4510" s="2">
        <v>6220</v>
      </c>
      <c r="CE4510" s="2" t="s">
        <v>104</v>
      </c>
      <c r="CF4510" s="5">
        <v>42954</v>
      </c>
      <c r="CG4510" s="2"/>
      <c r="CH4510" s="2"/>
      <c r="CI4510" s="2">
        <v>1</v>
      </c>
      <c r="CJ4510" s="2">
        <v>1</v>
      </c>
      <c r="CK4510" s="2">
        <v>21</v>
      </c>
      <c r="CL4510" s="2" t="s">
        <v>86</v>
      </c>
      <c r="CM4510" s="2"/>
    </row>
    <row r="4511" spans="1:91">
      <c r="A4511" s="2" t="s">
        <v>71</v>
      </c>
      <c r="B4511" s="2" t="s">
        <v>72</v>
      </c>
      <c r="C4511" s="2" t="s">
        <v>73</v>
      </c>
      <c r="D4511" s="2"/>
      <c r="E4511" s="2" t="str">
        <f>"FES1162566658"</f>
        <v>FES1162566658</v>
      </c>
      <c r="F4511" s="3">
        <v>42950</v>
      </c>
      <c r="G4511" s="2">
        <v>201802</v>
      </c>
      <c r="H4511" s="2" t="s">
        <v>74</v>
      </c>
      <c r="I4511" s="2" t="s">
        <v>75</v>
      </c>
      <c r="J4511" s="2" t="s">
        <v>76</v>
      </c>
      <c r="K4511" s="2" t="s">
        <v>77</v>
      </c>
      <c r="L4511" s="2" t="s">
        <v>3501</v>
      </c>
      <c r="M4511" s="2" t="s">
        <v>3502</v>
      </c>
      <c r="N4511" s="2" t="s">
        <v>93</v>
      </c>
      <c r="O4511" s="2" t="s">
        <v>100</v>
      </c>
      <c r="P4511" s="2" t="str">
        <f>"217059479                     "</f>
        <v xml:space="preserve">217059479                     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7.75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0</v>
      </c>
      <c r="AU4511" s="2">
        <v>0</v>
      </c>
      <c r="AV4511" s="2">
        <v>0</v>
      </c>
      <c r="AW4511" s="2">
        <v>0</v>
      </c>
      <c r="AX4511" s="2">
        <v>0</v>
      </c>
      <c r="AY4511" s="2">
        <v>0</v>
      </c>
      <c r="AZ4511" s="2">
        <v>0</v>
      </c>
      <c r="BA4511" s="2">
        <v>0</v>
      </c>
      <c r="BB4511" s="2">
        <v>0</v>
      </c>
      <c r="BC4511" s="2">
        <v>0</v>
      </c>
      <c r="BD4511" s="2">
        <v>0</v>
      </c>
      <c r="BE4511" s="2">
        <v>0</v>
      </c>
      <c r="BF4511" s="2">
        <v>0</v>
      </c>
      <c r="BG4511" s="2">
        <v>0</v>
      </c>
      <c r="BH4511" s="2">
        <v>1</v>
      </c>
      <c r="BI4511" s="2">
        <v>1</v>
      </c>
      <c r="BJ4511" s="2">
        <v>0.2</v>
      </c>
      <c r="BK4511" s="2">
        <v>1</v>
      </c>
      <c r="BL4511" s="2">
        <v>80.290000000000006</v>
      </c>
      <c r="BM4511" s="2">
        <v>11.24</v>
      </c>
      <c r="BN4511" s="2">
        <v>91.53</v>
      </c>
      <c r="BO4511" s="2">
        <v>91.53</v>
      </c>
      <c r="BP4511" s="2"/>
      <c r="BQ4511" s="2"/>
      <c r="BR4511" s="2" t="s">
        <v>84</v>
      </c>
      <c r="BS4511" s="3">
        <v>42951</v>
      </c>
      <c r="BT4511" s="4">
        <v>0.375</v>
      </c>
      <c r="BU4511" s="2" t="s">
        <v>1734</v>
      </c>
      <c r="BV4511" s="2" t="s">
        <v>95</v>
      </c>
      <c r="BW4511" s="2"/>
      <c r="BX4511" s="2"/>
      <c r="BY4511" s="2">
        <v>1200</v>
      </c>
      <c r="BZ4511" s="2" t="s">
        <v>27</v>
      </c>
      <c r="CA4511" s="2"/>
      <c r="CB4511" s="2"/>
      <c r="CC4511" s="2" t="s">
        <v>3502</v>
      </c>
      <c r="CD4511" s="2">
        <v>9499</v>
      </c>
      <c r="CE4511" s="2" t="s">
        <v>104</v>
      </c>
      <c r="CF4511" s="5">
        <v>42957</v>
      </c>
      <c r="CG4511" s="2"/>
      <c r="CH4511" s="2"/>
      <c r="CI4511" s="2">
        <v>1</v>
      </c>
      <c r="CJ4511" s="2">
        <v>1</v>
      </c>
      <c r="CK4511" s="2">
        <v>23</v>
      </c>
      <c r="CL4511" s="2" t="s">
        <v>86</v>
      </c>
      <c r="CM4511" s="2"/>
    </row>
    <row r="4512" spans="1:91">
      <c r="A4512" s="2" t="s">
        <v>71</v>
      </c>
      <c r="B4512" s="2" t="s">
        <v>72</v>
      </c>
      <c r="C4512" s="2" t="s">
        <v>73</v>
      </c>
      <c r="D4512" s="2"/>
      <c r="E4512" s="2" t="str">
        <f>"FES1162566700"</f>
        <v>FES1162566700</v>
      </c>
      <c r="F4512" s="3">
        <v>42950</v>
      </c>
      <c r="G4512" s="2">
        <v>201802</v>
      </c>
      <c r="H4512" s="2" t="s">
        <v>74</v>
      </c>
      <c r="I4512" s="2" t="s">
        <v>75</v>
      </c>
      <c r="J4512" s="2" t="s">
        <v>76</v>
      </c>
      <c r="K4512" s="2" t="s">
        <v>77</v>
      </c>
      <c r="L4512" s="2" t="s">
        <v>97</v>
      </c>
      <c r="M4512" s="2" t="s">
        <v>98</v>
      </c>
      <c r="N4512" s="2" t="s">
        <v>119</v>
      </c>
      <c r="O4512" s="2" t="s">
        <v>100</v>
      </c>
      <c r="P4512" s="2" t="str">
        <f>"2170582945                    "</f>
        <v xml:space="preserve">2170582945                    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0</v>
      </c>
      <c r="Y4512" s="2">
        <v>0</v>
      </c>
      <c r="Z4512" s="2">
        <v>0</v>
      </c>
      <c r="AA4512" s="2">
        <v>0</v>
      </c>
      <c r="AB4512" s="2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4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0</v>
      </c>
      <c r="AU4512" s="2">
        <v>0</v>
      </c>
      <c r="AV4512" s="2">
        <v>0</v>
      </c>
      <c r="AW4512" s="2">
        <v>0</v>
      </c>
      <c r="AX4512" s="2">
        <v>0</v>
      </c>
      <c r="AY4512" s="2">
        <v>0</v>
      </c>
      <c r="AZ4512" s="2">
        <v>0</v>
      </c>
      <c r="BA4512" s="2">
        <v>0</v>
      </c>
      <c r="BB4512" s="2">
        <v>0</v>
      </c>
      <c r="BC4512" s="2">
        <v>0</v>
      </c>
      <c r="BD4512" s="2">
        <v>0</v>
      </c>
      <c r="BE4512" s="2">
        <v>0</v>
      </c>
      <c r="BF4512" s="2">
        <v>0</v>
      </c>
      <c r="BG4512" s="2">
        <v>0</v>
      </c>
      <c r="BH4512" s="2">
        <v>1</v>
      </c>
      <c r="BI4512" s="2">
        <v>1</v>
      </c>
      <c r="BJ4512" s="2">
        <v>0.2</v>
      </c>
      <c r="BK4512" s="2">
        <v>1</v>
      </c>
      <c r="BL4512" s="2">
        <v>41.44</v>
      </c>
      <c r="BM4512" s="2">
        <v>5.8</v>
      </c>
      <c r="BN4512" s="2">
        <v>47.24</v>
      </c>
      <c r="BO4512" s="2">
        <v>47.24</v>
      </c>
      <c r="BP4512" s="2"/>
      <c r="BQ4512" s="2" t="s">
        <v>108</v>
      </c>
      <c r="BR4512" s="2" t="s">
        <v>84</v>
      </c>
      <c r="BS4512" s="3">
        <v>42951</v>
      </c>
      <c r="BT4512" s="4">
        <v>0.3354166666666667</v>
      </c>
      <c r="BU4512" s="2" t="s">
        <v>224</v>
      </c>
      <c r="BV4512" s="2" t="s">
        <v>95</v>
      </c>
      <c r="BW4512" s="2"/>
      <c r="BX4512" s="2"/>
      <c r="BY4512" s="2">
        <v>1200</v>
      </c>
      <c r="BZ4512" s="2" t="s">
        <v>27</v>
      </c>
      <c r="CA4512" s="2" t="s">
        <v>213</v>
      </c>
      <c r="CB4512" s="2"/>
      <c r="CC4512" s="2" t="s">
        <v>98</v>
      </c>
      <c r="CD4512" s="2">
        <v>6001</v>
      </c>
      <c r="CE4512" s="2" t="s">
        <v>3630</v>
      </c>
      <c r="CF4512" s="5">
        <v>42954</v>
      </c>
      <c r="CG4512" s="2"/>
      <c r="CH4512" s="2"/>
      <c r="CI4512" s="2">
        <v>1</v>
      </c>
      <c r="CJ4512" s="2">
        <v>1</v>
      </c>
      <c r="CK4512" s="2">
        <v>21</v>
      </c>
      <c r="CL4512" s="2" t="s">
        <v>86</v>
      </c>
      <c r="CM4512" s="2"/>
    </row>
    <row r="4513" spans="1:91">
      <c r="A4513" s="2" t="s">
        <v>71</v>
      </c>
      <c r="B4513" s="2" t="s">
        <v>72</v>
      </c>
      <c r="C4513" s="2" t="s">
        <v>73</v>
      </c>
      <c r="D4513" s="2"/>
      <c r="E4513" s="2" t="str">
        <f>"FES1162566809"</f>
        <v>FES1162566809</v>
      </c>
      <c r="F4513" s="3">
        <v>42950</v>
      </c>
      <c r="G4513" s="2">
        <v>201802</v>
      </c>
      <c r="H4513" s="2" t="s">
        <v>74</v>
      </c>
      <c r="I4513" s="2" t="s">
        <v>75</v>
      </c>
      <c r="J4513" s="2" t="s">
        <v>76</v>
      </c>
      <c r="K4513" s="2" t="s">
        <v>77</v>
      </c>
      <c r="L4513" s="2" t="s">
        <v>174</v>
      </c>
      <c r="M4513" s="2" t="s">
        <v>175</v>
      </c>
      <c r="N4513" s="2" t="s">
        <v>930</v>
      </c>
      <c r="O4513" s="2" t="s">
        <v>100</v>
      </c>
      <c r="P4513" s="2" t="str">
        <f>"2170583043                    "</f>
        <v xml:space="preserve">2170583043                    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  <c r="AB4513" s="2">
        <v>0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4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0</v>
      </c>
      <c r="AU4513" s="2">
        <v>0</v>
      </c>
      <c r="AV4513" s="2">
        <v>0</v>
      </c>
      <c r="AW4513" s="2">
        <v>0</v>
      </c>
      <c r="AX4513" s="2">
        <v>0</v>
      </c>
      <c r="AY4513" s="2">
        <v>0</v>
      </c>
      <c r="AZ4513" s="2">
        <v>0</v>
      </c>
      <c r="BA4513" s="2">
        <v>0</v>
      </c>
      <c r="BB4513" s="2">
        <v>0</v>
      </c>
      <c r="BC4513" s="2">
        <v>0</v>
      </c>
      <c r="BD4513" s="2">
        <v>0</v>
      </c>
      <c r="BE4513" s="2">
        <v>0</v>
      </c>
      <c r="BF4513" s="2">
        <v>0</v>
      </c>
      <c r="BG4513" s="2">
        <v>0</v>
      </c>
      <c r="BH4513" s="2">
        <v>1</v>
      </c>
      <c r="BI4513" s="2">
        <v>1</v>
      </c>
      <c r="BJ4513" s="2">
        <v>0.2</v>
      </c>
      <c r="BK4513" s="2">
        <v>1</v>
      </c>
      <c r="BL4513" s="2">
        <v>41.44</v>
      </c>
      <c r="BM4513" s="2">
        <v>5.8</v>
      </c>
      <c r="BN4513" s="2">
        <v>47.24</v>
      </c>
      <c r="BO4513" s="2">
        <v>47.24</v>
      </c>
      <c r="BP4513" s="2"/>
      <c r="BQ4513" s="2" t="s">
        <v>83</v>
      </c>
      <c r="BR4513" s="2" t="s">
        <v>84</v>
      </c>
      <c r="BS4513" s="3">
        <v>42951</v>
      </c>
      <c r="BT4513" s="4">
        <v>0.41388888888888892</v>
      </c>
      <c r="BU4513" s="2" t="s">
        <v>1408</v>
      </c>
      <c r="BV4513" s="2" t="s">
        <v>95</v>
      </c>
      <c r="BW4513" s="2"/>
      <c r="BX4513" s="2"/>
      <c r="BY4513" s="2">
        <v>1200</v>
      </c>
      <c r="BZ4513" s="2" t="s">
        <v>27</v>
      </c>
      <c r="CA4513" s="2" t="s">
        <v>1373</v>
      </c>
      <c r="CB4513" s="2"/>
      <c r="CC4513" s="2" t="s">
        <v>175</v>
      </c>
      <c r="CD4513" s="2">
        <v>5201</v>
      </c>
      <c r="CE4513" s="2" t="s">
        <v>3630</v>
      </c>
      <c r="CF4513" s="5">
        <v>42954</v>
      </c>
      <c r="CG4513" s="2"/>
      <c r="CH4513" s="2"/>
      <c r="CI4513" s="2">
        <v>1</v>
      </c>
      <c r="CJ4513" s="2">
        <v>1</v>
      </c>
      <c r="CK4513" s="2">
        <v>21</v>
      </c>
      <c r="CL4513" s="2" t="s">
        <v>86</v>
      </c>
      <c r="CM4513" s="2"/>
    </row>
    <row r="4514" spans="1:91">
      <c r="A4514" s="2" t="s">
        <v>71</v>
      </c>
      <c r="B4514" s="2" t="s">
        <v>72</v>
      </c>
      <c r="C4514" s="2" t="s">
        <v>73</v>
      </c>
      <c r="D4514" s="2"/>
      <c r="E4514" s="2" t="str">
        <f>"FES1162566723"</f>
        <v>FES1162566723</v>
      </c>
      <c r="F4514" s="3">
        <v>42950</v>
      </c>
      <c r="G4514" s="2">
        <v>201802</v>
      </c>
      <c r="H4514" s="2" t="s">
        <v>74</v>
      </c>
      <c r="I4514" s="2" t="s">
        <v>75</v>
      </c>
      <c r="J4514" s="2" t="s">
        <v>76</v>
      </c>
      <c r="K4514" s="2" t="s">
        <v>77</v>
      </c>
      <c r="L4514" s="2" t="s">
        <v>97</v>
      </c>
      <c r="M4514" s="2" t="s">
        <v>98</v>
      </c>
      <c r="N4514" s="2" t="s">
        <v>3269</v>
      </c>
      <c r="O4514" s="2" t="s">
        <v>100</v>
      </c>
      <c r="P4514" s="2" t="str">
        <f>"2170573761                    "</f>
        <v xml:space="preserve">2170573761                    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4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0</v>
      </c>
      <c r="AU4514" s="2">
        <v>0</v>
      </c>
      <c r="AV4514" s="2">
        <v>0</v>
      </c>
      <c r="AW4514" s="2">
        <v>0</v>
      </c>
      <c r="AX4514" s="2">
        <v>0</v>
      </c>
      <c r="AY4514" s="2">
        <v>0</v>
      </c>
      <c r="AZ4514" s="2">
        <v>0</v>
      </c>
      <c r="BA4514" s="2">
        <v>0</v>
      </c>
      <c r="BB4514" s="2">
        <v>0</v>
      </c>
      <c r="BC4514" s="2">
        <v>0</v>
      </c>
      <c r="BD4514" s="2">
        <v>0</v>
      </c>
      <c r="BE4514" s="2">
        <v>0</v>
      </c>
      <c r="BF4514" s="2">
        <v>0</v>
      </c>
      <c r="BG4514" s="2">
        <v>0</v>
      </c>
      <c r="BH4514" s="2">
        <v>1</v>
      </c>
      <c r="BI4514" s="2">
        <v>1</v>
      </c>
      <c r="BJ4514" s="2">
        <v>0.2</v>
      </c>
      <c r="BK4514" s="2">
        <v>1</v>
      </c>
      <c r="BL4514" s="2">
        <v>41.44</v>
      </c>
      <c r="BM4514" s="2">
        <v>5.8</v>
      </c>
      <c r="BN4514" s="2">
        <v>47.24</v>
      </c>
      <c r="BO4514" s="2">
        <v>47.24</v>
      </c>
      <c r="BP4514" s="2"/>
      <c r="BQ4514" s="2"/>
      <c r="BR4514" s="2" t="s">
        <v>84</v>
      </c>
      <c r="BS4514" s="3">
        <v>42951</v>
      </c>
      <c r="BT4514" s="4">
        <v>0.39583333333333331</v>
      </c>
      <c r="BU4514" s="2" t="s">
        <v>560</v>
      </c>
      <c r="BV4514" s="2" t="s">
        <v>95</v>
      </c>
      <c r="BW4514" s="2"/>
      <c r="BX4514" s="2"/>
      <c r="BY4514" s="2">
        <v>1200</v>
      </c>
      <c r="BZ4514" s="2" t="s">
        <v>27</v>
      </c>
      <c r="CA4514" s="2" t="s">
        <v>103</v>
      </c>
      <c r="CB4514" s="2"/>
      <c r="CC4514" s="2" t="s">
        <v>98</v>
      </c>
      <c r="CD4514" s="2">
        <v>6001</v>
      </c>
      <c r="CE4514" s="2" t="s">
        <v>104</v>
      </c>
      <c r="CF4514" s="5">
        <v>42951</v>
      </c>
      <c r="CG4514" s="2"/>
      <c r="CH4514" s="2"/>
      <c r="CI4514" s="2">
        <v>1</v>
      </c>
      <c r="CJ4514" s="2">
        <v>1</v>
      </c>
      <c r="CK4514" s="2">
        <v>21</v>
      </c>
      <c r="CL4514" s="2" t="s">
        <v>86</v>
      </c>
      <c r="CM4514" s="2"/>
    </row>
    <row r="4515" spans="1:91">
      <c r="A4515" s="2" t="s">
        <v>71</v>
      </c>
      <c r="B4515" s="2" t="s">
        <v>72</v>
      </c>
      <c r="C4515" s="2" t="s">
        <v>73</v>
      </c>
      <c r="D4515" s="2"/>
      <c r="E4515" s="2" t="str">
        <f>"FES1162566692"</f>
        <v>FES1162566692</v>
      </c>
      <c r="F4515" s="3">
        <v>42950</v>
      </c>
      <c r="G4515" s="2">
        <v>201802</v>
      </c>
      <c r="H4515" s="2" t="s">
        <v>74</v>
      </c>
      <c r="I4515" s="2" t="s">
        <v>75</v>
      </c>
      <c r="J4515" s="2" t="s">
        <v>76</v>
      </c>
      <c r="K4515" s="2" t="s">
        <v>77</v>
      </c>
      <c r="L4515" s="2" t="s">
        <v>510</v>
      </c>
      <c r="M4515" s="2" t="s">
        <v>511</v>
      </c>
      <c r="N4515" s="2" t="s">
        <v>1504</v>
      </c>
      <c r="O4515" s="2" t="s">
        <v>100</v>
      </c>
      <c r="P4515" s="2" t="str">
        <f>"2170577439                    "</f>
        <v xml:space="preserve">2170577439                    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0</v>
      </c>
      <c r="Z4515" s="2">
        <v>0</v>
      </c>
      <c r="AA4515" s="2">
        <v>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4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0</v>
      </c>
      <c r="AU4515" s="2">
        <v>0</v>
      </c>
      <c r="AV4515" s="2">
        <v>0</v>
      </c>
      <c r="AW4515" s="2">
        <v>0</v>
      </c>
      <c r="AX4515" s="2">
        <v>0</v>
      </c>
      <c r="AY4515" s="2">
        <v>0</v>
      </c>
      <c r="AZ4515" s="2">
        <v>0</v>
      </c>
      <c r="BA4515" s="2">
        <v>0</v>
      </c>
      <c r="BB4515" s="2">
        <v>0</v>
      </c>
      <c r="BC4515" s="2">
        <v>0</v>
      </c>
      <c r="BD4515" s="2">
        <v>0</v>
      </c>
      <c r="BE4515" s="2">
        <v>0</v>
      </c>
      <c r="BF4515" s="2">
        <v>0</v>
      </c>
      <c r="BG4515" s="2">
        <v>0</v>
      </c>
      <c r="BH4515" s="2">
        <v>1</v>
      </c>
      <c r="BI4515" s="2">
        <v>1</v>
      </c>
      <c r="BJ4515" s="2">
        <v>0.2</v>
      </c>
      <c r="BK4515" s="2">
        <v>1</v>
      </c>
      <c r="BL4515" s="2">
        <v>41.44</v>
      </c>
      <c r="BM4515" s="2">
        <v>5.8</v>
      </c>
      <c r="BN4515" s="2">
        <v>47.24</v>
      </c>
      <c r="BO4515" s="2">
        <v>47.24</v>
      </c>
      <c r="BP4515" s="2"/>
      <c r="BQ4515" s="2" t="s">
        <v>108</v>
      </c>
      <c r="BR4515" s="2" t="s">
        <v>84</v>
      </c>
      <c r="BS4515" s="3">
        <v>42951</v>
      </c>
      <c r="BT4515" s="4">
        <v>0.31527777777777777</v>
      </c>
      <c r="BU4515" s="2" t="s">
        <v>1999</v>
      </c>
      <c r="BV4515" s="2" t="s">
        <v>95</v>
      </c>
      <c r="BW4515" s="2"/>
      <c r="BX4515" s="2"/>
      <c r="BY4515" s="2">
        <v>1200</v>
      </c>
      <c r="BZ4515" s="2" t="s">
        <v>27</v>
      </c>
      <c r="CA4515" s="2" t="s">
        <v>514</v>
      </c>
      <c r="CB4515" s="2"/>
      <c r="CC4515" s="2" t="s">
        <v>511</v>
      </c>
      <c r="CD4515" s="2">
        <v>6230</v>
      </c>
      <c r="CE4515" s="2" t="s">
        <v>104</v>
      </c>
      <c r="CF4515" s="5">
        <v>42954</v>
      </c>
      <c r="CG4515" s="2"/>
      <c r="CH4515" s="2"/>
      <c r="CI4515" s="2">
        <v>1</v>
      </c>
      <c r="CJ4515" s="2">
        <v>1</v>
      </c>
      <c r="CK4515" s="2">
        <v>21</v>
      </c>
      <c r="CL4515" s="2" t="s">
        <v>86</v>
      </c>
      <c r="CM4515" s="2"/>
    </row>
    <row r="4516" spans="1:91">
      <c r="A4516" s="2" t="s">
        <v>71</v>
      </c>
      <c r="B4516" s="2" t="s">
        <v>72</v>
      </c>
      <c r="C4516" s="2" t="s">
        <v>73</v>
      </c>
      <c r="D4516" s="2"/>
      <c r="E4516" s="2" t="str">
        <f>"FES1162566659"</f>
        <v>FES1162566659</v>
      </c>
      <c r="F4516" s="3">
        <v>42950</v>
      </c>
      <c r="G4516" s="2">
        <v>201802</v>
      </c>
      <c r="H4516" s="2" t="s">
        <v>74</v>
      </c>
      <c r="I4516" s="2" t="s">
        <v>75</v>
      </c>
      <c r="J4516" s="2" t="s">
        <v>76</v>
      </c>
      <c r="K4516" s="2" t="s">
        <v>77</v>
      </c>
      <c r="L4516" s="2" t="s">
        <v>97</v>
      </c>
      <c r="M4516" s="2" t="s">
        <v>98</v>
      </c>
      <c r="N4516" s="2" t="s">
        <v>248</v>
      </c>
      <c r="O4516" s="2" t="s">
        <v>100</v>
      </c>
      <c r="P4516" s="2" t="str">
        <f>"2170579488                    "</f>
        <v xml:space="preserve">2170579488                    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  <c r="Y4516" s="2">
        <v>0</v>
      </c>
      <c r="Z4516" s="2">
        <v>0</v>
      </c>
      <c r="AA4516" s="2">
        <v>0</v>
      </c>
      <c r="AB4516" s="2">
        <v>0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4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0</v>
      </c>
      <c r="AU4516" s="2">
        <v>0</v>
      </c>
      <c r="AV4516" s="2">
        <v>0</v>
      </c>
      <c r="AW4516" s="2">
        <v>0</v>
      </c>
      <c r="AX4516" s="2">
        <v>0</v>
      </c>
      <c r="AY4516" s="2">
        <v>0</v>
      </c>
      <c r="AZ4516" s="2">
        <v>0</v>
      </c>
      <c r="BA4516" s="2">
        <v>0</v>
      </c>
      <c r="BB4516" s="2">
        <v>0</v>
      </c>
      <c r="BC4516" s="2">
        <v>0</v>
      </c>
      <c r="BD4516" s="2">
        <v>0</v>
      </c>
      <c r="BE4516" s="2">
        <v>0</v>
      </c>
      <c r="BF4516" s="2">
        <v>0</v>
      </c>
      <c r="BG4516" s="2">
        <v>0</v>
      </c>
      <c r="BH4516" s="2">
        <v>1</v>
      </c>
      <c r="BI4516" s="2">
        <v>1</v>
      </c>
      <c r="BJ4516" s="2">
        <v>0.2</v>
      </c>
      <c r="BK4516" s="2">
        <v>1</v>
      </c>
      <c r="BL4516" s="2">
        <v>41.44</v>
      </c>
      <c r="BM4516" s="2">
        <v>5.8</v>
      </c>
      <c r="BN4516" s="2">
        <v>47.24</v>
      </c>
      <c r="BO4516" s="2">
        <v>47.24</v>
      </c>
      <c r="BP4516" s="2"/>
      <c r="BQ4516" s="2" t="s">
        <v>83</v>
      </c>
      <c r="BR4516" s="2" t="s">
        <v>84</v>
      </c>
      <c r="BS4516" s="3">
        <v>42951</v>
      </c>
      <c r="BT4516" s="4">
        <v>0.33333333333333331</v>
      </c>
      <c r="BU4516" s="2" t="s">
        <v>1130</v>
      </c>
      <c r="BV4516" s="2" t="s">
        <v>95</v>
      </c>
      <c r="BW4516" s="2"/>
      <c r="BX4516" s="2"/>
      <c r="BY4516" s="2">
        <v>1200</v>
      </c>
      <c r="BZ4516" s="2" t="s">
        <v>27</v>
      </c>
      <c r="CA4516" s="2" t="s">
        <v>804</v>
      </c>
      <c r="CB4516" s="2"/>
      <c r="CC4516" s="2" t="s">
        <v>98</v>
      </c>
      <c r="CD4516" s="2">
        <v>6001</v>
      </c>
      <c r="CE4516" s="2" t="s">
        <v>104</v>
      </c>
      <c r="CF4516" s="5">
        <v>42951</v>
      </c>
      <c r="CG4516" s="2"/>
      <c r="CH4516" s="2"/>
      <c r="CI4516" s="2">
        <v>1</v>
      </c>
      <c r="CJ4516" s="2">
        <v>1</v>
      </c>
      <c r="CK4516" s="2">
        <v>21</v>
      </c>
      <c r="CL4516" s="2" t="s">
        <v>86</v>
      </c>
      <c r="CM4516" s="2"/>
    </row>
    <row r="4517" spans="1:91">
      <c r="A4517" s="2" t="s">
        <v>71</v>
      </c>
      <c r="B4517" s="2" t="s">
        <v>72</v>
      </c>
      <c r="C4517" s="2" t="s">
        <v>73</v>
      </c>
      <c r="D4517" s="2"/>
      <c r="E4517" s="2" t="str">
        <f>"FES1162566640"</f>
        <v>FES1162566640</v>
      </c>
      <c r="F4517" s="3">
        <v>42950</v>
      </c>
      <c r="G4517" s="2">
        <v>201802</v>
      </c>
      <c r="H4517" s="2" t="s">
        <v>74</v>
      </c>
      <c r="I4517" s="2" t="s">
        <v>75</v>
      </c>
      <c r="J4517" s="2" t="s">
        <v>76</v>
      </c>
      <c r="K4517" s="2" t="s">
        <v>77</v>
      </c>
      <c r="L4517" s="2" t="s">
        <v>97</v>
      </c>
      <c r="M4517" s="2" t="s">
        <v>98</v>
      </c>
      <c r="N4517" s="2" t="s">
        <v>1210</v>
      </c>
      <c r="O4517" s="2" t="s">
        <v>100</v>
      </c>
      <c r="P4517" s="2" t="str">
        <f>"2170579621                    "</f>
        <v xml:space="preserve">2170579621                    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12.01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0</v>
      </c>
      <c r="AU4517" s="2">
        <v>0</v>
      </c>
      <c r="AV4517" s="2">
        <v>0</v>
      </c>
      <c r="AW4517" s="2">
        <v>0</v>
      </c>
      <c r="AX4517" s="2">
        <v>0</v>
      </c>
      <c r="AY4517" s="2">
        <v>0</v>
      </c>
      <c r="AZ4517" s="2">
        <v>0</v>
      </c>
      <c r="BA4517" s="2">
        <v>0</v>
      </c>
      <c r="BB4517" s="2">
        <v>0</v>
      </c>
      <c r="BC4517" s="2">
        <v>0</v>
      </c>
      <c r="BD4517" s="2">
        <v>0</v>
      </c>
      <c r="BE4517" s="2">
        <v>0</v>
      </c>
      <c r="BF4517" s="2">
        <v>0</v>
      </c>
      <c r="BG4517" s="2">
        <v>0</v>
      </c>
      <c r="BH4517" s="2">
        <v>1</v>
      </c>
      <c r="BI4517" s="2">
        <v>5.8</v>
      </c>
      <c r="BJ4517" s="2">
        <v>1.8</v>
      </c>
      <c r="BK4517" s="2">
        <v>6</v>
      </c>
      <c r="BL4517" s="2">
        <v>124.33</v>
      </c>
      <c r="BM4517" s="2">
        <v>17.41</v>
      </c>
      <c r="BN4517" s="2">
        <v>141.74</v>
      </c>
      <c r="BO4517" s="2">
        <v>141.74</v>
      </c>
      <c r="BP4517" s="2"/>
      <c r="BQ4517" s="2" t="s">
        <v>83</v>
      </c>
      <c r="BR4517" s="2" t="s">
        <v>84</v>
      </c>
      <c r="BS4517" s="3">
        <v>42951</v>
      </c>
      <c r="BT4517" s="4">
        <v>0.29166666666666669</v>
      </c>
      <c r="BU4517" s="2" t="s">
        <v>2873</v>
      </c>
      <c r="BV4517" s="2" t="s">
        <v>95</v>
      </c>
      <c r="BW4517" s="2"/>
      <c r="BX4517" s="2"/>
      <c r="BY4517" s="2">
        <v>8790.36</v>
      </c>
      <c r="BZ4517" s="2" t="s">
        <v>27</v>
      </c>
      <c r="CA4517" s="2" t="s">
        <v>804</v>
      </c>
      <c r="CB4517" s="2"/>
      <c r="CC4517" s="2" t="s">
        <v>98</v>
      </c>
      <c r="CD4517" s="2">
        <v>6012</v>
      </c>
      <c r="CE4517" s="2" t="s">
        <v>89</v>
      </c>
      <c r="CF4517" s="5">
        <v>42954</v>
      </c>
      <c r="CG4517" s="2"/>
      <c r="CH4517" s="2"/>
      <c r="CI4517" s="2">
        <v>1</v>
      </c>
      <c r="CJ4517" s="2">
        <v>1</v>
      </c>
      <c r="CK4517" s="2">
        <v>21</v>
      </c>
      <c r="CL4517" s="2" t="s">
        <v>86</v>
      </c>
      <c r="CM4517" s="2"/>
    </row>
    <row r="4518" spans="1:91">
      <c r="A4518" s="2" t="s">
        <v>71</v>
      </c>
      <c r="B4518" s="2" t="s">
        <v>72</v>
      </c>
      <c r="C4518" s="2" t="s">
        <v>73</v>
      </c>
      <c r="D4518" s="2"/>
      <c r="E4518" s="2" t="str">
        <f>"FES1162566725"</f>
        <v>FES1162566725</v>
      </c>
      <c r="F4518" s="3">
        <v>42950</v>
      </c>
      <c r="G4518" s="2">
        <v>201802</v>
      </c>
      <c r="H4518" s="2" t="s">
        <v>74</v>
      </c>
      <c r="I4518" s="2" t="s">
        <v>75</v>
      </c>
      <c r="J4518" s="2" t="s">
        <v>76</v>
      </c>
      <c r="K4518" s="2" t="s">
        <v>77</v>
      </c>
      <c r="L4518" s="2" t="s">
        <v>97</v>
      </c>
      <c r="M4518" s="2" t="s">
        <v>98</v>
      </c>
      <c r="N4518" s="2" t="s">
        <v>2769</v>
      </c>
      <c r="O4518" s="2" t="s">
        <v>100</v>
      </c>
      <c r="P4518" s="2" t="str">
        <f>"217058521                     "</f>
        <v xml:space="preserve">217058521                     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0</v>
      </c>
      <c r="Y4518" s="2">
        <v>0</v>
      </c>
      <c r="Z4518" s="2">
        <v>0</v>
      </c>
      <c r="AA4518" s="2">
        <v>0</v>
      </c>
      <c r="AB4518" s="2">
        <v>0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4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0</v>
      </c>
      <c r="AU4518" s="2">
        <v>0</v>
      </c>
      <c r="AV4518" s="2">
        <v>0</v>
      </c>
      <c r="AW4518" s="2">
        <v>0</v>
      </c>
      <c r="AX4518" s="2">
        <v>0</v>
      </c>
      <c r="AY4518" s="2">
        <v>0</v>
      </c>
      <c r="AZ4518" s="2">
        <v>0</v>
      </c>
      <c r="BA4518" s="2">
        <v>0</v>
      </c>
      <c r="BB4518" s="2">
        <v>0</v>
      </c>
      <c r="BC4518" s="2">
        <v>0</v>
      </c>
      <c r="BD4518" s="2">
        <v>0</v>
      </c>
      <c r="BE4518" s="2">
        <v>0</v>
      </c>
      <c r="BF4518" s="2">
        <v>0</v>
      </c>
      <c r="BG4518" s="2">
        <v>0</v>
      </c>
      <c r="BH4518" s="2">
        <v>1</v>
      </c>
      <c r="BI4518" s="2">
        <v>1</v>
      </c>
      <c r="BJ4518" s="2">
        <v>0.2</v>
      </c>
      <c r="BK4518" s="2">
        <v>1</v>
      </c>
      <c r="BL4518" s="2">
        <v>41.44</v>
      </c>
      <c r="BM4518" s="2">
        <v>5.8</v>
      </c>
      <c r="BN4518" s="2">
        <v>47.24</v>
      </c>
      <c r="BO4518" s="2">
        <v>47.24</v>
      </c>
      <c r="BP4518" s="2"/>
      <c r="BQ4518" s="2" t="s">
        <v>209</v>
      </c>
      <c r="BR4518" s="2" t="s">
        <v>84</v>
      </c>
      <c r="BS4518" s="3">
        <v>42951</v>
      </c>
      <c r="BT4518" s="4">
        <v>0.3354166666666667</v>
      </c>
      <c r="BU4518" s="2" t="s">
        <v>4068</v>
      </c>
      <c r="BV4518" s="2" t="s">
        <v>95</v>
      </c>
      <c r="BW4518" s="2"/>
      <c r="BX4518" s="2"/>
      <c r="BY4518" s="2">
        <v>1200</v>
      </c>
      <c r="BZ4518" s="2" t="s">
        <v>27</v>
      </c>
      <c r="CA4518" s="2" t="s">
        <v>2065</v>
      </c>
      <c r="CB4518" s="2"/>
      <c r="CC4518" s="2" t="s">
        <v>98</v>
      </c>
      <c r="CD4518" s="2">
        <v>6001</v>
      </c>
      <c r="CE4518" s="2" t="s">
        <v>3630</v>
      </c>
      <c r="CF4518" s="5">
        <v>42954</v>
      </c>
      <c r="CG4518" s="2"/>
      <c r="CH4518" s="2"/>
      <c r="CI4518" s="2">
        <v>1</v>
      </c>
      <c r="CJ4518" s="2">
        <v>1</v>
      </c>
      <c r="CK4518" s="2">
        <v>21</v>
      </c>
      <c r="CL4518" s="2" t="s">
        <v>86</v>
      </c>
      <c r="CM4518" s="2"/>
    </row>
    <row r="4519" spans="1:91">
      <c r="A4519" s="2" t="s">
        <v>71</v>
      </c>
      <c r="B4519" s="2" t="s">
        <v>72</v>
      </c>
      <c r="C4519" s="2" t="s">
        <v>73</v>
      </c>
      <c r="D4519" s="2"/>
      <c r="E4519" s="2" t="str">
        <f>"FES1162566707"</f>
        <v>FES1162566707</v>
      </c>
      <c r="F4519" s="3">
        <v>42950</v>
      </c>
      <c r="G4519" s="2">
        <v>201802</v>
      </c>
      <c r="H4519" s="2" t="s">
        <v>74</v>
      </c>
      <c r="I4519" s="2" t="s">
        <v>75</v>
      </c>
      <c r="J4519" s="2" t="s">
        <v>76</v>
      </c>
      <c r="K4519" s="2" t="s">
        <v>77</v>
      </c>
      <c r="L4519" s="2" t="s">
        <v>97</v>
      </c>
      <c r="M4519" s="2" t="s">
        <v>98</v>
      </c>
      <c r="N4519" s="2" t="s">
        <v>500</v>
      </c>
      <c r="O4519" s="2" t="s">
        <v>100</v>
      </c>
      <c r="P4519" s="2" t="str">
        <f>"2170582376                    "</f>
        <v xml:space="preserve">2170582376                    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0</v>
      </c>
      <c r="AB4519" s="2">
        <v>0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12.01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0</v>
      </c>
      <c r="AU4519" s="2">
        <v>0</v>
      </c>
      <c r="AV4519" s="2">
        <v>0</v>
      </c>
      <c r="AW4519" s="2">
        <v>0</v>
      </c>
      <c r="AX4519" s="2">
        <v>0</v>
      </c>
      <c r="AY4519" s="2">
        <v>0</v>
      </c>
      <c r="AZ4519" s="2">
        <v>0</v>
      </c>
      <c r="BA4519" s="2">
        <v>0</v>
      </c>
      <c r="BB4519" s="2">
        <v>0</v>
      </c>
      <c r="BC4519" s="2">
        <v>0</v>
      </c>
      <c r="BD4519" s="2">
        <v>0</v>
      </c>
      <c r="BE4519" s="2">
        <v>0</v>
      </c>
      <c r="BF4519" s="2">
        <v>0</v>
      </c>
      <c r="BG4519" s="2">
        <v>0</v>
      </c>
      <c r="BH4519" s="2">
        <v>1</v>
      </c>
      <c r="BI4519" s="2">
        <v>5.9</v>
      </c>
      <c r="BJ4519" s="2">
        <v>3.2</v>
      </c>
      <c r="BK4519" s="2">
        <v>6</v>
      </c>
      <c r="BL4519" s="2">
        <v>124.33</v>
      </c>
      <c r="BM4519" s="2">
        <v>17.41</v>
      </c>
      <c r="BN4519" s="2">
        <v>141.74</v>
      </c>
      <c r="BO4519" s="2">
        <v>141.74</v>
      </c>
      <c r="BP4519" s="2"/>
      <c r="BQ4519" s="2" t="s">
        <v>108</v>
      </c>
      <c r="BR4519" s="2" t="s">
        <v>84</v>
      </c>
      <c r="BS4519" s="3">
        <v>42951</v>
      </c>
      <c r="BT4519" s="4">
        <v>0.3743055555555555</v>
      </c>
      <c r="BU4519" s="2" t="s">
        <v>803</v>
      </c>
      <c r="BV4519" s="2" t="s">
        <v>95</v>
      </c>
      <c r="BW4519" s="2"/>
      <c r="BX4519" s="2"/>
      <c r="BY4519" s="2">
        <v>16174.17</v>
      </c>
      <c r="BZ4519" s="2" t="s">
        <v>27</v>
      </c>
      <c r="CA4519" s="2" t="s">
        <v>804</v>
      </c>
      <c r="CB4519" s="2"/>
      <c r="CC4519" s="2" t="s">
        <v>98</v>
      </c>
      <c r="CD4519" s="2">
        <v>6001</v>
      </c>
      <c r="CE4519" s="2" t="s">
        <v>89</v>
      </c>
      <c r="CF4519" s="5">
        <v>42951</v>
      </c>
      <c r="CG4519" s="2"/>
      <c r="CH4519" s="2"/>
      <c r="CI4519" s="2">
        <v>1</v>
      </c>
      <c r="CJ4519" s="2">
        <v>1</v>
      </c>
      <c r="CK4519" s="2">
        <v>21</v>
      </c>
      <c r="CL4519" s="2" t="s">
        <v>86</v>
      </c>
      <c r="CM4519" s="2"/>
    </row>
    <row r="4520" spans="1:91">
      <c r="A4520" s="2" t="s">
        <v>71</v>
      </c>
      <c r="B4520" s="2" t="s">
        <v>72</v>
      </c>
      <c r="C4520" s="2" t="s">
        <v>73</v>
      </c>
      <c r="D4520" s="2"/>
      <c r="E4520" s="2" t="str">
        <f>"FES1162566708"</f>
        <v>FES1162566708</v>
      </c>
      <c r="F4520" s="3">
        <v>42950</v>
      </c>
      <c r="G4520" s="2">
        <v>201802</v>
      </c>
      <c r="H4520" s="2" t="s">
        <v>74</v>
      </c>
      <c r="I4520" s="2" t="s">
        <v>75</v>
      </c>
      <c r="J4520" s="2" t="s">
        <v>76</v>
      </c>
      <c r="K4520" s="2" t="s">
        <v>77</v>
      </c>
      <c r="L4520" s="2" t="s">
        <v>449</v>
      </c>
      <c r="M4520" s="2" t="s">
        <v>1263</v>
      </c>
      <c r="N4520" s="2" t="s">
        <v>1868</v>
      </c>
      <c r="O4520" s="2" t="s">
        <v>100</v>
      </c>
      <c r="P4520" s="2" t="str">
        <f>"2170581111                    "</f>
        <v xml:space="preserve">2170581111                    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23.51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0</v>
      </c>
      <c r="AU4520" s="2">
        <v>0</v>
      </c>
      <c r="AV4520" s="2">
        <v>0</v>
      </c>
      <c r="AW4520" s="2">
        <v>0</v>
      </c>
      <c r="AX4520" s="2">
        <v>0</v>
      </c>
      <c r="AY4520" s="2">
        <v>0</v>
      </c>
      <c r="AZ4520" s="2">
        <v>0</v>
      </c>
      <c r="BA4520" s="2">
        <v>0</v>
      </c>
      <c r="BB4520" s="2">
        <v>0</v>
      </c>
      <c r="BC4520" s="2">
        <v>0</v>
      </c>
      <c r="BD4520" s="2">
        <v>0</v>
      </c>
      <c r="BE4520" s="2">
        <v>0</v>
      </c>
      <c r="BF4520" s="2">
        <v>0</v>
      </c>
      <c r="BG4520" s="2">
        <v>0</v>
      </c>
      <c r="BH4520" s="2">
        <v>1</v>
      </c>
      <c r="BI4520" s="2">
        <v>6.1</v>
      </c>
      <c r="BJ4520" s="2">
        <v>3.2</v>
      </c>
      <c r="BK4520" s="2">
        <v>6.5</v>
      </c>
      <c r="BL4520" s="2">
        <v>243.47</v>
      </c>
      <c r="BM4520" s="2">
        <v>34.090000000000003</v>
      </c>
      <c r="BN4520" s="2">
        <v>277.56</v>
      </c>
      <c r="BO4520" s="2">
        <v>277.56</v>
      </c>
      <c r="BP4520" s="2"/>
      <c r="BQ4520" s="2" t="s">
        <v>83</v>
      </c>
      <c r="BR4520" s="2" t="s">
        <v>84</v>
      </c>
      <c r="BS4520" s="3">
        <v>42951</v>
      </c>
      <c r="BT4520" s="4">
        <v>0.41666666666666669</v>
      </c>
      <c r="BU4520" s="2" t="s">
        <v>3919</v>
      </c>
      <c r="BV4520" s="2" t="s">
        <v>95</v>
      </c>
      <c r="BW4520" s="2"/>
      <c r="BX4520" s="2"/>
      <c r="BY4520" s="2">
        <v>16084.64</v>
      </c>
      <c r="BZ4520" s="2" t="s">
        <v>27</v>
      </c>
      <c r="CA4520" s="2"/>
      <c r="CB4520" s="2"/>
      <c r="CC4520" s="2" t="s">
        <v>1263</v>
      </c>
      <c r="CD4520" s="2">
        <v>5319</v>
      </c>
      <c r="CE4520" s="2" t="s">
        <v>89</v>
      </c>
      <c r="CF4520" s="5">
        <v>42957</v>
      </c>
      <c r="CG4520" s="2"/>
      <c r="CH4520" s="2"/>
      <c r="CI4520" s="2">
        <v>4</v>
      </c>
      <c r="CJ4520" s="2">
        <v>1</v>
      </c>
      <c r="CK4520" s="2">
        <v>23</v>
      </c>
      <c r="CL4520" s="2" t="s">
        <v>86</v>
      </c>
      <c r="CM4520" s="2"/>
    </row>
    <row r="4521" spans="1:91">
      <c r="A4521" s="2" t="s">
        <v>71</v>
      </c>
      <c r="B4521" s="2" t="s">
        <v>72</v>
      </c>
      <c r="C4521" s="2" t="s">
        <v>73</v>
      </c>
      <c r="D4521" s="2"/>
      <c r="E4521" s="2" t="str">
        <f>"FES1162566555"</f>
        <v>FES1162566555</v>
      </c>
      <c r="F4521" s="3">
        <v>42950</v>
      </c>
      <c r="G4521" s="2">
        <v>201802</v>
      </c>
      <c r="H4521" s="2" t="s">
        <v>74</v>
      </c>
      <c r="I4521" s="2" t="s">
        <v>75</v>
      </c>
      <c r="J4521" s="2" t="s">
        <v>76</v>
      </c>
      <c r="K4521" s="2" t="s">
        <v>77</v>
      </c>
      <c r="L4521" s="2" t="s">
        <v>201</v>
      </c>
      <c r="M4521" s="2" t="s">
        <v>202</v>
      </c>
      <c r="N4521" s="2" t="s">
        <v>409</v>
      </c>
      <c r="O4521" s="2" t="s">
        <v>100</v>
      </c>
      <c r="P4521" s="2" t="str">
        <f>"2170582904                    "</f>
        <v xml:space="preserve">2170582904                    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0</v>
      </c>
      <c r="Z4521" s="2">
        <v>0</v>
      </c>
      <c r="AA4521" s="2">
        <v>0</v>
      </c>
      <c r="AB4521" s="2">
        <v>0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18.010000000000002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0</v>
      </c>
      <c r="AU4521" s="2">
        <v>0</v>
      </c>
      <c r="AV4521" s="2">
        <v>0</v>
      </c>
      <c r="AW4521" s="2">
        <v>0</v>
      </c>
      <c r="AX4521" s="2">
        <v>0</v>
      </c>
      <c r="AY4521" s="2">
        <v>0</v>
      </c>
      <c r="AZ4521" s="2">
        <v>0</v>
      </c>
      <c r="BA4521" s="2">
        <v>0</v>
      </c>
      <c r="BB4521" s="2">
        <v>0</v>
      </c>
      <c r="BC4521" s="2">
        <v>0</v>
      </c>
      <c r="BD4521" s="2">
        <v>0</v>
      </c>
      <c r="BE4521" s="2">
        <v>0</v>
      </c>
      <c r="BF4521" s="2">
        <v>0</v>
      </c>
      <c r="BG4521" s="2">
        <v>0</v>
      </c>
      <c r="BH4521" s="2">
        <v>1</v>
      </c>
      <c r="BI4521" s="2">
        <v>8.6</v>
      </c>
      <c r="BJ4521" s="2">
        <v>3.3</v>
      </c>
      <c r="BK4521" s="2">
        <v>9</v>
      </c>
      <c r="BL4521" s="2">
        <v>186.49</v>
      </c>
      <c r="BM4521" s="2">
        <v>26.11</v>
      </c>
      <c r="BN4521" s="2">
        <v>212.6</v>
      </c>
      <c r="BO4521" s="2">
        <v>212.6</v>
      </c>
      <c r="BP4521" s="2"/>
      <c r="BQ4521" s="2" t="s">
        <v>485</v>
      </c>
      <c r="BR4521" s="2" t="s">
        <v>84</v>
      </c>
      <c r="BS4521" s="3">
        <v>42951</v>
      </c>
      <c r="BT4521" s="4">
        <v>0.41666666666666669</v>
      </c>
      <c r="BU4521" s="2" t="s">
        <v>1287</v>
      </c>
      <c r="BV4521" s="2" t="s">
        <v>95</v>
      </c>
      <c r="BW4521" s="2"/>
      <c r="BX4521" s="2"/>
      <c r="BY4521" s="2">
        <v>16591.099999999999</v>
      </c>
      <c r="BZ4521" s="2" t="s">
        <v>27</v>
      </c>
      <c r="CA4521" s="2"/>
      <c r="CB4521" s="2"/>
      <c r="CC4521" s="2" t="s">
        <v>202</v>
      </c>
      <c r="CD4521" s="2">
        <v>7130</v>
      </c>
      <c r="CE4521" s="2" t="s">
        <v>89</v>
      </c>
      <c r="CF4521" s="5">
        <v>42954</v>
      </c>
      <c r="CG4521" s="2"/>
      <c r="CH4521" s="2"/>
      <c r="CI4521" s="2">
        <v>1</v>
      </c>
      <c r="CJ4521" s="2">
        <v>1</v>
      </c>
      <c r="CK4521" s="2">
        <v>21</v>
      </c>
      <c r="CL4521" s="2" t="s">
        <v>86</v>
      </c>
      <c r="CM4521" s="2"/>
    </row>
    <row r="4522" spans="1:91">
      <c r="A4522" s="2" t="s">
        <v>71</v>
      </c>
      <c r="B4522" s="2" t="s">
        <v>72</v>
      </c>
      <c r="C4522" s="2" t="s">
        <v>73</v>
      </c>
      <c r="D4522" s="2"/>
      <c r="E4522" s="2" t="str">
        <f>"FES1162566633"</f>
        <v>FES1162566633</v>
      </c>
      <c r="F4522" s="3">
        <v>42950</v>
      </c>
      <c r="G4522" s="2">
        <v>201802</v>
      </c>
      <c r="H4522" s="2" t="s">
        <v>74</v>
      </c>
      <c r="I4522" s="2" t="s">
        <v>75</v>
      </c>
      <c r="J4522" s="2" t="s">
        <v>76</v>
      </c>
      <c r="K4522" s="2" t="s">
        <v>77</v>
      </c>
      <c r="L4522" s="2" t="s">
        <v>97</v>
      </c>
      <c r="M4522" s="2" t="s">
        <v>98</v>
      </c>
      <c r="N4522" s="2" t="s">
        <v>1029</v>
      </c>
      <c r="O4522" s="2" t="s">
        <v>100</v>
      </c>
      <c r="P4522" s="2" t="str">
        <f>"217058963                     "</f>
        <v xml:space="preserve">217058963                     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9.01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0</v>
      </c>
      <c r="AU4522" s="2">
        <v>0</v>
      </c>
      <c r="AV4522" s="2">
        <v>0</v>
      </c>
      <c r="AW4522" s="2">
        <v>0</v>
      </c>
      <c r="AX4522" s="2">
        <v>0</v>
      </c>
      <c r="AY4522" s="2">
        <v>0</v>
      </c>
      <c r="AZ4522" s="2">
        <v>0</v>
      </c>
      <c r="BA4522" s="2">
        <v>0</v>
      </c>
      <c r="BB4522" s="2">
        <v>0</v>
      </c>
      <c r="BC4522" s="2">
        <v>0</v>
      </c>
      <c r="BD4522" s="2">
        <v>0</v>
      </c>
      <c r="BE4522" s="2">
        <v>0</v>
      </c>
      <c r="BF4522" s="2">
        <v>0</v>
      </c>
      <c r="BG4522" s="2">
        <v>0</v>
      </c>
      <c r="BH4522" s="2">
        <v>1</v>
      </c>
      <c r="BI4522" s="2">
        <v>4.3</v>
      </c>
      <c r="BJ4522" s="2">
        <v>1.9</v>
      </c>
      <c r="BK4522" s="2">
        <v>4.5</v>
      </c>
      <c r="BL4522" s="2">
        <v>93.25</v>
      </c>
      <c r="BM4522" s="2">
        <v>13.06</v>
      </c>
      <c r="BN4522" s="2">
        <v>106.31</v>
      </c>
      <c r="BO4522" s="2">
        <v>106.31</v>
      </c>
      <c r="BP4522" s="2"/>
      <c r="BQ4522" s="2" t="s">
        <v>1277</v>
      </c>
      <c r="BR4522" s="2" t="s">
        <v>84</v>
      </c>
      <c r="BS4522" s="3">
        <v>42951</v>
      </c>
      <c r="BT4522" s="4">
        <v>0.31944444444444448</v>
      </c>
      <c r="BU4522" s="2" t="s">
        <v>1176</v>
      </c>
      <c r="BV4522" s="2" t="s">
        <v>95</v>
      </c>
      <c r="BW4522" s="2"/>
      <c r="BX4522" s="2"/>
      <c r="BY4522" s="2">
        <v>9294.19</v>
      </c>
      <c r="BZ4522" s="2" t="s">
        <v>27</v>
      </c>
      <c r="CA4522" s="2"/>
      <c r="CB4522" s="2"/>
      <c r="CC4522" s="2" t="s">
        <v>98</v>
      </c>
      <c r="CD4522" s="2">
        <v>6001</v>
      </c>
      <c r="CE4522" s="2" t="s">
        <v>1005</v>
      </c>
      <c r="CF4522" s="5">
        <v>42954</v>
      </c>
      <c r="CG4522" s="2"/>
      <c r="CH4522" s="2"/>
      <c r="CI4522" s="2">
        <v>1</v>
      </c>
      <c r="CJ4522" s="2">
        <v>1</v>
      </c>
      <c r="CK4522" s="2">
        <v>21</v>
      </c>
      <c r="CL4522" s="2" t="s">
        <v>86</v>
      </c>
      <c r="CM4522" s="2"/>
    </row>
    <row r="4523" spans="1:91">
      <c r="A4523" s="2" t="s">
        <v>71</v>
      </c>
      <c r="B4523" s="2" t="s">
        <v>72</v>
      </c>
      <c r="C4523" s="2" t="s">
        <v>73</v>
      </c>
      <c r="D4523" s="2"/>
      <c r="E4523" s="2" t="str">
        <f>"FES1162566533"</f>
        <v>FES1162566533</v>
      </c>
      <c r="F4523" s="3">
        <v>42950</v>
      </c>
      <c r="G4523" s="2">
        <v>201802</v>
      </c>
      <c r="H4523" s="2" t="s">
        <v>74</v>
      </c>
      <c r="I4523" s="2" t="s">
        <v>75</v>
      </c>
      <c r="J4523" s="2" t="s">
        <v>76</v>
      </c>
      <c r="K4523" s="2" t="s">
        <v>77</v>
      </c>
      <c r="L4523" s="2" t="s">
        <v>362</v>
      </c>
      <c r="M4523" s="2" t="s">
        <v>363</v>
      </c>
      <c r="N4523" s="2" t="s">
        <v>1344</v>
      </c>
      <c r="O4523" s="2" t="s">
        <v>100</v>
      </c>
      <c r="P4523" s="2" t="str">
        <f>"2170582880                    "</f>
        <v xml:space="preserve">2170582880                    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0</v>
      </c>
      <c r="Y4523" s="2">
        <v>0</v>
      </c>
      <c r="Z4523" s="2">
        <v>0</v>
      </c>
      <c r="AA4523" s="2">
        <v>0</v>
      </c>
      <c r="AB4523" s="2">
        <v>0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4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0</v>
      </c>
      <c r="AU4523" s="2">
        <v>0</v>
      </c>
      <c r="AV4523" s="2">
        <v>0</v>
      </c>
      <c r="AW4523" s="2">
        <v>0</v>
      </c>
      <c r="AX4523" s="2">
        <v>0</v>
      </c>
      <c r="AY4523" s="2">
        <v>0</v>
      </c>
      <c r="AZ4523" s="2">
        <v>0</v>
      </c>
      <c r="BA4523" s="2">
        <v>0</v>
      </c>
      <c r="BB4523" s="2">
        <v>0</v>
      </c>
      <c r="BC4523" s="2">
        <v>0</v>
      </c>
      <c r="BD4523" s="2">
        <v>0</v>
      </c>
      <c r="BE4523" s="2">
        <v>0</v>
      </c>
      <c r="BF4523" s="2">
        <v>0</v>
      </c>
      <c r="BG4523" s="2">
        <v>0</v>
      </c>
      <c r="BH4523" s="2">
        <v>1</v>
      </c>
      <c r="BI4523" s="2">
        <v>1</v>
      </c>
      <c r="BJ4523" s="2">
        <v>0.2</v>
      </c>
      <c r="BK4523" s="2">
        <v>1</v>
      </c>
      <c r="BL4523" s="2">
        <v>41.44</v>
      </c>
      <c r="BM4523" s="2">
        <v>5.8</v>
      </c>
      <c r="BN4523" s="2">
        <v>47.24</v>
      </c>
      <c r="BO4523" s="2">
        <v>47.24</v>
      </c>
      <c r="BP4523" s="2"/>
      <c r="BQ4523" s="2" t="s">
        <v>1345</v>
      </c>
      <c r="BR4523" s="2" t="s">
        <v>84</v>
      </c>
      <c r="BS4523" s="3">
        <v>42951</v>
      </c>
      <c r="BT4523" s="4">
        <v>0.4375</v>
      </c>
      <c r="BU4523" s="2" t="s">
        <v>3573</v>
      </c>
      <c r="BV4523" s="2" t="s">
        <v>95</v>
      </c>
      <c r="BW4523" s="2"/>
      <c r="BX4523" s="2"/>
      <c r="BY4523" s="2">
        <v>1200</v>
      </c>
      <c r="BZ4523" s="2" t="s">
        <v>27</v>
      </c>
      <c r="CA4523" s="2" t="s">
        <v>938</v>
      </c>
      <c r="CB4523" s="2"/>
      <c r="CC4523" s="2" t="s">
        <v>363</v>
      </c>
      <c r="CD4523" s="2">
        <v>3201</v>
      </c>
      <c r="CE4523" s="2" t="s">
        <v>104</v>
      </c>
      <c r="CF4523" s="5">
        <v>42954</v>
      </c>
      <c r="CG4523" s="2"/>
      <c r="CH4523" s="2"/>
      <c r="CI4523" s="2">
        <v>1</v>
      </c>
      <c r="CJ4523" s="2">
        <v>1</v>
      </c>
      <c r="CK4523" s="2">
        <v>21</v>
      </c>
      <c r="CL4523" s="2" t="s">
        <v>86</v>
      </c>
      <c r="CM4523" s="2"/>
    </row>
    <row r="4524" spans="1:91">
      <c r="A4524" s="2" t="s">
        <v>71</v>
      </c>
      <c r="B4524" s="2" t="s">
        <v>72</v>
      </c>
      <c r="C4524" s="2" t="s">
        <v>73</v>
      </c>
      <c r="D4524" s="2"/>
      <c r="E4524" s="2" t="str">
        <f>"FES1162566543"</f>
        <v>FES1162566543</v>
      </c>
      <c r="F4524" s="3">
        <v>42950</v>
      </c>
      <c r="G4524" s="2">
        <v>201802</v>
      </c>
      <c r="H4524" s="2" t="s">
        <v>74</v>
      </c>
      <c r="I4524" s="2" t="s">
        <v>75</v>
      </c>
      <c r="J4524" s="2" t="s">
        <v>76</v>
      </c>
      <c r="K4524" s="2" t="s">
        <v>77</v>
      </c>
      <c r="L4524" s="2" t="s">
        <v>362</v>
      </c>
      <c r="M4524" s="2" t="s">
        <v>363</v>
      </c>
      <c r="N4524" s="2" t="s">
        <v>4069</v>
      </c>
      <c r="O4524" s="2" t="s">
        <v>100</v>
      </c>
      <c r="P4524" s="2" t="str">
        <f>"2170582889                    "</f>
        <v xml:space="preserve">2170582889                    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  <c r="AB4524" s="2">
        <v>0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4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0</v>
      </c>
      <c r="AU4524" s="2">
        <v>0</v>
      </c>
      <c r="AV4524" s="2">
        <v>0</v>
      </c>
      <c r="AW4524" s="2">
        <v>0</v>
      </c>
      <c r="AX4524" s="2">
        <v>0</v>
      </c>
      <c r="AY4524" s="2">
        <v>0</v>
      </c>
      <c r="AZ4524" s="2">
        <v>0</v>
      </c>
      <c r="BA4524" s="2">
        <v>0</v>
      </c>
      <c r="BB4524" s="2">
        <v>0</v>
      </c>
      <c r="BC4524" s="2">
        <v>0</v>
      </c>
      <c r="BD4524" s="2">
        <v>0</v>
      </c>
      <c r="BE4524" s="2">
        <v>0</v>
      </c>
      <c r="BF4524" s="2">
        <v>0</v>
      </c>
      <c r="BG4524" s="2">
        <v>0</v>
      </c>
      <c r="BH4524" s="2">
        <v>1</v>
      </c>
      <c r="BI4524" s="2">
        <v>1.6</v>
      </c>
      <c r="BJ4524" s="2">
        <v>1.5</v>
      </c>
      <c r="BK4524" s="2">
        <v>2</v>
      </c>
      <c r="BL4524" s="2">
        <v>41.44</v>
      </c>
      <c r="BM4524" s="2">
        <v>5.8</v>
      </c>
      <c r="BN4524" s="2">
        <v>47.24</v>
      </c>
      <c r="BO4524" s="2">
        <v>47.24</v>
      </c>
      <c r="BP4524" s="2"/>
      <c r="BQ4524" s="2"/>
      <c r="BR4524" s="2" t="s">
        <v>84</v>
      </c>
      <c r="BS4524" s="3">
        <v>42954</v>
      </c>
      <c r="BT4524" s="4">
        <v>0.41666666666666669</v>
      </c>
      <c r="BU4524" s="2" t="s">
        <v>4070</v>
      </c>
      <c r="BV4524" s="2" t="s">
        <v>86</v>
      </c>
      <c r="BW4524" s="2"/>
      <c r="BX4524" s="2"/>
      <c r="BY4524" s="2">
        <v>7746.21</v>
      </c>
      <c r="BZ4524" s="2" t="s">
        <v>27</v>
      </c>
      <c r="CA4524" s="2" t="s">
        <v>668</v>
      </c>
      <c r="CB4524" s="2"/>
      <c r="CC4524" s="2" t="s">
        <v>363</v>
      </c>
      <c r="CD4524" s="2">
        <v>3680</v>
      </c>
      <c r="CE4524" s="2" t="s">
        <v>89</v>
      </c>
      <c r="CF4524" s="5">
        <v>42955</v>
      </c>
      <c r="CG4524" s="2"/>
      <c r="CH4524" s="2"/>
      <c r="CI4524" s="2">
        <v>1</v>
      </c>
      <c r="CJ4524" s="2">
        <v>2</v>
      </c>
      <c r="CK4524" s="2">
        <v>21</v>
      </c>
      <c r="CL4524" s="2" t="s">
        <v>86</v>
      </c>
      <c r="CM4524" s="2"/>
    </row>
    <row r="4525" spans="1:91">
      <c r="A4525" s="2" t="s">
        <v>71</v>
      </c>
      <c r="B4525" s="2" t="s">
        <v>72</v>
      </c>
      <c r="C4525" s="2" t="s">
        <v>73</v>
      </c>
      <c r="D4525" s="2"/>
      <c r="E4525" s="2" t="str">
        <f>"FES1162566535"</f>
        <v>FES1162566535</v>
      </c>
      <c r="F4525" s="3">
        <v>42950</v>
      </c>
      <c r="G4525" s="2">
        <v>201802</v>
      </c>
      <c r="H4525" s="2" t="s">
        <v>74</v>
      </c>
      <c r="I4525" s="2" t="s">
        <v>75</v>
      </c>
      <c r="J4525" s="2" t="s">
        <v>76</v>
      </c>
      <c r="K4525" s="2" t="s">
        <v>77</v>
      </c>
      <c r="L4525" s="2" t="s">
        <v>221</v>
      </c>
      <c r="M4525" s="2" t="s">
        <v>222</v>
      </c>
      <c r="N4525" s="2" t="s">
        <v>1275</v>
      </c>
      <c r="O4525" s="2" t="s">
        <v>100</v>
      </c>
      <c r="P4525" s="2" t="str">
        <f>"2170582882                    "</f>
        <v xml:space="preserve">2170582882                    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9.01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0</v>
      </c>
      <c r="AU4525" s="2">
        <v>0</v>
      </c>
      <c r="AV4525" s="2">
        <v>0</v>
      </c>
      <c r="AW4525" s="2">
        <v>0</v>
      </c>
      <c r="AX4525" s="2">
        <v>0</v>
      </c>
      <c r="AY4525" s="2">
        <v>0</v>
      </c>
      <c r="AZ4525" s="2">
        <v>0</v>
      </c>
      <c r="BA4525" s="2">
        <v>0</v>
      </c>
      <c r="BB4525" s="2">
        <v>0</v>
      </c>
      <c r="BC4525" s="2">
        <v>0</v>
      </c>
      <c r="BD4525" s="2">
        <v>0</v>
      </c>
      <c r="BE4525" s="2">
        <v>0</v>
      </c>
      <c r="BF4525" s="2">
        <v>0</v>
      </c>
      <c r="BG4525" s="2">
        <v>0</v>
      </c>
      <c r="BH4525" s="2">
        <v>1</v>
      </c>
      <c r="BI4525" s="2">
        <v>4.3</v>
      </c>
      <c r="BJ4525" s="2">
        <v>1.5</v>
      </c>
      <c r="BK4525" s="2">
        <v>4.5</v>
      </c>
      <c r="BL4525" s="2">
        <v>93.25</v>
      </c>
      <c r="BM4525" s="2">
        <v>13.06</v>
      </c>
      <c r="BN4525" s="2">
        <v>106.31</v>
      </c>
      <c r="BO4525" s="2">
        <v>106.31</v>
      </c>
      <c r="BP4525" s="2"/>
      <c r="BQ4525" s="2" t="s">
        <v>1534</v>
      </c>
      <c r="BR4525" s="2" t="s">
        <v>84</v>
      </c>
      <c r="BS4525" s="3">
        <v>42951</v>
      </c>
      <c r="BT4525" s="4">
        <v>0.36527777777777781</v>
      </c>
      <c r="BU4525" s="2" t="s">
        <v>1535</v>
      </c>
      <c r="BV4525" s="2" t="s">
        <v>95</v>
      </c>
      <c r="BW4525" s="2"/>
      <c r="BX4525" s="2"/>
      <c r="BY4525" s="2">
        <v>7555.68</v>
      </c>
      <c r="BZ4525" s="2" t="s">
        <v>27</v>
      </c>
      <c r="CA4525" s="2" t="s">
        <v>1536</v>
      </c>
      <c r="CB4525" s="2"/>
      <c r="CC4525" s="2" t="s">
        <v>222</v>
      </c>
      <c r="CD4525" s="2">
        <v>4300</v>
      </c>
      <c r="CE4525" s="2" t="s">
        <v>1005</v>
      </c>
      <c r="CF4525" s="5">
        <v>42954</v>
      </c>
      <c r="CG4525" s="2"/>
      <c r="CH4525" s="2"/>
      <c r="CI4525" s="2">
        <v>1</v>
      </c>
      <c r="CJ4525" s="2">
        <v>1</v>
      </c>
      <c r="CK4525" s="2">
        <v>21</v>
      </c>
      <c r="CL4525" s="2" t="s">
        <v>86</v>
      </c>
      <c r="CM4525" s="2"/>
    </row>
    <row r="4526" spans="1:91">
      <c r="A4526" s="2" t="s">
        <v>71</v>
      </c>
      <c r="B4526" s="2" t="s">
        <v>72</v>
      </c>
      <c r="C4526" s="2" t="s">
        <v>73</v>
      </c>
      <c r="D4526" s="2"/>
      <c r="E4526" s="2" t="str">
        <f>"FES1162566595"</f>
        <v>FES1162566595</v>
      </c>
      <c r="F4526" s="3">
        <v>42950</v>
      </c>
      <c r="G4526" s="2">
        <v>201802</v>
      </c>
      <c r="H4526" s="2" t="s">
        <v>74</v>
      </c>
      <c r="I4526" s="2" t="s">
        <v>75</v>
      </c>
      <c r="J4526" s="2" t="s">
        <v>76</v>
      </c>
      <c r="K4526" s="2" t="s">
        <v>77</v>
      </c>
      <c r="L4526" s="2" t="s">
        <v>715</v>
      </c>
      <c r="M4526" s="2" t="s">
        <v>716</v>
      </c>
      <c r="N4526" s="2" t="s">
        <v>2310</v>
      </c>
      <c r="O4526" s="2" t="s">
        <v>100</v>
      </c>
      <c r="P4526" s="2" t="str">
        <f>"2170582939                    "</f>
        <v xml:space="preserve">2170582939                    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0</v>
      </c>
      <c r="Z4526" s="2">
        <v>0</v>
      </c>
      <c r="AA4526" s="2">
        <v>0</v>
      </c>
      <c r="AB4526" s="2">
        <v>0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25.01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2">
        <v>0</v>
      </c>
      <c r="AT4526" s="2">
        <v>0</v>
      </c>
      <c r="AU4526" s="2">
        <v>0</v>
      </c>
      <c r="AV4526" s="2">
        <v>0</v>
      </c>
      <c r="AW4526" s="2">
        <v>0</v>
      </c>
      <c r="AX4526" s="2">
        <v>0</v>
      </c>
      <c r="AY4526" s="2">
        <v>0</v>
      </c>
      <c r="AZ4526" s="2">
        <v>0</v>
      </c>
      <c r="BA4526" s="2">
        <v>0</v>
      </c>
      <c r="BB4526" s="2">
        <v>0</v>
      </c>
      <c r="BC4526" s="2">
        <v>0</v>
      </c>
      <c r="BD4526" s="2">
        <v>0</v>
      </c>
      <c r="BE4526" s="2">
        <v>0</v>
      </c>
      <c r="BF4526" s="2">
        <v>0</v>
      </c>
      <c r="BG4526" s="2">
        <v>0</v>
      </c>
      <c r="BH4526" s="2">
        <v>1</v>
      </c>
      <c r="BI4526" s="2">
        <v>12.5</v>
      </c>
      <c r="BJ4526" s="2">
        <v>8.9</v>
      </c>
      <c r="BK4526" s="2">
        <v>12.5</v>
      </c>
      <c r="BL4526" s="2">
        <v>259.01</v>
      </c>
      <c r="BM4526" s="2">
        <v>36.26</v>
      </c>
      <c r="BN4526" s="2">
        <v>295.27</v>
      </c>
      <c r="BO4526" s="2">
        <v>295.27</v>
      </c>
      <c r="BP4526" s="2"/>
      <c r="BQ4526" s="2" t="s">
        <v>2436</v>
      </c>
      <c r="BR4526" s="2" t="s">
        <v>84</v>
      </c>
      <c r="BS4526" s="3">
        <v>42954</v>
      </c>
      <c r="BT4526" s="4">
        <v>0.55555555555555558</v>
      </c>
      <c r="BU4526" s="2" t="s">
        <v>4071</v>
      </c>
      <c r="BV4526" s="2" t="s">
        <v>86</v>
      </c>
      <c r="BW4526" s="2"/>
      <c r="BX4526" s="2"/>
      <c r="BY4526" s="2">
        <v>44349.55</v>
      </c>
      <c r="BZ4526" s="2" t="s">
        <v>27</v>
      </c>
      <c r="CA4526" s="2" t="s">
        <v>566</v>
      </c>
      <c r="CB4526" s="2"/>
      <c r="CC4526" s="2" t="s">
        <v>716</v>
      </c>
      <c r="CD4526" s="2">
        <v>3290</v>
      </c>
      <c r="CE4526" s="2" t="s">
        <v>89</v>
      </c>
      <c r="CF4526" s="5">
        <v>42957</v>
      </c>
      <c r="CG4526" s="2"/>
      <c r="CH4526" s="2"/>
      <c r="CI4526" s="2">
        <v>1</v>
      </c>
      <c r="CJ4526" s="2">
        <v>2</v>
      </c>
      <c r="CK4526" s="2">
        <v>21</v>
      </c>
      <c r="CL4526" s="2" t="s">
        <v>86</v>
      </c>
      <c r="CM4526" s="2"/>
    </row>
    <row r="4527" spans="1:91">
      <c r="A4527" s="2" t="s">
        <v>71</v>
      </c>
      <c r="B4527" s="2" t="s">
        <v>72</v>
      </c>
      <c r="C4527" s="2" t="s">
        <v>73</v>
      </c>
      <c r="D4527" s="2"/>
      <c r="E4527" s="2" t="str">
        <f>"FES1162566538"</f>
        <v>FES1162566538</v>
      </c>
      <c r="F4527" s="3">
        <v>42950</v>
      </c>
      <c r="G4527" s="2">
        <v>201802</v>
      </c>
      <c r="H4527" s="2" t="s">
        <v>74</v>
      </c>
      <c r="I4527" s="2" t="s">
        <v>75</v>
      </c>
      <c r="J4527" s="2" t="s">
        <v>76</v>
      </c>
      <c r="K4527" s="2" t="s">
        <v>77</v>
      </c>
      <c r="L4527" s="2" t="s">
        <v>221</v>
      </c>
      <c r="M4527" s="2" t="s">
        <v>222</v>
      </c>
      <c r="N4527" s="2" t="s">
        <v>1275</v>
      </c>
      <c r="O4527" s="2" t="s">
        <v>100</v>
      </c>
      <c r="P4527" s="2" t="str">
        <f>"2170582885                    "</f>
        <v xml:space="preserve">2170582885                    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5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0</v>
      </c>
      <c r="AU4527" s="2">
        <v>0</v>
      </c>
      <c r="AV4527" s="2">
        <v>0</v>
      </c>
      <c r="AW4527" s="2">
        <v>0</v>
      </c>
      <c r="AX4527" s="2">
        <v>0</v>
      </c>
      <c r="AY4527" s="2">
        <v>0</v>
      </c>
      <c r="AZ4527" s="2">
        <v>0</v>
      </c>
      <c r="BA4527" s="2">
        <v>0</v>
      </c>
      <c r="BB4527" s="2">
        <v>0</v>
      </c>
      <c r="BC4527" s="2">
        <v>0</v>
      </c>
      <c r="BD4527" s="2">
        <v>0</v>
      </c>
      <c r="BE4527" s="2">
        <v>0</v>
      </c>
      <c r="BF4527" s="2">
        <v>0</v>
      </c>
      <c r="BG4527" s="2">
        <v>0</v>
      </c>
      <c r="BH4527" s="2">
        <v>1</v>
      </c>
      <c r="BI4527" s="2">
        <v>2</v>
      </c>
      <c r="BJ4527" s="2">
        <v>2.1</v>
      </c>
      <c r="BK4527" s="2">
        <v>2.5</v>
      </c>
      <c r="BL4527" s="2">
        <v>51.8</v>
      </c>
      <c r="BM4527" s="2">
        <v>7.25</v>
      </c>
      <c r="BN4527" s="2">
        <v>59.05</v>
      </c>
      <c r="BO4527" s="2">
        <v>59.05</v>
      </c>
      <c r="BP4527" s="2"/>
      <c r="BQ4527" s="2" t="s">
        <v>1534</v>
      </c>
      <c r="BR4527" s="2" t="s">
        <v>84</v>
      </c>
      <c r="BS4527" s="3">
        <v>42951</v>
      </c>
      <c r="BT4527" s="4">
        <v>0.36527777777777781</v>
      </c>
      <c r="BU4527" s="2" t="s">
        <v>1535</v>
      </c>
      <c r="BV4527" s="2" t="s">
        <v>95</v>
      </c>
      <c r="BW4527" s="2"/>
      <c r="BX4527" s="2"/>
      <c r="BY4527" s="2">
        <v>10682.67</v>
      </c>
      <c r="BZ4527" s="2" t="s">
        <v>27</v>
      </c>
      <c r="CA4527" s="2" t="s">
        <v>1536</v>
      </c>
      <c r="CB4527" s="2"/>
      <c r="CC4527" s="2" t="s">
        <v>222</v>
      </c>
      <c r="CD4527" s="2">
        <v>4300</v>
      </c>
      <c r="CE4527" s="2" t="s">
        <v>1005</v>
      </c>
      <c r="CF4527" s="5">
        <v>42954</v>
      </c>
      <c r="CG4527" s="2"/>
      <c r="CH4527" s="2"/>
      <c r="CI4527" s="2">
        <v>1</v>
      </c>
      <c r="CJ4527" s="2">
        <v>1</v>
      </c>
      <c r="CK4527" s="2">
        <v>21</v>
      </c>
      <c r="CL4527" s="2" t="s">
        <v>86</v>
      </c>
      <c r="CM4527" s="2"/>
    </row>
    <row r="4528" spans="1:91">
      <c r="A4528" s="2" t="s">
        <v>71</v>
      </c>
      <c r="B4528" s="2" t="s">
        <v>72</v>
      </c>
      <c r="C4528" s="2" t="s">
        <v>73</v>
      </c>
      <c r="D4528" s="2"/>
      <c r="E4528" s="2" t="str">
        <f>"FES1162566565"</f>
        <v>FES1162566565</v>
      </c>
      <c r="F4528" s="3">
        <v>42950</v>
      </c>
      <c r="G4528" s="2">
        <v>201802</v>
      </c>
      <c r="H4528" s="2" t="s">
        <v>74</v>
      </c>
      <c r="I4528" s="2" t="s">
        <v>75</v>
      </c>
      <c r="J4528" s="2" t="s">
        <v>76</v>
      </c>
      <c r="K4528" s="2" t="s">
        <v>77</v>
      </c>
      <c r="L4528" s="2" t="s">
        <v>221</v>
      </c>
      <c r="M4528" s="2" t="s">
        <v>222</v>
      </c>
      <c r="N4528" s="2" t="s">
        <v>415</v>
      </c>
      <c r="O4528" s="2" t="s">
        <v>100</v>
      </c>
      <c r="P4528" s="2" t="str">
        <f>"2170582914                    "</f>
        <v xml:space="preserve">2170582914                    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2">
        <v>0</v>
      </c>
      <c r="Z4528" s="2">
        <v>0</v>
      </c>
      <c r="AA4528" s="2">
        <v>0</v>
      </c>
      <c r="AB4528" s="2">
        <v>0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11.01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0</v>
      </c>
      <c r="AU4528" s="2">
        <v>0</v>
      </c>
      <c r="AV4528" s="2">
        <v>0</v>
      </c>
      <c r="AW4528" s="2">
        <v>0</v>
      </c>
      <c r="AX4528" s="2">
        <v>0</v>
      </c>
      <c r="AY4528" s="2">
        <v>0</v>
      </c>
      <c r="AZ4528" s="2">
        <v>0</v>
      </c>
      <c r="BA4528" s="2">
        <v>0</v>
      </c>
      <c r="BB4528" s="2">
        <v>0</v>
      </c>
      <c r="BC4528" s="2">
        <v>0</v>
      </c>
      <c r="BD4528" s="2">
        <v>0</v>
      </c>
      <c r="BE4528" s="2">
        <v>0</v>
      </c>
      <c r="BF4528" s="2">
        <v>0</v>
      </c>
      <c r="BG4528" s="2">
        <v>0</v>
      </c>
      <c r="BH4528" s="2">
        <v>1</v>
      </c>
      <c r="BI4528" s="2">
        <v>5.0999999999999996</v>
      </c>
      <c r="BJ4528" s="2">
        <v>3.2</v>
      </c>
      <c r="BK4528" s="2">
        <v>5.5</v>
      </c>
      <c r="BL4528" s="2">
        <v>113.97</v>
      </c>
      <c r="BM4528" s="2">
        <v>15.96</v>
      </c>
      <c r="BN4528" s="2">
        <v>129.93</v>
      </c>
      <c r="BO4528" s="2">
        <v>129.93</v>
      </c>
      <c r="BP4528" s="2"/>
      <c r="BQ4528" s="2" t="s">
        <v>108</v>
      </c>
      <c r="BR4528" s="2" t="s">
        <v>84</v>
      </c>
      <c r="BS4528" s="3">
        <v>42951</v>
      </c>
      <c r="BT4528" s="4">
        <v>0.35625000000000001</v>
      </c>
      <c r="BU4528" s="2" t="s">
        <v>933</v>
      </c>
      <c r="BV4528" s="2" t="s">
        <v>95</v>
      </c>
      <c r="BW4528" s="2"/>
      <c r="BX4528" s="2"/>
      <c r="BY4528" s="2">
        <v>16172.35</v>
      </c>
      <c r="BZ4528" s="2" t="s">
        <v>27</v>
      </c>
      <c r="CA4528" s="2" t="s">
        <v>225</v>
      </c>
      <c r="CB4528" s="2"/>
      <c r="CC4528" s="2" t="s">
        <v>222</v>
      </c>
      <c r="CD4528" s="2">
        <v>4302</v>
      </c>
      <c r="CE4528" s="2" t="s">
        <v>89</v>
      </c>
      <c r="CF4528" s="5">
        <v>42954</v>
      </c>
      <c r="CG4528" s="2"/>
      <c r="CH4528" s="2"/>
      <c r="CI4528" s="2">
        <v>1</v>
      </c>
      <c r="CJ4528" s="2">
        <v>1</v>
      </c>
      <c r="CK4528" s="2">
        <v>21</v>
      </c>
      <c r="CL4528" s="2" t="s">
        <v>86</v>
      </c>
      <c r="CM4528" s="2"/>
    </row>
    <row r="4529" spans="1:91">
      <c r="A4529" s="2" t="s">
        <v>71</v>
      </c>
      <c r="B4529" s="2" t="s">
        <v>72</v>
      </c>
      <c r="C4529" s="2" t="s">
        <v>73</v>
      </c>
      <c r="D4529" s="2"/>
      <c r="E4529" s="2" t="str">
        <f>"FES1162566781"</f>
        <v>FES1162566781</v>
      </c>
      <c r="F4529" s="3">
        <v>42950</v>
      </c>
      <c r="G4529" s="2">
        <v>201802</v>
      </c>
      <c r="H4529" s="2" t="s">
        <v>74</v>
      </c>
      <c r="I4529" s="2" t="s">
        <v>75</v>
      </c>
      <c r="J4529" s="2" t="s">
        <v>76</v>
      </c>
      <c r="K4529" s="2" t="s">
        <v>77</v>
      </c>
      <c r="L4529" s="2" t="s">
        <v>2834</v>
      </c>
      <c r="M4529" s="2" t="s">
        <v>2835</v>
      </c>
      <c r="N4529" s="2" t="s">
        <v>2842</v>
      </c>
      <c r="O4529" s="2" t="s">
        <v>100</v>
      </c>
      <c r="P4529" s="2" t="str">
        <f>"2170583026                    "</f>
        <v xml:space="preserve">2170583026                    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  <c r="AB4529" s="2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5.63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2">
        <v>0</v>
      </c>
      <c r="AT4529" s="2">
        <v>0</v>
      </c>
      <c r="AU4529" s="2">
        <v>0</v>
      </c>
      <c r="AV4529" s="2">
        <v>0</v>
      </c>
      <c r="AW4529" s="2">
        <v>0</v>
      </c>
      <c r="AX4529" s="2">
        <v>0</v>
      </c>
      <c r="AY4529" s="2">
        <v>0</v>
      </c>
      <c r="AZ4529" s="2">
        <v>0</v>
      </c>
      <c r="BA4529" s="2">
        <v>0</v>
      </c>
      <c r="BB4529" s="2">
        <v>0</v>
      </c>
      <c r="BC4529" s="2">
        <v>0</v>
      </c>
      <c r="BD4529" s="2">
        <v>0</v>
      </c>
      <c r="BE4529" s="2">
        <v>0</v>
      </c>
      <c r="BF4529" s="2">
        <v>0</v>
      </c>
      <c r="BG4529" s="2">
        <v>0</v>
      </c>
      <c r="BH4529" s="2">
        <v>1</v>
      </c>
      <c r="BI4529" s="2">
        <v>1</v>
      </c>
      <c r="BJ4529" s="2">
        <v>0.2</v>
      </c>
      <c r="BK4529" s="2">
        <v>1</v>
      </c>
      <c r="BL4529" s="2">
        <v>58.28</v>
      </c>
      <c r="BM4529" s="2">
        <v>8.16</v>
      </c>
      <c r="BN4529" s="2">
        <v>66.44</v>
      </c>
      <c r="BO4529" s="2">
        <v>66.44</v>
      </c>
      <c r="BP4529" s="2"/>
      <c r="BQ4529" s="2" t="s">
        <v>83</v>
      </c>
      <c r="BR4529" s="2" t="s">
        <v>84</v>
      </c>
      <c r="BS4529" s="3">
        <v>42951</v>
      </c>
      <c r="BT4529" s="4">
        <v>0.41666666666666669</v>
      </c>
      <c r="BU4529" s="2" t="s">
        <v>4072</v>
      </c>
      <c r="BV4529" s="2" t="s">
        <v>95</v>
      </c>
      <c r="BW4529" s="2"/>
      <c r="BX4529" s="2"/>
      <c r="BY4529" s="2">
        <v>1200</v>
      </c>
      <c r="BZ4529" s="2" t="s">
        <v>27</v>
      </c>
      <c r="CA4529" s="2"/>
      <c r="CB4529" s="2"/>
      <c r="CC4529" s="2" t="s">
        <v>2835</v>
      </c>
      <c r="CD4529" s="2">
        <v>1779</v>
      </c>
      <c r="CE4529" s="2" t="s">
        <v>104</v>
      </c>
      <c r="CF4529" s="5">
        <v>42954</v>
      </c>
      <c r="CG4529" s="2"/>
      <c r="CH4529" s="2"/>
      <c r="CI4529" s="2">
        <v>1</v>
      </c>
      <c r="CJ4529" s="2">
        <v>1</v>
      </c>
      <c r="CK4529" s="2">
        <v>24</v>
      </c>
      <c r="CL4529" s="2" t="s">
        <v>86</v>
      </c>
      <c r="CM4529" s="2"/>
    </row>
    <row r="4530" spans="1:91">
      <c r="A4530" s="2" t="s">
        <v>71</v>
      </c>
      <c r="B4530" s="2" t="s">
        <v>72</v>
      </c>
      <c r="C4530" s="2" t="s">
        <v>73</v>
      </c>
      <c r="D4530" s="2"/>
      <c r="E4530" s="2" t="str">
        <f>"FES1162566879"</f>
        <v>FES1162566879</v>
      </c>
      <c r="F4530" s="3">
        <v>42950</v>
      </c>
      <c r="G4530" s="2">
        <v>201802</v>
      </c>
      <c r="H4530" s="2" t="s">
        <v>74</v>
      </c>
      <c r="I4530" s="2" t="s">
        <v>75</v>
      </c>
      <c r="J4530" s="2" t="s">
        <v>76</v>
      </c>
      <c r="K4530" s="2" t="s">
        <v>77</v>
      </c>
      <c r="L4530" s="2" t="s">
        <v>417</v>
      </c>
      <c r="M4530" s="2" t="s">
        <v>417</v>
      </c>
      <c r="N4530" s="2" t="s">
        <v>1309</v>
      </c>
      <c r="O4530" s="2" t="s">
        <v>100</v>
      </c>
      <c r="P4530" s="2" t="str">
        <f>"217058687                     "</f>
        <v xml:space="preserve">217058687                     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4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0</v>
      </c>
      <c r="AU4530" s="2">
        <v>0</v>
      </c>
      <c r="AV4530" s="2">
        <v>0</v>
      </c>
      <c r="AW4530" s="2">
        <v>0</v>
      </c>
      <c r="AX4530" s="2">
        <v>0</v>
      </c>
      <c r="AY4530" s="2">
        <v>0</v>
      </c>
      <c r="AZ4530" s="2">
        <v>0</v>
      </c>
      <c r="BA4530" s="2">
        <v>0</v>
      </c>
      <c r="BB4530" s="2">
        <v>0</v>
      </c>
      <c r="BC4530" s="2">
        <v>0</v>
      </c>
      <c r="BD4530" s="2">
        <v>0</v>
      </c>
      <c r="BE4530" s="2">
        <v>0</v>
      </c>
      <c r="BF4530" s="2">
        <v>0</v>
      </c>
      <c r="BG4530" s="2">
        <v>0</v>
      </c>
      <c r="BH4530" s="2">
        <v>1</v>
      </c>
      <c r="BI4530" s="2">
        <v>1.2</v>
      </c>
      <c r="BJ4530" s="2">
        <v>1</v>
      </c>
      <c r="BK4530" s="2">
        <v>1.5</v>
      </c>
      <c r="BL4530" s="2">
        <v>41.44</v>
      </c>
      <c r="BM4530" s="2">
        <v>5.8</v>
      </c>
      <c r="BN4530" s="2">
        <v>47.24</v>
      </c>
      <c r="BO4530" s="2">
        <v>47.24</v>
      </c>
      <c r="BP4530" s="2"/>
      <c r="BQ4530" s="2" t="s">
        <v>83</v>
      </c>
      <c r="BR4530" s="2" t="s">
        <v>84</v>
      </c>
      <c r="BS4530" s="3">
        <v>42951</v>
      </c>
      <c r="BT4530" s="4">
        <v>0.41666666666666669</v>
      </c>
      <c r="BU4530" s="2" t="s">
        <v>4073</v>
      </c>
      <c r="BV4530" s="2" t="s">
        <v>95</v>
      </c>
      <c r="BW4530" s="2"/>
      <c r="BX4530" s="2"/>
      <c r="BY4530" s="2">
        <v>4943.04</v>
      </c>
      <c r="BZ4530" s="2" t="s">
        <v>27</v>
      </c>
      <c r="CA4530" s="2"/>
      <c r="CB4530" s="2"/>
      <c r="CC4530" s="2" t="s">
        <v>417</v>
      </c>
      <c r="CD4530" s="2">
        <v>7646</v>
      </c>
      <c r="CE4530" s="2" t="s">
        <v>89</v>
      </c>
      <c r="CF4530" s="5">
        <v>42954</v>
      </c>
      <c r="CG4530" s="2"/>
      <c r="CH4530" s="2"/>
      <c r="CI4530" s="2">
        <v>1</v>
      </c>
      <c r="CJ4530" s="2">
        <v>1</v>
      </c>
      <c r="CK4530" s="2">
        <v>21</v>
      </c>
      <c r="CL4530" s="2" t="s">
        <v>86</v>
      </c>
      <c r="CM4530" s="2"/>
    </row>
    <row r="4531" spans="1:91">
      <c r="A4531" s="2" t="s">
        <v>71</v>
      </c>
      <c r="B4531" s="2" t="s">
        <v>72</v>
      </c>
      <c r="C4531" s="2" t="s">
        <v>73</v>
      </c>
      <c r="D4531" s="2"/>
      <c r="E4531" s="2" t="str">
        <f>"FES1162566976"</f>
        <v>FES1162566976</v>
      </c>
      <c r="F4531" s="3">
        <v>42950</v>
      </c>
      <c r="G4531" s="2">
        <v>201802</v>
      </c>
      <c r="H4531" s="2" t="s">
        <v>74</v>
      </c>
      <c r="I4531" s="2" t="s">
        <v>75</v>
      </c>
      <c r="J4531" s="2" t="s">
        <v>76</v>
      </c>
      <c r="K4531" s="2" t="s">
        <v>77</v>
      </c>
      <c r="L4531" s="2" t="s">
        <v>221</v>
      </c>
      <c r="M4531" s="2" t="s">
        <v>222</v>
      </c>
      <c r="N4531" s="2" t="s">
        <v>1275</v>
      </c>
      <c r="O4531" s="2" t="s">
        <v>100</v>
      </c>
      <c r="P4531" s="2" t="str">
        <f>"21705823239                   "</f>
        <v xml:space="preserve">21705823239                   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4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0</v>
      </c>
      <c r="AU4531" s="2">
        <v>0</v>
      </c>
      <c r="AV4531" s="2">
        <v>0</v>
      </c>
      <c r="AW4531" s="2">
        <v>0</v>
      </c>
      <c r="AX4531" s="2">
        <v>0</v>
      </c>
      <c r="AY4531" s="2">
        <v>0</v>
      </c>
      <c r="AZ4531" s="2">
        <v>0</v>
      </c>
      <c r="BA4531" s="2">
        <v>0</v>
      </c>
      <c r="BB4531" s="2">
        <v>0</v>
      </c>
      <c r="BC4531" s="2">
        <v>0</v>
      </c>
      <c r="BD4531" s="2">
        <v>0</v>
      </c>
      <c r="BE4531" s="2">
        <v>0</v>
      </c>
      <c r="BF4531" s="2">
        <v>0</v>
      </c>
      <c r="BG4531" s="2">
        <v>0</v>
      </c>
      <c r="BH4531" s="2">
        <v>1</v>
      </c>
      <c r="BI4531" s="2">
        <v>2</v>
      </c>
      <c r="BJ4531" s="2">
        <v>1.3</v>
      </c>
      <c r="BK4531" s="2">
        <v>2</v>
      </c>
      <c r="BL4531" s="2">
        <v>41.44</v>
      </c>
      <c r="BM4531" s="2">
        <v>5.8</v>
      </c>
      <c r="BN4531" s="2">
        <v>47.24</v>
      </c>
      <c r="BO4531" s="2">
        <v>47.24</v>
      </c>
      <c r="BP4531" s="2"/>
      <c r="BQ4531" s="2" t="s">
        <v>1534</v>
      </c>
      <c r="BR4531" s="2" t="s">
        <v>84</v>
      </c>
      <c r="BS4531" s="3">
        <v>42951</v>
      </c>
      <c r="BT4531" s="4">
        <v>0.36527777777777781</v>
      </c>
      <c r="BU4531" s="2" t="s">
        <v>1535</v>
      </c>
      <c r="BV4531" s="2" t="s">
        <v>95</v>
      </c>
      <c r="BW4531" s="2"/>
      <c r="BX4531" s="2"/>
      <c r="BY4531" s="2">
        <v>6682.5</v>
      </c>
      <c r="BZ4531" s="2" t="s">
        <v>27</v>
      </c>
      <c r="CA4531" s="2" t="s">
        <v>1536</v>
      </c>
      <c r="CB4531" s="2"/>
      <c r="CC4531" s="2" t="s">
        <v>222</v>
      </c>
      <c r="CD4531" s="2">
        <v>4300</v>
      </c>
      <c r="CE4531" s="2" t="s">
        <v>89</v>
      </c>
      <c r="CF4531" s="5">
        <v>42954</v>
      </c>
      <c r="CG4531" s="2"/>
      <c r="CH4531" s="2"/>
      <c r="CI4531" s="2">
        <v>1</v>
      </c>
      <c r="CJ4531" s="2">
        <v>1</v>
      </c>
      <c r="CK4531" s="2">
        <v>21</v>
      </c>
      <c r="CL4531" s="2" t="s">
        <v>86</v>
      </c>
      <c r="CM4531" s="2"/>
    </row>
    <row r="4532" spans="1:91">
      <c r="A4532" s="2" t="s">
        <v>71</v>
      </c>
      <c r="B4532" s="2" t="s">
        <v>72</v>
      </c>
      <c r="C4532" s="2" t="s">
        <v>73</v>
      </c>
      <c r="D4532" s="2"/>
      <c r="E4532" s="2" t="str">
        <f>"FES1162567116"</f>
        <v>FES1162567116</v>
      </c>
      <c r="F4532" s="3">
        <v>42951</v>
      </c>
      <c r="G4532" s="2">
        <v>201802</v>
      </c>
      <c r="H4532" s="2" t="s">
        <v>74</v>
      </c>
      <c r="I4532" s="2" t="s">
        <v>75</v>
      </c>
      <c r="J4532" s="2" t="s">
        <v>76</v>
      </c>
      <c r="K4532" s="2" t="s">
        <v>77</v>
      </c>
      <c r="L4532" s="2" t="s">
        <v>339</v>
      </c>
      <c r="M4532" s="2" t="s">
        <v>340</v>
      </c>
      <c r="N4532" s="2" t="s">
        <v>613</v>
      </c>
      <c r="O4532" s="2" t="s">
        <v>81</v>
      </c>
      <c r="P4532" s="2" t="str">
        <f>"2170580788                    "</f>
        <v xml:space="preserve">2170580788                    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7.5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0</v>
      </c>
      <c r="AU4532" s="2">
        <v>0</v>
      </c>
      <c r="AV4532" s="2">
        <v>0</v>
      </c>
      <c r="AW4532" s="2">
        <v>0</v>
      </c>
      <c r="AX4532" s="2">
        <v>0</v>
      </c>
      <c r="AY4532" s="2">
        <v>0</v>
      </c>
      <c r="AZ4532" s="2">
        <v>0</v>
      </c>
      <c r="BA4532" s="2">
        <v>0</v>
      </c>
      <c r="BB4532" s="2">
        <v>0</v>
      </c>
      <c r="BC4532" s="2">
        <v>0</v>
      </c>
      <c r="BD4532" s="2">
        <v>0</v>
      </c>
      <c r="BE4532" s="2">
        <v>0</v>
      </c>
      <c r="BF4532" s="2">
        <v>0</v>
      </c>
      <c r="BG4532" s="2">
        <v>0</v>
      </c>
      <c r="BH4532" s="2">
        <v>1</v>
      </c>
      <c r="BI4532" s="2">
        <v>6.8</v>
      </c>
      <c r="BJ4532" s="2">
        <v>2.1</v>
      </c>
      <c r="BK4532" s="2">
        <v>7</v>
      </c>
      <c r="BL4532" s="2">
        <v>82.7</v>
      </c>
      <c r="BM4532" s="2">
        <v>11.58</v>
      </c>
      <c r="BN4532" s="2">
        <v>94.28</v>
      </c>
      <c r="BO4532" s="2">
        <v>94.28</v>
      </c>
      <c r="BP4532" s="2"/>
      <c r="BQ4532" s="2" t="s">
        <v>365</v>
      </c>
      <c r="BR4532" s="2" t="s">
        <v>84</v>
      </c>
      <c r="BS4532" s="3">
        <v>42954</v>
      </c>
      <c r="BT4532" s="4">
        <v>0.5</v>
      </c>
      <c r="BU4532" s="2" t="s">
        <v>2212</v>
      </c>
      <c r="BV4532" s="2" t="s">
        <v>95</v>
      </c>
      <c r="BW4532" s="2"/>
      <c r="BX4532" s="2"/>
      <c r="BY4532" s="2">
        <v>10375.200000000001</v>
      </c>
      <c r="BZ4532" s="2"/>
      <c r="CA4532" s="2"/>
      <c r="CB4532" s="2"/>
      <c r="CC4532" s="2" t="s">
        <v>340</v>
      </c>
      <c r="CD4532" s="2">
        <v>1947</v>
      </c>
      <c r="CE4532" s="2" t="s">
        <v>948</v>
      </c>
      <c r="CF4532" s="5">
        <v>42957</v>
      </c>
      <c r="CG4532" s="2"/>
      <c r="CH4532" s="2"/>
      <c r="CI4532" s="2">
        <v>0</v>
      </c>
      <c r="CJ4532" s="2">
        <v>0</v>
      </c>
      <c r="CK4532" s="2" t="s">
        <v>163</v>
      </c>
      <c r="CL4532" s="2" t="s">
        <v>86</v>
      </c>
      <c r="CM4532" s="2"/>
    </row>
    <row r="4533" spans="1:91">
      <c r="A4533" s="2" t="s">
        <v>71</v>
      </c>
      <c r="B4533" s="2" t="s">
        <v>72</v>
      </c>
      <c r="C4533" s="2" t="s">
        <v>73</v>
      </c>
      <c r="D4533" s="2"/>
      <c r="E4533" s="2" t="str">
        <f>"080001700261"</f>
        <v>080001700261</v>
      </c>
      <c r="F4533" s="3">
        <v>42950</v>
      </c>
      <c r="G4533" s="2">
        <v>201802</v>
      </c>
      <c r="H4533" s="2" t="s">
        <v>105</v>
      </c>
      <c r="I4533" s="2" t="s">
        <v>106</v>
      </c>
      <c r="J4533" s="2" t="s">
        <v>4074</v>
      </c>
      <c r="K4533" s="2" t="s">
        <v>77</v>
      </c>
      <c r="L4533" s="2" t="s">
        <v>74</v>
      </c>
      <c r="M4533" s="2" t="s">
        <v>75</v>
      </c>
      <c r="N4533" s="2" t="s">
        <v>118</v>
      </c>
      <c r="O4533" s="2" t="s">
        <v>81</v>
      </c>
      <c r="P4533" s="2" t="str">
        <f>"ZA1000657579                  "</f>
        <v xml:space="preserve">ZA1000657579                  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  <c r="AB4533" s="2">
        <v>0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8.19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0</v>
      </c>
      <c r="AU4533" s="2">
        <v>0</v>
      </c>
      <c r="AV4533" s="2">
        <v>0</v>
      </c>
      <c r="AW4533" s="2">
        <v>0</v>
      </c>
      <c r="AX4533" s="2">
        <v>0</v>
      </c>
      <c r="AY4533" s="2">
        <v>0</v>
      </c>
      <c r="AZ4533" s="2">
        <v>0</v>
      </c>
      <c r="BA4533" s="2">
        <v>0</v>
      </c>
      <c r="BB4533" s="2">
        <v>0</v>
      </c>
      <c r="BC4533" s="2">
        <v>0</v>
      </c>
      <c r="BD4533" s="2">
        <v>0</v>
      </c>
      <c r="BE4533" s="2">
        <v>0</v>
      </c>
      <c r="BF4533" s="2">
        <v>0</v>
      </c>
      <c r="BG4533" s="2">
        <v>0</v>
      </c>
      <c r="BH4533" s="2">
        <v>1</v>
      </c>
      <c r="BI4533" s="2">
        <v>0.6</v>
      </c>
      <c r="BJ4533" s="2">
        <v>1.7</v>
      </c>
      <c r="BK4533" s="2">
        <v>2</v>
      </c>
      <c r="BL4533" s="2">
        <v>89.83</v>
      </c>
      <c r="BM4533" s="2">
        <v>12.58</v>
      </c>
      <c r="BN4533" s="2">
        <v>102.41</v>
      </c>
      <c r="BO4533" s="2">
        <v>102.41</v>
      </c>
      <c r="BP4533" s="2" t="s">
        <v>4075</v>
      </c>
      <c r="BQ4533" s="2" t="s">
        <v>1053</v>
      </c>
      <c r="BR4533" s="2" t="s">
        <v>4076</v>
      </c>
      <c r="BS4533" s="3">
        <v>42954</v>
      </c>
      <c r="BT4533" s="4">
        <v>0.6430555555555556</v>
      </c>
      <c r="BU4533" s="2" t="s">
        <v>4077</v>
      </c>
      <c r="BV4533" s="2" t="s">
        <v>95</v>
      </c>
      <c r="BW4533" s="2"/>
      <c r="BX4533" s="2"/>
      <c r="BY4533" s="2">
        <v>8558.8799999999992</v>
      </c>
      <c r="BZ4533" s="2"/>
      <c r="CA4533" s="2" t="s">
        <v>4078</v>
      </c>
      <c r="CB4533" s="2"/>
      <c r="CC4533" s="2" t="s">
        <v>75</v>
      </c>
      <c r="CD4533" s="2">
        <v>1600</v>
      </c>
      <c r="CE4533" s="2" t="s">
        <v>89</v>
      </c>
      <c r="CF4533" s="5">
        <v>42957</v>
      </c>
      <c r="CG4533" s="2"/>
      <c r="CH4533" s="2"/>
      <c r="CI4533" s="2">
        <v>0</v>
      </c>
      <c r="CJ4533" s="2">
        <v>0</v>
      </c>
      <c r="CK4533" s="2" t="s">
        <v>136</v>
      </c>
      <c r="CL4533" s="2" t="s">
        <v>86</v>
      </c>
      <c r="CM4533" s="2"/>
    </row>
    <row r="4534" spans="1:91">
      <c r="A4534" s="2" t="s">
        <v>71</v>
      </c>
      <c r="B4534" s="2" t="s">
        <v>72</v>
      </c>
      <c r="C4534" s="2" t="s">
        <v>73</v>
      </c>
      <c r="D4534" s="2"/>
      <c r="E4534" s="2" t="str">
        <f>"FES1162566542"</f>
        <v>FES1162566542</v>
      </c>
      <c r="F4534" s="3">
        <v>42949</v>
      </c>
      <c r="G4534" s="2">
        <v>201802</v>
      </c>
      <c r="H4534" s="2" t="s">
        <v>74</v>
      </c>
      <c r="I4534" s="2" t="s">
        <v>75</v>
      </c>
      <c r="J4534" s="2" t="s">
        <v>76</v>
      </c>
      <c r="K4534" s="2" t="s">
        <v>77</v>
      </c>
      <c r="L4534" s="2" t="s">
        <v>97</v>
      </c>
      <c r="M4534" s="2" t="s">
        <v>98</v>
      </c>
      <c r="N4534" s="2" t="s">
        <v>1044</v>
      </c>
      <c r="O4534" s="2" t="s">
        <v>81</v>
      </c>
      <c r="P4534" s="2" t="str">
        <f>"2170582896                    "</f>
        <v xml:space="preserve">2170582896                    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8.19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0</v>
      </c>
      <c r="AU4534" s="2">
        <v>0</v>
      </c>
      <c r="AV4534" s="2">
        <v>0</v>
      </c>
      <c r="AW4534" s="2">
        <v>0</v>
      </c>
      <c r="AX4534" s="2">
        <v>0</v>
      </c>
      <c r="AY4534" s="2">
        <v>0</v>
      </c>
      <c r="AZ4534" s="2">
        <v>0</v>
      </c>
      <c r="BA4534" s="2">
        <v>0</v>
      </c>
      <c r="BB4534" s="2">
        <v>0</v>
      </c>
      <c r="BC4534" s="2">
        <v>0</v>
      </c>
      <c r="BD4534" s="2">
        <v>0</v>
      </c>
      <c r="BE4534" s="2">
        <v>0</v>
      </c>
      <c r="BF4534" s="2">
        <v>0</v>
      </c>
      <c r="BG4534" s="2">
        <v>0</v>
      </c>
      <c r="BH4534" s="2">
        <v>1</v>
      </c>
      <c r="BI4534" s="2">
        <v>7</v>
      </c>
      <c r="BJ4534" s="2">
        <v>3.7</v>
      </c>
      <c r="BK4534" s="2">
        <v>7</v>
      </c>
      <c r="BL4534" s="2">
        <v>89.83</v>
      </c>
      <c r="BM4534" s="2">
        <v>12.58</v>
      </c>
      <c r="BN4534" s="2">
        <v>102.41</v>
      </c>
      <c r="BO4534" s="2">
        <v>102.41</v>
      </c>
      <c r="BP4534" s="2"/>
      <c r="BQ4534" s="2" t="s">
        <v>4079</v>
      </c>
      <c r="BR4534" s="2" t="s">
        <v>84</v>
      </c>
      <c r="BS4534" s="3">
        <v>42950</v>
      </c>
      <c r="BT4534" s="4">
        <v>0.43194444444444446</v>
      </c>
      <c r="BU4534" s="2" t="s">
        <v>1336</v>
      </c>
      <c r="BV4534" s="2" t="s">
        <v>95</v>
      </c>
      <c r="BW4534" s="2"/>
      <c r="BX4534" s="2"/>
      <c r="BY4534" s="2">
        <v>18559.63</v>
      </c>
      <c r="BZ4534" s="2"/>
      <c r="CA4534" s="2" t="s">
        <v>1047</v>
      </c>
      <c r="CB4534" s="2"/>
      <c r="CC4534" s="2" t="s">
        <v>98</v>
      </c>
      <c r="CD4534" s="2">
        <v>6045</v>
      </c>
      <c r="CE4534" s="2" t="s">
        <v>89</v>
      </c>
      <c r="CF4534" s="5">
        <v>42951</v>
      </c>
      <c r="CG4534" s="2"/>
      <c r="CH4534" s="2"/>
      <c r="CI4534" s="2">
        <v>0</v>
      </c>
      <c r="CJ4534" s="2">
        <v>0</v>
      </c>
      <c r="CK4534" s="2" t="s">
        <v>136</v>
      </c>
      <c r="CL4534" s="2" t="s">
        <v>86</v>
      </c>
      <c r="CM4534" s="2"/>
    </row>
    <row r="4535" spans="1:91">
      <c r="A4535" s="2" t="s">
        <v>71</v>
      </c>
      <c r="B4535" s="2" t="s">
        <v>72</v>
      </c>
      <c r="C4535" s="2" t="s">
        <v>73</v>
      </c>
      <c r="D4535" s="2"/>
      <c r="E4535" s="2" t="str">
        <f>"080001700219"</f>
        <v>080001700219</v>
      </c>
      <c r="F4535" s="3">
        <v>42950</v>
      </c>
      <c r="G4535" s="2">
        <v>201802</v>
      </c>
      <c r="H4535" s="2" t="s">
        <v>105</v>
      </c>
      <c r="I4535" s="2" t="s">
        <v>106</v>
      </c>
      <c r="J4535" s="2" t="s">
        <v>4080</v>
      </c>
      <c r="K4535" s="2" t="s">
        <v>77</v>
      </c>
      <c r="L4535" s="2" t="s">
        <v>74</v>
      </c>
      <c r="M4535" s="2" t="s">
        <v>75</v>
      </c>
      <c r="N4535" s="2" t="s">
        <v>118</v>
      </c>
      <c r="O4535" s="2" t="s">
        <v>81</v>
      </c>
      <c r="P4535" s="2" t="str">
        <f>"ZA1000657520                  "</f>
        <v xml:space="preserve">ZA1000657520                  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0</v>
      </c>
      <c r="Z4535" s="2">
        <v>0</v>
      </c>
      <c r="AA4535" s="2">
        <v>0</v>
      </c>
      <c r="AB4535" s="2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8.19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0</v>
      </c>
      <c r="AU4535" s="2">
        <v>0</v>
      </c>
      <c r="AV4535" s="2">
        <v>0</v>
      </c>
      <c r="AW4535" s="2">
        <v>0</v>
      </c>
      <c r="AX4535" s="2">
        <v>0</v>
      </c>
      <c r="AY4535" s="2">
        <v>0</v>
      </c>
      <c r="AZ4535" s="2">
        <v>0</v>
      </c>
      <c r="BA4535" s="2">
        <v>0</v>
      </c>
      <c r="BB4535" s="2">
        <v>0</v>
      </c>
      <c r="BC4535" s="2">
        <v>0</v>
      </c>
      <c r="BD4535" s="2">
        <v>0</v>
      </c>
      <c r="BE4535" s="2">
        <v>0</v>
      </c>
      <c r="BF4535" s="2">
        <v>0</v>
      </c>
      <c r="BG4535" s="2">
        <v>0</v>
      </c>
      <c r="BH4535" s="2">
        <v>1</v>
      </c>
      <c r="BI4535" s="2">
        <v>5</v>
      </c>
      <c r="BJ4535" s="2">
        <v>3.4</v>
      </c>
      <c r="BK4535" s="2">
        <v>5</v>
      </c>
      <c r="BL4535" s="2">
        <v>89.83</v>
      </c>
      <c r="BM4535" s="2">
        <v>12.58</v>
      </c>
      <c r="BN4535" s="2">
        <v>102.41</v>
      </c>
      <c r="BO4535" s="2">
        <v>102.41</v>
      </c>
      <c r="BP4535" s="2" t="s">
        <v>4081</v>
      </c>
      <c r="BQ4535" s="2" t="s">
        <v>1053</v>
      </c>
      <c r="BR4535" s="2" t="s">
        <v>4082</v>
      </c>
      <c r="BS4535" s="3">
        <v>42954</v>
      </c>
      <c r="BT4535" s="4">
        <v>0.4291666666666667</v>
      </c>
      <c r="BU4535" s="2" t="s">
        <v>4083</v>
      </c>
      <c r="BV4535" s="2" t="s">
        <v>95</v>
      </c>
      <c r="BW4535" s="2"/>
      <c r="BX4535" s="2"/>
      <c r="BY4535" s="2">
        <v>17179.97</v>
      </c>
      <c r="BZ4535" s="2"/>
      <c r="CA4535" s="2"/>
      <c r="CB4535" s="2"/>
      <c r="CC4535" s="2" t="s">
        <v>75</v>
      </c>
      <c r="CD4535" s="2">
        <v>1600</v>
      </c>
      <c r="CE4535" s="2" t="s">
        <v>89</v>
      </c>
      <c r="CF4535" s="5">
        <v>42957</v>
      </c>
      <c r="CG4535" s="2"/>
      <c r="CH4535" s="2"/>
      <c r="CI4535" s="2">
        <v>0</v>
      </c>
      <c r="CJ4535" s="2">
        <v>0</v>
      </c>
      <c r="CK4535" s="2" t="s">
        <v>136</v>
      </c>
      <c r="CL4535" s="2" t="s">
        <v>86</v>
      </c>
      <c r="CM4535" s="2"/>
    </row>
    <row r="4536" spans="1:91">
      <c r="A4536" s="2" t="s">
        <v>71</v>
      </c>
      <c r="B4536" s="2" t="s">
        <v>72</v>
      </c>
      <c r="C4536" s="2" t="s">
        <v>73</v>
      </c>
      <c r="D4536" s="2"/>
      <c r="E4536" s="2" t="str">
        <f>"FES1162566977"</f>
        <v>FES1162566977</v>
      </c>
      <c r="F4536" s="3">
        <v>42950</v>
      </c>
      <c r="G4536" s="2">
        <v>201802</v>
      </c>
      <c r="H4536" s="2" t="s">
        <v>74</v>
      </c>
      <c r="I4536" s="2" t="s">
        <v>75</v>
      </c>
      <c r="J4536" s="2" t="s">
        <v>76</v>
      </c>
      <c r="K4536" s="2" t="s">
        <v>77</v>
      </c>
      <c r="L4536" s="2" t="s">
        <v>97</v>
      </c>
      <c r="M4536" s="2" t="s">
        <v>98</v>
      </c>
      <c r="N4536" s="2" t="s">
        <v>248</v>
      </c>
      <c r="O4536" s="2" t="s">
        <v>81</v>
      </c>
      <c r="P4536" s="2" t="str">
        <f>"2170579488                    "</f>
        <v xml:space="preserve">2170579488                    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10.3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0</v>
      </c>
      <c r="AU4536" s="2">
        <v>0</v>
      </c>
      <c r="AV4536" s="2">
        <v>0</v>
      </c>
      <c r="AW4536" s="2">
        <v>0</v>
      </c>
      <c r="AX4536" s="2">
        <v>0</v>
      </c>
      <c r="AY4536" s="2">
        <v>0</v>
      </c>
      <c r="AZ4536" s="2">
        <v>0</v>
      </c>
      <c r="BA4536" s="2">
        <v>0</v>
      </c>
      <c r="BB4536" s="2">
        <v>0</v>
      </c>
      <c r="BC4536" s="2">
        <v>0</v>
      </c>
      <c r="BD4536" s="2">
        <v>0</v>
      </c>
      <c r="BE4536" s="2">
        <v>0</v>
      </c>
      <c r="BF4536" s="2">
        <v>0</v>
      </c>
      <c r="BG4536" s="2">
        <v>0</v>
      </c>
      <c r="BH4536" s="2">
        <v>2</v>
      </c>
      <c r="BI4536" s="2">
        <v>20.100000000000001</v>
      </c>
      <c r="BJ4536" s="2">
        <v>19.7</v>
      </c>
      <c r="BK4536" s="2">
        <v>21</v>
      </c>
      <c r="BL4536" s="2">
        <v>111.62</v>
      </c>
      <c r="BM4536" s="2">
        <v>15.63</v>
      </c>
      <c r="BN4536" s="2">
        <v>127.25</v>
      </c>
      <c r="BO4536" s="2">
        <v>127.25</v>
      </c>
      <c r="BP4536" s="2"/>
      <c r="BQ4536" s="2" t="s">
        <v>83</v>
      </c>
      <c r="BR4536" s="2" t="s">
        <v>84</v>
      </c>
      <c r="BS4536" s="3">
        <v>42954</v>
      </c>
      <c r="BT4536" s="4">
        <v>0.60347222222222219</v>
      </c>
      <c r="BU4536" s="2" t="s">
        <v>3123</v>
      </c>
      <c r="BV4536" s="2"/>
      <c r="BW4536" s="2"/>
      <c r="BX4536" s="2"/>
      <c r="BY4536" s="2">
        <v>98575.18</v>
      </c>
      <c r="BZ4536" s="2"/>
      <c r="CA4536" s="2" t="s">
        <v>134</v>
      </c>
      <c r="CB4536" s="2"/>
      <c r="CC4536" s="2" t="s">
        <v>98</v>
      </c>
      <c r="CD4536" s="2">
        <v>6001</v>
      </c>
      <c r="CE4536" s="2" t="s">
        <v>89</v>
      </c>
      <c r="CF4536" s="5">
        <v>42955</v>
      </c>
      <c r="CG4536" s="2"/>
      <c r="CH4536" s="2"/>
      <c r="CI4536" s="2">
        <v>0</v>
      </c>
      <c r="CJ4536" s="2">
        <v>0</v>
      </c>
      <c r="CK4536" s="2" t="s">
        <v>136</v>
      </c>
      <c r="CL4536" s="2" t="s">
        <v>86</v>
      </c>
      <c r="CM4536" s="2"/>
    </row>
    <row r="4537" spans="1:91">
      <c r="A4537" s="2" t="s">
        <v>71</v>
      </c>
      <c r="B4537" s="2" t="s">
        <v>72</v>
      </c>
      <c r="C4537" s="2" t="s">
        <v>73</v>
      </c>
      <c r="D4537" s="2"/>
      <c r="E4537" s="2" t="str">
        <f>"FES1162566135"</f>
        <v>FES1162566135</v>
      </c>
      <c r="F4537" s="3">
        <v>42949</v>
      </c>
      <c r="G4537" s="2">
        <v>201802</v>
      </c>
      <c r="H4537" s="2" t="s">
        <v>74</v>
      </c>
      <c r="I4537" s="2" t="s">
        <v>75</v>
      </c>
      <c r="J4537" s="2" t="s">
        <v>76</v>
      </c>
      <c r="K4537" s="2" t="s">
        <v>77</v>
      </c>
      <c r="L4537" s="2" t="s">
        <v>164</v>
      </c>
      <c r="M4537" s="2" t="s">
        <v>165</v>
      </c>
      <c r="N4537" s="2" t="s">
        <v>3594</v>
      </c>
      <c r="O4537" s="2" t="s">
        <v>81</v>
      </c>
      <c r="P4537" s="2" t="str">
        <f>"2170589301                    "</f>
        <v xml:space="preserve">2170589301                    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0</v>
      </c>
      <c r="AA4537" s="2">
        <v>0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21.83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0</v>
      </c>
      <c r="AU4537" s="2">
        <v>0</v>
      </c>
      <c r="AV4537" s="2">
        <v>0</v>
      </c>
      <c r="AW4537" s="2">
        <v>0</v>
      </c>
      <c r="AX4537" s="2">
        <v>0</v>
      </c>
      <c r="AY4537" s="2">
        <v>0</v>
      </c>
      <c r="AZ4537" s="2">
        <v>0</v>
      </c>
      <c r="BA4537" s="2">
        <v>0</v>
      </c>
      <c r="BB4537" s="2">
        <v>0</v>
      </c>
      <c r="BC4537" s="2">
        <v>0</v>
      </c>
      <c r="BD4537" s="2">
        <v>0</v>
      </c>
      <c r="BE4537" s="2">
        <v>0</v>
      </c>
      <c r="BF4537" s="2">
        <v>0</v>
      </c>
      <c r="BG4537" s="2">
        <v>0</v>
      </c>
      <c r="BH4537" s="2">
        <v>2</v>
      </c>
      <c r="BI4537" s="2">
        <v>35.5</v>
      </c>
      <c r="BJ4537" s="2">
        <v>35.299999999999997</v>
      </c>
      <c r="BK4537" s="2">
        <v>36</v>
      </c>
      <c r="BL4537" s="2">
        <v>231.07</v>
      </c>
      <c r="BM4537" s="2">
        <v>32.35</v>
      </c>
      <c r="BN4537" s="2">
        <v>263.42</v>
      </c>
      <c r="BO4537" s="2">
        <v>263.42</v>
      </c>
      <c r="BP4537" s="2"/>
      <c r="BQ4537" s="2" t="s">
        <v>3595</v>
      </c>
      <c r="BR4537" s="2" t="s">
        <v>84</v>
      </c>
      <c r="BS4537" s="3">
        <v>42954</v>
      </c>
      <c r="BT4537" s="4">
        <v>0.35833333333333334</v>
      </c>
      <c r="BU4537" s="2" t="s">
        <v>3822</v>
      </c>
      <c r="BV4537" s="2" t="s">
        <v>95</v>
      </c>
      <c r="BW4537" s="2"/>
      <c r="BX4537" s="2"/>
      <c r="BY4537" s="2">
        <v>176710.92</v>
      </c>
      <c r="BZ4537" s="2"/>
      <c r="CA4537" s="2" t="s">
        <v>168</v>
      </c>
      <c r="CB4537" s="2"/>
      <c r="CC4537" s="2" t="s">
        <v>165</v>
      </c>
      <c r="CD4537" s="2">
        <v>6850</v>
      </c>
      <c r="CE4537" s="2" t="s">
        <v>89</v>
      </c>
      <c r="CF4537" s="5">
        <v>42955</v>
      </c>
      <c r="CG4537" s="2"/>
      <c r="CH4537" s="2"/>
      <c r="CI4537" s="2">
        <v>0</v>
      </c>
      <c r="CJ4537" s="2">
        <v>0</v>
      </c>
      <c r="CK4537" s="2" t="s">
        <v>169</v>
      </c>
      <c r="CL4537" s="2" t="s">
        <v>86</v>
      </c>
      <c r="CM4537" s="2"/>
    </row>
    <row r="4538" spans="1:91">
      <c r="A4538" s="2" t="s">
        <v>71</v>
      </c>
      <c r="B4538" s="2" t="s">
        <v>72</v>
      </c>
      <c r="C4538" s="2" t="s">
        <v>73</v>
      </c>
      <c r="D4538" s="2"/>
      <c r="E4538" s="2" t="str">
        <f>"FES1162566058"</f>
        <v>FES1162566058</v>
      </c>
      <c r="F4538" s="3">
        <v>42949</v>
      </c>
      <c r="G4538" s="2">
        <v>201802</v>
      </c>
      <c r="H4538" s="2" t="s">
        <v>74</v>
      </c>
      <c r="I4538" s="2" t="s">
        <v>75</v>
      </c>
      <c r="J4538" s="2" t="s">
        <v>76</v>
      </c>
      <c r="K4538" s="2" t="s">
        <v>77</v>
      </c>
      <c r="L4538" s="2" t="s">
        <v>244</v>
      </c>
      <c r="M4538" s="2" t="s">
        <v>245</v>
      </c>
      <c r="N4538" s="2" t="s">
        <v>421</v>
      </c>
      <c r="O4538" s="2" t="s">
        <v>81</v>
      </c>
      <c r="P4538" s="2" t="str">
        <f>"2170581434                    "</f>
        <v xml:space="preserve">2170581434                    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</v>
      </c>
      <c r="Y4538" s="2">
        <v>0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7.13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0</v>
      </c>
      <c r="AU4538" s="2">
        <v>0</v>
      </c>
      <c r="AV4538" s="2">
        <v>0</v>
      </c>
      <c r="AW4538" s="2">
        <v>0</v>
      </c>
      <c r="AX4538" s="2">
        <v>0</v>
      </c>
      <c r="AY4538" s="2">
        <v>0</v>
      </c>
      <c r="AZ4538" s="2">
        <v>0</v>
      </c>
      <c r="BA4538" s="2">
        <v>0</v>
      </c>
      <c r="BB4538" s="2">
        <v>0</v>
      </c>
      <c r="BC4538" s="2">
        <v>0</v>
      </c>
      <c r="BD4538" s="2">
        <v>0</v>
      </c>
      <c r="BE4538" s="2">
        <v>0</v>
      </c>
      <c r="BF4538" s="2">
        <v>0</v>
      </c>
      <c r="BG4538" s="2">
        <v>0</v>
      </c>
      <c r="BH4538" s="2">
        <v>1</v>
      </c>
      <c r="BI4538" s="2">
        <v>23</v>
      </c>
      <c r="BJ4538" s="2">
        <v>9.4</v>
      </c>
      <c r="BK4538" s="2">
        <v>23</v>
      </c>
      <c r="BL4538" s="2">
        <v>78.86</v>
      </c>
      <c r="BM4538" s="2">
        <v>11.04</v>
      </c>
      <c r="BN4538" s="2">
        <v>89.9</v>
      </c>
      <c r="BO4538" s="2">
        <v>89.9</v>
      </c>
      <c r="BP4538" s="2"/>
      <c r="BQ4538" s="2" t="s">
        <v>83</v>
      </c>
      <c r="BR4538" s="2" t="s">
        <v>84</v>
      </c>
      <c r="BS4538" s="3">
        <v>42951</v>
      </c>
      <c r="BT4538" s="4">
        <v>0.53263888888888888</v>
      </c>
      <c r="BU4538" s="2" t="s">
        <v>4084</v>
      </c>
      <c r="BV4538" s="2" t="s">
        <v>86</v>
      </c>
      <c r="BW4538" s="2" t="s">
        <v>1007</v>
      </c>
      <c r="BX4538" s="2" t="s">
        <v>1763</v>
      </c>
      <c r="BY4538" s="2">
        <v>47025</v>
      </c>
      <c r="BZ4538" s="2"/>
      <c r="CA4538" s="2"/>
      <c r="CB4538" s="2"/>
      <c r="CC4538" s="2" t="s">
        <v>245</v>
      </c>
      <c r="CD4538" s="2">
        <v>1459</v>
      </c>
      <c r="CE4538" s="2" t="s">
        <v>89</v>
      </c>
      <c r="CF4538" s="5">
        <v>42954</v>
      </c>
      <c r="CG4538" s="2"/>
      <c r="CH4538" s="2"/>
      <c r="CI4538" s="2">
        <v>0</v>
      </c>
      <c r="CJ4538" s="2">
        <v>0</v>
      </c>
      <c r="CK4538" s="2" t="s">
        <v>132</v>
      </c>
      <c r="CL4538" s="2" t="s">
        <v>86</v>
      </c>
      <c r="CM4538" s="2"/>
    </row>
    <row r="4539" spans="1:91">
      <c r="A4539" s="2" t="s">
        <v>71</v>
      </c>
      <c r="B4539" s="2" t="s">
        <v>72</v>
      </c>
      <c r="C4539" s="2" t="s">
        <v>73</v>
      </c>
      <c r="D4539" s="2"/>
      <c r="E4539" s="2" t="str">
        <f>"FES1162566733"</f>
        <v>FES1162566733</v>
      </c>
      <c r="F4539" s="3">
        <v>42950</v>
      </c>
      <c r="G4539" s="2">
        <v>201802</v>
      </c>
      <c r="H4539" s="2" t="s">
        <v>74</v>
      </c>
      <c r="I4539" s="2" t="s">
        <v>75</v>
      </c>
      <c r="J4539" s="2" t="s">
        <v>76</v>
      </c>
      <c r="K4539" s="2" t="s">
        <v>77</v>
      </c>
      <c r="L4539" s="2" t="s">
        <v>105</v>
      </c>
      <c r="M4539" s="2" t="s">
        <v>106</v>
      </c>
      <c r="N4539" s="2" t="s">
        <v>4085</v>
      </c>
      <c r="O4539" s="2" t="s">
        <v>100</v>
      </c>
      <c r="P4539" s="2" t="str">
        <f>"2170583012                    "</f>
        <v xml:space="preserve">2170583012                    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4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0</v>
      </c>
      <c r="AU4539" s="2">
        <v>0</v>
      </c>
      <c r="AV4539" s="2">
        <v>0</v>
      </c>
      <c r="AW4539" s="2">
        <v>0</v>
      </c>
      <c r="AX4539" s="2">
        <v>0</v>
      </c>
      <c r="AY4539" s="2">
        <v>0</v>
      </c>
      <c r="AZ4539" s="2">
        <v>0</v>
      </c>
      <c r="BA4539" s="2">
        <v>0</v>
      </c>
      <c r="BB4539" s="2">
        <v>0</v>
      </c>
      <c r="BC4539" s="2">
        <v>0</v>
      </c>
      <c r="BD4539" s="2">
        <v>0</v>
      </c>
      <c r="BE4539" s="2">
        <v>0</v>
      </c>
      <c r="BF4539" s="2">
        <v>0</v>
      </c>
      <c r="BG4539" s="2">
        <v>0</v>
      </c>
      <c r="BH4539" s="2">
        <v>1</v>
      </c>
      <c r="BI4539" s="2">
        <v>1.8</v>
      </c>
      <c r="BJ4539" s="2">
        <v>1</v>
      </c>
      <c r="BK4539" s="2">
        <v>2</v>
      </c>
      <c r="BL4539" s="2">
        <v>41.44</v>
      </c>
      <c r="BM4539" s="2">
        <v>5.8</v>
      </c>
      <c r="BN4539" s="2">
        <v>47.24</v>
      </c>
      <c r="BO4539" s="2">
        <v>47.24</v>
      </c>
      <c r="BP4539" s="2"/>
      <c r="BQ4539" s="2" t="s">
        <v>108</v>
      </c>
      <c r="BR4539" s="2" t="s">
        <v>84</v>
      </c>
      <c r="BS4539" s="3">
        <v>42955</v>
      </c>
      <c r="BT4539" s="4">
        <v>0.51527777777777783</v>
      </c>
      <c r="BU4539" s="2" t="s">
        <v>4086</v>
      </c>
      <c r="BV4539" s="2" t="s">
        <v>86</v>
      </c>
      <c r="BW4539" s="2" t="s">
        <v>110</v>
      </c>
      <c r="BX4539" s="2" t="s">
        <v>537</v>
      </c>
      <c r="BY4539" s="2">
        <v>4911.5</v>
      </c>
      <c r="BZ4539" s="2"/>
      <c r="CA4539" s="2" t="s">
        <v>1644</v>
      </c>
      <c r="CB4539" s="2"/>
      <c r="CC4539" s="2" t="s">
        <v>106</v>
      </c>
      <c r="CD4539" s="2">
        <v>7530</v>
      </c>
      <c r="CE4539" s="2" t="s">
        <v>89</v>
      </c>
      <c r="CF4539" s="5">
        <v>42957</v>
      </c>
      <c r="CG4539" s="2"/>
      <c r="CH4539" s="2"/>
      <c r="CI4539" s="2">
        <v>1</v>
      </c>
      <c r="CJ4539" s="2">
        <v>3</v>
      </c>
      <c r="CK4539" s="2">
        <v>21</v>
      </c>
      <c r="CL4539" s="2" t="s">
        <v>86</v>
      </c>
      <c r="CM4539" s="2"/>
    </row>
    <row r="4540" spans="1:91">
      <c r="A4540" s="2" t="s">
        <v>71</v>
      </c>
      <c r="B4540" s="2" t="s">
        <v>72</v>
      </c>
      <c r="C4540" s="2" t="s">
        <v>73</v>
      </c>
      <c r="D4540" s="2"/>
      <c r="E4540" s="2" t="str">
        <f>"FES1162567183"</f>
        <v>FES1162567183</v>
      </c>
      <c r="F4540" s="3">
        <v>42951</v>
      </c>
      <c r="G4540" s="2">
        <v>201802</v>
      </c>
      <c r="H4540" s="2" t="s">
        <v>74</v>
      </c>
      <c r="I4540" s="2" t="s">
        <v>75</v>
      </c>
      <c r="J4540" s="2" t="s">
        <v>76</v>
      </c>
      <c r="K4540" s="2" t="s">
        <v>77</v>
      </c>
      <c r="L4540" s="2" t="s">
        <v>128</v>
      </c>
      <c r="M4540" s="2" t="s">
        <v>129</v>
      </c>
      <c r="N4540" s="2" t="s">
        <v>857</v>
      </c>
      <c r="O4540" s="2" t="s">
        <v>100</v>
      </c>
      <c r="P4540" s="2" t="str">
        <f>"2170581102                    "</f>
        <v xml:space="preserve">2170581102                    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3.13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0</v>
      </c>
      <c r="AU4540" s="2">
        <v>0</v>
      </c>
      <c r="AV4540" s="2">
        <v>0</v>
      </c>
      <c r="AW4540" s="2">
        <v>0</v>
      </c>
      <c r="AX4540" s="2">
        <v>0</v>
      </c>
      <c r="AY4540" s="2">
        <v>0</v>
      </c>
      <c r="AZ4540" s="2">
        <v>0</v>
      </c>
      <c r="BA4540" s="2">
        <v>0</v>
      </c>
      <c r="BB4540" s="2">
        <v>0</v>
      </c>
      <c r="BC4540" s="2">
        <v>0</v>
      </c>
      <c r="BD4540" s="2">
        <v>0</v>
      </c>
      <c r="BE4540" s="2">
        <v>0</v>
      </c>
      <c r="BF4540" s="2">
        <v>0</v>
      </c>
      <c r="BG4540" s="2">
        <v>0</v>
      </c>
      <c r="BH4540" s="2">
        <v>1</v>
      </c>
      <c r="BI4540" s="2">
        <v>1</v>
      </c>
      <c r="BJ4540" s="2">
        <v>0.2</v>
      </c>
      <c r="BK4540" s="2">
        <v>1</v>
      </c>
      <c r="BL4540" s="2">
        <v>32.380000000000003</v>
      </c>
      <c r="BM4540" s="2">
        <v>4.53</v>
      </c>
      <c r="BN4540" s="2">
        <v>36.909999999999997</v>
      </c>
      <c r="BO4540" s="2">
        <v>36.909999999999997</v>
      </c>
      <c r="BP4540" s="2"/>
      <c r="BQ4540" s="2" t="s">
        <v>1624</v>
      </c>
      <c r="BR4540" s="2" t="s">
        <v>84</v>
      </c>
      <c r="BS4540" s="3">
        <v>42954</v>
      </c>
      <c r="BT4540" s="4">
        <v>0.37847222222222227</v>
      </c>
      <c r="BU4540" s="2" t="s">
        <v>330</v>
      </c>
      <c r="BV4540" s="2" t="s">
        <v>95</v>
      </c>
      <c r="BW4540" s="2"/>
      <c r="BX4540" s="2"/>
      <c r="BY4540" s="2">
        <v>1200</v>
      </c>
      <c r="BZ4540" s="2"/>
      <c r="CA4540" s="2"/>
      <c r="CB4540" s="2"/>
      <c r="CC4540" s="2" t="s">
        <v>129</v>
      </c>
      <c r="CD4540" s="2">
        <v>1709</v>
      </c>
      <c r="CE4540" s="2" t="s">
        <v>104</v>
      </c>
      <c r="CF4540" s="5">
        <v>42955</v>
      </c>
      <c r="CG4540" s="2"/>
      <c r="CH4540" s="2"/>
      <c r="CI4540" s="2">
        <v>1</v>
      </c>
      <c r="CJ4540" s="2">
        <v>1</v>
      </c>
      <c r="CK4540" s="2">
        <v>22</v>
      </c>
      <c r="CL4540" s="2" t="s">
        <v>86</v>
      </c>
      <c r="CM4540" s="2"/>
    </row>
    <row r="4541" spans="1:91">
      <c r="A4541" s="2" t="s">
        <v>71</v>
      </c>
      <c r="B4541" s="2" t="s">
        <v>72</v>
      </c>
      <c r="C4541" s="2" t="s">
        <v>73</v>
      </c>
      <c r="D4541" s="2"/>
      <c r="E4541" s="2" t="str">
        <f>"FES1162567318"</f>
        <v>FES1162567318</v>
      </c>
      <c r="F4541" s="3">
        <v>42951</v>
      </c>
      <c r="G4541" s="2">
        <v>201802</v>
      </c>
      <c r="H4541" s="2" t="s">
        <v>74</v>
      </c>
      <c r="I4541" s="2" t="s">
        <v>75</v>
      </c>
      <c r="J4541" s="2" t="s">
        <v>76</v>
      </c>
      <c r="K4541" s="2" t="s">
        <v>77</v>
      </c>
      <c r="L4541" s="2" t="s">
        <v>149</v>
      </c>
      <c r="M4541" s="2" t="s">
        <v>150</v>
      </c>
      <c r="N4541" s="2" t="s">
        <v>520</v>
      </c>
      <c r="O4541" s="2" t="s">
        <v>100</v>
      </c>
      <c r="P4541" s="2" t="str">
        <f>"2170583105                    "</f>
        <v xml:space="preserve">2170583105                    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7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0</v>
      </c>
      <c r="AU4541" s="2">
        <v>0</v>
      </c>
      <c r="AV4541" s="2">
        <v>0</v>
      </c>
      <c r="AW4541" s="2">
        <v>0</v>
      </c>
      <c r="AX4541" s="2">
        <v>0</v>
      </c>
      <c r="AY4541" s="2">
        <v>0</v>
      </c>
      <c r="AZ4541" s="2">
        <v>0</v>
      </c>
      <c r="BA4541" s="2">
        <v>0</v>
      </c>
      <c r="BB4541" s="2">
        <v>0</v>
      </c>
      <c r="BC4541" s="2">
        <v>0</v>
      </c>
      <c r="BD4541" s="2">
        <v>0</v>
      </c>
      <c r="BE4541" s="2">
        <v>0</v>
      </c>
      <c r="BF4541" s="2">
        <v>0</v>
      </c>
      <c r="BG4541" s="2">
        <v>0</v>
      </c>
      <c r="BH4541" s="2">
        <v>1</v>
      </c>
      <c r="BI4541" s="2">
        <v>3.4</v>
      </c>
      <c r="BJ4541" s="2">
        <v>1.4</v>
      </c>
      <c r="BK4541" s="2">
        <v>3.5</v>
      </c>
      <c r="BL4541" s="2">
        <v>72.52</v>
      </c>
      <c r="BM4541" s="2">
        <v>10.15</v>
      </c>
      <c r="BN4541" s="2">
        <v>82.67</v>
      </c>
      <c r="BO4541" s="2">
        <v>82.67</v>
      </c>
      <c r="BP4541" s="2"/>
      <c r="BQ4541" s="2" t="s">
        <v>83</v>
      </c>
      <c r="BR4541" s="2" t="s">
        <v>84</v>
      </c>
      <c r="BS4541" s="3">
        <v>42954</v>
      </c>
      <c r="BT4541" s="4">
        <v>0.37083333333333335</v>
      </c>
      <c r="BU4541" s="2" t="s">
        <v>4087</v>
      </c>
      <c r="BV4541" s="2" t="s">
        <v>95</v>
      </c>
      <c r="BW4541" s="2"/>
      <c r="BX4541" s="2"/>
      <c r="BY4541" s="2">
        <v>6975.98</v>
      </c>
      <c r="BZ4541" s="2"/>
      <c r="CA4541" s="2" t="s">
        <v>1163</v>
      </c>
      <c r="CB4541" s="2"/>
      <c r="CC4541" s="2" t="s">
        <v>150</v>
      </c>
      <c r="CD4541" s="2">
        <v>4052</v>
      </c>
      <c r="CE4541" s="2" t="s">
        <v>89</v>
      </c>
      <c r="CF4541" s="5">
        <v>42955</v>
      </c>
      <c r="CG4541" s="2"/>
      <c r="CH4541" s="2"/>
      <c r="CI4541" s="2">
        <v>1</v>
      </c>
      <c r="CJ4541" s="2">
        <v>1</v>
      </c>
      <c r="CK4541" s="2">
        <v>21</v>
      </c>
      <c r="CL4541" s="2" t="s">
        <v>86</v>
      </c>
      <c r="CM4541" s="2"/>
    </row>
    <row r="4542" spans="1:91">
      <c r="A4542" s="2" t="s">
        <v>71</v>
      </c>
      <c r="B4542" s="2" t="s">
        <v>72</v>
      </c>
      <c r="C4542" s="2" t="s">
        <v>73</v>
      </c>
      <c r="D4542" s="2"/>
      <c r="E4542" s="2" t="str">
        <f>"FES1162567320"</f>
        <v>FES1162567320</v>
      </c>
      <c r="F4542" s="3">
        <v>42951</v>
      </c>
      <c r="G4542" s="2">
        <v>201802</v>
      </c>
      <c r="H4542" s="2" t="s">
        <v>74</v>
      </c>
      <c r="I4542" s="2" t="s">
        <v>75</v>
      </c>
      <c r="J4542" s="2" t="s">
        <v>76</v>
      </c>
      <c r="K4542" s="2" t="s">
        <v>77</v>
      </c>
      <c r="L4542" s="2" t="s">
        <v>268</v>
      </c>
      <c r="M4542" s="2" t="s">
        <v>269</v>
      </c>
      <c r="N4542" s="2" t="s">
        <v>976</v>
      </c>
      <c r="O4542" s="2" t="s">
        <v>100</v>
      </c>
      <c r="P4542" s="2" t="str">
        <f>"2170583490                    "</f>
        <v xml:space="preserve">2170583490                    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4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0</v>
      </c>
      <c r="AU4542" s="2">
        <v>0</v>
      </c>
      <c r="AV4542" s="2">
        <v>0</v>
      </c>
      <c r="AW4542" s="2">
        <v>0</v>
      </c>
      <c r="AX4542" s="2">
        <v>0</v>
      </c>
      <c r="AY4542" s="2">
        <v>0</v>
      </c>
      <c r="AZ4542" s="2">
        <v>0</v>
      </c>
      <c r="BA4542" s="2">
        <v>0</v>
      </c>
      <c r="BB4542" s="2">
        <v>0</v>
      </c>
      <c r="BC4542" s="2">
        <v>0</v>
      </c>
      <c r="BD4542" s="2">
        <v>0</v>
      </c>
      <c r="BE4542" s="2">
        <v>0</v>
      </c>
      <c r="BF4542" s="2">
        <v>0</v>
      </c>
      <c r="BG4542" s="2">
        <v>0</v>
      </c>
      <c r="BH4542" s="2">
        <v>1</v>
      </c>
      <c r="BI4542" s="2">
        <v>1</v>
      </c>
      <c r="BJ4542" s="2">
        <v>0.2</v>
      </c>
      <c r="BK4542" s="2">
        <v>1</v>
      </c>
      <c r="BL4542" s="2">
        <v>41.44</v>
      </c>
      <c r="BM4542" s="2">
        <v>5.8</v>
      </c>
      <c r="BN4542" s="2">
        <v>47.24</v>
      </c>
      <c r="BO4542" s="2">
        <v>47.24</v>
      </c>
      <c r="BP4542" s="2"/>
      <c r="BQ4542" s="2" t="s">
        <v>3834</v>
      </c>
      <c r="BR4542" s="2" t="s">
        <v>84</v>
      </c>
      <c r="BS4542" s="3">
        <v>42954</v>
      </c>
      <c r="BT4542" s="4">
        <v>0.40277777777777773</v>
      </c>
      <c r="BU4542" s="2" t="s">
        <v>4088</v>
      </c>
      <c r="BV4542" s="2" t="s">
        <v>95</v>
      </c>
      <c r="BW4542" s="2"/>
      <c r="BX4542" s="2"/>
      <c r="BY4542" s="2">
        <v>1200</v>
      </c>
      <c r="BZ4542" s="2"/>
      <c r="CA4542" s="2" t="s">
        <v>2676</v>
      </c>
      <c r="CB4542" s="2"/>
      <c r="CC4542" s="2" t="s">
        <v>269</v>
      </c>
      <c r="CD4542" s="2">
        <v>157</v>
      </c>
      <c r="CE4542" s="2" t="s">
        <v>104</v>
      </c>
      <c r="CF4542" s="5">
        <v>42957</v>
      </c>
      <c r="CG4542" s="2"/>
      <c r="CH4542" s="2"/>
      <c r="CI4542" s="2">
        <v>1</v>
      </c>
      <c r="CJ4542" s="2">
        <v>1</v>
      </c>
      <c r="CK4542" s="2">
        <v>21</v>
      </c>
      <c r="CL4542" s="2" t="s">
        <v>86</v>
      </c>
      <c r="CM4542" s="2"/>
    </row>
    <row r="4543" spans="1:91">
      <c r="A4543" s="2" t="s">
        <v>71</v>
      </c>
      <c r="B4543" s="2" t="s">
        <v>72</v>
      </c>
      <c r="C4543" s="2" t="s">
        <v>73</v>
      </c>
      <c r="D4543" s="2"/>
      <c r="E4543" s="2" t="str">
        <f>"FES1162567060"</f>
        <v>FES1162567060</v>
      </c>
      <c r="F4543" s="3">
        <v>42951</v>
      </c>
      <c r="G4543" s="2">
        <v>201802</v>
      </c>
      <c r="H4543" s="2" t="s">
        <v>74</v>
      </c>
      <c r="I4543" s="2" t="s">
        <v>75</v>
      </c>
      <c r="J4543" s="2" t="s">
        <v>76</v>
      </c>
      <c r="K4543" s="2" t="s">
        <v>77</v>
      </c>
      <c r="L4543" s="2" t="s">
        <v>593</v>
      </c>
      <c r="M4543" s="2" t="s">
        <v>594</v>
      </c>
      <c r="N4543" s="2" t="s">
        <v>4089</v>
      </c>
      <c r="O4543" s="2" t="s">
        <v>100</v>
      </c>
      <c r="P4543" s="2" t="str">
        <f>"2170587906                    "</f>
        <v xml:space="preserve">2170587906                    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3.13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0</v>
      </c>
      <c r="AU4543" s="2">
        <v>0</v>
      </c>
      <c r="AV4543" s="2">
        <v>0</v>
      </c>
      <c r="AW4543" s="2">
        <v>0</v>
      </c>
      <c r="AX4543" s="2">
        <v>0</v>
      </c>
      <c r="AY4543" s="2">
        <v>0</v>
      </c>
      <c r="AZ4543" s="2">
        <v>0</v>
      </c>
      <c r="BA4543" s="2">
        <v>0</v>
      </c>
      <c r="BB4543" s="2">
        <v>0</v>
      </c>
      <c r="BC4543" s="2">
        <v>0</v>
      </c>
      <c r="BD4543" s="2">
        <v>0</v>
      </c>
      <c r="BE4543" s="2">
        <v>0</v>
      </c>
      <c r="BF4543" s="2">
        <v>0</v>
      </c>
      <c r="BG4543" s="2">
        <v>0</v>
      </c>
      <c r="BH4543" s="2">
        <v>1</v>
      </c>
      <c r="BI4543" s="2">
        <v>1</v>
      </c>
      <c r="BJ4543" s="2">
        <v>0.2</v>
      </c>
      <c r="BK4543" s="2">
        <v>1</v>
      </c>
      <c r="BL4543" s="2">
        <v>32.380000000000003</v>
      </c>
      <c r="BM4543" s="2">
        <v>4.53</v>
      </c>
      <c r="BN4543" s="2">
        <v>36.909999999999997</v>
      </c>
      <c r="BO4543" s="2">
        <v>36.909999999999997</v>
      </c>
      <c r="BP4543" s="2"/>
      <c r="BQ4543" s="2"/>
      <c r="BR4543" s="2" t="s">
        <v>84</v>
      </c>
      <c r="BS4543" s="3">
        <v>42955</v>
      </c>
      <c r="BT4543" s="4">
        <v>0.42708333333333331</v>
      </c>
      <c r="BU4543" s="2" t="s">
        <v>4090</v>
      </c>
      <c r="BV4543" s="2" t="s">
        <v>86</v>
      </c>
      <c r="BW4543" s="2" t="s">
        <v>124</v>
      </c>
      <c r="BX4543" s="2" t="s">
        <v>623</v>
      </c>
      <c r="BY4543" s="2">
        <v>1200</v>
      </c>
      <c r="BZ4543" s="2"/>
      <c r="CA4543" s="2" t="s">
        <v>4091</v>
      </c>
      <c r="CB4543" s="2"/>
      <c r="CC4543" s="2" t="s">
        <v>594</v>
      </c>
      <c r="CD4543" s="2">
        <v>1682</v>
      </c>
      <c r="CE4543" s="2" t="s">
        <v>104</v>
      </c>
      <c r="CF4543" s="5">
        <v>42957</v>
      </c>
      <c r="CG4543" s="2"/>
      <c r="CH4543" s="2"/>
      <c r="CI4543" s="2">
        <v>1</v>
      </c>
      <c r="CJ4543" s="2">
        <v>2</v>
      </c>
      <c r="CK4543" s="2">
        <v>22</v>
      </c>
      <c r="CL4543" s="2" t="s">
        <v>86</v>
      </c>
      <c r="CM4543" s="2"/>
    </row>
    <row r="4544" spans="1:91">
      <c r="A4544" s="2" t="s">
        <v>71</v>
      </c>
      <c r="B4544" s="2" t="s">
        <v>72</v>
      </c>
      <c r="C4544" s="2" t="s">
        <v>73</v>
      </c>
      <c r="D4544" s="2"/>
      <c r="E4544" s="2" t="str">
        <f>"FES1162567236"</f>
        <v>FES1162567236</v>
      </c>
      <c r="F4544" s="3">
        <v>42951</v>
      </c>
      <c r="G4544" s="2">
        <v>201802</v>
      </c>
      <c r="H4544" s="2" t="s">
        <v>74</v>
      </c>
      <c r="I4544" s="2" t="s">
        <v>75</v>
      </c>
      <c r="J4544" s="2" t="s">
        <v>76</v>
      </c>
      <c r="K4544" s="2" t="s">
        <v>77</v>
      </c>
      <c r="L4544" s="2" t="s">
        <v>97</v>
      </c>
      <c r="M4544" s="2" t="s">
        <v>98</v>
      </c>
      <c r="N4544" s="2" t="s">
        <v>1704</v>
      </c>
      <c r="O4544" s="2" t="s">
        <v>100</v>
      </c>
      <c r="P4544" s="2" t="str">
        <f>"2170583049                    "</f>
        <v xml:space="preserve">2170583049                    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7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0</v>
      </c>
      <c r="AU4544" s="2">
        <v>0</v>
      </c>
      <c r="AV4544" s="2">
        <v>0</v>
      </c>
      <c r="AW4544" s="2">
        <v>0</v>
      </c>
      <c r="AX4544" s="2">
        <v>0</v>
      </c>
      <c r="AY4544" s="2">
        <v>0</v>
      </c>
      <c r="AZ4544" s="2">
        <v>0</v>
      </c>
      <c r="BA4544" s="2">
        <v>0</v>
      </c>
      <c r="BB4544" s="2">
        <v>0</v>
      </c>
      <c r="BC4544" s="2">
        <v>0</v>
      </c>
      <c r="BD4544" s="2">
        <v>0</v>
      </c>
      <c r="BE4544" s="2">
        <v>0</v>
      </c>
      <c r="BF4544" s="2">
        <v>0</v>
      </c>
      <c r="BG4544" s="2">
        <v>0</v>
      </c>
      <c r="BH4544" s="2">
        <v>1</v>
      </c>
      <c r="BI4544" s="2">
        <v>3.4</v>
      </c>
      <c r="BJ4544" s="2">
        <v>3.5</v>
      </c>
      <c r="BK4544" s="2">
        <v>3.5</v>
      </c>
      <c r="BL4544" s="2">
        <v>72.52</v>
      </c>
      <c r="BM4544" s="2">
        <v>10.15</v>
      </c>
      <c r="BN4544" s="2">
        <v>82.67</v>
      </c>
      <c r="BO4544" s="2">
        <v>82.67</v>
      </c>
      <c r="BP4544" s="2"/>
      <c r="BQ4544" s="2" t="s">
        <v>108</v>
      </c>
      <c r="BR4544" s="2" t="s">
        <v>84</v>
      </c>
      <c r="BS4544" s="3">
        <v>42954</v>
      </c>
      <c r="BT4544" s="4">
        <v>0.34722222222222227</v>
      </c>
      <c r="BU4544" s="2" t="s">
        <v>1705</v>
      </c>
      <c r="BV4544" s="2" t="s">
        <v>95</v>
      </c>
      <c r="BW4544" s="2"/>
      <c r="BX4544" s="2"/>
      <c r="BY4544" s="2">
        <v>17260.240000000002</v>
      </c>
      <c r="BZ4544" s="2"/>
      <c r="CA4544" s="2" t="s">
        <v>294</v>
      </c>
      <c r="CB4544" s="2"/>
      <c r="CC4544" s="2" t="s">
        <v>98</v>
      </c>
      <c r="CD4544" s="2">
        <v>6001</v>
      </c>
      <c r="CE4544" s="2" t="s">
        <v>89</v>
      </c>
      <c r="CF4544" s="5">
        <v>42955</v>
      </c>
      <c r="CG4544" s="2"/>
      <c r="CH4544" s="2"/>
      <c r="CI4544" s="2">
        <v>1</v>
      </c>
      <c r="CJ4544" s="2">
        <v>1</v>
      </c>
      <c r="CK4544" s="2">
        <v>21</v>
      </c>
      <c r="CL4544" s="2" t="s">
        <v>86</v>
      </c>
      <c r="CM4544" s="2"/>
    </row>
    <row r="4545" spans="1:91">
      <c r="A4545" s="2" t="s">
        <v>71</v>
      </c>
      <c r="B4545" s="2" t="s">
        <v>72</v>
      </c>
      <c r="C4545" s="2" t="s">
        <v>73</v>
      </c>
      <c r="D4545" s="2"/>
      <c r="E4545" s="2" t="str">
        <f>"FES1162567353"</f>
        <v>FES1162567353</v>
      </c>
      <c r="F4545" s="3">
        <v>42951</v>
      </c>
      <c r="G4545" s="2">
        <v>201802</v>
      </c>
      <c r="H4545" s="2" t="s">
        <v>74</v>
      </c>
      <c r="I4545" s="2" t="s">
        <v>75</v>
      </c>
      <c r="J4545" s="2" t="s">
        <v>76</v>
      </c>
      <c r="K4545" s="2" t="s">
        <v>77</v>
      </c>
      <c r="L4545" s="2" t="s">
        <v>221</v>
      </c>
      <c r="M4545" s="2" t="s">
        <v>222</v>
      </c>
      <c r="N4545" s="2" t="s">
        <v>1275</v>
      </c>
      <c r="O4545" s="2" t="s">
        <v>100</v>
      </c>
      <c r="P4545" s="2" t="str">
        <f>"2170583514                    "</f>
        <v xml:space="preserve">2170583514                    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7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0</v>
      </c>
      <c r="AU4545" s="2">
        <v>0</v>
      </c>
      <c r="AV4545" s="2">
        <v>0</v>
      </c>
      <c r="AW4545" s="2">
        <v>0</v>
      </c>
      <c r="AX4545" s="2">
        <v>0</v>
      </c>
      <c r="AY4545" s="2">
        <v>0</v>
      </c>
      <c r="AZ4545" s="2">
        <v>0</v>
      </c>
      <c r="BA4545" s="2">
        <v>0</v>
      </c>
      <c r="BB4545" s="2">
        <v>0</v>
      </c>
      <c r="BC4545" s="2">
        <v>0</v>
      </c>
      <c r="BD4545" s="2">
        <v>0</v>
      </c>
      <c r="BE4545" s="2">
        <v>234</v>
      </c>
      <c r="BF4545" s="2">
        <v>0</v>
      </c>
      <c r="BG4545" s="2">
        <v>0</v>
      </c>
      <c r="BH4545" s="2">
        <v>1</v>
      </c>
      <c r="BI4545" s="2">
        <v>3.5</v>
      </c>
      <c r="BJ4545" s="2">
        <v>2.6</v>
      </c>
      <c r="BK4545" s="2">
        <v>3.5</v>
      </c>
      <c r="BL4545" s="2">
        <v>306.52</v>
      </c>
      <c r="BM4545" s="2">
        <v>42.91</v>
      </c>
      <c r="BN4545" s="2">
        <v>349.43</v>
      </c>
      <c r="BO4545" s="2">
        <v>349.43</v>
      </c>
      <c r="BP4545" s="2" t="s">
        <v>910</v>
      </c>
      <c r="BQ4545" s="2" t="s">
        <v>4092</v>
      </c>
      <c r="BR4545" s="2" t="s">
        <v>84</v>
      </c>
      <c r="BS4545" s="3">
        <v>42954</v>
      </c>
      <c r="BT4545" s="4">
        <v>0.4375</v>
      </c>
      <c r="BU4545" s="2" t="s">
        <v>3977</v>
      </c>
      <c r="BV4545" s="2" t="s">
        <v>86</v>
      </c>
      <c r="BW4545" s="2"/>
      <c r="BX4545" s="2"/>
      <c r="BY4545" s="2">
        <v>13235.98</v>
      </c>
      <c r="BZ4545" s="2" t="s">
        <v>913</v>
      </c>
      <c r="CA4545" s="2"/>
      <c r="CB4545" s="2"/>
      <c r="CC4545" s="2" t="s">
        <v>222</v>
      </c>
      <c r="CD4545" s="2">
        <v>4300</v>
      </c>
      <c r="CE4545" s="2" t="s">
        <v>135</v>
      </c>
      <c r="CF4545" s="5">
        <v>42955</v>
      </c>
      <c r="CG4545" s="2"/>
      <c r="CH4545" s="2"/>
      <c r="CI4545" s="2">
        <v>1</v>
      </c>
      <c r="CJ4545" s="2">
        <v>3</v>
      </c>
      <c r="CK4545" s="2">
        <v>21</v>
      </c>
      <c r="CL4545" s="2" t="s">
        <v>86</v>
      </c>
      <c r="CM4545" s="2"/>
    </row>
    <row r="4546" spans="1:91">
      <c r="A4546" s="2" t="s">
        <v>71</v>
      </c>
      <c r="B4546" s="2" t="s">
        <v>72</v>
      </c>
      <c r="C4546" s="2" t="s">
        <v>73</v>
      </c>
      <c r="D4546" s="2"/>
      <c r="E4546" s="2" t="str">
        <f>"FES1162567345"</f>
        <v>FES1162567345</v>
      </c>
      <c r="F4546" s="3">
        <v>42951</v>
      </c>
      <c r="G4546" s="2">
        <v>201802</v>
      </c>
      <c r="H4546" s="2" t="s">
        <v>74</v>
      </c>
      <c r="I4546" s="2" t="s">
        <v>75</v>
      </c>
      <c r="J4546" s="2" t="s">
        <v>76</v>
      </c>
      <c r="K4546" s="2" t="s">
        <v>77</v>
      </c>
      <c r="L4546" s="2" t="s">
        <v>144</v>
      </c>
      <c r="M4546" s="2" t="s">
        <v>145</v>
      </c>
      <c r="N4546" s="2" t="s">
        <v>3719</v>
      </c>
      <c r="O4546" s="2" t="s">
        <v>100</v>
      </c>
      <c r="P4546" s="2" t="str">
        <f>"2170581125                    "</f>
        <v xml:space="preserve">2170581125                    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3.13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0</v>
      </c>
      <c r="AU4546" s="2">
        <v>0</v>
      </c>
      <c r="AV4546" s="2">
        <v>0</v>
      </c>
      <c r="AW4546" s="2">
        <v>0</v>
      </c>
      <c r="AX4546" s="2">
        <v>0</v>
      </c>
      <c r="AY4546" s="2">
        <v>0</v>
      </c>
      <c r="AZ4546" s="2">
        <v>0</v>
      </c>
      <c r="BA4546" s="2">
        <v>0</v>
      </c>
      <c r="BB4546" s="2">
        <v>0</v>
      </c>
      <c r="BC4546" s="2">
        <v>0</v>
      </c>
      <c r="BD4546" s="2">
        <v>0</v>
      </c>
      <c r="BE4546" s="2">
        <v>0</v>
      </c>
      <c r="BF4546" s="2">
        <v>0</v>
      </c>
      <c r="BG4546" s="2">
        <v>0</v>
      </c>
      <c r="BH4546" s="2">
        <v>1</v>
      </c>
      <c r="BI4546" s="2">
        <v>1</v>
      </c>
      <c r="BJ4546" s="2">
        <v>0.2</v>
      </c>
      <c r="BK4546" s="2">
        <v>1</v>
      </c>
      <c r="BL4546" s="2">
        <v>32.380000000000003</v>
      </c>
      <c r="BM4546" s="2">
        <v>4.53</v>
      </c>
      <c r="BN4546" s="2">
        <v>36.909999999999997</v>
      </c>
      <c r="BO4546" s="2">
        <v>36.909999999999997</v>
      </c>
      <c r="BP4546" s="2"/>
      <c r="BQ4546" s="2" t="s">
        <v>4093</v>
      </c>
      <c r="BR4546" s="2" t="s">
        <v>84</v>
      </c>
      <c r="BS4546" s="3">
        <v>42954</v>
      </c>
      <c r="BT4546" s="4">
        <v>0.39305555555555555</v>
      </c>
      <c r="BU4546" s="2" t="s">
        <v>3809</v>
      </c>
      <c r="BV4546" s="2" t="s">
        <v>95</v>
      </c>
      <c r="BW4546" s="2"/>
      <c r="BX4546" s="2"/>
      <c r="BY4546" s="2">
        <v>1200</v>
      </c>
      <c r="BZ4546" s="2"/>
      <c r="CA4546" s="2"/>
      <c r="CB4546" s="2"/>
      <c r="CC4546" s="2" t="s">
        <v>145</v>
      </c>
      <c r="CD4546" s="2">
        <v>2049</v>
      </c>
      <c r="CE4546" s="2" t="s">
        <v>104</v>
      </c>
      <c r="CF4546" s="5">
        <v>42955</v>
      </c>
      <c r="CG4546" s="2"/>
      <c r="CH4546" s="2"/>
      <c r="CI4546" s="2">
        <v>1</v>
      </c>
      <c r="CJ4546" s="2">
        <v>1</v>
      </c>
      <c r="CK4546" s="2">
        <v>22</v>
      </c>
      <c r="CL4546" s="2" t="s">
        <v>86</v>
      </c>
      <c r="CM4546" s="2"/>
    </row>
    <row r="4547" spans="1:91">
      <c r="A4547" s="2" t="s">
        <v>71</v>
      </c>
      <c r="B4547" s="2" t="s">
        <v>72</v>
      </c>
      <c r="C4547" s="2" t="s">
        <v>73</v>
      </c>
      <c r="D4547" s="2"/>
      <c r="E4547" s="2" t="str">
        <f>"FES1162567254"</f>
        <v>FES1162567254</v>
      </c>
      <c r="F4547" s="3">
        <v>42951</v>
      </c>
      <c r="G4547" s="2">
        <v>201802</v>
      </c>
      <c r="H4547" s="2" t="s">
        <v>74</v>
      </c>
      <c r="I4547" s="2" t="s">
        <v>75</v>
      </c>
      <c r="J4547" s="2" t="s">
        <v>76</v>
      </c>
      <c r="K4547" s="2" t="s">
        <v>77</v>
      </c>
      <c r="L4547" s="2" t="s">
        <v>105</v>
      </c>
      <c r="M4547" s="2" t="s">
        <v>106</v>
      </c>
      <c r="N4547" s="2" t="s">
        <v>867</v>
      </c>
      <c r="O4547" s="2" t="s">
        <v>100</v>
      </c>
      <c r="P4547" s="2" t="str">
        <f>"2170582519                    "</f>
        <v xml:space="preserve">2170582519                    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7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0</v>
      </c>
      <c r="AU4547" s="2">
        <v>0</v>
      </c>
      <c r="AV4547" s="2">
        <v>0</v>
      </c>
      <c r="AW4547" s="2">
        <v>0</v>
      </c>
      <c r="AX4547" s="2">
        <v>0</v>
      </c>
      <c r="AY4547" s="2">
        <v>0</v>
      </c>
      <c r="AZ4547" s="2">
        <v>0</v>
      </c>
      <c r="BA4547" s="2">
        <v>0</v>
      </c>
      <c r="BB4547" s="2">
        <v>0</v>
      </c>
      <c r="BC4547" s="2">
        <v>0</v>
      </c>
      <c r="BD4547" s="2">
        <v>0</v>
      </c>
      <c r="BE4547" s="2">
        <v>0</v>
      </c>
      <c r="BF4547" s="2">
        <v>0</v>
      </c>
      <c r="BG4547" s="2">
        <v>0</v>
      </c>
      <c r="BH4547" s="2">
        <v>1</v>
      </c>
      <c r="BI4547" s="2">
        <v>3.5</v>
      </c>
      <c r="BJ4547" s="2">
        <v>1.5</v>
      </c>
      <c r="BK4547" s="2">
        <v>3.5</v>
      </c>
      <c r="BL4547" s="2">
        <v>72.52</v>
      </c>
      <c r="BM4547" s="2">
        <v>10.15</v>
      </c>
      <c r="BN4547" s="2">
        <v>82.67</v>
      </c>
      <c r="BO4547" s="2">
        <v>82.67</v>
      </c>
      <c r="BP4547" s="2"/>
      <c r="BQ4547" s="2" t="s">
        <v>1877</v>
      </c>
      <c r="BR4547" s="2" t="s">
        <v>84</v>
      </c>
      <c r="BS4547" s="3">
        <v>42954</v>
      </c>
      <c r="BT4547" s="4">
        <v>0.34097222222222223</v>
      </c>
      <c r="BU4547" s="2" t="s">
        <v>1878</v>
      </c>
      <c r="BV4547" s="2" t="s">
        <v>95</v>
      </c>
      <c r="BW4547" s="2"/>
      <c r="BX4547" s="2"/>
      <c r="BY4547" s="2">
        <v>7595.28</v>
      </c>
      <c r="BZ4547" s="2"/>
      <c r="CA4547" s="2" t="s">
        <v>3531</v>
      </c>
      <c r="CB4547" s="2"/>
      <c r="CC4547" s="2" t="s">
        <v>106</v>
      </c>
      <c r="CD4547" s="2">
        <v>7460</v>
      </c>
      <c r="CE4547" s="2" t="s">
        <v>89</v>
      </c>
      <c r="CF4547" s="5">
        <v>42955</v>
      </c>
      <c r="CG4547" s="2"/>
      <c r="CH4547" s="2"/>
      <c r="CI4547" s="2">
        <v>1</v>
      </c>
      <c r="CJ4547" s="2">
        <v>1</v>
      </c>
      <c r="CK4547" s="2">
        <v>21</v>
      </c>
      <c r="CL4547" s="2" t="s">
        <v>86</v>
      </c>
      <c r="CM4547" s="2"/>
    </row>
    <row r="4548" spans="1:91">
      <c r="A4548" s="2" t="s">
        <v>71</v>
      </c>
      <c r="B4548" s="2" t="s">
        <v>72</v>
      </c>
      <c r="C4548" s="2" t="s">
        <v>73</v>
      </c>
      <c r="D4548" s="2"/>
      <c r="E4548" s="2" t="str">
        <f>"FES1162567219"</f>
        <v>FES1162567219</v>
      </c>
      <c r="F4548" s="3">
        <v>42951</v>
      </c>
      <c r="G4548" s="2">
        <v>201802</v>
      </c>
      <c r="H4548" s="2" t="s">
        <v>74</v>
      </c>
      <c r="I4548" s="2" t="s">
        <v>75</v>
      </c>
      <c r="J4548" s="2" t="s">
        <v>76</v>
      </c>
      <c r="K4548" s="2" t="s">
        <v>77</v>
      </c>
      <c r="L4548" s="2" t="s">
        <v>268</v>
      </c>
      <c r="M4548" s="2" t="s">
        <v>269</v>
      </c>
      <c r="N4548" s="2" t="s">
        <v>701</v>
      </c>
      <c r="O4548" s="2" t="s">
        <v>100</v>
      </c>
      <c r="P4548" s="2" t="str">
        <f>"2170583364                    "</f>
        <v xml:space="preserve">2170583364                    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4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0</v>
      </c>
      <c r="AU4548" s="2">
        <v>0</v>
      </c>
      <c r="AV4548" s="2">
        <v>0</v>
      </c>
      <c r="AW4548" s="2">
        <v>0</v>
      </c>
      <c r="AX4548" s="2">
        <v>0</v>
      </c>
      <c r="AY4548" s="2">
        <v>0</v>
      </c>
      <c r="AZ4548" s="2">
        <v>0</v>
      </c>
      <c r="BA4548" s="2">
        <v>0</v>
      </c>
      <c r="BB4548" s="2">
        <v>0</v>
      </c>
      <c r="BC4548" s="2">
        <v>0</v>
      </c>
      <c r="BD4548" s="2">
        <v>0</v>
      </c>
      <c r="BE4548" s="2">
        <v>0</v>
      </c>
      <c r="BF4548" s="2">
        <v>0</v>
      </c>
      <c r="BG4548" s="2">
        <v>0</v>
      </c>
      <c r="BH4548" s="2">
        <v>1</v>
      </c>
      <c r="BI4548" s="2">
        <v>1</v>
      </c>
      <c r="BJ4548" s="2">
        <v>0.2</v>
      </c>
      <c r="BK4548" s="2">
        <v>1</v>
      </c>
      <c r="BL4548" s="2">
        <v>41.44</v>
      </c>
      <c r="BM4548" s="2">
        <v>5.8</v>
      </c>
      <c r="BN4548" s="2">
        <v>47.24</v>
      </c>
      <c r="BO4548" s="2">
        <v>47.24</v>
      </c>
      <c r="BP4548" s="2"/>
      <c r="BQ4548" s="2" t="s">
        <v>1926</v>
      </c>
      <c r="BR4548" s="2" t="s">
        <v>84</v>
      </c>
      <c r="BS4548" s="3">
        <v>42954</v>
      </c>
      <c r="BT4548" s="4">
        <v>0.36527777777777781</v>
      </c>
      <c r="BU4548" s="2" t="s">
        <v>3880</v>
      </c>
      <c r="BV4548" s="2" t="s">
        <v>95</v>
      </c>
      <c r="BW4548" s="2"/>
      <c r="BX4548" s="2"/>
      <c r="BY4548" s="2">
        <v>1200</v>
      </c>
      <c r="BZ4548" s="2"/>
      <c r="CA4548" s="2"/>
      <c r="CB4548" s="2"/>
      <c r="CC4548" s="2" t="s">
        <v>269</v>
      </c>
      <c r="CD4548" s="2">
        <v>157</v>
      </c>
      <c r="CE4548" s="2" t="s">
        <v>104</v>
      </c>
      <c r="CF4548" s="5">
        <v>42957</v>
      </c>
      <c r="CG4548" s="2"/>
      <c r="CH4548" s="2"/>
      <c r="CI4548" s="2">
        <v>1</v>
      </c>
      <c r="CJ4548" s="2">
        <v>1</v>
      </c>
      <c r="CK4548" s="2">
        <v>21</v>
      </c>
      <c r="CL4548" s="2" t="s">
        <v>86</v>
      </c>
      <c r="CM4548" s="2"/>
    </row>
    <row r="4549" spans="1:91">
      <c r="A4549" s="2" t="s">
        <v>71</v>
      </c>
      <c r="B4549" s="2" t="s">
        <v>72</v>
      </c>
      <c r="C4549" s="2" t="s">
        <v>73</v>
      </c>
      <c r="D4549" s="2"/>
      <c r="E4549" s="2" t="str">
        <f>"FES1162567334"</f>
        <v>FES1162567334</v>
      </c>
      <c r="F4549" s="3">
        <v>42951</v>
      </c>
      <c r="G4549" s="2">
        <v>201802</v>
      </c>
      <c r="H4549" s="2" t="s">
        <v>74</v>
      </c>
      <c r="I4549" s="2" t="s">
        <v>75</v>
      </c>
      <c r="J4549" s="2" t="s">
        <v>76</v>
      </c>
      <c r="K4549" s="2" t="s">
        <v>77</v>
      </c>
      <c r="L4549" s="2" t="s">
        <v>97</v>
      </c>
      <c r="M4549" s="2" t="s">
        <v>98</v>
      </c>
      <c r="N4549" s="2" t="s">
        <v>214</v>
      </c>
      <c r="O4549" s="2" t="s">
        <v>100</v>
      </c>
      <c r="P4549" s="2" t="str">
        <f>"2170583498                    "</f>
        <v xml:space="preserve">2170583498                    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4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0</v>
      </c>
      <c r="AU4549" s="2">
        <v>0</v>
      </c>
      <c r="AV4549" s="2">
        <v>0</v>
      </c>
      <c r="AW4549" s="2">
        <v>0</v>
      </c>
      <c r="AX4549" s="2">
        <v>0</v>
      </c>
      <c r="AY4549" s="2">
        <v>0</v>
      </c>
      <c r="AZ4549" s="2">
        <v>0</v>
      </c>
      <c r="BA4549" s="2">
        <v>0</v>
      </c>
      <c r="BB4549" s="2">
        <v>0</v>
      </c>
      <c r="BC4549" s="2">
        <v>0</v>
      </c>
      <c r="BD4549" s="2">
        <v>0</v>
      </c>
      <c r="BE4549" s="2">
        <v>0</v>
      </c>
      <c r="BF4549" s="2">
        <v>0</v>
      </c>
      <c r="BG4549" s="2">
        <v>0</v>
      </c>
      <c r="BH4549" s="2">
        <v>1</v>
      </c>
      <c r="BI4549" s="2">
        <v>1</v>
      </c>
      <c r="BJ4549" s="2">
        <v>0.2</v>
      </c>
      <c r="BK4549" s="2">
        <v>1</v>
      </c>
      <c r="BL4549" s="2">
        <v>41.44</v>
      </c>
      <c r="BM4549" s="2">
        <v>5.8</v>
      </c>
      <c r="BN4549" s="2">
        <v>47.24</v>
      </c>
      <c r="BO4549" s="2">
        <v>47.24</v>
      </c>
      <c r="BP4549" s="2"/>
      <c r="BQ4549" s="2" t="s">
        <v>108</v>
      </c>
      <c r="BR4549" s="2" t="s">
        <v>84</v>
      </c>
      <c r="BS4549" s="3">
        <v>42954</v>
      </c>
      <c r="BT4549" s="4">
        <v>0.3263888888888889</v>
      </c>
      <c r="BU4549" s="2" t="s">
        <v>2923</v>
      </c>
      <c r="BV4549" s="2" t="s">
        <v>95</v>
      </c>
      <c r="BW4549" s="2"/>
      <c r="BX4549" s="2"/>
      <c r="BY4549" s="2">
        <v>1200</v>
      </c>
      <c r="BZ4549" s="2"/>
      <c r="CA4549" s="2" t="s">
        <v>213</v>
      </c>
      <c r="CB4549" s="2"/>
      <c r="CC4549" s="2" t="s">
        <v>98</v>
      </c>
      <c r="CD4549" s="2">
        <v>6001</v>
      </c>
      <c r="CE4549" s="2" t="s">
        <v>104</v>
      </c>
      <c r="CF4549" s="5">
        <v>42955</v>
      </c>
      <c r="CG4549" s="2"/>
      <c r="CH4549" s="2"/>
      <c r="CI4549" s="2">
        <v>1</v>
      </c>
      <c r="CJ4549" s="2">
        <v>1</v>
      </c>
      <c r="CK4549" s="2">
        <v>21</v>
      </c>
      <c r="CL4549" s="2" t="s">
        <v>86</v>
      </c>
      <c r="CM4549" s="2"/>
    </row>
    <row r="4550" spans="1:91">
      <c r="A4550" s="2" t="s">
        <v>71</v>
      </c>
      <c r="B4550" s="2" t="s">
        <v>72</v>
      </c>
      <c r="C4550" s="2" t="s">
        <v>73</v>
      </c>
      <c r="D4550" s="2"/>
      <c r="E4550" s="2" t="str">
        <f>"FES1162567253"</f>
        <v>FES1162567253</v>
      </c>
      <c r="F4550" s="3">
        <v>42951</v>
      </c>
      <c r="G4550" s="2">
        <v>201802</v>
      </c>
      <c r="H4550" s="2" t="s">
        <v>74</v>
      </c>
      <c r="I4550" s="2" t="s">
        <v>75</v>
      </c>
      <c r="J4550" s="2" t="s">
        <v>76</v>
      </c>
      <c r="K4550" s="2" t="s">
        <v>77</v>
      </c>
      <c r="L4550" s="2" t="s">
        <v>105</v>
      </c>
      <c r="M4550" s="2" t="s">
        <v>106</v>
      </c>
      <c r="N4550" s="2" t="s">
        <v>867</v>
      </c>
      <c r="O4550" s="2" t="s">
        <v>100</v>
      </c>
      <c r="P4550" s="2" t="str">
        <f>"2170582499                    "</f>
        <v xml:space="preserve">2170582499                    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4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0</v>
      </c>
      <c r="AU4550" s="2">
        <v>0</v>
      </c>
      <c r="AV4550" s="2">
        <v>0</v>
      </c>
      <c r="AW4550" s="2">
        <v>0</v>
      </c>
      <c r="AX4550" s="2">
        <v>0</v>
      </c>
      <c r="AY4550" s="2">
        <v>0</v>
      </c>
      <c r="AZ4550" s="2">
        <v>0</v>
      </c>
      <c r="BA4550" s="2">
        <v>0</v>
      </c>
      <c r="BB4550" s="2">
        <v>0</v>
      </c>
      <c r="BC4550" s="2">
        <v>0</v>
      </c>
      <c r="BD4550" s="2">
        <v>0</v>
      </c>
      <c r="BE4550" s="2">
        <v>0</v>
      </c>
      <c r="BF4550" s="2">
        <v>0</v>
      </c>
      <c r="BG4550" s="2">
        <v>0</v>
      </c>
      <c r="BH4550" s="2">
        <v>1</v>
      </c>
      <c r="BI4550" s="2">
        <v>1.5</v>
      </c>
      <c r="BJ4550" s="2">
        <v>1.1000000000000001</v>
      </c>
      <c r="BK4550" s="2">
        <v>1.5</v>
      </c>
      <c r="BL4550" s="2">
        <v>41.44</v>
      </c>
      <c r="BM4550" s="2">
        <v>5.8</v>
      </c>
      <c r="BN4550" s="2">
        <v>47.24</v>
      </c>
      <c r="BO4550" s="2">
        <v>47.24</v>
      </c>
      <c r="BP4550" s="2"/>
      <c r="BQ4550" s="2" t="s">
        <v>1877</v>
      </c>
      <c r="BR4550" s="2" t="s">
        <v>84</v>
      </c>
      <c r="BS4550" s="3">
        <v>42954</v>
      </c>
      <c r="BT4550" s="4">
        <v>0.34027777777777773</v>
      </c>
      <c r="BU4550" s="2" t="s">
        <v>1878</v>
      </c>
      <c r="BV4550" s="2" t="s">
        <v>95</v>
      </c>
      <c r="BW4550" s="2"/>
      <c r="BX4550" s="2"/>
      <c r="BY4550" s="2">
        <v>5298.04</v>
      </c>
      <c r="BZ4550" s="2"/>
      <c r="CA4550" s="2" t="s">
        <v>3531</v>
      </c>
      <c r="CB4550" s="2"/>
      <c r="CC4550" s="2" t="s">
        <v>106</v>
      </c>
      <c r="CD4550" s="2">
        <v>7460</v>
      </c>
      <c r="CE4550" s="2" t="s">
        <v>89</v>
      </c>
      <c r="CF4550" s="5">
        <v>42955</v>
      </c>
      <c r="CG4550" s="2"/>
      <c r="CH4550" s="2"/>
      <c r="CI4550" s="2">
        <v>1</v>
      </c>
      <c r="CJ4550" s="2">
        <v>1</v>
      </c>
      <c r="CK4550" s="2">
        <v>21</v>
      </c>
      <c r="CL4550" s="2" t="s">
        <v>86</v>
      </c>
      <c r="CM4550" s="2"/>
    </row>
    <row r="4551" spans="1:91">
      <c r="A4551" s="2" t="s">
        <v>71</v>
      </c>
      <c r="B4551" s="2" t="s">
        <v>72</v>
      </c>
      <c r="C4551" s="2" t="s">
        <v>73</v>
      </c>
      <c r="D4551" s="2"/>
      <c r="E4551" s="2" t="str">
        <f>"FES1162567315"</f>
        <v>FES1162567315</v>
      </c>
      <c r="F4551" s="3">
        <v>42951</v>
      </c>
      <c r="G4551" s="2">
        <v>201802</v>
      </c>
      <c r="H4551" s="2" t="s">
        <v>74</v>
      </c>
      <c r="I4551" s="2" t="s">
        <v>75</v>
      </c>
      <c r="J4551" s="2" t="s">
        <v>76</v>
      </c>
      <c r="K4551" s="2" t="s">
        <v>77</v>
      </c>
      <c r="L4551" s="2" t="s">
        <v>105</v>
      </c>
      <c r="M4551" s="2" t="s">
        <v>106</v>
      </c>
      <c r="N4551" s="2" t="s">
        <v>867</v>
      </c>
      <c r="O4551" s="2" t="s">
        <v>100</v>
      </c>
      <c r="P4551" s="2" t="str">
        <f>"2170583499                    "</f>
        <v xml:space="preserve">2170583499                    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4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0</v>
      </c>
      <c r="AU4551" s="2">
        <v>0</v>
      </c>
      <c r="AV4551" s="2">
        <v>0</v>
      </c>
      <c r="AW4551" s="2">
        <v>0</v>
      </c>
      <c r="AX4551" s="2">
        <v>0</v>
      </c>
      <c r="AY4551" s="2">
        <v>0</v>
      </c>
      <c r="AZ4551" s="2">
        <v>0</v>
      </c>
      <c r="BA4551" s="2">
        <v>0</v>
      </c>
      <c r="BB4551" s="2">
        <v>0</v>
      </c>
      <c r="BC4551" s="2">
        <v>0</v>
      </c>
      <c r="BD4551" s="2">
        <v>0</v>
      </c>
      <c r="BE4551" s="2">
        <v>0</v>
      </c>
      <c r="BF4551" s="2">
        <v>0</v>
      </c>
      <c r="BG4551" s="2">
        <v>0</v>
      </c>
      <c r="BH4551" s="2">
        <v>1</v>
      </c>
      <c r="BI4551" s="2">
        <v>1</v>
      </c>
      <c r="BJ4551" s="2">
        <v>0.2</v>
      </c>
      <c r="BK4551" s="2">
        <v>1</v>
      </c>
      <c r="BL4551" s="2">
        <v>41.44</v>
      </c>
      <c r="BM4551" s="2">
        <v>5.8</v>
      </c>
      <c r="BN4551" s="2">
        <v>47.24</v>
      </c>
      <c r="BO4551" s="2">
        <v>47.24</v>
      </c>
      <c r="BP4551" s="2"/>
      <c r="BQ4551" s="2" t="s">
        <v>1877</v>
      </c>
      <c r="BR4551" s="2" t="s">
        <v>84</v>
      </c>
      <c r="BS4551" s="3">
        <v>42954</v>
      </c>
      <c r="BT4551" s="4">
        <v>0.34097222222222223</v>
      </c>
      <c r="BU4551" s="2" t="s">
        <v>1878</v>
      </c>
      <c r="BV4551" s="2" t="s">
        <v>95</v>
      </c>
      <c r="BW4551" s="2"/>
      <c r="BX4551" s="2"/>
      <c r="BY4551" s="2">
        <v>1200</v>
      </c>
      <c r="BZ4551" s="2"/>
      <c r="CA4551" s="2" t="s">
        <v>3531</v>
      </c>
      <c r="CB4551" s="2"/>
      <c r="CC4551" s="2" t="s">
        <v>106</v>
      </c>
      <c r="CD4551" s="2">
        <v>7460</v>
      </c>
      <c r="CE4551" s="2" t="s">
        <v>104</v>
      </c>
      <c r="CF4551" s="5">
        <v>42955</v>
      </c>
      <c r="CG4551" s="2"/>
      <c r="CH4551" s="2"/>
      <c r="CI4551" s="2">
        <v>1</v>
      </c>
      <c r="CJ4551" s="2">
        <v>1</v>
      </c>
      <c r="CK4551" s="2">
        <v>21</v>
      </c>
      <c r="CL4551" s="2" t="s">
        <v>86</v>
      </c>
      <c r="CM4551" s="2"/>
    </row>
    <row r="4552" spans="1:91">
      <c r="A4552" s="2" t="s">
        <v>71</v>
      </c>
      <c r="B4552" s="2" t="s">
        <v>72</v>
      </c>
      <c r="C4552" s="2" t="s">
        <v>73</v>
      </c>
      <c r="D4552" s="2"/>
      <c r="E4552" s="2" t="str">
        <f>"FES1162567307"</f>
        <v>FES1162567307</v>
      </c>
      <c r="F4552" s="3">
        <v>42951</v>
      </c>
      <c r="G4552" s="2">
        <v>201802</v>
      </c>
      <c r="H4552" s="2" t="s">
        <v>74</v>
      </c>
      <c r="I4552" s="2" t="s">
        <v>75</v>
      </c>
      <c r="J4552" s="2" t="s">
        <v>76</v>
      </c>
      <c r="K4552" s="2" t="s">
        <v>77</v>
      </c>
      <c r="L4552" s="2" t="s">
        <v>159</v>
      </c>
      <c r="M4552" s="2" t="s">
        <v>160</v>
      </c>
      <c r="N4552" s="2" t="s">
        <v>2515</v>
      </c>
      <c r="O4552" s="2" t="s">
        <v>100</v>
      </c>
      <c r="P4552" s="2" t="str">
        <f>"2170583477                    "</f>
        <v xml:space="preserve">2170583477                    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5.63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0</v>
      </c>
      <c r="AU4552" s="2">
        <v>0</v>
      </c>
      <c r="AV4552" s="2">
        <v>0</v>
      </c>
      <c r="AW4552" s="2">
        <v>0</v>
      </c>
      <c r="AX4552" s="2">
        <v>0</v>
      </c>
      <c r="AY4552" s="2">
        <v>0</v>
      </c>
      <c r="AZ4552" s="2">
        <v>0</v>
      </c>
      <c r="BA4552" s="2">
        <v>0</v>
      </c>
      <c r="BB4552" s="2">
        <v>0</v>
      </c>
      <c r="BC4552" s="2">
        <v>0</v>
      </c>
      <c r="BD4552" s="2">
        <v>0</v>
      </c>
      <c r="BE4552" s="2">
        <v>0</v>
      </c>
      <c r="BF4552" s="2">
        <v>0</v>
      </c>
      <c r="BG4552" s="2">
        <v>0</v>
      </c>
      <c r="BH4552" s="2">
        <v>1</v>
      </c>
      <c r="BI4552" s="2">
        <v>1.3</v>
      </c>
      <c r="BJ4552" s="2">
        <v>0.2</v>
      </c>
      <c r="BK4552" s="2">
        <v>1.5</v>
      </c>
      <c r="BL4552" s="2">
        <v>58.28</v>
      </c>
      <c r="BM4552" s="2">
        <v>8.16</v>
      </c>
      <c r="BN4552" s="2">
        <v>66.44</v>
      </c>
      <c r="BO4552" s="2">
        <v>66.44</v>
      </c>
      <c r="BP4552" s="2"/>
      <c r="BQ4552" s="2" t="s">
        <v>2839</v>
      </c>
      <c r="BR4552" s="2" t="s">
        <v>84</v>
      </c>
      <c r="BS4552" s="3">
        <v>42954</v>
      </c>
      <c r="BT4552" s="4">
        <v>0.57916666666666672</v>
      </c>
      <c r="BU4552" s="2" t="s">
        <v>392</v>
      </c>
      <c r="BV4552" s="2" t="s">
        <v>95</v>
      </c>
      <c r="BW4552" s="2"/>
      <c r="BX4552" s="2"/>
      <c r="BY4552" s="2">
        <v>1200</v>
      </c>
      <c r="BZ4552" s="2"/>
      <c r="CA4552" s="2"/>
      <c r="CB4552" s="2"/>
      <c r="CC4552" s="2" t="s">
        <v>160</v>
      </c>
      <c r="CD4552" s="2">
        <v>208</v>
      </c>
      <c r="CE4552" s="2" t="s">
        <v>104</v>
      </c>
      <c r="CF4552" s="5">
        <v>42957</v>
      </c>
      <c r="CG4552" s="2"/>
      <c r="CH4552" s="2"/>
      <c r="CI4552" s="2">
        <v>1</v>
      </c>
      <c r="CJ4552" s="2">
        <v>1</v>
      </c>
      <c r="CK4552" s="2">
        <v>24</v>
      </c>
      <c r="CL4552" s="2" t="s">
        <v>86</v>
      </c>
      <c r="CM4552" s="2"/>
    </row>
    <row r="4553" spans="1:91">
      <c r="A4553" s="2" t="s">
        <v>71</v>
      </c>
      <c r="B4553" s="2" t="s">
        <v>72</v>
      </c>
      <c r="C4553" s="2" t="s">
        <v>73</v>
      </c>
      <c r="D4553" s="2"/>
      <c r="E4553" s="2" t="str">
        <f>"FES1162567340"</f>
        <v>FES1162567340</v>
      </c>
      <c r="F4553" s="3">
        <v>42951</v>
      </c>
      <c r="G4553" s="2">
        <v>201802</v>
      </c>
      <c r="H4553" s="2" t="s">
        <v>74</v>
      </c>
      <c r="I4553" s="2" t="s">
        <v>75</v>
      </c>
      <c r="J4553" s="2" t="s">
        <v>76</v>
      </c>
      <c r="K4553" s="2" t="s">
        <v>77</v>
      </c>
      <c r="L4553" s="2" t="s">
        <v>149</v>
      </c>
      <c r="M4553" s="2" t="s">
        <v>150</v>
      </c>
      <c r="N4553" s="2" t="s">
        <v>463</v>
      </c>
      <c r="O4553" s="2" t="s">
        <v>100</v>
      </c>
      <c r="P4553" s="2" t="str">
        <f>"217058350                     "</f>
        <v xml:space="preserve">217058350                     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  <c r="AB4553" s="2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4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0</v>
      </c>
      <c r="AU4553" s="2">
        <v>0</v>
      </c>
      <c r="AV4553" s="2">
        <v>0</v>
      </c>
      <c r="AW4553" s="2">
        <v>0</v>
      </c>
      <c r="AX4553" s="2">
        <v>0</v>
      </c>
      <c r="AY4553" s="2">
        <v>0</v>
      </c>
      <c r="AZ4553" s="2">
        <v>0</v>
      </c>
      <c r="BA4553" s="2">
        <v>0</v>
      </c>
      <c r="BB4553" s="2">
        <v>0</v>
      </c>
      <c r="BC4553" s="2">
        <v>0</v>
      </c>
      <c r="BD4553" s="2">
        <v>0</v>
      </c>
      <c r="BE4553" s="2">
        <v>0</v>
      </c>
      <c r="BF4553" s="2">
        <v>0</v>
      </c>
      <c r="BG4553" s="2">
        <v>0</v>
      </c>
      <c r="BH4553" s="2">
        <v>1</v>
      </c>
      <c r="BI4553" s="2">
        <v>1</v>
      </c>
      <c r="BJ4553" s="2">
        <v>0.2</v>
      </c>
      <c r="BK4553" s="2">
        <v>1</v>
      </c>
      <c r="BL4553" s="2">
        <v>41.44</v>
      </c>
      <c r="BM4553" s="2">
        <v>5.8</v>
      </c>
      <c r="BN4553" s="2">
        <v>47.24</v>
      </c>
      <c r="BO4553" s="2">
        <v>47.24</v>
      </c>
      <c r="BP4553" s="2"/>
      <c r="BQ4553" s="2" t="s">
        <v>1820</v>
      </c>
      <c r="BR4553" s="2" t="s">
        <v>84</v>
      </c>
      <c r="BS4553" s="3">
        <v>42954</v>
      </c>
      <c r="BT4553" s="4">
        <v>0.4375</v>
      </c>
      <c r="BU4553" s="2" t="s">
        <v>85</v>
      </c>
      <c r="BV4553" s="2" t="s">
        <v>95</v>
      </c>
      <c r="BW4553" s="2"/>
      <c r="BX4553" s="2"/>
      <c r="BY4553" s="2">
        <v>1200</v>
      </c>
      <c r="BZ4553" s="2"/>
      <c r="CA4553" s="2"/>
      <c r="CB4553" s="2"/>
      <c r="CC4553" s="2" t="s">
        <v>150</v>
      </c>
      <c r="CD4553" s="2">
        <v>4001</v>
      </c>
      <c r="CE4553" s="2" t="s">
        <v>104</v>
      </c>
      <c r="CF4553" s="5">
        <v>42955</v>
      </c>
      <c r="CG4553" s="2"/>
      <c r="CH4553" s="2"/>
      <c r="CI4553" s="2">
        <v>1</v>
      </c>
      <c r="CJ4553" s="2">
        <v>1</v>
      </c>
      <c r="CK4553" s="2">
        <v>21</v>
      </c>
      <c r="CL4553" s="2" t="s">
        <v>86</v>
      </c>
      <c r="CM4553" s="2"/>
    </row>
    <row r="4554" spans="1:91">
      <c r="A4554" s="2" t="s">
        <v>71</v>
      </c>
      <c r="B4554" s="2" t="s">
        <v>72</v>
      </c>
      <c r="C4554" s="2" t="s">
        <v>73</v>
      </c>
      <c r="D4554" s="2"/>
      <c r="E4554" s="2" t="str">
        <f>"FES1162567348"</f>
        <v>FES1162567348</v>
      </c>
      <c r="F4554" s="3">
        <v>42951</v>
      </c>
      <c r="G4554" s="2">
        <v>201802</v>
      </c>
      <c r="H4554" s="2" t="s">
        <v>74</v>
      </c>
      <c r="I4554" s="2" t="s">
        <v>75</v>
      </c>
      <c r="J4554" s="2" t="s">
        <v>76</v>
      </c>
      <c r="K4554" s="2" t="s">
        <v>77</v>
      </c>
      <c r="L4554" s="2" t="s">
        <v>939</v>
      </c>
      <c r="M4554" s="2" t="s">
        <v>940</v>
      </c>
      <c r="N4554" s="2" t="s">
        <v>2567</v>
      </c>
      <c r="O4554" s="2" t="s">
        <v>100</v>
      </c>
      <c r="P4554" s="2" t="str">
        <f>"2170583505                    "</f>
        <v xml:space="preserve">2170583505                    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5.63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0</v>
      </c>
      <c r="AU4554" s="2">
        <v>0</v>
      </c>
      <c r="AV4554" s="2">
        <v>0</v>
      </c>
      <c r="AW4554" s="2">
        <v>0</v>
      </c>
      <c r="AX4554" s="2">
        <v>0</v>
      </c>
      <c r="AY4554" s="2">
        <v>0</v>
      </c>
      <c r="AZ4554" s="2">
        <v>0</v>
      </c>
      <c r="BA4554" s="2">
        <v>0</v>
      </c>
      <c r="BB4554" s="2">
        <v>0</v>
      </c>
      <c r="BC4554" s="2">
        <v>0</v>
      </c>
      <c r="BD4554" s="2">
        <v>0</v>
      </c>
      <c r="BE4554" s="2">
        <v>0</v>
      </c>
      <c r="BF4554" s="2">
        <v>0</v>
      </c>
      <c r="BG4554" s="2">
        <v>0</v>
      </c>
      <c r="BH4554" s="2">
        <v>1</v>
      </c>
      <c r="BI4554" s="2">
        <v>1</v>
      </c>
      <c r="BJ4554" s="2">
        <v>0.2</v>
      </c>
      <c r="BK4554" s="2">
        <v>1</v>
      </c>
      <c r="BL4554" s="2">
        <v>58.28</v>
      </c>
      <c r="BM4554" s="2">
        <v>8.16</v>
      </c>
      <c r="BN4554" s="2">
        <v>66.44</v>
      </c>
      <c r="BO4554" s="2">
        <v>66.44</v>
      </c>
      <c r="BP4554" s="2"/>
      <c r="BQ4554" s="2" t="s">
        <v>4094</v>
      </c>
      <c r="BR4554" s="2" t="s">
        <v>84</v>
      </c>
      <c r="BS4554" s="3">
        <v>42954</v>
      </c>
      <c r="BT4554" s="4">
        <v>0.69097222222222221</v>
      </c>
      <c r="BU4554" s="2" t="s">
        <v>4095</v>
      </c>
      <c r="BV4554" s="2" t="s">
        <v>95</v>
      </c>
      <c r="BW4554" s="2"/>
      <c r="BX4554" s="2"/>
      <c r="BY4554" s="2">
        <v>1200</v>
      </c>
      <c r="BZ4554" s="2"/>
      <c r="CA4554" s="2" t="s">
        <v>943</v>
      </c>
      <c r="CB4554" s="2"/>
      <c r="CC4554" s="2" t="s">
        <v>940</v>
      </c>
      <c r="CD4554" s="2">
        <v>1020</v>
      </c>
      <c r="CE4554" s="2" t="s">
        <v>104</v>
      </c>
      <c r="CF4554" s="5">
        <v>42957</v>
      </c>
      <c r="CG4554" s="2"/>
      <c r="CH4554" s="2"/>
      <c r="CI4554" s="2">
        <v>2</v>
      </c>
      <c r="CJ4554" s="2">
        <v>1</v>
      </c>
      <c r="CK4554" s="2">
        <v>24</v>
      </c>
      <c r="CL4554" s="2" t="s">
        <v>86</v>
      </c>
      <c r="CM4554" s="2"/>
    </row>
    <row r="4555" spans="1:91">
      <c r="A4555" s="2" t="s">
        <v>71</v>
      </c>
      <c r="B4555" s="2" t="s">
        <v>72</v>
      </c>
      <c r="C4555" s="2" t="s">
        <v>73</v>
      </c>
      <c r="D4555" s="2"/>
      <c r="E4555" s="2" t="str">
        <f>"FES1162567122"</f>
        <v>FES1162567122</v>
      </c>
      <c r="F4555" s="3">
        <v>42951</v>
      </c>
      <c r="G4555" s="2">
        <v>201802</v>
      </c>
      <c r="H4555" s="2" t="s">
        <v>74</v>
      </c>
      <c r="I4555" s="2" t="s">
        <v>75</v>
      </c>
      <c r="J4555" s="2" t="s">
        <v>76</v>
      </c>
      <c r="K4555" s="2" t="s">
        <v>77</v>
      </c>
      <c r="L4555" s="2" t="s">
        <v>170</v>
      </c>
      <c r="M4555" s="2" t="s">
        <v>171</v>
      </c>
      <c r="N4555" s="2" t="s">
        <v>489</v>
      </c>
      <c r="O4555" s="2" t="s">
        <v>100</v>
      </c>
      <c r="P4555" s="2" t="str">
        <f>"2170580984                    "</f>
        <v xml:space="preserve">2170580984                    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</v>
      </c>
      <c r="Y4555" s="2">
        <v>0</v>
      </c>
      <c r="Z4555" s="2">
        <v>0</v>
      </c>
      <c r="AA4555" s="2">
        <v>0</v>
      </c>
      <c r="AB4555" s="2">
        <v>0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3.13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0</v>
      </c>
      <c r="AU4555" s="2">
        <v>0</v>
      </c>
      <c r="AV4555" s="2">
        <v>0</v>
      </c>
      <c r="AW4555" s="2">
        <v>0</v>
      </c>
      <c r="AX4555" s="2">
        <v>0</v>
      </c>
      <c r="AY4555" s="2">
        <v>0</v>
      </c>
      <c r="AZ4555" s="2">
        <v>0</v>
      </c>
      <c r="BA4555" s="2">
        <v>0</v>
      </c>
      <c r="BB4555" s="2">
        <v>0</v>
      </c>
      <c r="BC4555" s="2">
        <v>0</v>
      </c>
      <c r="BD4555" s="2">
        <v>0</v>
      </c>
      <c r="BE4555" s="2">
        <v>0</v>
      </c>
      <c r="BF4555" s="2">
        <v>0</v>
      </c>
      <c r="BG4555" s="2">
        <v>0</v>
      </c>
      <c r="BH4555" s="2">
        <v>1</v>
      </c>
      <c r="BI4555" s="2">
        <v>1</v>
      </c>
      <c r="BJ4555" s="2">
        <v>0.2</v>
      </c>
      <c r="BK4555" s="2">
        <v>1</v>
      </c>
      <c r="BL4555" s="2">
        <v>32.380000000000003</v>
      </c>
      <c r="BM4555" s="2">
        <v>4.53</v>
      </c>
      <c r="BN4555" s="2">
        <v>36.909999999999997</v>
      </c>
      <c r="BO4555" s="2">
        <v>36.909999999999997</v>
      </c>
      <c r="BP4555" s="2"/>
      <c r="BQ4555" s="2" t="s">
        <v>490</v>
      </c>
      <c r="BR4555" s="2" t="s">
        <v>84</v>
      </c>
      <c r="BS4555" s="3">
        <v>42954</v>
      </c>
      <c r="BT4555" s="4">
        <v>0.4375</v>
      </c>
      <c r="BU4555" s="2" t="s">
        <v>829</v>
      </c>
      <c r="BV4555" s="2" t="s">
        <v>95</v>
      </c>
      <c r="BW4555" s="2"/>
      <c r="BX4555" s="2"/>
      <c r="BY4555" s="2">
        <v>1200</v>
      </c>
      <c r="BZ4555" s="2"/>
      <c r="CA4555" s="2"/>
      <c r="CB4555" s="2"/>
      <c r="CC4555" s="2" t="s">
        <v>171</v>
      </c>
      <c r="CD4555" s="2">
        <v>1401</v>
      </c>
      <c r="CE4555" s="2" t="s">
        <v>104</v>
      </c>
      <c r="CF4555" s="5">
        <v>42955</v>
      </c>
      <c r="CG4555" s="2"/>
      <c r="CH4555" s="2"/>
      <c r="CI4555" s="2">
        <v>1</v>
      </c>
      <c r="CJ4555" s="2">
        <v>1</v>
      </c>
      <c r="CK4555" s="2">
        <v>22</v>
      </c>
      <c r="CL4555" s="2" t="s">
        <v>86</v>
      </c>
      <c r="CM4555" s="2"/>
    </row>
    <row r="4556" spans="1:91">
      <c r="A4556" s="2" t="s">
        <v>71</v>
      </c>
      <c r="B4556" s="2" t="s">
        <v>72</v>
      </c>
      <c r="C4556" s="2" t="s">
        <v>73</v>
      </c>
      <c r="D4556" s="2"/>
      <c r="E4556" s="2" t="str">
        <f>"FES1162567208"</f>
        <v>FES1162567208</v>
      </c>
      <c r="F4556" s="3">
        <v>42951</v>
      </c>
      <c r="G4556" s="2">
        <v>201802</v>
      </c>
      <c r="H4556" s="2" t="s">
        <v>74</v>
      </c>
      <c r="I4556" s="2" t="s">
        <v>75</v>
      </c>
      <c r="J4556" s="2" t="s">
        <v>76</v>
      </c>
      <c r="K4556" s="2" t="s">
        <v>77</v>
      </c>
      <c r="L4556" s="2" t="s">
        <v>144</v>
      </c>
      <c r="M4556" s="2" t="s">
        <v>145</v>
      </c>
      <c r="N4556" s="2" t="s">
        <v>2594</v>
      </c>
      <c r="O4556" s="2" t="s">
        <v>100</v>
      </c>
      <c r="P4556" s="2" t="str">
        <f>"2170583354                    "</f>
        <v xml:space="preserve">2170583354                    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0</v>
      </c>
      <c r="Y4556" s="2">
        <v>0</v>
      </c>
      <c r="Z4556" s="2">
        <v>0</v>
      </c>
      <c r="AA4556" s="2">
        <v>0</v>
      </c>
      <c r="AB4556" s="2">
        <v>0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3.13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0</v>
      </c>
      <c r="AU4556" s="2">
        <v>0</v>
      </c>
      <c r="AV4556" s="2">
        <v>0</v>
      </c>
      <c r="AW4556" s="2">
        <v>0</v>
      </c>
      <c r="AX4556" s="2">
        <v>0</v>
      </c>
      <c r="AY4556" s="2">
        <v>0</v>
      </c>
      <c r="AZ4556" s="2">
        <v>0</v>
      </c>
      <c r="BA4556" s="2">
        <v>0</v>
      </c>
      <c r="BB4556" s="2">
        <v>0</v>
      </c>
      <c r="BC4556" s="2">
        <v>0</v>
      </c>
      <c r="BD4556" s="2">
        <v>0</v>
      </c>
      <c r="BE4556" s="2">
        <v>0</v>
      </c>
      <c r="BF4556" s="2">
        <v>0</v>
      </c>
      <c r="BG4556" s="2">
        <v>0</v>
      </c>
      <c r="BH4556" s="2">
        <v>1</v>
      </c>
      <c r="BI4556" s="2">
        <v>1</v>
      </c>
      <c r="BJ4556" s="2">
        <v>0.2</v>
      </c>
      <c r="BK4556" s="2">
        <v>1</v>
      </c>
      <c r="BL4556" s="2">
        <v>32.380000000000003</v>
      </c>
      <c r="BM4556" s="2">
        <v>4.53</v>
      </c>
      <c r="BN4556" s="2">
        <v>36.909999999999997</v>
      </c>
      <c r="BO4556" s="2">
        <v>36.909999999999997</v>
      </c>
      <c r="BP4556" s="2"/>
      <c r="BQ4556" s="2" t="s">
        <v>108</v>
      </c>
      <c r="BR4556" s="2" t="s">
        <v>84</v>
      </c>
      <c r="BS4556" s="3">
        <v>42954</v>
      </c>
      <c r="BT4556" s="4">
        <v>0.35486111111111113</v>
      </c>
      <c r="BU4556" s="2" t="s">
        <v>3440</v>
      </c>
      <c r="BV4556" s="2" t="s">
        <v>95</v>
      </c>
      <c r="BW4556" s="2"/>
      <c r="BX4556" s="2"/>
      <c r="BY4556" s="2">
        <v>1200</v>
      </c>
      <c r="BZ4556" s="2"/>
      <c r="CA4556" s="2"/>
      <c r="CB4556" s="2"/>
      <c r="CC4556" s="2" t="s">
        <v>145</v>
      </c>
      <c r="CD4556" s="2">
        <v>2042</v>
      </c>
      <c r="CE4556" s="2" t="s">
        <v>104</v>
      </c>
      <c r="CF4556" s="2"/>
      <c r="CG4556" s="2"/>
      <c r="CH4556" s="2"/>
      <c r="CI4556" s="2">
        <v>1</v>
      </c>
      <c r="CJ4556" s="2">
        <v>1</v>
      </c>
      <c r="CK4556" s="2">
        <v>22</v>
      </c>
      <c r="CL4556" s="2" t="s">
        <v>86</v>
      </c>
      <c r="CM4556" s="2"/>
    </row>
    <row r="4557" spans="1:91">
      <c r="A4557" s="2" t="s">
        <v>71</v>
      </c>
      <c r="B4557" s="2" t="s">
        <v>72</v>
      </c>
      <c r="C4557" s="2" t="s">
        <v>73</v>
      </c>
      <c r="D4557" s="2"/>
      <c r="E4557" s="2" t="str">
        <f>"FES1162566975"</f>
        <v>FES1162566975</v>
      </c>
      <c r="F4557" s="3">
        <v>42951</v>
      </c>
      <c r="G4557" s="2">
        <v>201802</v>
      </c>
      <c r="H4557" s="2" t="s">
        <v>74</v>
      </c>
      <c r="I4557" s="2" t="s">
        <v>75</v>
      </c>
      <c r="J4557" s="2" t="s">
        <v>76</v>
      </c>
      <c r="K4557" s="2" t="s">
        <v>77</v>
      </c>
      <c r="L4557" s="2" t="s">
        <v>144</v>
      </c>
      <c r="M4557" s="2" t="s">
        <v>145</v>
      </c>
      <c r="N4557" s="2" t="s">
        <v>4096</v>
      </c>
      <c r="O4557" s="2" t="s">
        <v>100</v>
      </c>
      <c r="P4557" s="2" t="str">
        <f>"2170582960                    "</f>
        <v xml:space="preserve">2170582960                    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3.13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0</v>
      </c>
      <c r="AU4557" s="2">
        <v>0</v>
      </c>
      <c r="AV4557" s="2">
        <v>0</v>
      </c>
      <c r="AW4557" s="2">
        <v>0</v>
      </c>
      <c r="AX4557" s="2">
        <v>0</v>
      </c>
      <c r="AY4557" s="2">
        <v>0</v>
      </c>
      <c r="AZ4557" s="2">
        <v>0</v>
      </c>
      <c r="BA4557" s="2">
        <v>0</v>
      </c>
      <c r="BB4557" s="2">
        <v>0</v>
      </c>
      <c r="BC4557" s="2">
        <v>0</v>
      </c>
      <c r="BD4557" s="2">
        <v>0</v>
      </c>
      <c r="BE4557" s="2">
        <v>0</v>
      </c>
      <c r="BF4557" s="2">
        <v>0</v>
      </c>
      <c r="BG4557" s="2">
        <v>0</v>
      </c>
      <c r="BH4557" s="2">
        <v>1</v>
      </c>
      <c r="BI4557" s="2">
        <v>1</v>
      </c>
      <c r="BJ4557" s="2">
        <v>0.2</v>
      </c>
      <c r="BK4557" s="2">
        <v>1</v>
      </c>
      <c r="BL4557" s="2">
        <v>32.380000000000003</v>
      </c>
      <c r="BM4557" s="2">
        <v>4.53</v>
      </c>
      <c r="BN4557" s="2">
        <v>36.909999999999997</v>
      </c>
      <c r="BO4557" s="2">
        <v>36.909999999999997</v>
      </c>
      <c r="BP4557" s="2"/>
      <c r="BQ4557" s="2" t="s">
        <v>4097</v>
      </c>
      <c r="BR4557" s="2" t="s">
        <v>84</v>
      </c>
      <c r="BS4557" s="3">
        <v>42954</v>
      </c>
      <c r="BT4557" s="4">
        <v>0.35486111111111113</v>
      </c>
      <c r="BU4557" s="2" t="s">
        <v>330</v>
      </c>
      <c r="BV4557" s="2" t="s">
        <v>95</v>
      </c>
      <c r="BW4557" s="2"/>
      <c r="BX4557" s="2"/>
      <c r="BY4557" s="2">
        <v>1200</v>
      </c>
      <c r="BZ4557" s="2"/>
      <c r="CA4557" s="2"/>
      <c r="CB4557" s="2"/>
      <c r="CC4557" s="2" t="s">
        <v>145</v>
      </c>
      <c r="CD4557" s="2">
        <v>2049</v>
      </c>
      <c r="CE4557" s="2" t="s">
        <v>104</v>
      </c>
      <c r="CF4557" s="5">
        <v>42955</v>
      </c>
      <c r="CG4557" s="2"/>
      <c r="CH4557" s="2"/>
      <c r="CI4557" s="2">
        <v>1</v>
      </c>
      <c r="CJ4557" s="2">
        <v>1</v>
      </c>
      <c r="CK4557" s="2">
        <v>22</v>
      </c>
      <c r="CL4557" s="2" t="s">
        <v>86</v>
      </c>
      <c r="CM4557" s="2"/>
    </row>
    <row r="4558" spans="1:91">
      <c r="A4558" s="2" t="s">
        <v>71</v>
      </c>
      <c r="B4558" s="2" t="s">
        <v>72</v>
      </c>
      <c r="C4558" s="2" t="s">
        <v>73</v>
      </c>
      <c r="D4558" s="2"/>
      <c r="E4558" s="2" t="str">
        <f>"FES1162567141"</f>
        <v>FES1162567141</v>
      </c>
      <c r="F4558" s="3">
        <v>42951</v>
      </c>
      <c r="G4558" s="2">
        <v>201802</v>
      </c>
      <c r="H4558" s="2" t="s">
        <v>74</v>
      </c>
      <c r="I4558" s="2" t="s">
        <v>75</v>
      </c>
      <c r="J4558" s="2" t="s">
        <v>76</v>
      </c>
      <c r="K4558" s="2" t="s">
        <v>77</v>
      </c>
      <c r="L4558" s="2" t="s">
        <v>723</v>
      </c>
      <c r="M4558" s="2" t="s">
        <v>724</v>
      </c>
      <c r="N4558" s="2" t="s">
        <v>351</v>
      </c>
      <c r="O4558" s="2" t="s">
        <v>100</v>
      </c>
      <c r="P4558" s="2" t="str">
        <f>"2170582134                    "</f>
        <v xml:space="preserve">2170582134                    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5.63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0</v>
      </c>
      <c r="AU4558" s="2">
        <v>0</v>
      </c>
      <c r="AV4558" s="2">
        <v>0</v>
      </c>
      <c r="AW4558" s="2">
        <v>0</v>
      </c>
      <c r="AX4558" s="2">
        <v>0</v>
      </c>
      <c r="AY4558" s="2">
        <v>0</v>
      </c>
      <c r="AZ4558" s="2">
        <v>0</v>
      </c>
      <c r="BA4558" s="2">
        <v>0</v>
      </c>
      <c r="BB4558" s="2">
        <v>0</v>
      </c>
      <c r="BC4558" s="2">
        <v>0</v>
      </c>
      <c r="BD4558" s="2">
        <v>0</v>
      </c>
      <c r="BE4558" s="2">
        <v>0</v>
      </c>
      <c r="BF4558" s="2">
        <v>0</v>
      </c>
      <c r="BG4558" s="2">
        <v>0</v>
      </c>
      <c r="BH4558" s="2">
        <v>1</v>
      </c>
      <c r="BI4558" s="2">
        <v>1</v>
      </c>
      <c r="BJ4558" s="2">
        <v>0.2</v>
      </c>
      <c r="BK4558" s="2">
        <v>1</v>
      </c>
      <c r="BL4558" s="2">
        <v>58.28</v>
      </c>
      <c r="BM4558" s="2">
        <v>8.16</v>
      </c>
      <c r="BN4558" s="2">
        <v>66.44</v>
      </c>
      <c r="BO4558" s="2">
        <v>66.44</v>
      </c>
      <c r="BP4558" s="2"/>
      <c r="BQ4558" s="2"/>
      <c r="BR4558" s="2" t="s">
        <v>84</v>
      </c>
      <c r="BS4558" s="3">
        <v>42954</v>
      </c>
      <c r="BT4558" s="4">
        <v>0.43194444444444446</v>
      </c>
      <c r="BU4558" s="2" t="s">
        <v>4098</v>
      </c>
      <c r="BV4558" s="2" t="s">
        <v>95</v>
      </c>
      <c r="BW4558" s="2"/>
      <c r="BX4558" s="2"/>
      <c r="BY4558" s="2">
        <v>1200</v>
      </c>
      <c r="BZ4558" s="2"/>
      <c r="CA4558" s="2"/>
      <c r="CB4558" s="2"/>
      <c r="CC4558" s="2" t="s">
        <v>724</v>
      </c>
      <c r="CD4558" s="2">
        <v>1754</v>
      </c>
      <c r="CE4558" s="2" t="s">
        <v>104</v>
      </c>
      <c r="CF4558" s="5">
        <v>42955</v>
      </c>
      <c r="CG4558" s="2"/>
      <c r="CH4558" s="2"/>
      <c r="CI4558" s="2">
        <v>1</v>
      </c>
      <c r="CJ4558" s="2">
        <v>1</v>
      </c>
      <c r="CK4558" s="2">
        <v>24</v>
      </c>
      <c r="CL4558" s="2" t="s">
        <v>86</v>
      </c>
      <c r="CM4558" s="2"/>
    </row>
    <row r="4559" spans="1:91">
      <c r="A4559" s="2" t="s">
        <v>71</v>
      </c>
      <c r="B4559" s="2" t="s">
        <v>72</v>
      </c>
      <c r="C4559" s="2" t="s">
        <v>73</v>
      </c>
      <c r="D4559" s="2"/>
      <c r="E4559" s="2" t="str">
        <f>"FES1162567053"</f>
        <v>FES1162567053</v>
      </c>
      <c r="F4559" s="3">
        <v>42951</v>
      </c>
      <c r="G4559" s="2">
        <v>201802</v>
      </c>
      <c r="H4559" s="2" t="s">
        <v>74</v>
      </c>
      <c r="I4559" s="2" t="s">
        <v>75</v>
      </c>
      <c r="J4559" s="2" t="s">
        <v>76</v>
      </c>
      <c r="K4559" s="2" t="s">
        <v>77</v>
      </c>
      <c r="L4559" s="2" t="s">
        <v>74</v>
      </c>
      <c r="M4559" s="2" t="s">
        <v>75</v>
      </c>
      <c r="N4559" s="2" t="s">
        <v>407</v>
      </c>
      <c r="O4559" s="2" t="s">
        <v>100</v>
      </c>
      <c r="P4559" s="2" t="str">
        <f>"2170583316                    "</f>
        <v xml:space="preserve">2170583316                    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3.13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0</v>
      </c>
      <c r="AT4559" s="2">
        <v>0</v>
      </c>
      <c r="AU4559" s="2">
        <v>0</v>
      </c>
      <c r="AV4559" s="2">
        <v>0</v>
      </c>
      <c r="AW4559" s="2">
        <v>0</v>
      </c>
      <c r="AX4559" s="2">
        <v>0</v>
      </c>
      <c r="AY4559" s="2">
        <v>0</v>
      </c>
      <c r="AZ4559" s="2">
        <v>0</v>
      </c>
      <c r="BA4559" s="2">
        <v>0</v>
      </c>
      <c r="BB4559" s="2">
        <v>0</v>
      </c>
      <c r="BC4559" s="2">
        <v>0</v>
      </c>
      <c r="BD4559" s="2">
        <v>0</v>
      </c>
      <c r="BE4559" s="2">
        <v>0</v>
      </c>
      <c r="BF4559" s="2">
        <v>0</v>
      </c>
      <c r="BG4559" s="2">
        <v>0</v>
      </c>
      <c r="BH4559" s="2">
        <v>1</v>
      </c>
      <c r="BI4559" s="2">
        <v>5.9</v>
      </c>
      <c r="BJ4559" s="2">
        <v>1.9</v>
      </c>
      <c r="BK4559" s="2">
        <v>6</v>
      </c>
      <c r="BL4559" s="2">
        <v>32.380000000000003</v>
      </c>
      <c r="BM4559" s="2">
        <v>4.53</v>
      </c>
      <c r="BN4559" s="2">
        <v>36.909999999999997</v>
      </c>
      <c r="BO4559" s="2">
        <v>36.909999999999997</v>
      </c>
      <c r="BP4559" s="2"/>
      <c r="BQ4559" s="2" t="s">
        <v>108</v>
      </c>
      <c r="BR4559" s="2" t="s">
        <v>84</v>
      </c>
      <c r="BS4559" s="3">
        <v>42954</v>
      </c>
      <c r="BT4559" s="4">
        <v>0.33333333333333331</v>
      </c>
      <c r="BU4559" s="2" t="s">
        <v>935</v>
      </c>
      <c r="BV4559" s="2" t="s">
        <v>95</v>
      </c>
      <c r="BW4559" s="2"/>
      <c r="BX4559" s="2"/>
      <c r="BY4559" s="2">
        <v>9321.98</v>
      </c>
      <c r="BZ4559" s="2"/>
      <c r="CA4559" s="2"/>
      <c r="CB4559" s="2"/>
      <c r="CC4559" s="2" t="s">
        <v>75</v>
      </c>
      <c r="CD4559" s="2">
        <v>1645</v>
      </c>
      <c r="CE4559" s="2" t="s">
        <v>948</v>
      </c>
      <c r="CF4559" s="5">
        <v>42955</v>
      </c>
      <c r="CG4559" s="2"/>
      <c r="CH4559" s="2"/>
      <c r="CI4559" s="2">
        <v>1</v>
      </c>
      <c r="CJ4559" s="2">
        <v>1</v>
      </c>
      <c r="CK4559" s="2">
        <v>22</v>
      </c>
      <c r="CL4559" s="2" t="s">
        <v>86</v>
      </c>
      <c r="CM4559" s="2"/>
    </row>
    <row r="4560" spans="1:91">
      <c r="A4560" s="2" t="s">
        <v>71</v>
      </c>
      <c r="B4560" s="2" t="s">
        <v>72</v>
      </c>
      <c r="C4560" s="2" t="s">
        <v>73</v>
      </c>
      <c r="D4560" s="2"/>
      <c r="E4560" s="2" t="str">
        <f>"FES1162567271"</f>
        <v>FES1162567271</v>
      </c>
      <c r="F4560" s="3">
        <v>42951</v>
      </c>
      <c r="G4560" s="2">
        <v>201802</v>
      </c>
      <c r="H4560" s="2" t="s">
        <v>74</v>
      </c>
      <c r="I4560" s="2" t="s">
        <v>75</v>
      </c>
      <c r="J4560" s="2" t="s">
        <v>76</v>
      </c>
      <c r="K4560" s="2" t="s">
        <v>77</v>
      </c>
      <c r="L4560" s="2" t="s">
        <v>353</v>
      </c>
      <c r="M4560" s="2" t="s">
        <v>354</v>
      </c>
      <c r="N4560" s="2" t="s">
        <v>4099</v>
      </c>
      <c r="O4560" s="2" t="s">
        <v>100</v>
      </c>
      <c r="P4560" s="2" t="str">
        <f>"2170583426                    "</f>
        <v xml:space="preserve">2170583426                    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2">
        <v>0</v>
      </c>
      <c r="Z4560" s="2">
        <v>0</v>
      </c>
      <c r="AA4560" s="2">
        <v>0</v>
      </c>
      <c r="AB4560" s="2">
        <v>0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6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0</v>
      </c>
      <c r="AT4560" s="2">
        <v>0</v>
      </c>
      <c r="AU4560" s="2">
        <v>0</v>
      </c>
      <c r="AV4560" s="2">
        <v>0</v>
      </c>
      <c r="AW4560" s="2">
        <v>0</v>
      </c>
      <c r="AX4560" s="2">
        <v>0</v>
      </c>
      <c r="AY4560" s="2">
        <v>0</v>
      </c>
      <c r="AZ4560" s="2">
        <v>0</v>
      </c>
      <c r="BA4560" s="2">
        <v>0</v>
      </c>
      <c r="BB4560" s="2">
        <v>0</v>
      </c>
      <c r="BC4560" s="2">
        <v>0</v>
      </c>
      <c r="BD4560" s="2">
        <v>0</v>
      </c>
      <c r="BE4560" s="2">
        <v>0</v>
      </c>
      <c r="BF4560" s="2">
        <v>0</v>
      </c>
      <c r="BG4560" s="2">
        <v>0</v>
      </c>
      <c r="BH4560" s="2">
        <v>1</v>
      </c>
      <c r="BI4560" s="2">
        <v>1.8</v>
      </c>
      <c r="BJ4560" s="2">
        <v>3</v>
      </c>
      <c r="BK4560" s="2">
        <v>3</v>
      </c>
      <c r="BL4560" s="2">
        <v>62.16</v>
      </c>
      <c r="BM4560" s="2">
        <v>8.6999999999999993</v>
      </c>
      <c r="BN4560" s="2">
        <v>70.86</v>
      </c>
      <c r="BO4560" s="2">
        <v>70.86</v>
      </c>
      <c r="BP4560" s="2"/>
      <c r="BQ4560" s="2" t="s">
        <v>365</v>
      </c>
      <c r="BR4560" s="2" t="s">
        <v>84</v>
      </c>
      <c r="BS4560" s="3">
        <v>42954</v>
      </c>
      <c r="BT4560" s="4">
        <v>0.4375</v>
      </c>
      <c r="BU4560" s="2" t="s">
        <v>1468</v>
      </c>
      <c r="BV4560" s="2" t="s">
        <v>95</v>
      </c>
      <c r="BW4560" s="2"/>
      <c r="BX4560" s="2"/>
      <c r="BY4560" s="2">
        <v>15075.03</v>
      </c>
      <c r="BZ4560" s="2"/>
      <c r="CA4560" s="2" t="s">
        <v>668</v>
      </c>
      <c r="CB4560" s="2"/>
      <c r="CC4560" s="2" t="s">
        <v>354</v>
      </c>
      <c r="CD4560" s="2">
        <v>3699</v>
      </c>
      <c r="CE4560" s="2" t="s">
        <v>948</v>
      </c>
      <c r="CF4560" s="5">
        <v>42955</v>
      </c>
      <c r="CG4560" s="2"/>
      <c r="CH4560" s="2"/>
      <c r="CI4560" s="2">
        <v>1</v>
      </c>
      <c r="CJ4560" s="2">
        <v>1</v>
      </c>
      <c r="CK4560" s="2">
        <v>21</v>
      </c>
      <c r="CL4560" s="2" t="s">
        <v>86</v>
      </c>
      <c r="CM4560" s="2"/>
    </row>
    <row r="4561" spans="1:91">
      <c r="A4561" s="2" t="s">
        <v>71</v>
      </c>
      <c r="B4561" s="2" t="s">
        <v>72</v>
      </c>
      <c r="C4561" s="2" t="s">
        <v>73</v>
      </c>
      <c r="D4561" s="2"/>
      <c r="E4561" s="2" t="str">
        <f>"FES1162567023"</f>
        <v>FES1162567023</v>
      </c>
      <c r="F4561" s="3">
        <v>42951</v>
      </c>
      <c r="G4561" s="2">
        <v>201802</v>
      </c>
      <c r="H4561" s="2" t="s">
        <v>74</v>
      </c>
      <c r="I4561" s="2" t="s">
        <v>75</v>
      </c>
      <c r="J4561" s="2" t="s">
        <v>76</v>
      </c>
      <c r="K4561" s="2" t="s">
        <v>77</v>
      </c>
      <c r="L4561" s="2" t="s">
        <v>244</v>
      </c>
      <c r="M4561" s="2" t="s">
        <v>245</v>
      </c>
      <c r="N4561" s="2" t="s">
        <v>246</v>
      </c>
      <c r="O4561" s="2" t="s">
        <v>100</v>
      </c>
      <c r="P4561" s="2" t="str">
        <f>"2170583275                    "</f>
        <v xml:space="preserve">2170583275                    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3.13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0</v>
      </c>
      <c r="AU4561" s="2">
        <v>0</v>
      </c>
      <c r="AV4561" s="2">
        <v>0</v>
      </c>
      <c r="AW4561" s="2">
        <v>0</v>
      </c>
      <c r="AX4561" s="2">
        <v>0</v>
      </c>
      <c r="AY4561" s="2">
        <v>0</v>
      </c>
      <c r="AZ4561" s="2">
        <v>0</v>
      </c>
      <c r="BA4561" s="2">
        <v>0</v>
      </c>
      <c r="BB4561" s="2">
        <v>0</v>
      </c>
      <c r="BC4561" s="2">
        <v>0</v>
      </c>
      <c r="BD4561" s="2">
        <v>0</v>
      </c>
      <c r="BE4561" s="2">
        <v>0</v>
      </c>
      <c r="BF4561" s="2">
        <v>0</v>
      </c>
      <c r="BG4561" s="2">
        <v>0</v>
      </c>
      <c r="BH4561" s="2">
        <v>1</v>
      </c>
      <c r="BI4561" s="2">
        <v>1</v>
      </c>
      <c r="BJ4561" s="2">
        <v>4.3</v>
      </c>
      <c r="BK4561" s="2">
        <v>5</v>
      </c>
      <c r="BL4561" s="2">
        <v>32.380000000000003</v>
      </c>
      <c r="BM4561" s="2">
        <v>4.53</v>
      </c>
      <c r="BN4561" s="2">
        <v>36.909999999999997</v>
      </c>
      <c r="BO4561" s="2">
        <v>36.909999999999997</v>
      </c>
      <c r="BP4561" s="2"/>
      <c r="BQ4561" s="2" t="s">
        <v>209</v>
      </c>
      <c r="BR4561" s="2" t="s">
        <v>84</v>
      </c>
      <c r="BS4561" s="3">
        <v>42954</v>
      </c>
      <c r="BT4561" s="4">
        <v>0.44791666666666669</v>
      </c>
      <c r="BU4561" s="2" t="s">
        <v>2623</v>
      </c>
      <c r="BV4561" s="2" t="s">
        <v>95</v>
      </c>
      <c r="BW4561" s="2"/>
      <c r="BX4561" s="2"/>
      <c r="BY4561" s="2">
        <v>21294</v>
      </c>
      <c r="BZ4561" s="2"/>
      <c r="CA4561" s="2"/>
      <c r="CB4561" s="2"/>
      <c r="CC4561" s="2" t="s">
        <v>245</v>
      </c>
      <c r="CD4561" s="2">
        <v>1459</v>
      </c>
      <c r="CE4561" s="2" t="s">
        <v>948</v>
      </c>
      <c r="CF4561" s="5">
        <v>42955</v>
      </c>
      <c r="CG4561" s="2"/>
      <c r="CH4561" s="2"/>
      <c r="CI4561" s="2">
        <v>1</v>
      </c>
      <c r="CJ4561" s="2">
        <v>1</v>
      </c>
      <c r="CK4561" s="2">
        <v>22</v>
      </c>
      <c r="CL4561" s="2" t="s">
        <v>86</v>
      </c>
      <c r="CM4561" s="2"/>
    </row>
    <row r="4562" spans="1:91">
      <c r="A4562" s="2" t="s">
        <v>71</v>
      </c>
      <c r="B4562" s="2" t="s">
        <v>72</v>
      </c>
      <c r="C4562" s="2" t="s">
        <v>73</v>
      </c>
      <c r="D4562" s="2"/>
      <c r="E4562" s="2" t="str">
        <f>"FES1162567026"</f>
        <v>FES1162567026</v>
      </c>
      <c r="F4562" s="3">
        <v>42951</v>
      </c>
      <c r="G4562" s="2">
        <v>201802</v>
      </c>
      <c r="H4562" s="2" t="s">
        <v>74</v>
      </c>
      <c r="I4562" s="2" t="s">
        <v>75</v>
      </c>
      <c r="J4562" s="2" t="s">
        <v>76</v>
      </c>
      <c r="K4562" s="2" t="s">
        <v>77</v>
      </c>
      <c r="L4562" s="2" t="s">
        <v>244</v>
      </c>
      <c r="M4562" s="2" t="s">
        <v>245</v>
      </c>
      <c r="N4562" s="2" t="s">
        <v>246</v>
      </c>
      <c r="O4562" s="2" t="s">
        <v>100</v>
      </c>
      <c r="P4562" s="2" t="str">
        <f>"217058279                     "</f>
        <v xml:space="preserve">217058279                     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3.13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0</v>
      </c>
      <c r="AU4562" s="2">
        <v>0</v>
      </c>
      <c r="AV4562" s="2">
        <v>0</v>
      </c>
      <c r="AW4562" s="2">
        <v>0</v>
      </c>
      <c r="AX4562" s="2">
        <v>0</v>
      </c>
      <c r="AY4562" s="2">
        <v>0</v>
      </c>
      <c r="AZ4562" s="2">
        <v>0</v>
      </c>
      <c r="BA4562" s="2">
        <v>0</v>
      </c>
      <c r="BB4562" s="2">
        <v>0</v>
      </c>
      <c r="BC4562" s="2">
        <v>0</v>
      </c>
      <c r="BD4562" s="2">
        <v>0</v>
      </c>
      <c r="BE4562" s="2">
        <v>0</v>
      </c>
      <c r="BF4562" s="2">
        <v>0</v>
      </c>
      <c r="BG4562" s="2">
        <v>0</v>
      </c>
      <c r="BH4562" s="2">
        <v>1</v>
      </c>
      <c r="BI4562" s="2">
        <v>1.2</v>
      </c>
      <c r="BJ4562" s="2">
        <v>2.1</v>
      </c>
      <c r="BK4562" s="2">
        <v>3</v>
      </c>
      <c r="BL4562" s="2">
        <v>32.380000000000003</v>
      </c>
      <c r="BM4562" s="2">
        <v>4.53</v>
      </c>
      <c r="BN4562" s="2">
        <v>36.909999999999997</v>
      </c>
      <c r="BO4562" s="2">
        <v>36.909999999999997</v>
      </c>
      <c r="BP4562" s="2"/>
      <c r="BQ4562" s="2" t="s">
        <v>209</v>
      </c>
      <c r="BR4562" s="2" t="s">
        <v>84</v>
      </c>
      <c r="BS4562" s="3">
        <v>42954</v>
      </c>
      <c r="BT4562" s="4">
        <v>0.44791666666666669</v>
      </c>
      <c r="BU4562" s="2" t="s">
        <v>2623</v>
      </c>
      <c r="BV4562" s="2" t="s">
        <v>95</v>
      </c>
      <c r="BW4562" s="2"/>
      <c r="BX4562" s="2"/>
      <c r="BY4562" s="2">
        <v>10301.200000000001</v>
      </c>
      <c r="BZ4562" s="2"/>
      <c r="CA4562" s="2"/>
      <c r="CB4562" s="2"/>
      <c r="CC4562" s="2" t="s">
        <v>245</v>
      </c>
      <c r="CD4562" s="2">
        <v>1459</v>
      </c>
      <c r="CE4562" s="2" t="s">
        <v>948</v>
      </c>
      <c r="CF4562" s="5">
        <v>42955</v>
      </c>
      <c r="CG4562" s="2"/>
      <c r="CH4562" s="2"/>
      <c r="CI4562" s="2">
        <v>1</v>
      </c>
      <c r="CJ4562" s="2">
        <v>1</v>
      </c>
      <c r="CK4562" s="2">
        <v>22</v>
      </c>
      <c r="CL4562" s="2" t="s">
        <v>86</v>
      </c>
      <c r="CM4562" s="2"/>
    </row>
    <row r="4563" spans="1:91">
      <c r="A4563" s="2" t="s">
        <v>71</v>
      </c>
      <c r="B4563" s="2" t="s">
        <v>72</v>
      </c>
      <c r="C4563" s="2" t="s">
        <v>73</v>
      </c>
      <c r="D4563" s="2"/>
      <c r="E4563" s="2" t="str">
        <f>"FES1162566981"</f>
        <v>FES1162566981</v>
      </c>
      <c r="F4563" s="3">
        <v>42951</v>
      </c>
      <c r="G4563" s="2">
        <v>201802</v>
      </c>
      <c r="H4563" s="2" t="s">
        <v>74</v>
      </c>
      <c r="I4563" s="2" t="s">
        <v>75</v>
      </c>
      <c r="J4563" s="2" t="s">
        <v>76</v>
      </c>
      <c r="K4563" s="2" t="s">
        <v>77</v>
      </c>
      <c r="L4563" s="2" t="s">
        <v>268</v>
      </c>
      <c r="M4563" s="2" t="s">
        <v>269</v>
      </c>
      <c r="N4563" s="2" t="s">
        <v>368</v>
      </c>
      <c r="O4563" s="2" t="s">
        <v>100</v>
      </c>
      <c r="P4563" s="2" t="str">
        <f>"2170583236                    "</f>
        <v xml:space="preserve">2170583236                    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2">
        <v>0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4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0</v>
      </c>
      <c r="AT4563" s="2">
        <v>0</v>
      </c>
      <c r="AU4563" s="2">
        <v>0</v>
      </c>
      <c r="AV4563" s="2">
        <v>0</v>
      </c>
      <c r="AW4563" s="2">
        <v>0</v>
      </c>
      <c r="AX4563" s="2">
        <v>0</v>
      </c>
      <c r="AY4563" s="2">
        <v>0</v>
      </c>
      <c r="AZ4563" s="2">
        <v>0</v>
      </c>
      <c r="BA4563" s="2">
        <v>0</v>
      </c>
      <c r="BB4563" s="2">
        <v>0</v>
      </c>
      <c r="BC4563" s="2">
        <v>0</v>
      </c>
      <c r="BD4563" s="2">
        <v>0</v>
      </c>
      <c r="BE4563" s="2">
        <v>0</v>
      </c>
      <c r="BF4563" s="2">
        <v>0</v>
      </c>
      <c r="BG4563" s="2">
        <v>0</v>
      </c>
      <c r="BH4563" s="2">
        <v>1</v>
      </c>
      <c r="BI4563" s="2">
        <v>1.8</v>
      </c>
      <c r="BJ4563" s="2">
        <v>0.8</v>
      </c>
      <c r="BK4563" s="2">
        <v>2</v>
      </c>
      <c r="BL4563" s="2">
        <v>41.44</v>
      </c>
      <c r="BM4563" s="2">
        <v>5.8</v>
      </c>
      <c r="BN4563" s="2">
        <v>47.24</v>
      </c>
      <c r="BO4563" s="2">
        <v>47.24</v>
      </c>
      <c r="BP4563" s="2"/>
      <c r="BQ4563" s="2" t="s">
        <v>108</v>
      </c>
      <c r="BR4563" s="2" t="s">
        <v>84</v>
      </c>
      <c r="BS4563" s="3">
        <v>42954</v>
      </c>
      <c r="BT4563" s="4">
        <v>0.3527777777777778</v>
      </c>
      <c r="BU4563" s="2" t="s">
        <v>369</v>
      </c>
      <c r="BV4563" s="2" t="s">
        <v>95</v>
      </c>
      <c r="BW4563" s="2"/>
      <c r="BX4563" s="2"/>
      <c r="BY4563" s="2">
        <v>4068.37</v>
      </c>
      <c r="BZ4563" s="2"/>
      <c r="CA4563" s="2"/>
      <c r="CB4563" s="2"/>
      <c r="CC4563" s="2" t="s">
        <v>269</v>
      </c>
      <c r="CD4563" s="2">
        <v>157</v>
      </c>
      <c r="CE4563" s="2" t="s">
        <v>948</v>
      </c>
      <c r="CF4563" s="5">
        <v>42957</v>
      </c>
      <c r="CG4563" s="2"/>
      <c r="CH4563" s="2"/>
      <c r="CI4563" s="2">
        <v>1</v>
      </c>
      <c r="CJ4563" s="2">
        <v>1</v>
      </c>
      <c r="CK4563" s="2">
        <v>21</v>
      </c>
      <c r="CL4563" s="2" t="s">
        <v>86</v>
      </c>
      <c r="CM4563" s="2"/>
    </row>
    <row r="4564" spans="1:91">
      <c r="A4564" s="2" t="s">
        <v>71</v>
      </c>
      <c r="B4564" s="2" t="s">
        <v>72</v>
      </c>
      <c r="C4564" s="2" t="s">
        <v>73</v>
      </c>
      <c r="D4564" s="2"/>
      <c r="E4564" s="2" t="str">
        <f>"FES1162566956"</f>
        <v>FES1162566956</v>
      </c>
      <c r="F4564" s="3">
        <v>42951</v>
      </c>
      <c r="G4564" s="2">
        <v>201802</v>
      </c>
      <c r="H4564" s="2" t="s">
        <v>74</v>
      </c>
      <c r="I4564" s="2" t="s">
        <v>75</v>
      </c>
      <c r="J4564" s="2" t="s">
        <v>76</v>
      </c>
      <c r="K4564" s="2" t="s">
        <v>77</v>
      </c>
      <c r="L4564" s="2" t="s">
        <v>237</v>
      </c>
      <c r="M4564" s="2" t="s">
        <v>238</v>
      </c>
      <c r="N4564" s="2" t="s">
        <v>399</v>
      </c>
      <c r="O4564" s="2" t="s">
        <v>100</v>
      </c>
      <c r="P4564" s="2" t="str">
        <f>"2170583205                    "</f>
        <v xml:space="preserve">2170583205                    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4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0</v>
      </c>
      <c r="AT4564" s="2">
        <v>0</v>
      </c>
      <c r="AU4564" s="2">
        <v>0</v>
      </c>
      <c r="AV4564" s="2">
        <v>0</v>
      </c>
      <c r="AW4564" s="2">
        <v>0</v>
      </c>
      <c r="AX4564" s="2">
        <v>0</v>
      </c>
      <c r="AY4564" s="2">
        <v>0</v>
      </c>
      <c r="AZ4564" s="2">
        <v>0</v>
      </c>
      <c r="BA4564" s="2">
        <v>0</v>
      </c>
      <c r="BB4564" s="2">
        <v>0</v>
      </c>
      <c r="BC4564" s="2">
        <v>0</v>
      </c>
      <c r="BD4564" s="2">
        <v>0</v>
      </c>
      <c r="BE4564" s="2">
        <v>0</v>
      </c>
      <c r="BF4564" s="2">
        <v>0</v>
      </c>
      <c r="BG4564" s="2">
        <v>0</v>
      </c>
      <c r="BH4564" s="2">
        <v>1</v>
      </c>
      <c r="BI4564" s="2">
        <v>1</v>
      </c>
      <c r="BJ4564" s="2">
        <v>0.2</v>
      </c>
      <c r="BK4564" s="2">
        <v>1</v>
      </c>
      <c r="BL4564" s="2">
        <v>41.44</v>
      </c>
      <c r="BM4564" s="2">
        <v>5.8</v>
      </c>
      <c r="BN4564" s="2">
        <v>47.24</v>
      </c>
      <c r="BO4564" s="2">
        <v>47.24</v>
      </c>
      <c r="BP4564" s="2"/>
      <c r="BQ4564" s="2" t="s">
        <v>365</v>
      </c>
      <c r="BR4564" s="2" t="s">
        <v>84</v>
      </c>
      <c r="BS4564" s="3">
        <v>42954</v>
      </c>
      <c r="BT4564" s="4">
        <v>0.42222222222222222</v>
      </c>
      <c r="BU4564" s="2" t="s">
        <v>4100</v>
      </c>
      <c r="BV4564" s="2" t="s">
        <v>95</v>
      </c>
      <c r="BW4564" s="2"/>
      <c r="BX4564" s="2"/>
      <c r="BY4564" s="2">
        <v>1200</v>
      </c>
      <c r="BZ4564" s="2"/>
      <c r="CA4564" s="2" t="s">
        <v>2641</v>
      </c>
      <c r="CB4564" s="2"/>
      <c r="CC4564" s="2" t="s">
        <v>238</v>
      </c>
      <c r="CD4564" s="2">
        <v>3610</v>
      </c>
      <c r="CE4564" s="2" t="s">
        <v>104</v>
      </c>
      <c r="CF4564" s="5">
        <v>42955</v>
      </c>
      <c r="CG4564" s="2"/>
      <c r="CH4564" s="2"/>
      <c r="CI4564" s="2">
        <v>1</v>
      </c>
      <c r="CJ4564" s="2">
        <v>1</v>
      </c>
      <c r="CK4564" s="2">
        <v>21</v>
      </c>
      <c r="CL4564" s="2" t="s">
        <v>86</v>
      </c>
      <c r="CM4564" s="2"/>
    </row>
    <row r="4565" spans="1:91">
      <c r="A4565" s="2" t="s">
        <v>71</v>
      </c>
      <c r="B4565" s="2" t="s">
        <v>72</v>
      </c>
      <c r="C4565" s="2" t="s">
        <v>73</v>
      </c>
      <c r="D4565" s="2"/>
      <c r="E4565" s="2" t="str">
        <f>"FES1162567077"</f>
        <v>FES1162567077</v>
      </c>
      <c r="F4565" s="3">
        <v>42951</v>
      </c>
      <c r="G4565" s="2">
        <v>201802</v>
      </c>
      <c r="H4565" s="2" t="s">
        <v>74</v>
      </c>
      <c r="I4565" s="2" t="s">
        <v>75</v>
      </c>
      <c r="J4565" s="2" t="s">
        <v>76</v>
      </c>
      <c r="K4565" s="2" t="s">
        <v>77</v>
      </c>
      <c r="L4565" s="2" t="s">
        <v>539</v>
      </c>
      <c r="M4565" s="2" t="s">
        <v>540</v>
      </c>
      <c r="N4565" s="2" t="s">
        <v>541</v>
      </c>
      <c r="O4565" s="2" t="s">
        <v>100</v>
      </c>
      <c r="P4565" s="2" t="str">
        <f>"2170577990                    "</f>
        <v xml:space="preserve">2170577990                    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  <c r="AM4565" s="2">
        <v>3.13</v>
      </c>
      <c r="AN4565" s="2">
        <v>0</v>
      </c>
      <c r="AO4565" s="2">
        <v>0</v>
      </c>
      <c r="AP4565" s="2">
        <v>0</v>
      </c>
      <c r="AQ4565" s="2">
        <v>0</v>
      </c>
      <c r="AR4565" s="2">
        <v>0</v>
      </c>
      <c r="AS4565" s="2">
        <v>0</v>
      </c>
      <c r="AT4565" s="2">
        <v>0</v>
      </c>
      <c r="AU4565" s="2">
        <v>0</v>
      </c>
      <c r="AV4565" s="2">
        <v>0</v>
      </c>
      <c r="AW4565" s="2">
        <v>0</v>
      </c>
      <c r="AX4565" s="2">
        <v>0</v>
      </c>
      <c r="AY4565" s="2">
        <v>0</v>
      </c>
      <c r="AZ4565" s="2">
        <v>0</v>
      </c>
      <c r="BA4565" s="2">
        <v>0</v>
      </c>
      <c r="BB4565" s="2">
        <v>0</v>
      </c>
      <c r="BC4565" s="2">
        <v>0</v>
      </c>
      <c r="BD4565" s="2">
        <v>0</v>
      </c>
      <c r="BE4565" s="2">
        <v>0</v>
      </c>
      <c r="BF4565" s="2">
        <v>0</v>
      </c>
      <c r="BG4565" s="2">
        <v>0</v>
      </c>
      <c r="BH4565" s="2">
        <v>1</v>
      </c>
      <c r="BI4565" s="2">
        <v>2.7</v>
      </c>
      <c r="BJ4565" s="2">
        <v>4</v>
      </c>
      <c r="BK4565" s="2">
        <v>4</v>
      </c>
      <c r="BL4565" s="2">
        <v>32.380000000000003</v>
      </c>
      <c r="BM4565" s="2">
        <v>4.53</v>
      </c>
      <c r="BN4565" s="2">
        <v>36.909999999999997</v>
      </c>
      <c r="BO4565" s="2">
        <v>36.909999999999997</v>
      </c>
      <c r="BP4565" s="2"/>
      <c r="BQ4565" s="2" t="s">
        <v>542</v>
      </c>
      <c r="BR4565" s="2" t="s">
        <v>84</v>
      </c>
      <c r="BS4565" s="3">
        <v>42954</v>
      </c>
      <c r="BT4565" s="4">
        <v>0.46875</v>
      </c>
      <c r="BU4565" s="2" t="s">
        <v>2667</v>
      </c>
      <c r="BV4565" s="2" t="s">
        <v>86</v>
      </c>
      <c r="BW4565" s="2" t="s">
        <v>110</v>
      </c>
      <c r="BX4565" s="2" t="s">
        <v>498</v>
      </c>
      <c r="BY4565" s="2">
        <v>20232.189999999999</v>
      </c>
      <c r="BZ4565" s="2"/>
      <c r="CA4565" s="2"/>
      <c r="CB4565" s="2"/>
      <c r="CC4565" s="2" t="s">
        <v>540</v>
      </c>
      <c r="CD4565" s="2">
        <v>2162</v>
      </c>
      <c r="CE4565" s="2" t="s">
        <v>89</v>
      </c>
      <c r="CF4565" s="5">
        <v>42955</v>
      </c>
      <c r="CG4565" s="2"/>
      <c r="CH4565" s="2"/>
      <c r="CI4565" s="2">
        <v>1</v>
      </c>
      <c r="CJ4565" s="2">
        <v>1</v>
      </c>
      <c r="CK4565" s="2">
        <v>22</v>
      </c>
      <c r="CL4565" s="2" t="s">
        <v>86</v>
      </c>
      <c r="CM4565" s="2"/>
    </row>
    <row r="4566" spans="1:91">
      <c r="A4566" s="2" t="s">
        <v>71</v>
      </c>
      <c r="B4566" s="2" t="s">
        <v>72</v>
      </c>
      <c r="C4566" s="2" t="s">
        <v>73</v>
      </c>
      <c r="D4566" s="2"/>
      <c r="E4566" s="2" t="str">
        <f>"FES1162567344"</f>
        <v>FES1162567344</v>
      </c>
      <c r="F4566" s="3">
        <v>42951</v>
      </c>
      <c r="G4566" s="2">
        <v>201802</v>
      </c>
      <c r="H4566" s="2" t="s">
        <v>74</v>
      </c>
      <c r="I4566" s="2" t="s">
        <v>75</v>
      </c>
      <c r="J4566" s="2" t="s">
        <v>76</v>
      </c>
      <c r="K4566" s="2" t="s">
        <v>77</v>
      </c>
      <c r="L4566" s="2" t="s">
        <v>105</v>
      </c>
      <c r="M4566" s="2" t="s">
        <v>106</v>
      </c>
      <c r="N4566" s="2" t="s">
        <v>107</v>
      </c>
      <c r="O4566" s="2" t="s">
        <v>100</v>
      </c>
      <c r="P4566" s="2" t="str">
        <f>"2170583339                    "</f>
        <v xml:space="preserve">2170583339                    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19.010000000000002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2">
        <v>0</v>
      </c>
      <c r="AT4566" s="2">
        <v>0</v>
      </c>
      <c r="AU4566" s="2">
        <v>0</v>
      </c>
      <c r="AV4566" s="2">
        <v>0</v>
      </c>
      <c r="AW4566" s="2">
        <v>0</v>
      </c>
      <c r="AX4566" s="2">
        <v>0</v>
      </c>
      <c r="AY4566" s="2">
        <v>0</v>
      </c>
      <c r="AZ4566" s="2">
        <v>0</v>
      </c>
      <c r="BA4566" s="2">
        <v>0</v>
      </c>
      <c r="BB4566" s="2">
        <v>0</v>
      </c>
      <c r="BC4566" s="2">
        <v>0</v>
      </c>
      <c r="BD4566" s="2">
        <v>0</v>
      </c>
      <c r="BE4566" s="2">
        <v>0</v>
      </c>
      <c r="BF4566" s="2">
        <v>0</v>
      </c>
      <c r="BG4566" s="2">
        <v>0</v>
      </c>
      <c r="BH4566" s="2">
        <v>1</v>
      </c>
      <c r="BI4566" s="2">
        <v>9.1999999999999993</v>
      </c>
      <c r="BJ4566" s="2">
        <v>9</v>
      </c>
      <c r="BK4566" s="2">
        <v>9.5</v>
      </c>
      <c r="BL4566" s="2">
        <v>196.85</v>
      </c>
      <c r="BM4566" s="2">
        <v>27.56</v>
      </c>
      <c r="BN4566" s="2">
        <v>224.41</v>
      </c>
      <c r="BO4566" s="2">
        <v>224.41</v>
      </c>
      <c r="BP4566" s="2"/>
      <c r="BQ4566" s="2" t="s">
        <v>108</v>
      </c>
      <c r="BR4566" s="2" t="s">
        <v>84</v>
      </c>
      <c r="BS4566" s="3">
        <v>42954</v>
      </c>
      <c r="BT4566" s="4">
        <v>0.37916666666666665</v>
      </c>
      <c r="BU4566" s="2" t="s">
        <v>4101</v>
      </c>
      <c r="BV4566" s="2" t="s">
        <v>95</v>
      </c>
      <c r="BW4566" s="2"/>
      <c r="BX4566" s="2"/>
      <c r="BY4566" s="2">
        <v>45011.9</v>
      </c>
      <c r="BZ4566" s="2"/>
      <c r="CA4566" s="2" t="s">
        <v>112</v>
      </c>
      <c r="CB4566" s="2"/>
      <c r="CC4566" s="2" t="s">
        <v>106</v>
      </c>
      <c r="CD4566" s="2">
        <v>7405</v>
      </c>
      <c r="CE4566" s="2" t="s">
        <v>89</v>
      </c>
      <c r="CF4566" s="5">
        <v>42955</v>
      </c>
      <c r="CG4566" s="2"/>
      <c r="CH4566" s="2"/>
      <c r="CI4566" s="2">
        <v>1</v>
      </c>
      <c r="CJ4566" s="2">
        <v>1</v>
      </c>
      <c r="CK4566" s="2">
        <v>21</v>
      </c>
      <c r="CL4566" s="2" t="s">
        <v>86</v>
      </c>
      <c r="CM4566" s="2"/>
    </row>
    <row r="4567" spans="1:91">
      <c r="A4567" s="2" t="s">
        <v>71</v>
      </c>
      <c r="B4567" s="2" t="s">
        <v>72</v>
      </c>
      <c r="C4567" s="2" t="s">
        <v>73</v>
      </c>
      <c r="D4567" s="2"/>
      <c r="E4567" s="2" t="str">
        <f>"FES1162567351"</f>
        <v>FES1162567351</v>
      </c>
      <c r="F4567" s="3">
        <v>42951</v>
      </c>
      <c r="G4567" s="2">
        <v>201802</v>
      </c>
      <c r="H4567" s="2" t="s">
        <v>74</v>
      </c>
      <c r="I4567" s="2" t="s">
        <v>75</v>
      </c>
      <c r="J4567" s="2" t="s">
        <v>76</v>
      </c>
      <c r="K4567" s="2" t="s">
        <v>77</v>
      </c>
      <c r="L4567" s="2" t="s">
        <v>97</v>
      </c>
      <c r="M4567" s="2" t="s">
        <v>98</v>
      </c>
      <c r="N4567" s="2" t="s">
        <v>248</v>
      </c>
      <c r="O4567" s="2" t="s">
        <v>100</v>
      </c>
      <c r="P4567" s="2" t="str">
        <f>"2170583511                    "</f>
        <v xml:space="preserve">2170583511                    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21.01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2">
        <v>0</v>
      </c>
      <c r="AT4567" s="2">
        <v>0</v>
      </c>
      <c r="AU4567" s="2">
        <v>0</v>
      </c>
      <c r="AV4567" s="2">
        <v>0</v>
      </c>
      <c r="AW4567" s="2">
        <v>0</v>
      </c>
      <c r="AX4567" s="2">
        <v>0</v>
      </c>
      <c r="AY4567" s="2">
        <v>0</v>
      </c>
      <c r="AZ4567" s="2">
        <v>0</v>
      </c>
      <c r="BA4567" s="2">
        <v>0</v>
      </c>
      <c r="BB4567" s="2">
        <v>0</v>
      </c>
      <c r="BC4567" s="2">
        <v>0</v>
      </c>
      <c r="BD4567" s="2">
        <v>0</v>
      </c>
      <c r="BE4567" s="2">
        <v>0</v>
      </c>
      <c r="BF4567" s="2">
        <v>0</v>
      </c>
      <c r="BG4567" s="2">
        <v>0</v>
      </c>
      <c r="BH4567" s="2">
        <v>1</v>
      </c>
      <c r="BI4567" s="2">
        <v>10.3</v>
      </c>
      <c r="BJ4567" s="2">
        <v>2</v>
      </c>
      <c r="BK4567" s="2">
        <v>10.5</v>
      </c>
      <c r="BL4567" s="2">
        <v>217.57</v>
      </c>
      <c r="BM4567" s="2">
        <v>30.46</v>
      </c>
      <c r="BN4567" s="2">
        <v>248.03</v>
      </c>
      <c r="BO4567" s="2">
        <v>248.03</v>
      </c>
      <c r="BP4567" s="2"/>
      <c r="BQ4567" s="2" t="s">
        <v>83</v>
      </c>
      <c r="BR4567" s="2" t="s">
        <v>84</v>
      </c>
      <c r="BS4567" s="3">
        <v>42954</v>
      </c>
      <c r="BT4567" s="4">
        <v>0.37847222222222227</v>
      </c>
      <c r="BU4567" s="2" t="s">
        <v>390</v>
      </c>
      <c r="BV4567" s="2" t="s">
        <v>95</v>
      </c>
      <c r="BW4567" s="2"/>
      <c r="BX4567" s="2"/>
      <c r="BY4567" s="2">
        <v>9824.52</v>
      </c>
      <c r="BZ4567" s="2"/>
      <c r="CA4567" s="2" t="s">
        <v>294</v>
      </c>
      <c r="CB4567" s="2"/>
      <c r="CC4567" s="2" t="s">
        <v>98</v>
      </c>
      <c r="CD4567" s="2">
        <v>6001</v>
      </c>
      <c r="CE4567" s="2" t="s">
        <v>89</v>
      </c>
      <c r="CF4567" s="5">
        <v>42954</v>
      </c>
      <c r="CG4567" s="2"/>
      <c r="CH4567" s="2"/>
      <c r="CI4567" s="2">
        <v>1</v>
      </c>
      <c r="CJ4567" s="2">
        <v>1</v>
      </c>
      <c r="CK4567" s="2">
        <v>21</v>
      </c>
      <c r="CL4567" s="2" t="s">
        <v>86</v>
      </c>
      <c r="CM4567" s="2"/>
    </row>
    <row r="4568" spans="1:91">
      <c r="A4568" s="2" t="s">
        <v>71</v>
      </c>
      <c r="B4568" s="2" t="s">
        <v>72</v>
      </c>
      <c r="C4568" s="2" t="s">
        <v>73</v>
      </c>
      <c r="D4568" s="2"/>
      <c r="E4568" s="2" t="str">
        <f>"FES1162567352"</f>
        <v>FES1162567352</v>
      </c>
      <c r="F4568" s="3">
        <v>42951</v>
      </c>
      <c r="G4568" s="2">
        <v>201802</v>
      </c>
      <c r="H4568" s="2" t="s">
        <v>74</v>
      </c>
      <c r="I4568" s="2" t="s">
        <v>75</v>
      </c>
      <c r="J4568" s="2" t="s">
        <v>76</v>
      </c>
      <c r="K4568" s="2" t="s">
        <v>77</v>
      </c>
      <c r="L4568" s="2" t="s">
        <v>362</v>
      </c>
      <c r="M4568" s="2" t="s">
        <v>363</v>
      </c>
      <c r="N4568" s="2" t="s">
        <v>2600</v>
      </c>
      <c r="O4568" s="2" t="s">
        <v>100</v>
      </c>
      <c r="P4568" s="2" t="str">
        <f>"2170583512                    "</f>
        <v xml:space="preserve">2170583512                    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4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0</v>
      </c>
      <c r="AU4568" s="2">
        <v>0</v>
      </c>
      <c r="AV4568" s="2">
        <v>0</v>
      </c>
      <c r="AW4568" s="2">
        <v>0</v>
      </c>
      <c r="AX4568" s="2">
        <v>0</v>
      </c>
      <c r="AY4568" s="2">
        <v>0</v>
      </c>
      <c r="AZ4568" s="2">
        <v>0</v>
      </c>
      <c r="BA4568" s="2">
        <v>0</v>
      </c>
      <c r="BB4568" s="2">
        <v>0</v>
      </c>
      <c r="BC4568" s="2">
        <v>0</v>
      </c>
      <c r="BD4568" s="2">
        <v>0</v>
      </c>
      <c r="BE4568" s="2">
        <v>234</v>
      </c>
      <c r="BF4568" s="2">
        <v>0</v>
      </c>
      <c r="BG4568" s="2">
        <v>0</v>
      </c>
      <c r="BH4568" s="2">
        <v>1</v>
      </c>
      <c r="BI4568" s="2">
        <v>1</v>
      </c>
      <c r="BJ4568" s="2">
        <v>0.2</v>
      </c>
      <c r="BK4568" s="2">
        <v>1</v>
      </c>
      <c r="BL4568" s="2">
        <v>275.44</v>
      </c>
      <c r="BM4568" s="2">
        <v>38.56</v>
      </c>
      <c r="BN4568" s="2">
        <v>314</v>
      </c>
      <c r="BO4568" s="2">
        <v>314</v>
      </c>
      <c r="BP4568" s="2" t="s">
        <v>910</v>
      </c>
      <c r="BQ4568" s="2" t="s">
        <v>4102</v>
      </c>
      <c r="BR4568" s="2" t="s">
        <v>84</v>
      </c>
      <c r="BS4568" s="3">
        <v>42952</v>
      </c>
      <c r="BT4568" s="4">
        <v>0.33333333333333331</v>
      </c>
      <c r="BU4568" s="2" t="s">
        <v>4103</v>
      </c>
      <c r="BV4568" s="2" t="s">
        <v>95</v>
      </c>
      <c r="BW4568" s="2"/>
      <c r="BX4568" s="2"/>
      <c r="BY4568" s="2">
        <v>1200</v>
      </c>
      <c r="BZ4568" s="2" t="s">
        <v>913</v>
      </c>
      <c r="CA4568" s="2" t="s">
        <v>2961</v>
      </c>
      <c r="CB4568" s="2"/>
      <c r="CC4568" s="2" t="s">
        <v>363</v>
      </c>
      <c r="CD4568" s="2">
        <v>3201</v>
      </c>
      <c r="CE4568" s="2" t="s">
        <v>104</v>
      </c>
      <c r="CF4568" s="5">
        <v>42955</v>
      </c>
      <c r="CG4568" s="2"/>
      <c r="CH4568" s="2"/>
      <c r="CI4568" s="2">
        <v>1</v>
      </c>
      <c r="CJ4568" s="2">
        <v>1</v>
      </c>
      <c r="CK4568" s="2">
        <v>21</v>
      </c>
      <c r="CL4568" s="2" t="s">
        <v>86</v>
      </c>
      <c r="CM4568" s="2"/>
    </row>
    <row r="4569" spans="1:91">
      <c r="A4569" s="2" t="s">
        <v>71</v>
      </c>
      <c r="B4569" s="2" t="s">
        <v>72</v>
      </c>
      <c r="C4569" s="2" t="s">
        <v>73</v>
      </c>
      <c r="D4569" s="2"/>
      <c r="E4569" s="2" t="str">
        <f>"FES116266661"</f>
        <v>FES116266661</v>
      </c>
      <c r="F4569" s="3">
        <v>42951</v>
      </c>
      <c r="G4569" s="2">
        <v>201802</v>
      </c>
      <c r="H4569" s="2" t="s">
        <v>74</v>
      </c>
      <c r="I4569" s="2" t="s">
        <v>75</v>
      </c>
      <c r="J4569" s="2" t="s">
        <v>76</v>
      </c>
      <c r="K4569" s="2" t="s">
        <v>77</v>
      </c>
      <c r="L4569" s="2" t="s">
        <v>723</v>
      </c>
      <c r="M4569" s="2" t="s">
        <v>724</v>
      </c>
      <c r="N4569" s="2" t="s">
        <v>1350</v>
      </c>
      <c r="O4569" s="2" t="s">
        <v>100</v>
      </c>
      <c r="P4569" s="2" t="str">
        <f>"2170579541                    "</f>
        <v xml:space="preserve">2170579541                    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5.63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2">
        <v>0</v>
      </c>
      <c r="AT4569" s="2">
        <v>0</v>
      </c>
      <c r="AU4569" s="2">
        <v>0</v>
      </c>
      <c r="AV4569" s="2">
        <v>0</v>
      </c>
      <c r="AW4569" s="2">
        <v>0</v>
      </c>
      <c r="AX4569" s="2">
        <v>0</v>
      </c>
      <c r="AY4569" s="2">
        <v>0</v>
      </c>
      <c r="AZ4569" s="2">
        <v>0</v>
      </c>
      <c r="BA4569" s="2">
        <v>0</v>
      </c>
      <c r="BB4569" s="2">
        <v>0</v>
      </c>
      <c r="BC4569" s="2">
        <v>0</v>
      </c>
      <c r="BD4569" s="2">
        <v>0</v>
      </c>
      <c r="BE4569" s="2">
        <v>0</v>
      </c>
      <c r="BF4569" s="2">
        <v>0</v>
      </c>
      <c r="BG4569" s="2">
        <v>0</v>
      </c>
      <c r="BH4569" s="2">
        <v>1</v>
      </c>
      <c r="BI4569" s="2">
        <v>1</v>
      </c>
      <c r="BJ4569" s="2">
        <v>0.2</v>
      </c>
      <c r="BK4569" s="2">
        <v>1</v>
      </c>
      <c r="BL4569" s="2">
        <v>58.28</v>
      </c>
      <c r="BM4569" s="2">
        <v>8.16</v>
      </c>
      <c r="BN4569" s="2">
        <v>66.44</v>
      </c>
      <c r="BO4569" s="2">
        <v>66.44</v>
      </c>
      <c r="BP4569" s="2"/>
      <c r="BQ4569" s="2" t="s">
        <v>83</v>
      </c>
      <c r="BR4569" s="2" t="s">
        <v>84</v>
      </c>
      <c r="BS4569" s="3">
        <v>42954</v>
      </c>
      <c r="BT4569" s="4">
        <v>0.41666666666666669</v>
      </c>
      <c r="BU4569" s="2" t="s">
        <v>3206</v>
      </c>
      <c r="BV4569" s="2" t="s">
        <v>95</v>
      </c>
      <c r="BW4569" s="2"/>
      <c r="BX4569" s="2"/>
      <c r="BY4569" s="2">
        <v>1200</v>
      </c>
      <c r="BZ4569" s="2"/>
      <c r="CA4569" s="2"/>
      <c r="CB4569" s="2"/>
      <c r="CC4569" s="2" t="s">
        <v>724</v>
      </c>
      <c r="CD4569" s="2">
        <v>1740</v>
      </c>
      <c r="CE4569" s="2" t="s">
        <v>104</v>
      </c>
      <c r="CF4569" s="2"/>
      <c r="CG4569" s="2"/>
      <c r="CH4569" s="2"/>
      <c r="CI4569" s="2">
        <v>1</v>
      </c>
      <c r="CJ4569" s="2">
        <v>1</v>
      </c>
      <c r="CK4569" s="2">
        <v>24</v>
      </c>
      <c r="CL4569" s="2" t="s">
        <v>86</v>
      </c>
      <c r="CM4569" s="2"/>
    </row>
    <row r="4570" spans="1:91">
      <c r="A4570" s="2" t="s">
        <v>71</v>
      </c>
      <c r="B4570" s="2" t="s">
        <v>72</v>
      </c>
      <c r="C4570" s="2" t="s">
        <v>73</v>
      </c>
      <c r="D4570" s="2"/>
      <c r="E4570" s="2" t="str">
        <f>"FES1162567329"</f>
        <v>FES1162567329</v>
      </c>
      <c r="F4570" s="3">
        <v>42951</v>
      </c>
      <c r="G4570" s="2">
        <v>201802</v>
      </c>
      <c r="H4570" s="2" t="s">
        <v>74</v>
      </c>
      <c r="I4570" s="2" t="s">
        <v>75</v>
      </c>
      <c r="J4570" s="2" t="s">
        <v>76</v>
      </c>
      <c r="K4570" s="2" t="s">
        <v>77</v>
      </c>
      <c r="L4570" s="2" t="s">
        <v>362</v>
      </c>
      <c r="M4570" s="2" t="s">
        <v>363</v>
      </c>
      <c r="N4570" s="2" t="s">
        <v>364</v>
      </c>
      <c r="O4570" s="2" t="s">
        <v>100</v>
      </c>
      <c r="P4570" s="2" t="str">
        <f>"2170581412                    "</f>
        <v xml:space="preserve">2170581412                    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0</v>
      </c>
      <c r="Y4570" s="2">
        <v>0</v>
      </c>
      <c r="Z4570" s="2">
        <v>0</v>
      </c>
      <c r="AA4570" s="2">
        <v>0</v>
      </c>
      <c r="AB4570" s="2">
        <v>0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4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2">
        <v>0</v>
      </c>
      <c r="AT4570" s="2">
        <v>0</v>
      </c>
      <c r="AU4570" s="2">
        <v>0</v>
      </c>
      <c r="AV4570" s="2">
        <v>0</v>
      </c>
      <c r="AW4570" s="2">
        <v>0</v>
      </c>
      <c r="AX4570" s="2">
        <v>0</v>
      </c>
      <c r="AY4570" s="2">
        <v>0</v>
      </c>
      <c r="AZ4570" s="2">
        <v>0</v>
      </c>
      <c r="BA4570" s="2">
        <v>0</v>
      </c>
      <c r="BB4570" s="2">
        <v>0</v>
      </c>
      <c r="BC4570" s="2">
        <v>0</v>
      </c>
      <c r="BD4570" s="2">
        <v>0</v>
      </c>
      <c r="BE4570" s="2">
        <v>0</v>
      </c>
      <c r="BF4570" s="2">
        <v>0</v>
      </c>
      <c r="BG4570" s="2">
        <v>0</v>
      </c>
      <c r="BH4570" s="2">
        <v>1</v>
      </c>
      <c r="BI4570" s="2">
        <v>1</v>
      </c>
      <c r="BJ4570" s="2">
        <v>0.2</v>
      </c>
      <c r="BK4570" s="2">
        <v>1</v>
      </c>
      <c r="BL4570" s="2">
        <v>41.44</v>
      </c>
      <c r="BM4570" s="2">
        <v>5.8</v>
      </c>
      <c r="BN4570" s="2">
        <v>47.24</v>
      </c>
      <c r="BO4570" s="2">
        <v>47.24</v>
      </c>
      <c r="BP4570" s="2"/>
      <c r="BQ4570" s="2" t="s">
        <v>83</v>
      </c>
      <c r="BR4570" s="2" t="s">
        <v>84</v>
      </c>
      <c r="BS4570" s="3">
        <v>42954</v>
      </c>
      <c r="BT4570" s="4">
        <v>0.3972222222222222</v>
      </c>
      <c r="BU4570" s="2" t="s">
        <v>366</v>
      </c>
      <c r="BV4570" s="2" t="s">
        <v>95</v>
      </c>
      <c r="BW4570" s="2"/>
      <c r="BX4570" s="2"/>
      <c r="BY4570" s="2">
        <v>1200</v>
      </c>
      <c r="BZ4570" s="2"/>
      <c r="CA4570" s="2"/>
      <c r="CB4570" s="2"/>
      <c r="CC4570" s="2" t="s">
        <v>363</v>
      </c>
      <c r="CD4570" s="2">
        <v>3201</v>
      </c>
      <c r="CE4570" s="2" t="s">
        <v>104</v>
      </c>
      <c r="CF4570" s="5">
        <v>42955</v>
      </c>
      <c r="CG4570" s="2"/>
      <c r="CH4570" s="2"/>
      <c r="CI4570" s="2">
        <v>1</v>
      </c>
      <c r="CJ4570" s="2">
        <v>1</v>
      </c>
      <c r="CK4570" s="2">
        <v>21</v>
      </c>
      <c r="CL4570" s="2" t="s">
        <v>86</v>
      </c>
      <c r="CM4570" s="2"/>
    </row>
    <row r="4571" spans="1:91">
      <c r="A4571" s="2" t="s">
        <v>71</v>
      </c>
      <c r="B4571" s="2" t="s">
        <v>72</v>
      </c>
      <c r="C4571" s="2" t="s">
        <v>73</v>
      </c>
      <c r="D4571" s="2"/>
      <c r="E4571" s="2" t="str">
        <f>"FES1162566945"</f>
        <v>FES1162566945</v>
      </c>
      <c r="F4571" s="3">
        <v>42951</v>
      </c>
      <c r="G4571" s="2">
        <v>201802</v>
      </c>
      <c r="H4571" s="2" t="s">
        <v>74</v>
      </c>
      <c r="I4571" s="2" t="s">
        <v>75</v>
      </c>
      <c r="J4571" s="2" t="s">
        <v>76</v>
      </c>
      <c r="K4571" s="2" t="s">
        <v>77</v>
      </c>
      <c r="L4571" s="2" t="s">
        <v>924</v>
      </c>
      <c r="M4571" s="2" t="s">
        <v>925</v>
      </c>
      <c r="N4571" s="2" t="s">
        <v>1684</v>
      </c>
      <c r="O4571" s="2" t="s">
        <v>100</v>
      </c>
      <c r="P4571" s="2" t="str">
        <f>"2170583192                    "</f>
        <v xml:space="preserve">2170583192                    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2">
        <v>0</v>
      </c>
      <c r="Z4571" s="2">
        <v>0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4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0</v>
      </c>
      <c r="AU4571" s="2">
        <v>0</v>
      </c>
      <c r="AV4571" s="2">
        <v>0</v>
      </c>
      <c r="AW4571" s="2">
        <v>0</v>
      </c>
      <c r="AX4571" s="2">
        <v>0</v>
      </c>
      <c r="AY4571" s="2">
        <v>0</v>
      </c>
      <c r="AZ4571" s="2">
        <v>0</v>
      </c>
      <c r="BA4571" s="2">
        <v>0</v>
      </c>
      <c r="BB4571" s="2">
        <v>0</v>
      </c>
      <c r="BC4571" s="2">
        <v>0</v>
      </c>
      <c r="BD4571" s="2">
        <v>0</v>
      </c>
      <c r="BE4571" s="2">
        <v>0</v>
      </c>
      <c r="BF4571" s="2">
        <v>0</v>
      </c>
      <c r="BG4571" s="2">
        <v>0</v>
      </c>
      <c r="BH4571" s="2">
        <v>1</v>
      </c>
      <c r="BI4571" s="2">
        <v>1</v>
      </c>
      <c r="BJ4571" s="2">
        <v>0.2</v>
      </c>
      <c r="BK4571" s="2">
        <v>1</v>
      </c>
      <c r="BL4571" s="2">
        <v>41.44</v>
      </c>
      <c r="BM4571" s="2">
        <v>5.8</v>
      </c>
      <c r="BN4571" s="2">
        <v>47.24</v>
      </c>
      <c r="BO4571" s="2">
        <v>47.24</v>
      </c>
      <c r="BP4571" s="2"/>
      <c r="BQ4571" s="2" t="s">
        <v>83</v>
      </c>
      <c r="BR4571" s="2" t="s">
        <v>84</v>
      </c>
      <c r="BS4571" s="3">
        <v>42954</v>
      </c>
      <c r="BT4571" s="4">
        <v>0.38194444444444442</v>
      </c>
      <c r="BU4571" s="2" t="s">
        <v>1685</v>
      </c>
      <c r="BV4571" s="2" t="s">
        <v>95</v>
      </c>
      <c r="BW4571" s="2"/>
      <c r="BX4571" s="2"/>
      <c r="BY4571" s="2">
        <v>1200</v>
      </c>
      <c r="BZ4571" s="2"/>
      <c r="CA4571" s="2" t="s">
        <v>205</v>
      </c>
      <c r="CB4571" s="2"/>
      <c r="CC4571" s="2" t="s">
        <v>925</v>
      </c>
      <c r="CD4571" s="2">
        <v>7600</v>
      </c>
      <c r="CE4571" s="2" t="s">
        <v>104</v>
      </c>
      <c r="CF4571" s="5">
        <v>42955</v>
      </c>
      <c r="CG4571" s="2"/>
      <c r="CH4571" s="2"/>
      <c r="CI4571" s="2">
        <v>1</v>
      </c>
      <c r="CJ4571" s="2">
        <v>1</v>
      </c>
      <c r="CK4571" s="2">
        <v>21</v>
      </c>
      <c r="CL4571" s="2" t="s">
        <v>86</v>
      </c>
      <c r="CM4571" s="2"/>
    </row>
    <row r="4572" spans="1:91">
      <c r="A4572" s="2" t="s">
        <v>71</v>
      </c>
      <c r="B4572" s="2" t="s">
        <v>72</v>
      </c>
      <c r="C4572" s="2" t="s">
        <v>73</v>
      </c>
      <c r="D4572" s="2"/>
      <c r="E4572" s="2" t="str">
        <f>"FES1162566672"</f>
        <v>FES1162566672</v>
      </c>
      <c r="F4572" s="3">
        <v>42951</v>
      </c>
      <c r="G4572" s="2">
        <v>201802</v>
      </c>
      <c r="H4572" s="2" t="s">
        <v>74</v>
      </c>
      <c r="I4572" s="2" t="s">
        <v>75</v>
      </c>
      <c r="J4572" s="2" t="s">
        <v>76</v>
      </c>
      <c r="K4572" s="2" t="s">
        <v>77</v>
      </c>
      <c r="L4572" s="2" t="s">
        <v>74</v>
      </c>
      <c r="M4572" s="2" t="s">
        <v>75</v>
      </c>
      <c r="N4572" s="2" t="s">
        <v>1729</v>
      </c>
      <c r="O4572" s="2" t="s">
        <v>100</v>
      </c>
      <c r="P4572" s="2" t="str">
        <f>"2170582932                    "</f>
        <v xml:space="preserve">2170582932                    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3.5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2">
        <v>0</v>
      </c>
      <c r="AT4572" s="2">
        <v>0</v>
      </c>
      <c r="AU4572" s="2">
        <v>0</v>
      </c>
      <c r="AV4572" s="2">
        <v>0</v>
      </c>
      <c r="AW4572" s="2">
        <v>0</v>
      </c>
      <c r="AX4572" s="2">
        <v>0</v>
      </c>
      <c r="AY4572" s="2">
        <v>0</v>
      </c>
      <c r="AZ4572" s="2">
        <v>0</v>
      </c>
      <c r="BA4572" s="2">
        <v>0</v>
      </c>
      <c r="BB4572" s="2">
        <v>0</v>
      </c>
      <c r="BC4572" s="2">
        <v>0</v>
      </c>
      <c r="BD4572" s="2">
        <v>0</v>
      </c>
      <c r="BE4572" s="2">
        <v>0</v>
      </c>
      <c r="BF4572" s="2">
        <v>0</v>
      </c>
      <c r="BG4572" s="2">
        <v>0</v>
      </c>
      <c r="BH4572" s="2">
        <v>1</v>
      </c>
      <c r="BI4572" s="2">
        <v>8.1</v>
      </c>
      <c r="BJ4572" s="2">
        <v>5.3</v>
      </c>
      <c r="BK4572" s="2">
        <v>9</v>
      </c>
      <c r="BL4572" s="2">
        <v>36.26</v>
      </c>
      <c r="BM4572" s="2">
        <v>5.08</v>
      </c>
      <c r="BN4572" s="2">
        <v>41.34</v>
      </c>
      <c r="BO4572" s="2">
        <v>41.34</v>
      </c>
      <c r="BP4572" s="2"/>
      <c r="BQ4572" s="2" t="s">
        <v>83</v>
      </c>
      <c r="BR4572" s="2" t="s">
        <v>84</v>
      </c>
      <c r="BS4572" s="3">
        <v>42954</v>
      </c>
      <c r="BT4572" s="4">
        <v>0.39027777777777778</v>
      </c>
      <c r="BU4572" s="2" t="s">
        <v>1730</v>
      </c>
      <c r="BV4572" s="2" t="s">
        <v>95</v>
      </c>
      <c r="BW4572" s="2"/>
      <c r="BX4572" s="2"/>
      <c r="BY4572" s="2">
        <v>26671.68</v>
      </c>
      <c r="BZ4572" s="2"/>
      <c r="CA4572" s="2"/>
      <c r="CB4572" s="2"/>
      <c r="CC4572" s="2" t="s">
        <v>75</v>
      </c>
      <c r="CD4572" s="2">
        <v>1609</v>
      </c>
      <c r="CE4572" s="2" t="s">
        <v>89</v>
      </c>
      <c r="CF4572" s="5">
        <v>42955</v>
      </c>
      <c r="CG4572" s="2"/>
      <c r="CH4572" s="2"/>
      <c r="CI4572" s="2">
        <v>1</v>
      </c>
      <c r="CJ4572" s="2">
        <v>1</v>
      </c>
      <c r="CK4572" s="2">
        <v>22</v>
      </c>
      <c r="CL4572" s="2" t="s">
        <v>86</v>
      </c>
      <c r="CM4572" s="2"/>
    </row>
    <row r="4573" spans="1:91">
      <c r="A4573" s="2" t="s">
        <v>71</v>
      </c>
      <c r="B4573" s="2" t="s">
        <v>72</v>
      </c>
      <c r="C4573" s="2" t="s">
        <v>73</v>
      </c>
      <c r="D4573" s="2"/>
      <c r="E4573" s="2" t="str">
        <f>"FES1162566946"</f>
        <v>FES1162566946</v>
      </c>
      <c r="F4573" s="3">
        <v>42951</v>
      </c>
      <c r="G4573" s="2">
        <v>201802</v>
      </c>
      <c r="H4573" s="2" t="s">
        <v>74</v>
      </c>
      <c r="I4573" s="2" t="s">
        <v>75</v>
      </c>
      <c r="J4573" s="2" t="s">
        <v>76</v>
      </c>
      <c r="K4573" s="2" t="s">
        <v>77</v>
      </c>
      <c r="L4573" s="2" t="s">
        <v>417</v>
      </c>
      <c r="M4573" s="2" t="s">
        <v>417</v>
      </c>
      <c r="N4573" s="2" t="s">
        <v>3837</v>
      </c>
      <c r="O4573" s="2" t="s">
        <v>100</v>
      </c>
      <c r="P4573" s="2" t="str">
        <f>"2170583193                    "</f>
        <v xml:space="preserve">2170583193                    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4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0</v>
      </c>
      <c r="AU4573" s="2">
        <v>0</v>
      </c>
      <c r="AV4573" s="2">
        <v>0</v>
      </c>
      <c r="AW4573" s="2">
        <v>0</v>
      </c>
      <c r="AX4573" s="2">
        <v>0</v>
      </c>
      <c r="AY4573" s="2">
        <v>0</v>
      </c>
      <c r="AZ4573" s="2">
        <v>0</v>
      </c>
      <c r="BA4573" s="2">
        <v>0</v>
      </c>
      <c r="BB4573" s="2">
        <v>0</v>
      </c>
      <c r="BC4573" s="2">
        <v>0</v>
      </c>
      <c r="BD4573" s="2">
        <v>0</v>
      </c>
      <c r="BE4573" s="2">
        <v>0</v>
      </c>
      <c r="BF4573" s="2">
        <v>0</v>
      </c>
      <c r="BG4573" s="2">
        <v>0</v>
      </c>
      <c r="BH4573" s="2">
        <v>1</v>
      </c>
      <c r="BI4573" s="2">
        <v>1</v>
      </c>
      <c r="BJ4573" s="2">
        <v>0.2</v>
      </c>
      <c r="BK4573" s="2">
        <v>1</v>
      </c>
      <c r="BL4573" s="2">
        <v>41.44</v>
      </c>
      <c r="BM4573" s="2">
        <v>5.8</v>
      </c>
      <c r="BN4573" s="2">
        <v>47.24</v>
      </c>
      <c r="BO4573" s="2">
        <v>47.24</v>
      </c>
      <c r="BP4573" s="2"/>
      <c r="BQ4573" s="2" t="s">
        <v>83</v>
      </c>
      <c r="BR4573" s="2" t="s">
        <v>84</v>
      </c>
      <c r="BS4573" s="3">
        <v>42954</v>
      </c>
      <c r="BT4573" s="4">
        <v>0.36458333333333331</v>
      </c>
      <c r="BU4573" s="2" t="s">
        <v>4104</v>
      </c>
      <c r="BV4573" s="2" t="s">
        <v>95</v>
      </c>
      <c r="BW4573" s="2"/>
      <c r="BX4573" s="2"/>
      <c r="BY4573" s="2">
        <v>1200</v>
      </c>
      <c r="BZ4573" s="2"/>
      <c r="CA4573" s="2" t="s">
        <v>460</v>
      </c>
      <c r="CB4573" s="2"/>
      <c r="CC4573" s="2" t="s">
        <v>417</v>
      </c>
      <c r="CD4573" s="2">
        <v>7624</v>
      </c>
      <c r="CE4573" s="2" t="s">
        <v>104</v>
      </c>
      <c r="CF4573" s="5">
        <v>42955</v>
      </c>
      <c r="CG4573" s="2"/>
      <c r="CH4573" s="2"/>
      <c r="CI4573" s="2">
        <v>1</v>
      </c>
      <c r="CJ4573" s="2">
        <v>1</v>
      </c>
      <c r="CK4573" s="2">
        <v>21</v>
      </c>
      <c r="CL4573" s="2" t="s">
        <v>86</v>
      </c>
      <c r="CM4573" s="2"/>
    </row>
    <row r="4574" spans="1:91">
      <c r="A4574" s="2" t="s">
        <v>71</v>
      </c>
      <c r="B4574" s="2" t="s">
        <v>72</v>
      </c>
      <c r="C4574" s="2" t="s">
        <v>73</v>
      </c>
      <c r="D4574" s="2"/>
      <c r="E4574" s="2" t="str">
        <f>"FES1162566960"</f>
        <v>FES1162566960</v>
      </c>
      <c r="F4574" s="3">
        <v>42951</v>
      </c>
      <c r="G4574" s="2">
        <v>201802</v>
      </c>
      <c r="H4574" s="2" t="s">
        <v>74</v>
      </c>
      <c r="I4574" s="2" t="s">
        <v>75</v>
      </c>
      <c r="J4574" s="2" t="s">
        <v>76</v>
      </c>
      <c r="K4574" s="2" t="s">
        <v>77</v>
      </c>
      <c r="L4574" s="2" t="s">
        <v>841</v>
      </c>
      <c r="M4574" s="2" t="s">
        <v>842</v>
      </c>
      <c r="N4574" s="2" t="s">
        <v>843</v>
      </c>
      <c r="O4574" s="2" t="s">
        <v>100</v>
      </c>
      <c r="P4574" s="2" t="str">
        <f>"2170583210                    "</f>
        <v xml:space="preserve">2170583210                    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7.75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0</v>
      </c>
      <c r="AU4574" s="2">
        <v>0</v>
      </c>
      <c r="AV4574" s="2">
        <v>0</v>
      </c>
      <c r="AW4574" s="2">
        <v>0</v>
      </c>
      <c r="AX4574" s="2">
        <v>0</v>
      </c>
      <c r="AY4574" s="2">
        <v>0</v>
      </c>
      <c r="AZ4574" s="2">
        <v>0</v>
      </c>
      <c r="BA4574" s="2">
        <v>0</v>
      </c>
      <c r="BB4574" s="2">
        <v>0</v>
      </c>
      <c r="BC4574" s="2">
        <v>0</v>
      </c>
      <c r="BD4574" s="2">
        <v>0</v>
      </c>
      <c r="BE4574" s="2">
        <v>0</v>
      </c>
      <c r="BF4574" s="2">
        <v>0</v>
      </c>
      <c r="BG4574" s="2">
        <v>0</v>
      </c>
      <c r="BH4574" s="2">
        <v>1</v>
      </c>
      <c r="BI4574" s="2">
        <v>1</v>
      </c>
      <c r="BJ4574" s="2">
        <v>0.2</v>
      </c>
      <c r="BK4574" s="2">
        <v>1</v>
      </c>
      <c r="BL4574" s="2">
        <v>80.290000000000006</v>
      </c>
      <c r="BM4574" s="2">
        <v>11.24</v>
      </c>
      <c r="BN4574" s="2">
        <v>91.53</v>
      </c>
      <c r="BO4574" s="2">
        <v>91.53</v>
      </c>
      <c r="BP4574" s="2"/>
      <c r="BQ4574" s="2" t="s">
        <v>83</v>
      </c>
      <c r="BR4574" s="2" t="s">
        <v>84</v>
      </c>
      <c r="BS4574" s="3">
        <v>42954</v>
      </c>
      <c r="BT4574" s="4">
        <v>0.55277777777777781</v>
      </c>
      <c r="BU4574" s="2" t="s">
        <v>4105</v>
      </c>
      <c r="BV4574" s="2" t="s">
        <v>95</v>
      </c>
      <c r="BW4574" s="2"/>
      <c r="BX4574" s="2"/>
      <c r="BY4574" s="2">
        <v>1200</v>
      </c>
      <c r="BZ4574" s="2"/>
      <c r="CA4574" s="2" t="s">
        <v>1245</v>
      </c>
      <c r="CB4574" s="2"/>
      <c r="CC4574" s="2" t="s">
        <v>842</v>
      </c>
      <c r="CD4574" s="2">
        <v>3370</v>
      </c>
      <c r="CE4574" s="2" t="s">
        <v>104</v>
      </c>
      <c r="CF4574" s="5">
        <v>42957</v>
      </c>
      <c r="CG4574" s="2"/>
      <c r="CH4574" s="2"/>
      <c r="CI4574" s="2">
        <v>3</v>
      </c>
      <c r="CJ4574" s="2">
        <v>1</v>
      </c>
      <c r="CK4574" s="2">
        <v>23</v>
      </c>
      <c r="CL4574" s="2" t="s">
        <v>86</v>
      </c>
      <c r="CM4574" s="2"/>
    </row>
    <row r="4575" spans="1:91">
      <c r="A4575" s="2" t="s">
        <v>71</v>
      </c>
      <c r="B4575" s="2" t="s">
        <v>72</v>
      </c>
      <c r="C4575" s="2" t="s">
        <v>73</v>
      </c>
      <c r="D4575" s="2"/>
      <c r="E4575" s="2" t="str">
        <f>"FES1162566950"</f>
        <v>FES1162566950</v>
      </c>
      <c r="F4575" s="3">
        <v>42951</v>
      </c>
      <c r="G4575" s="2">
        <v>201802</v>
      </c>
      <c r="H4575" s="2" t="s">
        <v>74</v>
      </c>
      <c r="I4575" s="2" t="s">
        <v>75</v>
      </c>
      <c r="J4575" s="2" t="s">
        <v>76</v>
      </c>
      <c r="K4575" s="2" t="s">
        <v>77</v>
      </c>
      <c r="L4575" s="2" t="s">
        <v>105</v>
      </c>
      <c r="M4575" s="2" t="s">
        <v>106</v>
      </c>
      <c r="N4575" s="2" t="s">
        <v>253</v>
      </c>
      <c r="O4575" s="2" t="s">
        <v>100</v>
      </c>
      <c r="P4575" s="2" t="str">
        <f>"2170583198                    "</f>
        <v xml:space="preserve">2170583198                    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5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2">
        <v>0</v>
      </c>
      <c r="AT4575" s="2">
        <v>0</v>
      </c>
      <c r="AU4575" s="2">
        <v>0</v>
      </c>
      <c r="AV4575" s="2">
        <v>0</v>
      </c>
      <c r="AW4575" s="2">
        <v>0</v>
      </c>
      <c r="AX4575" s="2">
        <v>0</v>
      </c>
      <c r="AY4575" s="2">
        <v>0</v>
      </c>
      <c r="AZ4575" s="2">
        <v>0</v>
      </c>
      <c r="BA4575" s="2">
        <v>0</v>
      </c>
      <c r="BB4575" s="2">
        <v>0</v>
      </c>
      <c r="BC4575" s="2">
        <v>0</v>
      </c>
      <c r="BD4575" s="2">
        <v>0</v>
      </c>
      <c r="BE4575" s="2">
        <v>0</v>
      </c>
      <c r="BF4575" s="2">
        <v>0</v>
      </c>
      <c r="BG4575" s="2">
        <v>0</v>
      </c>
      <c r="BH4575" s="2">
        <v>1</v>
      </c>
      <c r="BI4575" s="2">
        <v>2.2999999999999998</v>
      </c>
      <c r="BJ4575" s="2">
        <v>1</v>
      </c>
      <c r="BK4575" s="2">
        <v>2.5</v>
      </c>
      <c r="BL4575" s="2">
        <v>51.8</v>
      </c>
      <c r="BM4575" s="2">
        <v>7.25</v>
      </c>
      <c r="BN4575" s="2">
        <v>59.05</v>
      </c>
      <c r="BO4575" s="2">
        <v>59.05</v>
      </c>
      <c r="BP4575" s="2"/>
      <c r="BQ4575" s="2" t="s">
        <v>108</v>
      </c>
      <c r="BR4575" s="2" t="s">
        <v>84</v>
      </c>
      <c r="BS4575" s="3">
        <v>42954</v>
      </c>
      <c r="BT4575" s="4">
        <v>0.4375</v>
      </c>
      <c r="BU4575" s="2" t="s">
        <v>4106</v>
      </c>
      <c r="BV4575" s="2" t="s">
        <v>95</v>
      </c>
      <c r="BW4575" s="2"/>
      <c r="BX4575" s="2"/>
      <c r="BY4575" s="2">
        <v>5015.68</v>
      </c>
      <c r="BZ4575" s="2"/>
      <c r="CA4575" s="2" t="s">
        <v>654</v>
      </c>
      <c r="CB4575" s="2"/>
      <c r="CC4575" s="2" t="s">
        <v>106</v>
      </c>
      <c r="CD4575" s="2">
        <v>7490</v>
      </c>
      <c r="CE4575" s="2" t="s">
        <v>89</v>
      </c>
      <c r="CF4575" s="5">
        <v>42955</v>
      </c>
      <c r="CG4575" s="2"/>
      <c r="CH4575" s="2"/>
      <c r="CI4575" s="2">
        <v>1</v>
      </c>
      <c r="CJ4575" s="2">
        <v>1</v>
      </c>
      <c r="CK4575" s="2">
        <v>21</v>
      </c>
      <c r="CL4575" s="2" t="s">
        <v>86</v>
      </c>
      <c r="CM4575" s="2"/>
    </row>
    <row r="4576" spans="1:91">
      <c r="A4576" s="2" t="s">
        <v>71</v>
      </c>
      <c r="B4576" s="2" t="s">
        <v>72</v>
      </c>
      <c r="C4576" s="2" t="s">
        <v>73</v>
      </c>
      <c r="D4576" s="2"/>
      <c r="E4576" s="2" t="str">
        <f>"FES1162566963"</f>
        <v>FES1162566963</v>
      </c>
      <c r="F4576" s="3">
        <v>42951</v>
      </c>
      <c r="G4576" s="2">
        <v>201802</v>
      </c>
      <c r="H4576" s="2" t="s">
        <v>74</v>
      </c>
      <c r="I4576" s="2" t="s">
        <v>75</v>
      </c>
      <c r="J4576" s="2" t="s">
        <v>76</v>
      </c>
      <c r="K4576" s="2" t="s">
        <v>77</v>
      </c>
      <c r="L4576" s="2" t="s">
        <v>1202</v>
      </c>
      <c r="M4576" s="2" t="s">
        <v>1203</v>
      </c>
      <c r="N4576" s="2" t="s">
        <v>2377</v>
      </c>
      <c r="O4576" s="2" t="s">
        <v>100</v>
      </c>
      <c r="P4576" s="2" t="str">
        <f>"2170583214                    "</f>
        <v xml:space="preserve">2170583214                    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0</v>
      </c>
      <c r="Y4576" s="2">
        <v>0</v>
      </c>
      <c r="Z4576" s="2">
        <v>0</v>
      </c>
      <c r="AA4576" s="2">
        <v>0</v>
      </c>
      <c r="AB4576" s="2">
        <v>0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3.13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0</v>
      </c>
      <c r="AU4576" s="2">
        <v>0</v>
      </c>
      <c r="AV4576" s="2">
        <v>0</v>
      </c>
      <c r="AW4576" s="2">
        <v>0</v>
      </c>
      <c r="AX4576" s="2">
        <v>0</v>
      </c>
      <c r="AY4576" s="2">
        <v>0</v>
      </c>
      <c r="AZ4576" s="2">
        <v>0</v>
      </c>
      <c r="BA4576" s="2">
        <v>0</v>
      </c>
      <c r="BB4576" s="2">
        <v>0</v>
      </c>
      <c r="BC4576" s="2">
        <v>0</v>
      </c>
      <c r="BD4576" s="2">
        <v>0</v>
      </c>
      <c r="BE4576" s="2">
        <v>0</v>
      </c>
      <c r="BF4576" s="2">
        <v>0</v>
      </c>
      <c r="BG4576" s="2">
        <v>0</v>
      </c>
      <c r="BH4576" s="2">
        <v>1</v>
      </c>
      <c r="BI4576" s="2">
        <v>1</v>
      </c>
      <c r="BJ4576" s="2">
        <v>0.2</v>
      </c>
      <c r="BK4576" s="2">
        <v>1</v>
      </c>
      <c r="BL4576" s="2">
        <v>32.380000000000003</v>
      </c>
      <c r="BM4576" s="2">
        <v>4.53</v>
      </c>
      <c r="BN4576" s="2">
        <v>36.909999999999997</v>
      </c>
      <c r="BO4576" s="2">
        <v>36.909999999999997</v>
      </c>
      <c r="BP4576" s="2"/>
      <c r="BQ4576" s="2"/>
      <c r="BR4576" s="2" t="s">
        <v>84</v>
      </c>
      <c r="BS4576" s="3">
        <v>42954</v>
      </c>
      <c r="BT4576" s="4">
        <v>0.36527777777777781</v>
      </c>
      <c r="BU4576" s="2" t="s">
        <v>330</v>
      </c>
      <c r="BV4576" s="2" t="s">
        <v>95</v>
      </c>
      <c r="BW4576" s="2"/>
      <c r="BX4576" s="2"/>
      <c r="BY4576" s="2">
        <v>1200</v>
      </c>
      <c r="BZ4576" s="2"/>
      <c r="CA4576" s="2"/>
      <c r="CB4576" s="2"/>
      <c r="CC4576" s="2" t="s">
        <v>1203</v>
      </c>
      <c r="CD4576" s="2">
        <v>1501</v>
      </c>
      <c r="CE4576" s="2" t="s">
        <v>104</v>
      </c>
      <c r="CF4576" s="5">
        <v>42955</v>
      </c>
      <c r="CG4576" s="2"/>
      <c r="CH4576" s="2"/>
      <c r="CI4576" s="2">
        <v>1</v>
      </c>
      <c r="CJ4576" s="2">
        <v>1</v>
      </c>
      <c r="CK4576" s="2">
        <v>22</v>
      </c>
      <c r="CL4576" s="2" t="s">
        <v>86</v>
      </c>
      <c r="CM4576" s="2"/>
    </row>
    <row r="4577" spans="1:91">
      <c r="A4577" s="2" t="s">
        <v>71</v>
      </c>
      <c r="B4577" s="2" t="s">
        <v>72</v>
      </c>
      <c r="C4577" s="2" t="s">
        <v>73</v>
      </c>
      <c r="D4577" s="2"/>
      <c r="E4577" s="2" t="str">
        <f>"FES1162566941"</f>
        <v>FES1162566941</v>
      </c>
      <c r="F4577" s="3">
        <v>42951</v>
      </c>
      <c r="G4577" s="2">
        <v>201802</v>
      </c>
      <c r="H4577" s="2" t="s">
        <v>74</v>
      </c>
      <c r="I4577" s="2" t="s">
        <v>75</v>
      </c>
      <c r="J4577" s="2" t="s">
        <v>76</v>
      </c>
      <c r="K4577" s="2" t="s">
        <v>77</v>
      </c>
      <c r="L4577" s="2" t="s">
        <v>105</v>
      </c>
      <c r="M4577" s="2" t="s">
        <v>106</v>
      </c>
      <c r="N4577" s="2" t="s">
        <v>486</v>
      </c>
      <c r="O4577" s="2" t="s">
        <v>100</v>
      </c>
      <c r="P4577" s="2" t="str">
        <f>"2170583165                    "</f>
        <v xml:space="preserve">2170583165                    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2">
        <v>0</v>
      </c>
      <c r="Z4577" s="2">
        <v>0</v>
      </c>
      <c r="AA4577" s="2">
        <v>0</v>
      </c>
      <c r="AB4577" s="2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4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2">
        <v>0</v>
      </c>
      <c r="AT4577" s="2">
        <v>0</v>
      </c>
      <c r="AU4577" s="2">
        <v>0</v>
      </c>
      <c r="AV4577" s="2">
        <v>0</v>
      </c>
      <c r="AW4577" s="2">
        <v>0</v>
      </c>
      <c r="AX4577" s="2">
        <v>0</v>
      </c>
      <c r="AY4577" s="2">
        <v>0</v>
      </c>
      <c r="AZ4577" s="2">
        <v>0</v>
      </c>
      <c r="BA4577" s="2">
        <v>0</v>
      </c>
      <c r="BB4577" s="2">
        <v>0</v>
      </c>
      <c r="BC4577" s="2">
        <v>0</v>
      </c>
      <c r="BD4577" s="2">
        <v>0</v>
      </c>
      <c r="BE4577" s="2">
        <v>0</v>
      </c>
      <c r="BF4577" s="2">
        <v>0</v>
      </c>
      <c r="BG4577" s="2">
        <v>0</v>
      </c>
      <c r="BH4577" s="2">
        <v>1</v>
      </c>
      <c r="BI4577" s="2">
        <v>1.8</v>
      </c>
      <c r="BJ4577" s="2">
        <v>1.7</v>
      </c>
      <c r="BK4577" s="2">
        <v>2</v>
      </c>
      <c r="BL4577" s="2">
        <v>41.44</v>
      </c>
      <c r="BM4577" s="2">
        <v>5.8</v>
      </c>
      <c r="BN4577" s="2">
        <v>47.24</v>
      </c>
      <c r="BO4577" s="2">
        <v>47.24</v>
      </c>
      <c r="BP4577" s="2"/>
      <c r="BQ4577" s="2" t="s">
        <v>83</v>
      </c>
      <c r="BR4577" s="2" t="s">
        <v>84</v>
      </c>
      <c r="BS4577" s="3">
        <v>42954</v>
      </c>
      <c r="BT4577" s="4">
        <v>0.41597222222222219</v>
      </c>
      <c r="BU4577" s="2" t="s">
        <v>487</v>
      </c>
      <c r="BV4577" s="2" t="s">
        <v>95</v>
      </c>
      <c r="BW4577" s="2"/>
      <c r="BX4577" s="2"/>
      <c r="BY4577" s="2">
        <v>8361.41</v>
      </c>
      <c r="BZ4577" s="2"/>
      <c r="CA4577" s="2" t="s">
        <v>291</v>
      </c>
      <c r="CB4577" s="2"/>
      <c r="CC4577" s="2" t="s">
        <v>106</v>
      </c>
      <c r="CD4577" s="2">
        <v>7441</v>
      </c>
      <c r="CE4577" s="2" t="s">
        <v>89</v>
      </c>
      <c r="CF4577" s="5">
        <v>42955</v>
      </c>
      <c r="CG4577" s="2"/>
      <c r="CH4577" s="2"/>
      <c r="CI4577" s="2">
        <v>1</v>
      </c>
      <c r="CJ4577" s="2">
        <v>1</v>
      </c>
      <c r="CK4577" s="2">
        <v>21</v>
      </c>
      <c r="CL4577" s="2" t="s">
        <v>86</v>
      </c>
      <c r="CM4577" s="2"/>
    </row>
    <row r="4578" spans="1:91">
      <c r="A4578" s="2" t="s">
        <v>71</v>
      </c>
      <c r="B4578" s="2" t="s">
        <v>72</v>
      </c>
      <c r="C4578" s="2" t="s">
        <v>73</v>
      </c>
      <c r="D4578" s="2"/>
      <c r="E4578" s="2" t="str">
        <f>"FES1162566967"</f>
        <v>FES1162566967</v>
      </c>
      <c r="F4578" s="3">
        <v>42951</v>
      </c>
      <c r="G4578" s="2">
        <v>201802</v>
      </c>
      <c r="H4578" s="2" t="s">
        <v>74</v>
      </c>
      <c r="I4578" s="2" t="s">
        <v>75</v>
      </c>
      <c r="J4578" s="2" t="s">
        <v>76</v>
      </c>
      <c r="K4578" s="2" t="s">
        <v>77</v>
      </c>
      <c r="L4578" s="2" t="s">
        <v>362</v>
      </c>
      <c r="M4578" s="2" t="s">
        <v>363</v>
      </c>
      <c r="N4578" s="2" t="s">
        <v>1020</v>
      </c>
      <c r="O4578" s="2" t="s">
        <v>100</v>
      </c>
      <c r="P4578" s="2" t="str">
        <f>"2170583220                    "</f>
        <v xml:space="preserve">2170583220                    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</v>
      </c>
      <c r="Y4578" s="2">
        <v>0</v>
      </c>
      <c r="Z4578" s="2">
        <v>0</v>
      </c>
      <c r="AA4578" s="2">
        <v>0</v>
      </c>
      <c r="AB4578" s="2">
        <v>0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4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0</v>
      </c>
      <c r="AU4578" s="2">
        <v>0</v>
      </c>
      <c r="AV4578" s="2">
        <v>0</v>
      </c>
      <c r="AW4578" s="2">
        <v>0</v>
      </c>
      <c r="AX4578" s="2">
        <v>0</v>
      </c>
      <c r="AY4578" s="2">
        <v>0</v>
      </c>
      <c r="AZ4578" s="2">
        <v>0</v>
      </c>
      <c r="BA4578" s="2">
        <v>0</v>
      </c>
      <c r="BB4578" s="2">
        <v>0</v>
      </c>
      <c r="BC4578" s="2">
        <v>0</v>
      </c>
      <c r="BD4578" s="2">
        <v>0</v>
      </c>
      <c r="BE4578" s="2">
        <v>0</v>
      </c>
      <c r="BF4578" s="2">
        <v>0</v>
      </c>
      <c r="BG4578" s="2">
        <v>0</v>
      </c>
      <c r="BH4578" s="2">
        <v>1</v>
      </c>
      <c r="BI4578" s="2">
        <v>1</v>
      </c>
      <c r="BJ4578" s="2">
        <v>0.2</v>
      </c>
      <c r="BK4578" s="2">
        <v>1</v>
      </c>
      <c r="BL4578" s="2">
        <v>41.44</v>
      </c>
      <c r="BM4578" s="2">
        <v>5.8</v>
      </c>
      <c r="BN4578" s="2">
        <v>47.24</v>
      </c>
      <c r="BO4578" s="2">
        <v>47.24</v>
      </c>
      <c r="BP4578" s="2"/>
      <c r="BQ4578" s="2" t="s">
        <v>209</v>
      </c>
      <c r="BR4578" s="2" t="s">
        <v>84</v>
      </c>
      <c r="BS4578" s="3">
        <v>42954</v>
      </c>
      <c r="BT4578" s="4">
        <v>0.41666666666666669</v>
      </c>
      <c r="BU4578" s="2" t="s">
        <v>1040</v>
      </c>
      <c r="BV4578" s="2" t="s">
        <v>95</v>
      </c>
      <c r="BW4578" s="2"/>
      <c r="BX4578" s="2"/>
      <c r="BY4578" s="2">
        <v>1200</v>
      </c>
      <c r="BZ4578" s="2"/>
      <c r="CA4578" s="2" t="s">
        <v>367</v>
      </c>
      <c r="CB4578" s="2"/>
      <c r="CC4578" s="2" t="s">
        <v>363</v>
      </c>
      <c r="CD4578" s="2">
        <v>3200</v>
      </c>
      <c r="CE4578" s="2" t="s">
        <v>104</v>
      </c>
      <c r="CF4578" s="5">
        <v>42955</v>
      </c>
      <c r="CG4578" s="2"/>
      <c r="CH4578" s="2"/>
      <c r="CI4578" s="2">
        <v>1</v>
      </c>
      <c r="CJ4578" s="2">
        <v>1</v>
      </c>
      <c r="CK4578" s="2">
        <v>21</v>
      </c>
      <c r="CL4578" s="2" t="s">
        <v>86</v>
      </c>
      <c r="CM4578" s="2"/>
    </row>
    <row r="4579" spans="1:91">
      <c r="A4579" s="2" t="s">
        <v>71</v>
      </c>
      <c r="B4579" s="2" t="s">
        <v>72</v>
      </c>
      <c r="C4579" s="2" t="s">
        <v>73</v>
      </c>
      <c r="D4579" s="2"/>
      <c r="E4579" s="2" t="str">
        <f>"FES1162567067"</f>
        <v>FES1162567067</v>
      </c>
      <c r="F4579" s="3">
        <v>42951</v>
      </c>
      <c r="G4579" s="2">
        <v>201802</v>
      </c>
      <c r="H4579" s="2" t="s">
        <v>74</v>
      </c>
      <c r="I4579" s="2" t="s">
        <v>75</v>
      </c>
      <c r="J4579" s="2" t="s">
        <v>76</v>
      </c>
      <c r="K4579" s="2" t="s">
        <v>77</v>
      </c>
      <c r="L4579" s="2" t="s">
        <v>174</v>
      </c>
      <c r="M4579" s="2" t="s">
        <v>175</v>
      </c>
      <c r="N4579" s="2" t="s">
        <v>920</v>
      </c>
      <c r="O4579" s="2" t="s">
        <v>100</v>
      </c>
      <c r="P4579" s="2" t="str">
        <f>"2170573268                    "</f>
        <v xml:space="preserve">2170573268                    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2">
        <v>0</v>
      </c>
      <c r="Z4579" s="2">
        <v>0</v>
      </c>
      <c r="AA4579" s="2">
        <v>0</v>
      </c>
      <c r="AB4579" s="2">
        <v>0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4</v>
      </c>
      <c r="AN4579" s="2">
        <v>0</v>
      </c>
      <c r="AO4579" s="2">
        <v>0</v>
      </c>
      <c r="AP4579" s="2">
        <v>0</v>
      </c>
      <c r="AQ4579" s="2">
        <v>0</v>
      </c>
      <c r="AR4579" s="2">
        <v>0</v>
      </c>
      <c r="AS4579" s="2">
        <v>0</v>
      </c>
      <c r="AT4579" s="2">
        <v>0</v>
      </c>
      <c r="AU4579" s="2">
        <v>0</v>
      </c>
      <c r="AV4579" s="2">
        <v>0</v>
      </c>
      <c r="AW4579" s="2">
        <v>0</v>
      </c>
      <c r="AX4579" s="2">
        <v>0</v>
      </c>
      <c r="AY4579" s="2">
        <v>0</v>
      </c>
      <c r="AZ4579" s="2">
        <v>0</v>
      </c>
      <c r="BA4579" s="2">
        <v>0</v>
      </c>
      <c r="BB4579" s="2">
        <v>0</v>
      </c>
      <c r="BC4579" s="2">
        <v>0</v>
      </c>
      <c r="BD4579" s="2">
        <v>0</v>
      </c>
      <c r="BE4579" s="2">
        <v>0</v>
      </c>
      <c r="BF4579" s="2">
        <v>0</v>
      </c>
      <c r="BG4579" s="2">
        <v>0</v>
      </c>
      <c r="BH4579" s="2">
        <v>1</v>
      </c>
      <c r="BI4579" s="2">
        <v>1</v>
      </c>
      <c r="BJ4579" s="2">
        <v>0.2</v>
      </c>
      <c r="BK4579" s="2">
        <v>1</v>
      </c>
      <c r="BL4579" s="2">
        <v>41.44</v>
      </c>
      <c r="BM4579" s="2">
        <v>5.8</v>
      </c>
      <c r="BN4579" s="2">
        <v>47.24</v>
      </c>
      <c r="BO4579" s="2">
        <v>47.24</v>
      </c>
      <c r="BP4579" s="2"/>
      <c r="BQ4579" s="2" t="s">
        <v>108</v>
      </c>
      <c r="BR4579" s="2" t="s">
        <v>84</v>
      </c>
      <c r="BS4579" s="3">
        <v>42954</v>
      </c>
      <c r="BT4579" s="4">
        <v>0.40625</v>
      </c>
      <c r="BU4579" s="2" t="s">
        <v>4107</v>
      </c>
      <c r="BV4579" s="2" t="s">
        <v>95</v>
      </c>
      <c r="BW4579" s="2"/>
      <c r="BX4579" s="2"/>
      <c r="BY4579" s="2">
        <v>1200</v>
      </c>
      <c r="BZ4579" s="2"/>
      <c r="CA4579" s="2"/>
      <c r="CB4579" s="2"/>
      <c r="CC4579" s="2" t="s">
        <v>175</v>
      </c>
      <c r="CD4579" s="2">
        <v>5201</v>
      </c>
      <c r="CE4579" s="2" t="s">
        <v>104</v>
      </c>
      <c r="CF4579" s="5">
        <v>42957</v>
      </c>
      <c r="CG4579" s="2"/>
      <c r="CH4579" s="2"/>
      <c r="CI4579" s="2">
        <v>1</v>
      </c>
      <c r="CJ4579" s="2">
        <v>1</v>
      </c>
      <c r="CK4579" s="2">
        <v>21</v>
      </c>
      <c r="CL4579" s="2" t="s">
        <v>86</v>
      </c>
      <c r="CM4579" s="2"/>
    </row>
    <row r="4580" spans="1:91">
      <c r="A4580" s="2" t="s">
        <v>71</v>
      </c>
      <c r="B4580" s="2" t="s">
        <v>72</v>
      </c>
      <c r="C4580" s="2" t="s">
        <v>73</v>
      </c>
      <c r="D4580" s="2"/>
      <c r="E4580" s="2" t="str">
        <f>"FES1162566965"</f>
        <v>FES1162566965</v>
      </c>
      <c r="F4580" s="3">
        <v>42951</v>
      </c>
      <c r="G4580" s="2">
        <v>201802</v>
      </c>
      <c r="H4580" s="2" t="s">
        <v>74</v>
      </c>
      <c r="I4580" s="2" t="s">
        <v>75</v>
      </c>
      <c r="J4580" s="2" t="s">
        <v>76</v>
      </c>
      <c r="K4580" s="2" t="s">
        <v>77</v>
      </c>
      <c r="L4580" s="2" t="s">
        <v>437</v>
      </c>
      <c r="M4580" s="2" t="s">
        <v>438</v>
      </c>
      <c r="N4580" s="2" t="s">
        <v>749</v>
      </c>
      <c r="O4580" s="2" t="s">
        <v>100</v>
      </c>
      <c r="P4580" s="2" t="str">
        <f>"2170583217                    "</f>
        <v xml:space="preserve">2170583217                    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4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0</v>
      </c>
      <c r="AU4580" s="2">
        <v>0</v>
      </c>
      <c r="AV4580" s="2">
        <v>0</v>
      </c>
      <c r="AW4580" s="2">
        <v>0</v>
      </c>
      <c r="AX4580" s="2">
        <v>0</v>
      </c>
      <c r="AY4580" s="2">
        <v>0</v>
      </c>
      <c r="AZ4580" s="2">
        <v>0</v>
      </c>
      <c r="BA4580" s="2">
        <v>0</v>
      </c>
      <c r="BB4580" s="2">
        <v>0</v>
      </c>
      <c r="BC4580" s="2">
        <v>0</v>
      </c>
      <c r="BD4580" s="2">
        <v>0</v>
      </c>
      <c r="BE4580" s="2">
        <v>0</v>
      </c>
      <c r="BF4580" s="2">
        <v>0</v>
      </c>
      <c r="BG4580" s="2">
        <v>0</v>
      </c>
      <c r="BH4580" s="2">
        <v>1</v>
      </c>
      <c r="BI4580" s="2">
        <v>1.4</v>
      </c>
      <c r="BJ4580" s="2">
        <v>1.5</v>
      </c>
      <c r="BK4580" s="2">
        <v>1.5</v>
      </c>
      <c r="BL4580" s="2">
        <v>41.44</v>
      </c>
      <c r="BM4580" s="2">
        <v>5.8</v>
      </c>
      <c r="BN4580" s="2">
        <v>47.24</v>
      </c>
      <c r="BO4580" s="2">
        <v>47.24</v>
      </c>
      <c r="BP4580" s="2"/>
      <c r="BQ4580" s="2" t="s">
        <v>108</v>
      </c>
      <c r="BR4580" s="2" t="s">
        <v>84</v>
      </c>
      <c r="BS4580" s="3">
        <v>42954</v>
      </c>
      <c r="BT4580" s="4">
        <v>0.41666666666666669</v>
      </c>
      <c r="BU4580" s="2" t="s">
        <v>750</v>
      </c>
      <c r="BV4580" s="2" t="s">
        <v>95</v>
      </c>
      <c r="BW4580" s="2"/>
      <c r="BX4580" s="2"/>
      <c r="BY4580" s="2">
        <v>7536.22</v>
      </c>
      <c r="BZ4580" s="2"/>
      <c r="CA4580" s="2" t="s">
        <v>441</v>
      </c>
      <c r="CB4580" s="2"/>
      <c r="CC4580" s="2" t="s">
        <v>438</v>
      </c>
      <c r="CD4580" s="2">
        <v>6536</v>
      </c>
      <c r="CE4580" s="2" t="s">
        <v>89</v>
      </c>
      <c r="CF4580" s="5">
        <v>42955</v>
      </c>
      <c r="CG4580" s="2"/>
      <c r="CH4580" s="2"/>
      <c r="CI4580" s="2">
        <v>1</v>
      </c>
      <c r="CJ4580" s="2">
        <v>1</v>
      </c>
      <c r="CK4580" s="2">
        <v>21</v>
      </c>
      <c r="CL4580" s="2" t="s">
        <v>86</v>
      </c>
      <c r="CM4580" s="2"/>
    </row>
    <row r="4581" spans="1:91">
      <c r="A4581" s="2" t="s">
        <v>71</v>
      </c>
      <c r="B4581" s="2" t="s">
        <v>72</v>
      </c>
      <c r="C4581" s="2" t="s">
        <v>73</v>
      </c>
      <c r="D4581" s="2"/>
      <c r="E4581" s="2" t="str">
        <f>"FES1162567125"</f>
        <v>FES1162567125</v>
      </c>
      <c r="F4581" s="3">
        <v>42951</v>
      </c>
      <c r="G4581" s="2">
        <v>201802</v>
      </c>
      <c r="H4581" s="2" t="s">
        <v>74</v>
      </c>
      <c r="I4581" s="2" t="s">
        <v>75</v>
      </c>
      <c r="J4581" s="2" t="s">
        <v>76</v>
      </c>
      <c r="K4581" s="2" t="s">
        <v>77</v>
      </c>
      <c r="L4581" s="2" t="s">
        <v>97</v>
      </c>
      <c r="M4581" s="2" t="s">
        <v>98</v>
      </c>
      <c r="N4581" s="2" t="s">
        <v>214</v>
      </c>
      <c r="O4581" s="2" t="s">
        <v>100</v>
      </c>
      <c r="P4581" s="2" t="str">
        <f>"2170580931                    "</f>
        <v xml:space="preserve">2170580931                    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4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0</v>
      </c>
      <c r="AU4581" s="2">
        <v>0</v>
      </c>
      <c r="AV4581" s="2">
        <v>0</v>
      </c>
      <c r="AW4581" s="2">
        <v>0</v>
      </c>
      <c r="AX4581" s="2">
        <v>0</v>
      </c>
      <c r="AY4581" s="2">
        <v>0</v>
      </c>
      <c r="AZ4581" s="2">
        <v>0</v>
      </c>
      <c r="BA4581" s="2">
        <v>0</v>
      </c>
      <c r="BB4581" s="2">
        <v>0</v>
      </c>
      <c r="BC4581" s="2">
        <v>0</v>
      </c>
      <c r="BD4581" s="2">
        <v>0</v>
      </c>
      <c r="BE4581" s="2">
        <v>0</v>
      </c>
      <c r="BF4581" s="2">
        <v>0</v>
      </c>
      <c r="BG4581" s="2">
        <v>0</v>
      </c>
      <c r="BH4581" s="2">
        <v>1</v>
      </c>
      <c r="BI4581" s="2">
        <v>1</v>
      </c>
      <c r="BJ4581" s="2">
        <v>0.2</v>
      </c>
      <c r="BK4581" s="2">
        <v>1</v>
      </c>
      <c r="BL4581" s="2">
        <v>41.44</v>
      </c>
      <c r="BM4581" s="2">
        <v>5.8</v>
      </c>
      <c r="BN4581" s="2">
        <v>47.24</v>
      </c>
      <c r="BO4581" s="2">
        <v>47.24</v>
      </c>
      <c r="BP4581" s="2"/>
      <c r="BQ4581" s="2" t="s">
        <v>108</v>
      </c>
      <c r="BR4581" s="2" t="s">
        <v>84</v>
      </c>
      <c r="BS4581" s="3">
        <v>42954</v>
      </c>
      <c r="BT4581" s="4">
        <v>0.46527777777777773</v>
      </c>
      <c r="BU4581" s="2" t="s">
        <v>3867</v>
      </c>
      <c r="BV4581" s="2" t="s">
        <v>86</v>
      </c>
      <c r="BW4581" s="2"/>
      <c r="BX4581" s="2"/>
      <c r="BY4581" s="2">
        <v>1200</v>
      </c>
      <c r="BZ4581" s="2"/>
      <c r="CA4581" s="2" t="s">
        <v>213</v>
      </c>
      <c r="CB4581" s="2"/>
      <c r="CC4581" s="2" t="s">
        <v>98</v>
      </c>
      <c r="CD4581" s="2">
        <v>6001</v>
      </c>
      <c r="CE4581" s="2" t="s">
        <v>104</v>
      </c>
      <c r="CF4581" s="5">
        <v>42954</v>
      </c>
      <c r="CG4581" s="2"/>
      <c r="CH4581" s="2"/>
      <c r="CI4581" s="2">
        <v>1</v>
      </c>
      <c r="CJ4581" s="2">
        <v>1</v>
      </c>
      <c r="CK4581" s="2">
        <v>21</v>
      </c>
      <c r="CL4581" s="2" t="s">
        <v>86</v>
      </c>
      <c r="CM4581" s="2"/>
    </row>
    <row r="4582" spans="1:91">
      <c r="A4582" s="2" t="s">
        <v>71</v>
      </c>
      <c r="B4582" s="2" t="s">
        <v>72</v>
      </c>
      <c r="C4582" s="2" t="s">
        <v>73</v>
      </c>
      <c r="D4582" s="2"/>
      <c r="E4582" s="2" t="str">
        <f>"FES1162567085"</f>
        <v>FES1162567085</v>
      </c>
      <c r="F4582" s="3">
        <v>42951</v>
      </c>
      <c r="G4582" s="2">
        <v>201802</v>
      </c>
      <c r="H4582" s="2" t="s">
        <v>74</v>
      </c>
      <c r="I4582" s="2" t="s">
        <v>75</v>
      </c>
      <c r="J4582" s="2" t="s">
        <v>76</v>
      </c>
      <c r="K4582" s="2" t="s">
        <v>77</v>
      </c>
      <c r="L4582" s="2" t="s">
        <v>528</v>
      </c>
      <c r="M4582" s="2" t="s">
        <v>529</v>
      </c>
      <c r="N4582" s="2" t="s">
        <v>530</v>
      </c>
      <c r="O4582" s="2" t="s">
        <v>100</v>
      </c>
      <c r="P4582" s="2" t="str">
        <f>"2170580171                    "</f>
        <v xml:space="preserve">2170580171                    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0</v>
      </c>
      <c r="Y4582" s="2">
        <v>0</v>
      </c>
      <c r="Z4582" s="2">
        <v>0</v>
      </c>
      <c r="AA4582" s="2">
        <v>0</v>
      </c>
      <c r="AB4582" s="2">
        <v>0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7.75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0</v>
      </c>
      <c r="AU4582" s="2">
        <v>0</v>
      </c>
      <c r="AV4582" s="2">
        <v>0</v>
      </c>
      <c r="AW4582" s="2">
        <v>0</v>
      </c>
      <c r="AX4582" s="2">
        <v>0</v>
      </c>
      <c r="AY4582" s="2">
        <v>0</v>
      </c>
      <c r="AZ4582" s="2">
        <v>0</v>
      </c>
      <c r="BA4582" s="2">
        <v>0</v>
      </c>
      <c r="BB4582" s="2">
        <v>0</v>
      </c>
      <c r="BC4582" s="2">
        <v>0</v>
      </c>
      <c r="BD4582" s="2">
        <v>0</v>
      </c>
      <c r="BE4582" s="2">
        <v>0</v>
      </c>
      <c r="BF4582" s="2">
        <v>0</v>
      </c>
      <c r="BG4582" s="2">
        <v>0</v>
      </c>
      <c r="BH4582" s="2">
        <v>1</v>
      </c>
      <c r="BI4582" s="2">
        <v>1</v>
      </c>
      <c r="BJ4582" s="2">
        <v>0.2</v>
      </c>
      <c r="BK4582" s="2">
        <v>1</v>
      </c>
      <c r="BL4582" s="2">
        <v>80.290000000000006</v>
      </c>
      <c r="BM4582" s="2">
        <v>11.24</v>
      </c>
      <c r="BN4582" s="2">
        <v>91.53</v>
      </c>
      <c r="BO4582" s="2">
        <v>91.53</v>
      </c>
      <c r="BP4582" s="2"/>
      <c r="BQ4582" s="2" t="s">
        <v>108</v>
      </c>
      <c r="BR4582" s="2" t="s">
        <v>84</v>
      </c>
      <c r="BS4582" s="3">
        <v>42954</v>
      </c>
      <c r="BT4582" s="4">
        <v>0.94166666666666676</v>
      </c>
      <c r="BU4582" s="2" t="s">
        <v>3633</v>
      </c>
      <c r="BV4582" s="2" t="s">
        <v>95</v>
      </c>
      <c r="BW4582" s="2"/>
      <c r="BX4582" s="2"/>
      <c r="BY4582" s="2">
        <v>1200</v>
      </c>
      <c r="BZ4582" s="2"/>
      <c r="CA4582" s="2" t="s">
        <v>532</v>
      </c>
      <c r="CB4582" s="2"/>
      <c r="CC4582" s="2" t="s">
        <v>529</v>
      </c>
      <c r="CD4582" s="2">
        <v>5099</v>
      </c>
      <c r="CE4582" s="2" t="s">
        <v>104</v>
      </c>
      <c r="CF4582" s="5">
        <v>42957</v>
      </c>
      <c r="CG4582" s="2"/>
      <c r="CH4582" s="2"/>
      <c r="CI4582" s="2">
        <v>3</v>
      </c>
      <c r="CJ4582" s="2">
        <v>1</v>
      </c>
      <c r="CK4582" s="2">
        <v>23</v>
      </c>
      <c r="CL4582" s="2" t="s">
        <v>86</v>
      </c>
      <c r="CM4582" s="2"/>
    </row>
    <row r="4583" spans="1:91">
      <c r="A4583" s="2" t="s">
        <v>71</v>
      </c>
      <c r="B4583" s="2" t="s">
        <v>72</v>
      </c>
      <c r="C4583" s="2" t="s">
        <v>73</v>
      </c>
      <c r="D4583" s="2"/>
      <c r="E4583" s="2" t="str">
        <f>"FES1162567076"</f>
        <v>FES1162567076</v>
      </c>
      <c r="F4583" s="3">
        <v>42951</v>
      </c>
      <c r="G4583" s="2">
        <v>201802</v>
      </c>
      <c r="H4583" s="2" t="s">
        <v>74</v>
      </c>
      <c r="I4583" s="2" t="s">
        <v>75</v>
      </c>
      <c r="J4583" s="2" t="s">
        <v>76</v>
      </c>
      <c r="K4583" s="2" t="s">
        <v>77</v>
      </c>
      <c r="L4583" s="2" t="s">
        <v>510</v>
      </c>
      <c r="M4583" s="2" t="s">
        <v>511</v>
      </c>
      <c r="N4583" s="2" t="s">
        <v>583</v>
      </c>
      <c r="O4583" s="2" t="s">
        <v>100</v>
      </c>
      <c r="P4583" s="2" t="str">
        <f>"2170577950                    "</f>
        <v xml:space="preserve">2170577950                    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2">
        <v>0</v>
      </c>
      <c r="Z4583" s="2">
        <v>0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4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0</v>
      </c>
      <c r="AU4583" s="2">
        <v>0</v>
      </c>
      <c r="AV4583" s="2">
        <v>0</v>
      </c>
      <c r="AW4583" s="2">
        <v>0</v>
      </c>
      <c r="AX4583" s="2">
        <v>0</v>
      </c>
      <c r="AY4583" s="2">
        <v>0</v>
      </c>
      <c r="AZ4583" s="2">
        <v>0</v>
      </c>
      <c r="BA4583" s="2">
        <v>0</v>
      </c>
      <c r="BB4583" s="2">
        <v>0</v>
      </c>
      <c r="BC4583" s="2">
        <v>0</v>
      </c>
      <c r="BD4583" s="2">
        <v>0</v>
      </c>
      <c r="BE4583" s="2">
        <v>0</v>
      </c>
      <c r="BF4583" s="2">
        <v>0</v>
      </c>
      <c r="BG4583" s="2">
        <v>0</v>
      </c>
      <c r="BH4583" s="2">
        <v>1</v>
      </c>
      <c r="BI4583" s="2">
        <v>1</v>
      </c>
      <c r="BJ4583" s="2">
        <v>0.2</v>
      </c>
      <c r="BK4583" s="2">
        <v>1</v>
      </c>
      <c r="BL4583" s="2">
        <v>41.44</v>
      </c>
      <c r="BM4583" s="2">
        <v>5.8</v>
      </c>
      <c r="BN4583" s="2">
        <v>47.24</v>
      </c>
      <c r="BO4583" s="2">
        <v>47.24</v>
      </c>
      <c r="BP4583" s="2"/>
      <c r="BQ4583" s="2" t="s">
        <v>1505</v>
      </c>
      <c r="BR4583" s="2" t="s">
        <v>84</v>
      </c>
      <c r="BS4583" s="3">
        <v>42954</v>
      </c>
      <c r="BT4583" s="4">
        <v>0.33333333333333331</v>
      </c>
      <c r="BU4583" s="2" t="s">
        <v>4108</v>
      </c>
      <c r="BV4583" s="2" t="s">
        <v>95</v>
      </c>
      <c r="BW4583" s="2"/>
      <c r="BX4583" s="2"/>
      <c r="BY4583" s="2">
        <v>1200</v>
      </c>
      <c r="BZ4583" s="2"/>
      <c r="CA4583" s="2" t="s">
        <v>514</v>
      </c>
      <c r="CB4583" s="2"/>
      <c r="CC4583" s="2" t="s">
        <v>511</v>
      </c>
      <c r="CD4583" s="2">
        <v>6229</v>
      </c>
      <c r="CE4583" s="2" t="s">
        <v>104</v>
      </c>
      <c r="CF4583" s="5">
        <v>42955</v>
      </c>
      <c r="CG4583" s="2"/>
      <c r="CH4583" s="2"/>
      <c r="CI4583" s="2">
        <v>1</v>
      </c>
      <c r="CJ4583" s="2">
        <v>1</v>
      </c>
      <c r="CK4583" s="2">
        <v>21</v>
      </c>
      <c r="CL4583" s="2" t="s">
        <v>86</v>
      </c>
      <c r="CM4583" s="2"/>
    </row>
    <row r="4584" spans="1:91">
      <c r="A4584" s="2" t="s">
        <v>71</v>
      </c>
      <c r="B4584" s="2" t="s">
        <v>72</v>
      </c>
      <c r="C4584" s="2" t="s">
        <v>73</v>
      </c>
      <c r="D4584" s="2"/>
      <c r="E4584" s="2" t="str">
        <f>"FES1162567069"</f>
        <v>FES1162567069</v>
      </c>
      <c r="F4584" s="3">
        <v>42951</v>
      </c>
      <c r="G4584" s="2">
        <v>201802</v>
      </c>
      <c r="H4584" s="2" t="s">
        <v>74</v>
      </c>
      <c r="I4584" s="2" t="s">
        <v>75</v>
      </c>
      <c r="J4584" s="2" t="s">
        <v>76</v>
      </c>
      <c r="K4584" s="2" t="s">
        <v>77</v>
      </c>
      <c r="L4584" s="2" t="s">
        <v>174</v>
      </c>
      <c r="M4584" s="2" t="s">
        <v>175</v>
      </c>
      <c r="N4584" s="2" t="s">
        <v>920</v>
      </c>
      <c r="O4584" s="2" t="s">
        <v>100</v>
      </c>
      <c r="P4584" s="2" t="str">
        <f>"217057473 5                   "</f>
        <v xml:space="preserve">217057473 5                   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  <c r="AB4584" s="2">
        <v>0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4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0</v>
      </c>
      <c r="AU4584" s="2">
        <v>0</v>
      </c>
      <c r="AV4584" s="2">
        <v>0</v>
      </c>
      <c r="AW4584" s="2">
        <v>0</v>
      </c>
      <c r="AX4584" s="2">
        <v>0</v>
      </c>
      <c r="AY4584" s="2">
        <v>0</v>
      </c>
      <c r="AZ4584" s="2">
        <v>0</v>
      </c>
      <c r="BA4584" s="2">
        <v>0</v>
      </c>
      <c r="BB4584" s="2">
        <v>0</v>
      </c>
      <c r="BC4584" s="2">
        <v>0</v>
      </c>
      <c r="BD4584" s="2">
        <v>0</v>
      </c>
      <c r="BE4584" s="2">
        <v>0</v>
      </c>
      <c r="BF4584" s="2">
        <v>0</v>
      </c>
      <c r="BG4584" s="2">
        <v>0</v>
      </c>
      <c r="BH4584" s="2">
        <v>1</v>
      </c>
      <c r="BI4584" s="2">
        <v>1</v>
      </c>
      <c r="BJ4584" s="2">
        <v>0.2</v>
      </c>
      <c r="BK4584" s="2">
        <v>1</v>
      </c>
      <c r="BL4584" s="2">
        <v>41.44</v>
      </c>
      <c r="BM4584" s="2">
        <v>5.8</v>
      </c>
      <c r="BN4584" s="2">
        <v>47.24</v>
      </c>
      <c r="BO4584" s="2">
        <v>47.24</v>
      </c>
      <c r="BP4584" s="2"/>
      <c r="BQ4584" s="2" t="s">
        <v>108</v>
      </c>
      <c r="BR4584" s="2" t="s">
        <v>84</v>
      </c>
      <c r="BS4584" s="3">
        <v>42954</v>
      </c>
      <c r="BT4584" s="4">
        <v>0.40625</v>
      </c>
      <c r="BU4584" s="2" t="s">
        <v>4107</v>
      </c>
      <c r="BV4584" s="2" t="s">
        <v>95</v>
      </c>
      <c r="BW4584" s="2"/>
      <c r="BX4584" s="2"/>
      <c r="BY4584" s="2">
        <v>1200</v>
      </c>
      <c r="BZ4584" s="2"/>
      <c r="CA4584" s="2"/>
      <c r="CB4584" s="2"/>
      <c r="CC4584" s="2" t="s">
        <v>175</v>
      </c>
      <c r="CD4584" s="2">
        <v>5201</v>
      </c>
      <c r="CE4584" s="2" t="s">
        <v>104</v>
      </c>
      <c r="CF4584" s="5">
        <v>42957</v>
      </c>
      <c r="CG4584" s="2"/>
      <c r="CH4584" s="2"/>
      <c r="CI4584" s="2">
        <v>1</v>
      </c>
      <c r="CJ4584" s="2">
        <v>1</v>
      </c>
      <c r="CK4584" s="2">
        <v>21</v>
      </c>
      <c r="CL4584" s="2" t="s">
        <v>86</v>
      </c>
      <c r="CM4584" s="2"/>
    </row>
    <row r="4585" spans="1:91">
      <c r="A4585" s="2" t="s">
        <v>71</v>
      </c>
      <c r="B4585" s="2" t="s">
        <v>72</v>
      </c>
      <c r="C4585" s="2" t="s">
        <v>73</v>
      </c>
      <c r="D4585" s="2"/>
      <c r="E4585" s="2" t="str">
        <f>"FES1162566943"</f>
        <v>FES1162566943</v>
      </c>
      <c r="F4585" s="3">
        <v>42951</v>
      </c>
      <c r="G4585" s="2">
        <v>201802</v>
      </c>
      <c r="H4585" s="2" t="s">
        <v>74</v>
      </c>
      <c r="I4585" s="2" t="s">
        <v>75</v>
      </c>
      <c r="J4585" s="2" t="s">
        <v>76</v>
      </c>
      <c r="K4585" s="2" t="s">
        <v>77</v>
      </c>
      <c r="L4585" s="2" t="s">
        <v>105</v>
      </c>
      <c r="M4585" s="2" t="s">
        <v>106</v>
      </c>
      <c r="N4585" s="2" t="s">
        <v>660</v>
      </c>
      <c r="O4585" s="2" t="s">
        <v>100</v>
      </c>
      <c r="P4585" s="2" t="str">
        <f>"2170583190                    "</f>
        <v xml:space="preserve">2170583190                    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12.01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0</v>
      </c>
      <c r="AU4585" s="2">
        <v>0</v>
      </c>
      <c r="AV4585" s="2">
        <v>0</v>
      </c>
      <c r="AW4585" s="2">
        <v>0</v>
      </c>
      <c r="AX4585" s="2">
        <v>0</v>
      </c>
      <c r="AY4585" s="2">
        <v>0</v>
      </c>
      <c r="AZ4585" s="2">
        <v>0</v>
      </c>
      <c r="BA4585" s="2">
        <v>0</v>
      </c>
      <c r="BB4585" s="2">
        <v>0</v>
      </c>
      <c r="BC4585" s="2">
        <v>0</v>
      </c>
      <c r="BD4585" s="2">
        <v>0</v>
      </c>
      <c r="BE4585" s="2">
        <v>0</v>
      </c>
      <c r="BF4585" s="2">
        <v>0</v>
      </c>
      <c r="BG4585" s="2">
        <v>0</v>
      </c>
      <c r="BH4585" s="2">
        <v>1</v>
      </c>
      <c r="BI4585" s="2">
        <v>4.5</v>
      </c>
      <c r="BJ4585" s="2">
        <v>5.8</v>
      </c>
      <c r="BK4585" s="2">
        <v>6</v>
      </c>
      <c r="BL4585" s="2">
        <v>124.33</v>
      </c>
      <c r="BM4585" s="2">
        <v>17.41</v>
      </c>
      <c r="BN4585" s="2">
        <v>141.74</v>
      </c>
      <c r="BO4585" s="2">
        <v>141.74</v>
      </c>
      <c r="BP4585" s="2"/>
      <c r="BQ4585" s="2" t="s">
        <v>83</v>
      </c>
      <c r="BR4585" s="2" t="s">
        <v>84</v>
      </c>
      <c r="BS4585" s="3">
        <v>42954</v>
      </c>
      <c r="BT4585" s="4">
        <v>0.34583333333333338</v>
      </c>
      <c r="BU4585" s="2" t="s">
        <v>863</v>
      </c>
      <c r="BV4585" s="2" t="s">
        <v>95</v>
      </c>
      <c r="BW4585" s="2"/>
      <c r="BX4585" s="2"/>
      <c r="BY4585" s="2">
        <v>28941.99</v>
      </c>
      <c r="BZ4585" s="2"/>
      <c r="CA4585" s="2" t="s">
        <v>663</v>
      </c>
      <c r="CB4585" s="2"/>
      <c r="CC4585" s="2" t="s">
        <v>106</v>
      </c>
      <c r="CD4585" s="2">
        <v>7500</v>
      </c>
      <c r="CE4585" s="2" t="s">
        <v>89</v>
      </c>
      <c r="CF4585" s="5">
        <v>42955</v>
      </c>
      <c r="CG4585" s="2"/>
      <c r="CH4585" s="2"/>
      <c r="CI4585" s="2">
        <v>1</v>
      </c>
      <c r="CJ4585" s="2">
        <v>1</v>
      </c>
      <c r="CK4585" s="2">
        <v>21</v>
      </c>
      <c r="CL4585" s="2" t="s">
        <v>86</v>
      </c>
      <c r="CM4585" s="2"/>
    </row>
    <row r="4586" spans="1:91">
      <c r="A4586" s="2" t="s">
        <v>71</v>
      </c>
      <c r="B4586" s="2" t="s">
        <v>72</v>
      </c>
      <c r="C4586" s="2" t="s">
        <v>73</v>
      </c>
      <c r="D4586" s="2"/>
      <c r="E4586" s="2" t="str">
        <f>"FES1162566955"</f>
        <v>FES1162566955</v>
      </c>
      <c r="F4586" s="3">
        <v>42951</v>
      </c>
      <c r="G4586" s="2">
        <v>201802</v>
      </c>
      <c r="H4586" s="2" t="s">
        <v>74</v>
      </c>
      <c r="I4586" s="2" t="s">
        <v>75</v>
      </c>
      <c r="J4586" s="2" t="s">
        <v>76</v>
      </c>
      <c r="K4586" s="2" t="s">
        <v>77</v>
      </c>
      <c r="L4586" s="2" t="s">
        <v>105</v>
      </c>
      <c r="M4586" s="2" t="s">
        <v>106</v>
      </c>
      <c r="N4586" s="2" t="s">
        <v>2628</v>
      </c>
      <c r="O4586" s="2" t="s">
        <v>100</v>
      </c>
      <c r="P4586" s="2" t="str">
        <f>"2170583203                    "</f>
        <v xml:space="preserve">2170583203                    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0</v>
      </c>
      <c r="Y4586" s="2">
        <v>0</v>
      </c>
      <c r="Z4586" s="2">
        <v>0</v>
      </c>
      <c r="AA4586" s="2">
        <v>0</v>
      </c>
      <c r="AB4586" s="2">
        <v>0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  <c r="AM4586" s="2">
        <v>4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0</v>
      </c>
      <c r="AU4586" s="2">
        <v>0</v>
      </c>
      <c r="AV4586" s="2">
        <v>0</v>
      </c>
      <c r="AW4586" s="2">
        <v>0</v>
      </c>
      <c r="AX4586" s="2">
        <v>0</v>
      </c>
      <c r="AY4586" s="2">
        <v>0</v>
      </c>
      <c r="AZ4586" s="2">
        <v>0</v>
      </c>
      <c r="BA4586" s="2">
        <v>0</v>
      </c>
      <c r="BB4586" s="2">
        <v>0</v>
      </c>
      <c r="BC4586" s="2">
        <v>0</v>
      </c>
      <c r="BD4586" s="2">
        <v>0</v>
      </c>
      <c r="BE4586" s="2">
        <v>0</v>
      </c>
      <c r="BF4586" s="2">
        <v>0</v>
      </c>
      <c r="BG4586" s="2">
        <v>0</v>
      </c>
      <c r="BH4586" s="2">
        <v>1</v>
      </c>
      <c r="BI4586" s="2">
        <v>0.5</v>
      </c>
      <c r="BJ4586" s="2">
        <v>1</v>
      </c>
      <c r="BK4586" s="2">
        <v>1</v>
      </c>
      <c r="BL4586" s="2">
        <v>41.44</v>
      </c>
      <c r="BM4586" s="2">
        <v>5.8</v>
      </c>
      <c r="BN4586" s="2">
        <v>47.24</v>
      </c>
      <c r="BO4586" s="2">
        <v>47.24</v>
      </c>
      <c r="BP4586" s="2"/>
      <c r="BQ4586" s="2" t="s">
        <v>83</v>
      </c>
      <c r="BR4586" s="2" t="s">
        <v>84</v>
      </c>
      <c r="BS4586" s="3">
        <v>42954</v>
      </c>
      <c r="BT4586" s="4">
        <v>0.35833333333333334</v>
      </c>
      <c r="BU4586" s="2" t="s">
        <v>2629</v>
      </c>
      <c r="BV4586" s="2" t="s">
        <v>95</v>
      </c>
      <c r="BW4586" s="2"/>
      <c r="BX4586" s="2"/>
      <c r="BY4586" s="2">
        <v>4927.6499999999996</v>
      </c>
      <c r="BZ4586" s="2"/>
      <c r="CA4586" s="2" t="s">
        <v>663</v>
      </c>
      <c r="CB4586" s="2"/>
      <c r="CC4586" s="2" t="s">
        <v>106</v>
      </c>
      <c r="CD4586" s="2">
        <v>7500</v>
      </c>
      <c r="CE4586" s="2" t="s">
        <v>89</v>
      </c>
      <c r="CF4586" s="5">
        <v>42955</v>
      </c>
      <c r="CG4586" s="2"/>
      <c r="CH4586" s="2"/>
      <c r="CI4586" s="2">
        <v>1</v>
      </c>
      <c r="CJ4586" s="2">
        <v>1</v>
      </c>
      <c r="CK4586" s="2">
        <v>21</v>
      </c>
      <c r="CL4586" s="2" t="s">
        <v>86</v>
      </c>
      <c r="CM4586" s="2"/>
    </row>
    <row r="4587" spans="1:91">
      <c r="A4587" s="2" t="s">
        <v>71</v>
      </c>
      <c r="B4587" s="2" t="s">
        <v>72</v>
      </c>
      <c r="C4587" s="2" t="s">
        <v>73</v>
      </c>
      <c r="D4587" s="2"/>
      <c r="E4587" s="2" t="str">
        <f>"FES1162566988"</f>
        <v>FES1162566988</v>
      </c>
      <c r="F4587" s="3">
        <v>42951</v>
      </c>
      <c r="G4587" s="2">
        <v>201802</v>
      </c>
      <c r="H4587" s="2" t="s">
        <v>74</v>
      </c>
      <c r="I4587" s="2" t="s">
        <v>75</v>
      </c>
      <c r="J4587" s="2" t="s">
        <v>76</v>
      </c>
      <c r="K4587" s="2" t="s">
        <v>77</v>
      </c>
      <c r="L4587" s="2" t="s">
        <v>510</v>
      </c>
      <c r="M4587" s="2" t="s">
        <v>511</v>
      </c>
      <c r="N4587" s="2" t="s">
        <v>583</v>
      </c>
      <c r="O4587" s="2" t="s">
        <v>100</v>
      </c>
      <c r="P4587" s="2" t="str">
        <f>"2170577632                    "</f>
        <v xml:space="preserve">2170577632                    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4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0</v>
      </c>
      <c r="AU4587" s="2">
        <v>0</v>
      </c>
      <c r="AV4587" s="2">
        <v>0</v>
      </c>
      <c r="AW4587" s="2">
        <v>0</v>
      </c>
      <c r="AX4587" s="2">
        <v>0</v>
      </c>
      <c r="AY4587" s="2">
        <v>0</v>
      </c>
      <c r="AZ4587" s="2">
        <v>0</v>
      </c>
      <c r="BA4587" s="2">
        <v>0</v>
      </c>
      <c r="BB4587" s="2">
        <v>0</v>
      </c>
      <c r="BC4587" s="2">
        <v>0</v>
      </c>
      <c r="BD4587" s="2">
        <v>0</v>
      </c>
      <c r="BE4587" s="2">
        <v>0</v>
      </c>
      <c r="BF4587" s="2">
        <v>0</v>
      </c>
      <c r="BG4587" s="2">
        <v>0</v>
      </c>
      <c r="BH4587" s="2">
        <v>1</v>
      </c>
      <c r="BI4587" s="2">
        <v>1</v>
      </c>
      <c r="BJ4587" s="2">
        <v>0.2</v>
      </c>
      <c r="BK4587" s="2">
        <v>1</v>
      </c>
      <c r="BL4587" s="2">
        <v>41.44</v>
      </c>
      <c r="BM4587" s="2">
        <v>5.8</v>
      </c>
      <c r="BN4587" s="2">
        <v>47.24</v>
      </c>
      <c r="BO4587" s="2">
        <v>47.24</v>
      </c>
      <c r="BP4587" s="2"/>
      <c r="BQ4587" s="2" t="s">
        <v>1505</v>
      </c>
      <c r="BR4587" s="2" t="s">
        <v>84</v>
      </c>
      <c r="BS4587" s="3">
        <v>42954</v>
      </c>
      <c r="BT4587" s="4">
        <v>0.33333333333333331</v>
      </c>
      <c r="BU4587" s="2" t="s">
        <v>4108</v>
      </c>
      <c r="BV4587" s="2" t="s">
        <v>95</v>
      </c>
      <c r="BW4587" s="2"/>
      <c r="BX4587" s="2"/>
      <c r="BY4587" s="2">
        <v>1200</v>
      </c>
      <c r="BZ4587" s="2"/>
      <c r="CA4587" s="2" t="s">
        <v>514</v>
      </c>
      <c r="CB4587" s="2"/>
      <c r="CC4587" s="2" t="s">
        <v>511</v>
      </c>
      <c r="CD4587" s="2">
        <v>6229</v>
      </c>
      <c r="CE4587" s="2" t="s">
        <v>104</v>
      </c>
      <c r="CF4587" s="5">
        <v>42955</v>
      </c>
      <c r="CG4587" s="2"/>
      <c r="CH4587" s="2"/>
      <c r="CI4587" s="2">
        <v>1</v>
      </c>
      <c r="CJ4587" s="2">
        <v>1</v>
      </c>
      <c r="CK4587" s="2">
        <v>21</v>
      </c>
      <c r="CL4587" s="2" t="s">
        <v>86</v>
      </c>
      <c r="CM4587" s="2"/>
    </row>
    <row r="4588" spans="1:91">
      <c r="A4588" s="2" t="s">
        <v>71</v>
      </c>
      <c r="B4588" s="2" t="s">
        <v>72</v>
      </c>
      <c r="C4588" s="2" t="s">
        <v>73</v>
      </c>
      <c r="D4588" s="2"/>
      <c r="E4588" s="2" t="str">
        <f>"FES1162567143"</f>
        <v>FES1162567143</v>
      </c>
      <c r="F4588" s="3">
        <v>42951</v>
      </c>
      <c r="G4588" s="2">
        <v>201802</v>
      </c>
      <c r="H4588" s="2" t="s">
        <v>74</v>
      </c>
      <c r="I4588" s="2" t="s">
        <v>75</v>
      </c>
      <c r="J4588" s="2" t="s">
        <v>76</v>
      </c>
      <c r="K4588" s="2" t="s">
        <v>77</v>
      </c>
      <c r="L4588" s="2" t="s">
        <v>97</v>
      </c>
      <c r="M4588" s="2" t="s">
        <v>98</v>
      </c>
      <c r="N4588" s="2" t="s">
        <v>214</v>
      </c>
      <c r="O4588" s="2" t="s">
        <v>100</v>
      </c>
      <c r="P4588" s="2" t="str">
        <f>"2170581251                    "</f>
        <v xml:space="preserve">2170581251                    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4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0</v>
      </c>
      <c r="AU4588" s="2">
        <v>0</v>
      </c>
      <c r="AV4588" s="2">
        <v>0</v>
      </c>
      <c r="AW4588" s="2">
        <v>0</v>
      </c>
      <c r="AX4588" s="2">
        <v>0</v>
      </c>
      <c r="AY4588" s="2">
        <v>0</v>
      </c>
      <c r="AZ4588" s="2">
        <v>0</v>
      </c>
      <c r="BA4588" s="2">
        <v>0</v>
      </c>
      <c r="BB4588" s="2">
        <v>0</v>
      </c>
      <c r="BC4588" s="2">
        <v>0</v>
      </c>
      <c r="BD4588" s="2">
        <v>0</v>
      </c>
      <c r="BE4588" s="2">
        <v>0</v>
      </c>
      <c r="BF4588" s="2">
        <v>0</v>
      </c>
      <c r="BG4588" s="2">
        <v>0</v>
      </c>
      <c r="BH4588" s="2">
        <v>1</v>
      </c>
      <c r="BI4588" s="2">
        <v>1</v>
      </c>
      <c r="BJ4588" s="2">
        <v>0.2</v>
      </c>
      <c r="BK4588" s="2">
        <v>1</v>
      </c>
      <c r="BL4588" s="2">
        <v>41.44</v>
      </c>
      <c r="BM4588" s="2">
        <v>5.8</v>
      </c>
      <c r="BN4588" s="2">
        <v>47.24</v>
      </c>
      <c r="BO4588" s="2">
        <v>47.24</v>
      </c>
      <c r="BP4588" s="2"/>
      <c r="BQ4588" s="2" t="s">
        <v>108</v>
      </c>
      <c r="BR4588" s="2" t="s">
        <v>84</v>
      </c>
      <c r="BS4588" s="3">
        <v>42954</v>
      </c>
      <c r="BT4588" s="4">
        <v>0.3263888888888889</v>
      </c>
      <c r="BU4588" s="2" t="s">
        <v>2923</v>
      </c>
      <c r="BV4588" s="2" t="s">
        <v>95</v>
      </c>
      <c r="BW4588" s="2"/>
      <c r="BX4588" s="2"/>
      <c r="BY4588" s="2">
        <v>1200</v>
      </c>
      <c r="BZ4588" s="2"/>
      <c r="CA4588" s="2" t="s">
        <v>213</v>
      </c>
      <c r="CB4588" s="2"/>
      <c r="CC4588" s="2" t="s">
        <v>98</v>
      </c>
      <c r="CD4588" s="2">
        <v>6001</v>
      </c>
      <c r="CE4588" s="2" t="s">
        <v>104</v>
      </c>
      <c r="CF4588" s="5">
        <v>42955</v>
      </c>
      <c r="CG4588" s="2"/>
      <c r="CH4588" s="2"/>
      <c r="CI4588" s="2">
        <v>1</v>
      </c>
      <c r="CJ4588" s="2">
        <v>1</v>
      </c>
      <c r="CK4588" s="2">
        <v>21</v>
      </c>
      <c r="CL4588" s="2" t="s">
        <v>86</v>
      </c>
      <c r="CM4588" s="2"/>
    </row>
    <row r="4589" spans="1:91">
      <c r="A4589" s="2" t="s">
        <v>71</v>
      </c>
      <c r="B4589" s="2" t="s">
        <v>72</v>
      </c>
      <c r="C4589" s="2" t="s">
        <v>73</v>
      </c>
      <c r="D4589" s="2"/>
      <c r="E4589" s="2" t="str">
        <f>"FES1162567180"</f>
        <v>FES1162567180</v>
      </c>
      <c r="F4589" s="3">
        <v>42951</v>
      </c>
      <c r="G4589" s="2">
        <v>201802</v>
      </c>
      <c r="H4589" s="2" t="s">
        <v>74</v>
      </c>
      <c r="I4589" s="2" t="s">
        <v>75</v>
      </c>
      <c r="J4589" s="2" t="s">
        <v>76</v>
      </c>
      <c r="K4589" s="2" t="s">
        <v>77</v>
      </c>
      <c r="L4589" s="2" t="s">
        <v>97</v>
      </c>
      <c r="M4589" s="2" t="s">
        <v>98</v>
      </c>
      <c r="N4589" s="2" t="s">
        <v>214</v>
      </c>
      <c r="O4589" s="2" t="s">
        <v>100</v>
      </c>
      <c r="P4589" s="2" t="str">
        <f>"2170580964                    "</f>
        <v xml:space="preserve">2170580964                    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4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0</v>
      </c>
      <c r="AU4589" s="2">
        <v>0</v>
      </c>
      <c r="AV4589" s="2">
        <v>0</v>
      </c>
      <c r="AW4589" s="2">
        <v>0</v>
      </c>
      <c r="AX4589" s="2">
        <v>0</v>
      </c>
      <c r="AY4589" s="2">
        <v>0</v>
      </c>
      <c r="AZ4589" s="2">
        <v>0</v>
      </c>
      <c r="BA4589" s="2">
        <v>0</v>
      </c>
      <c r="BB4589" s="2">
        <v>0</v>
      </c>
      <c r="BC4589" s="2">
        <v>0</v>
      </c>
      <c r="BD4589" s="2">
        <v>0</v>
      </c>
      <c r="BE4589" s="2">
        <v>0</v>
      </c>
      <c r="BF4589" s="2">
        <v>0</v>
      </c>
      <c r="BG4589" s="2">
        <v>0</v>
      </c>
      <c r="BH4589" s="2">
        <v>1</v>
      </c>
      <c r="BI4589" s="2">
        <v>1</v>
      </c>
      <c r="BJ4589" s="2">
        <v>0.2</v>
      </c>
      <c r="BK4589" s="2">
        <v>1</v>
      </c>
      <c r="BL4589" s="2">
        <v>41.44</v>
      </c>
      <c r="BM4589" s="2">
        <v>5.8</v>
      </c>
      <c r="BN4589" s="2">
        <v>47.24</v>
      </c>
      <c r="BO4589" s="2">
        <v>47.24</v>
      </c>
      <c r="BP4589" s="2"/>
      <c r="BQ4589" s="2" t="s">
        <v>108</v>
      </c>
      <c r="BR4589" s="2" t="s">
        <v>84</v>
      </c>
      <c r="BS4589" s="3">
        <v>42954</v>
      </c>
      <c r="BT4589" s="4">
        <v>0.46597222222222223</v>
      </c>
      <c r="BU4589" s="2" t="s">
        <v>3867</v>
      </c>
      <c r="BV4589" s="2" t="s">
        <v>86</v>
      </c>
      <c r="BW4589" s="2"/>
      <c r="BX4589" s="2"/>
      <c r="BY4589" s="2">
        <v>1200</v>
      </c>
      <c r="BZ4589" s="2"/>
      <c r="CA4589" s="2" t="s">
        <v>213</v>
      </c>
      <c r="CB4589" s="2"/>
      <c r="CC4589" s="2" t="s">
        <v>98</v>
      </c>
      <c r="CD4589" s="2">
        <v>6001</v>
      </c>
      <c r="CE4589" s="2" t="s">
        <v>104</v>
      </c>
      <c r="CF4589" s="5">
        <v>42954</v>
      </c>
      <c r="CG4589" s="2"/>
      <c r="CH4589" s="2"/>
      <c r="CI4589" s="2">
        <v>1</v>
      </c>
      <c r="CJ4589" s="2">
        <v>1</v>
      </c>
      <c r="CK4589" s="2">
        <v>21</v>
      </c>
      <c r="CL4589" s="2" t="s">
        <v>86</v>
      </c>
      <c r="CM4589" s="2"/>
    </row>
    <row r="4590" spans="1:91">
      <c r="A4590" s="2" t="s">
        <v>71</v>
      </c>
      <c r="B4590" s="2" t="s">
        <v>72</v>
      </c>
      <c r="C4590" s="2" t="s">
        <v>73</v>
      </c>
      <c r="D4590" s="2"/>
      <c r="E4590" s="2" t="str">
        <f>"FES1162567163"</f>
        <v>FES1162567163</v>
      </c>
      <c r="F4590" s="3">
        <v>42951</v>
      </c>
      <c r="G4590" s="2">
        <v>201802</v>
      </c>
      <c r="H4590" s="2" t="s">
        <v>74</v>
      </c>
      <c r="I4590" s="2" t="s">
        <v>75</v>
      </c>
      <c r="J4590" s="2" t="s">
        <v>76</v>
      </c>
      <c r="K4590" s="2" t="s">
        <v>77</v>
      </c>
      <c r="L4590" s="2" t="s">
        <v>97</v>
      </c>
      <c r="M4590" s="2" t="s">
        <v>98</v>
      </c>
      <c r="N4590" s="2" t="s">
        <v>119</v>
      </c>
      <c r="O4590" s="2" t="s">
        <v>100</v>
      </c>
      <c r="P4590" s="2" t="str">
        <f>"2170583122                    "</f>
        <v xml:space="preserve">2170583122                    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4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0</v>
      </c>
      <c r="AU4590" s="2">
        <v>0</v>
      </c>
      <c r="AV4590" s="2">
        <v>0</v>
      </c>
      <c r="AW4590" s="2">
        <v>0</v>
      </c>
      <c r="AX4590" s="2">
        <v>0</v>
      </c>
      <c r="AY4590" s="2">
        <v>0</v>
      </c>
      <c r="AZ4590" s="2">
        <v>0</v>
      </c>
      <c r="BA4590" s="2">
        <v>0</v>
      </c>
      <c r="BB4590" s="2">
        <v>0</v>
      </c>
      <c r="BC4590" s="2">
        <v>0</v>
      </c>
      <c r="BD4590" s="2">
        <v>0</v>
      </c>
      <c r="BE4590" s="2">
        <v>0</v>
      </c>
      <c r="BF4590" s="2">
        <v>0</v>
      </c>
      <c r="BG4590" s="2">
        <v>0</v>
      </c>
      <c r="BH4590" s="2">
        <v>1</v>
      </c>
      <c r="BI4590" s="2">
        <v>1</v>
      </c>
      <c r="BJ4590" s="2">
        <v>0.2</v>
      </c>
      <c r="BK4590" s="2">
        <v>1</v>
      </c>
      <c r="BL4590" s="2">
        <v>41.44</v>
      </c>
      <c r="BM4590" s="2">
        <v>5.8</v>
      </c>
      <c r="BN4590" s="2">
        <v>47.24</v>
      </c>
      <c r="BO4590" s="2">
        <v>47.24</v>
      </c>
      <c r="BP4590" s="2"/>
      <c r="BQ4590" s="2" t="s">
        <v>108</v>
      </c>
      <c r="BR4590" s="2" t="s">
        <v>84</v>
      </c>
      <c r="BS4590" s="3">
        <v>42954</v>
      </c>
      <c r="BT4590" s="4">
        <v>0.3347222222222222</v>
      </c>
      <c r="BU4590" s="2" t="s">
        <v>224</v>
      </c>
      <c r="BV4590" s="2" t="s">
        <v>95</v>
      </c>
      <c r="BW4590" s="2"/>
      <c r="BX4590" s="2"/>
      <c r="BY4590" s="2">
        <v>1200</v>
      </c>
      <c r="BZ4590" s="2"/>
      <c r="CA4590" s="2" t="s">
        <v>213</v>
      </c>
      <c r="CB4590" s="2"/>
      <c r="CC4590" s="2" t="s">
        <v>98</v>
      </c>
      <c r="CD4590" s="2">
        <v>6001</v>
      </c>
      <c r="CE4590" s="2" t="s">
        <v>104</v>
      </c>
      <c r="CF4590" s="5">
        <v>42955</v>
      </c>
      <c r="CG4590" s="2"/>
      <c r="CH4590" s="2"/>
      <c r="CI4590" s="2">
        <v>1</v>
      </c>
      <c r="CJ4590" s="2">
        <v>1</v>
      </c>
      <c r="CK4590" s="2">
        <v>21</v>
      </c>
      <c r="CL4590" s="2" t="s">
        <v>86</v>
      </c>
      <c r="CM4590" s="2"/>
    </row>
    <row r="4591" spans="1:91">
      <c r="A4591" s="2" t="s">
        <v>71</v>
      </c>
      <c r="B4591" s="2" t="s">
        <v>72</v>
      </c>
      <c r="C4591" s="2" t="s">
        <v>73</v>
      </c>
      <c r="D4591" s="2"/>
      <c r="E4591" s="2" t="str">
        <f>"FES1162566843"</f>
        <v>FES1162566843</v>
      </c>
      <c r="F4591" s="3">
        <v>42951</v>
      </c>
      <c r="G4591" s="2">
        <v>201802</v>
      </c>
      <c r="H4591" s="2" t="s">
        <v>74</v>
      </c>
      <c r="I4591" s="2" t="s">
        <v>75</v>
      </c>
      <c r="J4591" s="2" t="s">
        <v>76</v>
      </c>
      <c r="K4591" s="2" t="s">
        <v>77</v>
      </c>
      <c r="L4591" s="2" t="s">
        <v>74</v>
      </c>
      <c r="M4591" s="2" t="s">
        <v>75</v>
      </c>
      <c r="N4591" s="2" t="s">
        <v>4109</v>
      </c>
      <c r="O4591" s="2" t="s">
        <v>100</v>
      </c>
      <c r="P4591" s="2" t="str">
        <f>"2170583086                    "</f>
        <v xml:space="preserve">2170583086                    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3.13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0</v>
      </c>
      <c r="AU4591" s="2">
        <v>0</v>
      </c>
      <c r="AV4591" s="2">
        <v>0</v>
      </c>
      <c r="AW4591" s="2">
        <v>0</v>
      </c>
      <c r="AX4591" s="2">
        <v>0</v>
      </c>
      <c r="AY4591" s="2">
        <v>0</v>
      </c>
      <c r="AZ4591" s="2">
        <v>0</v>
      </c>
      <c r="BA4591" s="2">
        <v>0</v>
      </c>
      <c r="BB4591" s="2">
        <v>0</v>
      </c>
      <c r="BC4591" s="2">
        <v>0</v>
      </c>
      <c r="BD4591" s="2">
        <v>0</v>
      </c>
      <c r="BE4591" s="2">
        <v>0</v>
      </c>
      <c r="BF4591" s="2">
        <v>0</v>
      </c>
      <c r="BG4591" s="2">
        <v>0</v>
      </c>
      <c r="BH4591" s="2">
        <v>1</v>
      </c>
      <c r="BI4591" s="2">
        <v>3</v>
      </c>
      <c r="BJ4591" s="2">
        <v>4.0999999999999996</v>
      </c>
      <c r="BK4591" s="2">
        <v>5</v>
      </c>
      <c r="BL4591" s="2">
        <v>32.380000000000003</v>
      </c>
      <c r="BM4591" s="2">
        <v>4.53</v>
      </c>
      <c r="BN4591" s="2">
        <v>36.909999999999997</v>
      </c>
      <c r="BO4591" s="2">
        <v>36.909999999999997</v>
      </c>
      <c r="BP4591" s="2"/>
      <c r="BQ4591" s="2" t="s">
        <v>108</v>
      </c>
      <c r="BR4591" s="2" t="s">
        <v>84</v>
      </c>
      <c r="BS4591" s="3">
        <v>42954</v>
      </c>
      <c r="BT4591" s="4">
        <v>0.4375</v>
      </c>
      <c r="BU4591" s="2" t="s">
        <v>4051</v>
      </c>
      <c r="BV4591" s="2" t="s">
        <v>95</v>
      </c>
      <c r="BW4591" s="2"/>
      <c r="BX4591" s="2"/>
      <c r="BY4591" s="2">
        <v>20700</v>
      </c>
      <c r="BZ4591" s="2"/>
      <c r="CA4591" s="2"/>
      <c r="CB4591" s="2"/>
      <c r="CC4591" s="2" t="s">
        <v>75</v>
      </c>
      <c r="CD4591" s="2">
        <v>1600</v>
      </c>
      <c r="CE4591" s="2" t="s">
        <v>104</v>
      </c>
      <c r="CF4591" s="5">
        <v>42955</v>
      </c>
      <c r="CG4591" s="2"/>
      <c r="CH4591" s="2"/>
      <c r="CI4591" s="2">
        <v>1</v>
      </c>
      <c r="CJ4591" s="2">
        <v>1</v>
      </c>
      <c r="CK4591" s="2">
        <v>22</v>
      </c>
      <c r="CL4591" s="2" t="s">
        <v>86</v>
      </c>
      <c r="CM4591" s="2"/>
    </row>
    <row r="4592" spans="1:91">
      <c r="A4592" s="2" t="s">
        <v>71</v>
      </c>
      <c r="B4592" s="2" t="s">
        <v>72</v>
      </c>
      <c r="C4592" s="2" t="s">
        <v>73</v>
      </c>
      <c r="D4592" s="2"/>
      <c r="E4592" s="2" t="str">
        <f>"FES1162567153"</f>
        <v>FES1162567153</v>
      </c>
      <c r="F4592" s="3">
        <v>42951</v>
      </c>
      <c r="G4592" s="2">
        <v>201802</v>
      </c>
      <c r="H4592" s="2" t="s">
        <v>74</v>
      </c>
      <c r="I4592" s="2" t="s">
        <v>75</v>
      </c>
      <c r="J4592" s="2" t="s">
        <v>76</v>
      </c>
      <c r="K4592" s="2" t="s">
        <v>77</v>
      </c>
      <c r="L4592" s="2" t="s">
        <v>174</v>
      </c>
      <c r="M4592" s="2" t="s">
        <v>175</v>
      </c>
      <c r="N4592" s="2" t="s">
        <v>930</v>
      </c>
      <c r="O4592" s="2" t="s">
        <v>100</v>
      </c>
      <c r="P4592" s="2" t="str">
        <f>"2170582660                    "</f>
        <v xml:space="preserve">2170582660                    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4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0</v>
      </c>
      <c r="AU4592" s="2">
        <v>0</v>
      </c>
      <c r="AV4592" s="2">
        <v>0</v>
      </c>
      <c r="AW4592" s="2">
        <v>0</v>
      </c>
      <c r="AX4592" s="2">
        <v>0</v>
      </c>
      <c r="AY4592" s="2">
        <v>0</v>
      </c>
      <c r="AZ4592" s="2">
        <v>0</v>
      </c>
      <c r="BA4592" s="2">
        <v>0</v>
      </c>
      <c r="BB4592" s="2">
        <v>0</v>
      </c>
      <c r="BC4592" s="2">
        <v>0</v>
      </c>
      <c r="BD4592" s="2">
        <v>0</v>
      </c>
      <c r="BE4592" s="2">
        <v>0</v>
      </c>
      <c r="BF4592" s="2">
        <v>0</v>
      </c>
      <c r="BG4592" s="2">
        <v>0</v>
      </c>
      <c r="BH4592" s="2">
        <v>1</v>
      </c>
      <c r="BI4592" s="2">
        <v>1</v>
      </c>
      <c r="BJ4592" s="2">
        <v>0.2</v>
      </c>
      <c r="BK4592" s="2">
        <v>1</v>
      </c>
      <c r="BL4592" s="2">
        <v>41.44</v>
      </c>
      <c r="BM4592" s="2">
        <v>5.8</v>
      </c>
      <c r="BN4592" s="2">
        <v>47.24</v>
      </c>
      <c r="BO4592" s="2">
        <v>47.24</v>
      </c>
      <c r="BP4592" s="2"/>
      <c r="BQ4592" s="2" t="s">
        <v>83</v>
      </c>
      <c r="BR4592" s="2" t="s">
        <v>84</v>
      </c>
      <c r="BS4592" s="3">
        <v>42954</v>
      </c>
      <c r="BT4592" s="4">
        <v>0.4465277777777778</v>
      </c>
      <c r="BU4592" s="2" t="s">
        <v>1408</v>
      </c>
      <c r="BV4592" s="2" t="s">
        <v>95</v>
      </c>
      <c r="BW4592" s="2"/>
      <c r="BX4592" s="2"/>
      <c r="BY4592" s="2">
        <v>1200</v>
      </c>
      <c r="BZ4592" s="2"/>
      <c r="CA4592" s="2" t="s">
        <v>1373</v>
      </c>
      <c r="CB4592" s="2"/>
      <c r="CC4592" s="2" t="s">
        <v>175</v>
      </c>
      <c r="CD4592" s="2">
        <v>5201</v>
      </c>
      <c r="CE4592" s="2" t="s">
        <v>104</v>
      </c>
      <c r="CF4592" s="5">
        <v>42957</v>
      </c>
      <c r="CG4592" s="2"/>
      <c r="CH4592" s="2"/>
      <c r="CI4592" s="2">
        <v>1</v>
      </c>
      <c r="CJ4592" s="2">
        <v>1</v>
      </c>
      <c r="CK4592" s="2">
        <v>21</v>
      </c>
      <c r="CL4592" s="2" t="s">
        <v>86</v>
      </c>
      <c r="CM4592" s="2"/>
    </row>
    <row r="4593" spans="1:91">
      <c r="A4593" s="2" t="s">
        <v>71</v>
      </c>
      <c r="B4593" s="2" t="s">
        <v>72</v>
      </c>
      <c r="C4593" s="2" t="s">
        <v>73</v>
      </c>
      <c r="D4593" s="2"/>
      <c r="E4593" s="2" t="str">
        <f>"FES1162567138"</f>
        <v>FES1162567138</v>
      </c>
      <c r="F4593" s="3">
        <v>42951</v>
      </c>
      <c r="G4593" s="2">
        <v>201802</v>
      </c>
      <c r="H4593" s="2" t="s">
        <v>74</v>
      </c>
      <c r="I4593" s="2" t="s">
        <v>75</v>
      </c>
      <c r="J4593" s="2" t="s">
        <v>76</v>
      </c>
      <c r="K4593" s="2" t="s">
        <v>77</v>
      </c>
      <c r="L4593" s="2" t="s">
        <v>321</v>
      </c>
      <c r="M4593" s="2" t="s">
        <v>322</v>
      </c>
      <c r="N4593" s="2" t="s">
        <v>1362</v>
      </c>
      <c r="O4593" s="2" t="s">
        <v>100</v>
      </c>
      <c r="P4593" s="2" t="str">
        <f>"21705881222                   "</f>
        <v xml:space="preserve">21705881222                   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</v>
      </c>
      <c r="Y4593" s="2">
        <v>0</v>
      </c>
      <c r="Z4593" s="2">
        <v>0</v>
      </c>
      <c r="AA4593" s="2">
        <v>0</v>
      </c>
      <c r="AB4593" s="2">
        <v>0</v>
      </c>
      <c r="AC4593" s="2">
        <v>0</v>
      </c>
      <c r="AD4593" s="2">
        <v>0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4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0</v>
      </c>
      <c r="AU4593" s="2">
        <v>0</v>
      </c>
      <c r="AV4593" s="2">
        <v>0</v>
      </c>
      <c r="AW4593" s="2">
        <v>0</v>
      </c>
      <c r="AX4593" s="2">
        <v>0</v>
      </c>
      <c r="AY4593" s="2">
        <v>0</v>
      </c>
      <c r="AZ4593" s="2">
        <v>0</v>
      </c>
      <c r="BA4593" s="2">
        <v>0</v>
      </c>
      <c r="BB4593" s="2">
        <v>0</v>
      </c>
      <c r="BC4593" s="2">
        <v>0</v>
      </c>
      <c r="BD4593" s="2">
        <v>0</v>
      </c>
      <c r="BE4593" s="2">
        <v>0</v>
      </c>
      <c r="BF4593" s="2">
        <v>0</v>
      </c>
      <c r="BG4593" s="2">
        <v>0</v>
      </c>
      <c r="BH4593" s="2">
        <v>1</v>
      </c>
      <c r="BI4593" s="2">
        <v>1</v>
      </c>
      <c r="BJ4593" s="2">
        <v>0.2</v>
      </c>
      <c r="BK4593" s="2">
        <v>1</v>
      </c>
      <c r="BL4593" s="2">
        <v>41.44</v>
      </c>
      <c r="BM4593" s="2">
        <v>5.8</v>
      </c>
      <c r="BN4593" s="2">
        <v>47.24</v>
      </c>
      <c r="BO4593" s="2">
        <v>47.24</v>
      </c>
      <c r="BP4593" s="2"/>
      <c r="BQ4593" s="2" t="s">
        <v>1550</v>
      </c>
      <c r="BR4593" s="2" t="s">
        <v>84</v>
      </c>
      <c r="BS4593" s="3">
        <v>42954</v>
      </c>
      <c r="BT4593" s="4">
        <v>0.39374999999999999</v>
      </c>
      <c r="BU4593" s="2" t="s">
        <v>1551</v>
      </c>
      <c r="BV4593" s="2" t="s">
        <v>95</v>
      </c>
      <c r="BW4593" s="2"/>
      <c r="BX4593" s="2"/>
      <c r="BY4593" s="2">
        <v>1200</v>
      </c>
      <c r="BZ4593" s="2"/>
      <c r="CA4593" s="2" t="s">
        <v>103</v>
      </c>
      <c r="CB4593" s="2"/>
      <c r="CC4593" s="2" t="s">
        <v>322</v>
      </c>
      <c r="CD4593" s="2">
        <v>6220</v>
      </c>
      <c r="CE4593" s="2" t="s">
        <v>104</v>
      </c>
      <c r="CF4593" s="5">
        <v>42955</v>
      </c>
      <c r="CG4593" s="2"/>
      <c r="CH4593" s="2"/>
      <c r="CI4593" s="2">
        <v>1</v>
      </c>
      <c r="CJ4593" s="2">
        <v>1</v>
      </c>
      <c r="CK4593" s="2">
        <v>21</v>
      </c>
      <c r="CL4593" s="2" t="s">
        <v>86</v>
      </c>
      <c r="CM4593" s="2"/>
    </row>
    <row r="4594" spans="1:91">
      <c r="A4594" s="2" t="s">
        <v>71</v>
      </c>
      <c r="B4594" s="2" t="s">
        <v>72</v>
      </c>
      <c r="C4594" s="2" t="s">
        <v>73</v>
      </c>
      <c r="D4594" s="2"/>
      <c r="E4594" s="2" t="str">
        <f>"FES1162566999"</f>
        <v>FES1162566999</v>
      </c>
      <c r="F4594" s="3">
        <v>42951</v>
      </c>
      <c r="G4594" s="2">
        <v>201802</v>
      </c>
      <c r="H4594" s="2" t="s">
        <v>74</v>
      </c>
      <c r="I4594" s="2" t="s">
        <v>75</v>
      </c>
      <c r="J4594" s="2" t="s">
        <v>76</v>
      </c>
      <c r="K4594" s="2" t="s">
        <v>77</v>
      </c>
      <c r="L4594" s="2" t="s">
        <v>174</v>
      </c>
      <c r="M4594" s="2" t="s">
        <v>175</v>
      </c>
      <c r="N4594" s="2" t="s">
        <v>930</v>
      </c>
      <c r="O4594" s="2" t="s">
        <v>100</v>
      </c>
      <c r="P4594" s="2" t="str">
        <f>"2170582660                    "</f>
        <v xml:space="preserve">2170582660                    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4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0</v>
      </c>
      <c r="AU4594" s="2">
        <v>0</v>
      </c>
      <c r="AV4594" s="2">
        <v>0</v>
      </c>
      <c r="AW4594" s="2">
        <v>0</v>
      </c>
      <c r="AX4594" s="2">
        <v>0</v>
      </c>
      <c r="AY4594" s="2">
        <v>0</v>
      </c>
      <c r="AZ4594" s="2">
        <v>0</v>
      </c>
      <c r="BA4594" s="2">
        <v>0</v>
      </c>
      <c r="BB4594" s="2">
        <v>0</v>
      </c>
      <c r="BC4594" s="2">
        <v>0</v>
      </c>
      <c r="BD4594" s="2">
        <v>0</v>
      </c>
      <c r="BE4594" s="2">
        <v>0</v>
      </c>
      <c r="BF4594" s="2">
        <v>0</v>
      </c>
      <c r="BG4594" s="2">
        <v>0</v>
      </c>
      <c r="BH4594" s="2">
        <v>1</v>
      </c>
      <c r="BI4594" s="2">
        <v>1</v>
      </c>
      <c r="BJ4594" s="2">
        <v>0.2</v>
      </c>
      <c r="BK4594" s="2">
        <v>1</v>
      </c>
      <c r="BL4594" s="2">
        <v>41.44</v>
      </c>
      <c r="BM4594" s="2">
        <v>5.8</v>
      </c>
      <c r="BN4594" s="2">
        <v>47.24</v>
      </c>
      <c r="BO4594" s="2">
        <v>47.24</v>
      </c>
      <c r="BP4594" s="2"/>
      <c r="BQ4594" s="2" t="s">
        <v>83</v>
      </c>
      <c r="BR4594" s="2" t="s">
        <v>84</v>
      </c>
      <c r="BS4594" s="3">
        <v>42954</v>
      </c>
      <c r="BT4594" s="4">
        <v>0.46666666666666662</v>
      </c>
      <c r="BU4594" s="2" t="s">
        <v>1408</v>
      </c>
      <c r="BV4594" s="2" t="s">
        <v>86</v>
      </c>
      <c r="BW4594" s="2" t="s">
        <v>110</v>
      </c>
      <c r="BX4594" s="2" t="s">
        <v>4110</v>
      </c>
      <c r="BY4594" s="2">
        <v>1200</v>
      </c>
      <c r="BZ4594" s="2"/>
      <c r="CA4594" s="2" t="s">
        <v>1373</v>
      </c>
      <c r="CB4594" s="2"/>
      <c r="CC4594" s="2" t="s">
        <v>175</v>
      </c>
      <c r="CD4594" s="2">
        <v>5201</v>
      </c>
      <c r="CE4594" s="2" t="s">
        <v>104</v>
      </c>
      <c r="CF4594" s="5">
        <v>42957</v>
      </c>
      <c r="CG4594" s="2"/>
      <c r="CH4594" s="2"/>
      <c r="CI4594" s="2">
        <v>1</v>
      </c>
      <c r="CJ4594" s="2">
        <v>1</v>
      </c>
      <c r="CK4594" s="2">
        <v>21</v>
      </c>
      <c r="CL4594" s="2" t="s">
        <v>86</v>
      </c>
      <c r="CM4594" s="2"/>
    </row>
    <row r="4595" spans="1:91">
      <c r="A4595" s="2" t="s">
        <v>71</v>
      </c>
      <c r="B4595" s="2" t="s">
        <v>72</v>
      </c>
      <c r="C4595" s="2" t="s">
        <v>73</v>
      </c>
      <c r="D4595" s="2"/>
      <c r="E4595" s="2" t="str">
        <f>"FES1162567024"</f>
        <v>FES1162567024</v>
      </c>
      <c r="F4595" s="3">
        <v>42951</v>
      </c>
      <c r="G4595" s="2">
        <v>201802</v>
      </c>
      <c r="H4595" s="2" t="s">
        <v>74</v>
      </c>
      <c r="I4595" s="2" t="s">
        <v>75</v>
      </c>
      <c r="J4595" s="2" t="s">
        <v>76</v>
      </c>
      <c r="K4595" s="2" t="s">
        <v>77</v>
      </c>
      <c r="L4595" s="2" t="s">
        <v>97</v>
      </c>
      <c r="M4595" s="2" t="s">
        <v>98</v>
      </c>
      <c r="N4595" s="2" t="s">
        <v>1210</v>
      </c>
      <c r="O4595" s="2" t="s">
        <v>100</v>
      </c>
      <c r="P4595" s="2" t="str">
        <f>"2170583277                    "</f>
        <v xml:space="preserve">2170583277                    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8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0</v>
      </c>
      <c r="AU4595" s="2">
        <v>0</v>
      </c>
      <c r="AV4595" s="2">
        <v>0</v>
      </c>
      <c r="AW4595" s="2">
        <v>0</v>
      </c>
      <c r="AX4595" s="2">
        <v>0</v>
      </c>
      <c r="AY4595" s="2">
        <v>0</v>
      </c>
      <c r="AZ4595" s="2">
        <v>0</v>
      </c>
      <c r="BA4595" s="2">
        <v>0</v>
      </c>
      <c r="BB4595" s="2">
        <v>0</v>
      </c>
      <c r="BC4595" s="2">
        <v>0</v>
      </c>
      <c r="BD4595" s="2">
        <v>0</v>
      </c>
      <c r="BE4595" s="2">
        <v>0</v>
      </c>
      <c r="BF4595" s="2">
        <v>0</v>
      </c>
      <c r="BG4595" s="2">
        <v>0</v>
      </c>
      <c r="BH4595" s="2">
        <v>1</v>
      </c>
      <c r="BI4595" s="2">
        <v>3.9</v>
      </c>
      <c r="BJ4595" s="2">
        <v>1.9</v>
      </c>
      <c r="BK4595" s="2">
        <v>4</v>
      </c>
      <c r="BL4595" s="2">
        <v>82.88</v>
      </c>
      <c r="BM4595" s="2">
        <v>11.6</v>
      </c>
      <c r="BN4595" s="2">
        <v>94.48</v>
      </c>
      <c r="BO4595" s="2">
        <v>94.48</v>
      </c>
      <c r="BP4595" s="2"/>
      <c r="BQ4595" s="2" t="s">
        <v>1621</v>
      </c>
      <c r="BR4595" s="2" t="s">
        <v>84</v>
      </c>
      <c r="BS4595" s="3">
        <v>42954</v>
      </c>
      <c r="BT4595" s="4">
        <v>0.30555555555555552</v>
      </c>
      <c r="BU4595" s="2" t="s">
        <v>4111</v>
      </c>
      <c r="BV4595" s="2" t="s">
        <v>95</v>
      </c>
      <c r="BW4595" s="2"/>
      <c r="BX4595" s="2"/>
      <c r="BY4595" s="2">
        <v>9721.3799999999992</v>
      </c>
      <c r="BZ4595" s="2"/>
      <c r="CA4595" s="2" t="s">
        <v>294</v>
      </c>
      <c r="CB4595" s="2"/>
      <c r="CC4595" s="2" t="s">
        <v>98</v>
      </c>
      <c r="CD4595" s="2">
        <v>6012</v>
      </c>
      <c r="CE4595" s="2" t="s">
        <v>89</v>
      </c>
      <c r="CF4595" s="5">
        <v>42955</v>
      </c>
      <c r="CG4595" s="2"/>
      <c r="CH4595" s="2"/>
      <c r="CI4595" s="2">
        <v>1</v>
      </c>
      <c r="CJ4595" s="2">
        <v>1</v>
      </c>
      <c r="CK4595" s="2">
        <v>21</v>
      </c>
      <c r="CL4595" s="2" t="s">
        <v>86</v>
      </c>
      <c r="CM4595" s="2"/>
    </row>
    <row r="4596" spans="1:91">
      <c r="A4596" s="2" t="s">
        <v>71</v>
      </c>
      <c r="B4596" s="2" t="s">
        <v>72</v>
      </c>
      <c r="C4596" s="2" t="s">
        <v>73</v>
      </c>
      <c r="D4596" s="2"/>
      <c r="E4596" s="2" t="str">
        <f>"FES1162567123"</f>
        <v>FES1162567123</v>
      </c>
      <c r="F4596" s="3">
        <v>42951</v>
      </c>
      <c r="G4596" s="2">
        <v>201802</v>
      </c>
      <c r="H4596" s="2" t="s">
        <v>74</v>
      </c>
      <c r="I4596" s="2" t="s">
        <v>75</v>
      </c>
      <c r="J4596" s="2" t="s">
        <v>76</v>
      </c>
      <c r="K4596" s="2" t="s">
        <v>77</v>
      </c>
      <c r="L4596" s="2" t="s">
        <v>97</v>
      </c>
      <c r="M4596" s="2" t="s">
        <v>98</v>
      </c>
      <c r="N4596" s="2" t="s">
        <v>119</v>
      </c>
      <c r="O4596" s="2" t="s">
        <v>100</v>
      </c>
      <c r="P4596" s="2" t="str">
        <f>"2170580923                    "</f>
        <v xml:space="preserve">2170580923                    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26.02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0</v>
      </c>
      <c r="AU4596" s="2">
        <v>0</v>
      </c>
      <c r="AV4596" s="2">
        <v>0</v>
      </c>
      <c r="AW4596" s="2">
        <v>0</v>
      </c>
      <c r="AX4596" s="2">
        <v>0</v>
      </c>
      <c r="AY4596" s="2">
        <v>0</v>
      </c>
      <c r="AZ4596" s="2">
        <v>0</v>
      </c>
      <c r="BA4596" s="2">
        <v>0</v>
      </c>
      <c r="BB4596" s="2">
        <v>0</v>
      </c>
      <c r="BC4596" s="2">
        <v>0</v>
      </c>
      <c r="BD4596" s="2">
        <v>0</v>
      </c>
      <c r="BE4596" s="2">
        <v>0</v>
      </c>
      <c r="BF4596" s="2">
        <v>0</v>
      </c>
      <c r="BG4596" s="2">
        <v>0</v>
      </c>
      <c r="BH4596" s="2">
        <v>1</v>
      </c>
      <c r="BI4596" s="2">
        <v>12.7</v>
      </c>
      <c r="BJ4596" s="2">
        <v>6.9</v>
      </c>
      <c r="BK4596" s="2">
        <v>13</v>
      </c>
      <c r="BL4596" s="2">
        <v>269.38</v>
      </c>
      <c r="BM4596" s="2">
        <v>37.71</v>
      </c>
      <c r="BN4596" s="2">
        <v>307.08999999999997</v>
      </c>
      <c r="BO4596" s="2">
        <v>307.08999999999997</v>
      </c>
      <c r="BP4596" s="2"/>
      <c r="BQ4596" s="2" t="s">
        <v>108</v>
      </c>
      <c r="BR4596" s="2" t="s">
        <v>84</v>
      </c>
      <c r="BS4596" s="3">
        <v>42954</v>
      </c>
      <c r="BT4596" s="4">
        <v>0.33402777777777781</v>
      </c>
      <c r="BU4596" s="2" t="s">
        <v>224</v>
      </c>
      <c r="BV4596" s="2" t="s">
        <v>95</v>
      </c>
      <c r="BW4596" s="2"/>
      <c r="BX4596" s="2"/>
      <c r="BY4596" s="2">
        <v>34719</v>
      </c>
      <c r="BZ4596" s="2"/>
      <c r="CA4596" s="2" t="s">
        <v>213</v>
      </c>
      <c r="CB4596" s="2"/>
      <c r="CC4596" s="2" t="s">
        <v>98</v>
      </c>
      <c r="CD4596" s="2">
        <v>6001</v>
      </c>
      <c r="CE4596" s="2" t="s">
        <v>135</v>
      </c>
      <c r="CF4596" s="5">
        <v>42955</v>
      </c>
      <c r="CG4596" s="2"/>
      <c r="CH4596" s="2"/>
      <c r="CI4596" s="2">
        <v>1</v>
      </c>
      <c r="CJ4596" s="2">
        <v>1</v>
      </c>
      <c r="CK4596" s="2">
        <v>21</v>
      </c>
      <c r="CL4596" s="2" t="s">
        <v>86</v>
      </c>
      <c r="CM4596" s="2"/>
    </row>
    <row r="4597" spans="1:91">
      <c r="A4597" s="2" t="s">
        <v>71</v>
      </c>
      <c r="B4597" s="2" t="s">
        <v>72</v>
      </c>
      <c r="C4597" s="2" t="s">
        <v>73</v>
      </c>
      <c r="D4597" s="2"/>
      <c r="E4597" s="2" t="str">
        <f>"FES1162567096"</f>
        <v>FES1162567096</v>
      </c>
      <c r="F4597" s="3">
        <v>42951</v>
      </c>
      <c r="G4597" s="2">
        <v>201802</v>
      </c>
      <c r="H4597" s="2" t="s">
        <v>74</v>
      </c>
      <c r="I4597" s="2" t="s">
        <v>75</v>
      </c>
      <c r="J4597" s="2" t="s">
        <v>76</v>
      </c>
      <c r="K4597" s="2" t="s">
        <v>77</v>
      </c>
      <c r="L4597" s="2" t="s">
        <v>97</v>
      </c>
      <c r="M4597" s="2" t="s">
        <v>98</v>
      </c>
      <c r="N4597" s="2" t="s">
        <v>2205</v>
      </c>
      <c r="O4597" s="2" t="s">
        <v>100</v>
      </c>
      <c r="P4597" s="2" t="str">
        <f>"2170580419                    "</f>
        <v xml:space="preserve">2170580419                    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15.01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0</v>
      </c>
      <c r="AU4597" s="2">
        <v>0</v>
      </c>
      <c r="AV4597" s="2">
        <v>0</v>
      </c>
      <c r="AW4597" s="2">
        <v>0</v>
      </c>
      <c r="AX4597" s="2">
        <v>0</v>
      </c>
      <c r="AY4597" s="2">
        <v>0</v>
      </c>
      <c r="AZ4597" s="2">
        <v>0</v>
      </c>
      <c r="BA4597" s="2">
        <v>0</v>
      </c>
      <c r="BB4597" s="2">
        <v>0</v>
      </c>
      <c r="BC4597" s="2">
        <v>0</v>
      </c>
      <c r="BD4597" s="2">
        <v>0</v>
      </c>
      <c r="BE4597" s="2">
        <v>0</v>
      </c>
      <c r="BF4597" s="2">
        <v>0</v>
      </c>
      <c r="BG4597" s="2">
        <v>0</v>
      </c>
      <c r="BH4597" s="2">
        <v>1</v>
      </c>
      <c r="BI4597" s="2">
        <v>7.3</v>
      </c>
      <c r="BJ4597" s="2">
        <v>2.6</v>
      </c>
      <c r="BK4597" s="2">
        <v>7.5</v>
      </c>
      <c r="BL4597" s="2">
        <v>155.41</v>
      </c>
      <c r="BM4597" s="2">
        <v>21.76</v>
      </c>
      <c r="BN4597" s="2">
        <v>177.17</v>
      </c>
      <c r="BO4597" s="2">
        <v>177.17</v>
      </c>
      <c r="BP4597" s="2"/>
      <c r="BQ4597" s="2" t="s">
        <v>108</v>
      </c>
      <c r="BR4597" s="2" t="s">
        <v>84</v>
      </c>
      <c r="BS4597" s="3">
        <v>42954</v>
      </c>
      <c r="BT4597" s="4">
        <v>0.43333333333333335</v>
      </c>
      <c r="BU4597" s="2" t="s">
        <v>4112</v>
      </c>
      <c r="BV4597" s="2" t="s">
        <v>95</v>
      </c>
      <c r="BW4597" s="2"/>
      <c r="BX4597" s="2"/>
      <c r="BY4597" s="2">
        <v>12779.75</v>
      </c>
      <c r="BZ4597" s="2"/>
      <c r="CA4597" s="2" t="s">
        <v>213</v>
      </c>
      <c r="CB4597" s="2"/>
      <c r="CC4597" s="2" t="s">
        <v>98</v>
      </c>
      <c r="CD4597" s="2">
        <v>6001</v>
      </c>
      <c r="CE4597" s="2" t="s">
        <v>135</v>
      </c>
      <c r="CF4597" s="5">
        <v>42955</v>
      </c>
      <c r="CG4597" s="2"/>
      <c r="CH4597" s="2"/>
      <c r="CI4597" s="2">
        <v>1</v>
      </c>
      <c r="CJ4597" s="2">
        <v>1</v>
      </c>
      <c r="CK4597" s="2">
        <v>21</v>
      </c>
      <c r="CL4597" s="2" t="s">
        <v>86</v>
      </c>
      <c r="CM4597" s="2"/>
    </row>
    <row r="4598" spans="1:91">
      <c r="A4598" s="2" t="s">
        <v>71</v>
      </c>
      <c r="B4598" s="2" t="s">
        <v>72</v>
      </c>
      <c r="C4598" s="2" t="s">
        <v>73</v>
      </c>
      <c r="D4598" s="2"/>
      <c r="E4598" s="2" t="str">
        <f>"FES1162567083"</f>
        <v>FES1162567083</v>
      </c>
      <c r="F4598" s="3">
        <v>42951</v>
      </c>
      <c r="G4598" s="2">
        <v>201802</v>
      </c>
      <c r="H4598" s="2" t="s">
        <v>74</v>
      </c>
      <c r="I4598" s="2" t="s">
        <v>75</v>
      </c>
      <c r="J4598" s="2" t="s">
        <v>76</v>
      </c>
      <c r="K4598" s="2" t="s">
        <v>77</v>
      </c>
      <c r="L4598" s="2" t="s">
        <v>97</v>
      </c>
      <c r="M4598" s="2" t="s">
        <v>98</v>
      </c>
      <c r="N4598" s="2" t="s">
        <v>2597</v>
      </c>
      <c r="O4598" s="2" t="s">
        <v>100</v>
      </c>
      <c r="P4598" s="2" t="str">
        <f>"2170580122                    "</f>
        <v xml:space="preserve">2170580122                    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5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0</v>
      </c>
      <c r="AU4598" s="2">
        <v>0</v>
      </c>
      <c r="AV4598" s="2">
        <v>0</v>
      </c>
      <c r="AW4598" s="2">
        <v>0</v>
      </c>
      <c r="AX4598" s="2">
        <v>0</v>
      </c>
      <c r="AY4598" s="2">
        <v>0</v>
      </c>
      <c r="AZ4598" s="2">
        <v>0</v>
      </c>
      <c r="BA4598" s="2">
        <v>0</v>
      </c>
      <c r="BB4598" s="2">
        <v>0</v>
      </c>
      <c r="BC4598" s="2">
        <v>0</v>
      </c>
      <c r="BD4598" s="2">
        <v>0</v>
      </c>
      <c r="BE4598" s="2">
        <v>0</v>
      </c>
      <c r="BF4598" s="2">
        <v>0</v>
      </c>
      <c r="BG4598" s="2">
        <v>0</v>
      </c>
      <c r="BH4598" s="2">
        <v>1</v>
      </c>
      <c r="BI4598" s="2">
        <v>1.5</v>
      </c>
      <c r="BJ4598" s="2">
        <v>2.2000000000000002</v>
      </c>
      <c r="BK4598" s="2">
        <v>2.5</v>
      </c>
      <c r="BL4598" s="2">
        <v>51.8</v>
      </c>
      <c r="BM4598" s="2">
        <v>7.25</v>
      </c>
      <c r="BN4598" s="2">
        <v>59.05</v>
      </c>
      <c r="BO4598" s="2">
        <v>59.05</v>
      </c>
      <c r="BP4598" s="2"/>
      <c r="BQ4598" s="2" t="s">
        <v>4113</v>
      </c>
      <c r="BR4598" s="2" t="s">
        <v>84</v>
      </c>
      <c r="BS4598" s="3">
        <v>42954</v>
      </c>
      <c r="BT4598" s="4">
        <v>0.29166666666666669</v>
      </c>
      <c r="BU4598" s="2" t="s">
        <v>2598</v>
      </c>
      <c r="BV4598" s="2" t="s">
        <v>95</v>
      </c>
      <c r="BW4598" s="2"/>
      <c r="BX4598" s="2"/>
      <c r="BY4598" s="2">
        <v>11085.94</v>
      </c>
      <c r="BZ4598" s="2"/>
      <c r="CA4598" s="2" t="s">
        <v>294</v>
      </c>
      <c r="CB4598" s="2"/>
      <c r="CC4598" s="2" t="s">
        <v>98</v>
      </c>
      <c r="CD4598" s="2">
        <v>6012</v>
      </c>
      <c r="CE4598" s="2" t="s">
        <v>89</v>
      </c>
      <c r="CF4598" s="5">
        <v>42955</v>
      </c>
      <c r="CG4598" s="2"/>
      <c r="CH4598" s="2"/>
      <c r="CI4598" s="2">
        <v>1</v>
      </c>
      <c r="CJ4598" s="2">
        <v>1</v>
      </c>
      <c r="CK4598" s="2">
        <v>21</v>
      </c>
      <c r="CL4598" s="2" t="s">
        <v>86</v>
      </c>
      <c r="CM4598" s="2"/>
    </row>
    <row r="4599" spans="1:91">
      <c r="A4599" s="2" t="s">
        <v>71</v>
      </c>
      <c r="B4599" s="2" t="s">
        <v>72</v>
      </c>
      <c r="C4599" s="2" t="s">
        <v>73</v>
      </c>
      <c r="D4599" s="2"/>
      <c r="E4599" s="2" t="str">
        <f>"FES1162567044"</f>
        <v>FES1162567044</v>
      </c>
      <c r="F4599" s="3">
        <v>42951</v>
      </c>
      <c r="G4599" s="2">
        <v>201802</v>
      </c>
      <c r="H4599" s="2" t="s">
        <v>74</v>
      </c>
      <c r="I4599" s="2" t="s">
        <v>75</v>
      </c>
      <c r="J4599" s="2" t="s">
        <v>76</v>
      </c>
      <c r="K4599" s="2" t="s">
        <v>77</v>
      </c>
      <c r="L4599" s="2" t="s">
        <v>4114</v>
      </c>
      <c r="M4599" s="2" t="s">
        <v>4115</v>
      </c>
      <c r="N4599" s="2" t="s">
        <v>4116</v>
      </c>
      <c r="O4599" s="2" t="s">
        <v>100</v>
      </c>
      <c r="P4599" s="2" t="str">
        <f>"2170583304                    "</f>
        <v xml:space="preserve">2170583304                    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7.75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0</v>
      </c>
      <c r="AU4599" s="2">
        <v>0</v>
      </c>
      <c r="AV4599" s="2">
        <v>0</v>
      </c>
      <c r="AW4599" s="2">
        <v>0</v>
      </c>
      <c r="AX4599" s="2">
        <v>0</v>
      </c>
      <c r="AY4599" s="2">
        <v>0</v>
      </c>
      <c r="AZ4599" s="2">
        <v>0</v>
      </c>
      <c r="BA4599" s="2">
        <v>0</v>
      </c>
      <c r="BB4599" s="2">
        <v>0</v>
      </c>
      <c r="BC4599" s="2">
        <v>0</v>
      </c>
      <c r="BD4599" s="2">
        <v>0</v>
      </c>
      <c r="BE4599" s="2">
        <v>0</v>
      </c>
      <c r="BF4599" s="2">
        <v>0</v>
      </c>
      <c r="BG4599" s="2">
        <v>0</v>
      </c>
      <c r="BH4599" s="2">
        <v>1</v>
      </c>
      <c r="BI4599" s="2">
        <v>1</v>
      </c>
      <c r="BJ4599" s="2">
        <v>0.2</v>
      </c>
      <c r="BK4599" s="2">
        <v>1</v>
      </c>
      <c r="BL4599" s="2">
        <v>80.290000000000006</v>
      </c>
      <c r="BM4599" s="2">
        <v>11.24</v>
      </c>
      <c r="BN4599" s="2">
        <v>91.53</v>
      </c>
      <c r="BO4599" s="2">
        <v>91.53</v>
      </c>
      <c r="BP4599" s="2"/>
      <c r="BQ4599" s="2"/>
      <c r="BR4599" s="2" t="s">
        <v>84</v>
      </c>
      <c r="BS4599" s="3">
        <v>42954</v>
      </c>
      <c r="BT4599" s="4">
        <v>0.44513888888888892</v>
      </c>
      <c r="BU4599" s="2" t="s">
        <v>4117</v>
      </c>
      <c r="BV4599" s="2" t="s">
        <v>95</v>
      </c>
      <c r="BW4599" s="2"/>
      <c r="BX4599" s="2"/>
      <c r="BY4599" s="2">
        <v>1200</v>
      </c>
      <c r="BZ4599" s="2"/>
      <c r="CA4599" s="2"/>
      <c r="CB4599" s="2"/>
      <c r="CC4599" s="2" t="s">
        <v>4115</v>
      </c>
      <c r="CD4599" s="2">
        <v>9730</v>
      </c>
      <c r="CE4599" s="2" t="s">
        <v>104</v>
      </c>
      <c r="CF4599" s="5">
        <v>42957</v>
      </c>
      <c r="CG4599" s="2"/>
      <c r="CH4599" s="2"/>
      <c r="CI4599" s="2">
        <v>3</v>
      </c>
      <c r="CJ4599" s="2">
        <v>1</v>
      </c>
      <c r="CK4599" s="2">
        <v>23</v>
      </c>
      <c r="CL4599" s="2" t="s">
        <v>86</v>
      </c>
      <c r="CM4599" s="2"/>
    </row>
    <row r="4600" spans="1:91">
      <c r="A4600" s="2" t="s">
        <v>71</v>
      </c>
      <c r="B4600" s="2" t="s">
        <v>72</v>
      </c>
      <c r="C4600" s="2" t="s">
        <v>73</v>
      </c>
      <c r="D4600" s="2"/>
      <c r="E4600" s="2" t="str">
        <f>"FES1162567099"</f>
        <v>FES1162567099</v>
      </c>
      <c r="F4600" s="3">
        <v>42951</v>
      </c>
      <c r="G4600" s="2">
        <v>201802</v>
      </c>
      <c r="H4600" s="2" t="s">
        <v>74</v>
      </c>
      <c r="I4600" s="2" t="s">
        <v>75</v>
      </c>
      <c r="J4600" s="2" t="s">
        <v>76</v>
      </c>
      <c r="K4600" s="2" t="s">
        <v>77</v>
      </c>
      <c r="L4600" s="2" t="s">
        <v>237</v>
      </c>
      <c r="M4600" s="2" t="s">
        <v>238</v>
      </c>
      <c r="N4600" s="2" t="s">
        <v>1470</v>
      </c>
      <c r="O4600" s="2" t="s">
        <v>100</v>
      </c>
      <c r="P4600" s="2" t="str">
        <f>"2170580552                    "</f>
        <v xml:space="preserve">2170580552                    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4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0</v>
      </c>
      <c r="AU4600" s="2">
        <v>0</v>
      </c>
      <c r="AV4600" s="2">
        <v>0</v>
      </c>
      <c r="AW4600" s="2">
        <v>0</v>
      </c>
      <c r="AX4600" s="2">
        <v>0</v>
      </c>
      <c r="AY4600" s="2">
        <v>0</v>
      </c>
      <c r="AZ4600" s="2">
        <v>0</v>
      </c>
      <c r="BA4600" s="2">
        <v>0</v>
      </c>
      <c r="BB4600" s="2">
        <v>0</v>
      </c>
      <c r="BC4600" s="2">
        <v>0</v>
      </c>
      <c r="BD4600" s="2">
        <v>0</v>
      </c>
      <c r="BE4600" s="2">
        <v>0</v>
      </c>
      <c r="BF4600" s="2">
        <v>0</v>
      </c>
      <c r="BG4600" s="2">
        <v>0</v>
      </c>
      <c r="BH4600" s="2">
        <v>1</v>
      </c>
      <c r="BI4600" s="2">
        <v>1</v>
      </c>
      <c r="BJ4600" s="2">
        <v>0.2</v>
      </c>
      <c r="BK4600" s="2">
        <v>1</v>
      </c>
      <c r="BL4600" s="2">
        <v>41.44</v>
      </c>
      <c r="BM4600" s="2">
        <v>5.8</v>
      </c>
      <c r="BN4600" s="2">
        <v>47.24</v>
      </c>
      <c r="BO4600" s="2">
        <v>47.24</v>
      </c>
      <c r="BP4600" s="2"/>
      <c r="BQ4600" s="2" t="s">
        <v>83</v>
      </c>
      <c r="BR4600" s="2" t="s">
        <v>84</v>
      </c>
      <c r="BS4600" s="3">
        <v>42954</v>
      </c>
      <c r="BT4600" s="4">
        <v>0.42222222222222222</v>
      </c>
      <c r="BU4600" s="2" t="s">
        <v>4100</v>
      </c>
      <c r="BV4600" s="2" t="s">
        <v>95</v>
      </c>
      <c r="BW4600" s="2"/>
      <c r="BX4600" s="2"/>
      <c r="BY4600" s="2">
        <v>1200</v>
      </c>
      <c r="BZ4600" s="2"/>
      <c r="CA4600" s="2" t="s">
        <v>2641</v>
      </c>
      <c r="CB4600" s="2"/>
      <c r="CC4600" s="2" t="s">
        <v>238</v>
      </c>
      <c r="CD4600" s="2">
        <v>3610</v>
      </c>
      <c r="CE4600" s="2" t="s">
        <v>104</v>
      </c>
      <c r="CF4600" s="5">
        <v>42955</v>
      </c>
      <c r="CG4600" s="2"/>
      <c r="CH4600" s="2"/>
      <c r="CI4600" s="2">
        <v>1</v>
      </c>
      <c r="CJ4600" s="2">
        <v>1</v>
      </c>
      <c r="CK4600" s="2">
        <v>21</v>
      </c>
      <c r="CL4600" s="2" t="s">
        <v>86</v>
      </c>
      <c r="CM4600" s="2"/>
    </row>
    <row r="4601" spans="1:91">
      <c r="A4601" s="2" t="s">
        <v>71</v>
      </c>
      <c r="B4601" s="2" t="s">
        <v>72</v>
      </c>
      <c r="C4601" s="2" t="s">
        <v>73</v>
      </c>
      <c r="D4601" s="2"/>
      <c r="E4601" s="2" t="str">
        <f>"FES1162567227"</f>
        <v>FES1162567227</v>
      </c>
      <c r="F4601" s="3">
        <v>42951</v>
      </c>
      <c r="G4601" s="2">
        <v>201802</v>
      </c>
      <c r="H4601" s="2" t="s">
        <v>74</v>
      </c>
      <c r="I4601" s="2" t="s">
        <v>75</v>
      </c>
      <c r="J4601" s="2" t="s">
        <v>76</v>
      </c>
      <c r="K4601" s="2" t="s">
        <v>77</v>
      </c>
      <c r="L4601" s="2" t="s">
        <v>97</v>
      </c>
      <c r="M4601" s="2" t="s">
        <v>98</v>
      </c>
      <c r="N4601" s="2" t="s">
        <v>292</v>
      </c>
      <c r="O4601" s="2" t="s">
        <v>100</v>
      </c>
      <c r="P4601" s="2" t="str">
        <f>"2170581829                    "</f>
        <v xml:space="preserve">2170581829                    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</v>
      </c>
      <c r="Y4601" s="2">
        <v>0</v>
      </c>
      <c r="Z4601" s="2">
        <v>0</v>
      </c>
      <c r="AA4601" s="2">
        <v>0</v>
      </c>
      <c r="AB4601" s="2">
        <v>0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4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0</v>
      </c>
      <c r="AU4601" s="2">
        <v>0</v>
      </c>
      <c r="AV4601" s="2">
        <v>0</v>
      </c>
      <c r="AW4601" s="2">
        <v>0</v>
      </c>
      <c r="AX4601" s="2">
        <v>0</v>
      </c>
      <c r="AY4601" s="2">
        <v>0</v>
      </c>
      <c r="AZ4601" s="2">
        <v>0</v>
      </c>
      <c r="BA4601" s="2">
        <v>0</v>
      </c>
      <c r="BB4601" s="2">
        <v>0</v>
      </c>
      <c r="BC4601" s="2">
        <v>0</v>
      </c>
      <c r="BD4601" s="2">
        <v>0</v>
      </c>
      <c r="BE4601" s="2">
        <v>0</v>
      </c>
      <c r="BF4601" s="2">
        <v>0</v>
      </c>
      <c r="BG4601" s="2">
        <v>0</v>
      </c>
      <c r="BH4601" s="2">
        <v>1</v>
      </c>
      <c r="BI4601" s="2">
        <v>1</v>
      </c>
      <c r="BJ4601" s="2">
        <v>0.2</v>
      </c>
      <c r="BK4601" s="2">
        <v>1</v>
      </c>
      <c r="BL4601" s="2">
        <v>41.44</v>
      </c>
      <c r="BM4601" s="2">
        <v>5.8</v>
      </c>
      <c r="BN4601" s="2">
        <v>47.24</v>
      </c>
      <c r="BO4601" s="2">
        <v>47.24</v>
      </c>
      <c r="BP4601" s="2"/>
      <c r="BQ4601" s="2" t="s">
        <v>83</v>
      </c>
      <c r="BR4601" s="2" t="s">
        <v>84</v>
      </c>
      <c r="BS4601" s="3">
        <v>42954</v>
      </c>
      <c r="BT4601" s="4">
        <v>0.3298611111111111</v>
      </c>
      <c r="BU4601" s="2" t="s">
        <v>1288</v>
      </c>
      <c r="BV4601" s="2" t="s">
        <v>95</v>
      </c>
      <c r="BW4601" s="2"/>
      <c r="BX4601" s="2"/>
      <c r="BY4601" s="2">
        <v>1200</v>
      </c>
      <c r="BZ4601" s="2"/>
      <c r="CA4601" s="2" t="s">
        <v>294</v>
      </c>
      <c r="CB4601" s="2"/>
      <c r="CC4601" s="2" t="s">
        <v>98</v>
      </c>
      <c r="CD4601" s="2">
        <v>6001</v>
      </c>
      <c r="CE4601" s="2" t="s">
        <v>104</v>
      </c>
      <c r="CF4601" s="5">
        <v>42955</v>
      </c>
      <c r="CG4601" s="2"/>
      <c r="CH4601" s="2"/>
      <c r="CI4601" s="2">
        <v>1</v>
      </c>
      <c r="CJ4601" s="2">
        <v>1</v>
      </c>
      <c r="CK4601" s="2">
        <v>21</v>
      </c>
      <c r="CL4601" s="2" t="s">
        <v>86</v>
      </c>
      <c r="CM4601" s="2"/>
    </row>
    <row r="4602" spans="1:91">
      <c r="A4602" s="2" t="s">
        <v>71</v>
      </c>
      <c r="B4602" s="2" t="s">
        <v>72</v>
      </c>
      <c r="C4602" s="2" t="s">
        <v>73</v>
      </c>
      <c r="D4602" s="2"/>
      <c r="E4602" s="2" t="str">
        <f>"FES1162567000"</f>
        <v>FES1162567000</v>
      </c>
      <c r="F4602" s="3">
        <v>42951</v>
      </c>
      <c r="G4602" s="2">
        <v>201802</v>
      </c>
      <c r="H4602" s="2" t="s">
        <v>74</v>
      </c>
      <c r="I4602" s="2" t="s">
        <v>75</v>
      </c>
      <c r="J4602" s="2" t="s">
        <v>76</v>
      </c>
      <c r="K4602" s="2" t="s">
        <v>77</v>
      </c>
      <c r="L4602" s="2" t="s">
        <v>353</v>
      </c>
      <c r="M4602" s="2" t="s">
        <v>354</v>
      </c>
      <c r="N4602" s="2" t="s">
        <v>2932</v>
      </c>
      <c r="O4602" s="2" t="s">
        <v>100</v>
      </c>
      <c r="P4602" s="2" t="str">
        <f>"2170582731                    "</f>
        <v xml:space="preserve">2170582731                    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4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0</v>
      </c>
      <c r="AU4602" s="2">
        <v>0</v>
      </c>
      <c r="AV4602" s="2">
        <v>0</v>
      </c>
      <c r="AW4602" s="2">
        <v>0</v>
      </c>
      <c r="AX4602" s="2">
        <v>0</v>
      </c>
      <c r="AY4602" s="2">
        <v>0</v>
      </c>
      <c r="AZ4602" s="2">
        <v>0</v>
      </c>
      <c r="BA4602" s="2">
        <v>0</v>
      </c>
      <c r="BB4602" s="2">
        <v>0</v>
      </c>
      <c r="BC4602" s="2">
        <v>0</v>
      </c>
      <c r="BD4602" s="2">
        <v>0</v>
      </c>
      <c r="BE4602" s="2">
        <v>0</v>
      </c>
      <c r="BF4602" s="2">
        <v>0</v>
      </c>
      <c r="BG4602" s="2">
        <v>0</v>
      </c>
      <c r="BH4602" s="2">
        <v>1</v>
      </c>
      <c r="BI4602" s="2">
        <v>1</v>
      </c>
      <c r="BJ4602" s="2">
        <v>0.2</v>
      </c>
      <c r="BK4602" s="2">
        <v>1</v>
      </c>
      <c r="BL4602" s="2">
        <v>41.44</v>
      </c>
      <c r="BM4602" s="2">
        <v>5.8</v>
      </c>
      <c r="BN4602" s="2">
        <v>47.24</v>
      </c>
      <c r="BO4602" s="2">
        <v>47.24</v>
      </c>
      <c r="BP4602" s="2"/>
      <c r="BQ4602" s="2"/>
      <c r="BR4602" s="2" t="s">
        <v>84</v>
      </c>
      <c r="BS4602" s="3">
        <v>42952</v>
      </c>
      <c r="BT4602" s="4">
        <v>0.45833333333333331</v>
      </c>
      <c r="BU4602" s="2" t="s">
        <v>3088</v>
      </c>
      <c r="BV4602" s="2" t="s">
        <v>95</v>
      </c>
      <c r="BW4602" s="2"/>
      <c r="BX4602" s="2"/>
      <c r="BY4602" s="2">
        <v>1200</v>
      </c>
      <c r="BZ4602" s="2"/>
      <c r="CA4602" s="2"/>
      <c r="CB4602" s="2"/>
      <c r="CC4602" s="2" t="s">
        <v>354</v>
      </c>
      <c r="CD4602" s="2">
        <v>3699</v>
      </c>
      <c r="CE4602" s="2" t="s">
        <v>104</v>
      </c>
      <c r="CF4602" s="5">
        <v>42955</v>
      </c>
      <c r="CG4602" s="2"/>
      <c r="CH4602" s="2"/>
      <c r="CI4602" s="2">
        <v>1</v>
      </c>
      <c r="CJ4602" s="2">
        <v>0</v>
      </c>
      <c r="CK4602" s="2">
        <v>21</v>
      </c>
      <c r="CL4602" s="2" t="s">
        <v>86</v>
      </c>
      <c r="CM4602" s="2"/>
    </row>
    <row r="4603" spans="1:91">
      <c r="A4603" s="2" t="s">
        <v>71</v>
      </c>
      <c r="B4603" s="2" t="s">
        <v>72</v>
      </c>
      <c r="C4603" s="2" t="s">
        <v>73</v>
      </c>
      <c r="D4603" s="2"/>
      <c r="E4603" s="2" t="str">
        <f>"FES1162567010"</f>
        <v>FES1162567010</v>
      </c>
      <c r="F4603" s="3">
        <v>42951</v>
      </c>
      <c r="G4603" s="2">
        <v>201802</v>
      </c>
      <c r="H4603" s="2" t="s">
        <v>74</v>
      </c>
      <c r="I4603" s="2" t="s">
        <v>75</v>
      </c>
      <c r="J4603" s="2" t="s">
        <v>76</v>
      </c>
      <c r="K4603" s="2" t="s">
        <v>77</v>
      </c>
      <c r="L4603" s="2" t="s">
        <v>362</v>
      </c>
      <c r="M4603" s="2" t="s">
        <v>363</v>
      </c>
      <c r="N4603" s="2" t="s">
        <v>751</v>
      </c>
      <c r="O4603" s="2" t="s">
        <v>100</v>
      </c>
      <c r="P4603" s="2" t="str">
        <f>"2170582356                    "</f>
        <v xml:space="preserve">2170582356                    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4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0</v>
      </c>
      <c r="AU4603" s="2">
        <v>0</v>
      </c>
      <c r="AV4603" s="2">
        <v>0</v>
      </c>
      <c r="AW4603" s="2">
        <v>0</v>
      </c>
      <c r="AX4603" s="2">
        <v>0</v>
      </c>
      <c r="AY4603" s="2">
        <v>0</v>
      </c>
      <c r="AZ4603" s="2">
        <v>0</v>
      </c>
      <c r="BA4603" s="2">
        <v>0</v>
      </c>
      <c r="BB4603" s="2">
        <v>0</v>
      </c>
      <c r="BC4603" s="2">
        <v>0</v>
      </c>
      <c r="BD4603" s="2">
        <v>0</v>
      </c>
      <c r="BE4603" s="2">
        <v>0</v>
      </c>
      <c r="BF4603" s="2">
        <v>0</v>
      </c>
      <c r="BG4603" s="2">
        <v>0</v>
      </c>
      <c r="BH4603" s="2">
        <v>1</v>
      </c>
      <c r="BI4603" s="2">
        <v>1</v>
      </c>
      <c r="BJ4603" s="2">
        <v>0.2</v>
      </c>
      <c r="BK4603" s="2">
        <v>1</v>
      </c>
      <c r="BL4603" s="2">
        <v>41.44</v>
      </c>
      <c r="BM4603" s="2">
        <v>5.8</v>
      </c>
      <c r="BN4603" s="2">
        <v>47.24</v>
      </c>
      <c r="BO4603" s="2">
        <v>47.24</v>
      </c>
      <c r="BP4603" s="2"/>
      <c r="BQ4603" s="2" t="s">
        <v>4118</v>
      </c>
      <c r="BR4603" s="2" t="s">
        <v>84</v>
      </c>
      <c r="BS4603" s="3">
        <v>42954</v>
      </c>
      <c r="BT4603" s="4">
        <v>0.41666666666666669</v>
      </c>
      <c r="BU4603" s="2" t="s">
        <v>4119</v>
      </c>
      <c r="BV4603" s="2" t="s">
        <v>95</v>
      </c>
      <c r="BW4603" s="2"/>
      <c r="BX4603" s="2"/>
      <c r="BY4603" s="2">
        <v>1200</v>
      </c>
      <c r="BZ4603" s="2"/>
      <c r="CA4603" s="2" t="s">
        <v>367</v>
      </c>
      <c r="CB4603" s="2"/>
      <c r="CC4603" s="2" t="s">
        <v>363</v>
      </c>
      <c r="CD4603" s="2">
        <v>3201</v>
      </c>
      <c r="CE4603" s="2" t="s">
        <v>104</v>
      </c>
      <c r="CF4603" s="5">
        <v>42955</v>
      </c>
      <c r="CG4603" s="2"/>
      <c r="CH4603" s="2"/>
      <c r="CI4603" s="2">
        <v>1</v>
      </c>
      <c r="CJ4603" s="2">
        <v>1</v>
      </c>
      <c r="CK4603" s="2">
        <v>21</v>
      </c>
      <c r="CL4603" s="2" t="s">
        <v>86</v>
      </c>
      <c r="CM4603" s="2"/>
    </row>
    <row r="4604" spans="1:91">
      <c r="A4604" s="2" t="s">
        <v>71</v>
      </c>
      <c r="B4604" s="2" t="s">
        <v>72</v>
      </c>
      <c r="C4604" s="2" t="s">
        <v>73</v>
      </c>
      <c r="D4604" s="2"/>
      <c r="E4604" s="2" t="str">
        <f>"FES1162567210"</f>
        <v>FES1162567210</v>
      </c>
      <c r="F4604" s="3">
        <v>42951</v>
      </c>
      <c r="G4604" s="2">
        <v>201802</v>
      </c>
      <c r="H4604" s="2" t="s">
        <v>74</v>
      </c>
      <c r="I4604" s="2" t="s">
        <v>75</v>
      </c>
      <c r="J4604" s="2" t="s">
        <v>76</v>
      </c>
      <c r="K4604" s="2" t="s">
        <v>77</v>
      </c>
      <c r="L4604" s="2" t="s">
        <v>353</v>
      </c>
      <c r="M4604" s="2" t="s">
        <v>354</v>
      </c>
      <c r="N4604" s="2" t="s">
        <v>4120</v>
      </c>
      <c r="O4604" s="2" t="s">
        <v>100</v>
      </c>
      <c r="P4604" s="2" t="str">
        <f>"2170583356                    "</f>
        <v xml:space="preserve">2170583356                    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4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0</v>
      </c>
      <c r="AU4604" s="2">
        <v>0</v>
      </c>
      <c r="AV4604" s="2">
        <v>0</v>
      </c>
      <c r="AW4604" s="2">
        <v>0</v>
      </c>
      <c r="AX4604" s="2">
        <v>0</v>
      </c>
      <c r="AY4604" s="2">
        <v>0</v>
      </c>
      <c r="AZ4604" s="2">
        <v>0</v>
      </c>
      <c r="BA4604" s="2">
        <v>0</v>
      </c>
      <c r="BB4604" s="2">
        <v>0</v>
      </c>
      <c r="BC4604" s="2">
        <v>0</v>
      </c>
      <c r="BD4604" s="2">
        <v>0</v>
      </c>
      <c r="BE4604" s="2">
        <v>0</v>
      </c>
      <c r="BF4604" s="2">
        <v>0</v>
      </c>
      <c r="BG4604" s="2">
        <v>0</v>
      </c>
      <c r="BH4604" s="2">
        <v>1</v>
      </c>
      <c r="BI4604" s="2">
        <v>1</v>
      </c>
      <c r="BJ4604" s="2">
        <v>0.2</v>
      </c>
      <c r="BK4604" s="2">
        <v>1</v>
      </c>
      <c r="BL4604" s="2">
        <v>41.44</v>
      </c>
      <c r="BM4604" s="2">
        <v>5.8</v>
      </c>
      <c r="BN4604" s="2">
        <v>47.24</v>
      </c>
      <c r="BO4604" s="2">
        <v>47.24</v>
      </c>
      <c r="BP4604" s="2"/>
      <c r="BQ4604" s="2"/>
      <c r="BR4604" s="2" t="s">
        <v>84</v>
      </c>
      <c r="BS4604" s="3">
        <v>42954</v>
      </c>
      <c r="BT4604" s="4">
        <v>0.41666666666666669</v>
      </c>
      <c r="BU4604" s="2" t="s">
        <v>4121</v>
      </c>
      <c r="BV4604" s="2" t="s">
        <v>95</v>
      </c>
      <c r="BW4604" s="2"/>
      <c r="BX4604" s="2"/>
      <c r="BY4604" s="2">
        <v>1200</v>
      </c>
      <c r="BZ4604" s="2"/>
      <c r="CA4604" s="2" t="s">
        <v>668</v>
      </c>
      <c r="CB4604" s="2"/>
      <c r="CC4604" s="2" t="s">
        <v>354</v>
      </c>
      <c r="CD4604" s="2">
        <v>3730</v>
      </c>
      <c r="CE4604" s="2" t="s">
        <v>104</v>
      </c>
      <c r="CF4604" s="5">
        <v>42955</v>
      </c>
      <c r="CG4604" s="2"/>
      <c r="CH4604" s="2"/>
      <c r="CI4604" s="2">
        <v>1</v>
      </c>
      <c r="CJ4604" s="2">
        <v>1</v>
      </c>
      <c r="CK4604" s="2">
        <v>21</v>
      </c>
      <c r="CL4604" s="2" t="s">
        <v>86</v>
      </c>
      <c r="CM4604" s="2"/>
    </row>
    <row r="4605" spans="1:91">
      <c r="A4605" s="2" t="s">
        <v>71</v>
      </c>
      <c r="B4605" s="2" t="s">
        <v>72</v>
      </c>
      <c r="C4605" s="2" t="s">
        <v>73</v>
      </c>
      <c r="D4605" s="2"/>
      <c r="E4605" s="2" t="str">
        <f>"FES1162567034"</f>
        <v>FES1162567034</v>
      </c>
      <c r="F4605" s="3">
        <v>42951</v>
      </c>
      <c r="G4605" s="2">
        <v>201802</v>
      </c>
      <c r="H4605" s="2" t="s">
        <v>74</v>
      </c>
      <c r="I4605" s="2" t="s">
        <v>75</v>
      </c>
      <c r="J4605" s="2" t="s">
        <v>76</v>
      </c>
      <c r="K4605" s="2" t="s">
        <v>77</v>
      </c>
      <c r="L4605" s="2" t="s">
        <v>841</v>
      </c>
      <c r="M4605" s="2" t="s">
        <v>842</v>
      </c>
      <c r="N4605" s="2" t="s">
        <v>843</v>
      </c>
      <c r="O4605" s="2" t="s">
        <v>100</v>
      </c>
      <c r="P4605" s="2" t="str">
        <f>"2170582329                    "</f>
        <v xml:space="preserve">2170582329                    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7.75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0</v>
      </c>
      <c r="AU4605" s="2">
        <v>0</v>
      </c>
      <c r="AV4605" s="2">
        <v>0</v>
      </c>
      <c r="AW4605" s="2">
        <v>0</v>
      </c>
      <c r="AX4605" s="2">
        <v>0</v>
      </c>
      <c r="AY4605" s="2">
        <v>0</v>
      </c>
      <c r="AZ4605" s="2">
        <v>0</v>
      </c>
      <c r="BA4605" s="2">
        <v>0</v>
      </c>
      <c r="BB4605" s="2">
        <v>0</v>
      </c>
      <c r="BC4605" s="2">
        <v>0</v>
      </c>
      <c r="BD4605" s="2">
        <v>0</v>
      </c>
      <c r="BE4605" s="2">
        <v>0</v>
      </c>
      <c r="BF4605" s="2">
        <v>0</v>
      </c>
      <c r="BG4605" s="2">
        <v>0</v>
      </c>
      <c r="BH4605" s="2">
        <v>1</v>
      </c>
      <c r="BI4605" s="2">
        <v>1</v>
      </c>
      <c r="BJ4605" s="2">
        <v>0.2</v>
      </c>
      <c r="BK4605" s="2">
        <v>1</v>
      </c>
      <c r="BL4605" s="2">
        <v>80.290000000000006</v>
      </c>
      <c r="BM4605" s="2">
        <v>11.24</v>
      </c>
      <c r="BN4605" s="2">
        <v>91.53</v>
      </c>
      <c r="BO4605" s="2">
        <v>91.53</v>
      </c>
      <c r="BP4605" s="2"/>
      <c r="BQ4605" s="2" t="s">
        <v>83</v>
      </c>
      <c r="BR4605" s="2" t="s">
        <v>84</v>
      </c>
      <c r="BS4605" s="3">
        <v>42954</v>
      </c>
      <c r="BT4605" s="4">
        <v>0.52083333333333337</v>
      </c>
      <c r="BU4605" s="2" t="s">
        <v>4105</v>
      </c>
      <c r="BV4605" s="2" t="s">
        <v>95</v>
      </c>
      <c r="BW4605" s="2"/>
      <c r="BX4605" s="2"/>
      <c r="BY4605" s="2">
        <v>1200</v>
      </c>
      <c r="BZ4605" s="2"/>
      <c r="CA4605" s="2" t="s">
        <v>1245</v>
      </c>
      <c r="CB4605" s="2"/>
      <c r="CC4605" s="2" t="s">
        <v>842</v>
      </c>
      <c r="CD4605" s="2">
        <v>3370</v>
      </c>
      <c r="CE4605" s="2" t="s">
        <v>104</v>
      </c>
      <c r="CF4605" s="5">
        <v>42957</v>
      </c>
      <c r="CG4605" s="2"/>
      <c r="CH4605" s="2"/>
      <c r="CI4605" s="2">
        <v>3</v>
      </c>
      <c r="CJ4605" s="2">
        <v>1</v>
      </c>
      <c r="CK4605" s="2">
        <v>23</v>
      </c>
      <c r="CL4605" s="2" t="s">
        <v>86</v>
      </c>
      <c r="CM4605" s="2"/>
    </row>
    <row r="4606" spans="1:91">
      <c r="A4606" s="2" t="s">
        <v>71</v>
      </c>
      <c r="B4606" s="2" t="s">
        <v>72</v>
      </c>
      <c r="C4606" s="2" t="s">
        <v>73</v>
      </c>
      <c r="D4606" s="2"/>
      <c r="E4606" s="2" t="str">
        <f>"FES1162567082"</f>
        <v>FES1162567082</v>
      </c>
      <c r="F4606" s="3">
        <v>42951</v>
      </c>
      <c r="G4606" s="2">
        <v>201802</v>
      </c>
      <c r="H4606" s="2" t="s">
        <v>74</v>
      </c>
      <c r="I4606" s="2" t="s">
        <v>75</v>
      </c>
      <c r="J4606" s="2" t="s">
        <v>76</v>
      </c>
      <c r="K4606" s="2" t="s">
        <v>77</v>
      </c>
      <c r="L4606" s="2" t="s">
        <v>221</v>
      </c>
      <c r="M4606" s="2" t="s">
        <v>222</v>
      </c>
      <c r="N4606" s="2" t="s">
        <v>1275</v>
      </c>
      <c r="O4606" s="2" t="s">
        <v>100</v>
      </c>
      <c r="P4606" s="2" t="str">
        <f>"2170580121                    "</f>
        <v xml:space="preserve">2170580121                    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4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0</v>
      </c>
      <c r="AU4606" s="2">
        <v>0</v>
      </c>
      <c r="AV4606" s="2">
        <v>0</v>
      </c>
      <c r="AW4606" s="2">
        <v>0</v>
      </c>
      <c r="AX4606" s="2">
        <v>0</v>
      </c>
      <c r="AY4606" s="2">
        <v>0</v>
      </c>
      <c r="AZ4606" s="2">
        <v>0</v>
      </c>
      <c r="BA4606" s="2">
        <v>0</v>
      </c>
      <c r="BB4606" s="2">
        <v>0</v>
      </c>
      <c r="BC4606" s="2">
        <v>0</v>
      </c>
      <c r="BD4606" s="2">
        <v>0</v>
      </c>
      <c r="BE4606" s="2">
        <v>0</v>
      </c>
      <c r="BF4606" s="2">
        <v>0</v>
      </c>
      <c r="BG4606" s="2">
        <v>0</v>
      </c>
      <c r="BH4606" s="2">
        <v>1</v>
      </c>
      <c r="BI4606" s="2">
        <v>1</v>
      </c>
      <c r="BJ4606" s="2">
        <v>0.2</v>
      </c>
      <c r="BK4606" s="2">
        <v>1</v>
      </c>
      <c r="BL4606" s="2">
        <v>41.44</v>
      </c>
      <c r="BM4606" s="2">
        <v>5.8</v>
      </c>
      <c r="BN4606" s="2">
        <v>47.24</v>
      </c>
      <c r="BO4606" s="2">
        <v>47.24</v>
      </c>
      <c r="BP4606" s="2"/>
      <c r="BQ4606" s="2" t="s">
        <v>1534</v>
      </c>
      <c r="BR4606" s="2" t="s">
        <v>84</v>
      </c>
      <c r="BS4606" s="3">
        <v>42954</v>
      </c>
      <c r="BT4606" s="4">
        <v>0.4069444444444445</v>
      </c>
      <c r="BU4606" s="2" t="s">
        <v>1767</v>
      </c>
      <c r="BV4606" s="2" t="s">
        <v>95</v>
      </c>
      <c r="BW4606" s="2"/>
      <c r="BX4606" s="2"/>
      <c r="BY4606" s="2">
        <v>1200</v>
      </c>
      <c r="BZ4606" s="2"/>
      <c r="CA4606" s="2" t="s">
        <v>1536</v>
      </c>
      <c r="CB4606" s="2"/>
      <c r="CC4606" s="2" t="s">
        <v>222</v>
      </c>
      <c r="CD4606" s="2">
        <v>4300</v>
      </c>
      <c r="CE4606" s="2" t="s">
        <v>104</v>
      </c>
      <c r="CF4606" s="5">
        <v>42955</v>
      </c>
      <c r="CG4606" s="2"/>
      <c r="CH4606" s="2"/>
      <c r="CI4606" s="2">
        <v>1</v>
      </c>
      <c r="CJ4606" s="2">
        <v>1</v>
      </c>
      <c r="CK4606" s="2">
        <v>21</v>
      </c>
      <c r="CL4606" s="2" t="s">
        <v>86</v>
      </c>
      <c r="CM4606" s="2"/>
    </row>
    <row r="4607" spans="1:91">
      <c r="A4607" s="2" t="s">
        <v>71</v>
      </c>
      <c r="B4607" s="2" t="s">
        <v>72</v>
      </c>
      <c r="C4607" s="2" t="s">
        <v>73</v>
      </c>
      <c r="D4607" s="2"/>
      <c r="E4607" s="2" t="str">
        <f>"FES1162566764"</f>
        <v>FES1162566764</v>
      </c>
      <c r="F4607" s="3">
        <v>42951</v>
      </c>
      <c r="G4607" s="2">
        <v>201802</v>
      </c>
      <c r="H4607" s="2" t="s">
        <v>74</v>
      </c>
      <c r="I4607" s="2" t="s">
        <v>75</v>
      </c>
      <c r="J4607" s="2" t="s">
        <v>76</v>
      </c>
      <c r="K4607" s="2" t="s">
        <v>77</v>
      </c>
      <c r="L4607" s="2" t="s">
        <v>510</v>
      </c>
      <c r="M4607" s="2" t="s">
        <v>511</v>
      </c>
      <c r="N4607" s="2" t="s">
        <v>3052</v>
      </c>
      <c r="O4607" s="2" t="s">
        <v>100</v>
      </c>
      <c r="P4607" s="2" t="str">
        <f>"2170580617                    "</f>
        <v xml:space="preserve">2170580617                    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4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0</v>
      </c>
      <c r="AU4607" s="2">
        <v>0</v>
      </c>
      <c r="AV4607" s="2">
        <v>0</v>
      </c>
      <c r="AW4607" s="2">
        <v>0</v>
      </c>
      <c r="AX4607" s="2">
        <v>0</v>
      </c>
      <c r="AY4607" s="2">
        <v>0</v>
      </c>
      <c r="AZ4607" s="2">
        <v>0</v>
      </c>
      <c r="BA4607" s="2">
        <v>0</v>
      </c>
      <c r="BB4607" s="2">
        <v>0</v>
      </c>
      <c r="BC4607" s="2">
        <v>0</v>
      </c>
      <c r="BD4607" s="2">
        <v>0</v>
      </c>
      <c r="BE4607" s="2">
        <v>234</v>
      </c>
      <c r="BF4607" s="2">
        <v>0</v>
      </c>
      <c r="BG4607" s="2">
        <v>0</v>
      </c>
      <c r="BH4607" s="2">
        <v>1</v>
      </c>
      <c r="BI4607" s="2">
        <v>1</v>
      </c>
      <c r="BJ4607" s="2">
        <v>0.2</v>
      </c>
      <c r="BK4607" s="2">
        <v>1</v>
      </c>
      <c r="BL4607" s="2">
        <v>275.44</v>
      </c>
      <c r="BM4607" s="2">
        <v>38.56</v>
      </c>
      <c r="BN4607" s="2">
        <v>314</v>
      </c>
      <c r="BO4607" s="2">
        <v>314</v>
      </c>
      <c r="BP4607" s="2" t="s">
        <v>910</v>
      </c>
      <c r="BQ4607" s="2" t="s">
        <v>4122</v>
      </c>
      <c r="BR4607" s="2" t="s">
        <v>84</v>
      </c>
      <c r="BS4607" s="3">
        <v>42952</v>
      </c>
      <c r="BT4607" s="4">
        <v>0.53402777777777777</v>
      </c>
      <c r="BU4607" s="2" t="s">
        <v>4123</v>
      </c>
      <c r="BV4607" s="2" t="s">
        <v>95</v>
      </c>
      <c r="BW4607" s="2"/>
      <c r="BX4607" s="2"/>
      <c r="BY4607" s="2">
        <v>1200</v>
      </c>
      <c r="BZ4607" s="2" t="s">
        <v>913</v>
      </c>
      <c r="CA4607" s="2" t="s">
        <v>4124</v>
      </c>
      <c r="CB4607" s="2"/>
      <c r="CC4607" s="2" t="s">
        <v>511</v>
      </c>
      <c r="CD4607" s="2">
        <v>6229</v>
      </c>
      <c r="CE4607" s="2" t="s">
        <v>104</v>
      </c>
      <c r="CF4607" s="5">
        <v>42955</v>
      </c>
      <c r="CG4607" s="2"/>
      <c r="CH4607" s="2"/>
      <c r="CI4607" s="2">
        <v>1</v>
      </c>
      <c r="CJ4607" s="2">
        <v>1</v>
      </c>
      <c r="CK4607" s="2">
        <v>21</v>
      </c>
      <c r="CL4607" s="2" t="s">
        <v>86</v>
      </c>
      <c r="CM4607" s="2"/>
    </row>
    <row r="4608" spans="1:91">
      <c r="A4608" s="2" t="s">
        <v>71</v>
      </c>
      <c r="B4608" s="2" t="s">
        <v>72</v>
      </c>
      <c r="C4608" s="2" t="s">
        <v>73</v>
      </c>
      <c r="D4608" s="2"/>
      <c r="E4608" s="2" t="str">
        <f>"FES1162567011"</f>
        <v>FES1162567011</v>
      </c>
      <c r="F4608" s="3">
        <v>42951</v>
      </c>
      <c r="G4608" s="2">
        <v>201802</v>
      </c>
      <c r="H4608" s="2" t="s">
        <v>74</v>
      </c>
      <c r="I4608" s="2" t="s">
        <v>75</v>
      </c>
      <c r="J4608" s="2" t="s">
        <v>76</v>
      </c>
      <c r="K4608" s="2" t="s">
        <v>77</v>
      </c>
      <c r="L4608" s="2" t="s">
        <v>97</v>
      </c>
      <c r="M4608" s="2" t="s">
        <v>98</v>
      </c>
      <c r="N4608" s="2" t="s">
        <v>2597</v>
      </c>
      <c r="O4608" s="2" t="s">
        <v>100</v>
      </c>
      <c r="P4608" s="2" t="str">
        <f>"2170258258                    "</f>
        <v xml:space="preserve">2170258258                    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5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0</v>
      </c>
      <c r="AU4608" s="2">
        <v>0</v>
      </c>
      <c r="AV4608" s="2">
        <v>0</v>
      </c>
      <c r="AW4608" s="2">
        <v>0</v>
      </c>
      <c r="AX4608" s="2">
        <v>0</v>
      </c>
      <c r="AY4608" s="2">
        <v>0</v>
      </c>
      <c r="AZ4608" s="2">
        <v>0</v>
      </c>
      <c r="BA4608" s="2">
        <v>0</v>
      </c>
      <c r="BB4608" s="2">
        <v>0</v>
      </c>
      <c r="BC4608" s="2">
        <v>0</v>
      </c>
      <c r="BD4608" s="2">
        <v>0</v>
      </c>
      <c r="BE4608" s="2">
        <v>0</v>
      </c>
      <c r="BF4608" s="2">
        <v>0</v>
      </c>
      <c r="BG4608" s="2">
        <v>0</v>
      </c>
      <c r="BH4608" s="2">
        <v>1</v>
      </c>
      <c r="BI4608" s="2">
        <v>2</v>
      </c>
      <c r="BJ4608" s="2">
        <v>2.4</v>
      </c>
      <c r="BK4608" s="2">
        <v>2.5</v>
      </c>
      <c r="BL4608" s="2">
        <v>51.8</v>
      </c>
      <c r="BM4608" s="2">
        <v>7.25</v>
      </c>
      <c r="BN4608" s="2">
        <v>59.05</v>
      </c>
      <c r="BO4608" s="2">
        <v>59.05</v>
      </c>
      <c r="BP4608" s="2"/>
      <c r="BQ4608" s="2" t="s">
        <v>4113</v>
      </c>
      <c r="BR4608" s="2" t="s">
        <v>84</v>
      </c>
      <c r="BS4608" s="3">
        <v>42954</v>
      </c>
      <c r="BT4608" s="4">
        <v>0.29166666666666669</v>
      </c>
      <c r="BU4608" s="2" t="s">
        <v>2598</v>
      </c>
      <c r="BV4608" s="2" t="s">
        <v>95</v>
      </c>
      <c r="BW4608" s="2"/>
      <c r="BX4608" s="2"/>
      <c r="BY4608" s="2">
        <v>12096</v>
      </c>
      <c r="BZ4608" s="2"/>
      <c r="CA4608" s="2" t="s">
        <v>294</v>
      </c>
      <c r="CB4608" s="2"/>
      <c r="CC4608" s="2" t="s">
        <v>98</v>
      </c>
      <c r="CD4608" s="2">
        <v>6012</v>
      </c>
      <c r="CE4608" s="2" t="s">
        <v>948</v>
      </c>
      <c r="CF4608" s="5">
        <v>42955</v>
      </c>
      <c r="CG4608" s="2"/>
      <c r="CH4608" s="2"/>
      <c r="CI4608" s="2">
        <v>1</v>
      </c>
      <c r="CJ4608" s="2">
        <v>1</v>
      </c>
      <c r="CK4608" s="2">
        <v>21</v>
      </c>
      <c r="CL4608" s="2" t="s">
        <v>86</v>
      </c>
      <c r="CM4608" s="2"/>
    </row>
    <row r="4609" spans="1:91">
      <c r="A4609" s="2" t="s">
        <v>71</v>
      </c>
      <c r="B4609" s="2" t="s">
        <v>72</v>
      </c>
      <c r="C4609" s="2" t="s">
        <v>73</v>
      </c>
      <c r="D4609" s="2"/>
      <c r="E4609" s="2" t="str">
        <f>"FES1162567022"</f>
        <v>FES1162567022</v>
      </c>
      <c r="F4609" s="3">
        <v>42951</v>
      </c>
      <c r="G4609" s="2">
        <v>201802</v>
      </c>
      <c r="H4609" s="2" t="s">
        <v>74</v>
      </c>
      <c r="I4609" s="2" t="s">
        <v>75</v>
      </c>
      <c r="J4609" s="2" t="s">
        <v>76</v>
      </c>
      <c r="K4609" s="2" t="s">
        <v>77</v>
      </c>
      <c r="L4609" s="2" t="s">
        <v>237</v>
      </c>
      <c r="M4609" s="2" t="s">
        <v>238</v>
      </c>
      <c r="N4609" s="2" t="s">
        <v>3990</v>
      </c>
      <c r="O4609" s="2" t="s">
        <v>100</v>
      </c>
      <c r="P4609" s="2" t="str">
        <f>"2170583273                    "</f>
        <v xml:space="preserve">2170583273                    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9.01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0</v>
      </c>
      <c r="AU4609" s="2">
        <v>0</v>
      </c>
      <c r="AV4609" s="2">
        <v>0</v>
      </c>
      <c r="AW4609" s="2">
        <v>0</v>
      </c>
      <c r="AX4609" s="2">
        <v>0</v>
      </c>
      <c r="AY4609" s="2">
        <v>0</v>
      </c>
      <c r="AZ4609" s="2">
        <v>0</v>
      </c>
      <c r="BA4609" s="2">
        <v>0</v>
      </c>
      <c r="BB4609" s="2">
        <v>0</v>
      </c>
      <c r="BC4609" s="2">
        <v>0</v>
      </c>
      <c r="BD4609" s="2">
        <v>0</v>
      </c>
      <c r="BE4609" s="2">
        <v>0</v>
      </c>
      <c r="BF4609" s="2">
        <v>0</v>
      </c>
      <c r="BG4609" s="2">
        <v>0</v>
      </c>
      <c r="BH4609" s="2">
        <v>1</v>
      </c>
      <c r="BI4609" s="2">
        <v>4.3</v>
      </c>
      <c r="BJ4609" s="2">
        <v>3.5</v>
      </c>
      <c r="BK4609" s="2">
        <v>4.5</v>
      </c>
      <c r="BL4609" s="2">
        <v>93.25</v>
      </c>
      <c r="BM4609" s="2">
        <v>13.06</v>
      </c>
      <c r="BN4609" s="2">
        <v>106.31</v>
      </c>
      <c r="BO4609" s="2">
        <v>106.31</v>
      </c>
      <c r="BP4609" s="2"/>
      <c r="BQ4609" s="2" t="s">
        <v>3991</v>
      </c>
      <c r="BR4609" s="2" t="s">
        <v>84</v>
      </c>
      <c r="BS4609" s="3">
        <v>42954</v>
      </c>
      <c r="BT4609" s="4">
        <v>0.47222222222222227</v>
      </c>
      <c r="BU4609" s="2" t="s">
        <v>3992</v>
      </c>
      <c r="BV4609" s="2" t="s">
        <v>95</v>
      </c>
      <c r="BW4609" s="2"/>
      <c r="BX4609" s="2"/>
      <c r="BY4609" s="2">
        <v>17407.740000000002</v>
      </c>
      <c r="BZ4609" s="2"/>
      <c r="CA4609" s="2" t="s">
        <v>2155</v>
      </c>
      <c r="CB4609" s="2"/>
      <c r="CC4609" s="2" t="s">
        <v>238</v>
      </c>
      <c r="CD4609" s="2">
        <v>3610</v>
      </c>
      <c r="CE4609" s="2" t="s">
        <v>89</v>
      </c>
      <c r="CF4609" s="5">
        <v>42955</v>
      </c>
      <c r="CG4609" s="2"/>
      <c r="CH4609" s="2"/>
      <c r="CI4609" s="2">
        <v>1</v>
      </c>
      <c r="CJ4609" s="2">
        <v>1</v>
      </c>
      <c r="CK4609" s="2">
        <v>21</v>
      </c>
      <c r="CL4609" s="2" t="s">
        <v>86</v>
      </c>
      <c r="CM4609" s="2"/>
    </row>
    <row r="4610" spans="1:91">
      <c r="A4610" s="2" t="s">
        <v>71</v>
      </c>
      <c r="B4610" s="2" t="s">
        <v>72</v>
      </c>
      <c r="C4610" s="2" t="s">
        <v>73</v>
      </c>
      <c r="D4610" s="2"/>
      <c r="E4610" s="2" t="str">
        <f>"FES1162567019"</f>
        <v>FES1162567019</v>
      </c>
      <c r="F4610" s="3">
        <v>42951</v>
      </c>
      <c r="G4610" s="2">
        <v>201802</v>
      </c>
      <c r="H4610" s="2" t="s">
        <v>74</v>
      </c>
      <c r="I4610" s="2" t="s">
        <v>75</v>
      </c>
      <c r="J4610" s="2" t="s">
        <v>76</v>
      </c>
      <c r="K4610" s="2" t="s">
        <v>77</v>
      </c>
      <c r="L4610" s="2" t="s">
        <v>306</v>
      </c>
      <c r="M4610" s="2" t="s">
        <v>307</v>
      </c>
      <c r="N4610" s="2" t="s">
        <v>2644</v>
      </c>
      <c r="O4610" s="2" t="s">
        <v>100</v>
      </c>
      <c r="P4610" s="2" t="str">
        <f>"2170583270                    "</f>
        <v xml:space="preserve">2170583270                    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2">
        <v>0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4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0</v>
      </c>
      <c r="AU4610" s="2">
        <v>0</v>
      </c>
      <c r="AV4610" s="2">
        <v>0</v>
      </c>
      <c r="AW4610" s="2">
        <v>0</v>
      </c>
      <c r="AX4610" s="2">
        <v>0</v>
      </c>
      <c r="AY4610" s="2">
        <v>0</v>
      </c>
      <c r="AZ4610" s="2">
        <v>0</v>
      </c>
      <c r="BA4610" s="2">
        <v>0</v>
      </c>
      <c r="BB4610" s="2">
        <v>0</v>
      </c>
      <c r="BC4610" s="2">
        <v>0</v>
      </c>
      <c r="BD4610" s="2">
        <v>0</v>
      </c>
      <c r="BE4610" s="2">
        <v>0</v>
      </c>
      <c r="BF4610" s="2">
        <v>0</v>
      </c>
      <c r="BG4610" s="2">
        <v>0</v>
      </c>
      <c r="BH4610" s="2">
        <v>1</v>
      </c>
      <c r="BI4610" s="2">
        <v>1</v>
      </c>
      <c r="BJ4610" s="2">
        <v>0.2</v>
      </c>
      <c r="BK4610" s="2">
        <v>1</v>
      </c>
      <c r="BL4610" s="2">
        <v>41.44</v>
      </c>
      <c r="BM4610" s="2">
        <v>5.8</v>
      </c>
      <c r="BN4610" s="2">
        <v>47.24</v>
      </c>
      <c r="BO4610" s="2">
        <v>47.24</v>
      </c>
      <c r="BP4610" s="2"/>
      <c r="BQ4610" s="2" t="s">
        <v>4125</v>
      </c>
      <c r="BR4610" s="2" t="s">
        <v>84</v>
      </c>
      <c r="BS4610" s="3">
        <v>42954</v>
      </c>
      <c r="BT4610" s="4">
        <v>0.52430555555555558</v>
      </c>
      <c r="BU4610" s="2" t="s">
        <v>4126</v>
      </c>
      <c r="BV4610" s="2" t="s">
        <v>86</v>
      </c>
      <c r="BW4610" s="2"/>
      <c r="BX4610" s="2"/>
      <c r="BY4610" s="2">
        <v>1200</v>
      </c>
      <c r="BZ4610" s="2"/>
      <c r="CA4610" s="2"/>
      <c r="CB4610" s="2"/>
      <c r="CC4610" s="2" t="s">
        <v>307</v>
      </c>
      <c r="CD4610" s="2">
        <v>1871</v>
      </c>
      <c r="CE4610" s="2" t="s">
        <v>104</v>
      </c>
      <c r="CF4610" s="5">
        <v>42957</v>
      </c>
      <c r="CG4610" s="2"/>
      <c r="CH4610" s="2"/>
      <c r="CI4610" s="2">
        <v>1</v>
      </c>
      <c r="CJ4610" s="2">
        <v>1</v>
      </c>
      <c r="CK4610" s="2">
        <v>21</v>
      </c>
      <c r="CL4610" s="2" t="s">
        <v>86</v>
      </c>
      <c r="CM4610" s="2"/>
    </row>
    <row r="4611" spans="1:91">
      <c r="A4611" s="2" t="s">
        <v>71</v>
      </c>
      <c r="B4611" s="2" t="s">
        <v>72</v>
      </c>
      <c r="C4611" s="2" t="s">
        <v>73</v>
      </c>
      <c r="D4611" s="2"/>
      <c r="E4611" s="2" t="str">
        <f>"FES1162567004"</f>
        <v>FES1162567004</v>
      </c>
      <c r="F4611" s="3">
        <v>42951</v>
      </c>
      <c r="G4611" s="2">
        <v>201802</v>
      </c>
      <c r="H4611" s="2" t="s">
        <v>74</v>
      </c>
      <c r="I4611" s="2" t="s">
        <v>75</v>
      </c>
      <c r="J4611" s="2" t="s">
        <v>76</v>
      </c>
      <c r="K4611" s="2" t="s">
        <v>77</v>
      </c>
      <c r="L4611" s="2" t="s">
        <v>470</v>
      </c>
      <c r="M4611" s="2" t="s">
        <v>471</v>
      </c>
      <c r="N4611" s="2" t="s">
        <v>2209</v>
      </c>
      <c r="O4611" s="2" t="s">
        <v>100</v>
      </c>
      <c r="P4611" s="2" t="str">
        <f>"2170582875                    "</f>
        <v xml:space="preserve">2170582875                    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4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0</v>
      </c>
      <c r="AU4611" s="2">
        <v>0</v>
      </c>
      <c r="AV4611" s="2">
        <v>0</v>
      </c>
      <c r="AW4611" s="2">
        <v>0</v>
      </c>
      <c r="AX4611" s="2">
        <v>0</v>
      </c>
      <c r="AY4611" s="2">
        <v>0</v>
      </c>
      <c r="AZ4611" s="2">
        <v>0</v>
      </c>
      <c r="BA4611" s="2">
        <v>0</v>
      </c>
      <c r="BB4611" s="2">
        <v>0</v>
      </c>
      <c r="BC4611" s="2">
        <v>0</v>
      </c>
      <c r="BD4611" s="2">
        <v>0</v>
      </c>
      <c r="BE4611" s="2">
        <v>0</v>
      </c>
      <c r="BF4611" s="2">
        <v>0</v>
      </c>
      <c r="BG4611" s="2">
        <v>0</v>
      </c>
      <c r="BH4611" s="2">
        <v>1</v>
      </c>
      <c r="BI4611" s="2">
        <v>1</v>
      </c>
      <c r="BJ4611" s="2">
        <v>0.2</v>
      </c>
      <c r="BK4611" s="2">
        <v>1</v>
      </c>
      <c r="BL4611" s="2">
        <v>41.44</v>
      </c>
      <c r="BM4611" s="2">
        <v>5.8</v>
      </c>
      <c r="BN4611" s="2">
        <v>47.24</v>
      </c>
      <c r="BO4611" s="2">
        <v>47.24</v>
      </c>
      <c r="BP4611" s="2"/>
      <c r="BQ4611" s="2" t="s">
        <v>2393</v>
      </c>
      <c r="BR4611" s="2" t="s">
        <v>84</v>
      </c>
      <c r="BS4611" s="3">
        <v>42954</v>
      </c>
      <c r="BT4611" s="4">
        <v>0.52430555555555558</v>
      </c>
      <c r="BU4611" s="2" t="s">
        <v>990</v>
      </c>
      <c r="BV4611" s="2" t="s">
        <v>86</v>
      </c>
      <c r="BW4611" s="2"/>
      <c r="BX4611" s="2"/>
      <c r="BY4611" s="2">
        <v>1200</v>
      </c>
      <c r="BZ4611" s="2"/>
      <c r="CA4611" s="2"/>
      <c r="CB4611" s="2"/>
      <c r="CC4611" s="2" t="s">
        <v>471</v>
      </c>
      <c r="CD4611" s="2">
        <v>1900</v>
      </c>
      <c r="CE4611" s="2" t="s">
        <v>104</v>
      </c>
      <c r="CF4611" s="5">
        <v>42957</v>
      </c>
      <c r="CG4611" s="2"/>
      <c r="CH4611" s="2"/>
      <c r="CI4611" s="2">
        <v>1</v>
      </c>
      <c r="CJ4611" s="2">
        <v>1</v>
      </c>
      <c r="CK4611" s="2">
        <v>21</v>
      </c>
      <c r="CL4611" s="2" t="s">
        <v>86</v>
      </c>
      <c r="CM4611" s="2"/>
    </row>
    <row r="4612" spans="1:91">
      <c r="A4612" s="2" t="s">
        <v>71</v>
      </c>
      <c r="B4612" s="2" t="s">
        <v>72</v>
      </c>
      <c r="C4612" s="2" t="s">
        <v>73</v>
      </c>
      <c r="D4612" s="2"/>
      <c r="E4612" s="2" t="str">
        <f>"FES1162567042"</f>
        <v>FES1162567042</v>
      </c>
      <c r="F4612" s="3">
        <v>42951</v>
      </c>
      <c r="G4612" s="2">
        <v>201802</v>
      </c>
      <c r="H4612" s="2" t="s">
        <v>74</v>
      </c>
      <c r="I4612" s="2" t="s">
        <v>75</v>
      </c>
      <c r="J4612" s="2" t="s">
        <v>76</v>
      </c>
      <c r="K4612" s="2" t="s">
        <v>77</v>
      </c>
      <c r="L4612" s="2" t="s">
        <v>306</v>
      </c>
      <c r="M4612" s="2" t="s">
        <v>307</v>
      </c>
      <c r="N4612" s="2" t="s">
        <v>4127</v>
      </c>
      <c r="O4612" s="2" t="s">
        <v>100</v>
      </c>
      <c r="P4612" s="2" t="str">
        <f>"2170583262                    "</f>
        <v xml:space="preserve">2170583262                    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4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0</v>
      </c>
      <c r="AU4612" s="2">
        <v>0</v>
      </c>
      <c r="AV4612" s="2">
        <v>0</v>
      </c>
      <c r="AW4612" s="2">
        <v>0</v>
      </c>
      <c r="AX4612" s="2">
        <v>0</v>
      </c>
      <c r="AY4612" s="2">
        <v>0</v>
      </c>
      <c r="AZ4612" s="2">
        <v>0</v>
      </c>
      <c r="BA4612" s="2">
        <v>0</v>
      </c>
      <c r="BB4612" s="2">
        <v>0</v>
      </c>
      <c r="BC4612" s="2">
        <v>0</v>
      </c>
      <c r="BD4612" s="2">
        <v>0</v>
      </c>
      <c r="BE4612" s="2">
        <v>0</v>
      </c>
      <c r="BF4612" s="2">
        <v>0</v>
      </c>
      <c r="BG4612" s="2">
        <v>0</v>
      </c>
      <c r="BH4612" s="2">
        <v>1</v>
      </c>
      <c r="BI4612" s="2">
        <v>1</v>
      </c>
      <c r="BJ4612" s="2">
        <v>0.2</v>
      </c>
      <c r="BK4612" s="2">
        <v>1</v>
      </c>
      <c r="BL4612" s="2">
        <v>41.44</v>
      </c>
      <c r="BM4612" s="2">
        <v>5.8</v>
      </c>
      <c r="BN4612" s="2">
        <v>47.24</v>
      </c>
      <c r="BO4612" s="2">
        <v>47.24</v>
      </c>
      <c r="BP4612" s="2"/>
      <c r="BQ4612" s="2" t="s">
        <v>288</v>
      </c>
      <c r="BR4612" s="2" t="s">
        <v>84</v>
      </c>
      <c r="BS4612" s="3">
        <v>42954</v>
      </c>
      <c r="BT4612" s="4">
        <v>0.52430555555555558</v>
      </c>
      <c r="BU4612" s="2" t="s">
        <v>4128</v>
      </c>
      <c r="BV4612" s="2" t="s">
        <v>86</v>
      </c>
      <c r="BW4612" s="2"/>
      <c r="BX4612" s="2"/>
      <c r="BY4612" s="2">
        <v>1200</v>
      </c>
      <c r="BZ4612" s="2"/>
      <c r="CA4612" s="2"/>
      <c r="CB4612" s="2"/>
      <c r="CC4612" s="2" t="s">
        <v>307</v>
      </c>
      <c r="CD4612" s="2">
        <v>1961</v>
      </c>
      <c r="CE4612" s="2" t="s">
        <v>104</v>
      </c>
      <c r="CF4612" s="5">
        <v>42957</v>
      </c>
      <c r="CG4612" s="2"/>
      <c r="CH4612" s="2"/>
      <c r="CI4612" s="2">
        <v>1</v>
      </c>
      <c r="CJ4612" s="2">
        <v>1</v>
      </c>
      <c r="CK4612" s="2">
        <v>21</v>
      </c>
      <c r="CL4612" s="2" t="s">
        <v>86</v>
      </c>
      <c r="CM4612" s="2"/>
    </row>
    <row r="4613" spans="1:91">
      <c r="A4613" s="2" t="s">
        <v>71</v>
      </c>
      <c r="B4613" s="2" t="s">
        <v>72</v>
      </c>
      <c r="C4613" s="2" t="s">
        <v>73</v>
      </c>
      <c r="D4613" s="2"/>
      <c r="E4613" s="2" t="str">
        <f>"FES1162567017"</f>
        <v>FES1162567017</v>
      </c>
      <c r="F4613" s="3">
        <v>42951</v>
      </c>
      <c r="G4613" s="2">
        <v>201802</v>
      </c>
      <c r="H4613" s="2" t="s">
        <v>74</v>
      </c>
      <c r="I4613" s="2" t="s">
        <v>75</v>
      </c>
      <c r="J4613" s="2" t="s">
        <v>76</v>
      </c>
      <c r="K4613" s="2" t="s">
        <v>77</v>
      </c>
      <c r="L4613" s="2" t="s">
        <v>939</v>
      </c>
      <c r="M4613" s="2" t="s">
        <v>940</v>
      </c>
      <c r="N4613" s="2" t="s">
        <v>941</v>
      </c>
      <c r="O4613" s="2" t="s">
        <v>100</v>
      </c>
      <c r="P4613" s="2" t="str">
        <f>"2170583266                    "</f>
        <v xml:space="preserve">2170583266                    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0</v>
      </c>
      <c r="Y4613" s="2">
        <v>0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  <c r="AM4613" s="2">
        <v>5.63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0</v>
      </c>
      <c r="AU4613" s="2">
        <v>0</v>
      </c>
      <c r="AV4613" s="2">
        <v>0</v>
      </c>
      <c r="AW4613" s="2">
        <v>0</v>
      </c>
      <c r="AX4613" s="2">
        <v>0</v>
      </c>
      <c r="AY4613" s="2">
        <v>0</v>
      </c>
      <c r="AZ4613" s="2">
        <v>0</v>
      </c>
      <c r="BA4613" s="2">
        <v>0</v>
      </c>
      <c r="BB4613" s="2">
        <v>0</v>
      </c>
      <c r="BC4613" s="2">
        <v>0</v>
      </c>
      <c r="BD4613" s="2">
        <v>0</v>
      </c>
      <c r="BE4613" s="2">
        <v>0</v>
      </c>
      <c r="BF4613" s="2">
        <v>0</v>
      </c>
      <c r="BG4613" s="2">
        <v>0</v>
      </c>
      <c r="BH4613" s="2">
        <v>1</v>
      </c>
      <c r="BI4613" s="2">
        <v>1</v>
      </c>
      <c r="BJ4613" s="2">
        <v>0.2</v>
      </c>
      <c r="BK4613" s="2">
        <v>1</v>
      </c>
      <c r="BL4613" s="2">
        <v>58.28</v>
      </c>
      <c r="BM4613" s="2">
        <v>8.16</v>
      </c>
      <c r="BN4613" s="2">
        <v>66.44</v>
      </c>
      <c r="BO4613" s="2">
        <v>66.44</v>
      </c>
      <c r="BP4613" s="2"/>
      <c r="BQ4613" s="2" t="s">
        <v>108</v>
      </c>
      <c r="BR4613" s="2" t="s">
        <v>84</v>
      </c>
      <c r="BS4613" s="3">
        <v>42954</v>
      </c>
      <c r="BT4613" s="4">
        <v>0.625</v>
      </c>
      <c r="BU4613" s="2" t="s">
        <v>942</v>
      </c>
      <c r="BV4613" s="2" t="s">
        <v>95</v>
      </c>
      <c r="BW4613" s="2"/>
      <c r="BX4613" s="2"/>
      <c r="BY4613" s="2">
        <v>1200</v>
      </c>
      <c r="BZ4613" s="2"/>
      <c r="CA4613" s="2" t="s">
        <v>943</v>
      </c>
      <c r="CB4613" s="2"/>
      <c r="CC4613" s="2" t="s">
        <v>940</v>
      </c>
      <c r="CD4613" s="2">
        <v>1028</v>
      </c>
      <c r="CE4613" s="2" t="s">
        <v>104</v>
      </c>
      <c r="CF4613" s="5">
        <v>42957</v>
      </c>
      <c r="CG4613" s="2"/>
      <c r="CH4613" s="2"/>
      <c r="CI4613" s="2">
        <v>2</v>
      </c>
      <c r="CJ4613" s="2">
        <v>1</v>
      </c>
      <c r="CK4613" s="2">
        <v>24</v>
      </c>
      <c r="CL4613" s="2" t="s">
        <v>86</v>
      </c>
      <c r="CM4613" s="2"/>
    </row>
    <row r="4614" spans="1:91">
      <c r="A4614" s="2" t="s">
        <v>71</v>
      </c>
      <c r="B4614" s="2" t="s">
        <v>72</v>
      </c>
      <c r="C4614" s="2" t="s">
        <v>73</v>
      </c>
      <c r="D4614" s="2"/>
      <c r="E4614" s="2" t="str">
        <f>"FES1162566996"</f>
        <v>FES1162566996</v>
      </c>
      <c r="F4614" s="3">
        <v>42951</v>
      </c>
      <c r="G4614" s="2">
        <v>201802</v>
      </c>
      <c r="H4614" s="2" t="s">
        <v>74</v>
      </c>
      <c r="I4614" s="2" t="s">
        <v>75</v>
      </c>
      <c r="J4614" s="2" t="s">
        <v>76</v>
      </c>
      <c r="K4614" s="2" t="s">
        <v>77</v>
      </c>
      <c r="L4614" s="2" t="s">
        <v>268</v>
      </c>
      <c r="M4614" s="2" t="s">
        <v>269</v>
      </c>
      <c r="N4614" s="2" t="s">
        <v>4129</v>
      </c>
      <c r="O4614" s="2" t="s">
        <v>100</v>
      </c>
      <c r="P4614" s="2" t="str">
        <f>"2170581649                    "</f>
        <v xml:space="preserve">2170581649                    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4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0</v>
      </c>
      <c r="AU4614" s="2">
        <v>0</v>
      </c>
      <c r="AV4614" s="2">
        <v>0</v>
      </c>
      <c r="AW4614" s="2">
        <v>0</v>
      </c>
      <c r="AX4614" s="2">
        <v>0</v>
      </c>
      <c r="AY4614" s="2">
        <v>0</v>
      </c>
      <c r="AZ4614" s="2">
        <v>0</v>
      </c>
      <c r="BA4614" s="2">
        <v>0</v>
      </c>
      <c r="BB4614" s="2">
        <v>0</v>
      </c>
      <c r="BC4614" s="2">
        <v>0</v>
      </c>
      <c r="BD4614" s="2">
        <v>0</v>
      </c>
      <c r="BE4614" s="2">
        <v>0</v>
      </c>
      <c r="BF4614" s="2">
        <v>0</v>
      </c>
      <c r="BG4614" s="2">
        <v>0</v>
      </c>
      <c r="BH4614" s="2">
        <v>1</v>
      </c>
      <c r="BI4614" s="2">
        <v>1</v>
      </c>
      <c r="BJ4614" s="2">
        <v>0.2</v>
      </c>
      <c r="BK4614" s="2">
        <v>1</v>
      </c>
      <c r="BL4614" s="2">
        <v>41.44</v>
      </c>
      <c r="BM4614" s="2">
        <v>5.8</v>
      </c>
      <c r="BN4614" s="2">
        <v>47.24</v>
      </c>
      <c r="BO4614" s="2">
        <v>47.24</v>
      </c>
      <c r="BP4614" s="2"/>
      <c r="BQ4614" s="2"/>
      <c r="BR4614" s="2" t="s">
        <v>84</v>
      </c>
      <c r="BS4614" s="3">
        <v>42954</v>
      </c>
      <c r="BT4614" s="4">
        <v>0.40277777777777773</v>
      </c>
      <c r="BU4614" s="2" t="s">
        <v>4130</v>
      </c>
      <c r="BV4614" s="2" t="s">
        <v>95</v>
      </c>
      <c r="BW4614" s="2"/>
      <c r="BX4614" s="2"/>
      <c r="BY4614" s="2">
        <v>1200</v>
      </c>
      <c r="BZ4614" s="2"/>
      <c r="CA4614" s="2"/>
      <c r="CB4614" s="2"/>
      <c r="CC4614" s="2" t="s">
        <v>269</v>
      </c>
      <c r="CD4614" s="2">
        <v>157</v>
      </c>
      <c r="CE4614" s="2" t="s">
        <v>104</v>
      </c>
      <c r="CF4614" s="5">
        <v>42957</v>
      </c>
      <c r="CG4614" s="2"/>
      <c r="CH4614" s="2"/>
      <c r="CI4614" s="2">
        <v>1</v>
      </c>
      <c r="CJ4614" s="2">
        <v>1</v>
      </c>
      <c r="CK4614" s="2">
        <v>21</v>
      </c>
      <c r="CL4614" s="2" t="s">
        <v>86</v>
      </c>
      <c r="CM4614" s="2"/>
    </row>
    <row r="4615" spans="1:91">
      <c r="A4615" s="2" t="s">
        <v>71</v>
      </c>
      <c r="B4615" s="2" t="s">
        <v>72</v>
      </c>
      <c r="C4615" s="2" t="s">
        <v>73</v>
      </c>
      <c r="D4615" s="2"/>
      <c r="E4615" s="2" t="str">
        <f>"FES1162567015"</f>
        <v>FES1162567015</v>
      </c>
      <c r="F4615" s="3">
        <v>42951</v>
      </c>
      <c r="G4615" s="2">
        <v>201802</v>
      </c>
      <c r="H4615" s="2" t="s">
        <v>74</v>
      </c>
      <c r="I4615" s="2" t="s">
        <v>75</v>
      </c>
      <c r="J4615" s="2" t="s">
        <v>76</v>
      </c>
      <c r="K4615" s="2" t="s">
        <v>77</v>
      </c>
      <c r="L4615" s="2" t="s">
        <v>939</v>
      </c>
      <c r="M4615" s="2" t="s">
        <v>940</v>
      </c>
      <c r="N4615" s="2" t="s">
        <v>941</v>
      </c>
      <c r="O4615" s="2" t="s">
        <v>100</v>
      </c>
      <c r="P4615" s="2" t="str">
        <f>"2170583264                    "</f>
        <v xml:space="preserve">2170583264                    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0</v>
      </c>
      <c r="AB4615" s="2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5.63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0</v>
      </c>
      <c r="AU4615" s="2">
        <v>0</v>
      </c>
      <c r="AV4615" s="2">
        <v>0</v>
      </c>
      <c r="AW4615" s="2">
        <v>0</v>
      </c>
      <c r="AX4615" s="2">
        <v>0</v>
      </c>
      <c r="AY4615" s="2">
        <v>0</v>
      </c>
      <c r="AZ4615" s="2">
        <v>0</v>
      </c>
      <c r="BA4615" s="2">
        <v>0</v>
      </c>
      <c r="BB4615" s="2">
        <v>0</v>
      </c>
      <c r="BC4615" s="2">
        <v>0</v>
      </c>
      <c r="BD4615" s="2">
        <v>0</v>
      </c>
      <c r="BE4615" s="2">
        <v>0</v>
      </c>
      <c r="BF4615" s="2">
        <v>0</v>
      </c>
      <c r="BG4615" s="2">
        <v>0</v>
      </c>
      <c r="BH4615" s="2">
        <v>1</v>
      </c>
      <c r="BI4615" s="2">
        <v>1</v>
      </c>
      <c r="BJ4615" s="2">
        <v>0.2</v>
      </c>
      <c r="BK4615" s="2">
        <v>1</v>
      </c>
      <c r="BL4615" s="2">
        <v>58.28</v>
      </c>
      <c r="BM4615" s="2">
        <v>8.16</v>
      </c>
      <c r="BN4615" s="2">
        <v>66.44</v>
      </c>
      <c r="BO4615" s="2">
        <v>66.44</v>
      </c>
      <c r="BP4615" s="2"/>
      <c r="BQ4615" s="2" t="s">
        <v>108</v>
      </c>
      <c r="BR4615" s="2" t="s">
        <v>84</v>
      </c>
      <c r="BS4615" s="3">
        <v>42954</v>
      </c>
      <c r="BT4615" s="4">
        <v>0.41666666666666669</v>
      </c>
      <c r="BU4615" s="2" t="s">
        <v>942</v>
      </c>
      <c r="BV4615" s="2" t="s">
        <v>95</v>
      </c>
      <c r="BW4615" s="2"/>
      <c r="BX4615" s="2"/>
      <c r="BY4615" s="2">
        <v>1200</v>
      </c>
      <c r="BZ4615" s="2"/>
      <c r="CA4615" s="2" t="s">
        <v>943</v>
      </c>
      <c r="CB4615" s="2"/>
      <c r="CC4615" s="2" t="s">
        <v>940</v>
      </c>
      <c r="CD4615" s="2">
        <v>1028</v>
      </c>
      <c r="CE4615" s="2" t="s">
        <v>104</v>
      </c>
      <c r="CF4615" s="5">
        <v>42957</v>
      </c>
      <c r="CG4615" s="2"/>
      <c r="CH4615" s="2"/>
      <c r="CI4615" s="2">
        <v>2</v>
      </c>
      <c r="CJ4615" s="2">
        <v>1</v>
      </c>
      <c r="CK4615" s="2">
        <v>24</v>
      </c>
      <c r="CL4615" s="2" t="s">
        <v>86</v>
      </c>
      <c r="CM4615" s="2"/>
    </row>
    <row r="4616" spans="1:91">
      <c r="A4616" s="2" t="s">
        <v>71</v>
      </c>
      <c r="B4616" s="2" t="s">
        <v>72</v>
      </c>
      <c r="C4616" s="2" t="s">
        <v>73</v>
      </c>
      <c r="D4616" s="2"/>
      <c r="E4616" s="2" t="str">
        <f>"FES1162567093"</f>
        <v>FES1162567093</v>
      </c>
      <c r="F4616" s="3">
        <v>42951</v>
      </c>
      <c r="G4616" s="2">
        <v>201802</v>
      </c>
      <c r="H4616" s="2" t="s">
        <v>74</v>
      </c>
      <c r="I4616" s="2" t="s">
        <v>75</v>
      </c>
      <c r="J4616" s="2" t="s">
        <v>76</v>
      </c>
      <c r="K4616" s="2" t="s">
        <v>77</v>
      </c>
      <c r="L4616" s="2" t="s">
        <v>206</v>
      </c>
      <c r="M4616" s="2" t="s">
        <v>207</v>
      </c>
      <c r="N4616" s="2" t="s">
        <v>208</v>
      </c>
      <c r="O4616" s="2" t="s">
        <v>100</v>
      </c>
      <c r="P4616" s="2" t="str">
        <f>"2170580308                    "</f>
        <v xml:space="preserve">2170580308                    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2">
        <v>0</v>
      </c>
      <c r="Z4616" s="2">
        <v>0</v>
      </c>
      <c r="AA4616" s="2">
        <v>0</v>
      </c>
      <c r="AB4616" s="2">
        <v>0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5.63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0</v>
      </c>
      <c r="AU4616" s="2">
        <v>0</v>
      </c>
      <c r="AV4616" s="2">
        <v>0</v>
      </c>
      <c r="AW4616" s="2">
        <v>0</v>
      </c>
      <c r="AX4616" s="2">
        <v>0</v>
      </c>
      <c r="AY4616" s="2">
        <v>0</v>
      </c>
      <c r="AZ4616" s="2">
        <v>0</v>
      </c>
      <c r="BA4616" s="2">
        <v>0</v>
      </c>
      <c r="BB4616" s="2">
        <v>0</v>
      </c>
      <c r="BC4616" s="2">
        <v>0</v>
      </c>
      <c r="BD4616" s="2">
        <v>0</v>
      </c>
      <c r="BE4616" s="2">
        <v>0</v>
      </c>
      <c r="BF4616" s="2">
        <v>0</v>
      </c>
      <c r="BG4616" s="2">
        <v>0</v>
      </c>
      <c r="BH4616" s="2">
        <v>1</v>
      </c>
      <c r="BI4616" s="2">
        <v>1</v>
      </c>
      <c r="BJ4616" s="2">
        <v>0.2</v>
      </c>
      <c r="BK4616" s="2">
        <v>1</v>
      </c>
      <c r="BL4616" s="2">
        <v>58.28</v>
      </c>
      <c r="BM4616" s="2">
        <v>8.16</v>
      </c>
      <c r="BN4616" s="2">
        <v>66.44</v>
      </c>
      <c r="BO4616" s="2">
        <v>66.44</v>
      </c>
      <c r="BP4616" s="2"/>
      <c r="BQ4616" s="2" t="s">
        <v>209</v>
      </c>
      <c r="BR4616" s="2" t="s">
        <v>84</v>
      </c>
      <c r="BS4616" s="3">
        <v>42954</v>
      </c>
      <c r="BT4616" s="4">
        <v>0.67569444444444438</v>
      </c>
      <c r="BU4616" s="2" t="s">
        <v>4131</v>
      </c>
      <c r="BV4616" s="2" t="s">
        <v>86</v>
      </c>
      <c r="BW4616" s="2"/>
      <c r="BX4616" s="2"/>
      <c r="BY4616" s="2">
        <v>1200</v>
      </c>
      <c r="BZ4616" s="2"/>
      <c r="CA4616" s="2" t="s">
        <v>640</v>
      </c>
      <c r="CB4616" s="2"/>
      <c r="CC4616" s="2" t="s">
        <v>207</v>
      </c>
      <c r="CD4616" s="2">
        <v>250</v>
      </c>
      <c r="CE4616" s="2" t="s">
        <v>104</v>
      </c>
      <c r="CF4616" s="5">
        <v>42957</v>
      </c>
      <c r="CG4616" s="2"/>
      <c r="CH4616" s="2"/>
      <c r="CI4616" s="2">
        <v>1</v>
      </c>
      <c r="CJ4616" s="2">
        <v>1</v>
      </c>
      <c r="CK4616" s="2">
        <v>24</v>
      </c>
      <c r="CL4616" s="2" t="s">
        <v>86</v>
      </c>
      <c r="CM4616" s="2"/>
    </row>
    <row r="4617" spans="1:91">
      <c r="A4617" s="2" t="s">
        <v>71</v>
      </c>
      <c r="B4617" s="2" t="s">
        <v>72</v>
      </c>
      <c r="C4617" s="2" t="s">
        <v>73</v>
      </c>
      <c r="D4617" s="2"/>
      <c r="E4617" s="2" t="str">
        <f>"FES1162567111"</f>
        <v>FES1162567111</v>
      </c>
      <c r="F4617" s="3">
        <v>42951</v>
      </c>
      <c r="G4617" s="2">
        <v>201802</v>
      </c>
      <c r="H4617" s="2" t="s">
        <v>74</v>
      </c>
      <c r="I4617" s="2" t="s">
        <v>75</v>
      </c>
      <c r="J4617" s="2" t="s">
        <v>76</v>
      </c>
      <c r="K4617" s="2" t="s">
        <v>77</v>
      </c>
      <c r="L4617" s="2" t="s">
        <v>383</v>
      </c>
      <c r="M4617" s="2" t="s">
        <v>384</v>
      </c>
      <c r="N4617" s="2" t="s">
        <v>385</v>
      </c>
      <c r="O4617" s="2" t="s">
        <v>100</v>
      </c>
      <c r="P4617" s="2" t="str">
        <f>"2170580748                    "</f>
        <v xml:space="preserve">2170580748                    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5.63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0</v>
      </c>
      <c r="AU4617" s="2">
        <v>0</v>
      </c>
      <c r="AV4617" s="2">
        <v>0</v>
      </c>
      <c r="AW4617" s="2">
        <v>0</v>
      </c>
      <c r="AX4617" s="2">
        <v>0</v>
      </c>
      <c r="AY4617" s="2">
        <v>0</v>
      </c>
      <c r="AZ4617" s="2">
        <v>0</v>
      </c>
      <c r="BA4617" s="2">
        <v>0</v>
      </c>
      <c r="BB4617" s="2">
        <v>0</v>
      </c>
      <c r="BC4617" s="2">
        <v>0</v>
      </c>
      <c r="BD4617" s="2">
        <v>0</v>
      </c>
      <c r="BE4617" s="2">
        <v>0</v>
      </c>
      <c r="BF4617" s="2">
        <v>0</v>
      </c>
      <c r="BG4617" s="2">
        <v>0</v>
      </c>
      <c r="BH4617" s="2">
        <v>1</v>
      </c>
      <c r="BI4617" s="2">
        <v>1</v>
      </c>
      <c r="BJ4617" s="2">
        <v>0.2</v>
      </c>
      <c r="BK4617" s="2">
        <v>1</v>
      </c>
      <c r="BL4617" s="2">
        <v>58.28</v>
      </c>
      <c r="BM4617" s="2">
        <v>8.16</v>
      </c>
      <c r="BN4617" s="2">
        <v>66.44</v>
      </c>
      <c r="BO4617" s="2">
        <v>66.44</v>
      </c>
      <c r="BP4617" s="2"/>
      <c r="BQ4617" s="2" t="s">
        <v>1813</v>
      </c>
      <c r="BR4617" s="2" t="s">
        <v>84</v>
      </c>
      <c r="BS4617" s="3">
        <v>42954</v>
      </c>
      <c r="BT4617" s="4">
        <v>0.60763888888888895</v>
      </c>
      <c r="BU4617" s="2" t="s">
        <v>386</v>
      </c>
      <c r="BV4617" s="2" t="s">
        <v>95</v>
      </c>
      <c r="BW4617" s="2"/>
      <c r="BX4617" s="2"/>
      <c r="BY4617" s="2">
        <v>1200</v>
      </c>
      <c r="BZ4617" s="2"/>
      <c r="CA4617" s="2" t="s">
        <v>387</v>
      </c>
      <c r="CB4617" s="2"/>
      <c r="CC4617" s="2" t="s">
        <v>384</v>
      </c>
      <c r="CD4617" s="2">
        <v>2210</v>
      </c>
      <c r="CE4617" s="2" t="s">
        <v>104</v>
      </c>
      <c r="CF4617" s="5">
        <v>42955</v>
      </c>
      <c r="CG4617" s="2"/>
      <c r="CH4617" s="2"/>
      <c r="CI4617" s="2">
        <v>1</v>
      </c>
      <c r="CJ4617" s="2">
        <v>1</v>
      </c>
      <c r="CK4617" s="2">
        <v>24</v>
      </c>
      <c r="CL4617" s="2" t="s">
        <v>86</v>
      </c>
      <c r="CM4617" s="2"/>
    </row>
    <row r="4618" spans="1:91">
      <c r="A4618" s="2" t="s">
        <v>71</v>
      </c>
      <c r="B4618" s="2" t="s">
        <v>72</v>
      </c>
      <c r="C4618" s="2" t="s">
        <v>73</v>
      </c>
      <c r="D4618" s="2"/>
      <c r="E4618" s="2" t="str">
        <f>"FES1162567114"</f>
        <v>FES1162567114</v>
      </c>
      <c r="F4618" s="3">
        <v>42951</v>
      </c>
      <c r="G4618" s="2">
        <v>201802</v>
      </c>
      <c r="H4618" s="2" t="s">
        <v>74</v>
      </c>
      <c r="I4618" s="2" t="s">
        <v>75</v>
      </c>
      <c r="J4618" s="2" t="s">
        <v>76</v>
      </c>
      <c r="K4618" s="2" t="s">
        <v>77</v>
      </c>
      <c r="L4618" s="2" t="s">
        <v>939</v>
      </c>
      <c r="M4618" s="2" t="s">
        <v>940</v>
      </c>
      <c r="N4618" s="2" t="s">
        <v>941</v>
      </c>
      <c r="O4618" s="2" t="s">
        <v>100</v>
      </c>
      <c r="P4618" s="2" t="str">
        <f>"217058784                     "</f>
        <v xml:space="preserve">217058784                     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5.63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0</v>
      </c>
      <c r="AU4618" s="2">
        <v>0</v>
      </c>
      <c r="AV4618" s="2">
        <v>0</v>
      </c>
      <c r="AW4618" s="2">
        <v>0</v>
      </c>
      <c r="AX4618" s="2">
        <v>0</v>
      </c>
      <c r="AY4618" s="2">
        <v>0</v>
      </c>
      <c r="AZ4618" s="2">
        <v>0</v>
      </c>
      <c r="BA4618" s="2">
        <v>0</v>
      </c>
      <c r="BB4618" s="2">
        <v>0</v>
      </c>
      <c r="BC4618" s="2">
        <v>0</v>
      </c>
      <c r="BD4618" s="2">
        <v>0</v>
      </c>
      <c r="BE4618" s="2">
        <v>0</v>
      </c>
      <c r="BF4618" s="2">
        <v>0</v>
      </c>
      <c r="BG4618" s="2">
        <v>0</v>
      </c>
      <c r="BH4618" s="2">
        <v>1</v>
      </c>
      <c r="BI4618" s="2">
        <v>1</v>
      </c>
      <c r="BJ4618" s="2">
        <v>0.2</v>
      </c>
      <c r="BK4618" s="2">
        <v>1</v>
      </c>
      <c r="BL4618" s="2">
        <v>58.28</v>
      </c>
      <c r="BM4618" s="2">
        <v>8.16</v>
      </c>
      <c r="BN4618" s="2">
        <v>66.44</v>
      </c>
      <c r="BO4618" s="2">
        <v>66.44</v>
      </c>
      <c r="BP4618" s="2"/>
      <c r="BQ4618" s="2" t="s">
        <v>108</v>
      </c>
      <c r="BR4618" s="2" t="s">
        <v>84</v>
      </c>
      <c r="BS4618" s="3">
        <v>42954</v>
      </c>
      <c r="BT4618" s="4">
        <v>0.625</v>
      </c>
      <c r="BU4618" s="2" t="s">
        <v>942</v>
      </c>
      <c r="BV4618" s="2" t="s">
        <v>95</v>
      </c>
      <c r="BW4618" s="2"/>
      <c r="BX4618" s="2"/>
      <c r="BY4618" s="2">
        <v>1200</v>
      </c>
      <c r="BZ4618" s="2"/>
      <c r="CA4618" s="2" t="s">
        <v>943</v>
      </c>
      <c r="CB4618" s="2"/>
      <c r="CC4618" s="2" t="s">
        <v>940</v>
      </c>
      <c r="CD4618" s="2">
        <v>1028</v>
      </c>
      <c r="CE4618" s="2" t="s">
        <v>104</v>
      </c>
      <c r="CF4618" s="5">
        <v>42957</v>
      </c>
      <c r="CG4618" s="2"/>
      <c r="CH4618" s="2"/>
      <c r="CI4618" s="2">
        <v>2</v>
      </c>
      <c r="CJ4618" s="2">
        <v>1</v>
      </c>
      <c r="CK4618" s="2">
        <v>24</v>
      </c>
      <c r="CL4618" s="2" t="s">
        <v>86</v>
      </c>
      <c r="CM4618" s="2"/>
    </row>
    <row r="4619" spans="1:91">
      <c r="A4619" s="2" t="s">
        <v>71</v>
      </c>
      <c r="B4619" s="2" t="s">
        <v>72</v>
      </c>
      <c r="C4619" s="2" t="s">
        <v>73</v>
      </c>
      <c r="D4619" s="2"/>
      <c r="E4619" s="2" t="str">
        <f>"FES1162567002"</f>
        <v>FES1162567002</v>
      </c>
      <c r="F4619" s="3">
        <v>42951</v>
      </c>
      <c r="G4619" s="2">
        <v>201802</v>
      </c>
      <c r="H4619" s="2" t="s">
        <v>74</v>
      </c>
      <c r="I4619" s="2" t="s">
        <v>75</v>
      </c>
      <c r="J4619" s="2" t="s">
        <v>76</v>
      </c>
      <c r="K4619" s="2" t="s">
        <v>77</v>
      </c>
      <c r="L4619" s="2" t="s">
        <v>268</v>
      </c>
      <c r="M4619" s="2" t="s">
        <v>269</v>
      </c>
      <c r="N4619" s="2" t="s">
        <v>1675</v>
      </c>
      <c r="O4619" s="2" t="s">
        <v>100</v>
      </c>
      <c r="P4619" s="2" t="str">
        <f>"2170582777                    "</f>
        <v xml:space="preserve">2170582777                    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4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0</v>
      </c>
      <c r="AU4619" s="2">
        <v>0</v>
      </c>
      <c r="AV4619" s="2">
        <v>0</v>
      </c>
      <c r="AW4619" s="2">
        <v>0</v>
      </c>
      <c r="AX4619" s="2">
        <v>0</v>
      </c>
      <c r="AY4619" s="2">
        <v>0</v>
      </c>
      <c r="AZ4619" s="2">
        <v>0</v>
      </c>
      <c r="BA4619" s="2">
        <v>0</v>
      </c>
      <c r="BB4619" s="2">
        <v>0</v>
      </c>
      <c r="BC4619" s="2">
        <v>0</v>
      </c>
      <c r="BD4619" s="2">
        <v>0</v>
      </c>
      <c r="BE4619" s="2">
        <v>0</v>
      </c>
      <c r="BF4619" s="2">
        <v>0</v>
      </c>
      <c r="BG4619" s="2">
        <v>0</v>
      </c>
      <c r="BH4619" s="2">
        <v>1</v>
      </c>
      <c r="BI4619" s="2">
        <v>1</v>
      </c>
      <c r="BJ4619" s="2">
        <v>0.2</v>
      </c>
      <c r="BK4619" s="2">
        <v>1</v>
      </c>
      <c r="BL4619" s="2">
        <v>41.44</v>
      </c>
      <c r="BM4619" s="2">
        <v>5.8</v>
      </c>
      <c r="BN4619" s="2">
        <v>47.24</v>
      </c>
      <c r="BO4619" s="2">
        <v>47.24</v>
      </c>
      <c r="BP4619" s="2"/>
      <c r="BQ4619" s="2" t="s">
        <v>2010</v>
      </c>
      <c r="BR4619" s="2" t="s">
        <v>84</v>
      </c>
      <c r="BS4619" s="3">
        <v>42954</v>
      </c>
      <c r="BT4619" s="4">
        <v>0.40277777777777773</v>
      </c>
      <c r="BU4619" s="2" t="s">
        <v>85</v>
      </c>
      <c r="BV4619" s="2" t="s">
        <v>95</v>
      </c>
      <c r="BW4619" s="2"/>
      <c r="BX4619" s="2"/>
      <c r="BY4619" s="2">
        <v>1200</v>
      </c>
      <c r="BZ4619" s="2"/>
      <c r="CA4619" s="2" t="s">
        <v>878</v>
      </c>
      <c r="CB4619" s="2"/>
      <c r="CC4619" s="2" t="s">
        <v>269</v>
      </c>
      <c r="CD4619" s="2">
        <v>186</v>
      </c>
      <c r="CE4619" s="2" t="s">
        <v>104</v>
      </c>
      <c r="CF4619" s="5">
        <v>42957</v>
      </c>
      <c r="CG4619" s="2"/>
      <c r="CH4619" s="2"/>
      <c r="CI4619" s="2">
        <v>1</v>
      </c>
      <c r="CJ4619" s="2">
        <v>1</v>
      </c>
      <c r="CK4619" s="2">
        <v>21</v>
      </c>
      <c r="CL4619" s="2" t="s">
        <v>86</v>
      </c>
      <c r="CM4619" s="2"/>
    </row>
    <row r="4620" spans="1:91">
      <c r="A4620" s="2" t="s">
        <v>71</v>
      </c>
      <c r="B4620" s="2" t="s">
        <v>72</v>
      </c>
      <c r="C4620" s="2" t="s">
        <v>73</v>
      </c>
      <c r="D4620" s="2"/>
      <c r="E4620" s="2" t="str">
        <f>"FES1162567008"</f>
        <v>FES1162567008</v>
      </c>
      <c r="F4620" s="3">
        <v>42951</v>
      </c>
      <c r="G4620" s="2">
        <v>201802</v>
      </c>
      <c r="H4620" s="2" t="s">
        <v>74</v>
      </c>
      <c r="I4620" s="2" t="s">
        <v>75</v>
      </c>
      <c r="J4620" s="2" t="s">
        <v>76</v>
      </c>
      <c r="K4620" s="2" t="s">
        <v>77</v>
      </c>
      <c r="L4620" s="2" t="s">
        <v>268</v>
      </c>
      <c r="M4620" s="2" t="s">
        <v>269</v>
      </c>
      <c r="N4620" s="2" t="s">
        <v>493</v>
      </c>
      <c r="O4620" s="2" t="s">
        <v>100</v>
      </c>
      <c r="P4620" s="2" t="str">
        <f>"2170583254                    "</f>
        <v xml:space="preserve">2170583254                    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4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0</v>
      </c>
      <c r="AU4620" s="2">
        <v>0</v>
      </c>
      <c r="AV4620" s="2">
        <v>0</v>
      </c>
      <c r="AW4620" s="2">
        <v>0</v>
      </c>
      <c r="AX4620" s="2">
        <v>0</v>
      </c>
      <c r="AY4620" s="2">
        <v>0</v>
      </c>
      <c r="AZ4620" s="2">
        <v>0</v>
      </c>
      <c r="BA4620" s="2">
        <v>0</v>
      </c>
      <c r="BB4620" s="2">
        <v>0</v>
      </c>
      <c r="BC4620" s="2">
        <v>0</v>
      </c>
      <c r="BD4620" s="2">
        <v>0</v>
      </c>
      <c r="BE4620" s="2">
        <v>0</v>
      </c>
      <c r="BF4620" s="2">
        <v>0</v>
      </c>
      <c r="BG4620" s="2">
        <v>0</v>
      </c>
      <c r="BH4620" s="2">
        <v>1</v>
      </c>
      <c r="BI4620" s="2">
        <v>1</v>
      </c>
      <c r="BJ4620" s="2">
        <v>0.2</v>
      </c>
      <c r="BK4620" s="2">
        <v>1</v>
      </c>
      <c r="BL4620" s="2">
        <v>41.44</v>
      </c>
      <c r="BM4620" s="2">
        <v>5.8</v>
      </c>
      <c r="BN4620" s="2">
        <v>47.24</v>
      </c>
      <c r="BO4620" s="2">
        <v>47.24</v>
      </c>
      <c r="BP4620" s="2"/>
      <c r="BQ4620" s="2" t="s">
        <v>494</v>
      </c>
      <c r="BR4620" s="2" t="s">
        <v>84</v>
      </c>
      <c r="BS4620" s="3">
        <v>42954</v>
      </c>
      <c r="BT4620" s="4">
        <v>0.41180555555555554</v>
      </c>
      <c r="BU4620" s="2" t="s">
        <v>1012</v>
      </c>
      <c r="BV4620" s="2" t="s">
        <v>95</v>
      </c>
      <c r="BW4620" s="2"/>
      <c r="BX4620" s="2"/>
      <c r="BY4620" s="2">
        <v>1200</v>
      </c>
      <c r="BZ4620" s="2"/>
      <c r="CA4620" s="2" t="s">
        <v>272</v>
      </c>
      <c r="CB4620" s="2"/>
      <c r="CC4620" s="2" t="s">
        <v>269</v>
      </c>
      <c r="CD4620" s="2">
        <v>200</v>
      </c>
      <c r="CE4620" s="2" t="s">
        <v>104</v>
      </c>
      <c r="CF4620" s="5">
        <v>42957</v>
      </c>
      <c r="CG4620" s="2"/>
      <c r="CH4620" s="2"/>
      <c r="CI4620" s="2">
        <v>1</v>
      </c>
      <c r="CJ4620" s="2">
        <v>1</v>
      </c>
      <c r="CK4620" s="2">
        <v>21</v>
      </c>
      <c r="CL4620" s="2" t="s">
        <v>86</v>
      </c>
      <c r="CM4620" s="2"/>
    </row>
    <row r="4621" spans="1:91">
      <c r="A4621" s="2" t="s">
        <v>71</v>
      </c>
      <c r="B4621" s="2" t="s">
        <v>72</v>
      </c>
      <c r="C4621" s="2" t="s">
        <v>73</v>
      </c>
      <c r="D4621" s="2"/>
      <c r="E4621" s="2" t="str">
        <f>"FES1162567127"</f>
        <v>FES1162567127</v>
      </c>
      <c r="F4621" s="3">
        <v>42951</v>
      </c>
      <c r="G4621" s="2">
        <v>201802</v>
      </c>
      <c r="H4621" s="2" t="s">
        <v>74</v>
      </c>
      <c r="I4621" s="2" t="s">
        <v>75</v>
      </c>
      <c r="J4621" s="2" t="s">
        <v>76</v>
      </c>
      <c r="K4621" s="2" t="s">
        <v>77</v>
      </c>
      <c r="L4621" s="2" t="s">
        <v>105</v>
      </c>
      <c r="M4621" s="2" t="s">
        <v>106</v>
      </c>
      <c r="N4621" s="2" t="s">
        <v>486</v>
      </c>
      <c r="O4621" s="2" t="s">
        <v>100</v>
      </c>
      <c r="P4621" s="2" t="str">
        <f>"2170580981                    "</f>
        <v xml:space="preserve">2170580981                    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4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0</v>
      </c>
      <c r="AU4621" s="2">
        <v>0</v>
      </c>
      <c r="AV4621" s="2">
        <v>0</v>
      </c>
      <c r="AW4621" s="2">
        <v>0</v>
      </c>
      <c r="AX4621" s="2">
        <v>0</v>
      </c>
      <c r="AY4621" s="2">
        <v>0</v>
      </c>
      <c r="AZ4621" s="2">
        <v>0</v>
      </c>
      <c r="BA4621" s="2">
        <v>0</v>
      </c>
      <c r="BB4621" s="2">
        <v>0</v>
      </c>
      <c r="BC4621" s="2">
        <v>0</v>
      </c>
      <c r="BD4621" s="2">
        <v>0</v>
      </c>
      <c r="BE4621" s="2">
        <v>0</v>
      </c>
      <c r="BF4621" s="2">
        <v>0</v>
      </c>
      <c r="BG4621" s="2">
        <v>0</v>
      </c>
      <c r="BH4621" s="2">
        <v>1</v>
      </c>
      <c r="BI4621" s="2">
        <v>1</v>
      </c>
      <c r="BJ4621" s="2">
        <v>0.2</v>
      </c>
      <c r="BK4621" s="2">
        <v>1</v>
      </c>
      <c r="BL4621" s="2">
        <v>41.44</v>
      </c>
      <c r="BM4621" s="2">
        <v>5.8</v>
      </c>
      <c r="BN4621" s="2">
        <v>47.24</v>
      </c>
      <c r="BO4621" s="2">
        <v>47.24</v>
      </c>
      <c r="BP4621" s="2"/>
      <c r="BQ4621" s="2" t="s">
        <v>365</v>
      </c>
      <c r="BR4621" s="2" t="s">
        <v>84</v>
      </c>
      <c r="BS4621" s="3">
        <v>42954</v>
      </c>
      <c r="BT4621" s="4">
        <v>0.41597222222222219</v>
      </c>
      <c r="BU4621" s="2" t="s">
        <v>487</v>
      </c>
      <c r="BV4621" s="2" t="s">
        <v>95</v>
      </c>
      <c r="BW4621" s="2"/>
      <c r="BX4621" s="2"/>
      <c r="BY4621" s="2">
        <v>1200</v>
      </c>
      <c r="BZ4621" s="2"/>
      <c r="CA4621" s="2" t="s">
        <v>291</v>
      </c>
      <c r="CB4621" s="2"/>
      <c r="CC4621" s="2" t="s">
        <v>106</v>
      </c>
      <c r="CD4621" s="2">
        <v>7441</v>
      </c>
      <c r="CE4621" s="2" t="s">
        <v>104</v>
      </c>
      <c r="CF4621" s="5">
        <v>42955</v>
      </c>
      <c r="CG4621" s="2"/>
      <c r="CH4621" s="2"/>
      <c r="CI4621" s="2">
        <v>1</v>
      </c>
      <c r="CJ4621" s="2">
        <v>1</v>
      </c>
      <c r="CK4621" s="2">
        <v>21</v>
      </c>
      <c r="CL4621" s="2" t="s">
        <v>86</v>
      </c>
      <c r="CM4621" s="2"/>
    </row>
    <row r="4622" spans="1:91">
      <c r="A4622" s="2" t="s">
        <v>71</v>
      </c>
      <c r="B4622" s="2" t="s">
        <v>72</v>
      </c>
      <c r="C4622" s="2" t="s">
        <v>73</v>
      </c>
      <c r="D4622" s="2"/>
      <c r="E4622" s="2" t="str">
        <f>"FES1162566882"</f>
        <v>FES1162566882</v>
      </c>
      <c r="F4622" s="3">
        <v>42951</v>
      </c>
      <c r="G4622" s="2">
        <v>201802</v>
      </c>
      <c r="H4622" s="2" t="s">
        <v>74</v>
      </c>
      <c r="I4622" s="2" t="s">
        <v>75</v>
      </c>
      <c r="J4622" s="2" t="s">
        <v>76</v>
      </c>
      <c r="K4622" s="2" t="s">
        <v>77</v>
      </c>
      <c r="L4622" s="2" t="s">
        <v>105</v>
      </c>
      <c r="M4622" s="2" t="s">
        <v>106</v>
      </c>
      <c r="N4622" s="2" t="s">
        <v>851</v>
      </c>
      <c r="O4622" s="2" t="s">
        <v>100</v>
      </c>
      <c r="P4622" s="2" t="str">
        <f>"2170582400                    "</f>
        <v xml:space="preserve">2170582400                    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4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0</v>
      </c>
      <c r="AU4622" s="2">
        <v>0</v>
      </c>
      <c r="AV4622" s="2">
        <v>0</v>
      </c>
      <c r="AW4622" s="2">
        <v>0</v>
      </c>
      <c r="AX4622" s="2">
        <v>0</v>
      </c>
      <c r="AY4622" s="2">
        <v>0</v>
      </c>
      <c r="AZ4622" s="2">
        <v>0</v>
      </c>
      <c r="BA4622" s="2">
        <v>0</v>
      </c>
      <c r="BB4622" s="2">
        <v>0</v>
      </c>
      <c r="BC4622" s="2">
        <v>0</v>
      </c>
      <c r="BD4622" s="2">
        <v>0</v>
      </c>
      <c r="BE4622" s="2">
        <v>0</v>
      </c>
      <c r="BF4622" s="2">
        <v>0</v>
      </c>
      <c r="BG4622" s="2">
        <v>0</v>
      </c>
      <c r="BH4622" s="2">
        <v>1</v>
      </c>
      <c r="BI4622" s="2">
        <v>1</v>
      </c>
      <c r="BJ4622" s="2">
        <v>0.2</v>
      </c>
      <c r="BK4622" s="2">
        <v>1</v>
      </c>
      <c r="BL4622" s="2">
        <v>41.44</v>
      </c>
      <c r="BM4622" s="2">
        <v>5.8</v>
      </c>
      <c r="BN4622" s="2">
        <v>47.24</v>
      </c>
      <c r="BO4622" s="2">
        <v>47.24</v>
      </c>
      <c r="BP4622" s="2"/>
      <c r="BQ4622" s="2" t="s">
        <v>2073</v>
      </c>
      <c r="BR4622" s="2" t="s">
        <v>84</v>
      </c>
      <c r="BS4622" s="3">
        <v>42954</v>
      </c>
      <c r="BT4622" s="4">
        <v>0.41666666666666669</v>
      </c>
      <c r="BU4622" s="2" t="s">
        <v>852</v>
      </c>
      <c r="BV4622" s="2" t="s">
        <v>95</v>
      </c>
      <c r="BW4622" s="2"/>
      <c r="BX4622" s="2"/>
      <c r="BY4622" s="2">
        <v>1200</v>
      </c>
      <c r="BZ4622" s="2"/>
      <c r="CA4622" s="2" t="s">
        <v>148</v>
      </c>
      <c r="CB4622" s="2"/>
      <c r="CC4622" s="2" t="s">
        <v>106</v>
      </c>
      <c r="CD4622" s="2">
        <v>7800</v>
      </c>
      <c r="CE4622" s="2" t="s">
        <v>104</v>
      </c>
      <c r="CF4622" s="5">
        <v>42955</v>
      </c>
      <c r="CG4622" s="2"/>
      <c r="CH4622" s="2"/>
      <c r="CI4622" s="2">
        <v>1</v>
      </c>
      <c r="CJ4622" s="2">
        <v>1</v>
      </c>
      <c r="CK4622" s="2">
        <v>21</v>
      </c>
      <c r="CL4622" s="2" t="s">
        <v>86</v>
      </c>
      <c r="CM4622" s="2"/>
    </row>
    <row r="4623" spans="1:91">
      <c r="A4623" s="2" t="s">
        <v>71</v>
      </c>
      <c r="B4623" s="2" t="s">
        <v>72</v>
      </c>
      <c r="C4623" s="2" t="s">
        <v>73</v>
      </c>
      <c r="D4623" s="2"/>
      <c r="E4623" s="2" t="str">
        <f>"FES1162567145"</f>
        <v>FES1162567145</v>
      </c>
      <c r="F4623" s="3">
        <v>42951</v>
      </c>
      <c r="G4623" s="2">
        <v>201802</v>
      </c>
      <c r="H4623" s="2" t="s">
        <v>74</v>
      </c>
      <c r="I4623" s="2" t="s">
        <v>75</v>
      </c>
      <c r="J4623" s="2" t="s">
        <v>76</v>
      </c>
      <c r="K4623" s="2" t="s">
        <v>77</v>
      </c>
      <c r="L4623" s="2" t="s">
        <v>105</v>
      </c>
      <c r="M4623" s="2" t="s">
        <v>106</v>
      </c>
      <c r="N4623" s="2" t="s">
        <v>253</v>
      </c>
      <c r="O4623" s="2" t="s">
        <v>100</v>
      </c>
      <c r="P4623" s="2" t="str">
        <f>"2170581258                    "</f>
        <v xml:space="preserve">2170581258                    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4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0</v>
      </c>
      <c r="AU4623" s="2">
        <v>0</v>
      </c>
      <c r="AV4623" s="2">
        <v>0</v>
      </c>
      <c r="AW4623" s="2">
        <v>0</v>
      </c>
      <c r="AX4623" s="2">
        <v>0</v>
      </c>
      <c r="AY4623" s="2">
        <v>0</v>
      </c>
      <c r="AZ4623" s="2">
        <v>0</v>
      </c>
      <c r="BA4623" s="2">
        <v>0</v>
      </c>
      <c r="BB4623" s="2">
        <v>0</v>
      </c>
      <c r="BC4623" s="2">
        <v>0</v>
      </c>
      <c r="BD4623" s="2">
        <v>0</v>
      </c>
      <c r="BE4623" s="2">
        <v>0</v>
      </c>
      <c r="BF4623" s="2">
        <v>0</v>
      </c>
      <c r="BG4623" s="2">
        <v>0</v>
      </c>
      <c r="BH4623" s="2">
        <v>1</v>
      </c>
      <c r="BI4623" s="2">
        <v>1</v>
      </c>
      <c r="BJ4623" s="2">
        <v>0.2</v>
      </c>
      <c r="BK4623" s="2">
        <v>1</v>
      </c>
      <c r="BL4623" s="2">
        <v>41.44</v>
      </c>
      <c r="BM4623" s="2">
        <v>5.8</v>
      </c>
      <c r="BN4623" s="2">
        <v>47.24</v>
      </c>
      <c r="BO4623" s="2">
        <v>47.24</v>
      </c>
      <c r="BP4623" s="2"/>
      <c r="BQ4623" s="2" t="s">
        <v>108</v>
      </c>
      <c r="BR4623" s="2" t="s">
        <v>84</v>
      </c>
      <c r="BS4623" s="3">
        <v>42954</v>
      </c>
      <c r="BT4623" s="4">
        <v>0.4375</v>
      </c>
      <c r="BU4623" s="2" t="s">
        <v>4106</v>
      </c>
      <c r="BV4623" s="2" t="s">
        <v>95</v>
      </c>
      <c r="BW4623" s="2"/>
      <c r="BX4623" s="2"/>
      <c r="BY4623" s="2">
        <v>1200</v>
      </c>
      <c r="BZ4623" s="2"/>
      <c r="CA4623" s="2" t="s">
        <v>654</v>
      </c>
      <c r="CB4623" s="2"/>
      <c r="CC4623" s="2" t="s">
        <v>106</v>
      </c>
      <c r="CD4623" s="2">
        <v>7490</v>
      </c>
      <c r="CE4623" s="2" t="s">
        <v>104</v>
      </c>
      <c r="CF4623" s="5">
        <v>42955</v>
      </c>
      <c r="CG4623" s="2"/>
      <c r="CH4623" s="2"/>
      <c r="CI4623" s="2">
        <v>1</v>
      </c>
      <c r="CJ4623" s="2">
        <v>1</v>
      </c>
      <c r="CK4623" s="2">
        <v>21</v>
      </c>
      <c r="CL4623" s="2" t="s">
        <v>86</v>
      </c>
      <c r="CM4623" s="2"/>
    </row>
    <row r="4624" spans="1:91">
      <c r="A4624" s="2" t="s">
        <v>71</v>
      </c>
      <c r="B4624" s="2" t="s">
        <v>72</v>
      </c>
      <c r="C4624" s="2" t="s">
        <v>73</v>
      </c>
      <c r="D4624" s="2"/>
      <c r="E4624" s="2" t="str">
        <f>"FES1162566808"</f>
        <v>FES1162566808</v>
      </c>
      <c r="F4624" s="3">
        <v>42951</v>
      </c>
      <c r="G4624" s="2">
        <v>201802</v>
      </c>
      <c r="H4624" s="2" t="s">
        <v>74</v>
      </c>
      <c r="I4624" s="2" t="s">
        <v>75</v>
      </c>
      <c r="J4624" s="2" t="s">
        <v>76</v>
      </c>
      <c r="K4624" s="2" t="s">
        <v>77</v>
      </c>
      <c r="L4624" s="2" t="s">
        <v>216</v>
      </c>
      <c r="M4624" s="2" t="s">
        <v>217</v>
      </c>
      <c r="N4624" s="2" t="s">
        <v>351</v>
      </c>
      <c r="O4624" s="2" t="s">
        <v>358</v>
      </c>
      <c r="P4624" s="2" t="str">
        <f>"2170589581                    "</f>
        <v xml:space="preserve">2170589581                    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3.83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0</v>
      </c>
      <c r="AU4624" s="2">
        <v>0</v>
      </c>
      <c r="AV4624" s="2">
        <v>0</v>
      </c>
      <c r="AW4624" s="2">
        <v>0</v>
      </c>
      <c r="AX4624" s="2">
        <v>0</v>
      </c>
      <c r="AY4624" s="2">
        <v>0</v>
      </c>
      <c r="AZ4624" s="2">
        <v>0</v>
      </c>
      <c r="BA4624" s="2">
        <v>0</v>
      </c>
      <c r="BB4624" s="2">
        <v>0</v>
      </c>
      <c r="BC4624" s="2">
        <v>0</v>
      </c>
      <c r="BD4624" s="2">
        <v>0</v>
      </c>
      <c r="BE4624" s="2">
        <v>0</v>
      </c>
      <c r="BF4624" s="2">
        <v>0</v>
      </c>
      <c r="BG4624" s="2">
        <v>0</v>
      </c>
      <c r="BH4624" s="2">
        <v>2</v>
      </c>
      <c r="BI4624" s="2">
        <v>9.3000000000000007</v>
      </c>
      <c r="BJ4624" s="2">
        <v>4.0999999999999996</v>
      </c>
      <c r="BK4624" s="2">
        <v>10</v>
      </c>
      <c r="BL4624" s="2">
        <v>39.64</v>
      </c>
      <c r="BM4624" s="2">
        <v>5.55</v>
      </c>
      <c r="BN4624" s="2">
        <v>45.19</v>
      </c>
      <c r="BO4624" s="2">
        <v>45.19</v>
      </c>
      <c r="BP4624" s="2"/>
      <c r="BQ4624" s="2" t="s">
        <v>83</v>
      </c>
      <c r="BR4624" s="2" t="s">
        <v>84</v>
      </c>
      <c r="BS4624" s="3">
        <v>42954</v>
      </c>
      <c r="BT4624" s="4">
        <v>0.3923611111111111</v>
      </c>
      <c r="BU4624" s="2" t="s">
        <v>330</v>
      </c>
      <c r="BV4624" s="2" t="s">
        <v>95</v>
      </c>
      <c r="BW4624" s="2"/>
      <c r="BX4624" s="2"/>
      <c r="BY4624" s="2">
        <v>20531.71</v>
      </c>
      <c r="BZ4624" s="2"/>
      <c r="CA4624" s="2"/>
      <c r="CB4624" s="2"/>
      <c r="CC4624" s="2" t="s">
        <v>217</v>
      </c>
      <c r="CD4624" s="2">
        <v>1451</v>
      </c>
      <c r="CE4624" s="2" t="s">
        <v>104</v>
      </c>
      <c r="CF4624" s="5">
        <v>42955</v>
      </c>
      <c r="CG4624" s="2"/>
      <c r="CH4624" s="2"/>
      <c r="CI4624" s="2">
        <v>1</v>
      </c>
      <c r="CJ4624" s="2">
        <v>1</v>
      </c>
      <c r="CK4624" s="2">
        <v>32</v>
      </c>
      <c r="CL4624" s="2" t="s">
        <v>86</v>
      </c>
      <c r="CM4624" s="2"/>
    </row>
    <row r="4625" spans="1:91">
      <c r="A4625" s="2" t="s">
        <v>71</v>
      </c>
      <c r="B4625" s="2" t="s">
        <v>72</v>
      </c>
      <c r="C4625" s="2" t="s">
        <v>73</v>
      </c>
      <c r="D4625" s="2"/>
      <c r="E4625" s="2" t="str">
        <f>"FES1162566987"</f>
        <v>FES1162566987</v>
      </c>
      <c r="F4625" s="3">
        <v>42951</v>
      </c>
      <c r="G4625" s="2">
        <v>201802</v>
      </c>
      <c r="H4625" s="2" t="s">
        <v>74</v>
      </c>
      <c r="I4625" s="2" t="s">
        <v>75</v>
      </c>
      <c r="J4625" s="2" t="s">
        <v>76</v>
      </c>
      <c r="K4625" s="2" t="s">
        <v>77</v>
      </c>
      <c r="L4625" s="2" t="s">
        <v>105</v>
      </c>
      <c r="M4625" s="2" t="s">
        <v>106</v>
      </c>
      <c r="N4625" s="2" t="s">
        <v>893</v>
      </c>
      <c r="O4625" s="2" t="s">
        <v>100</v>
      </c>
      <c r="P4625" s="2" t="str">
        <f>"2170575617                    "</f>
        <v xml:space="preserve">2170575617                    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</v>
      </c>
      <c r="Y4625" s="2">
        <v>0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4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0</v>
      </c>
      <c r="AU4625" s="2">
        <v>0</v>
      </c>
      <c r="AV4625" s="2">
        <v>0</v>
      </c>
      <c r="AW4625" s="2">
        <v>0</v>
      </c>
      <c r="AX4625" s="2">
        <v>0</v>
      </c>
      <c r="AY4625" s="2">
        <v>0</v>
      </c>
      <c r="AZ4625" s="2">
        <v>0</v>
      </c>
      <c r="BA4625" s="2">
        <v>0</v>
      </c>
      <c r="BB4625" s="2">
        <v>0</v>
      </c>
      <c r="BC4625" s="2">
        <v>0</v>
      </c>
      <c r="BD4625" s="2">
        <v>0</v>
      </c>
      <c r="BE4625" s="2">
        <v>0</v>
      </c>
      <c r="BF4625" s="2">
        <v>0</v>
      </c>
      <c r="BG4625" s="2">
        <v>0</v>
      </c>
      <c r="BH4625" s="2">
        <v>1</v>
      </c>
      <c r="BI4625" s="2">
        <v>1</v>
      </c>
      <c r="BJ4625" s="2">
        <v>0.2</v>
      </c>
      <c r="BK4625" s="2">
        <v>1</v>
      </c>
      <c r="BL4625" s="2">
        <v>41.44</v>
      </c>
      <c r="BM4625" s="2">
        <v>5.8</v>
      </c>
      <c r="BN4625" s="2">
        <v>47.24</v>
      </c>
      <c r="BO4625" s="2">
        <v>47.24</v>
      </c>
      <c r="BP4625" s="2"/>
      <c r="BQ4625" s="2" t="s">
        <v>3883</v>
      </c>
      <c r="BR4625" s="2" t="s">
        <v>84</v>
      </c>
      <c r="BS4625" s="3">
        <v>42954</v>
      </c>
      <c r="BT4625" s="4">
        <v>0.35000000000000003</v>
      </c>
      <c r="BU4625" s="2" t="s">
        <v>894</v>
      </c>
      <c r="BV4625" s="2" t="s">
        <v>95</v>
      </c>
      <c r="BW4625" s="2"/>
      <c r="BX4625" s="2"/>
      <c r="BY4625" s="2">
        <v>1200</v>
      </c>
      <c r="BZ4625" s="2"/>
      <c r="CA4625" s="2" t="s">
        <v>3531</v>
      </c>
      <c r="CB4625" s="2"/>
      <c r="CC4625" s="2" t="s">
        <v>106</v>
      </c>
      <c r="CD4625" s="2">
        <v>7460</v>
      </c>
      <c r="CE4625" s="2" t="s">
        <v>104</v>
      </c>
      <c r="CF4625" s="5">
        <v>42955</v>
      </c>
      <c r="CG4625" s="2"/>
      <c r="CH4625" s="2"/>
      <c r="CI4625" s="2">
        <v>1</v>
      </c>
      <c r="CJ4625" s="2">
        <v>1</v>
      </c>
      <c r="CK4625" s="2">
        <v>21</v>
      </c>
      <c r="CL4625" s="2" t="s">
        <v>86</v>
      </c>
      <c r="CM4625" s="2"/>
    </row>
    <row r="4626" spans="1:91">
      <c r="A4626" s="2" t="s">
        <v>71</v>
      </c>
      <c r="B4626" s="2" t="s">
        <v>72</v>
      </c>
      <c r="C4626" s="2" t="s">
        <v>73</v>
      </c>
      <c r="D4626" s="2"/>
      <c r="E4626" s="2" t="str">
        <f>"FES1162567161"</f>
        <v>FES1162567161</v>
      </c>
      <c r="F4626" s="3">
        <v>42951</v>
      </c>
      <c r="G4626" s="2">
        <v>201802</v>
      </c>
      <c r="H4626" s="2" t="s">
        <v>74</v>
      </c>
      <c r="I4626" s="2" t="s">
        <v>75</v>
      </c>
      <c r="J4626" s="2" t="s">
        <v>76</v>
      </c>
      <c r="K4626" s="2" t="s">
        <v>77</v>
      </c>
      <c r="L4626" s="2" t="s">
        <v>105</v>
      </c>
      <c r="M4626" s="2" t="s">
        <v>106</v>
      </c>
      <c r="N4626" s="2" t="s">
        <v>253</v>
      </c>
      <c r="O4626" s="2" t="s">
        <v>100</v>
      </c>
      <c r="P4626" s="2" t="str">
        <f>"2170582971                    "</f>
        <v xml:space="preserve">2170582971                    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0</v>
      </c>
      <c r="Z4626" s="2">
        <v>0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4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0</v>
      </c>
      <c r="AU4626" s="2">
        <v>0</v>
      </c>
      <c r="AV4626" s="2">
        <v>0</v>
      </c>
      <c r="AW4626" s="2">
        <v>0</v>
      </c>
      <c r="AX4626" s="2">
        <v>0</v>
      </c>
      <c r="AY4626" s="2">
        <v>0</v>
      </c>
      <c r="AZ4626" s="2">
        <v>0</v>
      </c>
      <c r="BA4626" s="2">
        <v>0</v>
      </c>
      <c r="BB4626" s="2">
        <v>0</v>
      </c>
      <c r="BC4626" s="2">
        <v>0</v>
      </c>
      <c r="BD4626" s="2">
        <v>0</v>
      </c>
      <c r="BE4626" s="2">
        <v>0</v>
      </c>
      <c r="BF4626" s="2">
        <v>0</v>
      </c>
      <c r="BG4626" s="2">
        <v>0</v>
      </c>
      <c r="BH4626" s="2">
        <v>1</v>
      </c>
      <c r="BI4626" s="2">
        <v>1</v>
      </c>
      <c r="BJ4626" s="2">
        <v>0.2</v>
      </c>
      <c r="BK4626" s="2">
        <v>1</v>
      </c>
      <c r="BL4626" s="2">
        <v>41.44</v>
      </c>
      <c r="BM4626" s="2">
        <v>5.8</v>
      </c>
      <c r="BN4626" s="2">
        <v>47.24</v>
      </c>
      <c r="BO4626" s="2">
        <v>47.24</v>
      </c>
      <c r="BP4626" s="2"/>
      <c r="BQ4626" s="2" t="s">
        <v>108</v>
      </c>
      <c r="BR4626" s="2" t="s">
        <v>84</v>
      </c>
      <c r="BS4626" s="3">
        <v>42954</v>
      </c>
      <c r="BT4626" s="4">
        <v>0.4375</v>
      </c>
      <c r="BU4626" s="2" t="s">
        <v>4106</v>
      </c>
      <c r="BV4626" s="2" t="s">
        <v>95</v>
      </c>
      <c r="BW4626" s="2"/>
      <c r="BX4626" s="2"/>
      <c r="BY4626" s="2">
        <v>1200</v>
      </c>
      <c r="BZ4626" s="2"/>
      <c r="CA4626" s="2" t="s">
        <v>654</v>
      </c>
      <c r="CB4626" s="2"/>
      <c r="CC4626" s="2" t="s">
        <v>106</v>
      </c>
      <c r="CD4626" s="2">
        <v>7490</v>
      </c>
      <c r="CE4626" s="2" t="s">
        <v>104</v>
      </c>
      <c r="CF4626" s="5">
        <v>42955</v>
      </c>
      <c r="CG4626" s="2"/>
      <c r="CH4626" s="2"/>
      <c r="CI4626" s="2">
        <v>1</v>
      </c>
      <c r="CJ4626" s="2">
        <v>1</v>
      </c>
      <c r="CK4626" s="2">
        <v>21</v>
      </c>
      <c r="CL4626" s="2" t="s">
        <v>86</v>
      </c>
      <c r="CM4626" s="2"/>
    </row>
    <row r="4627" spans="1:91">
      <c r="A4627" s="2" t="s">
        <v>71</v>
      </c>
      <c r="B4627" s="2" t="s">
        <v>72</v>
      </c>
      <c r="C4627" s="2" t="s">
        <v>73</v>
      </c>
      <c r="D4627" s="2"/>
      <c r="E4627" s="2" t="str">
        <f>"FES1162567140"</f>
        <v>FES1162567140</v>
      </c>
      <c r="F4627" s="3">
        <v>42951</v>
      </c>
      <c r="G4627" s="2">
        <v>201802</v>
      </c>
      <c r="H4627" s="2" t="s">
        <v>74</v>
      </c>
      <c r="I4627" s="2" t="s">
        <v>75</v>
      </c>
      <c r="J4627" s="2" t="s">
        <v>76</v>
      </c>
      <c r="K4627" s="2" t="s">
        <v>77</v>
      </c>
      <c r="L4627" s="2" t="s">
        <v>362</v>
      </c>
      <c r="M4627" s="2" t="s">
        <v>363</v>
      </c>
      <c r="N4627" s="2" t="s">
        <v>364</v>
      </c>
      <c r="O4627" s="2" t="s">
        <v>100</v>
      </c>
      <c r="P4627" s="2" t="str">
        <f>"2170581234                    "</f>
        <v xml:space="preserve">2170581234                    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4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0</v>
      </c>
      <c r="AU4627" s="2">
        <v>0</v>
      </c>
      <c r="AV4627" s="2">
        <v>0</v>
      </c>
      <c r="AW4627" s="2">
        <v>0</v>
      </c>
      <c r="AX4627" s="2">
        <v>0</v>
      </c>
      <c r="AY4627" s="2">
        <v>0</v>
      </c>
      <c r="AZ4627" s="2">
        <v>0</v>
      </c>
      <c r="BA4627" s="2">
        <v>0</v>
      </c>
      <c r="BB4627" s="2">
        <v>0</v>
      </c>
      <c r="BC4627" s="2">
        <v>0</v>
      </c>
      <c r="BD4627" s="2">
        <v>0</v>
      </c>
      <c r="BE4627" s="2">
        <v>0</v>
      </c>
      <c r="BF4627" s="2">
        <v>0</v>
      </c>
      <c r="BG4627" s="2">
        <v>0</v>
      </c>
      <c r="BH4627" s="2">
        <v>1</v>
      </c>
      <c r="BI4627" s="2">
        <v>1</v>
      </c>
      <c r="BJ4627" s="2">
        <v>0.2</v>
      </c>
      <c r="BK4627" s="2">
        <v>1</v>
      </c>
      <c r="BL4627" s="2">
        <v>41.44</v>
      </c>
      <c r="BM4627" s="2">
        <v>5.8</v>
      </c>
      <c r="BN4627" s="2">
        <v>47.24</v>
      </c>
      <c r="BO4627" s="2">
        <v>47.24</v>
      </c>
      <c r="BP4627" s="2"/>
      <c r="BQ4627" s="2" t="s">
        <v>365</v>
      </c>
      <c r="BR4627" s="2" t="s">
        <v>84</v>
      </c>
      <c r="BS4627" s="3">
        <v>42954</v>
      </c>
      <c r="BT4627" s="4">
        <v>0.3972222222222222</v>
      </c>
      <c r="BU4627" s="2" t="s">
        <v>366</v>
      </c>
      <c r="BV4627" s="2" t="s">
        <v>95</v>
      </c>
      <c r="BW4627" s="2"/>
      <c r="BX4627" s="2"/>
      <c r="BY4627" s="2">
        <v>1200</v>
      </c>
      <c r="BZ4627" s="2"/>
      <c r="CA4627" s="2" t="s">
        <v>367</v>
      </c>
      <c r="CB4627" s="2"/>
      <c r="CC4627" s="2" t="s">
        <v>363</v>
      </c>
      <c r="CD4627" s="2">
        <v>3201</v>
      </c>
      <c r="CE4627" s="2" t="s">
        <v>104</v>
      </c>
      <c r="CF4627" s="5">
        <v>42955</v>
      </c>
      <c r="CG4627" s="2"/>
      <c r="CH4627" s="2"/>
      <c r="CI4627" s="2">
        <v>1</v>
      </c>
      <c r="CJ4627" s="2">
        <v>1</v>
      </c>
      <c r="CK4627" s="2">
        <v>21</v>
      </c>
      <c r="CL4627" s="2" t="s">
        <v>86</v>
      </c>
      <c r="CM4627" s="2"/>
    </row>
    <row r="4628" spans="1:91">
      <c r="A4628" s="2" t="s">
        <v>71</v>
      </c>
      <c r="B4628" s="2" t="s">
        <v>72</v>
      </c>
      <c r="C4628" s="2" t="s">
        <v>73</v>
      </c>
      <c r="D4628" s="2"/>
      <c r="E4628" s="2" t="str">
        <f>"FES1162567120"</f>
        <v>FES1162567120</v>
      </c>
      <c r="F4628" s="3">
        <v>42951</v>
      </c>
      <c r="G4628" s="2">
        <v>201802</v>
      </c>
      <c r="H4628" s="2" t="s">
        <v>74</v>
      </c>
      <c r="I4628" s="2" t="s">
        <v>75</v>
      </c>
      <c r="J4628" s="2" t="s">
        <v>76</v>
      </c>
      <c r="K4628" s="2" t="s">
        <v>77</v>
      </c>
      <c r="L4628" s="2" t="s">
        <v>841</v>
      </c>
      <c r="M4628" s="2" t="s">
        <v>842</v>
      </c>
      <c r="N4628" s="2" t="s">
        <v>843</v>
      </c>
      <c r="O4628" s="2" t="s">
        <v>100</v>
      </c>
      <c r="P4628" s="2" t="str">
        <f>"2170580837                    "</f>
        <v xml:space="preserve">2170580837                    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2">
        <v>0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7.75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0</v>
      </c>
      <c r="AU4628" s="2">
        <v>0</v>
      </c>
      <c r="AV4628" s="2">
        <v>0</v>
      </c>
      <c r="AW4628" s="2">
        <v>0</v>
      </c>
      <c r="AX4628" s="2">
        <v>0</v>
      </c>
      <c r="AY4628" s="2">
        <v>0</v>
      </c>
      <c r="AZ4628" s="2">
        <v>0</v>
      </c>
      <c r="BA4628" s="2">
        <v>0</v>
      </c>
      <c r="BB4628" s="2">
        <v>0</v>
      </c>
      <c r="BC4628" s="2">
        <v>0</v>
      </c>
      <c r="BD4628" s="2">
        <v>0</v>
      </c>
      <c r="BE4628" s="2">
        <v>0</v>
      </c>
      <c r="BF4628" s="2">
        <v>0</v>
      </c>
      <c r="BG4628" s="2">
        <v>0</v>
      </c>
      <c r="BH4628" s="2">
        <v>1</v>
      </c>
      <c r="BI4628" s="2">
        <v>1</v>
      </c>
      <c r="BJ4628" s="2">
        <v>0.2</v>
      </c>
      <c r="BK4628" s="2">
        <v>1</v>
      </c>
      <c r="BL4628" s="2">
        <v>80.290000000000006</v>
      </c>
      <c r="BM4628" s="2">
        <v>11.24</v>
      </c>
      <c r="BN4628" s="2">
        <v>91.53</v>
      </c>
      <c r="BO4628" s="2">
        <v>91.53</v>
      </c>
      <c r="BP4628" s="2"/>
      <c r="BQ4628" s="2" t="s">
        <v>83</v>
      </c>
      <c r="BR4628" s="2" t="s">
        <v>84</v>
      </c>
      <c r="BS4628" s="3">
        <v>42954</v>
      </c>
      <c r="BT4628" s="4">
        <v>0.55277777777777781</v>
      </c>
      <c r="BU4628" s="2" t="s">
        <v>4105</v>
      </c>
      <c r="BV4628" s="2" t="s">
        <v>95</v>
      </c>
      <c r="BW4628" s="2"/>
      <c r="BX4628" s="2"/>
      <c r="BY4628" s="2">
        <v>1200</v>
      </c>
      <c r="BZ4628" s="2"/>
      <c r="CA4628" s="2" t="s">
        <v>1245</v>
      </c>
      <c r="CB4628" s="2"/>
      <c r="CC4628" s="2" t="s">
        <v>842</v>
      </c>
      <c r="CD4628" s="2">
        <v>3370</v>
      </c>
      <c r="CE4628" s="2" t="s">
        <v>104</v>
      </c>
      <c r="CF4628" s="5">
        <v>42957</v>
      </c>
      <c r="CG4628" s="2"/>
      <c r="CH4628" s="2"/>
      <c r="CI4628" s="2">
        <v>3</v>
      </c>
      <c r="CJ4628" s="2">
        <v>1</v>
      </c>
      <c r="CK4628" s="2">
        <v>23</v>
      </c>
      <c r="CL4628" s="2" t="s">
        <v>86</v>
      </c>
      <c r="CM4628" s="2"/>
    </row>
    <row r="4629" spans="1:91">
      <c r="A4629" s="2" t="s">
        <v>71</v>
      </c>
      <c r="B4629" s="2" t="s">
        <v>72</v>
      </c>
      <c r="C4629" s="2" t="s">
        <v>73</v>
      </c>
      <c r="D4629" s="2"/>
      <c r="E4629" s="2" t="str">
        <f>"FES1162567046"</f>
        <v>FES1162567046</v>
      </c>
      <c r="F4629" s="3">
        <v>42951</v>
      </c>
      <c r="G4629" s="2">
        <v>201802</v>
      </c>
      <c r="H4629" s="2" t="s">
        <v>74</v>
      </c>
      <c r="I4629" s="2" t="s">
        <v>75</v>
      </c>
      <c r="J4629" s="2" t="s">
        <v>76</v>
      </c>
      <c r="K4629" s="2" t="s">
        <v>77</v>
      </c>
      <c r="L4629" s="2" t="s">
        <v>221</v>
      </c>
      <c r="M4629" s="2" t="s">
        <v>222</v>
      </c>
      <c r="N4629" s="2" t="s">
        <v>2293</v>
      </c>
      <c r="O4629" s="2" t="s">
        <v>100</v>
      </c>
      <c r="P4629" s="2" t="str">
        <f>"2170583308                    "</f>
        <v xml:space="preserve">2170583308                    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4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0</v>
      </c>
      <c r="AU4629" s="2">
        <v>0</v>
      </c>
      <c r="AV4629" s="2">
        <v>0</v>
      </c>
      <c r="AW4629" s="2">
        <v>0</v>
      </c>
      <c r="AX4629" s="2">
        <v>0</v>
      </c>
      <c r="AY4629" s="2">
        <v>0</v>
      </c>
      <c r="AZ4629" s="2">
        <v>0</v>
      </c>
      <c r="BA4629" s="2">
        <v>0</v>
      </c>
      <c r="BB4629" s="2">
        <v>0</v>
      </c>
      <c r="BC4629" s="2">
        <v>0</v>
      </c>
      <c r="BD4629" s="2">
        <v>0</v>
      </c>
      <c r="BE4629" s="2">
        <v>0</v>
      </c>
      <c r="BF4629" s="2">
        <v>0</v>
      </c>
      <c r="BG4629" s="2">
        <v>0</v>
      </c>
      <c r="BH4629" s="2">
        <v>1</v>
      </c>
      <c r="BI4629" s="2">
        <v>1</v>
      </c>
      <c r="BJ4629" s="2">
        <v>0.2</v>
      </c>
      <c r="BK4629" s="2">
        <v>1</v>
      </c>
      <c r="BL4629" s="2">
        <v>41.44</v>
      </c>
      <c r="BM4629" s="2">
        <v>5.8</v>
      </c>
      <c r="BN4629" s="2">
        <v>47.24</v>
      </c>
      <c r="BO4629" s="2">
        <v>47.24</v>
      </c>
      <c r="BP4629" s="2"/>
      <c r="BQ4629" s="2" t="s">
        <v>288</v>
      </c>
      <c r="BR4629" s="2" t="s">
        <v>84</v>
      </c>
      <c r="BS4629" s="3">
        <v>42954</v>
      </c>
      <c r="BT4629" s="4">
        <v>0.41319444444444442</v>
      </c>
      <c r="BU4629" s="2" t="s">
        <v>2975</v>
      </c>
      <c r="BV4629" s="2" t="s">
        <v>95</v>
      </c>
      <c r="BW4629" s="2"/>
      <c r="BX4629" s="2"/>
      <c r="BY4629" s="2">
        <v>1200</v>
      </c>
      <c r="BZ4629" s="2"/>
      <c r="CA4629" s="2" t="s">
        <v>225</v>
      </c>
      <c r="CB4629" s="2"/>
      <c r="CC4629" s="2" t="s">
        <v>222</v>
      </c>
      <c r="CD4629" s="2">
        <v>4302</v>
      </c>
      <c r="CE4629" s="2" t="s">
        <v>104</v>
      </c>
      <c r="CF4629" s="2"/>
      <c r="CG4629" s="2"/>
      <c r="CH4629" s="2"/>
      <c r="CI4629" s="2">
        <v>1</v>
      </c>
      <c r="CJ4629" s="2">
        <v>1</v>
      </c>
      <c r="CK4629" s="2">
        <v>21</v>
      </c>
      <c r="CL4629" s="2" t="s">
        <v>86</v>
      </c>
      <c r="CM4629" s="2"/>
    </row>
    <row r="4630" spans="1:91">
      <c r="A4630" s="2" t="s">
        <v>71</v>
      </c>
      <c r="B4630" s="2" t="s">
        <v>72</v>
      </c>
      <c r="C4630" s="2" t="s">
        <v>73</v>
      </c>
      <c r="D4630" s="2"/>
      <c r="E4630" s="2" t="str">
        <f>"FES1162567131"</f>
        <v>FES1162567131</v>
      </c>
      <c r="F4630" s="3">
        <v>42951</v>
      </c>
      <c r="G4630" s="2">
        <v>201802</v>
      </c>
      <c r="H4630" s="2" t="s">
        <v>74</v>
      </c>
      <c r="I4630" s="2" t="s">
        <v>75</v>
      </c>
      <c r="J4630" s="2" t="s">
        <v>76</v>
      </c>
      <c r="K4630" s="2" t="s">
        <v>77</v>
      </c>
      <c r="L4630" s="2" t="s">
        <v>237</v>
      </c>
      <c r="M4630" s="2" t="s">
        <v>238</v>
      </c>
      <c r="N4630" s="2" t="s">
        <v>3990</v>
      </c>
      <c r="O4630" s="2" t="s">
        <v>100</v>
      </c>
      <c r="P4630" s="2" t="str">
        <f>"2170581077                    "</f>
        <v xml:space="preserve">2170581077                    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0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4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2">
        <v>0</v>
      </c>
      <c r="AT4630" s="2">
        <v>0</v>
      </c>
      <c r="AU4630" s="2">
        <v>0</v>
      </c>
      <c r="AV4630" s="2">
        <v>0</v>
      </c>
      <c r="AW4630" s="2">
        <v>0</v>
      </c>
      <c r="AX4630" s="2">
        <v>0</v>
      </c>
      <c r="AY4630" s="2">
        <v>0</v>
      </c>
      <c r="AZ4630" s="2">
        <v>0</v>
      </c>
      <c r="BA4630" s="2">
        <v>0</v>
      </c>
      <c r="BB4630" s="2">
        <v>0</v>
      </c>
      <c r="BC4630" s="2">
        <v>0</v>
      </c>
      <c r="BD4630" s="2">
        <v>0</v>
      </c>
      <c r="BE4630" s="2">
        <v>0</v>
      </c>
      <c r="BF4630" s="2">
        <v>0</v>
      </c>
      <c r="BG4630" s="2">
        <v>0</v>
      </c>
      <c r="BH4630" s="2">
        <v>1</v>
      </c>
      <c r="BI4630" s="2">
        <v>1</v>
      </c>
      <c r="BJ4630" s="2">
        <v>0.2</v>
      </c>
      <c r="BK4630" s="2">
        <v>1</v>
      </c>
      <c r="BL4630" s="2">
        <v>41.44</v>
      </c>
      <c r="BM4630" s="2">
        <v>5.8</v>
      </c>
      <c r="BN4630" s="2">
        <v>47.24</v>
      </c>
      <c r="BO4630" s="2">
        <v>47.24</v>
      </c>
      <c r="BP4630" s="2"/>
      <c r="BQ4630" s="2" t="s">
        <v>3991</v>
      </c>
      <c r="BR4630" s="2" t="s">
        <v>84</v>
      </c>
      <c r="BS4630" s="3">
        <v>42954</v>
      </c>
      <c r="BT4630" s="4">
        <v>0.47291666666666665</v>
      </c>
      <c r="BU4630" s="2" t="s">
        <v>3992</v>
      </c>
      <c r="BV4630" s="2" t="s">
        <v>95</v>
      </c>
      <c r="BW4630" s="2"/>
      <c r="BX4630" s="2"/>
      <c r="BY4630" s="2">
        <v>1200</v>
      </c>
      <c r="BZ4630" s="2"/>
      <c r="CA4630" s="2" t="s">
        <v>2155</v>
      </c>
      <c r="CB4630" s="2"/>
      <c r="CC4630" s="2" t="s">
        <v>238</v>
      </c>
      <c r="CD4630" s="2">
        <v>3610</v>
      </c>
      <c r="CE4630" s="2" t="s">
        <v>104</v>
      </c>
      <c r="CF4630" s="5">
        <v>42955</v>
      </c>
      <c r="CG4630" s="2"/>
      <c r="CH4630" s="2"/>
      <c r="CI4630" s="2">
        <v>1</v>
      </c>
      <c r="CJ4630" s="2">
        <v>1</v>
      </c>
      <c r="CK4630" s="2">
        <v>21</v>
      </c>
      <c r="CL4630" s="2" t="s">
        <v>86</v>
      </c>
      <c r="CM4630" s="2"/>
    </row>
    <row r="4631" spans="1:91">
      <c r="A4631" s="2" t="s">
        <v>71</v>
      </c>
      <c r="B4631" s="2" t="s">
        <v>72</v>
      </c>
      <c r="C4631" s="2" t="s">
        <v>73</v>
      </c>
      <c r="D4631" s="2"/>
      <c r="E4631" s="2" t="str">
        <f>"FES1162567084"</f>
        <v>FES1162567084</v>
      </c>
      <c r="F4631" s="3">
        <v>42951</v>
      </c>
      <c r="G4631" s="2">
        <v>201802</v>
      </c>
      <c r="H4631" s="2" t="s">
        <v>74</v>
      </c>
      <c r="I4631" s="2" t="s">
        <v>75</v>
      </c>
      <c r="J4631" s="2" t="s">
        <v>76</v>
      </c>
      <c r="K4631" s="2" t="s">
        <v>77</v>
      </c>
      <c r="L4631" s="2" t="s">
        <v>362</v>
      </c>
      <c r="M4631" s="2" t="s">
        <v>363</v>
      </c>
      <c r="N4631" s="2" t="s">
        <v>546</v>
      </c>
      <c r="O4631" s="2" t="s">
        <v>100</v>
      </c>
      <c r="P4631" s="2" t="str">
        <f>"2170580145                    "</f>
        <v xml:space="preserve">2170580145                    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4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0</v>
      </c>
      <c r="AU4631" s="2">
        <v>0</v>
      </c>
      <c r="AV4631" s="2">
        <v>0</v>
      </c>
      <c r="AW4631" s="2">
        <v>0</v>
      </c>
      <c r="AX4631" s="2">
        <v>0</v>
      </c>
      <c r="AY4631" s="2">
        <v>0</v>
      </c>
      <c r="AZ4631" s="2">
        <v>0</v>
      </c>
      <c r="BA4631" s="2">
        <v>0</v>
      </c>
      <c r="BB4631" s="2">
        <v>0</v>
      </c>
      <c r="BC4631" s="2">
        <v>0</v>
      </c>
      <c r="BD4631" s="2">
        <v>0</v>
      </c>
      <c r="BE4631" s="2">
        <v>0</v>
      </c>
      <c r="BF4631" s="2">
        <v>0</v>
      </c>
      <c r="BG4631" s="2">
        <v>0</v>
      </c>
      <c r="BH4631" s="2">
        <v>1</v>
      </c>
      <c r="BI4631" s="2">
        <v>1</v>
      </c>
      <c r="BJ4631" s="2">
        <v>0.2</v>
      </c>
      <c r="BK4631" s="2">
        <v>1</v>
      </c>
      <c r="BL4631" s="2">
        <v>41.44</v>
      </c>
      <c r="BM4631" s="2">
        <v>5.8</v>
      </c>
      <c r="BN4631" s="2">
        <v>47.24</v>
      </c>
      <c r="BO4631" s="2">
        <v>47.24</v>
      </c>
      <c r="BP4631" s="2"/>
      <c r="BQ4631" s="2" t="s">
        <v>209</v>
      </c>
      <c r="BR4631" s="2" t="s">
        <v>84</v>
      </c>
      <c r="BS4631" s="3">
        <v>42954</v>
      </c>
      <c r="BT4631" s="4">
        <v>0.41319444444444442</v>
      </c>
      <c r="BU4631" s="2" t="s">
        <v>4132</v>
      </c>
      <c r="BV4631" s="2" t="s">
        <v>95</v>
      </c>
      <c r="BW4631" s="2"/>
      <c r="BX4631" s="2"/>
      <c r="BY4631" s="2">
        <v>1200</v>
      </c>
      <c r="BZ4631" s="2"/>
      <c r="CA4631" s="2" t="s">
        <v>379</v>
      </c>
      <c r="CB4631" s="2"/>
      <c r="CC4631" s="2" t="s">
        <v>363</v>
      </c>
      <c r="CD4631" s="2">
        <v>3201</v>
      </c>
      <c r="CE4631" s="2" t="s">
        <v>104</v>
      </c>
      <c r="CF4631" s="5">
        <v>42955</v>
      </c>
      <c r="CG4631" s="2"/>
      <c r="CH4631" s="2"/>
      <c r="CI4631" s="2">
        <v>1</v>
      </c>
      <c r="CJ4631" s="2">
        <v>1</v>
      </c>
      <c r="CK4631" s="2">
        <v>21</v>
      </c>
      <c r="CL4631" s="2" t="s">
        <v>86</v>
      </c>
      <c r="CM4631" s="2"/>
    </row>
    <row r="4632" spans="1:91">
      <c r="A4632" s="2" t="s">
        <v>71</v>
      </c>
      <c r="B4632" s="2" t="s">
        <v>72</v>
      </c>
      <c r="C4632" s="2" t="s">
        <v>73</v>
      </c>
      <c r="D4632" s="2"/>
      <c r="E4632" s="2" t="str">
        <f>"FES1162567147"</f>
        <v>FES1162567147</v>
      </c>
      <c r="F4632" s="3">
        <v>42951</v>
      </c>
      <c r="G4632" s="2">
        <v>201802</v>
      </c>
      <c r="H4632" s="2" t="s">
        <v>74</v>
      </c>
      <c r="I4632" s="2" t="s">
        <v>75</v>
      </c>
      <c r="J4632" s="2" t="s">
        <v>76</v>
      </c>
      <c r="K4632" s="2" t="s">
        <v>77</v>
      </c>
      <c r="L4632" s="2" t="s">
        <v>237</v>
      </c>
      <c r="M4632" s="2" t="s">
        <v>238</v>
      </c>
      <c r="N4632" s="2" t="s">
        <v>769</v>
      </c>
      <c r="O4632" s="2" t="s">
        <v>100</v>
      </c>
      <c r="P4632" s="2" t="str">
        <f>"2170581320                    "</f>
        <v xml:space="preserve">2170581320                    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4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2">
        <v>0</v>
      </c>
      <c r="AT4632" s="2">
        <v>0</v>
      </c>
      <c r="AU4632" s="2">
        <v>0</v>
      </c>
      <c r="AV4632" s="2">
        <v>0</v>
      </c>
      <c r="AW4632" s="2">
        <v>0</v>
      </c>
      <c r="AX4632" s="2">
        <v>0</v>
      </c>
      <c r="AY4632" s="2">
        <v>0</v>
      </c>
      <c r="AZ4632" s="2">
        <v>0</v>
      </c>
      <c r="BA4632" s="2">
        <v>0</v>
      </c>
      <c r="BB4632" s="2">
        <v>0</v>
      </c>
      <c r="BC4632" s="2">
        <v>0</v>
      </c>
      <c r="BD4632" s="2">
        <v>0</v>
      </c>
      <c r="BE4632" s="2">
        <v>0</v>
      </c>
      <c r="BF4632" s="2">
        <v>0</v>
      </c>
      <c r="BG4632" s="2">
        <v>0</v>
      </c>
      <c r="BH4632" s="2">
        <v>1</v>
      </c>
      <c r="BI4632" s="2">
        <v>1</v>
      </c>
      <c r="BJ4632" s="2">
        <v>0.2</v>
      </c>
      <c r="BK4632" s="2">
        <v>1</v>
      </c>
      <c r="BL4632" s="2">
        <v>41.44</v>
      </c>
      <c r="BM4632" s="2">
        <v>5.8</v>
      </c>
      <c r="BN4632" s="2">
        <v>47.24</v>
      </c>
      <c r="BO4632" s="2">
        <v>47.24</v>
      </c>
      <c r="BP4632" s="2"/>
      <c r="BQ4632" s="2"/>
      <c r="BR4632" s="2" t="s">
        <v>84</v>
      </c>
      <c r="BS4632" s="3">
        <v>42954</v>
      </c>
      <c r="BT4632" s="4">
        <v>0.4375</v>
      </c>
      <c r="BU4632" s="2" t="s">
        <v>1112</v>
      </c>
      <c r="BV4632" s="2" t="s">
        <v>95</v>
      </c>
      <c r="BW4632" s="2"/>
      <c r="BX4632" s="2"/>
      <c r="BY4632" s="2">
        <v>1200</v>
      </c>
      <c r="BZ4632" s="2"/>
      <c r="CA4632" s="2"/>
      <c r="CB4632" s="2"/>
      <c r="CC4632" s="2" t="s">
        <v>238</v>
      </c>
      <c r="CD4632" s="2">
        <v>3600</v>
      </c>
      <c r="CE4632" s="2" t="s">
        <v>104</v>
      </c>
      <c r="CF4632" s="5">
        <v>42955</v>
      </c>
      <c r="CG4632" s="2"/>
      <c r="CH4632" s="2"/>
      <c r="CI4632" s="2">
        <v>1</v>
      </c>
      <c r="CJ4632" s="2">
        <v>1</v>
      </c>
      <c r="CK4632" s="2">
        <v>21</v>
      </c>
      <c r="CL4632" s="2" t="s">
        <v>86</v>
      </c>
      <c r="CM4632" s="2"/>
    </row>
    <row r="4633" spans="1:91">
      <c r="A4633" s="2" t="s">
        <v>71</v>
      </c>
      <c r="B4633" s="2" t="s">
        <v>72</v>
      </c>
      <c r="C4633" s="2" t="s">
        <v>73</v>
      </c>
      <c r="D4633" s="2"/>
      <c r="E4633" s="2" t="str">
        <f>"FES1162567150"</f>
        <v>FES1162567150</v>
      </c>
      <c r="F4633" s="3">
        <v>42951</v>
      </c>
      <c r="G4633" s="2">
        <v>201802</v>
      </c>
      <c r="H4633" s="2" t="s">
        <v>74</v>
      </c>
      <c r="I4633" s="2" t="s">
        <v>75</v>
      </c>
      <c r="J4633" s="2" t="s">
        <v>76</v>
      </c>
      <c r="K4633" s="2" t="s">
        <v>77</v>
      </c>
      <c r="L4633" s="2" t="s">
        <v>149</v>
      </c>
      <c r="M4633" s="2" t="s">
        <v>150</v>
      </c>
      <c r="N4633" s="2" t="s">
        <v>1592</v>
      </c>
      <c r="O4633" s="2" t="s">
        <v>100</v>
      </c>
      <c r="P4633" s="2" t="str">
        <f>"2170582244                    "</f>
        <v xml:space="preserve">2170582244                    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4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2">
        <v>0</v>
      </c>
      <c r="AT4633" s="2">
        <v>0</v>
      </c>
      <c r="AU4633" s="2">
        <v>0</v>
      </c>
      <c r="AV4633" s="2">
        <v>0</v>
      </c>
      <c r="AW4633" s="2">
        <v>0</v>
      </c>
      <c r="AX4633" s="2">
        <v>0</v>
      </c>
      <c r="AY4633" s="2">
        <v>0</v>
      </c>
      <c r="AZ4633" s="2">
        <v>0</v>
      </c>
      <c r="BA4633" s="2">
        <v>0</v>
      </c>
      <c r="BB4633" s="2">
        <v>0</v>
      </c>
      <c r="BC4633" s="2">
        <v>0</v>
      </c>
      <c r="BD4633" s="2">
        <v>0</v>
      </c>
      <c r="BE4633" s="2">
        <v>0</v>
      </c>
      <c r="BF4633" s="2">
        <v>0</v>
      </c>
      <c r="BG4633" s="2">
        <v>0</v>
      </c>
      <c r="BH4633" s="2">
        <v>1</v>
      </c>
      <c r="BI4633" s="2">
        <v>1</v>
      </c>
      <c r="BJ4633" s="2">
        <v>0.2</v>
      </c>
      <c r="BK4633" s="2">
        <v>1</v>
      </c>
      <c r="BL4633" s="2">
        <v>41.44</v>
      </c>
      <c r="BM4633" s="2">
        <v>5.8</v>
      </c>
      <c r="BN4633" s="2">
        <v>47.24</v>
      </c>
      <c r="BO4633" s="2">
        <v>47.24</v>
      </c>
      <c r="BP4633" s="2"/>
      <c r="BQ4633" s="2" t="s">
        <v>83</v>
      </c>
      <c r="BR4633" s="2" t="s">
        <v>84</v>
      </c>
      <c r="BS4633" s="3">
        <v>42954</v>
      </c>
      <c r="BT4633" s="4">
        <v>0.41319444444444442</v>
      </c>
      <c r="BU4633" s="2" t="s">
        <v>3975</v>
      </c>
      <c r="BV4633" s="2" t="s">
        <v>95</v>
      </c>
      <c r="BW4633" s="2"/>
      <c r="BX4633" s="2"/>
      <c r="BY4633" s="2">
        <v>1200</v>
      </c>
      <c r="BZ4633" s="2"/>
      <c r="CA4633" s="2" t="s">
        <v>1163</v>
      </c>
      <c r="CB4633" s="2"/>
      <c r="CC4633" s="2" t="s">
        <v>150</v>
      </c>
      <c r="CD4633" s="2">
        <v>4094</v>
      </c>
      <c r="CE4633" s="2" t="s">
        <v>104</v>
      </c>
      <c r="CF4633" s="5">
        <v>42955</v>
      </c>
      <c r="CG4633" s="2"/>
      <c r="CH4633" s="2"/>
      <c r="CI4633" s="2">
        <v>1</v>
      </c>
      <c r="CJ4633" s="2">
        <v>1</v>
      </c>
      <c r="CK4633" s="2">
        <v>21</v>
      </c>
      <c r="CL4633" s="2" t="s">
        <v>86</v>
      </c>
      <c r="CM4633" s="2"/>
    </row>
    <row r="4634" spans="1:91">
      <c r="A4634" s="2" t="s">
        <v>71</v>
      </c>
      <c r="B4634" s="2" t="s">
        <v>72</v>
      </c>
      <c r="C4634" s="2" t="s">
        <v>73</v>
      </c>
      <c r="D4634" s="2"/>
      <c r="E4634" s="2" t="str">
        <f>"FES1162567105"</f>
        <v>FES1162567105</v>
      </c>
      <c r="F4634" s="3">
        <v>42951</v>
      </c>
      <c r="G4634" s="2">
        <v>201802</v>
      </c>
      <c r="H4634" s="2" t="s">
        <v>74</v>
      </c>
      <c r="I4634" s="2" t="s">
        <v>75</v>
      </c>
      <c r="J4634" s="2" t="s">
        <v>76</v>
      </c>
      <c r="K4634" s="2" t="s">
        <v>77</v>
      </c>
      <c r="L4634" s="2" t="s">
        <v>846</v>
      </c>
      <c r="M4634" s="2" t="s">
        <v>847</v>
      </c>
      <c r="N4634" s="2" t="s">
        <v>848</v>
      </c>
      <c r="O4634" s="2" t="s">
        <v>100</v>
      </c>
      <c r="P4634" s="2" t="str">
        <f>"2170580672                    "</f>
        <v xml:space="preserve">2170580672                    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34.020000000000003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2">
        <v>0</v>
      </c>
      <c r="AT4634" s="2">
        <v>0</v>
      </c>
      <c r="AU4634" s="2">
        <v>0</v>
      </c>
      <c r="AV4634" s="2">
        <v>0</v>
      </c>
      <c r="AW4634" s="2">
        <v>0</v>
      </c>
      <c r="AX4634" s="2">
        <v>0</v>
      </c>
      <c r="AY4634" s="2">
        <v>0</v>
      </c>
      <c r="AZ4634" s="2">
        <v>0</v>
      </c>
      <c r="BA4634" s="2">
        <v>0</v>
      </c>
      <c r="BB4634" s="2">
        <v>0</v>
      </c>
      <c r="BC4634" s="2">
        <v>0</v>
      </c>
      <c r="BD4634" s="2">
        <v>0</v>
      </c>
      <c r="BE4634" s="2">
        <v>0</v>
      </c>
      <c r="BF4634" s="2">
        <v>0</v>
      </c>
      <c r="BG4634" s="2">
        <v>0</v>
      </c>
      <c r="BH4634" s="2">
        <v>1</v>
      </c>
      <c r="BI4634" s="2">
        <v>9.1</v>
      </c>
      <c r="BJ4634" s="2">
        <v>6.9</v>
      </c>
      <c r="BK4634" s="2">
        <v>9.5</v>
      </c>
      <c r="BL4634" s="2">
        <v>352.26</v>
      </c>
      <c r="BM4634" s="2">
        <v>49.32</v>
      </c>
      <c r="BN4634" s="2">
        <v>401.58</v>
      </c>
      <c r="BO4634" s="2">
        <v>401.58</v>
      </c>
      <c r="BP4634" s="2"/>
      <c r="BQ4634" s="2" t="s">
        <v>83</v>
      </c>
      <c r="BR4634" s="2" t="s">
        <v>84</v>
      </c>
      <c r="BS4634" s="3">
        <v>42954</v>
      </c>
      <c r="BT4634" s="4">
        <v>0.625</v>
      </c>
      <c r="BU4634" s="2" t="s">
        <v>4133</v>
      </c>
      <c r="BV4634" s="2" t="s">
        <v>86</v>
      </c>
      <c r="BW4634" s="2" t="s">
        <v>110</v>
      </c>
      <c r="BX4634" s="2" t="s">
        <v>537</v>
      </c>
      <c r="BY4634" s="2">
        <v>34716.83</v>
      </c>
      <c r="BZ4634" s="2"/>
      <c r="CA4634" s="2"/>
      <c r="CB4634" s="2"/>
      <c r="CC4634" s="2" t="s">
        <v>847</v>
      </c>
      <c r="CD4634" s="2">
        <v>7349</v>
      </c>
      <c r="CE4634" s="2" t="s">
        <v>89</v>
      </c>
      <c r="CF4634" s="5">
        <v>42955</v>
      </c>
      <c r="CG4634" s="2"/>
      <c r="CH4634" s="2"/>
      <c r="CI4634" s="2">
        <v>1</v>
      </c>
      <c r="CJ4634" s="2">
        <v>1</v>
      </c>
      <c r="CK4634" s="2">
        <v>23</v>
      </c>
      <c r="CL4634" s="2" t="s">
        <v>86</v>
      </c>
      <c r="CM4634" s="2"/>
    </row>
    <row r="4635" spans="1:91">
      <c r="A4635" s="2" t="s">
        <v>71</v>
      </c>
      <c r="B4635" s="2" t="s">
        <v>72</v>
      </c>
      <c r="C4635" s="2" t="s">
        <v>73</v>
      </c>
      <c r="D4635" s="2"/>
      <c r="E4635" s="2" t="str">
        <f>"FES1162566939"</f>
        <v>FES1162566939</v>
      </c>
      <c r="F4635" s="3">
        <v>42951</v>
      </c>
      <c r="G4635" s="2">
        <v>201802</v>
      </c>
      <c r="H4635" s="2" t="s">
        <v>74</v>
      </c>
      <c r="I4635" s="2" t="s">
        <v>75</v>
      </c>
      <c r="J4635" s="2" t="s">
        <v>76</v>
      </c>
      <c r="K4635" s="2" t="s">
        <v>77</v>
      </c>
      <c r="L4635" s="2" t="s">
        <v>723</v>
      </c>
      <c r="M4635" s="2" t="s">
        <v>724</v>
      </c>
      <c r="N4635" s="2" t="s">
        <v>2327</v>
      </c>
      <c r="O4635" s="2" t="s">
        <v>100</v>
      </c>
      <c r="P4635" s="2" t="str">
        <f>"2170582936                    "</f>
        <v xml:space="preserve">2170582936                    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5.63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2">
        <v>0</v>
      </c>
      <c r="AT4635" s="2">
        <v>0</v>
      </c>
      <c r="AU4635" s="2">
        <v>0</v>
      </c>
      <c r="AV4635" s="2">
        <v>0</v>
      </c>
      <c r="AW4635" s="2">
        <v>0</v>
      </c>
      <c r="AX4635" s="2">
        <v>0</v>
      </c>
      <c r="AY4635" s="2">
        <v>0</v>
      </c>
      <c r="AZ4635" s="2">
        <v>0</v>
      </c>
      <c r="BA4635" s="2">
        <v>0</v>
      </c>
      <c r="BB4635" s="2">
        <v>0</v>
      </c>
      <c r="BC4635" s="2">
        <v>0</v>
      </c>
      <c r="BD4635" s="2">
        <v>0</v>
      </c>
      <c r="BE4635" s="2">
        <v>0</v>
      </c>
      <c r="BF4635" s="2">
        <v>0</v>
      </c>
      <c r="BG4635" s="2">
        <v>0</v>
      </c>
      <c r="BH4635" s="2">
        <v>1</v>
      </c>
      <c r="BI4635" s="2">
        <v>1</v>
      </c>
      <c r="BJ4635" s="2">
        <v>0.2</v>
      </c>
      <c r="BK4635" s="2">
        <v>1</v>
      </c>
      <c r="BL4635" s="2">
        <v>58.28</v>
      </c>
      <c r="BM4635" s="2">
        <v>8.16</v>
      </c>
      <c r="BN4635" s="2">
        <v>66.44</v>
      </c>
      <c r="BO4635" s="2">
        <v>66.44</v>
      </c>
      <c r="BP4635" s="2"/>
      <c r="BQ4635" s="2" t="s">
        <v>108</v>
      </c>
      <c r="BR4635" s="2" t="s">
        <v>84</v>
      </c>
      <c r="BS4635" s="3">
        <v>42954</v>
      </c>
      <c r="BT4635" s="4">
        <v>0.41041666666666665</v>
      </c>
      <c r="BU4635" s="2" t="s">
        <v>2328</v>
      </c>
      <c r="BV4635" s="2" t="s">
        <v>95</v>
      </c>
      <c r="BW4635" s="2"/>
      <c r="BX4635" s="2"/>
      <c r="BY4635" s="2">
        <v>1200</v>
      </c>
      <c r="BZ4635" s="2"/>
      <c r="CA4635" s="2" t="s">
        <v>148</v>
      </c>
      <c r="CB4635" s="2"/>
      <c r="CC4635" s="2" t="s">
        <v>724</v>
      </c>
      <c r="CD4635" s="2">
        <v>1739</v>
      </c>
      <c r="CE4635" s="2" t="s">
        <v>104</v>
      </c>
      <c r="CF4635" s="5">
        <v>42955</v>
      </c>
      <c r="CG4635" s="2"/>
      <c r="CH4635" s="2"/>
      <c r="CI4635" s="2">
        <v>1</v>
      </c>
      <c r="CJ4635" s="2">
        <v>1</v>
      </c>
      <c r="CK4635" s="2">
        <v>24</v>
      </c>
      <c r="CL4635" s="2" t="s">
        <v>86</v>
      </c>
      <c r="CM4635" s="2"/>
    </row>
    <row r="4636" spans="1:91">
      <c r="A4636" s="2" t="s">
        <v>71</v>
      </c>
      <c r="B4636" s="2" t="s">
        <v>72</v>
      </c>
      <c r="C4636" s="2" t="s">
        <v>73</v>
      </c>
      <c r="D4636" s="2"/>
      <c r="E4636" s="2" t="str">
        <f>"FES1162567137"</f>
        <v>FES1162567137</v>
      </c>
      <c r="F4636" s="3">
        <v>42951</v>
      </c>
      <c r="G4636" s="2">
        <v>201802</v>
      </c>
      <c r="H4636" s="2" t="s">
        <v>74</v>
      </c>
      <c r="I4636" s="2" t="s">
        <v>75</v>
      </c>
      <c r="J4636" s="2" t="s">
        <v>76</v>
      </c>
      <c r="K4636" s="2" t="s">
        <v>77</v>
      </c>
      <c r="L4636" s="2" t="s">
        <v>343</v>
      </c>
      <c r="M4636" s="2" t="s">
        <v>344</v>
      </c>
      <c r="N4636" s="2" t="s">
        <v>4134</v>
      </c>
      <c r="O4636" s="2" t="s">
        <v>100</v>
      </c>
      <c r="P4636" s="2" t="str">
        <f>"2170581160                    "</f>
        <v xml:space="preserve">2170581160                    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4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0</v>
      </c>
      <c r="AU4636" s="2">
        <v>0</v>
      </c>
      <c r="AV4636" s="2">
        <v>0</v>
      </c>
      <c r="AW4636" s="2">
        <v>0</v>
      </c>
      <c r="AX4636" s="2">
        <v>0</v>
      </c>
      <c r="AY4636" s="2">
        <v>0</v>
      </c>
      <c r="AZ4636" s="2">
        <v>0</v>
      </c>
      <c r="BA4636" s="2">
        <v>0</v>
      </c>
      <c r="BB4636" s="2">
        <v>0</v>
      </c>
      <c r="BC4636" s="2">
        <v>0</v>
      </c>
      <c r="BD4636" s="2">
        <v>0</v>
      </c>
      <c r="BE4636" s="2">
        <v>0</v>
      </c>
      <c r="BF4636" s="2">
        <v>0</v>
      </c>
      <c r="BG4636" s="2">
        <v>0</v>
      </c>
      <c r="BH4636" s="2">
        <v>1</v>
      </c>
      <c r="BI4636" s="2">
        <v>1</v>
      </c>
      <c r="BJ4636" s="2">
        <v>0.2</v>
      </c>
      <c r="BK4636" s="2">
        <v>1</v>
      </c>
      <c r="BL4636" s="2">
        <v>41.44</v>
      </c>
      <c r="BM4636" s="2">
        <v>5.8</v>
      </c>
      <c r="BN4636" s="2">
        <v>47.24</v>
      </c>
      <c r="BO4636" s="2">
        <v>47.24</v>
      </c>
      <c r="BP4636" s="2"/>
      <c r="BQ4636" s="2"/>
      <c r="BR4636" s="2" t="s">
        <v>84</v>
      </c>
      <c r="BS4636" s="3">
        <v>42954</v>
      </c>
      <c r="BT4636" s="4">
        <v>0.33333333333333331</v>
      </c>
      <c r="BU4636" s="2" t="s">
        <v>4135</v>
      </c>
      <c r="BV4636" s="2" t="s">
        <v>95</v>
      </c>
      <c r="BW4636" s="2"/>
      <c r="BX4636" s="2"/>
      <c r="BY4636" s="2">
        <v>1200</v>
      </c>
      <c r="BZ4636" s="2"/>
      <c r="CA4636" s="2" t="s">
        <v>550</v>
      </c>
      <c r="CB4636" s="2"/>
      <c r="CC4636" s="2" t="s">
        <v>344</v>
      </c>
      <c r="CD4636" s="2">
        <v>4133</v>
      </c>
      <c r="CE4636" s="2" t="s">
        <v>104</v>
      </c>
      <c r="CF4636" s="5">
        <v>42957</v>
      </c>
      <c r="CG4636" s="2"/>
      <c r="CH4636" s="2"/>
      <c r="CI4636" s="2">
        <v>1</v>
      </c>
      <c r="CJ4636" s="2">
        <v>1</v>
      </c>
      <c r="CK4636" s="2">
        <v>21</v>
      </c>
      <c r="CL4636" s="2" t="s">
        <v>86</v>
      </c>
      <c r="CM4636" s="2"/>
    </row>
    <row r="4637" spans="1:91">
      <c r="A4637" s="2" t="s">
        <v>71</v>
      </c>
      <c r="B4637" s="2" t="s">
        <v>72</v>
      </c>
      <c r="C4637" s="2" t="s">
        <v>73</v>
      </c>
      <c r="D4637" s="2"/>
      <c r="E4637" s="2" t="str">
        <f>"FES1162567209"</f>
        <v>FES1162567209</v>
      </c>
      <c r="F4637" s="3">
        <v>42951</v>
      </c>
      <c r="G4637" s="2">
        <v>201802</v>
      </c>
      <c r="H4637" s="2" t="s">
        <v>74</v>
      </c>
      <c r="I4637" s="2" t="s">
        <v>75</v>
      </c>
      <c r="J4637" s="2" t="s">
        <v>76</v>
      </c>
      <c r="K4637" s="2" t="s">
        <v>77</v>
      </c>
      <c r="L4637" s="2" t="s">
        <v>174</v>
      </c>
      <c r="M4637" s="2" t="s">
        <v>175</v>
      </c>
      <c r="N4637" s="2" t="s">
        <v>1555</v>
      </c>
      <c r="O4637" s="2" t="s">
        <v>100</v>
      </c>
      <c r="P4637" s="2" t="str">
        <f>"2170583355                    "</f>
        <v xml:space="preserve">2170583355                    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13.01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0</v>
      </c>
      <c r="AU4637" s="2">
        <v>0</v>
      </c>
      <c r="AV4637" s="2">
        <v>0</v>
      </c>
      <c r="AW4637" s="2">
        <v>0</v>
      </c>
      <c r="AX4637" s="2">
        <v>0</v>
      </c>
      <c r="AY4637" s="2">
        <v>0</v>
      </c>
      <c r="AZ4637" s="2">
        <v>0</v>
      </c>
      <c r="BA4637" s="2">
        <v>0</v>
      </c>
      <c r="BB4637" s="2">
        <v>0</v>
      </c>
      <c r="BC4637" s="2">
        <v>0</v>
      </c>
      <c r="BD4637" s="2">
        <v>0</v>
      </c>
      <c r="BE4637" s="2">
        <v>0</v>
      </c>
      <c r="BF4637" s="2">
        <v>0</v>
      </c>
      <c r="BG4637" s="2">
        <v>0</v>
      </c>
      <c r="BH4637" s="2">
        <v>1</v>
      </c>
      <c r="BI4637" s="2">
        <v>6.2</v>
      </c>
      <c r="BJ4637" s="2">
        <v>3.3</v>
      </c>
      <c r="BK4637" s="2">
        <v>6.5</v>
      </c>
      <c r="BL4637" s="2">
        <v>134.69</v>
      </c>
      <c r="BM4637" s="2">
        <v>18.86</v>
      </c>
      <c r="BN4637" s="2">
        <v>153.55000000000001</v>
      </c>
      <c r="BO4637" s="2">
        <v>153.55000000000001</v>
      </c>
      <c r="BP4637" s="2"/>
      <c r="BQ4637" s="2" t="s">
        <v>288</v>
      </c>
      <c r="BR4637" s="2" t="s">
        <v>84</v>
      </c>
      <c r="BS4637" s="3">
        <v>42954</v>
      </c>
      <c r="BT4637" s="4">
        <v>0.42708333333333331</v>
      </c>
      <c r="BU4637" s="2" t="s">
        <v>1556</v>
      </c>
      <c r="BV4637" s="2" t="s">
        <v>95</v>
      </c>
      <c r="BW4637" s="2"/>
      <c r="BX4637" s="2"/>
      <c r="BY4637" s="2">
        <v>16707.990000000002</v>
      </c>
      <c r="BZ4637" s="2"/>
      <c r="CA4637" s="2" t="s">
        <v>1420</v>
      </c>
      <c r="CB4637" s="2"/>
      <c r="CC4637" s="2" t="s">
        <v>175</v>
      </c>
      <c r="CD4637" s="2">
        <v>5201</v>
      </c>
      <c r="CE4637" s="2" t="s">
        <v>89</v>
      </c>
      <c r="CF4637" s="5">
        <v>42957</v>
      </c>
      <c r="CG4637" s="2"/>
      <c r="CH4637" s="2"/>
      <c r="CI4637" s="2">
        <v>1</v>
      </c>
      <c r="CJ4637" s="2">
        <v>1</v>
      </c>
      <c r="CK4637" s="2">
        <v>21</v>
      </c>
      <c r="CL4637" s="2" t="s">
        <v>86</v>
      </c>
      <c r="CM4637" s="2"/>
    </row>
    <row r="4638" spans="1:91">
      <c r="A4638" s="2" t="s">
        <v>71</v>
      </c>
      <c r="B4638" s="2" t="s">
        <v>72</v>
      </c>
      <c r="C4638" s="2" t="s">
        <v>73</v>
      </c>
      <c r="D4638" s="2"/>
      <c r="E4638" s="2" t="str">
        <f>"FES1162567056"</f>
        <v>FES1162567056</v>
      </c>
      <c r="F4638" s="3">
        <v>42951</v>
      </c>
      <c r="G4638" s="2">
        <v>201802</v>
      </c>
      <c r="H4638" s="2" t="s">
        <v>74</v>
      </c>
      <c r="I4638" s="2" t="s">
        <v>75</v>
      </c>
      <c r="J4638" s="2" t="s">
        <v>76</v>
      </c>
      <c r="K4638" s="2" t="s">
        <v>77</v>
      </c>
      <c r="L4638" s="2" t="s">
        <v>723</v>
      </c>
      <c r="M4638" s="2" t="s">
        <v>724</v>
      </c>
      <c r="N4638" s="2" t="s">
        <v>1719</v>
      </c>
      <c r="O4638" s="2" t="s">
        <v>100</v>
      </c>
      <c r="P4638" s="2" t="str">
        <f>"2170583319                    "</f>
        <v xml:space="preserve">2170583319                    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5.63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0</v>
      </c>
      <c r="AU4638" s="2">
        <v>0</v>
      </c>
      <c r="AV4638" s="2">
        <v>0</v>
      </c>
      <c r="AW4638" s="2">
        <v>0</v>
      </c>
      <c r="AX4638" s="2">
        <v>0</v>
      </c>
      <c r="AY4638" s="2">
        <v>0</v>
      </c>
      <c r="AZ4638" s="2">
        <v>0</v>
      </c>
      <c r="BA4638" s="2">
        <v>0</v>
      </c>
      <c r="BB4638" s="2">
        <v>0</v>
      </c>
      <c r="BC4638" s="2">
        <v>0</v>
      </c>
      <c r="BD4638" s="2">
        <v>0</v>
      </c>
      <c r="BE4638" s="2">
        <v>0</v>
      </c>
      <c r="BF4638" s="2">
        <v>0</v>
      </c>
      <c r="BG4638" s="2">
        <v>0</v>
      </c>
      <c r="BH4638" s="2">
        <v>1</v>
      </c>
      <c r="BI4638" s="2">
        <v>1</v>
      </c>
      <c r="BJ4638" s="2">
        <v>0.2</v>
      </c>
      <c r="BK4638" s="2">
        <v>1</v>
      </c>
      <c r="BL4638" s="2">
        <v>58.28</v>
      </c>
      <c r="BM4638" s="2">
        <v>8.16</v>
      </c>
      <c r="BN4638" s="2">
        <v>66.44</v>
      </c>
      <c r="BO4638" s="2">
        <v>66.44</v>
      </c>
      <c r="BP4638" s="2"/>
      <c r="BQ4638" s="2" t="s">
        <v>83</v>
      </c>
      <c r="BR4638" s="2" t="s">
        <v>84</v>
      </c>
      <c r="BS4638" s="3">
        <v>42954</v>
      </c>
      <c r="BT4638" s="4">
        <v>0.41666666666666669</v>
      </c>
      <c r="BU4638" s="2" t="s">
        <v>4136</v>
      </c>
      <c r="BV4638" s="2" t="s">
        <v>95</v>
      </c>
      <c r="BW4638" s="2"/>
      <c r="BX4638" s="2"/>
      <c r="BY4638" s="2">
        <v>1200</v>
      </c>
      <c r="BZ4638" s="2"/>
      <c r="CA4638" s="2" t="s">
        <v>148</v>
      </c>
      <c r="CB4638" s="2"/>
      <c r="CC4638" s="2" t="s">
        <v>724</v>
      </c>
      <c r="CD4638" s="2">
        <v>1739</v>
      </c>
      <c r="CE4638" s="2" t="s">
        <v>104</v>
      </c>
      <c r="CF4638" s="5">
        <v>42955</v>
      </c>
      <c r="CG4638" s="2"/>
      <c r="CH4638" s="2"/>
      <c r="CI4638" s="2">
        <v>1</v>
      </c>
      <c r="CJ4638" s="2">
        <v>1</v>
      </c>
      <c r="CK4638" s="2">
        <v>24</v>
      </c>
      <c r="CL4638" s="2" t="s">
        <v>86</v>
      </c>
      <c r="CM4638" s="2"/>
    </row>
    <row r="4639" spans="1:91">
      <c r="A4639" s="2" t="s">
        <v>71</v>
      </c>
      <c r="B4639" s="2" t="s">
        <v>72</v>
      </c>
      <c r="C4639" s="2" t="s">
        <v>73</v>
      </c>
      <c r="D4639" s="2"/>
      <c r="E4639" s="2" t="str">
        <f>"FES1162567220"</f>
        <v>FES1162567220</v>
      </c>
      <c r="F4639" s="3">
        <v>42951</v>
      </c>
      <c r="G4639" s="2">
        <v>201802</v>
      </c>
      <c r="H4639" s="2" t="s">
        <v>74</v>
      </c>
      <c r="I4639" s="2" t="s">
        <v>75</v>
      </c>
      <c r="J4639" s="2" t="s">
        <v>76</v>
      </c>
      <c r="K4639" s="2" t="s">
        <v>77</v>
      </c>
      <c r="L4639" s="2" t="s">
        <v>97</v>
      </c>
      <c r="M4639" s="2" t="s">
        <v>98</v>
      </c>
      <c r="N4639" s="2" t="s">
        <v>1041</v>
      </c>
      <c r="O4639" s="2" t="s">
        <v>100</v>
      </c>
      <c r="P4639" s="2" t="str">
        <f>"2170583367                    "</f>
        <v xml:space="preserve">2170583367                    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4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0</v>
      </c>
      <c r="AU4639" s="2">
        <v>0</v>
      </c>
      <c r="AV4639" s="2">
        <v>0</v>
      </c>
      <c r="AW4639" s="2">
        <v>0</v>
      </c>
      <c r="AX4639" s="2">
        <v>0</v>
      </c>
      <c r="AY4639" s="2">
        <v>0</v>
      </c>
      <c r="AZ4639" s="2">
        <v>0</v>
      </c>
      <c r="BA4639" s="2">
        <v>0</v>
      </c>
      <c r="BB4639" s="2">
        <v>0</v>
      </c>
      <c r="BC4639" s="2">
        <v>0</v>
      </c>
      <c r="BD4639" s="2">
        <v>0</v>
      </c>
      <c r="BE4639" s="2">
        <v>0</v>
      </c>
      <c r="BF4639" s="2">
        <v>0</v>
      </c>
      <c r="BG4639" s="2">
        <v>0</v>
      </c>
      <c r="BH4639" s="2">
        <v>1</v>
      </c>
      <c r="BI4639" s="2">
        <v>1</v>
      </c>
      <c r="BJ4639" s="2">
        <v>0.2</v>
      </c>
      <c r="BK4639" s="2">
        <v>1</v>
      </c>
      <c r="BL4639" s="2">
        <v>41.44</v>
      </c>
      <c r="BM4639" s="2">
        <v>5.8</v>
      </c>
      <c r="BN4639" s="2">
        <v>47.24</v>
      </c>
      <c r="BO4639" s="2">
        <v>47.24</v>
      </c>
      <c r="BP4639" s="2"/>
      <c r="BQ4639" s="2" t="s">
        <v>108</v>
      </c>
      <c r="BR4639" s="2" t="s">
        <v>84</v>
      </c>
      <c r="BS4639" s="3">
        <v>42954</v>
      </c>
      <c r="BT4639" s="4">
        <v>0.2986111111111111</v>
      </c>
      <c r="BU4639" s="2" t="s">
        <v>1710</v>
      </c>
      <c r="BV4639" s="2" t="s">
        <v>95</v>
      </c>
      <c r="BW4639" s="2"/>
      <c r="BX4639" s="2"/>
      <c r="BY4639" s="2">
        <v>1200</v>
      </c>
      <c r="BZ4639" s="2"/>
      <c r="CA4639" s="2" t="s">
        <v>294</v>
      </c>
      <c r="CB4639" s="2"/>
      <c r="CC4639" s="2" t="s">
        <v>98</v>
      </c>
      <c r="CD4639" s="2">
        <v>6012</v>
      </c>
      <c r="CE4639" s="2" t="s">
        <v>104</v>
      </c>
      <c r="CF4639" s="5">
        <v>42955</v>
      </c>
      <c r="CG4639" s="2"/>
      <c r="CH4639" s="2"/>
      <c r="CI4639" s="2">
        <v>1</v>
      </c>
      <c r="CJ4639" s="2">
        <v>1</v>
      </c>
      <c r="CK4639" s="2">
        <v>21</v>
      </c>
      <c r="CL4639" s="2" t="s">
        <v>86</v>
      </c>
      <c r="CM4639" s="2"/>
    </row>
    <row r="4640" spans="1:91">
      <c r="A4640" s="2" t="s">
        <v>71</v>
      </c>
      <c r="B4640" s="2" t="s">
        <v>72</v>
      </c>
      <c r="C4640" s="2" t="s">
        <v>73</v>
      </c>
      <c r="D4640" s="2"/>
      <c r="E4640" s="2" t="str">
        <f>"FES1162567225"</f>
        <v>FES1162567225</v>
      </c>
      <c r="F4640" s="3">
        <v>42951</v>
      </c>
      <c r="G4640" s="2">
        <v>201802</v>
      </c>
      <c r="H4640" s="2" t="s">
        <v>74</v>
      </c>
      <c r="I4640" s="2" t="s">
        <v>75</v>
      </c>
      <c r="J4640" s="2" t="s">
        <v>76</v>
      </c>
      <c r="K4640" s="2" t="s">
        <v>77</v>
      </c>
      <c r="L4640" s="2" t="s">
        <v>174</v>
      </c>
      <c r="M4640" s="2" t="s">
        <v>175</v>
      </c>
      <c r="N4640" s="2" t="s">
        <v>930</v>
      </c>
      <c r="O4640" s="2" t="s">
        <v>100</v>
      </c>
      <c r="P4640" s="2" t="str">
        <f>"217059173                     "</f>
        <v xml:space="preserve">217059173                     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11.01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0</v>
      </c>
      <c r="AU4640" s="2">
        <v>0</v>
      </c>
      <c r="AV4640" s="2">
        <v>0</v>
      </c>
      <c r="AW4640" s="2">
        <v>0</v>
      </c>
      <c r="AX4640" s="2">
        <v>0</v>
      </c>
      <c r="AY4640" s="2">
        <v>0</v>
      </c>
      <c r="AZ4640" s="2">
        <v>0</v>
      </c>
      <c r="BA4640" s="2">
        <v>0</v>
      </c>
      <c r="BB4640" s="2">
        <v>0</v>
      </c>
      <c r="BC4640" s="2">
        <v>0</v>
      </c>
      <c r="BD4640" s="2">
        <v>0</v>
      </c>
      <c r="BE4640" s="2">
        <v>0</v>
      </c>
      <c r="BF4640" s="2">
        <v>0</v>
      </c>
      <c r="BG4640" s="2">
        <v>0</v>
      </c>
      <c r="BH4640" s="2">
        <v>1</v>
      </c>
      <c r="BI4640" s="2">
        <v>5.5</v>
      </c>
      <c r="BJ4640" s="2">
        <v>1.8</v>
      </c>
      <c r="BK4640" s="2">
        <v>5.5</v>
      </c>
      <c r="BL4640" s="2">
        <v>113.97</v>
      </c>
      <c r="BM4640" s="2">
        <v>15.96</v>
      </c>
      <c r="BN4640" s="2">
        <v>129.93</v>
      </c>
      <c r="BO4640" s="2">
        <v>129.93</v>
      </c>
      <c r="BP4640" s="2"/>
      <c r="BQ4640" s="2" t="s">
        <v>83</v>
      </c>
      <c r="BR4640" s="2" t="s">
        <v>84</v>
      </c>
      <c r="BS4640" s="3">
        <v>42954</v>
      </c>
      <c r="BT4640" s="4">
        <v>0.4465277777777778</v>
      </c>
      <c r="BU4640" s="2" t="s">
        <v>1408</v>
      </c>
      <c r="BV4640" s="2" t="s">
        <v>95</v>
      </c>
      <c r="BW4640" s="2"/>
      <c r="BX4640" s="2"/>
      <c r="BY4640" s="2">
        <v>8952.34</v>
      </c>
      <c r="BZ4640" s="2"/>
      <c r="CA4640" s="2" t="s">
        <v>1373</v>
      </c>
      <c r="CB4640" s="2"/>
      <c r="CC4640" s="2" t="s">
        <v>175</v>
      </c>
      <c r="CD4640" s="2">
        <v>5201</v>
      </c>
      <c r="CE4640" s="2" t="s">
        <v>948</v>
      </c>
      <c r="CF4640" s="5">
        <v>42957</v>
      </c>
      <c r="CG4640" s="2"/>
      <c r="CH4640" s="2"/>
      <c r="CI4640" s="2">
        <v>1</v>
      </c>
      <c r="CJ4640" s="2">
        <v>1</v>
      </c>
      <c r="CK4640" s="2">
        <v>21</v>
      </c>
      <c r="CL4640" s="2" t="s">
        <v>86</v>
      </c>
      <c r="CM4640" s="2"/>
    </row>
    <row r="4641" spans="1:91">
      <c r="A4641" s="2" t="s">
        <v>71</v>
      </c>
      <c r="B4641" s="2" t="s">
        <v>72</v>
      </c>
      <c r="C4641" s="2" t="s">
        <v>73</v>
      </c>
      <c r="D4641" s="2"/>
      <c r="E4641" s="2" t="str">
        <f>"FES1162567158"</f>
        <v>FES1162567158</v>
      </c>
      <c r="F4641" s="3">
        <v>42951</v>
      </c>
      <c r="G4641" s="2">
        <v>201802</v>
      </c>
      <c r="H4641" s="2" t="s">
        <v>74</v>
      </c>
      <c r="I4641" s="2" t="s">
        <v>75</v>
      </c>
      <c r="J4641" s="2" t="s">
        <v>76</v>
      </c>
      <c r="K4641" s="2" t="s">
        <v>77</v>
      </c>
      <c r="L4641" s="2" t="s">
        <v>268</v>
      </c>
      <c r="M4641" s="2" t="s">
        <v>269</v>
      </c>
      <c r="N4641" s="2" t="s">
        <v>1003</v>
      </c>
      <c r="O4641" s="2" t="s">
        <v>100</v>
      </c>
      <c r="P4641" s="2" t="str">
        <f>"2170582855                    "</f>
        <v xml:space="preserve">2170582855                    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4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0</v>
      </c>
      <c r="AU4641" s="2">
        <v>0</v>
      </c>
      <c r="AV4641" s="2">
        <v>0</v>
      </c>
      <c r="AW4641" s="2">
        <v>0</v>
      </c>
      <c r="AX4641" s="2">
        <v>0</v>
      </c>
      <c r="AY4641" s="2">
        <v>0</v>
      </c>
      <c r="AZ4641" s="2">
        <v>0</v>
      </c>
      <c r="BA4641" s="2">
        <v>0</v>
      </c>
      <c r="BB4641" s="2">
        <v>0</v>
      </c>
      <c r="BC4641" s="2">
        <v>0</v>
      </c>
      <c r="BD4641" s="2">
        <v>0</v>
      </c>
      <c r="BE4641" s="2">
        <v>0</v>
      </c>
      <c r="BF4641" s="2">
        <v>0</v>
      </c>
      <c r="BG4641" s="2">
        <v>0</v>
      </c>
      <c r="BH4641" s="2">
        <v>1</v>
      </c>
      <c r="BI4641" s="2">
        <v>1</v>
      </c>
      <c r="BJ4641" s="2">
        <v>0.2</v>
      </c>
      <c r="BK4641" s="2">
        <v>1</v>
      </c>
      <c r="BL4641" s="2">
        <v>41.44</v>
      </c>
      <c r="BM4641" s="2">
        <v>5.8</v>
      </c>
      <c r="BN4641" s="2">
        <v>47.24</v>
      </c>
      <c r="BO4641" s="2">
        <v>47.24</v>
      </c>
      <c r="BP4641" s="2"/>
      <c r="BQ4641" s="2" t="s">
        <v>209</v>
      </c>
      <c r="BR4641" s="2" t="s">
        <v>84</v>
      </c>
      <c r="BS4641" s="3">
        <v>42954</v>
      </c>
      <c r="BT4641" s="4">
        <v>0.40069444444444446</v>
      </c>
      <c r="BU4641" s="2" t="s">
        <v>4137</v>
      </c>
      <c r="BV4641" s="2" t="s">
        <v>95</v>
      </c>
      <c r="BW4641" s="2"/>
      <c r="BX4641" s="2"/>
      <c r="BY4641" s="2">
        <v>1200</v>
      </c>
      <c r="BZ4641" s="2"/>
      <c r="CA4641" s="2"/>
      <c r="CB4641" s="2"/>
      <c r="CC4641" s="2" t="s">
        <v>269</v>
      </c>
      <c r="CD4641" s="2">
        <v>183</v>
      </c>
      <c r="CE4641" s="2" t="s">
        <v>104</v>
      </c>
      <c r="CF4641" s="5">
        <v>42957</v>
      </c>
      <c r="CG4641" s="2"/>
      <c r="CH4641" s="2"/>
      <c r="CI4641" s="2">
        <v>1</v>
      </c>
      <c r="CJ4641" s="2">
        <v>1</v>
      </c>
      <c r="CK4641" s="2">
        <v>21</v>
      </c>
      <c r="CL4641" s="2" t="s">
        <v>86</v>
      </c>
      <c r="CM4641" s="2"/>
    </row>
    <row r="4642" spans="1:91">
      <c r="A4642" s="2" t="s">
        <v>71</v>
      </c>
      <c r="B4642" s="2" t="s">
        <v>72</v>
      </c>
      <c r="C4642" s="2" t="s">
        <v>73</v>
      </c>
      <c r="D4642" s="2"/>
      <c r="E4642" s="2" t="str">
        <f>"FES1162567117"</f>
        <v>FES1162567117</v>
      </c>
      <c r="F4642" s="3">
        <v>42951</v>
      </c>
      <c r="G4642" s="2">
        <v>201802</v>
      </c>
      <c r="H4642" s="2" t="s">
        <v>74</v>
      </c>
      <c r="I4642" s="2" t="s">
        <v>75</v>
      </c>
      <c r="J4642" s="2" t="s">
        <v>76</v>
      </c>
      <c r="K4642" s="2" t="s">
        <v>77</v>
      </c>
      <c r="L4642" s="2" t="s">
        <v>268</v>
      </c>
      <c r="M4642" s="2" t="s">
        <v>269</v>
      </c>
      <c r="N4642" s="2" t="s">
        <v>3040</v>
      </c>
      <c r="O4642" s="2" t="s">
        <v>100</v>
      </c>
      <c r="P4642" s="2" t="str">
        <f>"2170580800                    "</f>
        <v xml:space="preserve">2170580800                    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0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4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0</v>
      </c>
      <c r="AU4642" s="2">
        <v>0</v>
      </c>
      <c r="AV4642" s="2">
        <v>0</v>
      </c>
      <c r="AW4642" s="2">
        <v>0</v>
      </c>
      <c r="AX4642" s="2">
        <v>0</v>
      </c>
      <c r="AY4642" s="2">
        <v>0</v>
      </c>
      <c r="AZ4642" s="2">
        <v>0</v>
      </c>
      <c r="BA4642" s="2">
        <v>0</v>
      </c>
      <c r="BB4642" s="2">
        <v>0</v>
      </c>
      <c r="BC4642" s="2">
        <v>0</v>
      </c>
      <c r="BD4642" s="2">
        <v>0</v>
      </c>
      <c r="BE4642" s="2">
        <v>0</v>
      </c>
      <c r="BF4642" s="2">
        <v>0</v>
      </c>
      <c r="BG4642" s="2">
        <v>0</v>
      </c>
      <c r="BH4642" s="2">
        <v>1</v>
      </c>
      <c r="BI4642" s="2">
        <v>1</v>
      </c>
      <c r="BJ4642" s="2">
        <v>0.2</v>
      </c>
      <c r="BK4642" s="2">
        <v>1</v>
      </c>
      <c r="BL4642" s="2">
        <v>41.44</v>
      </c>
      <c r="BM4642" s="2">
        <v>5.8</v>
      </c>
      <c r="BN4642" s="2">
        <v>47.24</v>
      </c>
      <c r="BO4642" s="2">
        <v>47.24</v>
      </c>
      <c r="BP4642" s="2"/>
      <c r="BQ4642" s="2" t="s">
        <v>3962</v>
      </c>
      <c r="BR4642" s="2" t="s">
        <v>84</v>
      </c>
      <c r="BS4642" s="3">
        <v>42954</v>
      </c>
      <c r="BT4642" s="4">
        <v>0.46527777777777773</v>
      </c>
      <c r="BU4642" s="2" t="s">
        <v>1112</v>
      </c>
      <c r="BV4642" s="2" t="s">
        <v>86</v>
      </c>
      <c r="BW4642" s="2" t="s">
        <v>110</v>
      </c>
      <c r="BX4642" s="2" t="s">
        <v>444</v>
      </c>
      <c r="BY4642" s="2">
        <v>1200</v>
      </c>
      <c r="BZ4642" s="2"/>
      <c r="CA4642" s="2"/>
      <c r="CB4642" s="2"/>
      <c r="CC4642" s="2" t="s">
        <v>269</v>
      </c>
      <c r="CD4642" s="2">
        <v>200</v>
      </c>
      <c r="CE4642" s="2" t="s">
        <v>104</v>
      </c>
      <c r="CF4642" s="5">
        <v>42957</v>
      </c>
      <c r="CG4642" s="2"/>
      <c r="CH4642" s="2"/>
      <c r="CI4642" s="2">
        <v>1</v>
      </c>
      <c r="CJ4642" s="2">
        <v>1</v>
      </c>
      <c r="CK4642" s="2">
        <v>21</v>
      </c>
      <c r="CL4642" s="2" t="s">
        <v>86</v>
      </c>
      <c r="CM4642" s="2"/>
    </row>
    <row r="4643" spans="1:91">
      <c r="A4643" s="2" t="s">
        <v>71</v>
      </c>
      <c r="B4643" s="2" t="s">
        <v>72</v>
      </c>
      <c r="C4643" s="2" t="s">
        <v>73</v>
      </c>
      <c r="D4643" s="2"/>
      <c r="E4643" s="2" t="str">
        <f>"FES1162566891"</f>
        <v>FES1162566891</v>
      </c>
      <c r="F4643" s="3">
        <v>42951</v>
      </c>
      <c r="G4643" s="2">
        <v>201802</v>
      </c>
      <c r="H4643" s="2" t="s">
        <v>74</v>
      </c>
      <c r="I4643" s="2" t="s">
        <v>75</v>
      </c>
      <c r="J4643" s="2" t="s">
        <v>76</v>
      </c>
      <c r="K4643" s="2" t="s">
        <v>77</v>
      </c>
      <c r="L4643" s="2" t="s">
        <v>74</v>
      </c>
      <c r="M4643" s="2" t="s">
        <v>75</v>
      </c>
      <c r="N4643" s="2" t="s">
        <v>821</v>
      </c>
      <c r="O4643" s="2" t="s">
        <v>100</v>
      </c>
      <c r="P4643" s="2" t="str">
        <f>"2170580868                    "</f>
        <v xml:space="preserve">2170580868                    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3.13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0</v>
      </c>
      <c r="AU4643" s="2">
        <v>0</v>
      </c>
      <c r="AV4643" s="2">
        <v>0</v>
      </c>
      <c r="AW4643" s="2">
        <v>0</v>
      </c>
      <c r="AX4643" s="2">
        <v>0</v>
      </c>
      <c r="AY4643" s="2">
        <v>0</v>
      </c>
      <c r="AZ4643" s="2">
        <v>0</v>
      </c>
      <c r="BA4643" s="2">
        <v>0</v>
      </c>
      <c r="BB4643" s="2">
        <v>0</v>
      </c>
      <c r="BC4643" s="2">
        <v>0</v>
      </c>
      <c r="BD4643" s="2">
        <v>0</v>
      </c>
      <c r="BE4643" s="2">
        <v>0</v>
      </c>
      <c r="BF4643" s="2">
        <v>0</v>
      </c>
      <c r="BG4643" s="2">
        <v>0</v>
      </c>
      <c r="BH4643" s="2">
        <v>1</v>
      </c>
      <c r="BI4643" s="2">
        <v>1</v>
      </c>
      <c r="BJ4643" s="2">
        <v>0.2</v>
      </c>
      <c r="BK4643" s="2">
        <v>1</v>
      </c>
      <c r="BL4643" s="2">
        <v>32.380000000000003</v>
      </c>
      <c r="BM4643" s="2">
        <v>4.53</v>
      </c>
      <c r="BN4643" s="2">
        <v>36.909999999999997</v>
      </c>
      <c r="BO4643" s="2">
        <v>36.909999999999997</v>
      </c>
      <c r="BP4643" s="2"/>
      <c r="BQ4643" s="2" t="s">
        <v>83</v>
      </c>
      <c r="BR4643" s="2" t="s">
        <v>84</v>
      </c>
      <c r="BS4643" s="3">
        <v>42954</v>
      </c>
      <c r="BT4643" s="4">
        <v>0.34097222222222223</v>
      </c>
      <c r="BU4643" s="2" t="s">
        <v>1435</v>
      </c>
      <c r="BV4643" s="2" t="s">
        <v>95</v>
      </c>
      <c r="BW4643" s="2"/>
      <c r="BX4643" s="2"/>
      <c r="BY4643" s="2">
        <v>1200</v>
      </c>
      <c r="BZ4643" s="2"/>
      <c r="CA4643" s="2"/>
      <c r="CB4643" s="2"/>
      <c r="CC4643" s="2" t="s">
        <v>75</v>
      </c>
      <c r="CD4643" s="2">
        <v>1665</v>
      </c>
      <c r="CE4643" s="2" t="s">
        <v>104</v>
      </c>
      <c r="CF4643" s="5">
        <v>42955</v>
      </c>
      <c r="CG4643" s="2"/>
      <c r="CH4643" s="2"/>
      <c r="CI4643" s="2">
        <v>1</v>
      </c>
      <c r="CJ4643" s="2">
        <v>1</v>
      </c>
      <c r="CK4643" s="2">
        <v>22</v>
      </c>
      <c r="CL4643" s="2" t="s">
        <v>86</v>
      </c>
      <c r="CM4643" s="2"/>
    </row>
    <row r="4644" spans="1:91">
      <c r="A4644" s="2" t="s">
        <v>71</v>
      </c>
      <c r="B4644" s="2" t="s">
        <v>72</v>
      </c>
      <c r="C4644" s="2" t="s">
        <v>73</v>
      </c>
      <c r="D4644" s="2"/>
      <c r="E4644" s="2" t="str">
        <f>"FES1162567016"</f>
        <v>FES1162567016</v>
      </c>
      <c r="F4644" s="3">
        <v>42951</v>
      </c>
      <c r="G4644" s="2">
        <v>201802</v>
      </c>
      <c r="H4644" s="2" t="s">
        <v>74</v>
      </c>
      <c r="I4644" s="2" t="s">
        <v>75</v>
      </c>
      <c r="J4644" s="2" t="s">
        <v>76</v>
      </c>
      <c r="K4644" s="2" t="s">
        <v>77</v>
      </c>
      <c r="L4644" s="2" t="s">
        <v>939</v>
      </c>
      <c r="M4644" s="2" t="s">
        <v>940</v>
      </c>
      <c r="N4644" s="2" t="s">
        <v>941</v>
      </c>
      <c r="O4644" s="2" t="s">
        <v>100</v>
      </c>
      <c r="P4644" s="2" t="str">
        <f>"2170582365                    "</f>
        <v xml:space="preserve">2170582365                    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</v>
      </c>
      <c r="Y4644" s="2">
        <v>0</v>
      </c>
      <c r="Z4644" s="2">
        <v>0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5.63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0</v>
      </c>
      <c r="AU4644" s="2">
        <v>0</v>
      </c>
      <c r="AV4644" s="2">
        <v>0</v>
      </c>
      <c r="AW4644" s="2">
        <v>0</v>
      </c>
      <c r="AX4644" s="2">
        <v>0</v>
      </c>
      <c r="AY4644" s="2">
        <v>0</v>
      </c>
      <c r="AZ4644" s="2">
        <v>0</v>
      </c>
      <c r="BA4644" s="2">
        <v>0</v>
      </c>
      <c r="BB4644" s="2">
        <v>0</v>
      </c>
      <c r="BC4644" s="2">
        <v>0</v>
      </c>
      <c r="BD4644" s="2">
        <v>0</v>
      </c>
      <c r="BE4644" s="2">
        <v>0</v>
      </c>
      <c r="BF4644" s="2">
        <v>0</v>
      </c>
      <c r="BG4644" s="2">
        <v>0</v>
      </c>
      <c r="BH4644" s="2">
        <v>1</v>
      </c>
      <c r="BI4644" s="2">
        <v>1</v>
      </c>
      <c r="BJ4644" s="2">
        <v>0.2</v>
      </c>
      <c r="BK4644" s="2">
        <v>1</v>
      </c>
      <c r="BL4644" s="2">
        <v>58.28</v>
      </c>
      <c r="BM4644" s="2">
        <v>8.16</v>
      </c>
      <c r="BN4644" s="2">
        <v>66.44</v>
      </c>
      <c r="BO4644" s="2">
        <v>66.44</v>
      </c>
      <c r="BP4644" s="2"/>
      <c r="BQ4644" s="2" t="s">
        <v>108</v>
      </c>
      <c r="BR4644" s="2" t="s">
        <v>84</v>
      </c>
      <c r="BS4644" s="3">
        <v>42954</v>
      </c>
      <c r="BT4644" s="4">
        <v>0.625</v>
      </c>
      <c r="BU4644" s="2" t="s">
        <v>942</v>
      </c>
      <c r="BV4644" s="2" t="s">
        <v>95</v>
      </c>
      <c r="BW4644" s="2"/>
      <c r="BX4644" s="2"/>
      <c r="BY4644" s="2">
        <v>1200</v>
      </c>
      <c r="BZ4644" s="2"/>
      <c r="CA4644" s="2" t="s">
        <v>943</v>
      </c>
      <c r="CB4644" s="2"/>
      <c r="CC4644" s="2" t="s">
        <v>940</v>
      </c>
      <c r="CD4644" s="2">
        <v>1028</v>
      </c>
      <c r="CE4644" s="2" t="s">
        <v>104</v>
      </c>
      <c r="CF4644" s="5">
        <v>42957</v>
      </c>
      <c r="CG4644" s="2"/>
      <c r="CH4644" s="2"/>
      <c r="CI4644" s="2">
        <v>2</v>
      </c>
      <c r="CJ4644" s="2">
        <v>1</v>
      </c>
      <c r="CK4644" s="2">
        <v>24</v>
      </c>
      <c r="CL4644" s="2" t="s">
        <v>86</v>
      </c>
      <c r="CM4644" s="2"/>
    </row>
    <row r="4645" spans="1:91">
      <c r="A4645" s="2" t="s">
        <v>71</v>
      </c>
      <c r="B4645" s="2" t="s">
        <v>72</v>
      </c>
      <c r="C4645" s="2" t="s">
        <v>73</v>
      </c>
      <c r="D4645" s="2"/>
      <c r="E4645" s="2" t="str">
        <f>"FES1162567091"</f>
        <v>FES1162567091</v>
      </c>
      <c r="F4645" s="3">
        <v>42951</v>
      </c>
      <c r="G4645" s="2">
        <v>201802</v>
      </c>
      <c r="H4645" s="2" t="s">
        <v>74</v>
      </c>
      <c r="I4645" s="2" t="s">
        <v>75</v>
      </c>
      <c r="J4645" s="2" t="s">
        <v>76</v>
      </c>
      <c r="K4645" s="2" t="s">
        <v>77</v>
      </c>
      <c r="L4645" s="2" t="s">
        <v>343</v>
      </c>
      <c r="M4645" s="2" t="s">
        <v>344</v>
      </c>
      <c r="N4645" s="2" t="s">
        <v>1818</v>
      </c>
      <c r="O4645" s="2" t="s">
        <v>100</v>
      </c>
      <c r="P4645" s="2" t="str">
        <f>"2170580262                    "</f>
        <v xml:space="preserve">2170580262                    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0</v>
      </c>
      <c r="Y4645" s="2">
        <v>0</v>
      </c>
      <c r="Z4645" s="2">
        <v>0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4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0</v>
      </c>
      <c r="AU4645" s="2">
        <v>0</v>
      </c>
      <c r="AV4645" s="2">
        <v>0</v>
      </c>
      <c r="AW4645" s="2">
        <v>0</v>
      </c>
      <c r="AX4645" s="2">
        <v>0</v>
      </c>
      <c r="AY4645" s="2">
        <v>0</v>
      </c>
      <c r="AZ4645" s="2">
        <v>0</v>
      </c>
      <c r="BA4645" s="2">
        <v>0</v>
      </c>
      <c r="BB4645" s="2">
        <v>0</v>
      </c>
      <c r="BC4645" s="2">
        <v>0</v>
      </c>
      <c r="BD4645" s="2">
        <v>0</v>
      </c>
      <c r="BE4645" s="2">
        <v>0</v>
      </c>
      <c r="BF4645" s="2">
        <v>0</v>
      </c>
      <c r="BG4645" s="2">
        <v>0</v>
      </c>
      <c r="BH4645" s="2">
        <v>1</v>
      </c>
      <c r="BI4645" s="2">
        <v>1</v>
      </c>
      <c r="BJ4645" s="2">
        <v>0.2</v>
      </c>
      <c r="BK4645" s="2">
        <v>1</v>
      </c>
      <c r="BL4645" s="2">
        <v>41.44</v>
      </c>
      <c r="BM4645" s="2">
        <v>5.8</v>
      </c>
      <c r="BN4645" s="2">
        <v>47.24</v>
      </c>
      <c r="BO4645" s="2">
        <v>47.24</v>
      </c>
      <c r="BP4645" s="2"/>
      <c r="BQ4645" s="2" t="s">
        <v>209</v>
      </c>
      <c r="BR4645" s="2" t="s">
        <v>84</v>
      </c>
      <c r="BS4645" s="3">
        <v>42954</v>
      </c>
      <c r="BT4645" s="4">
        <v>0.4381944444444445</v>
      </c>
      <c r="BU4645" s="2" t="s">
        <v>4138</v>
      </c>
      <c r="BV4645" s="2" t="s">
        <v>95</v>
      </c>
      <c r="BW4645" s="2"/>
      <c r="BX4645" s="2"/>
      <c r="BY4645" s="2">
        <v>1200</v>
      </c>
      <c r="BZ4645" s="2"/>
      <c r="CA4645" s="2" t="s">
        <v>347</v>
      </c>
      <c r="CB4645" s="2"/>
      <c r="CC4645" s="2" t="s">
        <v>344</v>
      </c>
      <c r="CD4645" s="2">
        <v>4113</v>
      </c>
      <c r="CE4645" s="2" t="s">
        <v>104</v>
      </c>
      <c r="CF4645" s="5">
        <v>42955</v>
      </c>
      <c r="CG4645" s="2"/>
      <c r="CH4645" s="2"/>
      <c r="CI4645" s="2">
        <v>1</v>
      </c>
      <c r="CJ4645" s="2">
        <v>1</v>
      </c>
      <c r="CK4645" s="2">
        <v>21</v>
      </c>
      <c r="CL4645" s="2" t="s">
        <v>86</v>
      </c>
      <c r="CM4645" s="2"/>
    </row>
    <row r="4646" spans="1:91">
      <c r="A4646" s="2" t="s">
        <v>71</v>
      </c>
      <c r="B4646" s="2" t="s">
        <v>72</v>
      </c>
      <c r="C4646" s="2" t="s">
        <v>73</v>
      </c>
      <c r="D4646" s="2"/>
      <c r="E4646" s="2" t="str">
        <f>"FES1162567039"</f>
        <v>FES1162567039</v>
      </c>
      <c r="F4646" s="3">
        <v>42951</v>
      </c>
      <c r="G4646" s="2">
        <v>201802</v>
      </c>
      <c r="H4646" s="2" t="s">
        <v>74</v>
      </c>
      <c r="I4646" s="2" t="s">
        <v>75</v>
      </c>
      <c r="J4646" s="2" t="s">
        <v>76</v>
      </c>
      <c r="K4646" s="2" t="s">
        <v>77</v>
      </c>
      <c r="L4646" s="2" t="s">
        <v>237</v>
      </c>
      <c r="M4646" s="2" t="s">
        <v>238</v>
      </c>
      <c r="N4646" s="2" t="s">
        <v>388</v>
      </c>
      <c r="O4646" s="2" t="s">
        <v>100</v>
      </c>
      <c r="P4646" s="2" t="str">
        <f>"2170583296                    "</f>
        <v xml:space="preserve">2170583296                    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2">
        <v>0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4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0</v>
      </c>
      <c r="AU4646" s="2">
        <v>0</v>
      </c>
      <c r="AV4646" s="2">
        <v>0</v>
      </c>
      <c r="AW4646" s="2">
        <v>0</v>
      </c>
      <c r="AX4646" s="2">
        <v>0</v>
      </c>
      <c r="AY4646" s="2">
        <v>0</v>
      </c>
      <c r="AZ4646" s="2">
        <v>0</v>
      </c>
      <c r="BA4646" s="2">
        <v>0</v>
      </c>
      <c r="BB4646" s="2">
        <v>0</v>
      </c>
      <c r="BC4646" s="2">
        <v>0</v>
      </c>
      <c r="BD4646" s="2">
        <v>0</v>
      </c>
      <c r="BE4646" s="2">
        <v>0</v>
      </c>
      <c r="BF4646" s="2">
        <v>0</v>
      </c>
      <c r="BG4646" s="2">
        <v>0</v>
      </c>
      <c r="BH4646" s="2">
        <v>1</v>
      </c>
      <c r="BI4646" s="2">
        <v>1</v>
      </c>
      <c r="BJ4646" s="2">
        <v>0.2</v>
      </c>
      <c r="BK4646" s="2">
        <v>1</v>
      </c>
      <c r="BL4646" s="2">
        <v>41.44</v>
      </c>
      <c r="BM4646" s="2">
        <v>5.8</v>
      </c>
      <c r="BN4646" s="2">
        <v>47.24</v>
      </c>
      <c r="BO4646" s="2">
        <v>47.24</v>
      </c>
      <c r="BP4646" s="2"/>
      <c r="BQ4646" s="2"/>
      <c r="BR4646" s="2" t="s">
        <v>84</v>
      </c>
      <c r="BS4646" s="3">
        <v>42954</v>
      </c>
      <c r="BT4646" s="4">
        <v>0.4375</v>
      </c>
      <c r="BU4646" s="2" t="s">
        <v>1112</v>
      </c>
      <c r="BV4646" s="2" t="s">
        <v>95</v>
      </c>
      <c r="BW4646" s="2"/>
      <c r="BX4646" s="2"/>
      <c r="BY4646" s="2">
        <v>1200</v>
      </c>
      <c r="BZ4646" s="2"/>
      <c r="CA4646" s="2"/>
      <c r="CB4646" s="2"/>
      <c r="CC4646" s="2" t="s">
        <v>238</v>
      </c>
      <c r="CD4646" s="2">
        <v>3610</v>
      </c>
      <c r="CE4646" s="2" t="s">
        <v>104</v>
      </c>
      <c r="CF4646" s="5">
        <v>42955</v>
      </c>
      <c r="CG4646" s="2"/>
      <c r="CH4646" s="2"/>
      <c r="CI4646" s="2">
        <v>1</v>
      </c>
      <c r="CJ4646" s="2">
        <v>1</v>
      </c>
      <c r="CK4646" s="2">
        <v>21</v>
      </c>
      <c r="CL4646" s="2" t="s">
        <v>86</v>
      </c>
      <c r="CM4646" s="2"/>
    </row>
    <row r="4647" spans="1:91">
      <c r="A4647" s="2" t="s">
        <v>71</v>
      </c>
      <c r="B4647" s="2" t="s">
        <v>72</v>
      </c>
      <c r="C4647" s="2" t="s">
        <v>73</v>
      </c>
      <c r="D4647" s="2"/>
      <c r="E4647" s="2" t="str">
        <f>"FES1162567132"</f>
        <v>FES1162567132</v>
      </c>
      <c r="F4647" s="3">
        <v>42951</v>
      </c>
      <c r="G4647" s="2">
        <v>201802</v>
      </c>
      <c r="H4647" s="2" t="s">
        <v>74</v>
      </c>
      <c r="I4647" s="2" t="s">
        <v>75</v>
      </c>
      <c r="J4647" s="2" t="s">
        <v>76</v>
      </c>
      <c r="K4647" s="2" t="s">
        <v>77</v>
      </c>
      <c r="L4647" s="2" t="s">
        <v>362</v>
      </c>
      <c r="M4647" s="2" t="s">
        <v>363</v>
      </c>
      <c r="N4647" s="2" t="s">
        <v>1020</v>
      </c>
      <c r="O4647" s="2" t="s">
        <v>100</v>
      </c>
      <c r="P4647" s="2" t="str">
        <f>"2170581078                    "</f>
        <v xml:space="preserve">2170581078                    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0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4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0</v>
      </c>
      <c r="AU4647" s="2">
        <v>0</v>
      </c>
      <c r="AV4647" s="2">
        <v>0</v>
      </c>
      <c r="AW4647" s="2">
        <v>0</v>
      </c>
      <c r="AX4647" s="2">
        <v>0</v>
      </c>
      <c r="AY4647" s="2">
        <v>0</v>
      </c>
      <c r="AZ4647" s="2">
        <v>0</v>
      </c>
      <c r="BA4647" s="2">
        <v>0</v>
      </c>
      <c r="BB4647" s="2">
        <v>0</v>
      </c>
      <c r="BC4647" s="2">
        <v>0</v>
      </c>
      <c r="BD4647" s="2">
        <v>0</v>
      </c>
      <c r="BE4647" s="2">
        <v>0</v>
      </c>
      <c r="BF4647" s="2">
        <v>0</v>
      </c>
      <c r="BG4647" s="2">
        <v>0</v>
      </c>
      <c r="BH4647" s="2">
        <v>1</v>
      </c>
      <c r="BI4647" s="2">
        <v>1</v>
      </c>
      <c r="BJ4647" s="2">
        <v>0.2</v>
      </c>
      <c r="BK4647" s="2">
        <v>1</v>
      </c>
      <c r="BL4647" s="2">
        <v>41.44</v>
      </c>
      <c r="BM4647" s="2">
        <v>5.8</v>
      </c>
      <c r="BN4647" s="2">
        <v>47.24</v>
      </c>
      <c r="BO4647" s="2">
        <v>47.24</v>
      </c>
      <c r="BP4647" s="2"/>
      <c r="BQ4647" s="2" t="s">
        <v>209</v>
      </c>
      <c r="BR4647" s="2" t="s">
        <v>84</v>
      </c>
      <c r="BS4647" s="3">
        <v>42954</v>
      </c>
      <c r="BT4647" s="4">
        <v>0.41666666666666669</v>
      </c>
      <c r="BU4647" s="2" t="s">
        <v>1040</v>
      </c>
      <c r="BV4647" s="2" t="s">
        <v>95</v>
      </c>
      <c r="BW4647" s="2"/>
      <c r="BX4647" s="2"/>
      <c r="BY4647" s="2">
        <v>1200</v>
      </c>
      <c r="BZ4647" s="2"/>
      <c r="CA4647" s="2" t="s">
        <v>367</v>
      </c>
      <c r="CB4647" s="2"/>
      <c r="CC4647" s="2" t="s">
        <v>363</v>
      </c>
      <c r="CD4647" s="2">
        <v>3200</v>
      </c>
      <c r="CE4647" s="2" t="s">
        <v>104</v>
      </c>
      <c r="CF4647" s="5">
        <v>42955</v>
      </c>
      <c r="CG4647" s="2"/>
      <c r="CH4647" s="2"/>
      <c r="CI4647" s="2">
        <v>1</v>
      </c>
      <c r="CJ4647" s="2">
        <v>1</v>
      </c>
      <c r="CK4647" s="2">
        <v>21</v>
      </c>
      <c r="CL4647" s="2" t="s">
        <v>86</v>
      </c>
      <c r="CM4647" s="2"/>
    </row>
    <row r="4648" spans="1:91">
      <c r="A4648" s="2" t="s">
        <v>71</v>
      </c>
      <c r="B4648" s="2" t="s">
        <v>72</v>
      </c>
      <c r="C4648" s="2" t="s">
        <v>73</v>
      </c>
      <c r="D4648" s="2"/>
      <c r="E4648" s="2" t="str">
        <f>"FES1162567119"</f>
        <v>FES1162567119</v>
      </c>
      <c r="F4648" s="3">
        <v>42951</v>
      </c>
      <c r="G4648" s="2">
        <v>201802</v>
      </c>
      <c r="H4648" s="2" t="s">
        <v>74</v>
      </c>
      <c r="I4648" s="2" t="s">
        <v>75</v>
      </c>
      <c r="J4648" s="2" t="s">
        <v>76</v>
      </c>
      <c r="K4648" s="2" t="s">
        <v>77</v>
      </c>
      <c r="L4648" s="2" t="s">
        <v>268</v>
      </c>
      <c r="M4648" s="2" t="s">
        <v>269</v>
      </c>
      <c r="N4648" s="2" t="s">
        <v>4139</v>
      </c>
      <c r="O4648" s="2" t="s">
        <v>100</v>
      </c>
      <c r="P4648" s="2" t="str">
        <f>"2170580828                    "</f>
        <v xml:space="preserve">2170580828                    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0</v>
      </c>
      <c r="Y4648" s="2">
        <v>0</v>
      </c>
      <c r="Z4648" s="2">
        <v>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4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0</v>
      </c>
      <c r="AU4648" s="2">
        <v>0</v>
      </c>
      <c r="AV4648" s="2">
        <v>0</v>
      </c>
      <c r="AW4648" s="2">
        <v>0</v>
      </c>
      <c r="AX4648" s="2">
        <v>0</v>
      </c>
      <c r="AY4648" s="2">
        <v>0</v>
      </c>
      <c r="AZ4648" s="2">
        <v>0</v>
      </c>
      <c r="BA4648" s="2">
        <v>0</v>
      </c>
      <c r="BB4648" s="2">
        <v>0</v>
      </c>
      <c r="BC4648" s="2">
        <v>0</v>
      </c>
      <c r="BD4648" s="2">
        <v>0</v>
      </c>
      <c r="BE4648" s="2">
        <v>0</v>
      </c>
      <c r="BF4648" s="2">
        <v>0</v>
      </c>
      <c r="BG4648" s="2">
        <v>0</v>
      </c>
      <c r="BH4648" s="2">
        <v>1</v>
      </c>
      <c r="BI4648" s="2">
        <v>1</v>
      </c>
      <c r="BJ4648" s="2">
        <v>0.2</v>
      </c>
      <c r="BK4648" s="2">
        <v>1</v>
      </c>
      <c r="BL4648" s="2">
        <v>41.44</v>
      </c>
      <c r="BM4648" s="2">
        <v>5.8</v>
      </c>
      <c r="BN4648" s="2">
        <v>47.24</v>
      </c>
      <c r="BO4648" s="2">
        <v>47.24</v>
      </c>
      <c r="BP4648" s="2"/>
      <c r="BQ4648" s="2"/>
      <c r="BR4648" s="2" t="s">
        <v>84</v>
      </c>
      <c r="BS4648" s="3">
        <v>42954</v>
      </c>
      <c r="BT4648" s="4">
        <v>0.3888888888888889</v>
      </c>
      <c r="BU4648" s="2" t="s">
        <v>4140</v>
      </c>
      <c r="BV4648" s="2" t="s">
        <v>95</v>
      </c>
      <c r="BW4648" s="2"/>
      <c r="BX4648" s="2"/>
      <c r="BY4648" s="2">
        <v>1200</v>
      </c>
      <c r="BZ4648" s="2"/>
      <c r="CA4648" s="2"/>
      <c r="CB4648" s="2"/>
      <c r="CC4648" s="2" t="s">
        <v>269</v>
      </c>
      <c r="CD4648" s="2">
        <v>183</v>
      </c>
      <c r="CE4648" s="2" t="s">
        <v>104</v>
      </c>
      <c r="CF4648" s="5">
        <v>42957</v>
      </c>
      <c r="CG4648" s="2"/>
      <c r="CH4648" s="2"/>
      <c r="CI4648" s="2">
        <v>1</v>
      </c>
      <c r="CJ4648" s="2">
        <v>1</v>
      </c>
      <c r="CK4648" s="2">
        <v>21</v>
      </c>
      <c r="CL4648" s="2" t="s">
        <v>86</v>
      </c>
      <c r="CM4648" s="2"/>
    </row>
    <row r="4649" spans="1:91">
      <c r="A4649" s="2" t="s">
        <v>71</v>
      </c>
      <c r="B4649" s="2" t="s">
        <v>72</v>
      </c>
      <c r="C4649" s="2" t="s">
        <v>73</v>
      </c>
      <c r="D4649" s="2"/>
      <c r="E4649" s="2" t="str">
        <f>"FES1162566993"</f>
        <v>FES1162566993</v>
      </c>
      <c r="F4649" s="3">
        <v>42951</v>
      </c>
      <c r="G4649" s="2">
        <v>201802</v>
      </c>
      <c r="H4649" s="2" t="s">
        <v>74</v>
      </c>
      <c r="I4649" s="2" t="s">
        <v>75</v>
      </c>
      <c r="J4649" s="2" t="s">
        <v>76</v>
      </c>
      <c r="K4649" s="2" t="s">
        <v>77</v>
      </c>
      <c r="L4649" s="2" t="s">
        <v>105</v>
      </c>
      <c r="M4649" s="2" t="s">
        <v>106</v>
      </c>
      <c r="N4649" s="2" t="s">
        <v>253</v>
      </c>
      <c r="O4649" s="2" t="s">
        <v>100</v>
      </c>
      <c r="P4649" s="2" t="str">
        <f>"2170581254                    "</f>
        <v xml:space="preserve">2170581254                    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0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4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0</v>
      </c>
      <c r="AU4649" s="2">
        <v>0</v>
      </c>
      <c r="AV4649" s="2">
        <v>0</v>
      </c>
      <c r="AW4649" s="2">
        <v>0</v>
      </c>
      <c r="AX4649" s="2">
        <v>0</v>
      </c>
      <c r="AY4649" s="2">
        <v>0</v>
      </c>
      <c r="AZ4649" s="2">
        <v>0</v>
      </c>
      <c r="BA4649" s="2">
        <v>0</v>
      </c>
      <c r="BB4649" s="2">
        <v>0</v>
      </c>
      <c r="BC4649" s="2">
        <v>0</v>
      </c>
      <c r="BD4649" s="2">
        <v>0</v>
      </c>
      <c r="BE4649" s="2">
        <v>0</v>
      </c>
      <c r="BF4649" s="2">
        <v>0</v>
      </c>
      <c r="BG4649" s="2">
        <v>0</v>
      </c>
      <c r="BH4649" s="2">
        <v>1</v>
      </c>
      <c r="BI4649" s="2">
        <v>1</v>
      </c>
      <c r="BJ4649" s="2">
        <v>0.2</v>
      </c>
      <c r="BK4649" s="2">
        <v>1</v>
      </c>
      <c r="BL4649" s="2">
        <v>41.44</v>
      </c>
      <c r="BM4649" s="2">
        <v>5.8</v>
      </c>
      <c r="BN4649" s="2">
        <v>47.24</v>
      </c>
      <c r="BO4649" s="2">
        <v>47.24</v>
      </c>
      <c r="BP4649" s="2"/>
      <c r="BQ4649" s="2" t="s">
        <v>108</v>
      </c>
      <c r="BR4649" s="2" t="s">
        <v>84</v>
      </c>
      <c r="BS4649" s="3">
        <v>42954</v>
      </c>
      <c r="BT4649" s="4">
        <v>0.4375</v>
      </c>
      <c r="BU4649" s="2" t="s">
        <v>4106</v>
      </c>
      <c r="BV4649" s="2" t="s">
        <v>95</v>
      </c>
      <c r="BW4649" s="2"/>
      <c r="BX4649" s="2"/>
      <c r="BY4649" s="2">
        <v>1200</v>
      </c>
      <c r="BZ4649" s="2"/>
      <c r="CA4649" s="2" t="s">
        <v>654</v>
      </c>
      <c r="CB4649" s="2"/>
      <c r="CC4649" s="2" t="s">
        <v>106</v>
      </c>
      <c r="CD4649" s="2">
        <v>7490</v>
      </c>
      <c r="CE4649" s="2" t="s">
        <v>104</v>
      </c>
      <c r="CF4649" s="5">
        <v>42955</v>
      </c>
      <c r="CG4649" s="2"/>
      <c r="CH4649" s="2"/>
      <c r="CI4649" s="2">
        <v>1</v>
      </c>
      <c r="CJ4649" s="2">
        <v>1</v>
      </c>
      <c r="CK4649" s="2">
        <v>21</v>
      </c>
      <c r="CL4649" s="2" t="s">
        <v>86</v>
      </c>
      <c r="CM4649" s="2"/>
    </row>
    <row r="4650" spans="1:91">
      <c r="A4650" s="2" t="s">
        <v>71</v>
      </c>
      <c r="B4650" s="2" t="s">
        <v>72</v>
      </c>
      <c r="C4650" s="2" t="s">
        <v>73</v>
      </c>
      <c r="D4650" s="2"/>
      <c r="E4650" s="2" t="str">
        <f>"FES1162567170"</f>
        <v>FES1162567170</v>
      </c>
      <c r="F4650" s="3">
        <v>42951</v>
      </c>
      <c r="G4650" s="2">
        <v>201802</v>
      </c>
      <c r="H4650" s="2" t="s">
        <v>74</v>
      </c>
      <c r="I4650" s="2" t="s">
        <v>75</v>
      </c>
      <c r="J4650" s="2" t="s">
        <v>76</v>
      </c>
      <c r="K4650" s="2" t="s">
        <v>77</v>
      </c>
      <c r="L4650" s="2" t="s">
        <v>105</v>
      </c>
      <c r="M4650" s="2" t="s">
        <v>106</v>
      </c>
      <c r="N4650" s="2" t="s">
        <v>644</v>
      </c>
      <c r="O4650" s="2" t="s">
        <v>100</v>
      </c>
      <c r="P4650" s="2" t="str">
        <f>"21705833337                   "</f>
        <v xml:space="preserve">21705833337                   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0</v>
      </c>
      <c r="Y4650" s="2">
        <v>0</v>
      </c>
      <c r="Z4650" s="2">
        <v>0</v>
      </c>
      <c r="AA4650" s="2">
        <v>0</v>
      </c>
      <c r="AB4650" s="2">
        <v>0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4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0</v>
      </c>
      <c r="AU4650" s="2">
        <v>0</v>
      </c>
      <c r="AV4650" s="2">
        <v>0</v>
      </c>
      <c r="AW4650" s="2">
        <v>0</v>
      </c>
      <c r="AX4650" s="2">
        <v>0</v>
      </c>
      <c r="AY4650" s="2">
        <v>0</v>
      </c>
      <c r="AZ4650" s="2">
        <v>0</v>
      </c>
      <c r="BA4650" s="2">
        <v>0</v>
      </c>
      <c r="BB4650" s="2">
        <v>0</v>
      </c>
      <c r="BC4650" s="2">
        <v>0</v>
      </c>
      <c r="BD4650" s="2">
        <v>0</v>
      </c>
      <c r="BE4650" s="2">
        <v>0</v>
      </c>
      <c r="BF4650" s="2">
        <v>0</v>
      </c>
      <c r="BG4650" s="2">
        <v>0</v>
      </c>
      <c r="BH4650" s="2">
        <v>1</v>
      </c>
      <c r="BI4650" s="2">
        <v>1</v>
      </c>
      <c r="BJ4650" s="2">
        <v>0.2</v>
      </c>
      <c r="BK4650" s="2">
        <v>1</v>
      </c>
      <c r="BL4650" s="2">
        <v>41.44</v>
      </c>
      <c r="BM4650" s="2">
        <v>5.8</v>
      </c>
      <c r="BN4650" s="2">
        <v>47.24</v>
      </c>
      <c r="BO4650" s="2">
        <v>47.24</v>
      </c>
      <c r="BP4650" s="2"/>
      <c r="BQ4650" s="2" t="s">
        <v>108</v>
      </c>
      <c r="BR4650" s="2" t="s">
        <v>84</v>
      </c>
      <c r="BS4650" s="3">
        <v>42954</v>
      </c>
      <c r="BT4650" s="4">
        <v>0.42777777777777781</v>
      </c>
      <c r="BU4650" s="2" t="s">
        <v>1369</v>
      </c>
      <c r="BV4650" s="2" t="s">
        <v>95</v>
      </c>
      <c r="BW4650" s="2"/>
      <c r="BX4650" s="2"/>
      <c r="BY4650" s="2">
        <v>1200</v>
      </c>
      <c r="BZ4650" s="2"/>
      <c r="CA4650" s="2" t="s">
        <v>112</v>
      </c>
      <c r="CB4650" s="2"/>
      <c r="CC4650" s="2" t="s">
        <v>106</v>
      </c>
      <c r="CD4650" s="2">
        <v>7441</v>
      </c>
      <c r="CE4650" s="2" t="s">
        <v>104</v>
      </c>
      <c r="CF4650" s="5">
        <v>42954</v>
      </c>
      <c r="CG4650" s="2"/>
      <c r="CH4650" s="2"/>
      <c r="CI4650" s="2">
        <v>1</v>
      </c>
      <c r="CJ4650" s="2">
        <v>1</v>
      </c>
      <c r="CK4650" s="2">
        <v>21</v>
      </c>
      <c r="CL4650" s="2" t="s">
        <v>86</v>
      </c>
      <c r="CM4650" s="2"/>
    </row>
    <row r="4651" spans="1:91">
      <c r="A4651" s="2" t="s">
        <v>71</v>
      </c>
      <c r="B4651" s="2" t="s">
        <v>72</v>
      </c>
      <c r="C4651" s="2" t="s">
        <v>73</v>
      </c>
      <c r="D4651" s="2"/>
      <c r="E4651" s="2" t="str">
        <f>"FES1162567055"</f>
        <v>FES1162567055</v>
      </c>
      <c r="F4651" s="3">
        <v>42951</v>
      </c>
      <c r="G4651" s="2">
        <v>201802</v>
      </c>
      <c r="H4651" s="2" t="s">
        <v>74</v>
      </c>
      <c r="I4651" s="2" t="s">
        <v>75</v>
      </c>
      <c r="J4651" s="2" t="s">
        <v>76</v>
      </c>
      <c r="K4651" s="2" t="s">
        <v>77</v>
      </c>
      <c r="L4651" s="2" t="s">
        <v>2352</v>
      </c>
      <c r="M4651" s="2" t="s">
        <v>2352</v>
      </c>
      <c r="N4651" s="2" t="s">
        <v>2353</v>
      </c>
      <c r="O4651" s="2" t="s">
        <v>100</v>
      </c>
      <c r="P4651" s="2" t="str">
        <f>"2170583318                    "</f>
        <v xml:space="preserve">2170583318                    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4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0</v>
      </c>
      <c r="AU4651" s="2">
        <v>0</v>
      </c>
      <c r="AV4651" s="2">
        <v>0</v>
      </c>
      <c r="AW4651" s="2">
        <v>0</v>
      </c>
      <c r="AX4651" s="2">
        <v>0</v>
      </c>
      <c r="AY4651" s="2">
        <v>0</v>
      </c>
      <c r="AZ4651" s="2">
        <v>0</v>
      </c>
      <c r="BA4651" s="2">
        <v>0</v>
      </c>
      <c r="BB4651" s="2">
        <v>0</v>
      </c>
      <c r="BC4651" s="2">
        <v>0</v>
      </c>
      <c r="BD4651" s="2">
        <v>0</v>
      </c>
      <c r="BE4651" s="2">
        <v>0</v>
      </c>
      <c r="BF4651" s="2">
        <v>0</v>
      </c>
      <c r="BG4651" s="2">
        <v>0</v>
      </c>
      <c r="BH4651" s="2">
        <v>1</v>
      </c>
      <c r="BI4651" s="2">
        <v>1</v>
      </c>
      <c r="BJ4651" s="2">
        <v>0.2</v>
      </c>
      <c r="BK4651" s="2">
        <v>1</v>
      </c>
      <c r="BL4651" s="2">
        <v>41.44</v>
      </c>
      <c r="BM4651" s="2">
        <v>5.8</v>
      </c>
      <c r="BN4651" s="2">
        <v>47.24</v>
      </c>
      <c r="BO4651" s="2">
        <v>47.24</v>
      </c>
      <c r="BP4651" s="2"/>
      <c r="BQ4651" s="2" t="s">
        <v>2354</v>
      </c>
      <c r="BR4651" s="2" t="s">
        <v>84</v>
      </c>
      <c r="BS4651" s="3">
        <v>42955</v>
      </c>
      <c r="BT4651" s="4">
        <v>0.41666666666666669</v>
      </c>
      <c r="BU4651" s="2" t="s">
        <v>4141</v>
      </c>
      <c r="BV4651" s="2" t="s">
        <v>95</v>
      </c>
      <c r="BW4651" s="2"/>
      <c r="BX4651" s="2"/>
      <c r="BY4651" s="2">
        <v>1200</v>
      </c>
      <c r="BZ4651" s="2"/>
      <c r="CA4651" s="2"/>
      <c r="CB4651" s="2"/>
      <c r="CC4651" s="2" t="s">
        <v>2352</v>
      </c>
      <c r="CD4651" s="2">
        <v>6835</v>
      </c>
      <c r="CE4651" s="2" t="s">
        <v>104</v>
      </c>
      <c r="CF4651" s="5">
        <v>42958</v>
      </c>
      <c r="CG4651" s="2"/>
      <c r="CH4651" s="2"/>
      <c r="CI4651" s="2">
        <v>3</v>
      </c>
      <c r="CJ4651" s="2">
        <v>2</v>
      </c>
      <c r="CK4651" s="2">
        <v>21</v>
      </c>
      <c r="CL4651" s="2" t="s">
        <v>86</v>
      </c>
      <c r="CM4651" s="2"/>
    </row>
    <row r="4652" spans="1:91">
      <c r="A4652" s="2" t="s">
        <v>71</v>
      </c>
      <c r="B4652" s="2" t="s">
        <v>72</v>
      </c>
      <c r="C4652" s="2" t="s">
        <v>73</v>
      </c>
      <c r="D4652" s="2"/>
      <c r="E4652" s="2" t="str">
        <f>"FES1162567190"</f>
        <v>FES1162567190</v>
      </c>
      <c r="F4652" s="3">
        <v>42951</v>
      </c>
      <c r="G4652" s="2">
        <v>201802</v>
      </c>
      <c r="H4652" s="2" t="s">
        <v>74</v>
      </c>
      <c r="I4652" s="2" t="s">
        <v>75</v>
      </c>
      <c r="J4652" s="2" t="s">
        <v>76</v>
      </c>
      <c r="K4652" s="2" t="s">
        <v>77</v>
      </c>
      <c r="L4652" s="2" t="s">
        <v>417</v>
      </c>
      <c r="M4652" s="2" t="s">
        <v>417</v>
      </c>
      <c r="N4652" s="2" t="s">
        <v>458</v>
      </c>
      <c r="O4652" s="2" t="s">
        <v>100</v>
      </c>
      <c r="P4652" s="2" t="str">
        <f>"2170582573                    "</f>
        <v xml:space="preserve">2170582573                    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0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4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0</v>
      </c>
      <c r="AU4652" s="2">
        <v>0</v>
      </c>
      <c r="AV4652" s="2">
        <v>0</v>
      </c>
      <c r="AW4652" s="2">
        <v>0</v>
      </c>
      <c r="AX4652" s="2">
        <v>0</v>
      </c>
      <c r="AY4652" s="2">
        <v>0</v>
      </c>
      <c r="AZ4652" s="2">
        <v>0</v>
      </c>
      <c r="BA4652" s="2">
        <v>0</v>
      </c>
      <c r="BB4652" s="2">
        <v>0</v>
      </c>
      <c r="BC4652" s="2">
        <v>0</v>
      </c>
      <c r="BD4652" s="2">
        <v>0</v>
      </c>
      <c r="BE4652" s="2">
        <v>0</v>
      </c>
      <c r="BF4652" s="2">
        <v>0</v>
      </c>
      <c r="BG4652" s="2">
        <v>0</v>
      </c>
      <c r="BH4652" s="2">
        <v>1</v>
      </c>
      <c r="BI4652" s="2">
        <v>1</v>
      </c>
      <c r="BJ4652" s="2">
        <v>0.2</v>
      </c>
      <c r="BK4652" s="2">
        <v>1</v>
      </c>
      <c r="BL4652" s="2">
        <v>41.44</v>
      </c>
      <c r="BM4652" s="2">
        <v>5.8</v>
      </c>
      <c r="BN4652" s="2">
        <v>47.24</v>
      </c>
      <c r="BO4652" s="2">
        <v>47.24</v>
      </c>
      <c r="BP4652" s="2"/>
      <c r="BQ4652" s="2" t="s">
        <v>83</v>
      </c>
      <c r="BR4652" s="2" t="s">
        <v>84</v>
      </c>
      <c r="BS4652" s="3">
        <v>42954</v>
      </c>
      <c r="BT4652" s="4">
        <v>0.68125000000000002</v>
      </c>
      <c r="BU4652" s="2" t="s">
        <v>4142</v>
      </c>
      <c r="BV4652" s="2" t="s">
        <v>86</v>
      </c>
      <c r="BW4652" s="2" t="s">
        <v>110</v>
      </c>
      <c r="BX4652" s="2" t="s">
        <v>290</v>
      </c>
      <c r="BY4652" s="2">
        <v>1200</v>
      </c>
      <c r="BZ4652" s="2"/>
      <c r="CA4652" s="2" t="s">
        <v>460</v>
      </c>
      <c r="CB4652" s="2"/>
      <c r="CC4652" s="2" t="s">
        <v>417</v>
      </c>
      <c r="CD4652" s="2">
        <v>7646</v>
      </c>
      <c r="CE4652" s="2" t="s">
        <v>104</v>
      </c>
      <c r="CF4652" s="5">
        <v>42954</v>
      </c>
      <c r="CG4652" s="2"/>
      <c r="CH4652" s="2"/>
      <c r="CI4652" s="2">
        <v>1</v>
      </c>
      <c r="CJ4652" s="2">
        <v>1</v>
      </c>
      <c r="CK4652" s="2">
        <v>21</v>
      </c>
      <c r="CL4652" s="2" t="s">
        <v>86</v>
      </c>
      <c r="CM4652" s="2"/>
    </row>
    <row r="4653" spans="1:91">
      <c r="A4653" s="2" t="s">
        <v>71</v>
      </c>
      <c r="B4653" s="2" t="s">
        <v>72</v>
      </c>
      <c r="C4653" s="2" t="s">
        <v>73</v>
      </c>
      <c r="D4653" s="2"/>
      <c r="E4653" s="2" t="str">
        <f>"FES1162567142"</f>
        <v>FES1162567142</v>
      </c>
      <c r="F4653" s="3">
        <v>42951</v>
      </c>
      <c r="G4653" s="2">
        <v>201802</v>
      </c>
      <c r="H4653" s="2" t="s">
        <v>74</v>
      </c>
      <c r="I4653" s="2" t="s">
        <v>75</v>
      </c>
      <c r="J4653" s="2" t="s">
        <v>76</v>
      </c>
      <c r="K4653" s="2" t="s">
        <v>77</v>
      </c>
      <c r="L4653" s="2" t="s">
        <v>105</v>
      </c>
      <c r="M4653" s="2" t="s">
        <v>106</v>
      </c>
      <c r="N4653" s="2" t="s">
        <v>824</v>
      </c>
      <c r="O4653" s="2" t="s">
        <v>100</v>
      </c>
      <c r="P4653" s="2" t="str">
        <f>"2170581248                    "</f>
        <v xml:space="preserve">2170581248                    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4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0</v>
      </c>
      <c r="AU4653" s="2">
        <v>0</v>
      </c>
      <c r="AV4653" s="2">
        <v>0</v>
      </c>
      <c r="AW4653" s="2">
        <v>0</v>
      </c>
      <c r="AX4653" s="2">
        <v>0</v>
      </c>
      <c r="AY4653" s="2">
        <v>0</v>
      </c>
      <c r="AZ4653" s="2">
        <v>0</v>
      </c>
      <c r="BA4653" s="2">
        <v>0</v>
      </c>
      <c r="BB4653" s="2">
        <v>0</v>
      </c>
      <c r="BC4653" s="2">
        <v>0</v>
      </c>
      <c r="BD4653" s="2">
        <v>0</v>
      </c>
      <c r="BE4653" s="2">
        <v>0</v>
      </c>
      <c r="BF4653" s="2">
        <v>0</v>
      </c>
      <c r="BG4653" s="2">
        <v>0</v>
      </c>
      <c r="BH4653" s="2">
        <v>1</v>
      </c>
      <c r="BI4653" s="2">
        <v>1</v>
      </c>
      <c r="BJ4653" s="2">
        <v>0.2</v>
      </c>
      <c r="BK4653" s="2">
        <v>1</v>
      </c>
      <c r="BL4653" s="2">
        <v>41.44</v>
      </c>
      <c r="BM4653" s="2">
        <v>5.8</v>
      </c>
      <c r="BN4653" s="2">
        <v>47.24</v>
      </c>
      <c r="BO4653" s="2">
        <v>47.24</v>
      </c>
      <c r="BP4653" s="2"/>
      <c r="BQ4653" s="2" t="s">
        <v>83</v>
      </c>
      <c r="BR4653" s="2" t="s">
        <v>84</v>
      </c>
      <c r="BS4653" s="3">
        <v>42954</v>
      </c>
      <c r="BT4653" s="4">
        <v>0.43611111111111112</v>
      </c>
      <c r="BU4653" s="2" t="s">
        <v>4143</v>
      </c>
      <c r="BV4653" s="2" t="s">
        <v>95</v>
      </c>
      <c r="BW4653" s="2"/>
      <c r="BX4653" s="2"/>
      <c r="BY4653" s="2">
        <v>1200</v>
      </c>
      <c r="BZ4653" s="2"/>
      <c r="CA4653" s="2" t="s">
        <v>1591</v>
      </c>
      <c r="CB4653" s="2"/>
      <c r="CC4653" s="2" t="s">
        <v>106</v>
      </c>
      <c r="CD4653" s="2">
        <v>7800</v>
      </c>
      <c r="CE4653" s="2" t="s">
        <v>104</v>
      </c>
      <c r="CF4653" s="5">
        <v>42955</v>
      </c>
      <c r="CG4653" s="2"/>
      <c r="CH4653" s="2"/>
      <c r="CI4653" s="2">
        <v>1</v>
      </c>
      <c r="CJ4653" s="2">
        <v>1</v>
      </c>
      <c r="CK4653" s="2">
        <v>21</v>
      </c>
      <c r="CL4653" s="2" t="s">
        <v>86</v>
      </c>
      <c r="CM4653" s="2"/>
    </row>
    <row r="4654" spans="1:91">
      <c r="A4654" s="2" t="s">
        <v>71</v>
      </c>
      <c r="B4654" s="2" t="s">
        <v>72</v>
      </c>
      <c r="C4654" s="2" t="s">
        <v>73</v>
      </c>
      <c r="D4654" s="2"/>
      <c r="E4654" s="2" t="str">
        <f>"FES1162567196"</f>
        <v>FES1162567196</v>
      </c>
      <c r="F4654" s="3">
        <v>42951</v>
      </c>
      <c r="G4654" s="2">
        <v>201802</v>
      </c>
      <c r="H4654" s="2" t="s">
        <v>74</v>
      </c>
      <c r="I4654" s="2" t="s">
        <v>75</v>
      </c>
      <c r="J4654" s="2" t="s">
        <v>76</v>
      </c>
      <c r="K4654" s="2" t="s">
        <v>77</v>
      </c>
      <c r="L4654" s="2" t="s">
        <v>437</v>
      </c>
      <c r="M4654" s="2" t="s">
        <v>438</v>
      </c>
      <c r="N4654" s="2" t="s">
        <v>749</v>
      </c>
      <c r="O4654" s="2" t="s">
        <v>100</v>
      </c>
      <c r="P4654" s="2" t="str">
        <f>"2170583340                    "</f>
        <v xml:space="preserve">2170583340                    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0</v>
      </c>
      <c r="AB4654" s="2">
        <v>0</v>
      </c>
      <c r="AC4654" s="2">
        <v>0</v>
      </c>
      <c r="AD4654" s="2">
        <v>0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  <c r="AM4654" s="2">
        <v>4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0</v>
      </c>
      <c r="AU4654" s="2">
        <v>0</v>
      </c>
      <c r="AV4654" s="2">
        <v>0</v>
      </c>
      <c r="AW4654" s="2">
        <v>0</v>
      </c>
      <c r="AX4654" s="2">
        <v>0</v>
      </c>
      <c r="AY4654" s="2">
        <v>0</v>
      </c>
      <c r="AZ4654" s="2">
        <v>0</v>
      </c>
      <c r="BA4654" s="2">
        <v>0</v>
      </c>
      <c r="BB4654" s="2">
        <v>0</v>
      </c>
      <c r="BC4654" s="2">
        <v>0</v>
      </c>
      <c r="BD4654" s="2">
        <v>0</v>
      </c>
      <c r="BE4654" s="2">
        <v>0</v>
      </c>
      <c r="BF4654" s="2">
        <v>0</v>
      </c>
      <c r="BG4654" s="2">
        <v>0</v>
      </c>
      <c r="BH4654" s="2">
        <v>1</v>
      </c>
      <c r="BI4654" s="2">
        <v>1</v>
      </c>
      <c r="BJ4654" s="2">
        <v>0.2</v>
      </c>
      <c r="BK4654" s="2">
        <v>1</v>
      </c>
      <c r="BL4654" s="2">
        <v>41.44</v>
      </c>
      <c r="BM4654" s="2">
        <v>5.8</v>
      </c>
      <c r="BN4654" s="2">
        <v>47.24</v>
      </c>
      <c r="BO4654" s="2">
        <v>47.24</v>
      </c>
      <c r="BP4654" s="2"/>
      <c r="BQ4654" s="2" t="s">
        <v>108</v>
      </c>
      <c r="BR4654" s="2" t="s">
        <v>84</v>
      </c>
      <c r="BS4654" s="3">
        <v>42954</v>
      </c>
      <c r="BT4654" s="4">
        <v>0.41666666666666669</v>
      </c>
      <c r="BU4654" s="2" t="s">
        <v>750</v>
      </c>
      <c r="BV4654" s="2" t="s">
        <v>95</v>
      </c>
      <c r="BW4654" s="2"/>
      <c r="BX4654" s="2"/>
      <c r="BY4654" s="2">
        <v>1200</v>
      </c>
      <c r="BZ4654" s="2"/>
      <c r="CA4654" s="2" t="s">
        <v>441</v>
      </c>
      <c r="CB4654" s="2"/>
      <c r="CC4654" s="2" t="s">
        <v>438</v>
      </c>
      <c r="CD4654" s="2">
        <v>6536</v>
      </c>
      <c r="CE4654" s="2" t="s">
        <v>104</v>
      </c>
      <c r="CF4654" s="5">
        <v>42955</v>
      </c>
      <c r="CG4654" s="2"/>
      <c r="CH4654" s="2"/>
      <c r="CI4654" s="2">
        <v>1</v>
      </c>
      <c r="CJ4654" s="2">
        <v>1</v>
      </c>
      <c r="CK4654" s="2">
        <v>21</v>
      </c>
      <c r="CL4654" s="2" t="s">
        <v>86</v>
      </c>
      <c r="CM4654" s="2"/>
    </row>
    <row r="4655" spans="1:91">
      <c r="A4655" s="2" t="s">
        <v>71</v>
      </c>
      <c r="B4655" s="2" t="s">
        <v>72</v>
      </c>
      <c r="C4655" s="2" t="s">
        <v>73</v>
      </c>
      <c r="D4655" s="2"/>
      <c r="E4655" s="2" t="str">
        <f>"FES1162567006"</f>
        <v>FES1162567006</v>
      </c>
      <c r="F4655" s="3">
        <v>42951</v>
      </c>
      <c r="G4655" s="2">
        <v>201802</v>
      </c>
      <c r="H4655" s="2" t="s">
        <v>74</v>
      </c>
      <c r="I4655" s="2" t="s">
        <v>75</v>
      </c>
      <c r="J4655" s="2" t="s">
        <v>76</v>
      </c>
      <c r="K4655" s="2" t="s">
        <v>77</v>
      </c>
      <c r="L4655" s="2" t="s">
        <v>105</v>
      </c>
      <c r="M4655" s="2" t="s">
        <v>106</v>
      </c>
      <c r="N4655" s="2" t="s">
        <v>1093</v>
      </c>
      <c r="O4655" s="2" t="s">
        <v>100</v>
      </c>
      <c r="P4655" s="2" t="str">
        <f>"2170583031                    "</f>
        <v xml:space="preserve">2170583031                    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0</v>
      </c>
      <c r="AB4655" s="2">
        <v>0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4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0</v>
      </c>
      <c r="AU4655" s="2">
        <v>0</v>
      </c>
      <c r="AV4655" s="2">
        <v>0</v>
      </c>
      <c r="AW4655" s="2">
        <v>0</v>
      </c>
      <c r="AX4655" s="2">
        <v>0</v>
      </c>
      <c r="AY4655" s="2">
        <v>0</v>
      </c>
      <c r="AZ4655" s="2">
        <v>0</v>
      </c>
      <c r="BA4655" s="2">
        <v>0</v>
      </c>
      <c r="BB4655" s="2">
        <v>0</v>
      </c>
      <c r="BC4655" s="2">
        <v>0</v>
      </c>
      <c r="BD4655" s="2">
        <v>0</v>
      </c>
      <c r="BE4655" s="2">
        <v>0</v>
      </c>
      <c r="BF4655" s="2">
        <v>0</v>
      </c>
      <c r="BG4655" s="2">
        <v>0</v>
      </c>
      <c r="BH4655" s="2">
        <v>1</v>
      </c>
      <c r="BI4655" s="2">
        <v>1</v>
      </c>
      <c r="BJ4655" s="2">
        <v>0.2</v>
      </c>
      <c r="BK4655" s="2">
        <v>1</v>
      </c>
      <c r="BL4655" s="2">
        <v>41.44</v>
      </c>
      <c r="BM4655" s="2">
        <v>5.8</v>
      </c>
      <c r="BN4655" s="2">
        <v>47.24</v>
      </c>
      <c r="BO4655" s="2">
        <v>47.24</v>
      </c>
      <c r="BP4655" s="2"/>
      <c r="BQ4655" s="2" t="s">
        <v>83</v>
      </c>
      <c r="BR4655" s="2" t="s">
        <v>84</v>
      </c>
      <c r="BS4655" s="3">
        <v>42954</v>
      </c>
      <c r="BT4655" s="4">
        <v>0.39652777777777781</v>
      </c>
      <c r="BU4655" s="2" t="s">
        <v>1094</v>
      </c>
      <c r="BV4655" s="2" t="s">
        <v>95</v>
      </c>
      <c r="BW4655" s="2"/>
      <c r="BX4655" s="2"/>
      <c r="BY4655" s="2">
        <v>1200</v>
      </c>
      <c r="BZ4655" s="2"/>
      <c r="CA4655" s="2" t="s">
        <v>1095</v>
      </c>
      <c r="CB4655" s="2"/>
      <c r="CC4655" s="2" t="s">
        <v>106</v>
      </c>
      <c r="CD4655" s="2">
        <v>7975</v>
      </c>
      <c r="CE4655" s="2" t="s">
        <v>104</v>
      </c>
      <c r="CF4655" s="5">
        <v>42955</v>
      </c>
      <c r="CG4655" s="2"/>
      <c r="CH4655" s="2"/>
      <c r="CI4655" s="2">
        <v>1</v>
      </c>
      <c r="CJ4655" s="2">
        <v>1</v>
      </c>
      <c r="CK4655" s="2">
        <v>21</v>
      </c>
      <c r="CL4655" s="2" t="s">
        <v>86</v>
      </c>
      <c r="CM4655" s="2"/>
    </row>
    <row r="4656" spans="1:91">
      <c r="A4656" s="2" t="s">
        <v>71</v>
      </c>
      <c r="B4656" s="2" t="s">
        <v>72</v>
      </c>
      <c r="C4656" s="2" t="s">
        <v>73</v>
      </c>
      <c r="D4656" s="2"/>
      <c r="E4656" s="2" t="str">
        <f>"FES1162567079"</f>
        <v>FES1162567079</v>
      </c>
      <c r="F4656" s="3">
        <v>42951</v>
      </c>
      <c r="G4656" s="2">
        <v>201802</v>
      </c>
      <c r="H4656" s="2" t="s">
        <v>74</v>
      </c>
      <c r="I4656" s="2" t="s">
        <v>75</v>
      </c>
      <c r="J4656" s="2" t="s">
        <v>76</v>
      </c>
      <c r="K4656" s="2" t="s">
        <v>77</v>
      </c>
      <c r="L4656" s="2" t="s">
        <v>105</v>
      </c>
      <c r="M4656" s="2" t="s">
        <v>106</v>
      </c>
      <c r="N4656" s="2" t="s">
        <v>2094</v>
      </c>
      <c r="O4656" s="2" t="s">
        <v>100</v>
      </c>
      <c r="P4656" s="2" t="str">
        <f>"2170579048                    "</f>
        <v xml:space="preserve">2170579048                    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4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0</v>
      </c>
      <c r="AU4656" s="2">
        <v>0</v>
      </c>
      <c r="AV4656" s="2">
        <v>0</v>
      </c>
      <c r="AW4656" s="2">
        <v>0</v>
      </c>
      <c r="AX4656" s="2">
        <v>0</v>
      </c>
      <c r="AY4656" s="2">
        <v>0</v>
      </c>
      <c r="AZ4656" s="2">
        <v>0</v>
      </c>
      <c r="BA4656" s="2">
        <v>0</v>
      </c>
      <c r="BB4656" s="2">
        <v>0</v>
      </c>
      <c r="BC4656" s="2">
        <v>0</v>
      </c>
      <c r="BD4656" s="2">
        <v>0</v>
      </c>
      <c r="BE4656" s="2">
        <v>0</v>
      </c>
      <c r="BF4656" s="2">
        <v>0</v>
      </c>
      <c r="BG4656" s="2">
        <v>0</v>
      </c>
      <c r="BH4656" s="2">
        <v>1</v>
      </c>
      <c r="BI4656" s="2">
        <v>1</v>
      </c>
      <c r="BJ4656" s="2">
        <v>0.2</v>
      </c>
      <c r="BK4656" s="2">
        <v>1</v>
      </c>
      <c r="BL4656" s="2">
        <v>41.44</v>
      </c>
      <c r="BM4656" s="2">
        <v>5.8</v>
      </c>
      <c r="BN4656" s="2">
        <v>47.24</v>
      </c>
      <c r="BO4656" s="2">
        <v>47.24</v>
      </c>
      <c r="BP4656" s="2"/>
      <c r="BQ4656" s="2" t="s">
        <v>83</v>
      </c>
      <c r="BR4656" s="2" t="s">
        <v>84</v>
      </c>
      <c r="BS4656" s="3">
        <v>42954</v>
      </c>
      <c r="BT4656" s="4">
        <v>0.48055555555555557</v>
      </c>
      <c r="BU4656" s="2" t="s">
        <v>2095</v>
      </c>
      <c r="BV4656" s="2" t="s">
        <v>86</v>
      </c>
      <c r="BW4656" s="2" t="s">
        <v>110</v>
      </c>
      <c r="BX4656" s="2" t="s">
        <v>290</v>
      </c>
      <c r="BY4656" s="2">
        <v>1200</v>
      </c>
      <c r="BZ4656" s="2"/>
      <c r="CA4656" s="2" t="s">
        <v>117</v>
      </c>
      <c r="CB4656" s="2"/>
      <c r="CC4656" s="2" t="s">
        <v>106</v>
      </c>
      <c r="CD4656" s="2">
        <v>7405</v>
      </c>
      <c r="CE4656" s="2" t="s">
        <v>104</v>
      </c>
      <c r="CF4656" s="5">
        <v>42955</v>
      </c>
      <c r="CG4656" s="2"/>
      <c r="CH4656" s="2"/>
      <c r="CI4656" s="2">
        <v>1</v>
      </c>
      <c r="CJ4656" s="2">
        <v>1</v>
      </c>
      <c r="CK4656" s="2">
        <v>21</v>
      </c>
      <c r="CL4656" s="2" t="s">
        <v>86</v>
      </c>
      <c r="CM4656" s="2"/>
    </row>
    <row r="4657" spans="1:91">
      <c r="A4657" s="2" t="s">
        <v>71</v>
      </c>
      <c r="B4657" s="2" t="s">
        <v>72</v>
      </c>
      <c r="C4657" s="2" t="s">
        <v>73</v>
      </c>
      <c r="D4657" s="2"/>
      <c r="E4657" s="2" t="str">
        <f>"FES1162567124"</f>
        <v>FES1162567124</v>
      </c>
      <c r="F4657" s="3">
        <v>42951</v>
      </c>
      <c r="G4657" s="2">
        <v>201802</v>
      </c>
      <c r="H4657" s="2" t="s">
        <v>74</v>
      </c>
      <c r="I4657" s="2" t="s">
        <v>75</v>
      </c>
      <c r="J4657" s="2" t="s">
        <v>76</v>
      </c>
      <c r="K4657" s="2" t="s">
        <v>77</v>
      </c>
      <c r="L4657" s="2" t="s">
        <v>105</v>
      </c>
      <c r="M4657" s="2" t="s">
        <v>106</v>
      </c>
      <c r="N4657" s="2" t="s">
        <v>486</v>
      </c>
      <c r="O4657" s="2" t="s">
        <v>100</v>
      </c>
      <c r="P4657" s="2" t="str">
        <f>"2170580952                    "</f>
        <v xml:space="preserve">2170580952                    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0</v>
      </c>
      <c r="Z4657" s="2">
        <v>0</v>
      </c>
      <c r="AA4657" s="2">
        <v>0</v>
      </c>
      <c r="AB4657" s="2">
        <v>0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4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0</v>
      </c>
      <c r="AU4657" s="2">
        <v>0</v>
      </c>
      <c r="AV4657" s="2">
        <v>0</v>
      </c>
      <c r="AW4657" s="2">
        <v>0</v>
      </c>
      <c r="AX4657" s="2">
        <v>0</v>
      </c>
      <c r="AY4657" s="2">
        <v>0</v>
      </c>
      <c r="AZ4657" s="2">
        <v>0</v>
      </c>
      <c r="BA4657" s="2">
        <v>0</v>
      </c>
      <c r="BB4657" s="2">
        <v>0</v>
      </c>
      <c r="BC4657" s="2">
        <v>0</v>
      </c>
      <c r="BD4657" s="2">
        <v>0</v>
      </c>
      <c r="BE4657" s="2">
        <v>0</v>
      </c>
      <c r="BF4657" s="2">
        <v>0</v>
      </c>
      <c r="BG4657" s="2">
        <v>0</v>
      </c>
      <c r="BH4657" s="2">
        <v>1</v>
      </c>
      <c r="BI4657" s="2">
        <v>1</v>
      </c>
      <c r="BJ4657" s="2">
        <v>0.2</v>
      </c>
      <c r="BK4657" s="2">
        <v>1</v>
      </c>
      <c r="BL4657" s="2">
        <v>41.44</v>
      </c>
      <c r="BM4657" s="2">
        <v>5.8</v>
      </c>
      <c r="BN4657" s="2">
        <v>47.24</v>
      </c>
      <c r="BO4657" s="2">
        <v>47.24</v>
      </c>
      <c r="BP4657" s="2"/>
      <c r="BQ4657" s="2" t="s">
        <v>365</v>
      </c>
      <c r="BR4657" s="2" t="s">
        <v>84</v>
      </c>
      <c r="BS4657" s="3">
        <v>42954</v>
      </c>
      <c r="BT4657" s="4">
        <v>0.41597222222222219</v>
      </c>
      <c r="BU4657" s="2" t="s">
        <v>487</v>
      </c>
      <c r="BV4657" s="2" t="s">
        <v>95</v>
      </c>
      <c r="BW4657" s="2"/>
      <c r="BX4657" s="2"/>
      <c r="BY4657" s="2">
        <v>1200</v>
      </c>
      <c r="BZ4657" s="2"/>
      <c r="CA4657" s="2" t="s">
        <v>291</v>
      </c>
      <c r="CB4657" s="2"/>
      <c r="CC4657" s="2" t="s">
        <v>106</v>
      </c>
      <c r="CD4657" s="2">
        <v>7441</v>
      </c>
      <c r="CE4657" s="2" t="s">
        <v>104</v>
      </c>
      <c r="CF4657" s="5">
        <v>42955</v>
      </c>
      <c r="CG4657" s="2"/>
      <c r="CH4657" s="2"/>
      <c r="CI4657" s="2">
        <v>1</v>
      </c>
      <c r="CJ4657" s="2">
        <v>1</v>
      </c>
      <c r="CK4657" s="2">
        <v>21</v>
      </c>
      <c r="CL4657" s="2" t="s">
        <v>86</v>
      </c>
      <c r="CM4657" s="2"/>
    </row>
    <row r="4658" spans="1:91">
      <c r="A4658" s="2" t="s">
        <v>71</v>
      </c>
      <c r="B4658" s="2" t="s">
        <v>72</v>
      </c>
      <c r="C4658" s="2" t="s">
        <v>73</v>
      </c>
      <c r="D4658" s="2"/>
      <c r="E4658" s="2" t="str">
        <f>"FES1162567107"</f>
        <v>FES1162567107</v>
      </c>
      <c r="F4658" s="3">
        <v>42951</v>
      </c>
      <c r="G4658" s="2">
        <v>201802</v>
      </c>
      <c r="H4658" s="2" t="s">
        <v>74</v>
      </c>
      <c r="I4658" s="2" t="s">
        <v>75</v>
      </c>
      <c r="J4658" s="2" t="s">
        <v>76</v>
      </c>
      <c r="K4658" s="2" t="s">
        <v>77</v>
      </c>
      <c r="L4658" s="2" t="s">
        <v>105</v>
      </c>
      <c r="M4658" s="2" t="s">
        <v>106</v>
      </c>
      <c r="N4658" s="2" t="s">
        <v>873</v>
      </c>
      <c r="O4658" s="2" t="s">
        <v>100</v>
      </c>
      <c r="P4658" s="2" t="str">
        <f>"2170580659                    "</f>
        <v xml:space="preserve">2170580659                    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4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0</v>
      </c>
      <c r="AU4658" s="2">
        <v>0</v>
      </c>
      <c r="AV4658" s="2">
        <v>0</v>
      </c>
      <c r="AW4658" s="2">
        <v>0</v>
      </c>
      <c r="AX4658" s="2">
        <v>0</v>
      </c>
      <c r="AY4658" s="2">
        <v>0</v>
      </c>
      <c r="AZ4658" s="2">
        <v>0</v>
      </c>
      <c r="BA4658" s="2">
        <v>0</v>
      </c>
      <c r="BB4658" s="2">
        <v>0</v>
      </c>
      <c r="BC4658" s="2">
        <v>0</v>
      </c>
      <c r="BD4658" s="2">
        <v>0</v>
      </c>
      <c r="BE4658" s="2">
        <v>0</v>
      </c>
      <c r="BF4658" s="2">
        <v>0</v>
      </c>
      <c r="BG4658" s="2">
        <v>0</v>
      </c>
      <c r="BH4658" s="2">
        <v>1</v>
      </c>
      <c r="BI4658" s="2">
        <v>1.9</v>
      </c>
      <c r="BJ4658" s="2">
        <v>1.4</v>
      </c>
      <c r="BK4658" s="2">
        <v>2</v>
      </c>
      <c r="BL4658" s="2">
        <v>41.44</v>
      </c>
      <c r="BM4658" s="2">
        <v>5.8</v>
      </c>
      <c r="BN4658" s="2">
        <v>47.24</v>
      </c>
      <c r="BO4658" s="2">
        <v>47.24</v>
      </c>
      <c r="BP4658" s="2"/>
      <c r="BQ4658" s="2" t="s">
        <v>83</v>
      </c>
      <c r="BR4658" s="2" t="s">
        <v>84</v>
      </c>
      <c r="BS4658" s="3">
        <v>42954</v>
      </c>
      <c r="BT4658" s="4">
        <v>0.37638888888888888</v>
      </c>
      <c r="BU4658" s="2" t="s">
        <v>2232</v>
      </c>
      <c r="BV4658" s="2" t="s">
        <v>95</v>
      </c>
      <c r="BW4658" s="2"/>
      <c r="BX4658" s="2"/>
      <c r="BY4658" s="2">
        <v>6968.64</v>
      </c>
      <c r="BZ4658" s="2"/>
      <c r="CA4658" s="2" t="s">
        <v>3531</v>
      </c>
      <c r="CB4658" s="2"/>
      <c r="CC4658" s="2" t="s">
        <v>106</v>
      </c>
      <c r="CD4658" s="2">
        <v>7460</v>
      </c>
      <c r="CE4658" s="2" t="s">
        <v>89</v>
      </c>
      <c r="CF4658" s="5">
        <v>42955</v>
      </c>
      <c r="CG4658" s="2"/>
      <c r="CH4658" s="2"/>
      <c r="CI4658" s="2">
        <v>1</v>
      </c>
      <c r="CJ4658" s="2">
        <v>1</v>
      </c>
      <c r="CK4658" s="2">
        <v>21</v>
      </c>
      <c r="CL4658" s="2" t="s">
        <v>86</v>
      </c>
      <c r="CM4658" s="2"/>
    </row>
    <row r="4659" spans="1:91">
      <c r="A4659" s="2" t="s">
        <v>71</v>
      </c>
      <c r="B4659" s="2" t="s">
        <v>72</v>
      </c>
      <c r="C4659" s="2" t="s">
        <v>73</v>
      </c>
      <c r="D4659" s="2"/>
      <c r="E4659" s="2" t="str">
        <f>"FES1162567005"</f>
        <v>FES1162567005</v>
      </c>
      <c r="F4659" s="3">
        <v>42951</v>
      </c>
      <c r="G4659" s="2">
        <v>201802</v>
      </c>
      <c r="H4659" s="2" t="s">
        <v>74</v>
      </c>
      <c r="I4659" s="2" t="s">
        <v>75</v>
      </c>
      <c r="J4659" s="2" t="s">
        <v>76</v>
      </c>
      <c r="K4659" s="2" t="s">
        <v>77</v>
      </c>
      <c r="L4659" s="2" t="s">
        <v>164</v>
      </c>
      <c r="M4659" s="2" t="s">
        <v>165</v>
      </c>
      <c r="N4659" s="2" t="s">
        <v>3594</v>
      </c>
      <c r="O4659" s="2" t="s">
        <v>100</v>
      </c>
      <c r="P4659" s="2" t="str">
        <f>"2170582982                    "</f>
        <v xml:space="preserve">2170582982                    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0</v>
      </c>
      <c r="Y4659" s="2">
        <v>0</v>
      </c>
      <c r="Z4659" s="2">
        <v>0</v>
      </c>
      <c r="AA4659" s="2">
        <v>0</v>
      </c>
      <c r="AB4659" s="2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4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0</v>
      </c>
      <c r="AU4659" s="2">
        <v>0</v>
      </c>
      <c r="AV4659" s="2">
        <v>0</v>
      </c>
      <c r="AW4659" s="2">
        <v>0</v>
      </c>
      <c r="AX4659" s="2">
        <v>0</v>
      </c>
      <c r="AY4659" s="2">
        <v>0</v>
      </c>
      <c r="AZ4659" s="2">
        <v>0</v>
      </c>
      <c r="BA4659" s="2">
        <v>0</v>
      </c>
      <c r="BB4659" s="2">
        <v>0</v>
      </c>
      <c r="BC4659" s="2">
        <v>0</v>
      </c>
      <c r="BD4659" s="2">
        <v>0</v>
      </c>
      <c r="BE4659" s="2">
        <v>0</v>
      </c>
      <c r="BF4659" s="2">
        <v>0</v>
      </c>
      <c r="BG4659" s="2">
        <v>0</v>
      </c>
      <c r="BH4659" s="2">
        <v>1</v>
      </c>
      <c r="BI4659" s="2">
        <v>1.4</v>
      </c>
      <c r="BJ4659" s="2">
        <v>1</v>
      </c>
      <c r="BK4659" s="2">
        <v>1.5</v>
      </c>
      <c r="BL4659" s="2">
        <v>41.44</v>
      </c>
      <c r="BM4659" s="2">
        <v>5.8</v>
      </c>
      <c r="BN4659" s="2">
        <v>47.24</v>
      </c>
      <c r="BO4659" s="2">
        <v>47.24</v>
      </c>
      <c r="BP4659" s="2"/>
      <c r="BQ4659" s="2" t="s">
        <v>3595</v>
      </c>
      <c r="BR4659" s="2" t="s">
        <v>84</v>
      </c>
      <c r="BS4659" s="3">
        <v>42954</v>
      </c>
      <c r="BT4659" s="4">
        <v>0.44791666666666669</v>
      </c>
      <c r="BU4659" s="2" t="s">
        <v>4144</v>
      </c>
      <c r="BV4659" s="2" t="s">
        <v>95</v>
      </c>
      <c r="BW4659" s="2"/>
      <c r="BX4659" s="2"/>
      <c r="BY4659" s="2">
        <v>4955.3</v>
      </c>
      <c r="BZ4659" s="2"/>
      <c r="CA4659" s="2" t="s">
        <v>168</v>
      </c>
      <c r="CB4659" s="2"/>
      <c r="CC4659" s="2" t="s">
        <v>165</v>
      </c>
      <c r="CD4659" s="2">
        <v>6850</v>
      </c>
      <c r="CE4659" s="2" t="s">
        <v>89</v>
      </c>
      <c r="CF4659" s="5">
        <v>42955</v>
      </c>
      <c r="CG4659" s="2"/>
      <c r="CH4659" s="2"/>
      <c r="CI4659" s="2">
        <v>3</v>
      </c>
      <c r="CJ4659" s="2">
        <v>1</v>
      </c>
      <c r="CK4659" s="2">
        <v>21</v>
      </c>
      <c r="CL4659" s="2" t="s">
        <v>86</v>
      </c>
      <c r="CM4659" s="2"/>
    </row>
    <row r="4660" spans="1:91">
      <c r="A4660" s="2" t="s">
        <v>71</v>
      </c>
      <c r="B4660" s="2" t="s">
        <v>72</v>
      </c>
      <c r="C4660" s="2" t="s">
        <v>73</v>
      </c>
      <c r="D4660" s="2"/>
      <c r="E4660" s="2" t="str">
        <f>"FES1162567202"</f>
        <v>FES1162567202</v>
      </c>
      <c r="F4660" s="3">
        <v>42951</v>
      </c>
      <c r="G4660" s="2">
        <v>201802</v>
      </c>
      <c r="H4660" s="2" t="s">
        <v>74</v>
      </c>
      <c r="I4660" s="2" t="s">
        <v>75</v>
      </c>
      <c r="J4660" s="2" t="s">
        <v>76</v>
      </c>
      <c r="K4660" s="2" t="s">
        <v>77</v>
      </c>
      <c r="L4660" s="2" t="s">
        <v>105</v>
      </c>
      <c r="M4660" s="2" t="s">
        <v>106</v>
      </c>
      <c r="N4660" s="2" t="s">
        <v>835</v>
      </c>
      <c r="O4660" s="2" t="s">
        <v>100</v>
      </c>
      <c r="P4660" s="2" t="str">
        <f>"2170583348                    "</f>
        <v xml:space="preserve">2170583348                    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4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0</v>
      </c>
      <c r="AU4660" s="2">
        <v>0</v>
      </c>
      <c r="AV4660" s="2">
        <v>0</v>
      </c>
      <c r="AW4660" s="2">
        <v>0</v>
      </c>
      <c r="AX4660" s="2">
        <v>0</v>
      </c>
      <c r="AY4660" s="2">
        <v>0</v>
      </c>
      <c r="AZ4660" s="2">
        <v>0</v>
      </c>
      <c r="BA4660" s="2">
        <v>0</v>
      </c>
      <c r="BB4660" s="2">
        <v>0</v>
      </c>
      <c r="BC4660" s="2">
        <v>0</v>
      </c>
      <c r="BD4660" s="2">
        <v>0</v>
      </c>
      <c r="BE4660" s="2">
        <v>0</v>
      </c>
      <c r="BF4660" s="2">
        <v>0</v>
      </c>
      <c r="BG4660" s="2">
        <v>0</v>
      </c>
      <c r="BH4660" s="2">
        <v>1</v>
      </c>
      <c r="BI4660" s="2">
        <v>0.9</v>
      </c>
      <c r="BJ4660" s="2">
        <v>1</v>
      </c>
      <c r="BK4660" s="2">
        <v>1</v>
      </c>
      <c r="BL4660" s="2">
        <v>41.44</v>
      </c>
      <c r="BM4660" s="2">
        <v>5.8</v>
      </c>
      <c r="BN4660" s="2">
        <v>47.24</v>
      </c>
      <c r="BO4660" s="2">
        <v>47.24</v>
      </c>
      <c r="BP4660" s="2"/>
      <c r="BQ4660" s="2" t="s">
        <v>4145</v>
      </c>
      <c r="BR4660" s="2" t="s">
        <v>84</v>
      </c>
      <c r="BS4660" s="3">
        <v>42954</v>
      </c>
      <c r="BT4660" s="4">
        <v>0.51041666666666663</v>
      </c>
      <c r="BU4660" s="2" t="s">
        <v>4146</v>
      </c>
      <c r="BV4660" s="2" t="s">
        <v>86</v>
      </c>
      <c r="BW4660" s="2" t="s">
        <v>110</v>
      </c>
      <c r="BX4660" s="2" t="s">
        <v>2931</v>
      </c>
      <c r="BY4660" s="2">
        <v>4884</v>
      </c>
      <c r="BZ4660" s="2"/>
      <c r="CA4660" s="2" t="s">
        <v>1322</v>
      </c>
      <c r="CB4660" s="2"/>
      <c r="CC4660" s="2" t="s">
        <v>106</v>
      </c>
      <c r="CD4660" s="2">
        <v>7945</v>
      </c>
      <c r="CE4660" s="2" t="s">
        <v>89</v>
      </c>
      <c r="CF4660" s="5">
        <v>42955</v>
      </c>
      <c r="CG4660" s="2"/>
      <c r="CH4660" s="2"/>
      <c r="CI4660" s="2">
        <v>1</v>
      </c>
      <c r="CJ4660" s="2">
        <v>1</v>
      </c>
      <c r="CK4660" s="2">
        <v>21</v>
      </c>
      <c r="CL4660" s="2" t="s">
        <v>86</v>
      </c>
      <c r="CM4660" s="2"/>
    </row>
    <row r="4661" spans="1:91">
      <c r="A4661" s="2" t="s">
        <v>71</v>
      </c>
      <c r="B4661" s="2" t="s">
        <v>72</v>
      </c>
      <c r="C4661" s="2" t="s">
        <v>73</v>
      </c>
      <c r="D4661" s="2"/>
      <c r="E4661" s="2" t="str">
        <f>"FES1162567156"</f>
        <v>FES1162567156</v>
      </c>
      <c r="F4661" s="3">
        <v>42951</v>
      </c>
      <c r="G4661" s="2">
        <v>201802</v>
      </c>
      <c r="H4661" s="2" t="s">
        <v>74</v>
      </c>
      <c r="I4661" s="2" t="s">
        <v>75</v>
      </c>
      <c r="J4661" s="2" t="s">
        <v>76</v>
      </c>
      <c r="K4661" s="2" t="s">
        <v>77</v>
      </c>
      <c r="L4661" s="2" t="s">
        <v>362</v>
      </c>
      <c r="M4661" s="2" t="s">
        <v>363</v>
      </c>
      <c r="N4661" s="2" t="s">
        <v>1020</v>
      </c>
      <c r="O4661" s="2" t="s">
        <v>100</v>
      </c>
      <c r="P4661" s="2" t="str">
        <f>"2170582848                    "</f>
        <v xml:space="preserve">2170582848                    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4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0</v>
      </c>
      <c r="AU4661" s="2">
        <v>0</v>
      </c>
      <c r="AV4661" s="2">
        <v>0</v>
      </c>
      <c r="AW4661" s="2">
        <v>0</v>
      </c>
      <c r="AX4661" s="2">
        <v>0</v>
      </c>
      <c r="AY4661" s="2">
        <v>0</v>
      </c>
      <c r="AZ4661" s="2">
        <v>0</v>
      </c>
      <c r="BA4661" s="2">
        <v>0</v>
      </c>
      <c r="BB4661" s="2">
        <v>0</v>
      </c>
      <c r="BC4661" s="2">
        <v>0</v>
      </c>
      <c r="BD4661" s="2">
        <v>0</v>
      </c>
      <c r="BE4661" s="2">
        <v>0</v>
      </c>
      <c r="BF4661" s="2">
        <v>0</v>
      </c>
      <c r="BG4661" s="2">
        <v>0</v>
      </c>
      <c r="BH4661" s="2">
        <v>1</v>
      </c>
      <c r="BI4661" s="2">
        <v>1.1000000000000001</v>
      </c>
      <c r="BJ4661" s="2">
        <v>1</v>
      </c>
      <c r="BK4661" s="2">
        <v>1.5</v>
      </c>
      <c r="BL4661" s="2">
        <v>41.44</v>
      </c>
      <c r="BM4661" s="2">
        <v>5.8</v>
      </c>
      <c r="BN4661" s="2">
        <v>47.24</v>
      </c>
      <c r="BO4661" s="2">
        <v>47.24</v>
      </c>
      <c r="BP4661" s="2"/>
      <c r="BQ4661" s="2" t="s">
        <v>209</v>
      </c>
      <c r="BR4661" s="2" t="s">
        <v>84</v>
      </c>
      <c r="BS4661" s="3">
        <v>42954</v>
      </c>
      <c r="BT4661" s="4">
        <v>0.41666666666666669</v>
      </c>
      <c r="BU4661" s="2" t="s">
        <v>1040</v>
      </c>
      <c r="BV4661" s="2" t="s">
        <v>95</v>
      </c>
      <c r="BW4661" s="2"/>
      <c r="BX4661" s="2"/>
      <c r="BY4661" s="2">
        <v>4832.3500000000004</v>
      </c>
      <c r="BZ4661" s="2"/>
      <c r="CA4661" s="2" t="s">
        <v>367</v>
      </c>
      <c r="CB4661" s="2"/>
      <c r="CC4661" s="2" t="s">
        <v>363</v>
      </c>
      <c r="CD4661" s="2">
        <v>3200</v>
      </c>
      <c r="CE4661" s="2" t="s">
        <v>89</v>
      </c>
      <c r="CF4661" s="5">
        <v>42955</v>
      </c>
      <c r="CG4661" s="2"/>
      <c r="CH4661" s="2"/>
      <c r="CI4661" s="2">
        <v>1</v>
      </c>
      <c r="CJ4661" s="2">
        <v>1</v>
      </c>
      <c r="CK4661" s="2">
        <v>21</v>
      </c>
      <c r="CL4661" s="2" t="s">
        <v>86</v>
      </c>
      <c r="CM4661" s="2"/>
    </row>
    <row r="4662" spans="1:91">
      <c r="A4662" s="2" t="s">
        <v>71</v>
      </c>
      <c r="B4662" s="2" t="s">
        <v>72</v>
      </c>
      <c r="C4662" s="2" t="s">
        <v>73</v>
      </c>
      <c r="D4662" s="2"/>
      <c r="E4662" s="2" t="str">
        <f>"FES1162567199"</f>
        <v>FES1162567199</v>
      </c>
      <c r="F4662" s="3">
        <v>42951</v>
      </c>
      <c r="G4662" s="2">
        <v>201802</v>
      </c>
      <c r="H4662" s="2" t="s">
        <v>74</v>
      </c>
      <c r="I4662" s="2" t="s">
        <v>75</v>
      </c>
      <c r="J4662" s="2" t="s">
        <v>76</v>
      </c>
      <c r="K4662" s="2" t="s">
        <v>77</v>
      </c>
      <c r="L4662" s="2" t="s">
        <v>1912</v>
      </c>
      <c r="M4662" s="2" t="s">
        <v>1913</v>
      </c>
      <c r="N4662" s="2" t="s">
        <v>1976</v>
      </c>
      <c r="O4662" s="2" t="s">
        <v>100</v>
      </c>
      <c r="P4662" s="2" t="str">
        <f>"2170583345                    "</f>
        <v xml:space="preserve">2170583345                    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0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4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0</v>
      </c>
      <c r="AU4662" s="2">
        <v>0</v>
      </c>
      <c r="AV4662" s="2">
        <v>0</v>
      </c>
      <c r="AW4662" s="2">
        <v>0</v>
      </c>
      <c r="AX4662" s="2">
        <v>0</v>
      </c>
      <c r="AY4662" s="2">
        <v>0</v>
      </c>
      <c r="AZ4662" s="2">
        <v>0</v>
      </c>
      <c r="BA4662" s="2">
        <v>0</v>
      </c>
      <c r="BB4662" s="2">
        <v>0</v>
      </c>
      <c r="BC4662" s="2">
        <v>0</v>
      </c>
      <c r="BD4662" s="2">
        <v>0</v>
      </c>
      <c r="BE4662" s="2">
        <v>0</v>
      </c>
      <c r="BF4662" s="2">
        <v>0</v>
      </c>
      <c r="BG4662" s="2">
        <v>0</v>
      </c>
      <c r="BH4662" s="2">
        <v>1</v>
      </c>
      <c r="BI4662" s="2">
        <v>0.9</v>
      </c>
      <c r="BJ4662" s="2">
        <v>1.4</v>
      </c>
      <c r="BK4662" s="2">
        <v>1.5</v>
      </c>
      <c r="BL4662" s="2">
        <v>41.44</v>
      </c>
      <c r="BM4662" s="2">
        <v>5.8</v>
      </c>
      <c r="BN4662" s="2">
        <v>47.24</v>
      </c>
      <c r="BO4662" s="2">
        <v>47.24</v>
      </c>
      <c r="BP4662" s="2"/>
      <c r="BQ4662" s="2" t="s">
        <v>4147</v>
      </c>
      <c r="BR4662" s="2" t="s">
        <v>84</v>
      </c>
      <c r="BS4662" s="3">
        <v>42954</v>
      </c>
      <c r="BT4662" s="4">
        <v>0.38750000000000001</v>
      </c>
      <c r="BU4662" s="2" t="s">
        <v>4148</v>
      </c>
      <c r="BV4662" s="2" t="s">
        <v>95</v>
      </c>
      <c r="BW4662" s="2"/>
      <c r="BX4662" s="2"/>
      <c r="BY4662" s="2">
        <v>6908</v>
      </c>
      <c r="BZ4662" s="2"/>
      <c r="CA4662" s="2" t="s">
        <v>840</v>
      </c>
      <c r="CB4662" s="2"/>
      <c r="CC4662" s="2" t="s">
        <v>1913</v>
      </c>
      <c r="CD4662" s="2">
        <v>4120</v>
      </c>
      <c r="CE4662" s="2" t="s">
        <v>89</v>
      </c>
      <c r="CF4662" s="5">
        <v>42955</v>
      </c>
      <c r="CG4662" s="2"/>
      <c r="CH4662" s="2"/>
      <c r="CI4662" s="2">
        <v>1</v>
      </c>
      <c r="CJ4662" s="2">
        <v>1</v>
      </c>
      <c r="CK4662" s="2">
        <v>21</v>
      </c>
      <c r="CL4662" s="2" t="s">
        <v>86</v>
      </c>
      <c r="CM4662" s="2"/>
    </row>
    <row r="4663" spans="1:91">
      <c r="A4663" s="2" t="s">
        <v>71</v>
      </c>
      <c r="B4663" s="2" t="s">
        <v>72</v>
      </c>
      <c r="C4663" s="2" t="s">
        <v>73</v>
      </c>
      <c r="D4663" s="2"/>
      <c r="E4663" s="2" t="str">
        <f>"FES1162567160"</f>
        <v>FES1162567160</v>
      </c>
      <c r="F4663" s="3">
        <v>42951</v>
      </c>
      <c r="G4663" s="2">
        <v>201802</v>
      </c>
      <c r="H4663" s="2" t="s">
        <v>74</v>
      </c>
      <c r="I4663" s="2" t="s">
        <v>75</v>
      </c>
      <c r="J4663" s="2" t="s">
        <v>76</v>
      </c>
      <c r="K4663" s="2" t="s">
        <v>77</v>
      </c>
      <c r="L4663" s="2" t="s">
        <v>221</v>
      </c>
      <c r="M4663" s="2" t="s">
        <v>222</v>
      </c>
      <c r="N4663" s="2" t="s">
        <v>415</v>
      </c>
      <c r="O4663" s="2" t="s">
        <v>100</v>
      </c>
      <c r="P4663" s="2" t="str">
        <f>"2170582914                    "</f>
        <v xml:space="preserve">2170582914                    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0</v>
      </c>
      <c r="Z4663" s="2">
        <v>0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5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0</v>
      </c>
      <c r="AU4663" s="2">
        <v>0</v>
      </c>
      <c r="AV4663" s="2">
        <v>0</v>
      </c>
      <c r="AW4663" s="2">
        <v>0</v>
      </c>
      <c r="AX4663" s="2">
        <v>0</v>
      </c>
      <c r="AY4663" s="2">
        <v>0</v>
      </c>
      <c r="AZ4663" s="2">
        <v>0</v>
      </c>
      <c r="BA4663" s="2">
        <v>0</v>
      </c>
      <c r="BB4663" s="2">
        <v>0</v>
      </c>
      <c r="BC4663" s="2">
        <v>0</v>
      </c>
      <c r="BD4663" s="2">
        <v>0</v>
      </c>
      <c r="BE4663" s="2">
        <v>0</v>
      </c>
      <c r="BF4663" s="2">
        <v>0</v>
      </c>
      <c r="BG4663" s="2">
        <v>0</v>
      </c>
      <c r="BH4663" s="2">
        <v>1</v>
      </c>
      <c r="BI4663" s="2">
        <v>1.3</v>
      </c>
      <c r="BJ4663" s="2">
        <v>2.4</v>
      </c>
      <c r="BK4663" s="2">
        <v>2.5</v>
      </c>
      <c r="BL4663" s="2">
        <v>51.8</v>
      </c>
      <c r="BM4663" s="2">
        <v>7.25</v>
      </c>
      <c r="BN4663" s="2">
        <v>59.05</v>
      </c>
      <c r="BO4663" s="2">
        <v>59.05</v>
      </c>
      <c r="BP4663" s="2"/>
      <c r="BQ4663" s="2" t="s">
        <v>108</v>
      </c>
      <c r="BR4663" s="2" t="s">
        <v>84</v>
      </c>
      <c r="BS4663" s="3">
        <v>42954</v>
      </c>
      <c r="BT4663" s="4">
        <v>0.40138888888888885</v>
      </c>
      <c r="BU4663" s="2" t="s">
        <v>933</v>
      </c>
      <c r="BV4663" s="2" t="s">
        <v>95</v>
      </c>
      <c r="BW4663" s="2"/>
      <c r="BX4663" s="2"/>
      <c r="BY4663" s="2">
        <v>11774.7</v>
      </c>
      <c r="BZ4663" s="2"/>
      <c r="CA4663" s="2" t="s">
        <v>225</v>
      </c>
      <c r="CB4663" s="2"/>
      <c r="CC4663" s="2" t="s">
        <v>222</v>
      </c>
      <c r="CD4663" s="2">
        <v>4302</v>
      </c>
      <c r="CE4663" s="2" t="s">
        <v>948</v>
      </c>
      <c r="CF4663" s="5">
        <v>42955</v>
      </c>
      <c r="CG4663" s="2"/>
      <c r="CH4663" s="2"/>
      <c r="CI4663" s="2">
        <v>1</v>
      </c>
      <c r="CJ4663" s="2">
        <v>1</v>
      </c>
      <c r="CK4663" s="2">
        <v>21</v>
      </c>
      <c r="CL4663" s="2" t="s">
        <v>86</v>
      </c>
      <c r="CM4663" s="2"/>
    </row>
    <row r="4664" spans="1:91">
      <c r="A4664" s="2" t="s">
        <v>71</v>
      </c>
      <c r="B4664" s="2" t="s">
        <v>72</v>
      </c>
      <c r="C4664" s="2" t="s">
        <v>73</v>
      </c>
      <c r="D4664" s="2"/>
      <c r="E4664" s="2" t="str">
        <f>"FES1162567066"</f>
        <v>FES1162567066</v>
      </c>
      <c r="F4664" s="3">
        <v>42951</v>
      </c>
      <c r="G4664" s="2">
        <v>201802</v>
      </c>
      <c r="H4664" s="2" t="s">
        <v>74</v>
      </c>
      <c r="I4664" s="2" t="s">
        <v>75</v>
      </c>
      <c r="J4664" s="2" t="s">
        <v>76</v>
      </c>
      <c r="K4664" s="2" t="s">
        <v>77</v>
      </c>
      <c r="L4664" s="2" t="s">
        <v>97</v>
      </c>
      <c r="M4664" s="2" t="s">
        <v>98</v>
      </c>
      <c r="N4664" s="2" t="s">
        <v>2597</v>
      </c>
      <c r="O4664" s="2" t="s">
        <v>100</v>
      </c>
      <c r="P4664" s="2" t="str">
        <f>"2170271565                    "</f>
        <v xml:space="preserve">2170271565                    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0</v>
      </c>
      <c r="Y4664" s="2">
        <v>0</v>
      </c>
      <c r="Z4664" s="2">
        <v>0</v>
      </c>
      <c r="AA4664" s="2">
        <v>0</v>
      </c>
      <c r="AB4664" s="2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4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0</v>
      </c>
      <c r="AU4664" s="2">
        <v>0</v>
      </c>
      <c r="AV4664" s="2">
        <v>0</v>
      </c>
      <c r="AW4664" s="2">
        <v>0</v>
      </c>
      <c r="AX4664" s="2">
        <v>0</v>
      </c>
      <c r="AY4664" s="2">
        <v>0</v>
      </c>
      <c r="AZ4664" s="2">
        <v>0</v>
      </c>
      <c r="BA4664" s="2">
        <v>0</v>
      </c>
      <c r="BB4664" s="2">
        <v>0</v>
      </c>
      <c r="BC4664" s="2">
        <v>0</v>
      </c>
      <c r="BD4664" s="2">
        <v>0</v>
      </c>
      <c r="BE4664" s="2">
        <v>0</v>
      </c>
      <c r="BF4664" s="2">
        <v>0</v>
      </c>
      <c r="BG4664" s="2">
        <v>0</v>
      </c>
      <c r="BH4664" s="2">
        <v>1</v>
      </c>
      <c r="BI4664" s="2">
        <v>1.9</v>
      </c>
      <c r="BJ4664" s="2">
        <v>1.8</v>
      </c>
      <c r="BK4664" s="2">
        <v>2</v>
      </c>
      <c r="BL4664" s="2">
        <v>41.44</v>
      </c>
      <c r="BM4664" s="2">
        <v>5.8</v>
      </c>
      <c r="BN4664" s="2">
        <v>47.24</v>
      </c>
      <c r="BO4664" s="2">
        <v>47.24</v>
      </c>
      <c r="BP4664" s="2"/>
      <c r="BQ4664" s="2" t="s">
        <v>83</v>
      </c>
      <c r="BR4664" s="2" t="s">
        <v>84</v>
      </c>
      <c r="BS4664" s="3">
        <v>42954</v>
      </c>
      <c r="BT4664" s="4">
        <v>0.29166666666666669</v>
      </c>
      <c r="BU4664" s="2" t="s">
        <v>2598</v>
      </c>
      <c r="BV4664" s="2" t="s">
        <v>95</v>
      </c>
      <c r="BW4664" s="2"/>
      <c r="BX4664" s="2"/>
      <c r="BY4664" s="2">
        <v>8964.7800000000007</v>
      </c>
      <c r="BZ4664" s="2"/>
      <c r="CA4664" s="2" t="s">
        <v>294</v>
      </c>
      <c r="CB4664" s="2"/>
      <c r="CC4664" s="2" t="s">
        <v>98</v>
      </c>
      <c r="CD4664" s="2">
        <v>6012</v>
      </c>
      <c r="CE4664" s="2" t="s">
        <v>89</v>
      </c>
      <c r="CF4664" s="5">
        <v>42955</v>
      </c>
      <c r="CG4664" s="2"/>
      <c r="CH4664" s="2"/>
      <c r="CI4664" s="2">
        <v>1</v>
      </c>
      <c r="CJ4664" s="2">
        <v>1</v>
      </c>
      <c r="CK4664" s="2">
        <v>21</v>
      </c>
      <c r="CL4664" s="2" t="s">
        <v>86</v>
      </c>
      <c r="CM4664" s="2"/>
    </row>
    <row r="4665" spans="1:91">
      <c r="A4665" s="2" t="s">
        <v>71</v>
      </c>
      <c r="B4665" s="2" t="s">
        <v>72</v>
      </c>
      <c r="C4665" s="2" t="s">
        <v>73</v>
      </c>
      <c r="D4665" s="2"/>
      <c r="E4665" s="2" t="str">
        <f>"FES1162566986"</f>
        <v>FES1162566986</v>
      </c>
      <c r="F4665" s="3">
        <v>42951</v>
      </c>
      <c r="G4665" s="2">
        <v>201802</v>
      </c>
      <c r="H4665" s="2" t="s">
        <v>74</v>
      </c>
      <c r="I4665" s="2" t="s">
        <v>75</v>
      </c>
      <c r="J4665" s="2" t="s">
        <v>76</v>
      </c>
      <c r="K4665" s="2" t="s">
        <v>77</v>
      </c>
      <c r="L4665" s="2" t="s">
        <v>268</v>
      </c>
      <c r="M4665" s="2" t="s">
        <v>269</v>
      </c>
      <c r="N4665" s="2" t="s">
        <v>2719</v>
      </c>
      <c r="O4665" s="2" t="s">
        <v>100</v>
      </c>
      <c r="P4665" s="2" t="str">
        <f>"2170583252                    "</f>
        <v xml:space="preserve">2170583252                    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0</v>
      </c>
      <c r="Z4665" s="2">
        <v>0</v>
      </c>
      <c r="AA4665" s="2">
        <v>0</v>
      </c>
      <c r="AB4665" s="2">
        <v>0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4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0</v>
      </c>
      <c r="AU4665" s="2">
        <v>0</v>
      </c>
      <c r="AV4665" s="2">
        <v>0</v>
      </c>
      <c r="AW4665" s="2">
        <v>0</v>
      </c>
      <c r="AX4665" s="2">
        <v>0</v>
      </c>
      <c r="AY4665" s="2">
        <v>0</v>
      </c>
      <c r="AZ4665" s="2">
        <v>0</v>
      </c>
      <c r="BA4665" s="2">
        <v>0</v>
      </c>
      <c r="BB4665" s="2">
        <v>0</v>
      </c>
      <c r="BC4665" s="2">
        <v>0</v>
      </c>
      <c r="BD4665" s="2">
        <v>0</v>
      </c>
      <c r="BE4665" s="2">
        <v>0</v>
      </c>
      <c r="BF4665" s="2">
        <v>0</v>
      </c>
      <c r="BG4665" s="2">
        <v>0</v>
      </c>
      <c r="BH4665" s="2">
        <v>1</v>
      </c>
      <c r="BI4665" s="2">
        <v>1.1000000000000001</v>
      </c>
      <c r="BJ4665" s="2">
        <v>0.2</v>
      </c>
      <c r="BK4665" s="2">
        <v>1.5</v>
      </c>
      <c r="BL4665" s="2">
        <v>41.44</v>
      </c>
      <c r="BM4665" s="2">
        <v>5.8</v>
      </c>
      <c r="BN4665" s="2">
        <v>47.24</v>
      </c>
      <c r="BO4665" s="2">
        <v>47.24</v>
      </c>
      <c r="BP4665" s="2"/>
      <c r="BQ4665" s="2"/>
      <c r="BR4665" s="2" t="s">
        <v>84</v>
      </c>
      <c r="BS4665" s="3">
        <v>42954</v>
      </c>
      <c r="BT4665" s="4">
        <v>0.47569444444444442</v>
      </c>
      <c r="BU4665" s="2" t="s">
        <v>4149</v>
      </c>
      <c r="BV4665" s="2" t="s">
        <v>86</v>
      </c>
      <c r="BW4665" s="2" t="s">
        <v>110</v>
      </c>
      <c r="BX4665" s="2" t="s">
        <v>444</v>
      </c>
      <c r="BY4665" s="2">
        <v>1200</v>
      </c>
      <c r="BZ4665" s="2"/>
      <c r="CA4665" s="2"/>
      <c r="CB4665" s="2"/>
      <c r="CC4665" s="2" t="s">
        <v>269</v>
      </c>
      <c r="CD4665" s="2">
        <v>200</v>
      </c>
      <c r="CE4665" s="2" t="s">
        <v>104</v>
      </c>
      <c r="CF4665" s="5">
        <v>42957</v>
      </c>
      <c r="CG4665" s="2"/>
      <c r="CH4665" s="2"/>
      <c r="CI4665" s="2">
        <v>1</v>
      </c>
      <c r="CJ4665" s="2">
        <v>1</v>
      </c>
      <c r="CK4665" s="2">
        <v>21</v>
      </c>
      <c r="CL4665" s="2" t="s">
        <v>86</v>
      </c>
      <c r="CM4665" s="2"/>
    </row>
    <row r="4666" spans="1:91">
      <c r="A4666" s="2" t="s">
        <v>71</v>
      </c>
      <c r="B4666" s="2" t="s">
        <v>72</v>
      </c>
      <c r="C4666" s="2" t="s">
        <v>73</v>
      </c>
      <c r="D4666" s="2"/>
      <c r="E4666" s="2" t="str">
        <f>"FES1162566982"</f>
        <v>FES1162566982</v>
      </c>
      <c r="F4666" s="3">
        <v>42951</v>
      </c>
      <c r="G4666" s="2">
        <v>201802</v>
      </c>
      <c r="H4666" s="2" t="s">
        <v>74</v>
      </c>
      <c r="I4666" s="2" t="s">
        <v>75</v>
      </c>
      <c r="J4666" s="2" t="s">
        <v>76</v>
      </c>
      <c r="K4666" s="2" t="s">
        <v>77</v>
      </c>
      <c r="L4666" s="2" t="s">
        <v>159</v>
      </c>
      <c r="M4666" s="2" t="s">
        <v>160</v>
      </c>
      <c r="N4666" s="2" t="s">
        <v>3441</v>
      </c>
      <c r="O4666" s="2" t="s">
        <v>100</v>
      </c>
      <c r="P4666" s="2" t="str">
        <f>"2170583241                    "</f>
        <v xml:space="preserve">2170583241                    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2">
        <v>0</v>
      </c>
      <c r="Z4666" s="2">
        <v>0</v>
      </c>
      <c r="AA4666" s="2">
        <v>0</v>
      </c>
      <c r="AB4666" s="2">
        <v>0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5.63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0</v>
      </c>
      <c r="AU4666" s="2">
        <v>0</v>
      </c>
      <c r="AV4666" s="2">
        <v>0</v>
      </c>
      <c r="AW4666" s="2">
        <v>0</v>
      </c>
      <c r="AX4666" s="2">
        <v>0</v>
      </c>
      <c r="AY4666" s="2">
        <v>0</v>
      </c>
      <c r="AZ4666" s="2">
        <v>0</v>
      </c>
      <c r="BA4666" s="2">
        <v>0</v>
      </c>
      <c r="BB4666" s="2">
        <v>0</v>
      </c>
      <c r="BC4666" s="2">
        <v>0</v>
      </c>
      <c r="BD4666" s="2">
        <v>0</v>
      </c>
      <c r="BE4666" s="2">
        <v>0</v>
      </c>
      <c r="BF4666" s="2">
        <v>0</v>
      </c>
      <c r="BG4666" s="2">
        <v>0</v>
      </c>
      <c r="BH4666" s="2">
        <v>1</v>
      </c>
      <c r="BI4666" s="2">
        <v>1</v>
      </c>
      <c r="BJ4666" s="2">
        <v>0.2</v>
      </c>
      <c r="BK4666" s="2">
        <v>1</v>
      </c>
      <c r="BL4666" s="2">
        <v>58.28</v>
      </c>
      <c r="BM4666" s="2">
        <v>8.16</v>
      </c>
      <c r="BN4666" s="2">
        <v>66.44</v>
      </c>
      <c r="BO4666" s="2">
        <v>66.44</v>
      </c>
      <c r="BP4666" s="2"/>
      <c r="BQ4666" s="2" t="s">
        <v>3442</v>
      </c>
      <c r="BR4666" s="2" t="s">
        <v>84</v>
      </c>
      <c r="BS4666" s="3">
        <v>42954</v>
      </c>
      <c r="BT4666" s="4">
        <v>0.58333333333333337</v>
      </c>
      <c r="BU4666" s="2" t="s">
        <v>4150</v>
      </c>
      <c r="BV4666" s="2" t="s">
        <v>95</v>
      </c>
      <c r="BW4666" s="2"/>
      <c r="BX4666" s="2"/>
      <c r="BY4666" s="2">
        <v>1200</v>
      </c>
      <c r="BZ4666" s="2"/>
      <c r="CA4666" s="2"/>
      <c r="CB4666" s="2"/>
      <c r="CC4666" s="2" t="s">
        <v>160</v>
      </c>
      <c r="CD4666" s="2">
        <v>208</v>
      </c>
      <c r="CE4666" s="2" t="s">
        <v>104</v>
      </c>
      <c r="CF4666" s="5">
        <v>42957</v>
      </c>
      <c r="CG4666" s="2"/>
      <c r="CH4666" s="2"/>
      <c r="CI4666" s="2">
        <v>1</v>
      </c>
      <c r="CJ4666" s="2">
        <v>1</v>
      </c>
      <c r="CK4666" s="2">
        <v>24</v>
      </c>
      <c r="CL4666" s="2" t="s">
        <v>86</v>
      </c>
      <c r="CM4666" s="2"/>
    </row>
    <row r="4667" spans="1:91">
      <c r="A4667" s="2" t="s">
        <v>71</v>
      </c>
      <c r="B4667" s="2" t="s">
        <v>72</v>
      </c>
      <c r="C4667" s="2" t="s">
        <v>73</v>
      </c>
      <c r="D4667" s="2"/>
      <c r="E4667" s="2" t="str">
        <f>"FES1162567121"</f>
        <v>FES1162567121</v>
      </c>
      <c r="F4667" s="3">
        <v>42951</v>
      </c>
      <c r="G4667" s="2">
        <v>201802</v>
      </c>
      <c r="H4667" s="2" t="s">
        <v>74</v>
      </c>
      <c r="I4667" s="2" t="s">
        <v>75</v>
      </c>
      <c r="J4667" s="2" t="s">
        <v>76</v>
      </c>
      <c r="K4667" s="2" t="s">
        <v>77</v>
      </c>
      <c r="L4667" s="2" t="s">
        <v>149</v>
      </c>
      <c r="M4667" s="2" t="s">
        <v>150</v>
      </c>
      <c r="N4667" s="2" t="s">
        <v>372</v>
      </c>
      <c r="O4667" s="2" t="s">
        <v>100</v>
      </c>
      <c r="P4667" s="2" t="str">
        <f>"2170580844                    "</f>
        <v xml:space="preserve">2170580844                    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4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0</v>
      </c>
      <c r="AU4667" s="2">
        <v>0</v>
      </c>
      <c r="AV4667" s="2">
        <v>0</v>
      </c>
      <c r="AW4667" s="2">
        <v>0</v>
      </c>
      <c r="AX4667" s="2">
        <v>0</v>
      </c>
      <c r="AY4667" s="2">
        <v>0</v>
      </c>
      <c r="AZ4667" s="2">
        <v>0</v>
      </c>
      <c r="BA4667" s="2">
        <v>0</v>
      </c>
      <c r="BB4667" s="2">
        <v>0</v>
      </c>
      <c r="BC4667" s="2">
        <v>0</v>
      </c>
      <c r="BD4667" s="2">
        <v>0</v>
      </c>
      <c r="BE4667" s="2">
        <v>0</v>
      </c>
      <c r="BF4667" s="2">
        <v>0</v>
      </c>
      <c r="BG4667" s="2">
        <v>0</v>
      </c>
      <c r="BH4667" s="2">
        <v>1</v>
      </c>
      <c r="BI4667" s="2">
        <v>1</v>
      </c>
      <c r="BJ4667" s="2">
        <v>0.2</v>
      </c>
      <c r="BK4667" s="2">
        <v>1</v>
      </c>
      <c r="BL4667" s="2">
        <v>41.44</v>
      </c>
      <c r="BM4667" s="2">
        <v>5.8</v>
      </c>
      <c r="BN4667" s="2">
        <v>47.24</v>
      </c>
      <c r="BO4667" s="2">
        <v>47.24</v>
      </c>
      <c r="BP4667" s="2"/>
      <c r="BQ4667" s="2" t="s">
        <v>83</v>
      </c>
      <c r="BR4667" s="2" t="s">
        <v>84</v>
      </c>
      <c r="BS4667" s="3">
        <v>42954</v>
      </c>
      <c r="BT4667" s="4">
        <v>0.33611111111111108</v>
      </c>
      <c r="BU4667" s="2" t="s">
        <v>4151</v>
      </c>
      <c r="BV4667" s="2" t="s">
        <v>95</v>
      </c>
      <c r="BW4667" s="2"/>
      <c r="BX4667" s="2"/>
      <c r="BY4667" s="2">
        <v>1200</v>
      </c>
      <c r="BZ4667" s="2"/>
      <c r="CA4667" s="2" t="s">
        <v>1352</v>
      </c>
      <c r="CB4667" s="2"/>
      <c r="CC4667" s="2" t="s">
        <v>150</v>
      </c>
      <c r="CD4667" s="2">
        <v>4052</v>
      </c>
      <c r="CE4667" s="2" t="s">
        <v>104</v>
      </c>
      <c r="CF4667" s="5">
        <v>42955</v>
      </c>
      <c r="CG4667" s="2"/>
      <c r="CH4667" s="2"/>
      <c r="CI4667" s="2">
        <v>1</v>
      </c>
      <c r="CJ4667" s="2">
        <v>1</v>
      </c>
      <c r="CK4667" s="2">
        <v>21</v>
      </c>
      <c r="CL4667" s="2" t="s">
        <v>86</v>
      </c>
      <c r="CM4667" s="2"/>
    </row>
    <row r="4668" spans="1:91">
      <c r="A4668" s="2" t="s">
        <v>71</v>
      </c>
      <c r="B4668" s="2" t="s">
        <v>72</v>
      </c>
      <c r="C4668" s="2" t="s">
        <v>73</v>
      </c>
      <c r="D4668" s="2"/>
      <c r="E4668" s="2" t="str">
        <f>"FES1162567206"</f>
        <v>FES1162567206</v>
      </c>
      <c r="F4668" s="3">
        <v>42951</v>
      </c>
      <c r="G4668" s="2">
        <v>201802</v>
      </c>
      <c r="H4668" s="2" t="s">
        <v>74</v>
      </c>
      <c r="I4668" s="2" t="s">
        <v>75</v>
      </c>
      <c r="J4668" s="2" t="s">
        <v>76</v>
      </c>
      <c r="K4668" s="2" t="s">
        <v>77</v>
      </c>
      <c r="L4668" s="2" t="s">
        <v>417</v>
      </c>
      <c r="M4668" s="2" t="s">
        <v>417</v>
      </c>
      <c r="N4668" s="2" t="s">
        <v>1414</v>
      </c>
      <c r="O4668" s="2" t="s">
        <v>100</v>
      </c>
      <c r="P4668" s="2" t="str">
        <f>"2170583351                    "</f>
        <v xml:space="preserve">2170583351                    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4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0</v>
      </c>
      <c r="AU4668" s="2">
        <v>0</v>
      </c>
      <c r="AV4668" s="2">
        <v>0</v>
      </c>
      <c r="AW4668" s="2">
        <v>0</v>
      </c>
      <c r="AX4668" s="2">
        <v>0</v>
      </c>
      <c r="AY4668" s="2">
        <v>0</v>
      </c>
      <c r="AZ4668" s="2">
        <v>0</v>
      </c>
      <c r="BA4668" s="2">
        <v>0</v>
      </c>
      <c r="BB4668" s="2">
        <v>0</v>
      </c>
      <c r="BC4668" s="2">
        <v>0</v>
      </c>
      <c r="BD4668" s="2">
        <v>0</v>
      </c>
      <c r="BE4668" s="2">
        <v>0</v>
      </c>
      <c r="BF4668" s="2">
        <v>0</v>
      </c>
      <c r="BG4668" s="2">
        <v>0</v>
      </c>
      <c r="BH4668" s="2">
        <v>1</v>
      </c>
      <c r="BI4668" s="2">
        <v>1</v>
      </c>
      <c r="BJ4668" s="2">
        <v>0.2</v>
      </c>
      <c r="BK4668" s="2">
        <v>1</v>
      </c>
      <c r="BL4668" s="2">
        <v>41.44</v>
      </c>
      <c r="BM4668" s="2">
        <v>5.8</v>
      </c>
      <c r="BN4668" s="2">
        <v>47.24</v>
      </c>
      <c r="BO4668" s="2">
        <v>47.24</v>
      </c>
      <c r="BP4668" s="2"/>
      <c r="BQ4668" s="2" t="s">
        <v>108</v>
      </c>
      <c r="BR4668" s="2" t="s">
        <v>84</v>
      </c>
      <c r="BS4668" s="3">
        <v>42954</v>
      </c>
      <c r="BT4668" s="4">
        <v>0.60069444444444442</v>
      </c>
      <c r="BU4668" s="2" t="s">
        <v>3137</v>
      </c>
      <c r="BV4668" s="2" t="s">
        <v>86</v>
      </c>
      <c r="BW4668" s="2" t="s">
        <v>110</v>
      </c>
      <c r="BX4668" s="2" t="s">
        <v>3110</v>
      </c>
      <c r="BY4668" s="2">
        <v>1200</v>
      </c>
      <c r="BZ4668" s="2"/>
      <c r="CA4668" s="2" t="s">
        <v>4152</v>
      </c>
      <c r="CB4668" s="2"/>
      <c r="CC4668" s="2" t="s">
        <v>417</v>
      </c>
      <c r="CD4668" s="2">
        <v>7646</v>
      </c>
      <c r="CE4668" s="2" t="s">
        <v>104</v>
      </c>
      <c r="CF4668" s="5">
        <v>42955</v>
      </c>
      <c r="CG4668" s="2"/>
      <c r="CH4668" s="2"/>
      <c r="CI4668" s="2">
        <v>1</v>
      </c>
      <c r="CJ4668" s="2">
        <v>1</v>
      </c>
      <c r="CK4668" s="2">
        <v>21</v>
      </c>
      <c r="CL4668" s="2" t="s">
        <v>86</v>
      </c>
      <c r="CM4668" s="2"/>
    </row>
    <row r="4669" spans="1:91">
      <c r="A4669" s="2" t="s">
        <v>71</v>
      </c>
      <c r="B4669" s="2" t="s">
        <v>72</v>
      </c>
      <c r="C4669" s="2" t="s">
        <v>73</v>
      </c>
      <c r="D4669" s="2"/>
      <c r="E4669" s="2" t="str">
        <f>"FES1162567185"</f>
        <v>FES1162567185</v>
      </c>
      <c r="F4669" s="3">
        <v>42951</v>
      </c>
      <c r="G4669" s="2">
        <v>201802</v>
      </c>
      <c r="H4669" s="2" t="s">
        <v>74</v>
      </c>
      <c r="I4669" s="2" t="s">
        <v>75</v>
      </c>
      <c r="J4669" s="2" t="s">
        <v>76</v>
      </c>
      <c r="K4669" s="2" t="s">
        <v>77</v>
      </c>
      <c r="L4669" s="2" t="s">
        <v>105</v>
      </c>
      <c r="M4669" s="2" t="s">
        <v>106</v>
      </c>
      <c r="N4669" s="2" t="s">
        <v>4153</v>
      </c>
      <c r="O4669" s="2" t="s">
        <v>100</v>
      </c>
      <c r="P4669" s="2" t="str">
        <f>"2170581206                    "</f>
        <v xml:space="preserve">2170581206                    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4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0</v>
      </c>
      <c r="AU4669" s="2">
        <v>0</v>
      </c>
      <c r="AV4669" s="2">
        <v>0</v>
      </c>
      <c r="AW4669" s="2">
        <v>0</v>
      </c>
      <c r="AX4669" s="2">
        <v>0</v>
      </c>
      <c r="AY4669" s="2">
        <v>0</v>
      </c>
      <c r="AZ4669" s="2">
        <v>0</v>
      </c>
      <c r="BA4669" s="2">
        <v>0</v>
      </c>
      <c r="BB4669" s="2">
        <v>0</v>
      </c>
      <c r="BC4669" s="2">
        <v>0</v>
      </c>
      <c r="BD4669" s="2">
        <v>0</v>
      </c>
      <c r="BE4669" s="2">
        <v>0</v>
      </c>
      <c r="BF4669" s="2">
        <v>0</v>
      </c>
      <c r="BG4669" s="2">
        <v>0</v>
      </c>
      <c r="BH4669" s="2">
        <v>1</v>
      </c>
      <c r="BI4669" s="2">
        <v>1</v>
      </c>
      <c r="BJ4669" s="2">
        <v>0.2</v>
      </c>
      <c r="BK4669" s="2">
        <v>1</v>
      </c>
      <c r="BL4669" s="2">
        <v>41.44</v>
      </c>
      <c r="BM4669" s="2">
        <v>5.8</v>
      </c>
      <c r="BN4669" s="2">
        <v>47.24</v>
      </c>
      <c r="BO4669" s="2">
        <v>47.24</v>
      </c>
      <c r="BP4669" s="2"/>
      <c r="BQ4669" s="2" t="s">
        <v>4154</v>
      </c>
      <c r="BR4669" s="2" t="s">
        <v>84</v>
      </c>
      <c r="BS4669" s="3">
        <v>42954</v>
      </c>
      <c r="BT4669" s="4">
        <v>0.41666666666666669</v>
      </c>
      <c r="BU4669" s="2" t="s">
        <v>1503</v>
      </c>
      <c r="BV4669" s="2" t="s">
        <v>95</v>
      </c>
      <c r="BW4669" s="2"/>
      <c r="BX4669" s="2"/>
      <c r="BY4669" s="2">
        <v>1200</v>
      </c>
      <c r="BZ4669" s="2"/>
      <c r="CA4669" s="2"/>
      <c r="CB4669" s="2"/>
      <c r="CC4669" s="2" t="s">
        <v>106</v>
      </c>
      <c r="CD4669" s="2">
        <v>7460</v>
      </c>
      <c r="CE4669" s="2" t="s">
        <v>104</v>
      </c>
      <c r="CF4669" s="5">
        <v>42955</v>
      </c>
      <c r="CG4669" s="2"/>
      <c r="CH4669" s="2"/>
      <c r="CI4669" s="2">
        <v>1</v>
      </c>
      <c r="CJ4669" s="2">
        <v>1</v>
      </c>
      <c r="CK4669" s="2">
        <v>21</v>
      </c>
      <c r="CL4669" s="2" t="s">
        <v>86</v>
      </c>
      <c r="CM4669" s="2"/>
    </row>
    <row r="4670" spans="1:91">
      <c r="A4670" s="2" t="s">
        <v>71</v>
      </c>
      <c r="B4670" s="2" t="s">
        <v>72</v>
      </c>
      <c r="C4670" s="2" t="s">
        <v>73</v>
      </c>
      <c r="D4670" s="2"/>
      <c r="E4670" s="2" t="str">
        <f>"FES1162567192"</f>
        <v>FES1162567192</v>
      </c>
      <c r="F4670" s="3">
        <v>42951</v>
      </c>
      <c r="G4670" s="2">
        <v>201802</v>
      </c>
      <c r="H4670" s="2" t="s">
        <v>74</v>
      </c>
      <c r="I4670" s="2" t="s">
        <v>75</v>
      </c>
      <c r="J4670" s="2" t="s">
        <v>76</v>
      </c>
      <c r="K4670" s="2" t="s">
        <v>77</v>
      </c>
      <c r="L4670" s="2" t="s">
        <v>105</v>
      </c>
      <c r="M4670" s="2" t="s">
        <v>106</v>
      </c>
      <c r="N4670" s="2" t="s">
        <v>1093</v>
      </c>
      <c r="O4670" s="2" t="s">
        <v>100</v>
      </c>
      <c r="P4670" s="2" t="str">
        <f>"2170583031                    "</f>
        <v xml:space="preserve">2170583031                    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0</v>
      </c>
      <c r="AB4670" s="2">
        <v>0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  <c r="AM4670" s="2">
        <v>4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0</v>
      </c>
      <c r="AU4670" s="2">
        <v>0</v>
      </c>
      <c r="AV4670" s="2">
        <v>0</v>
      </c>
      <c r="AW4670" s="2">
        <v>0</v>
      </c>
      <c r="AX4670" s="2">
        <v>0</v>
      </c>
      <c r="AY4670" s="2">
        <v>0</v>
      </c>
      <c r="AZ4670" s="2">
        <v>0</v>
      </c>
      <c r="BA4670" s="2">
        <v>0</v>
      </c>
      <c r="BB4670" s="2">
        <v>0</v>
      </c>
      <c r="BC4670" s="2">
        <v>0</v>
      </c>
      <c r="BD4670" s="2">
        <v>0</v>
      </c>
      <c r="BE4670" s="2">
        <v>0</v>
      </c>
      <c r="BF4670" s="2">
        <v>0</v>
      </c>
      <c r="BG4670" s="2">
        <v>0</v>
      </c>
      <c r="BH4670" s="2">
        <v>1</v>
      </c>
      <c r="BI4670" s="2">
        <v>1</v>
      </c>
      <c r="BJ4670" s="2">
        <v>0.2</v>
      </c>
      <c r="BK4670" s="2">
        <v>1</v>
      </c>
      <c r="BL4670" s="2">
        <v>41.44</v>
      </c>
      <c r="BM4670" s="2">
        <v>5.8</v>
      </c>
      <c r="BN4670" s="2">
        <v>47.24</v>
      </c>
      <c r="BO4670" s="2">
        <v>47.24</v>
      </c>
      <c r="BP4670" s="2"/>
      <c r="BQ4670" s="2" t="s">
        <v>83</v>
      </c>
      <c r="BR4670" s="2" t="s">
        <v>84</v>
      </c>
      <c r="BS4670" s="3">
        <v>42954</v>
      </c>
      <c r="BT4670" s="4">
        <v>0.39583333333333331</v>
      </c>
      <c r="BU4670" s="2" t="s">
        <v>1094</v>
      </c>
      <c r="BV4670" s="2" t="s">
        <v>95</v>
      </c>
      <c r="BW4670" s="2"/>
      <c r="BX4670" s="2"/>
      <c r="BY4670" s="2">
        <v>1200</v>
      </c>
      <c r="BZ4670" s="2"/>
      <c r="CA4670" s="2" t="s">
        <v>1095</v>
      </c>
      <c r="CB4670" s="2"/>
      <c r="CC4670" s="2" t="s">
        <v>106</v>
      </c>
      <c r="CD4670" s="2">
        <v>7975</v>
      </c>
      <c r="CE4670" s="2" t="s">
        <v>104</v>
      </c>
      <c r="CF4670" s="5">
        <v>42955</v>
      </c>
      <c r="CG4670" s="2"/>
      <c r="CH4670" s="2"/>
      <c r="CI4670" s="2">
        <v>1</v>
      </c>
      <c r="CJ4670" s="2">
        <v>1</v>
      </c>
      <c r="CK4670" s="2">
        <v>21</v>
      </c>
      <c r="CL4670" s="2" t="s">
        <v>86</v>
      </c>
      <c r="CM4670" s="2"/>
    </row>
    <row r="4671" spans="1:91">
      <c r="A4671" s="2" t="s">
        <v>71</v>
      </c>
      <c r="B4671" s="2" t="s">
        <v>72</v>
      </c>
      <c r="C4671" s="2" t="s">
        <v>73</v>
      </c>
      <c r="D4671" s="2"/>
      <c r="E4671" s="2" t="str">
        <f>"FES1162567088"</f>
        <v>FES1162567088</v>
      </c>
      <c r="F4671" s="3">
        <v>42951</v>
      </c>
      <c r="G4671" s="2">
        <v>201802</v>
      </c>
      <c r="H4671" s="2" t="s">
        <v>74</v>
      </c>
      <c r="I4671" s="2" t="s">
        <v>75</v>
      </c>
      <c r="J4671" s="2" t="s">
        <v>76</v>
      </c>
      <c r="K4671" s="2" t="s">
        <v>77</v>
      </c>
      <c r="L4671" s="2" t="s">
        <v>105</v>
      </c>
      <c r="M4671" s="2" t="s">
        <v>106</v>
      </c>
      <c r="N4671" s="2" t="s">
        <v>253</v>
      </c>
      <c r="O4671" s="2" t="s">
        <v>100</v>
      </c>
      <c r="P4671" s="2" t="str">
        <f>"2170580201                    "</f>
        <v xml:space="preserve">2170580201                    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2">
        <v>0</v>
      </c>
      <c r="AB4671" s="2">
        <v>0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4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0</v>
      </c>
      <c r="AU4671" s="2">
        <v>0</v>
      </c>
      <c r="AV4671" s="2">
        <v>0</v>
      </c>
      <c r="AW4671" s="2">
        <v>0</v>
      </c>
      <c r="AX4671" s="2">
        <v>0</v>
      </c>
      <c r="AY4671" s="2">
        <v>0</v>
      </c>
      <c r="AZ4671" s="2">
        <v>0</v>
      </c>
      <c r="BA4671" s="2">
        <v>0</v>
      </c>
      <c r="BB4671" s="2">
        <v>0</v>
      </c>
      <c r="BC4671" s="2">
        <v>0</v>
      </c>
      <c r="BD4671" s="2">
        <v>0</v>
      </c>
      <c r="BE4671" s="2">
        <v>0</v>
      </c>
      <c r="BF4671" s="2">
        <v>0</v>
      </c>
      <c r="BG4671" s="2">
        <v>0</v>
      </c>
      <c r="BH4671" s="2">
        <v>1</v>
      </c>
      <c r="BI4671" s="2">
        <v>1</v>
      </c>
      <c r="BJ4671" s="2">
        <v>0.2</v>
      </c>
      <c r="BK4671" s="2">
        <v>1</v>
      </c>
      <c r="BL4671" s="2">
        <v>41.44</v>
      </c>
      <c r="BM4671" s="2">
        <v>5.8</v>
      </c>
      <c r="BN4671" s="2">
        <v>47.24</v>
      </c>
      <c r="BO4671" s="2">
        <v>47.24</v>
      </c>
      <c r="BP4671" s="2"/>
      <c r="BQ4671" s="2" t="s">
        <v>108</v>
      </c>
      <c r="BR4671" s="2" t="s">
        <v>84</v>
      </c>
      <c r="BS4671" s="3">
        <v>42954</v>
      </c>
      <c r="BT4671" s="4">
        <v>0.4375</v>
      </c>
      <c r="BU4671" s="2" t="s">
        <v>4106</v>
      </c>
      <c r="BV4671" s="2" t="s">
        <v>95</v>
      </c>
      <c r="BW4671" s="2"/>
      <c r="BX4671" s="2"/>
      <c r="BY4671" s="2">
        <v>1200</v>
      </c>
      <c r="BZ4671" s="2"/>
      <c r="CA4671" s="2" t="s">
        <v>654</v>
      </c>
      <c r="CB4671" s="2"/>
      <c r="CC4671" s="2" t="s">
        <v>106</v>
      </c>
      <c r="CD4671" s="2">
        <v>7490</v>
      </c>
      <c r="CE4671" s="2" t="s">
        <v>104</v>
      </c>
      <c r="CF4671" s="5">
        <v>42955</v>
      </c>
      <c r="CG4671" s="2"/>
      <c r="CH4671" s="2"/>
      <c r="CI4671" s="2">
        <v>1</v>
      </c>
      <c r="CJ4671" s="2">
        <v>1</v>
      </c>
      <c r="CK4671" s="2">
        <v>21</v>
      </c>
      <c r="CL4671" s="2" t="s">
        <v>86</v>
      </c>
      <c r="CM4671" s="2"/>
    </row>
    <row r="4672" spans="1:91">
      <c r="A4672" s="2" t="s">
        <v>71</v>
      </c>
      <c r="B4672" s="2" t="s">
        <v>72</v>
      </c>
      <c r="C4672" s="2" t="s">
        <v>73</v>
      </c>
      <c r="D4672" s="2"/>
      <c r="E4672" s="2" t="str">
        <f>"FES1162567089"</f>
        <v>FES1162567089</v>
      </c>
      <c r="F4672" s="3">
        <v>42951</v>
      </c>
      <c r="G4672" s="2">
        <v>201802</v>
      </c>
      <c r="H4672" s="2" t="s">
        <v>74</v>
      </c>
      <c r="I4672" s="2" t="s">
        <v>75</v>
      </c>
      <c r="J4672" s="2" t="s">
        <v>76</v>
      </c>
      <c r="K4672" s="2" t="s">
        <v>77</v>
      </c>
      <c r="L4672" s="2" t="s">
        <v>105</v>
      </c>
      <c r="M4672" s="2" t="s">
        <v>106</v>
      </c>
      <c r="N4672" s="2" t="s">
        <v>3554</v>
      </c>
      <c r="O4672" s="2" t="s">
        <v>100</v>
      </c>
      <c r="P4672" s="2" t="str">
        <f>"2170580212                    "</f>
        <v xml:space="preserve">2170580212                    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2">
        <v>0</v>
      </c>
      <c r="Z4672" s="2">
        <v>0</v>
      </c>
      <c r="AA4672" s="2">
        <v>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4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0</v>
      </c>
      <c r="AU4672" s="2">
        <v>0</v>
      </c>
      <c r="AV4672" s="2">
        <v>0</v>
      </c>
      <c r="AW4672" s="2">
        <v>0</v>
      </c>
      <c r="AX4672" s="2">
        <v>0</v>
      </c>
      <c r="AY4672" s="2">
        <v>0</v>
      </c>
      <c r="AZ4672" s="2">
        <v>0</v>
      </c>
      <c r="BA4672" s="2">
        <v>0</v>
      </c>
      <c r="BB4672" s="2">
        <v>0</v>
      </c>
      <c r="BC4672" s="2">
        <v>0</v>
      </c>
      <c r="BD4672" s="2">
        <v>0</v>
      </c>
      <c r="BE4672" s="2">
        <v>0</v>
      </c>
      <c r="BF4672" s="2">
        <v>0</v>
      </c>
      <c r="BG4672" s="2">
        <v>0</v>
      </c>
      <c r="BH4672" s="2">
        <v>1</v>
      </c>
      <c r="BI4672" s="2">
        <v>1</v>
      </c>
      <c r="BJ4672" s="2">
        <v>0.2</v>
      </c>
      <c r="BK4672" s="2">
        <v>1</v>
      </c>
      <c r="BL4672" s="2">
        <v>41.44</v>
      </c>
      <c r="BM4672" s="2">
        <v>5.8</v>
      </c>
      <c r="BN4672" s="2">
        <v>47.24</v>
      </c>
      <c r="BO4672" s="2">
        <v>47.24</v>
      </c>
      <c r="BP4672" s="2"/>
      <c r="BQ4672" s="2" t="s">
        <v>365</v>
      </c>
      <c r="BR4672" s="2" t="s">
        <v>84</v>
      </c>
      <c r="BS4672" s="3">
        <v>42954</v>
      </c>
      <c r="BT4672" s="4">
        <v>0.41666666666666669</v>
      </c>
      <c r="BU4672" s="2" t="s">
        <v>4155</v>
      </c>
      <c r="BV4672" s="2" t="s">
        <v>95</v>
      </c>
      <c r="BW4672" s="2"/>
      <c r="BX4672" s="2"/>
      <c r="BY4672" s="2">
        <v>1200</v>
      </c>
      <c r="BZ4672" s="2"/>
      <c r="CA4672" s="2"/>
      <c r="CB4672" s="2"/>
      <c r="CC4672" s="2" t="s">
        <v>106</v>
      </c>
      <c r="CD4672" s="2">
        <v>7441</v>
      </c>
      <c r="CE4672" s="2" t="s">
        <v>104</v>
      </c>
      <c r="CF4672" s="5">
        <v>42955</v>
      </c>
      <c r="CG4672" s="2"/>
      <c r="CH4672" s="2"/>
      <c r="CI4672" s="2">
        <v>1</v>
      </c>
      <c r="CJ4672" s="2">
        <v>1</v>
      </c>
      <c r="CK4672" s="2">
        <v>21</v>
      </c>
      <c r="CL4672" s="2" t="s">
        <v>86</v>
      </c>
      <c r="CM4672" s="2"/>
    </row>
    <row r="4673" spans="1:91">
      <c r="A4673" s="2" t="s">
        <v>71</v>
      </c>
      <c r="B4673" s="2" t="s">
        <v>72</v>
      </c>
      <c r="C4673" s="2" t="s">
        <v>73</v>
      </c>
      <c r="D4673" s="2"/>
      <c r="E4673" s="2" t="str">
        <f>"FES1162567187"</f>
        <v>FES1162567187</v>
      </c>
      <c r="F4673" s="3">
        <v>42951</v>
      </c>
      <c r="G4673" s="2">
        <v>201802</v>
      </c>
      <c r="H4673" s="2" t="s">
        <v>74</v>
      </c>
      <c r="I4673" s="2" t="s">
        <v>75</v>
      </c>
      <c r="J4673" s="2" t="s">
        <v>76</v>
      </c>
      <c r="K4673" s="2" t="s">
        <v>77</v>
      </c>
      <c r="L4673" s="2" t="s">
        <v>105</v>
      </c>
      <c r="M4673" s="2" t="s">
        <v>106</v>
      </c>
      <c r="N4673" s="2" t="s">
        <v>873</v>
      </c>
      <c r="O4673" s="2" t="s">
        <v>100</v>
      </c>
      <c r="P4673" s="2" t="str">
        <f>"2170581271                    "</f>
        <v xml:space="preserve">2170581271                    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4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0</v>
      </c>
      <c r="AU4673" s="2">
        <v>0</v>
      </c>
      <c r="AV4673" s="2">
        <v>0</v>
      </c>
      <c r="AW4673" s="2">
        <v>0</v>
      </c>
      <c r="AX4673" s="2">
        <v>0</v>
      </c>
      <c r="AY4673" s="2">
        <v>0</v>
      </c>
      <c r="AZ4673" s="2">
        <v>0</v>
      </c>
      <c r="BA4673" s="2">
        <v>0</v>
      </c>
      <c r="BB4673" s="2">
        <v>0</v>
      </c>
      <c r="BC4673" s="2">
        <v>0</v>
      </c>
      <c r="BD4673" s="2">
        <v>0</v>
      </c>
      <c r="BE4673" s="2">
        <v>0</v>
      </c>
      <c r="BF4673" s="2">
        <v>0</v>
      </c>
      <c r="BG4673" s="2">
        <v>0</v>
      </c>
      <c r="BH4673" s="2">
        <v>1</v>
      </c>
      <c r="BI4673" s="2">
        <v>1</v>
      </c>
      <c r="BJ4673" s="2">
        <v>0.2</v>
      </c>
      <c r="BK4673" s="2">
        <v>1</v>
      </c>
      <c r="BL4673" s="2">
        <v>41.44</v>
      </c>
      <c r="BM4673" s="2">
        <v>5.8</v>
      </c>
      <c r="BN4673" s="2">
        <v>47.24</v>
      </c>
      <c r="BO4673" s="2">
        <v>47.24</v>
      </c>
      <c r="BP4673" s="2"/>
      <c r="BQ4673" s="2" t="s">
        <v>83</v>
      </c>
      <c r="BR4673" s="2" t="s">
        <v>84</v>
      </c>
      <c r="BS4673" s="3">
        <v>42954</v>
      </c>
      <c r="BT4673" s="4">
        <v>0.37638888888888888</v>
      </c>
      <c r="BU4673" s="2" t="s">
        <v>2232</v>
      </c>
      <c r="BV4673" s="2" t="s">
        <v>95</v>
      </c>
      <c r="BW4673" s="2"/>
      <c r="BX4673" s="2"/>
      <c r="BY4673" s="2">
        <v>1200</v>
      </c>
      <c r="BZ4673" s="2"/>
      <c r="CA4673" s="2" t="s">
        <v>3531</v>
      </c>
      <c r="CB4673" s="2"/>
      <c r="CC4673" s="2" t="s">
        <v>106</v>
      </c>
      <c r="CD4673" s="2">
        <v>7460</v>
      </c>
      <c r="CE4673" s="2" t="s">
        <v>104</v>
      </c>
      <c r="CF4673" s="5">
        <v>42955</v>
      </c>
      <c r="CG4673" s="2"/>
      <c r="CH4673" s="2"/>
      <c r="CI4673" s="2">
        <v>1</v>
      </c>
      <c r="CJ4673" s="2">
        <v>1</v>
      </c>
      <c r="CK4673" s="2">
        <v>21</v>
      </c>
      <c r="CL4673" s="2" t="s">
        <v>86</v>
      </c>
      <c r="CM4673" s="2"/>
    </row>
    <row r="4674" spans="1:91">
      <c r="A4674" s="2" t="s">
        <v>71</v>
      </c>
      <c r="B4674" s="2" t="s">
        <v>72</v>
      </c>
      <c r="C4674" s="2" t="s">
        <v>73</v>
      </c>
      <c r="D4674" s="2"/>
      <c r="E4674" s="2" t="str">
        <f>"FES1162567087"</f>
        <v>FES1162567087</v>
      </c>
      <c r="F4674" s="3">
        <v>42951</v>
      </c>
      <c r="G4674" s="2">
        <v>201802</v>
      </c>
      <c r="H4674" s="2" t="s">
        <v>74</v>
      </c>
      <c r="I4674" s="2" t="s">
        <v>75</v>
      </c>
      <c r="J4674" s="2" t="s">
        <v>76</v>
      </c>
      <c r="K4674" s="2" t="s">
        <v>77</v>
      </c>
      <c r="L4674" s="2" t="s">
        <v>97</v>
      </c>
      <c r="M4674" s="2" t="s">
        <v>98</v>
      </c>
      <c r="N4674" s="2" t="s">
        <v>119</v>
      </c>
      <c r="O4674" s="2" t="s">
        <v>100</v>
      </c>
      <c r="P4674" s="2" t="str">
        <f>"2170580190                    "</f>
        <v xml:space="preserve">2170580190                    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2">
        <v>0</v>
      </c>
      <c r="AB4674" s="2">
        <v>0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4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0</v>
      </c>
      <c r="AU4674" s="2">
        <v>0</v>
      </c>
      <c r="AV4674" s="2">
        <v>0</v>
      </c>
      <c r="AW4674" s="2">
        <v>0</v>
      </c>
      <c r="AX4674" s="2">
        <v>0</v>
      </c>
      <c r="AY4674" s="2">
        <v>0</v>
      </c>
      <c r="AZ4674" s="2">
        <v>0</v>
      </c>
      <c r="BA4674" s="2">
        <v>0</v>
      </c>
      <c r="BB4674" s="2">
        <v>0</v>
      </c>
      <c r="BC4674" s="2">
        <v>0</v>
      </c>
      <c r="BD4674" s="2">
        <v>0</v>
      </c>
      <c r="BE4674" s="2">
        <v>0</v>
      </c>
      <c r="BF4674" s="2">
        <v>0</v>
      </c>
      <c r="BG4674" s="2">
        <v>0</v>
      </c>
      <c r="BH4674" s="2">
        <v>1</v>
      </c>
      <c r="BI4674" s="2">
        <v>1</v>
      </c>
      <c r="BJ4674" s="2">
        <v>0.2</v>
      </c>
      <c r="BK4674" s="2">
        <v>1</v>
      </c>
      <c r="BL4674" s="2">
        <v>41.44</v>
      </c>
      <c r="BM4674" s="2">
        <v>5.8</v>
      </c>
      <c r="BN4674" s="2">
        <v>47.24</v>
      </c>
      <c r="BO4674" s="2">
        <v>47.24</v>
      </c>
      <c r="BP4674" s="2"/>
      <c r="BQ4674" s="2" t="s">
        <v>108</v>
      </c>
      <c r="BR4674" s="2" t="s">
        <v>84</v>
      </c>
      <c r="BS4674" s="3">
        <v>42954</v>
      </c>
      <c r="BT4674" s="4">
        <v>0.3347222222222222</v>
      </c>
      <c r="BU4674" s="2" t="s">
        <v>1858</v>
      </c>
      <c r="BV4674" s="2" t="s">
        <v>95</v>
      </c>
      <c r="BW4674" s="2"/>
      <c r="BX4674" s="2"/>
      <c r="BY4674" s="2">
        <v>1200</v>
      </c>
      <c r="BZ4674" s="2"/>
      <c r="CA4674" s="2" t="s">
        <v>213</v>
      </c>
      <c r="CB4674" s="2"/>
      <c r="CC4674" s="2" t="s">
        <v>98</v>
      </c>
      <c r="CD4674" s="2">
        <v>6001</v>
      </c>
      <c r="CE4674" s="2" t="s">
        <v>104</v>
      </c>
      <c r="CF4674" s="5">
        <v>42955</v>
      </c>
      <c r="CG4674" s="2"/>
      <c r="CH4674" s="2"/>
      <c r="CI4674" s="2">
        <v>1</v>
      </c>
      <c r="CJ4674" s="2">
        <v>1</v>
      </c>
      <c r="CK4674" s="2">
        <v>21</v>
      </c>
      <c r="CL4674" s="2" t="s">
        <v>86</v>
      </c>
      <c r="CM4674" s="2"/>
    </row>
    <row r="4675" spans="1:91">
      <c r="A4675" s="2" t="s">
        <v>71</v>
      </c>
      <c r="B4675" s="2" t="s">
        <v>72</v>
      </c>
      <c r="C4675" s="2" t="s">
        <v>73</v>
      </c>
      <c r="D4675" s="2"/>
      <c r="E4675" s="2" t="str">
        <f>"FES1162567159"</f>
        <v>FES1162567159</v>
      </c>
      <c r="F4675" s="3">
        <v>42951</v>
      </c>
      <c r="G4675" s="2">
        <v>201802</v>
      </c>
      <c r="H4675" s="2" t="s">
        <v>74</v>
      </c>
      <c r="I4675" s="2" t="s">
        <v>75</v>
      </c>
      <c r="J4675" s="2" t="s">
        <v>76</v>
      </c>
      <c r="K4675" s="2" t="s">
        <v>77</v>
      </c>
      <c r="L4675" s="2" t="s">
        <v>174</v>
      </c>
      <c r="M4675" s="2" t="s">
        <v>175</v>
      </c>
      <c r="N4675" s="2" t="s">
        <v>930</v>
      </c>
      <c r="O4675" s="2" t="s">
        <v>100</v>
      </c>
      <c r="P4675" s="2" t="str">
        <f>"2170582868                    "</f>
        <v xml:space="preserve">2170582868                    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4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0</v>
      </c>
      <c r="AU4675" s="2">
        <v>0</v>
      </c>
      <c r="AV4675" s="2">
        <v>0</v>
      </c>
      <c r="AW4675" s="2">
        <v>0</v>
      </c>
      <c r="AX4675" s="2">
        <v>0</v>
      </c>
      <c r="AY4675" s="2">
        <v>0</v>
      </c>
      <c r="AZ4675" s="2">
        <v>0</v>
      </c>
      <c r="BA4675" s="2">
        <v>0</v>
      </c>
      <c r="BB4675" s="2">
        <v>0</v>
      </c>
      <c r="BC4675" s="2">
        <v>0</v>
      </c>
      <c r="BD4675" s="2">
        <v>0</v>
      </c>
      <c r="BE4675" s="2">
        <v>0</v>
      </c>
      <c r="BF4675" s="2">
        <v>0</v>
      </c>
      <c r="BG4675" s="2">
        <v>0</v>
      </c>
      <c r="BH4675" s="2">
        <v>1</v>
      </c>
      <c r="BI4675" s="2">
        <v>1</v>
      </c>
      <c r="BJ4675" s="2">
        <v>0.2</v>
      </c>
      <c r="BK4675" s="2">
        <v>1</v>
      </c>
      <c r="BL4675" s="2">
        <v>41.44</v>
      </c>
      <c r="BM4675" s="2">
        <v>5.8</v>
      </c>
      <c r="BN4675" s="2">
        <v>47.24</v>
      </c>
      <c r="BO4675" s="2">
        <v>47.24</v>
      </c>
      <c r="BP4675" s="2"/>
      <c r="BQ4675" s="2" t="s">
        <v>83</v>
      </c>
      <c r="BR4675" s="2" t="s">
        <v>84</v>
      </c>
      <c r="BS4675" s="3">
        <v>42954</v>
      </c>
      <c r="BT4675" s="4">
        <v>0.4465277777777778</v>
      </c>
      <c r="BU4675" s="2" t="s">
        <v>1408</v>
      </c>
      <c r="BV4675" s="2" t="s">
        <v>95</v>
      </c>
      <c r="BW4675" s="2"/>
      <c r="BX4675" s="2"/>
      <c r="BY4675" s="2">
        <v>1200</v>
      </c>
      <c r="BZ4675" s="2"/>
      <c r="CA4675" s="2" t="s">
        <v>1373</v>
      </c>
      <c r="CB4675" s="2"/>
      <c r="CC4675" s="2" t="s">
        <v>175</v>
      </c>
      <c r="CD4675" s="2">
        <v>5201</v>
      </c>
      <c r="CE4675" s="2" t="s">
        <v>104</v>
      </c>
      <c r="CF4675" s="5">
        <v>42957</v>
      </c>
      <c r="CG4675" s="2"/>
      <c r="CH4675" s="2"/>
      <c r="CI4675" s="2">
        <v>1</v>
      </c>
      <c r="CJ4675" s="2">
        <v>1</v>
      </c>
      <c r="CK4675" s="2">
        <v>21</v>
      </c>
      <c r="CL4675" s="2" t="s">
        <v>86</v>
      </c>
      <c r="CM4675" s="2"/>
    </row>
    <row r="4676" spans="1:91">
      <c r="A4676" s="2" t="s">
        <v>71</v>
      </c>
      <c r="B4676" s="2" t="s">
        <v>72</v>
      </c>
      <c r="C4676" s="2" t="s">
        <v>73</v>
      </c>
      <c r="D4676" s="2"/>
      <c r="E4676" s="2" t="str">
        <f>"FES1162567135"</f>
        <v>FES1162567135</v>
      </c>
      <c r="F4676" s="3">
        <v>42951</v>
      </c>
      <c r="G4676" s="2">
        <v>201802</v>
      </c>
      <c r="H4676" s="2" t="s">
        <v>74</v>
      </c>
      <c r="I4676" s="2" t="s">
        <v>75</v>
      </c>
      <c r="J4676" s="2" t="s">
        <v>76</v>
      </c>
      <c r="K4676" s="2" t="s">
        <v>77</v>
      </c>
      <c r="L4676" s="2" t="s">
        <v>97</v>
      </c>
      <c r="M4676" s="2" t="s">
        <v>98</v>
      </c>
      <c r="N4676" s="2" t="s">
        <v>214</v>
      </c>
      <c r="O4676" s="2" t="s">
        <v>100</v>
      </c>
      <c r="P4676" s="2" t="str">
        <f>"2170581123                    "</f>
        <v xml:space="preserve">2170581123                    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2">
        <v>0</v>
      </c>
      <c r="Z4676" s="2">
        <v>0</v>
      </c>
      <c r="AA4676" s="2">
        <v>0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4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0</v>
      </c>
      <c r="AU4676" s="2">
        <v>0</v>
      </c>
      <c r="AV4676" s="2">
        <v>0</v>
      </c>
      <c r="AW4676" s="2">
        <v>0</v>
      </c>
      <c r="AX4676" s="2">
        <v>0</v>
      </c>
      <c r="AY4676" s="2">
        <v>0</v>
      </c>
      <c r="AZ4676" s="2">
        <v>0</v>
      </c>
      <c r="BA4676" s="2">
        <v>0</v>
      </c>
      <c r="BB4676" s="2">
        <v>0</v>
      </c>
      <c r="BC4676" s="2">
        <v>0</v>
      </c>
      <c r="BD4676" s="2">
        <v>0</v>
      </c>
      <c r="BE4676" s="2">
        <v>0</v>
      </c>
      <c r="BF4676" s="2">
        <v>0</v>
      </c>
      <c r="BG4676" s="2">
        <v>0</v>
      </c>
      <c r="BH4676" s="2">
        <v>1</v>
      </c>
      <c r="BI4676" s="2">
        <v>1</v>
      </c>
      <c r="BJ4676" s="2">
        <v>0.2</v>
      </c>
      <c r="BK4676" s="2">
        <v>1</v>
      </c>
      <c r="BL4676" s="2">
        <v>41.44</v>
      </c>
      <c r="BM4676" s="2">
        <v>5.8</v>
      </c>
      <c r="BN4676" s="2">
        <v>47.24</v>
      </c>
      <c r="BO4676" s="2">
        <v>47.24</v>
      </c>
      <c r="BP4676" s="2"/>
      <c r="BQ4676" s="2" t="s">
        <v>108</v>
      </c>
      <c r="BR4676" s="2" t="s">
        <v>84</v>
      </c>
      <c r="BS4676" s="3">
        <v>42954</v>
      </c>
      <c r="BT4676" s="4">
        <v>0.3263888888888889</v>
      </c>
      <c r="BU4676" s="2" t="s">
        <v>215</v>
      </c>
      <c r="BV4676" s="2" t="s">
        <v>95</v>
      </c>
      <c r="BW4676" s="2"/>
      <c r="BX4676" s="2"/>
      <c r="BY4676" s="2">
        <v>1200</v>
      </c>
      <c r="BZ4676" s="2"/>
      <c r="CA4676" s="2" t="s">
        <v>213</v>
      </c>
      <c r="CB4676" s="2"/>
      <c r="CC4676" s="2" t="s">
        <v>98</v>
      </c>
      <c r="CD4676" s="2">
        <v>6001</v>
      </c>
      <c r="CE4676" s="2" t="s">
        <v>104</v>
      </c>
      <c r="CF4676" s="5">
        <v>42955</v>
      </c>
      <c r="CG4676" s="2"/>
      <c r="CH4676" s="2"/>
      <c r="CI4676" s="2">
        <v>1</v>
      </c>
      <c r="CJ4676" s="2">
        <v>1</v>
      </c>
      <c r="CK4676" s="2">
        <v>21</v>
      </c>
      <c r="CL4676" s="2" t="s">
        <v>86</v>
      </c>
      <c r="CM4676" s="2"/>
    </row>
    <row r="4677" spans="1:91">
      <c r="A4677" s="2" t="s">
        <v>71</v>
      </c>
      <c r="B4677" s="2" t="s">
        <v>72</v>
      </c>
      <c r="C4677" s="2" t="s">
        <v>73</v>
      </c>
      <c r="D4677" s="2"/>
      <c r="E4677" s="2" t="str">
        <f>"FES1162566894"</f>
        <v>FES1162566894</v>
      </c>
      <c r="F4677" s="3">
        <v>42951</v>
      </c>
      <c r="G4677" s="2">
        <v>201802</v>
      </c>
      <c r="H4677" s="2" t="s">
        <v>74</v>
      </c>
      <c r="I4677" s="2" t="s">
        <v>75</v>
      </c>
      <c r="J4677" s="2" t="s">
        <v>76</v>
      </c>
      <c r="K4677" s="2" t="s">
        <v>77</v>
      </c>
      <c r="L4677" s="2" t="s">
        <v>539</v>
      </c>
      <c r="M4677" s="2" t="s">
        <v>540</v>
      </c>
      <c r="N4677" s="2" t="s">
        <v>4156</v>
      </c>
      <c r="O4677" s="2" t="s">
        <v>100</v>
      </c>
      <c r="P4677" s="2" t="str">
        <f>"2170582366                    "</f>
        <v xml:space="preserve">2170582366                    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2">
        <v>0</v>
      </c>
      <c r="AB4677" s="2">
        <v>0</v>
      </c>
      <c r="AC4677" s="2">
        <v>0</v>
      </c>
      <c r="AD4677" s="2">
        <v>0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3.13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0</v>
      </c>
      <c r="AU4677" s="2">
        <v>0</v>
      </c>
      <c r="AV4677" s="2">
        <v>0</v>
      </c>
      <c r="AW4677" s="2">
        <v>0</v>
      </c>
      <c r="AX4677" s="2">
        <v>0</v>
      </c>
      <c r="AY4677" s="2">
        <v>0</v>
      </c>
      <c r="AZ4677" s="2">
        <v>0</v>
      </c>
      <c r="BA4677" s="2">
        <v>0</v>
      </c>
      <c r="BB4677" s="2">
        <v>0</v>
      </c>
      <c r="BC4677" s="2">
        <v>0</v>
      </c>
      <c r="BD4677" s="2">
        <v>0</v>
      </c>
      <c r="BE4677" s="2">
        <v>0</v>
      </c>
      <c r="BF4677" s="2">
        <v>0</v>
      </c>
      <c r="BG4677" s="2">
        <v>0</v>
      </c>
      <c r="BH4677" s="2">
        <v>1</v>
      </c>
      <c r="BI4677" s="2">
        <v>1</v>
      </c>
      <c r="BJ4677" s="2">
        <v>0.2</v>
      </c>
      <c r="BK4677" s="2">
        <v>1</v>
      </c>
      <c r="BL4677" s="2">
        <v>32.380000000000003</v>
      </c>
      <c r="BM4677" s="2">
        <v>4.53</v>
      </c>
      <c r="BN4677" s="2">
        <v>36.909999999999997</v>
      </c>
      <c r="BO4677" s="2">
        <v>36.909999999999997</v>
      </c>
      <c r="BP4677" s="2"/>
      <c r="BQ4677" s="2"/>
      <c r="BR4677" s="2" t="s">
        <v>84</v>
      </c>
      <c r="BS4677" s="3">
        <v>42954</v>
      </c>
      <c r="BT4677" s="4">
        <v>0.48888888888888887</v>
      </c>
      <c r="BU4677" s="2" t="s">
        <v>4157</v>
      </c>
      <c r="BV4677" s="2" t="s">
        <v>95</v>
      </c>
      <c r="BW4677" s="2"/>
      <c r="BX4677" s="2"/>
      <c r="BY4677" s="2">
        <v>1200</v>
      </c>
      <c r="BZ4677" s="2"/>
      <c r="CA4677" s="2"/>
      <c r="CB4677" s="2"/>
      <c r="CC4677" s="2" t="s">
        <v>540</v>
      </c>
      <c r="CD4677" s="2">
        <v>2163</v>
      </c>
      <c r="CE4677" s="2" t="s">
        <v>104</v>
      </c>
      <c r="CF4677" s="5">
        <v>42955</v>
      </c>
      <c r="CG4677" s="2"/>
      <c r="CH4677" s="2"/>
      <c r="CI4677" s="2">
        <v>1</v>
      </c>
      <c r="CJ4677" s="2">
        <v>1</v>
      </c>
      <c r="CK4677" s="2">
        <v>22</v>
      </c>
      <c r="CL4677" s="2" t="s">
        <v>86</v>
      </c>
      <c r="CM4677" s="2"/>
    </row>
    <row r="4678" spans="1:91">
      <c r="A4678" s="2" t="s">
        <v>71</v>
      </c>
      <c r="B4678" s="2" t="s">
        <v>72</v>
      </c>
      <c r="C4678" s="2" t="s">
        <v>73</v>
      </c>
      <c r="D4678" s="2"/>
      <c r="E4678" s="2" t="str">
        <f>"FES1162566989"</f>
        <v>FES1162566989</v>
      </c>
      <c r="F4678" s="3">
        <v>42951</v>
      </c>
      <c r="G4678" s="2">
        <v>201802</v>
      </c>
      <c r="H4678" s="2" t="s">
        <v>74</v>
      </c>
      <c r="I4678" s="2" t="s">
        <v>75</v>
      </c>
      <c r="J4678" s="2" t="s">
        <v>76</v>
      </c>
      <c r="K4678" s="2" t="s">
        <v>77</v>
      </c>
      <c r="L4678" s="2" t="s">
        <v>74</v>
      </c>
      <c r="M4678" s="2" t="s">
        <v>75</v>
      </c>
      <c r="N4678" s="2" t="s">
        <v>821</v>
      </c>
      <c r="O4678" s="2" t="s">
        <v>100</v>
      </c>
      <c r="P4678" s="2" t="str">
        <f>"21705877820                   "</f>
        <v xml:space="preserve">21705877820                   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3.13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0</v>
      </c>
      <c r="AU4678" s="2">
        <v>0</v>
      </c>
      <c r="AV4678" s="2">
        <v>0</v>
      </c>
      <c r="AW4678" s="2">
        <v>0</v>
      </c>
      <c r="AX4678" s="2">
        <v>0</v>
      </c>
      <c r="AY4678" s="2">
        <v>0</v>
      </c>
      <c r="AZ4678" s="2">
        <v>0</v>
      </c>
      <c r="BA4678" s="2">
        <v>0</v>
      </c>
      <c r="BB4678" s="2">
        <v>0</v>
      </c>
      <c r="BC4678" s="2">
        <v>0</v>
      </c>
      <c r="BD4678" s="2">
        <v>0</v>
      </c>
      <c r="BE4678" s="2">
        <v>0</v>
      </c>
      <c r="BF4678" s="2">
        <v>0</v>
      </c>
      <c r="BG4678" s="2">
        <v>0</v>
      </c>
      <c r="BH4678" s="2">
        <v>1</v>
      </c>
      <c r="BI4678" s="2">
        <v>1</v>
      </c>
      <c r="BJ4678" s="2">
        <v>0.2</v>
      </c>
      <c r="BK4678" s="2">
        <v>1</v>
      </c>
      <c r="BL4678" s="2">
        <v>32.380000000000003</v>
      </c>
      <c r="BM4678" s="2">
        <v>4.53</v>
      </c>
      <c r="BN4678" s="2">
        <v>36.909999999999997</v>
      </c>
      <c r="BO4678" s="2">
        <v>36.909999999999997</v>
      </c>
      <c r="BP4678" s="2"/>
      <c r="BQ4678" s="2" t="s">
        <v>83</v>
      </c>
      <c r="BR4678" s="2" t="s">
        <v>84</v>
      </c>
      <c r="BS4678" s="3">
        <v>42954</v>
      </c>
      <c r="BT4678" s="4">
        <v>0.34097222222222223</v>
      </c>
      <c r="BU4678" s="2" t="s">
        <v>1435</v>
      </c>
      <c r="BV4678" s="2" t="s">
        <v>95</v>
      </c>
      <c r="BW4678" s="2"/>
      <c r="BX4678" s="2"/>
      <c r="BY4678" s="2">
        <v>1200</v>
      </c>
      <c r="BZ4678" s="2"/>
      <c r="CA4678" s="2"/>
      <c r="CB4678" s="2"/>
      <c r="CC4678" s="2" t="s">
        <v>75</v>
      </c>
      <c r="CD4678" s="2">
        <v>1665</v>
      </c>
      <c r="CE4678" s="2" t="s">
        <v>104</v>
      </c>
      <c r="CF4678" s="5">
        <v>42955</v>
      </c>
      <c r="CG4678" s="2"/>
      <c r="CH4678" s="2"/>
      <c r="CI4678" s="2">
        <v>1</v>
      </c>
      <c r="CJ4678" s="2">
        <v>1</v>
      </c>
      <c r="CK4678" s="2">
        <v>22</v>
      </c>
      <c r="CL4678" s="2" t="s">
        <v>86</v>
      </c>
      <c r="CM4678" s="2"/>
    </row>
    <row r="4679" spans="1:91">
      <c r="A4679" s="2" t="s">
        <v>71</v>
      </c>
      <c r="B4679" s="2" t="s">
        <v>72</v>
      </c>
      <c r="C4679" s="2" t="s">
        <v>73</v>
      </c>
      <c r="D4679" s="2"/>
      <c r="E4679" s="2" t="str">
        <f>"FES1162566964"</f>
        <v>FES1162566964</v>
      </c>
      <c r="F4679" s="3">
        <v>42951</v>
      </c>
      <c r="G4679" s="2">
        <v>201802</v>
      </c>
      <c r="H4679" s="2" t="s">
        <v>74</v>
      </c>
      <c r="I4679" s="2" t="s">
        <v>75</v>
      </c>
      <c r="J4679" s="2" t="s">
        <v>76</v>
      </c>
      <c r="K4679" s="2" t="s">
        <v>77</v>
      </c>
      <c r="L4679" s="2" t="s">
        <v>144</v>
      </c>
      <c r="M4679" s="2" t="s">
        <v>145</v>
      </c>
      <c r="N4679" s="2" t="s">
        <v>146</v>
      </c>
      <c r="O4679" s="2" t="s">
        <v>100</v>
      </c>
      <c r="P4679" s="2" t="str">
        <f>"2170583216                    "</f>
        <v xml:space="preserve">2170583216                    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3.13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0</v>
      </c>
      <c r="AU4679" s="2">
        <v>0</v>
      </c>
      <c r="AV4679" s="2">
        <v>0</v>
      </c>
      <c r="AW4679" s="2">
        <v>0</v>
      </c>
      <c r="AX4679" s="2">
        <v>0</v>
      </c>
      <c r="AY4679" s="2">
        <v>0</v>
      </c>
      <c r="AZ4679" s="2">
        <v>0</v>
      </c>
      <c r="BA4679" s="2">
        <v>0</v>
      </c>
      <c r="BB4679" s="2">
        <v>0</v>
      </c>
      <c r="BC4679" s="2">
        <v>0</v>
      </c>
      <c r="BD4679" s="2">
        <v>0</v>
      </c>
      <c r="BE4679" s="2">
        <v>0</v>
      </c>
      <c r="BF4679" s="2">
        <v>0</v>
      </c>
      <c r="BG4679" s="2">
        <v>0</v>
      </c>
      <c r="BH4679" s="2">
        <v>1</v>
      </c>
      <c r="BI4679" s="2">
        <v>1</v>
      </c>
      <c r="BJ4679" s="2">
        <v>0.2</v>
      </c>
      <c r="BK4679" s="2">
        <v>1</v>
      </c>
      <c r="BL4679" s="2">
        <v>32.380000000000003</v>
      </c>
      <c r="BM4679" s="2">
        <v>4.53</v>
      </c>
      <c r="BN4679" s="2">
        <v>36.909999999999997</v>
      </c>
      <c r="BO4679" s="2">
        <v>36.909999999999997</v>
      </c>
      <c r="BP4679" s="2"/>
      <c r="BQ4679" s="2" t="s">
        <v>83</v>
      </c>
      <c r="BR4679" s="2" t="s">
        <v>84</v>
      </c>
      <c r="BS4679" s="3">
        <v>42954</v>
      </c>
      <c r="BT4679" s="4">
        <v>0.375</v>
      </c>
      <c r="BU4679" s="2" t="s">
        <v>1632</v>
      </c>
      <c r="BV4679" s="2" t="s">
        <v>95</v>
      </c>
      <c r="BW4679" s="2"/>
      <c r="BX4679" s="2"/>
      <c r="BY4679" s="2">
        <v>1200</v>
      </c>
      <c r="BZ4679" s="2"/>
      <c r="CA4679" s="2"/>
      <c r="CB4679" s="2"/>
      <c r="CC4679" s="2" t="s">
        <v>145</v>
      </c>
      <c r="CD4679" s="2">
        <v>2094</v>
      </c>
      <c r="CE4679" s="2" t="s">
        <v>104</v>
      </c>
      <c r="CF4679" s="5">
        <v>42955</v>
      </c>
      <c r="CG4679" s="2"/>
      <c r="CH4679" s="2"/>
      <c r="CI4679" s="2">
        <v>1</v>
      </c>
      <c r="CJ4679" s="2">
        <v>1</v>
      </c>
      <c r="CK4679" s="2">
        <v>22</v>
      </c>
      <c r="CL4679" s="2" t="s">
        <v>86</v>
      </c>
      <c r="CM4679" s="2"/>
    </row>
    <row r="4680" spans="1:91">
      <c r="A4680" s="2" t="s">
        <v>71</v>
      </c>
      <c r="B4680" s="2" t="s">
        <v>72</v>
      </c>
      <c r="C4680" s="2" t="s">
        <v>73</v>
      </c>
      <c r="D4680" s="2"/>
      <c r="E4680" s="2" t="str">
        <f>"FES1162566951"</f>
        <v>FES1162566951</v>
      </c>
      <c r="F4680" s="3">
        <v>42951</v>
      </c>
      <c r="G4680" s="2">
        <v>201802</v>
      </c>
      <c r="H4680" s="2" t="s">
        <v>74</v>
      </c>
      <c r="I4680" s="2" t="s">
        <v>75</v>
      </c>
      <c r="J4680" s="2" t="s">
        <v>76</v>
      </c>
      <c r="K4680" s="2" t="s">
        <v>77</v>
      </c>
      <c r="L4680" s="2" t="s">
        <v>216</v>
      </c>
      <c r="M4680" s="2" t="s">
        <v>217</v>
      </c>
      <c r="N4680" s="2" t="s">
        <v>351</v>
      </c>
      <c r="O4680" s="2" t="s">
        <v>100</v>
      </c>
      <c r="P4680" s="2" t="str">
        <f>"2170583200                    "</f>
        <v xml:space="preserve">2170583200                    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2">
        <v>0</v>
      </c>
      <c r="Z4680" s="2">
        <v>0</v>
      </c>
      <c r="AA4680" s="2">
        <v>0</v>
      </c>
      <c r="AB4680" s="2">
        <v>0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3.13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0</v>
      </c>
      <c r="AU4680" s="2">
        <v>0</v>
      </c>
      <c r="AV4680" s="2">
        <v>0</v>
      </c>
      <c r="AW4680" s="2">
        <v>0</v>
      </c>
      <c r="AX4680" s="2">
        <v>0</v>
      </c>
      <c r="AY4680" s="2">
        <v>0</v>
      </c>
      <c r="AZ4680" s="2">
        <v>0</v>
      </c>
      <c r="BA4680" s="2">
        <v>0</v>
      </c>
      <c r="BB4680" s="2">
        <v>0</v>
      </c>
      <c r="BC4680" s="2">
        <v>0</v>
      </c>
      <c r="BD4680" s="2">
        <v>0</v>
      </c>
      <c r="BE4680" s="2">
        <v>0</v>
      </c>
      <c r="BF4680" s="2">
        <v>0</v>
      </c>
      <c r="BG4680" s="2">
        <v>0</v>
      </c>
      <c r="BH4680" s="2">
        <v>1</v>
      </c>
      <c r="BI4680" s="2">
        <v>1</v>
      </c>
      <c r="BJ4680" s="2">
        <v>0.2</v>
      </c>
      <c r="BK4680" s="2">
        <v>1</v>
      </c>
      <c r="BL4680" s="2">
        <v>32.380000000000003</v>
      </c>
      <c r="BM4680" s="2">
        <v>4.53</v>
      </c>
      <c r="BN4680" s="2">
        <v>36.909999999999997</v>
      </c>
      <c r="BO4680" s="2">
        <v>36.909999999999997</v>
      </c>
      <c r="BP4680" s="2"/>
      <c r="BQ4680" s="2"/>
      <c r="BR4680" s="2" t="s">
        <v>84</v>
      </c>
      <c r="BS4680" s="3">
        <v>42954</v>
      </c>
      <c r="BT4680" s="4">
        <v>0.3923611111111111</v>
      </c>
      <c r="BU4680" s="2" t="s">
        <v>330</v>
      </c>
      <c r="BV4680" s="2" t="s">
        <v>95</v>
      </c>
      <c r="BW4680" s="2"/>
      <c r="BX4680" s="2"/>
      <c r="BY4680" s="2">
        <v>1200</v>
      </c>
      <c r="BZ4680" s="2"/>
      <c r="CA4680" s="2"/>
      <c r="CB4680" s="2"/>
      <c r="CC4680" s="2" t="s">
        <v>217</v>
      </c>
      <c r="CD4680" s="2">
        <v>1451</v>
      </c>
      <c r="CE4680" s="2" t="s">
        <v>104</v>
      </c>
      <c r="CF4680" s="5">
        <v>42955</v>
      </c>
      <c r="CG4680" s="2"/>
      <c r="CH4680" s="2"/>
      <c r="CI4680" s="2">
        <v>1</v>
      </c>
      <c r="CJ4680" s="2">
        <v>1</v>
      </c>
      <c r="CK4680" s="2">
        <v>22</v>
      </c>
      <c r="CL4680" s="2" t="s">
        <v>86</v>
      </c>
      <c r="CM4680" s="2"/>
    </row>
    <row r="4681" spans="1:91">
      <c r="A4681" s="2" t="s">
        <v>71</v>
      </c>
      <c r="B4681" s="2" t="s">
        <v>72</v>
      </c>
      <c r="C4681" s="2" t="s">
        <v>73</v>
      </c>
      <c r="D4681" s="2"/>
      <c r="E4681" s="2" t="str">
        <f>"FES1162566947"</f>
        <v>FES1162566947</v>
      </c>
      <c r="F4681" s="3">
        <v>42951</v>
      </c>
      <c r="G4681" s="2">
        <v>201802</v>
      </c>
      <c r="H4681" s="2" t="s">
        <v>74</v>
      </c>
      <c r="I4681" s="2" t="s">
        <v>75</v>
      </c>
      <c r="J4681" s="2" t="s">
        <v>76</v>
      </c>
      <c r="K4681" s="2" t="s">
        <v>77</v>
      </c>
      <c r="L4681" s="2" t="s">
        <v>128</v>
      </c>
      <c r="M4681" s="2" t="s">
        <v>129</v>
      </c>
      <c r="N4681" s="2" t="s">
        <v>412</v>
      </c>
      <c r="O4681" s="2" t="s">
        <v>100</v>
      </c>
      <c r="P4681" s="2" t="str">
        <f>"2170583194                    "</f>
        <v xml:space="preserve">2170583194                    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0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3.13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0</v>
      </c>
      <c r="AU4681" s="2">
        <v>0</v>
      </c>
      <c r="AV4681" s="2">
        <v>0</v>
      </c>
      <c r="AW4681" s="2">
        <v>0</v>
      </c>
      <c r="AX4681" s="2">
        <v>0</v>
      </c>
      <c r="AY4681" s="2">
        <v>0</v>
      </c>
      <c r="AZ4681" s="2">
        <v>0</v>
      </c>
      <c r="BA4681" s="2">
        <v>0</v>
      </c>
      <c r="BB4681" s="2">
        <v>0</v>
      </c>
      <c r="BC4681" s="2">
        <v>0</v>
      </c>
      <c r="BD4681" s="2">
        <v>0</v>
      </c>
      <c r="BE4681" s="2">
        <v>0</v>
      </c>
      <c r="BF4681" s="2">
        <v>0</v>
      </c>
      <c r="BG4681" s="2">
        <v>0</v>
      </c>
      <c r="BH4681" s="2">
        <v>1</v>
      </c>
      <c r="BI4681" s="2">
        <v>1</v>
      </c>
      <c r="BJ4681" s="2">
        <v>0.2</v>
      </c>
      <c r="BK4681" s="2">
        <v>1</v>
      </c>
      <c r="BL4681" s="2">
        <v>32.380000000000003</v>
      </c>
      <c r="BM4681" s="2">
        <v>4.53</v>
      </c>
      <c r="BN4681" s="2">
        <v>36.909999999999997</v>
      </c>
      <c r="BO4681" s="2">
        <v>36.909999999999997</v>
      </c>
      <c r="BP4681" s="2"/>
      <c r="BQ4681" s="2" t="s">
        <v>209</v>
      </c>
      <c r="BR4681" s="2" t="s">
        <v>84</v>
      </c>
      <c r="BS4681" s="3">
        <v>42954</v>
      </c>
      <c r="BT4681" s="4">
        <v>0.34513888888888888</v>
      </c>
      <c r="BU4681" s="2" t="s">
        <v>3358</v>
      </c>
      <c r="BV4681" s="2" t="s">
        <v>95</v>
      </c>
      <c r="BW4681" s="2"/>
      <c r="BX4681" s="2"/>
      <c r="BY4681" s="2">
        <v>1200</v>
      </c>
      <c r="BZ4681" s="2"/>
      <c r="CA4681" s="2"/>
      <c r="CB4681" s="2"/>
      <c r="CC4681" s="2" t="s">
        <v>129</v>
      </c>
      <c r="CD4681" s="2">
        <v>1709</v>
      </c>
      <c r="CE4681" s="2" t="s">
        <v>104</v>
      </c>
      <c r="CF4681" s="5">
        <v>42955</v>
      </c>
      <c r="CG4681" s="2"/>
      <c r="CH4681" s="2"/>
      <c r="CI4681" s="2">
        <v>1</v>
      </c>
      <c r="CJ4681" s="2">
        <v>1</v>
      </c>
      <c r="CK4681" s="2">
        <v>22</v>
      </c>
      <c r="CL4681" s="2" t="s">
        <v>86</v>
      </c>
      <c r="CM4681" s="2"/>
    </row>
    <row r="4682" spans="1:91">
      <c r="A4682" s="2" t="s">
        <v>71</v>
      </c>
      <c r="B4682" s="2" t="s">
        <v>72</v>
      </c>
      <c r="C4682" s="2" t="s">
        <v>73</v>
      </c>
      <c r="D4682" s="2"/>
      <c r="E4682" s="2" t="str">
        <f>"FES1162566880"</f>
        <v>FES1162566880</v>
      </c>
      <c r="F4682" s="3">
        <v>42951</v>
      </c>
      <c r="G4682" s="2">
        <v>201802</v>
      </c>
      <c r="H4682" s="2" t="s">
        <v>74</v>
      </c>
      <c r="I4682" s="2" t="s">
        <v>75</v>
      </c>
      <c r="J4682" s="2" t="s">
        <v>76</v>
      </c>
      <c r="K4682" s="2" t="s">
        <v>77</v>
      </c>
      <c r="L4682" s="2" t="s">
        <v>144</v>
      </c>
      <c r="M4682" s="2" t="s">
        <v>145</v>
      </c>
      <c r="N4682" s="2" t="s">
        <v>146</v>
      </c>
      <c r="O4682" s="2" t="s">
        <v>100</v>
      </c>
      <c r="P4682" s="2" t="str">
        <f>"2170581691                    "</f>
        <v xml:space="preserve">2170581691                    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3.13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0</v>
      </c>
      <c r="AU4682" s="2">
        <v>0</v>
      </c>
      <c r="AV4682" s="2">
        <v>0</v>
      </c>
      <c r="AW4682" s="2">
        <v>0</v>
      </c>
      <c r="AX4682" s="2">
        <v>0</v>
      </c>
      <c r="AY4682" s="2">
        <v>0</v>
      </c>
      <c r="AZ4682" s="2">
        <v>0</v>
      </c>
      <c r="BA4682" s="2">
        <v>0</v>
      </c>
      <c r="BB4682" s="2">
        <v>0</v>
      </c>
      <c r="BC4682" s="2">
        <v>0</v>
      </c>
      <c r="BD4682" s="2">
        <v>0</v>
      </c>
      <c r="BE4682" s="2">
        <v>0</v>
      </c>
      <c r="BF4682" s="2">
        <v>0</v>
      </c>
      <c r="BG4682" s="2">
        <v>0</v>
      </c>
      <c r="BH4682" s="2">
        <v>1</v>
      </c>
      <c r="BI4682" s="2">
        <v>1</v>
      </c>
      <c r="BJ4682" s="2">
        <v>0.2</v>
      </c>
      <c r="BK4682" s="2">
        <v>1</v>
      </c>
      <c r="BL4682" s="2">
        <v>32.380000000000003</v>
      </c>
      <c r="BM4682" s="2">
        <v>4.53</v>
      </c>
      <c r="BN4682" s="2">
        <v>36.909999999999997</v>
      </c>
      <c r="BO4682" s="2">
        <v>36.909999999999997</v>
      </c>
      <c r="BP4682" s="2"/>
      <c r="BQ4682" s="2" t="s">
        <v>83</v>
      </c>
      <c r="BR4682" s="2" t="s">
        <v>84</v>
      </c>
      <c r="BS4682" s="3">
        <v>42954</v>
      </c>
      <c r="BT4682" s="4">
        <v>0.375</v>
      </c>
      <c r="BU4682" s="2" t="s">
        <v>1632</v>
      </c>
      <c r="BV4682" s="2" t="s">
        <v>95</v>
      </c>
      <c r="BW4682" s="2"/>
      <c r="BX4682" s="2"/>
      <c r="BY4682" s="2">
        <v>1200</v>
      </c>
      <c r="BZ4682" s="2"/>
      <c r="CA4682" s="2"/>
      <c r="CB4682" s="2"/>
      <c r="CC4682" s="2" t="s">
        <v>145</v>
      </c>
      <c r="CD4682" s="2">
        <v>2094</v>
      </c>
      <c r="CE4682" s="2" t="s">
        <v>104</v>
      </c>
      <c r="CF4682" s="5">
        <v>42955</v>
      </c>
      <c r="CG4682" s="2"/>
      <c r="CH4682" s="2"/>
      <c r="CI4682" s="2">
        <v>1</v>
      </c>
      <c r="CJ4682" s="2">
        <v>1</v>
      </c>
      <c r="CK4682" s="2">
        <v>22</v>
      </c>
      <c r="CL4682" s="2" t="s">
        <v>86</v>
      </c>
      <c r="CM4682" s="2"/>
    </row>
    <row r="4683" spans="1:91">
      <c r="A4683" s="2" t="s">
        <v>71</v>
      </c>
      <c r="B4683" s="2" t="s">
        <v>72</v>
      </c>
      <c r="C4683" s="2" t="s">
        <v>73</v>
      </c>
      <c r="D4683" s="2"/>
      <c r="E4683" s="2" t="str">
        <f>"FES1162567172"</f>
        <v>FES1162567172</v>
      </c>
      <c r="F4683" s="3">
        <v>42951</v>
      </c>
      <c r="G4683" s="2">
        <v>201802</v>
      </c>
      <c r="H4683" s="2" t="s">
        <v>74</v>
      </c>
      <c r="I4683" s="2" t="s">
        <v>75</v>
      </c>
      <c r="J4683" s="2" t="s">
        <v>76</v>
      </c>
      <c r="K4683" s="2" t="s">
        <v>77</v>
      </c>
      <c r="L4683" s="2" t="s">
        <v>510</v>
      </c>
      <c r="M4683" s="2" t="s">
        <v>511</v>
      </c>
      <c r="N4683" s="2" t="s">
        <v>512</v>
      </c>
      <c r="O4683" s="2" t="s">
        <v>100</v>
      </c>
      <c r="P4683" s="2" t="str">
        <f>"21705874772                   "</f>
        <v xml:space="preserve">21705874772                   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35.020000000000003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0</v>
      </c>
      <c r="AU4683" s="2">
        <v>0</v>
      </c>
      <c r="AV4683" s="2">
        <v>0</v>
      </c>
      <c r="AW4683" s="2">
        <v>0</v>
      </c>
      <c r="AX4683" s="2">
        <v>0</v>
      </c>
      <c r="AY4683" s="2">
        <v>0</v>
      </c>
      <c r="AZ4683" s="2">
        <v>0</v>
      </c>
      <c r="BA4683" s="2">
        <v>0</v>
      </c>
      <c r="BB4683" s="2">
        <v>0</v>
      </c>
      <c r="BC4683" s="2">
        <v>0</v>
      </c>
      <c r="BD4683" s="2">
        <v>0</v>
      </c>
      <c r="BE4683" s="2">
        <v>0</v>
      </c>
      <c r="BF4683" s="2">
        <v>0</v>
      </c>
      <c r="BG4683" s="2">
        <v>0</v>
      </c>
      <c r="BH4683" s="2">
        <v>1</v>
      </c>
      <c r="BI4683" s="2">
        <v>17.2</v>
      </c>
      <c r="BJ4683" s="2">
        <v>9</v>
      </c>
      <c r="BK4683" s="2">
        <v>17.5</v>
      </c>
      <c r="BL4683" s="2">
        <v>362.62</v>
      </c>
      <c r="BM4683" s="2">
        <v>50.77</v>
      </c>
      <c r="BN4683" s="2">
        <v>413.39</v>
      </c>
      <c r="BO4683" s="2">
        <v>413.39</v>
      </c>
      <c r="BP4683" s="2"/>
      <c r="BQ4683" s="2" t="s">
        <v>1629</v>
      </c>
      <c r="BR4683" s="2" t="s">
        <v>84</v>
      </c>
      <c r="BS4683" s="3">
        <v>42954</v>
      </c>
      <c r="BT4683" s="4">
        <v>0.39583333333333331</v>
      </c>
      <c r="BU4683" s="2" t="s">
        <v>4158</v>
      </c>
      <c r="BV4683" s="2" t="s">
        <v>95</v>
      </c>
      <c r="BW4683" s="2"/>
      <c r="BX4683" s="2"/>
      <c r="BY4683" s="2">
        <v>45230.63</v>
      </c>
      <c r="BZ4683" s="2"/>
      <c r="CA4683" s="2" t="s">
        <v>514</v>
      </c>
      <c r="CB4683" s="2"/>
      <c r="CC4683" s="2" t="s">
        <v>511</v>
      </c>
      <c r="CD4683" s="2">
        <v>6229</v>
      </c>
      <c r="CE4683" s="2" t="s">
        <v>948</v>
      </c>
      <c r="CF4683" s="5">
        <v>42955</v>
      </c>
      <c r="CG4683" s="2"/>
      <c r="CH4683" s="2"/>
      <c r="CI4683" s="2">
        <v>1</v>
      </c>
      <c r="CJ4683" s="2">
        <v>1</v>
      </c>
      <c r="CK4683" s="2">
        <v>21</v>
      </c>
      <c r="CL4683" s="2" t="s">
        <v>86</v>
      </c>
      <c r="CM4683" s="2"/>
    </row>
    <row r="4684" spans="1:91">
      <c r="A4684" s="2" t="s">
        <v>71</v>
      </c>
      <c r="B4684" s="2" t="s">
        <v>72</v>
      </c>
      <c r="C4684" s="2" t="s">
        <v>73</v>
      </c>
      <c r="D4684" s="2"/>
      <c r="E4684" s="2" t="str">
        <f>"FES1162567070"</f>
        <v>FES1162567070</v>
      </c>
      <c r="F4684" s="3">
        <v>42951</v>
      </c>
      <c r="G4684" s="2">
        <v>201802</v>
      </c>
      <c r="H4684" s="2" t="s">
        <v>74</v>
      </c>
      <c r="I4684" s="2" t="s">
        <v>75</v>
      </c>
      <c r="J4684" s="2" t="s">
        <v>76</v>
      </c>
      <c r="K4684" s="2" t="s">
        <v>77</v>
      </c>
      <c r="L4684" s="2" t="s">
        <v>149</v>
      </c>
      <c r="M4684" s="2" t="s">
        <v>150</v>
      </c>
      <c r="N4684" s="2" t="s">
        <v>435</v>
      </c>
      <c r="O4684" s="2" t="s">
        <v>100</v>
      </c>
      <c r="P4684" s="2" t="str">
        <f>"217058444                     "</f>
        <v xml:space="preserve">217058444                     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8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0</v>
      </c>
      <c r="AU4684" s="2">
        <v>0</v>
      </c>
      <c r="AV4684" s="2">
        <v>0</v>
      </c>
      <c r="AW4684" s="2">
        <v>0</v>
      </c>
      <c r="AX4684" s="2">
        <v>0</v>
      </c>
      <c r="AY4684" s="2">
        <v>0</v>
      </c>
      <c r="AZ4684" s="2">
        <v>0</v>
      </c>
      <c r="BA4684" s="2">
        <v>0</v>
      </c>
      <c r="BB4684" s="2">
        <v>0</v>
      </c>
      <c r="BC4684" s="2">
        <v>0</v>
      </c>
      <c r="BD4684" s="2">
        <v>0</v>
      </c>
      <c r="BE4684" s="2">
        <v>0</v>
      </c>
      <c r="BF4684" s="2">
        <v>0</v>
      </c>
      <c r="BG4684" s="2">
        <v>0</v>
      </c>
      <c r="BH4684" s="2">
        <v>1</v>
      </c>
      <c r="BI4684" s="2">
        <v>3.8</v>
      </c>
      <c r="BJ4684" s="2">
        <v>2.8</v>
      </c>
      <c r="BK4684" s="2">
        <v>4</v>
      </c>
      <c r="BL4684" s="2">
        <v>82.88</v>
      </c>
      <c r="BM4684" s="2">
        <v>11.6</v>
      </c>
      <c r="BN4684" s="2">
        <v>94.48</v>
      </c>
      <c r="BO4684" s="2">
        <v>94.48</v>
      </c>
      <c r="BP4684" s="2"/>
      <c r="BQ4684" s="2" t="s">
        <v>2984</v>
      </c>
      <c r="BR4684" s="2" t="s">
        <v>84</v>
      </c>
      <c r="BS4684" s="3">
        <v>42954</v>
      </c>
      <c r="BT4684" s="4">
        <v>0.38541666666666669</v>
      </c>
      <c r="BU4684" s="2" t="s">
        <v>4159</v>
      </c>
      <c r="BV4684" s="2" t="s">
        <v>95</v>
      </c>
      <c r="BW4684" s="2"/>
      <c r="BX4684" s="2"/>
      <c r="BY4684" s="2">
        <v>14190.4</v>
      </c>
      <c r="BZ4684" s="2"/>
      <c r="CA4684" s="2" t="s">
        <v>1980</v>
      </c>
      <c r="CB4684" s="2"/>
      <c r="CC4684" s="2" t="s">
        <v>150</v>
      </c>
      <c r="CD4684" s="2">
        <v>4001</v>
      </c>
      <c r="CE4684" s="2" t="s">
        <v>948</v>
      </c>
      <c r="CF4684" s="5">
        <v>42955</v>
      </c>
      <c r="CG4684" s="2"/>
      <c r="CH4684" s="2"/>
      <c r="CI4684" s="2">
        <v>1</v>
      </c>
      <c r="CJ4684" s="2">
        <v>1</v>
      </c>
      <c r="CK4684" s="2">
        <v>21</v>
      </c>
      <c r="CL4684" s="2" t="s">
        <v>86</v>
      </c>
      <c r="CM4684" s="2"/>
    </row>
    <row r="4685" spans="1:91">
      <c r="A4685" s="2" t="s">
        <v>71</v>
      </c>
      <c r="B4685" s="2" t="s">
        <v>72</v>
      </c>
      <c r="C4685" s="2" t="s">
        <v>73</v>
      </c>
      <c r="D4685" s="2"/>
      <c r="E4685" s="2" t="str">
        <f>"FES1162567071"</f>
        <v>FES1162567071</v>
      </c>
      <c r="F4685" s="3">
        <v>42951</v>
      </c>
      <c r="G4685" s="2">
        <v>201802</v>
      </c>
      <c r="H4685" s="2" t="s">
        <v>74</v>
      </c>
      <c r="I4685" s="2" t="s">
        <v>75</v>
      </c>
      <c r="J4685" s="2" t="s">
        <v>76</v>
      </c>
      <c r="K4685" s="2" t="s">
        <v>77</v>
      </c>
      <c r="L4685" s="2" t="s">
        <v>149</v>
      </c>
      <c r="M4685" s="2" t="s">
        <v>150</v>
      </c>
      <c r="N4685" s="2" t="s">
        <v>4160</v>
      </c>
      <c r="O4685" s="2" t="s">
        <v>100</v>
      </c>
      <c r="P4685" s="2" t="str">
        <f>"21705876200                   "</f>
        <v xml:space="preserve">21705876200                   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2">
        <v>0</v>
      </c>
      <c r="Z4685" s="2">
        <v>0</v>
      </c>
      <c r="AA4685" s="2">
        <v>0</v>
      </c>
      <c r="AB4685" s="2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8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0</v>
      </c>
      <c r="AU4685" s="2">
        <v>0</v>
      </c>
      <c r="AV4685" s="2">
        <v>0</v>
      </c>
      <c r="AW4685" s="2">
        <v>0</v>
      </c>
      <c r="AX4685" s="2">
        <v>0</v>
      </c>
      <c r="AY4685" s="2">
        <v>0</v>
      </c>
      <c r="AZ4685" s="2">
        <v>0</v>
      </c>
      <c r="BA4685" s="2">
        <v>0</v>
      </c>
      <c r="BB4685" s="2">
        <v>0</v>
      </c>
      <c r="BC4685" s="2">
        <v>0</v>
      </c>
      <c r="BD4685" s="2">
        <v>0</v>
      </c>
      <c r="BE4685" s="2">
        <v>0</v>
      </c>
      <c r="BF4685" s="2">
        <v>0</v>
      </c>
      <c r="BG4685" s="2">
        <v>0</v>
      </c>
      <c r="BH4685" s="2">
        <v>1</v>
      </c>
      <c r="BI4685" s="2">
        <v>3.6</v>
      </c>
      <c r="BJ4685" s="2">
        <v>2.5</v>
      </c>
      <c r="BK4685" s="2">
        <v>4</v>
      </c>
      <c r="BL4685" s="2">
        <v>82.88</v>
      </c>
      <c r="BM4685" s="2">
        <v>11.6</v>
      </c>
      <c r="BN4685" s="2">
        <v>94.48</v>
      </c>
      <c r="BO4685" s="2">
        <v>94.48</v>
      </c>
      <c r="BP4685" s="2"/>
      <c r="BQ4685" s="2" t="s">
        <v>4161</v>
      </c>
      <c r="BR4685" s="2" t="s">
        <v>84</v>
      </c>
      <c r="BS4685" s="3">
        <v>42954</v>
      </c>
      <c r="BT4685" s="4">
        <v>0.38472222222222219</v>
      </c>
      <c r="BU4685" s="2" t="s">
        <v>4159</v>
      </c>
      <c r="BV4685" s="2" t="s">
        <v>95</v>
      </c>
      <c r="BW4685" s="2"/>
      <c r="BX4685" s="2"/>
      <c r="BY4685" s="2">
        <v>12674.29</v>
      </c>
      <c r="BZ4685" s="2"/>
      <c r="CA4685" s="2" t="s">
        <v>1980</v>
      </c>
      <c r="CB4685" s="2"/>
      <c r="CC4685" s="2" t="s">
        <v>150</v>
      </c>
      <c r="CD4685" s="2">
        <v>4001</v>
      </c>
      <c r="CE4685" s="2" t="s">
        <v>948</v>
      </c>
      <c r="CF4685" s="5">
        <v>42955</v>
      </c>
      <c r="CG4685" s="2"/>
      <c r="CH4685" s="2"/>
      <c r="CI4685" s="2">
        <v>1</v>
      </c>
      <c r="CJ4685" s="2">
        <v>1</v>
      </c>
      <c r="CK4685" s="2">
        <v>21</v>
      </c>
      <c r="CL4685" s="2" t="s">
        <v>86</v>
      </c>
      <c r="CM4685" s="2"/>
    </row>
    <row r="4686" spans="1:91">
      <c r="A4686" s="2" t="s">
        <v>71</v>
      </c>
      <c r="B4686" s="2" t="s">
        <v>72</v>
      </c>
      <c r="C4686" s="2" t="s">
        <v>73</v>
      </c>
      <c r="D4686" s="2"/>
      <c r="E4686" s="2" t="str">
        <f>"FES1162566990"</f>
        <v>FES1162566990</v>
      </c>
      <c r="F4686" s="3">
        <v>42951</v>
      </c>
      <c r="G4686" s="2">
        <v>201802</v>
      </c>
      <c r="H4686" s="2" t="s">
        <v>74</v>
      </c>
      <c r="I4686" s="2" t="s">
        <v>75</v>
      </c>
      <c r="J4686" s="2" t="s">
        <v>76</v>
      </c>
      <c r="K4686" s="2" t="s">
        <v>77</v>
      </c>
      <c r="L4686" s="2" t="s">
        <v>149</v>
      </c>
      <c r="M4686" s="2" t="s">
        <v>150</v>
      </c>
      <c r="N4686" s="2" t="s">
        <v>758</v>
      </c>
      <c r="O4686" s="2" t="s">
        <v>100</v>
      </c>
      <c r="P4686" s="2" t="str">
        <f>"2170589863                    "</f>
        <v xml:space="preserve">2170589863                    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2">
        <v>0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8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0</v>
      </c>
      <c r="AU4686" s="2">
        <v>0</v>
      </c>
      <c r="AV4686" s="2">
        <v>0</v>
      </c>
      <c r="AW4686" s="2">
        <v>0</v>
      </c>
      <c r="AX4686" s="2">
        <v>0</v>
      </c>
      <c r="AY4686" s="2">
        <v>0</v>
      </c>
      <c r="AZ4686" s="2">
        <v>0</v>
      </c>
      <c r="BA4686" s="2">
        <v>0</v>
      </c>
      <c r="BB4686" s="2">
        <v>0</v>
      </c>
      <c r="BC4686" s="2">
        <v>0</v>
      </c>
      <c r="BD4686" s="2">
        <v>0</v>
      </c>
      <c r="BE4686" s="2">
        <v>0</v>
      </c>
      <c r="BF4686" s="2">
        <v>0</v>
      </c>
      <c r="BG4686" s="2">
        <v>0</v>
      </c>
      <c r="BH4686" s="2">
        <v>1</v>
      </c>
      <c r="BI4686" s="2">
        <v>3.6</v>
      </c>
      <c r="BJ4686" s="2">
        <v>0.8</v>
      </c>
      <c r="BK4686" s="2">
        <v>4</v>
      </c>
      <c r="BL4686" s="2">
        <v>82.88</v>
      </c>
      <c r="BM4686" s="2">
        <v>11.6</v>
      </c>
      <c r="BN4686" s="2">
        <v>94.48</v>
      </c>
      <c r="BO4686" s="2">
        <v>94.48</v>
      </c>
      <c r="BP4686" s="2"/>
      <c r="BQ4686" s="2" t="s">
        <v>209</v>
      </c>
      <c r="BR4686" s="2" t="s">
        <v>84</v>
      </c>
      <c r="BS4686" s="3">
        <v>42954</v>
      </c>
      <c r="BT4686" s="4">
        <v>0.40138888888888885</v>
      </c>
      <c r="BU4686" s="2" t="s">
        <v>3821</v>
      </c>
      <c r="BV4686" s="2" t="s">
        <v>95</v>
      </c>
      <c r="BW4686" s="2"/>
      <c r="BX4686" s="2"/>
      <c r="BY4686" s="2">
        <v>3887.52</v>
      </c>
      <c r="BZ4686" s="2"/>
      <c r="CA4686" s="2" t="s">
        <v>1163</v>
      </c>
      <c r="CB4686" s="2"/>
      <c r="CC4686" s="2" t="s">
        <v>150</v>
      </c>
      <c r="CD4686" s="2">
        <v>4052</v>
      </c>
      <c r="CE4686" s="2" t="s">
        <v>948</v>
      </c>
      <c r="CF4686" s="5">
        <v>42955</v>
      </c>
      <c r="CG4686" s="2"/>
      <c r="CH4686" s="2"/>
      <c r="CI4686" s="2">
        <v>1</v>
      </c>
      <c r="CJ4686" s="2">
        <v>1</v>
      </c>
      <c r="CK4686" s="2">
        <v>21</v>
      </c>
      <c r="CL4686" s="2" t="s">
        <v>86</v>
      </c>
      <c r="CM4686" s="2"/>
    </row>
    <row r="4687" spans="1:91">
      <c r="A4687" s="2" t="s">
        <v>71</v>
      </c>
      <c r="B4687" s="2" t="s">
        <v>72</v>
      </c>
      <c r="C4687" s="2" t="s">
        <v>73</v>
      </c>
      <c r="D4687" s="2"/>
      <c r="E4687" s="2" t="str">
        <f>"FES1162567155"</f>
        <v>FES1162567155</v>
      </c>
      <c r="F4687" s="3">
        <v>42951</v>
      </c>
      <c r="G4687" s="2">
        <v>201802</v>
      </c>
      <c r="H4687" s="2" t="s">
        <v>74</v>
      </c>
      <c r="I4687" s="2" t="s">
        <v>75</v>
      </c>
      <c r="J4687" s="2" t="s">
        <v>76</v>
      </c>
      <c r="K4687" s="2" t="s">
        <v>77</v>
      </c>
      <c r="L4687" s="2" t="s">
        <v>510</v>
      </c>
      <c r="M4687" s="2" t="s">
        <v>511</v>
      </c>
      <c r="N4687" s="2" t="s">
        <v>512</v>
      </c>
      <c r="O4687" s="2" t="s">
        <v>100</v>
      </c>
      <c r="P4687" s="2" t="str">
        <f>"2170582840                    "</f>
        <v xml:space="preserve">2170582840                    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18.010000000000002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0</v>
      </c>
      <c r="AU4687" s="2">
        <v>0</v>
      </c>
      <c r="AV4687" s="2">
        <v>0</v>
      </c>
      <c r="AW4687" s="2">
        <v>0</v>
      </c>
      <c r="AX4687" s="2">
        <v>0</v>
      </c>
      <c r="AY4687" s="2">
        <v>0</v>
      </c>
      <c r="AZ4687" s="2">
        <v>0</v>
      </c>
      <c r="BA4687" s="2">
        <v>0</v>
      </c>
      <c r="BB4687" s="2">
        <v>0</v>
      </c>
      <c r="BC4687" s="2">
        <v>0</v>
      </c>
      <c r="BD4687" s="2">
        <v>0</v>
      </c>
      <c r="BE4687" s="2">
        <v>0</v>
      </c>
      <c r="BF4687" s="2">
        <v>0</v>
      </c>
      <c r="BG4687" s="2">
        <v>0</v>
      </c>
      <c r="BH4687" s="2">
        <v>1</v>
      </c>
      <c r="BI4687" s="2">
        <v>7.8</v>
      </c>
      <c r="BJ4687" s="2">
        <v>9</v>
      </c>
      <c r="BK4687" s="2">
        <v>9</v>
      </c>
      <c r="BL4687" s="2">
        <v>186.49</v>
      </c>
      <c r="BM4687" s="2">
        <v>26.11</v>
      </c>
      <c r="BN4687" s="2">
        <v>212.6</v>
      </c>
      <c r="BO4687" s="2">
        <v>212.6</v>
      </c>
      <c r="BP4687" s="2"/>
      <c r="BQ4687" s="2" t="s">
        <v>1629</v>
      </c>
      <c r="BR4687" s="2" t="s">
        <v>84</v>
      </c>
      <c r="BS4687" s="3">
        <v>42954</v>
      </c>
      <c r="BT4687" s="4">
        <v>0.39583333333333331</v>
      </c>
      <c r="BU4687" s="2" t="s">
        <v>4158</v>
      </c>
      <c r="BV4687" s="2" t="s">
        <v>95</v>
      </c>
      <c r="BW4687" s="2"/>
      <c r="BX4687" s="2"/>
      <c r="BY4687" s="2">
        <v>44833.95</v>
      </c>
      <c r="BZ4687" s="2"/>
      <c r="CA4687" s="2" t="s">
        <v>514</v>
      </c>
      <c r="CB4687" s="2"/>
      <c r="CC4687" s="2" t="s">
        <v>511</v>
      </c>
      <c r="CD4687" s="2">
        <v>6229</v>
      </c>
      <c r="CE4687" s="2" t="s">
        <v>89</v>
      </c>
      <c r="CF4687" s="5">
        <v>42955</v>
      </c>
      <c r="CG4687" s="2"/>
      <c r="CH4687" s="2"/>
      <c r="CI4687" s="2">
        <v>1</v>
      </c>
      <c r="CJ4687" s="2">
        <v>1</v>
      </c>
      <c r="CK4687" s="2">
        <v>21</v>
      </c>
      <c r="CL4687" s="2" t="s">
        <v>86</v>
      </c>
      <c r="CM4687" s="2"/>
    </row>
    <row r="4688" spans="1:91">
      <c r="A4688" s="2" t="s">
        <v>71</v>
      </c>
      <c r="B4688" s="2" t="s">
        <v>72</v>
      </c>
      <c r="C4688" s="2" t="s">
        <v>73</v>
      </c>
      <c r="D4688" s="2"/>
      <c r="E4688" s="2" t="str">
        <f>"FES1162567262"</f>
        <v>FES1162567262</v>
      </c>
      <c r="F4688" s="3">
        <v>42951</v>
      </c>
      <c r="G4688" s="2">
        <v>201802</v>
      </c>
      <c r="H4688" s="2" t="s">
        <v>74</v>
      </c>
      <c r="I4688" s="2" t="s">
        <v>75</v>
      </c>
      <c r="J4688" s="2" t="s">
        <v>76</v>
      </c>
      <c r="K4688" s="2" t="s">
        <v>77</v>
      </c>
      <c r="L4688" s="2" t="s">
        <v>741</v>
      </c>
      <c r="M4688" s="2" t="s">
        <v>742</v>
      </c>
      <c r="N4688" s="2" t="s">
        <v>743</v>
      </c>
      <c r="O4688" s="2" t="s">
        <v>100</v>
      </c>
      <c r="P4688" s="2" t="str">
        <f>"2170583415                    "</f>
        <v xml:space="preserve">2170583415                    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65.540000000000006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0</v>
      </c>
      <c r="AU4688" s="2">
        <v>0</v>
      </c>
      <c r="AV4688" s="2">
        <v>0</v>
      </c>
      <c r="AW4688" s="2">
        <v>0</v>
      </c>
      <c r="AX4688" s="2">
        <v>0</v>
      </c>
      <c r="AY4688" s="2">
        <v>0</v>
      </c>
      <c r="AZ4688" s="2">
        <v>0</v>
      </c>
      <c r="BA4688" s="2">
        <v>0</v>
      </c>
      <c r="BB4688" s="2">
        <v>0</v>
      </c>
      <c r="BC4688" s="2">
        <v>0</v>
      </c>
      <c r="BD4688" s="2">
        <v>0</v>
      </c>
      <c r="BE4688" s="2">
        <v>0</v>
      </c>
      <c r="BF4688" s="2">
        <v>0</v>
      </c>
      <c r="BG4688" s="2">
        <v>0</v>
      </c>
      <c r="BH4688" s="2">
        <v>1</v>
      </c>
      <c r="BI4688" s="2">
        <v>6</v>
      </c>
      <c r="BJ4688" s="2">
        <v>18.399999999999999</v>
      </c>
      <c r="BK4688" s="2">
        <v>18.5</v>
      </c>
      <c r="BL4688" s="2">
        <v>678.62</v>
      </c>
      <c r="BM4688" s="2">
        <v>95.01</v>
      </c>
      <c r="BN4688" s="2">
        <v>773.63</v>
      </c>
      <c r="BO4688" s="2">
        <v>773.63</v>
      </c>
      <c r="BP4688" s="2"/>
      <c r="BQ4688" s="2" t="s">
        <v>4162</v>
      </c>
      <c r="BR4688" s="2" t="s">
        <v>84</v>
      </c>
      <c r="BS4688" s="3">
        <v>42954</v>
      </c>
      <c r="BT4688" s="4">
        <v>0.64583333333333337</v>
      </c>
      <c r="BU4688" s="2" t="s">
        <v>4163</v>
      </c>
      <c r="BV4688" s="2" t="s">
        <v>95</v>
      </c>
      <c r="BW4688" s="2"/>
      <c r="BX4688" s="2"/>
      <c r="BY4688" s="2">
        <v>92061.74</v>
      </c>
      <c r="BZ4688" s="2"/>
      <c r="CA4688" s="2" t="s">
        <v>4164</v>
      </c>
      <c r="CB4688" s="2"/>
      <c r="CC4688" s="2" t="s">
        <v>742</v>
      </c>
      <c r="CD4688" s="2">
        <v>6300</v>
      </c>
      <c r="CE4688" s="2" t="s">
        <v>89</v>
      </c>
      <c r="CF4688" s="5">
        <v>42955</v>
      </c>
      <c r="CG4688" s="2"/>
      <c r="CH4688" s="2"/>
      <c r="CI4688" s="2">
        <v>3</v>
      </c>
      <c r="CJ4688" s="2">
        <v>1</v>
      </c>
      <c r="CK4688" s="2">
        <v>23</v>
      </c>
      <c r="CL4688" s="2" t="s">
        <v>86</v>
      </c>
      <c r="CM4688" s="2"/>
    </row>
    <row r="4689" spans="1:91">
      <c r="A4689" s="2" t="s">
        <v>71</v>
      </c>
      <c r="B4689" s="2" t="s">
        <v>72</v>
      </c>
      <c r="C4689" s="2" t="s">
        <v>73</v>
      </c>
      <c r="D4689" s="2"/>
      <c r="E4689" s="2" t="str">
        <f>"FES1162566916"</f>
        <v>FES1162566916</v>
      </c>
      <c r="F4689" s="3">
        <v>42951</v>
      </c>
      <c r="G4689" s="2">
        <v>201802</v>
      </c>
      <c r="H4689" s="2" t="s">
        <v>74</v>
      </c>
      <c r="I4689" s="2" t="s">
        <v>75</v>
      </c>
      <c r="J4689" s="2" t="s">
        <v>76</v>
      </c>
      <c r="K4689" s="2" t="s">
        <v>77</v>
      </c>
      <c r="L4689" s="2" t="s">
        <v>74</v>
      </c>
      <c r="M4689" s="2" t="s">
        <v>75</v>
      </c>
      <c r="N4689" s="2" t="s">
        <v>2004</v>
      </c>
      <c r="O4689" s="2" t="s">
        <v>100</v>
      </c>
      <c r="P4689" s="2" t="str">
        <f>"2170583164                    "</f>
        <v xml:space="preserve">2170583164                    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  <c r="AA4689" s="2">
        <v>0</v>
      </c>
      <c r="AB4689" s="2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3.13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2">
        <v>0</v>
      </c>
      <c r="AT4689" s="2">
        <v>0</v>
      </c>
      <c r="AU4689" s="2">
        <v>0</v>
      </c>
      <c r="AV4689" s="2">
        <v>0</v>
      </c>
      <c r="AW4689" s="2">
        <v>0</v>
      </c>
      <c r="AX4689" s="2">
        <v>0</v>
      </c>
      <c r="AY4689" s="2">
        <v>0</v>
      </c>
      <c r="AZ4689" s="2">
        <v>0</v>
      </c>
      <c r="BA4689" s="2">
        <v>0</v>
      </c>
      <c r="BB4689" s="2">
        <v>0</v>
      </c>
      <c r="BC4689" s="2">
        <v>0</v>
      </c>
      <c r="BD4689" s="2">
        <v>0</v>
      </c>
      <c r="BE4689" s="2">
        <v>0</v>
      </c>
      <c r="BF4689" s="2">
        <v>0</v>
      </c>
      <c r="BG4689" s="2">
        <v>0</v>
      </c>
      <c r="BH4689" s="2">
        <v>1</v>
      </c>
      <c r="BI4689" s="2">
        <v>1.6</v>
      </c>
      <c r="BJ4689" s="2">
        <v>3.2</v>
      </c>
      <c r="BK4689" s="2">
        <v>4</v>
      </c>
      <c r="BL4689" s="2">
        <v>32.380000000000003</v>
      </c>
      <c r="BM4689" s="2">
        <v>4.53</v>
      </c>
      <c r="BN4689" s="2">
        <v>36.909999999999997</v>
      </c>
      <c r="BO4689" s="2">
        <v>36.909999999999997</v>
      </c>
      <c r="BP4689" s="2"/>
      <c r="BQ4689" s="2"/>
      <c r="BR4689" s="2" t="s">
        <v>84</v>
      </c>
      <c r="BS4689" s="3">
        <v>42954</v>
      </c>
      <c r="BT4689" s="4">
        <v>0.36874999999999997</v>
      </c>
      <c r="BU4689" s="2" t="s">
        <v>4165</v>
      </c>
      <c r="BV4689" s="2" t="s">
        <v>95</v>
      </c>
      <c r="BW4689" s="2"/>
      <c r="BX4689" s="2"/>
      <c r="BY4689" s="2">
        <v>16214.69</v>
      </c>
      <c r="BZ4689" s="2"/>
      <c r="CA4689" s="2"/>
      <c r="CB4689" s="2"/>
      <c r="CC4689" s="2" t="s">
        <v>75</v>
      </c>
      <c r="CD4689" s="2">
        <v>1666</v>
      </c>
      <c r="CE4689" s="2" t="s">
        <v>89</v>
      </c>
      <c r="CF4689" s="5">
        <v>42955</v>
      </c>
      <c r="CG4689" s="2"/>
      <c r="CH4689" s="2"/>
      <c r="CI4689" s="2">
        <v>1</v>
      </c>
      <c r="CJ4689" s="2">
        <v>1</v>
      </c>
      <c r="CK4689" s="2">
        <v>22</v>
      </c>
      <c r="CL4689" s="2" t="s">
        <v>86</v>
      </c>
      <c r="CM4689" s="2"/>
    </row>
    <row r="4690" spans="1:91">
      <c r="A4690" s="2" t="s">
        <v>71</v>
      </c>
      <c r="B4690" s="2" t="s">
        <v>72</v>
      </c>
      <c r="C4690" s="2" t="s">
        <v>73</v>
      </c>
      <c r="D4690" s="2"/>
      <c r="E4690" s="2" t="str">
        <f>"FES1162566920"</f>
        <v>FES1162566920</v>
      </c>
      <c r="F4690" s="3">
        <v>42951</v>
      </c>
      <c r="G4690" s="2">
        <v>201802</v>
      </c>
      <c r="H4690" s="2" t="s">
        <v>74</v>
      </c>
      <c r="I4690" s="2" t="s">
        <v>75</v>
      </c>
      <c r="J4690" s="2" t="s">
        <v>76</v>
      </c>
      <c r="K4690" s="2" t="s">
        <v>77</v>
      </c>
      <c r="L4690" s="2" t="s">
        <v>74</v>
      </c>
      <c r="M4690" s="2" t="s">
        <v>75</v>
      </c>
      <c r="N4690" s="2" t="s">
        <v>1843</v>
      </c>
      <c r="O4690" s="2" t="s">
        <v>100</v>
      </c>
      <c r="P4690" s="2" t="str">
        <f>"2170583167                    "</f>
        <v xml:space="preserve">2170583167                    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2">
        <v>0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3.13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2">
        <v>0</v>
      </c>
      <c r="AT4690" s="2">
        <v>0</v>
      </c>
      <c r="AU4690" s="2">
        <v>0</v>
      </c>
      <c r="AV4690" s="2">
        <v>0</v>
      </c>
      <c r="AW4690" s="2">
        <v>0</v>
      </c>
      <c r="AX4690" s="2">
        <v>0</v>
      </c>
      <c r="AY4690" s="2">
        <v>0</v>
      </c>
      <c r="AZ4690" s="2">
        <v>0</v>
      </c>
      <c r="BA4690" s="2">
        <v>0</v>
      </c>
      <c r="BB4690" s="2">
        <v>0</v>
      </c>
      <c r="BC4690" s="2">
        <v>0</v>
      </c>
      <c r="BD4690" s="2">
        <v>0</v>
      </c>
      <c r="BE4690" s="2">
        <v>0</v>
      </c>
      <c r="BF4690" s="2">
        <v>0</v>
      </c>
      <c r="BG4690" s="2">
        <v>0</v>
      </c>
      <c r="BH4690" s="2">
        <v>1</v>
      </c>
      <c r="BI4690" s="2">
        <v>2.2999999999999998</v>
      </c>
      <c r="BJ4690" s="2">
        <v>3.3</v>
      </c>
      <c r="BK4690" s="2">
        <v>4</v>
      </c>
      <c r="BL4690" s="2">
        <v>32.380000000000003</v>
      </c>
      <c r="BM4690" s="2">
        <v>4.53</v>
      </c>
      <c r="BN4690" s="2">
        <v>36.909999999999997</v>
      </c>
      <c r="BO4690" s="2">
        <v>36.909999999999997</v>
      </c>
      <c r="BP4690" s="2"/>
      <c r="BQ4690" s="2" t="s">
        <v>108</v>
      </c>
      <c r="BR4690" s="2" t="s">
        <v>84</v>
      </c>
      <c r="BS4690" s="3">
        <v>42954</v>
      </c>
      <c r="BT4690" s="4">
        <v>0.41666666666666669</v>
      </c>
      <c r="BU4690" s="2" t="s">
        <v>330</v>
      </c>
      <c r="BV4690" s="2" t="s">
        <v>95</v>
      </c>
      <c r="BW4690" s="2"/>
      <c r="BX4690" s="2"/>
      <c r="BY4690" s="2">
        <v>16385.580000000002</v>
      </c>
      <c r="BZ4690" s="2"/>
      <c r="CA4690" s="2"/>
      <c r="CB4690" s="2"/>
      <c r="CC4690" s="2" t="s">
        <v>75</v>
      </c>
      <c r="CD4690" s="2">
        <v>1600</v>
      </c>
      <c r="CE4690" s="2" t="s">
        <v>89</v>
      </c>
      <c r="CF4690" s="5">
        <v>42955</v>
      </c>
      <c r="CG4690" s="2"/>
      <c r="CH4690" s="2"/>
      <c r="CI4690" s="2">
        <v>1</v>
      </c>
      <c r="CJ4690" s="2">
        <v>1</v>
      </c>
      <c r="CK4690" s="2">
        <v>22</v>
      </c>
      <c r="CL4690" s="2" t="s">
        <v>86</v>
      </c>
      <c r="CM4690" s="2"/>
    </row>
    <row r="4691" spans="1:91">
      <c r="A4691" s="2" t="s">
        <v>71</v>
      </c>
      <c r="B4691" s="2" t="s">
        <v>72</v>
      </c>
      <c r="C4691" s="2" t="s">
        <v>73</v>
      </c>
      <c r="D4691" s="2"/>
      <c r="E4691" s="2" t="str">
        <f>"FES1162567101"</f>
        <v>FES1162567101</v>
      </c>
      <c r="F4691" s="3">
        <v>42951</v>
      </c>
      <c r="G4691" s="2">
        <v>201802</v>
      </c>
      <c r="H4691" s="2" t="s">
        <v>74</v>
      </c>
      <c r="I4691" s="2" t="s">
        <v>75</v>
      </c>
      <c r="J4691" s="2" t="s">
        <v>76</v>
      </c>
      <c r="K4691" s="2" t="s">
        <v>77</v>
      </c>
      <c r="L4691" s="2" t="s">
        <v>268</v>
      </c>
      <c r="M4691" s="2" t="s">
        <v>269</v>
      </c>
      <c r="N4691" s="2" t="s">
        <v>351</v>
      </c>
      <c r="O4691" s="2" t="s">
        <v>100</v>
      </c>
      <c r="P4691" s="2" t="str">
        <f>"2170580614                    "</f>
        <v xml:space="preserve">2170580614                    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0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6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0</v>
      </c>
      <c r="AU4691" s="2">
        <v>0</v>
      </c>
      <c r="AV4691" s="2">
        <v>0</v>
      </c>
      <c r="AW4691" s="2">
        <v>0</v>
      </c>
      <c r="AX4691" s="2">
        <v>0</v>
      </c>
      <c r="AY4691" s="2">
        <v>0</v>
      </c>
      <c r="AZ4691" s="2">
        <v>0</v>
      </c>
      <c r="BA4691" s="2">
        <v>0</v>
      </c>
      <c r="BB4691" s="2">
        <v>0</v>
      </c>
      <c r="BC4691" s="2">
        <v>0</v>
      </c>
      <c r="BD4691" s="2">
        <v>0</v>
      </c>
      <c r="BE4691" s="2">
        <v>0</v>
      </c>
      <c r="BF4691" s="2">
        <v>0</v>
      </c>
      <c r="BG4691" s="2">
        <v>0</v>
      </c>
      <c r="BH4691" s="2">
        <v>1</v>
      </c>
      <c r="BI4691" s="2">
        <v>2.6</v>
      </c>
      <c r="BJ4691" s="2">
        <v>1.7</v>
      </c>
      <c r="BK4691" s="2">
        <v>3</v>
      </c>
      <c r="BL4691" s="2">
        <v>62.16</v>
      </c>
      <c r="BM4691" s="2">
        <v>8.6999999999999993</v>
      </c>
      <c r="BN4691" s="2">
        <v>70.86</v>
      </c>
      <c r="BO4691" s="2">
        <v>70.86</v>
      </c>
      <c r="BP4691" s="2"/>
      <c r="BQ4691" s="2" t="s">
        <v>108</v>
      </c>
      <c r="BR4691" s="2" t="s">
        <v>84</v>
      </c>
      <c r="BS4691" s="3">
        <v>42954</v>
      </c>
      <c r="BT4691" s="4">
        <v>0.44722222222222219</v>
      </c>
      <c r="BU4691" s="2" t="s">
        <v>1006</v>
      </c>
      <c r="BV4691" s="2" t="s">
        <v>95</v>
      </c>
      <c r="BW4691" s="2"/>
      <c r="BX4691" s="2"/>
      <c r="BY4691" s="2">
        <v>8667.0300000000007</v>
      </c>
      <c r="BZ4691" s="2"/>
      <c r="CA4691" s="2" t="s">
        <v>272</v>
      </c>
      <c r="CB4691" s="2"/>
      <c r="CC4691" s="2" t="s">
        <v>269</v>
      </c>
      <c r="CD4691" s="2">
        <v>200</v>
      </c>
      <c r="CE4691" s="2" t="s">
        <v>948</v>
      </c>
      <c r="CF4691" s="5">
        <v>42957</v>
      </c>
      <c r="CG4691" s="2"/>
      <c r="CH4691" s="2"/>
      <c r="CI4691" s="2">
        <v>1</v>
      </c>
      <c r="CJ4691" s="2">
        <v>1</v>
      </c>
      <c r="CK4691" s="2">
        <v>21</v>
      </c>
      <c r="CL4691" s="2" t="s">
        <v>86</v>
      </c>
      <c r="CM4691" s="2"/>
    </row>
    <row r="4692" spans="1:91">
      <c r="A4692" s="2" t="s">
        <v>71</v>
      </c>
      <c r="B4692" s="2" t="s">
        <v>72</v>
      </c>
      <c r="C4692" s="2" t="s">
        <v>73</v>
      </c>
      <c r="D4692" s="2"/>
      <c r="E4692" s="2" t="str">
        <f>"FES1162567094"</f>
        <v>FES1162567094</v>
      </c>
      <c r="F4692" s="3">
        <v>42951</v>
      </c>
      <c r="G4692" s="2">
        <v>201802</v>
      </c>
      <c r="H4692" s="2" t="s">
        <v>74</v>
      </c>
      <c r="I4692" s="2" t="s">
        <v>75</v>
      </c>
      <c r="J4692" s="2" t="s">
        <v>76</v>
      </c>
      <c r="K4692" s="2" t="s">
        <v>77</v>
      </c>
      <c r="L4692" s="2" t="s">
        <v>221</v>
      </c>
      <c r="M4692" s="2" t="s">
        <v>222</v>
      </c>
      <c r="N4692" s="2" t="s">
        <v>675</v>
      </c>
      <c r="O4692" s="2" t="s">
        <v>100</v>
      </c>
      <c r="P4692" s="2" t="str">
        <f>"2170580318                    "</f>
        <v xml:space="preserve">2170580318                    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2">
        <v>0</v>
      </c>
      <c r="Z4692" s="2">
        <v>0</v>
      </c>
      <c r="AA4692" s="2">
        <v>0</v>
      </c>
      <c r="AB4692" s="2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6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0</v>
      </c>
      <c r="AU4692" s="2">
        <v>0</v>
      </c>
      <c r="AV4692" s="2">
        <v>0</v>
      </c>
      <c r="AW4692" s="2">
        <v>0</v>
      </c>
      <c r="AX4692" s="2">
        <v>0</v>
      </c>
      <c r="AY4692" s="2">
        <v>0</v>
      </c>
      <c r="AZ4692" s="2">
        <v>0</v>
      </c>
      <c r="BA4692" s="2">
        <v>0</v>
      </c>
      <c r="BB4692" s="2">
        <v>0</v>
      </c>
      <c r="BC4692" s="2">
        <v>0</v>
      </c>
      <c r="BD4692" s="2">
        <v>0</v>
      </c>
      <c r="BE4692" s="2">
        <v>0</v>
      </c>
      <c r="BF4692" s="2">
        <v>0</v>
      </c>
      <c r="BG4692" s="2">
        <v>0</v>
      </c>
      <c r="BH4692" s="2">
        <v>1</v>
      </c>
      <c r="BI4692" s="2">
        <v>1.9</v>
      </c>
      <c r="BJ4692" s="2">
        <v>3</v>
      </c>
      <c r="BK4692" s="2">
        <v>3</v>
      </c>
      <c r="BL4692" s="2">
        <v>62.16</v>
      </c>
      <c r="BM4692" s="2">
        <v>8.6999999999999993</v>
      </c>
      <c r="BN4692" s="2">
        <v>70.86</v>
      </c>
      <c r="BO4692" s="2">
        <v>70.86</v>
      </c>
      <c r="BP4692" s="2"/>
      <c r="BQ4692" s="2" t="s">
        <v>83</v>
      </c>
      <c r="BR4692" s="2" t="s">
        <v>84</v>
      </c>
      <c r="BS4692" s="3">
        <v>42954</v>
      </c>
      <c r="BT4692" s="4">
        <v>0.39652777777777781</v>
      </c>
      <c r="BU4692" s="2" t="s">
        <v>2508</v>
      </c>
      <c r="BV4692" s="2" t="s">
        <v>95</v>
      </c>
      <c r="BW4692" s="2"/>
      <c r="BX4692" s="2"/>
      <c r="BY4692" s="2">
        <v>15028.93</v>
      </c>
      <c r="BZ4692" s="2"/>
      <c r="CA4692" s="2" t="s">
        <v>225</v>
      </c>
      <c r="CB4692" s="2"/>
      <c r="CC4692" s="2" t="s">
        <v>222</v>
      </c>
      <c r="CD4692" s="2">
        <v>4300</v>
      </c>
      <c r="CE4692" s="2" t="s">
        <v>948</v>
      </c>
      <c r="CF4692" s="5">
        <v>42955</v>
      </c>
      <c r="CG4692" s="2"/>
      <c r="CH4692" s="2"/>
      <c r="CI4692" s="2">
        <v>1</v>
      </c>
      <c r="CJ4692" s="2">
        <v>1</v>
      </c>
      <c r="CK4692" s="2">
        <v>21</v>
      </c>
      <c r="CL4692" s="2" t="s">
        <v>86</v>
      </c>
      <c r="CM4692" s="2"/>
    </row>
    <row r="4693" spans="1:91">
      <c r="A4693" s="2" t="s">
        <v>71</v>
      </c>
      <c r="B4693" s="2" t="s">
        <v>72</v>
      </c>
      <c r="C4693" s="2" t="s">
        <v>73</v>
      </c>
      <c r="D4693" s="2"/>
      <c r="E4693" s="2" t="str">
        <f>"FES1162567173"</f>
        <v>FES1162567173</v>
      </c>
      <c r="F4693" s="3">
        <v>42951</v>
      </c>
      <c r="G4693" s="2">
        <v>201802</v>
      </c>
      <c r="H4693" s="2" t="s">
        <v>74</v>
      </c>
      <c r="I4693" s="2" t="s">
        <v>75</v>
      </c>
      <c r="J4693" s="2" t="s">
        <v>76</v>
      </c>
      <c r="K4693" s="2" t="s">
        <v>77</v>
      </c>
      <c r="L4693" s="2" t="s">
        <v>362</v>
      </c>
      <c r="M4693" s="2" t="s">
        <v>363</v>
      </c>
      <c r="N4693" s="2" t="s">
        <v>683</v>
      </c>
      <c r="O4693" s="2" t="s">
        <v>100</v>
      </c>
      <c r="P4693" s="2" t="str">
        <f>"217058406                     "</f>
        <v xml:space="preserve">217058406                     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9.01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2">
        <v>0</v>
      </c>
      <c r="AT4693" s="2">
        <v>0</v>
      </c>
      <c r="AU4693" s="2">
        <v>0</v>
      </c>
      <c r="AV4693" s="2">
        <v>0</v>
      </c>
      <c r="AW4693" s="2">
        <v>0</v>
      </c>
      <c r="AX4693" s="2">
        <v>0</v>
      </c>
      <c r="AY4693" s="2">
        <v>0</v>
      </c>
      <c r="AZ4693" s="2">
        <v>0</v>
      </c>
      <c r="BA4693" s="2">
        <v>0</v>
      </c>
      <c r="BB4693" s="2">
        <v>0</v>
      </c>
      <c r="BC4693" s="2">
        <v>0</v>
      </c>
      <c r="BD4693" s="2">
        <v>0</v>
      </c>
      <c r="BE4693" s="2">
        <v>0</v>
      </c>
      <c r="BF4693" s="2">
        <v>0</v>
      </c>
      <c r="BG4693" s="2">
        <v>0</v>
      </c>
      <c r="BH4693" s="2">
        <v>1</v>
      </c>
      <c r="BI4693" s="2">
        <v>4.0999999999999996</v>
      </c>
      <c r="BJ4693" s="2">
        <v>1.6</v>
      </c>
      <c r="BK4693" s="2">
        <v>4.5</v>
      </c>
      <c r="BL4693" s="2">
        <v>93.25</v>
      </c>
      <c r="BM4693" s="2">
        <v>13.06</v>
      </c>
      <c r="BN4693" s="2">
        <v>106.31</v>
      </c>
      <c r="BO4693" s="2">
        <v>106.31</v>
      </c>
      <c r="BP4693" s="2"/>
      <c r="BQ4693" s="2" t="s">
        <v>108</v>
      </c>
      <c r="BR4693" s="2" t="s">
        <v>84</v>
      </c>
      <c r="BS4693" s="3">
        <v>42954</v>
      </c>
      <c r="BT4693" s="4">
        <v>0.41666666666666669</v>
      </c>
      <c r="BU4693" s="2" t="s">
        <v>1619</v>
      </c>
      <c r="BV4693" s="2" t="s">
        <v>95</v>
      </c>
      <c r="BW4693" s="2"/>
      <c r="BX4693" s="2"/>
      <c r="BY4693" s="2">
        <v>8100.92</v>
      </c>
      <c r="BZ4693" s="2"/>
      <c r="CA4693" s="2" t="s">
        <v>367</v>
      </c>
      <c r="CB4693" s="2"/>
      <c r="CC4693" s="2" t="s">
        <v>363</v>
      </c>
      <c r="CD4693" s="2">
        <v>3201</v>
      </c>
      <c r="CE4693" s="2" t="s">
        <v>89</v>
      </c>
      <c r="CF4693" s="5">
        <v>42955</v>
      </c>
      <c r="CG4693" s="2"/>
      <c r="CH4693" s="2"/>
      <c r="CI4693" s="2">
        <v>1</v>
      </c>
      <c r="CJ4693" s="2">
        <v>1</v>
      </c>
      <c r="CK4693" s="2">
        <v>21</v>
      </c>
      <c r="CL4693" s="2" t="s">
        <v>86</v>
      </c>
      <c r="CM4693" s="2"/>
    </row>
    <row r="4694" spans="1:91">
      <c r="A4694" s="2" t="s">
        <v>71</v>
      </c>
      <c r="B4694" s="2" t="s">
        <v>72</v>
      </c>
      <c r="C4694" s="2" t="s">
        <v>73</v>
      </c>
      <c r="D4694" s="2"/>
      <c r="E4694" s="2" t="str">
        <f>"FES1162567174"</f>
        <v>FES1162567174</v>
      </c>
      <c r="F4694" s="3">
        <v>42951</v>
      </c>
      <c r="G4694" s="2">
        <v>201802</v>
      </c>
      <c r="H4694" s="2" t="s">
        <v>74</v>
      </c>
      <c r="I4694" s="2" t="s">
        <v>75</v>
      </c>
      <c r="J4694" s="2" t="s">
        <v>76</v>
      </c>
      <c r="K4694" s="2" t="s">
        <v>77</v>
      </c>
      <c r="L4694" s="2" t="s">
        <v>362</v>
      </c>
      <c r="M4694" s="2" t="s">
        <v>363</v>
      </c>
      <c r="N4694" s="2" t="s">
        <v>683</v>
      </c>
      <c r="O4694" s="2" t="s">
        <v>100</v>
      </c>
      <c r="P4694" s="2" t="str">
        <f>"2170587410                    "</f>
        <v xml:space="preserve">2170587410                    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13.01</v>
      </c>
      <c r="AN4694" s="2">
        <v>0</v>
      </c>
      <c r="AO4694" s="2">
        <v>0</v>
      </c>
      <c r="AP4694" s="2">
        <v>0</v>
      </c>
      <c r="AQ4694" s="2">
        <v>0</v>
      </c>
      <c r="AR4694" s="2">
        <v>0</v>
      </c>
      <c r="AS4694" s="2">
        <v>0</v>
      </c>
      <c r="AT4694" s="2">
        <v>0</v>
      </c>
      <c r="AU4694" s="2">
        <v>0</v>
      </c>
      <c r="AV4694" s="2">
        <v>0</v>
      </c>
      <c r="AW4694" s="2">
        <v>0</v>
      </c>
      <c r="AX4694" s="2">
        <v>0</v>
      </c>
      <c r="AY4694" s="2">
        <v>0</v>
      </c>
      <c r="AZ4694" s="2">
        <v>0</v>
      </c>
      <c r="BA4694" s="2">
        <v>0</v>
      </c>
      <c r="BB4694" s="2">
        <v>0</v>
      </c>
      <c r="BC4694" s="2">
        <v>0</v>
      </c>
      <c r="BD4694" s="2">
        <v>0</v>
      </c>
      <c r="BE4694" s="2">
        <v>0</v>
      </c>
      <c r="BF4694" s="2">
        <v>0</v>
      </c>
      <c r="BG4694" s="2">
        <v>0</v>
      </c>
      <c r="BH4694" s="2">
        <v>1</v>
      </c>
      <c r="BI4694" s="2">
        <v>6.1</v>
      </c>
      <c r="BJ4694" s="2">
        <v>3.2</v>
      </c>
      <c r="BK4694" s="2">
        <v>6.5</v>
      </c>
      <c r="BL4694" s="2">
        <v>134.69</v>
      </c>
      <c r="BM4694" s="2">
        <v>18.86</v>
      </c>
      <c r="BN4694" s="2">
        <v>153.55000000000001</v>
      </c>
      <c r="BO4694" s="2">
        <v>153.55000000000001</v>
      </c>
      <c r="BP4694" s="2"/>
      <c r="BQ4694" s="2" t="s">
        <v>108</v>
      </c>
      <c r="BR4694" s="2" t="s">
        <v>84</v>
      </c>
      <c r="BS4694" s="3">
        <v>42954</v>
      </c>
      <c r="BT4694" s="4">
        <v>0.41666666666666669</v>
      </c>
      <c r="BU4694" s="2" t="s">
        <v>1619</v>
      </c>
      <c r="BV4694" s="2" t="s">
        <v>95</v>
      </c>
      <c r="BW4694" s="2"/>
      <c r="BX4694" s="2"/>
      <c r="BY4694" s="2">
        <v>16048.47</v>
      </c>
      <c r="BZ4694" s="2"/>
      <c r="CA4694" s="2" t="s">
        <v>367</v>
      </c>
      <c r="CB4694" s="2"/>
      <c r="CC4694" s="2" t="s">
        <v>363</v>
      </c>
      <c r="CD4694" s="2">
        <v>3201</v>
      </c>
      <c r="CE4694" s="2" t="s">
        <v>89</v>
      </c>
      <c r="CF4694" s="5">
        <v>42955</v>
      </c>
      <c r="CG4694" s="2"/>
      <c r="CH4694" s="2"/>
      <c r="CI4694" s="2">
        <v>1</v>
      </c>
      <c r="CJ4694" s="2">
        <v>1</v>
      </c>
      <c r="CK4694" s="2">
        <v>21</v>
      </c>
      <c r="CL4694" s="2" t="s">
        <v>86</v>
      </c>
      <c r="CM4694" s="2"/>
    </row>
    <row r="4695" spans="1:91">
      <c r="A4695" s="2" t="s">
        <v>71</v>
      </c>
      <c r="B4695" s="2" t="s">
        <v>72</v>
      </c>
      <c r="C4695" s="2" t="s">
        <v>73</v>
      </c>
      <c r="D4695" s="2"/>
      <c r="E4695" s="2" t="str">
        <f>"FES1162567109"</f>
        <v>FES1162567109</v>
      </c>
      <c r="F4695" s="3">
        <v>42951</v>
      </c>
      <c r="G4695" s="2">
        <v>201802</v>
      </c>
      <c r="H4695" s="2" t="s">
        <v>74</v>
      </c>
      <c r="I4695" s="2" t="s">
        <v>75</v>
      </c>
      <c r="J4695" s="2" t="s">
        <v>76</v>
      </c>
      <c r="K4695" s="2" t="s">
        <v>77</v>
      </c>
      <c r="L4695" s="2" t="s">
        <v>105</v>
      </c>
      <c r="M4695" s="2" t="s">
        <v>106</v>
      </c>
      <c r="N4695" s="2" t="s">
        <v>2729</v>
      </c>
      <c r="O4695" s="2" t="s">
        <v>100</v>
      </c>
      <c r="P4695" s="2" t="str">
        <f>"2170580179                    "</f>
        <v xml:space="preserve">2170580179                    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5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2">
        <v>0</v>
      </c>
      <c r="AT4695" s="2">
        <v>0</v>
      </c>
      <c r="AU4695" s="2">
        <v>0</v>
      </c>
      <c r="AV4695" s="2">
        <v>0</v>
      </c>
      <c r="AW4695" s="2">
        <v>0</v>
      </c>
      <c r="AX4695" s="2">
        <v>0</v>
      </c>
      <c r="AY4695" s="2">
        <v>0</v>
      </c>
      <c r="AZ4695" s="2">
        <v>0</v>
      </c>
      <c r="BA4695" s="2">
        <v>0</v>
      </c>
      <c r="BB4695" s="2">
        <v>0</v>
      </c>
      <c r="BC4695" s="2">
        <v>0</v>
      </c>
      <c r="BD4695" s="2">
        <v>0</v>
      </c>
      <c r="BE4695" s="2">
        <v>0</v>
      </c>
      <c r="BF4695" s="2">
        <v>0</v>
      </c>
      <c r="BG4695" s="2">
        <v>0</v>
      </c>
      <c r="BH4695" s="2">
        <v>1</v>
      </c>
      <c r="BI4695" s="2">
        <v>2.4</v>
      </c>
      <c r="BJ4695" s="2">
        <v>0.9</v>
      </c>
      <c r="BK4695" s="2">
        <v>2.5</v>
      </c>
      <c r="BL4695" s="2">
        <v>51.8</v>
      </c>
      <c r="BM4695" s="2">
        <v>7.25</v>
      </c>
      <c r="BN4695" s="2">
        <v>59.05</v>
      </c>
      <c r="BO4695" s="2">
        <v>59.05</v>
      </c>
      <c r="BP4695" s="2"/>
      <c r="BQ4695" s="2" t="s">
        <v>4166</v>
      </c>
      <c r="BR4695" s="2" t="s">
        <v>84</v>
      </c>
      <c r="BS4695" s="3">
        <v>42954</v>
      </c>
      <c r="BT4695" s="4">
        <v>0.46180555555555558</v>
      </c>
      <c r="BU4695" s="2" t="s">
        <v>4167</v>
      </c>
      <c r="BV4695" s="2" t="s">
        <v>86</v>
      </c>
      <c r="BW4695" s="2" t="s">
        <v>110</v>
      </c>
      <c r="BX4695" s="2" t="s">
        <v>290</v>
      </c>
      <c r="BY4695" s="2">
        <v>4377.4799999999996</v>
      </c>
      <c r="BZ4695" s="2"/>
      <c r="CA4695" s="2" t="s">
        <v>302</v>
      </c>
      <c r="CB4695" s="2"/>
      <c r="CC4695" s="2" t="s">
        <v>106</v>
      </c>
      <c r="CD4695" s="2">
        <v>7580</v>
      </c>
      <c r="CE4695" s="2" t="s">
        <v>948</v>
      </c>
      <c r="CF4695" s="5">
        <v>42955</v>
      </c>
      <c r="CG4695" s="2"/>
      <c r="CH4695" s="2"/>
      <c r="CI4695" s="2">
        <v>1</v>
      </c>
      <c r="CJ4695" s="2">
        <v>1</v>
      </c>
      <c r="CK4695" s="2">
        <v>21</v>
      </c>
      <c r="CL4695" s="2" t="s">
        <v>86</v>
      </c>
      <c r="CM4695" s="2"/>
    </row>
    <row r="4696" spans="1:91">
      <c r="A4696" s="2" t="s">
        <v>71</v>
      </c>
      <c r="B4696" s="2" t="s">
        <v>72</v>
      </c>
      <c r="C4696" s="2" t="s">
        <v>73</v>
      </c>
      <c r="D4696" s="2"/>
      <c r="E4696" s="2" t="str">
        <f>"FES1162567032"</f>
        <v>FES1162567032</v>
      </c>
      <c r="F4696" s="3">
        <v>42951</v>
      </c>
      <c r="G4696" s="2">
        <v>201802</v>
      </c>
      <c r="H4696" s="2" t="s">
        <v>74</v>
      </c>
      <c r="I4696" s="2" t="s">
        <v>75</v>
      </c>
      <c r="J4696" s="2" t="s">
        <v>76</v>
      </c>
      <c r="K4696" s="2" t="s">
        <v>77</v>
      </c>
      <c r="L4696" s="2" t="s">
        <v>105</v>
      </c>
      <c r="M4696" s="2" t="s">
        <v>106</v>
      </c>
      <c r="N4696" s="2" t="s">
        <v>4168</v>
      </c>
      <c r="O4696" s="2" t="s">
        <v>100</v>
      </c>
      <c r="P4696" s="2" t="str">
        <f>"2170583288                    "</f>
        <v xml:space="preserve">2170583288                    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2">
        <v>0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10.01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0</v>
      </c>
      <c r="AU4696" s="2">
        <v>0</v>
      </c>
      <c r="AV4696" s="2">
        <v>0</v>
      </c>
      <c r="AW4696" s="2">
        <v>0</v>
      </c>
      <c r="AX4696" s="2">
        <v>0</v>
      </c>
      <c r="AY4696" s="2">
        <v>0</v>
      </c>
      <c r="AZ4696" s="2">
        <v>0</v>
      </c>
      <c r="BA4696" s="2">
        <v>0</v>
      </c>
      <c r="BB4696" s="2">
        <v>0</v>
      </c>
      <c r="BC4696" s="2">
        <v>0</v>
      </c>
      <c r="BD4696" s="2">
        <v>0</v>
      </c>
      <c r="BE4696" s="2">
        <v>0</v>
      </c>
      <c r="BF4696" s="2">
        <v>0</v>
      </c>
      <c r="BG4696" s="2">
        <v>0</v>
      </c>
      <c r="BH4696" s="2">
        <v>1</v>
      </c>
      <c r="BI4696" s="2">
        <v>4</v>
      </c>
      <c r="BJ4696" s="2">
        <v>4.9000000000000004</v>
      </c>
      <c r="BK4696" s="2">
        <v>5</v>
      </c>
      <c r="BL4696" s="2">
        <v>103.61</v>
      </c>
      <c r="BM4696" s="2">
        <v>14.51</v>
      </c>
      <c r="BN4696" s="2">
        <v>118.12</v>
      </c>
      <c r="BO4696" s="2">
        <v>118.12</v>
      </c>
      <c r="BP4696" s="2"/>
      <c r="BQ4696" s="2" t="s">
        <v>83</v>
      </c>
      <c r="BR4696" s="2" t="s">
        <v>84</v>
      </c>
      <c r="BS4696" s="3">
        <v>42954</v>
      </c>
      <c r="BT4696" s="4">
        <v>0.3923611111111111</v>
      </c>
      <c r="BU4696" s="2" t="s">
        <v>4169</v>
      </c>
      <c r="BV4696" s="2" t="s">
        <v>95</v>
      </c>
      <c r="BW4696" s="2"/>
      <c r="BX4696" s="2"/>
      <c r="BY4696" s="2">
        <v>24336</v>
      </c>
      <c r="BZ4696" s="2"/>
      <c r="CA4696" s="2" t="s">
        <v>3531</v>
      </c>
      <c r="CB4696" s="2"/>
      <c r="CC4696" s="2" t="s">
        <v>106</v>
      </c>
      <c r="CD4696" s="2">
        <v>7460</v>
      </c>
      <c r="CE4696" s="2" t="s">
        <v>948</v>
      </c>
      <c r="CF4696" s="5">
        <v>42955</v>
      </c>
      <c r="CG4696" s="2"/>
      <c r="CH4696" s="2"/>
      <c r="CI4696" s="2">
        <v>1</v>
      </c>
      <c r="CJ4696" s="2">
        <v>1</v>
      </c>
      <c r="CK4696" s="2">
        <v>21</v>
      </c>
      <c r="CL4696" s="2" t="s">
        <v>86</v>
      </c>
      <c r="CM4696" s="2"/>
    </row>
    <row r="4697" spans="1:91">
      <c r="A4697" s="2" t="s">
        <v>71</v>
      </c>
      <c r="B4697" s="2" t="s">
        <v>72</v>
      </c>
      <c r="C4697" s="2" t="s">
        <v>73</v>
      </c>
      <c r="D4697" s="2"/>
      <c r="E4697" s="2" t="str">
        <f>"FES1162567100"</f>
        <v>FES1162567100</v>
      </c>
      <c r="F4697" s="3">
        <v>42951</v>
      </c>
      <c r="G4697" s="2">
        <v>201802</v>
      </c>
      <c r="H4697" s="2" t="s">
        <v>74</v>
      </c>
      <c r="I4697" s="2" t="s">
        <v>75</v>
      </c>
      <c r="J4697" s="2" t="s">
        <v>76</v>
      </c>
      <c r="K4697" s="2" t="s">
        <v>77</v>
      </c>
      <c r="L4697" s="2" t="s">
        <v>105</v>
      </c>
      <c r="M4697" s="2" t="s">
        <v>106</v>
      </c>
      <c r="N4697" s="2" t="s">
        <v>253</v>
      </c>
      <c r="O4697" s="2" t="s">
        <v>100</v>
      </c>
      <c r="P4697" s="2" t="str">
        <f>"2170580575                    "</f>
        <v xml:space="preserve">2170580575                    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0</v>
      </c>
      <c r="Y4697" s="2">
        <v>0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4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0</v>
      </c>
      <c r="AU4697" s="2">
        <v>0</v>
      </c>
      <c r="AV4697" s="2">
        <v>0</v>
      </c>
      <c r="AW4697" s="2">
        <v>0</v>
      </c>
      <c r="AX4697" s="2">
        <v>0</v>
      </c>
      <c r="AY4697" s="2">
        <v>0</v>
      </c>
      <c r="AZ4697" s="2">
        <v>0</v>
      </c>
      <c r="BA4697" s="2">
        <v>0</v>
      </c>
      <c r="BB4697" s="2">
        <v>0</v>
      </c>
      <c r="BC4697" s="2">
        <v>0</v>
      </c>
      <c r="BD4697" s="2">
        <v>0</v>
      </c>
      <c r="BE4697" s="2">
        <v>0</v>
      </c>
      <c r="BF4697" s="2">
        <v>0</v>
      </c>
      <c r="BG4697" s="2">
        <v>0</v>
      </c>
      <c r="BH4697" s="2">
        <v>1</v>
      </c>
      <c r="BI4697" s="2">
        <v>1</v>
      </c>
      <c r="BJ4697" s="2">
        <v>1</v>
      </c>
      <c r="BK4697" s="2">
        <v>1</v>
      </c>
      <c r="BL4697" s="2">
        <v>41.44</v>
      </c>
      <c r="BM4697" s="2">
        <v>5.8</v>
      </c>
      <c r="BN4697" s="2">
        <v>47.24</v>
      </c>
      <c r="BO4697" s="2">
        <v>47.24</v>
      </c>
      <c r="BP4697" s="2"/>
      <c r="BQ4697" s="2" t="s">
        <v>108</v>
      </c>
      <c r="BR4697" s="2" t="s">
        <v>84</v>
      </c>
      <c r="BS4697" s="3">
        <v>42954</v>
      </c>
      <c r="BT4697" s="4">
        <v>0.4375</v>
      </c>
      <c r="BU4697" s="2" t="s">
        <v>4106</v>
      </c>
      <c r="BV4697" s="2" t="s">
        <v>95</v>
      </c>
      <c r="BW4697" s="2"/>
      <c r="BX4697" s="2"/>
      <c r="BY4697" s="2">
        <v>5020.82</v>
      </c>
      <c r="BZ4697" s="2"/>
      <c r="CA4697" s="2" t="s">
        <v>654</v>
      </c>
      <c r="CB4697" s="2"/>
      <c r="CC4697" s="2" t="s">
        <v>106</v>
      </c>
      <c r="CD4697" s="2">
        <v>7490</v>
      </c>
      <c r="CE4697" s="2" t="s">
        <v>89</v>
      </c>
      <c r="CF4697" s="5">
        <v>42955</v>
      </c>
      <c r="CG4697" s="2"/>
      <c r="CH4697" s="2"/>
      <c r="CI4697" s="2">
        <v>1</v>
      </c>
      <c r="CJ4697" s="2">
        <v>1</v>
      </c>
      <c r="CK4697" s="2">
        <v>21</v>
      </c>
      <c r="CL4697" s="2" t="s">
        <v>86</v>
      </c>
      <c r="CM4697" s="2"/>
    </row>
    <row r="4698" spans="1:91">
      <c r="A4698" s="2" t="s">
        <v>71</v>
      </c>
      <c r="B4698" s="2" t="s">
        <v>72</v>
      </c>
      <c r="C4698" s="2" t="s">
        <v>73</v>
      </c>
      <c r="D4698" s="2"/>
      <c r="E4698" s="2" t="str">
        <f>"FES1162567012"</f>
        <v>FES1162567012</v>
      </c>
      <c r="F4698" s="3">
        <v>42951</v>
      </c>
      <c r="G4698" s="2">
        <v>201802</v>
      </c>
      <c r="H4698" s="2" t="s">
        <v>74</v>
      </c>
      <c r="I4698" s="2" t="s">
        <v>75</v>
      </c>
      <c r="J4698" s="2" t="s">
        <v>76</v>
      </c>
      <c r="K4698" s="2" t="s">
        <v>77</v>
      </c>
      <c r="L4698" s="2" t="s">
        <v>97</v>
      </c>
      <c r="M4698" s="2" t="s">
        <v>98</v>
      </c>
      <c r="N4698" s="2" t="s">
        <v>2597</v>
      </c>
      <c r="O4698" s="2" t="s">
        <v>100</v>
      </c>
      <c r="P4698" s="2" t="str">
        <f>"2170583259                    "</f>
        <v xml:space="preserve">2170583259                    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12.01</v>
      </c>
      <c r="AN4698" s="2">
        <v>0</v>
      </c>
      <c r="AO4698" s="2">
        <v>0</v>
      </c>
      <c r="AP4698" s="2">
        <v>0</v>
      </c>
      <c r="AQ4698" s="2">
        <v>0</v>
      </c>
      <c r="AR4698" s="2">
        <v>0</v>
      </c>
      <c r="AS4698" s="2">
        <v>0</v>
      </c>
      <c r="AT4698" s="2">
        <v>0</v>
      </c>
      <c r="AU4698" s="2">
        <v>0</v>
      </c>
      <c r="AV4698" s="2">
        <v>0</v>
      </c>
      <c r="AW4698" s="2">
        <v>0</v>
      </c>
      <c r="AX4698" s="2">
        <v>0</v>
      </c>
      <c r="AY4698" s="2">
        <v>0</v>
      </c>
      <c r="AZ4698" s="2">
        <v>0</v>
      </c>
      <c r="BA4698" s="2">
        <v>0</v>
      </c>
      <c r="BB4698" s="2">
        <v>0</v>
      </c>
      <c r="BC4698" s="2">
        <v>0</v>
      </c>
      <c r="BD4698" s="2">
        <v>0</v>
      </c>
      <c r="BE4698" s="2">
        <v>0</v>
      </c>
      <c r="BF4698" s="2">
        <v>0</v>
      </c>
      <c r="BG4698" s="2">
        <v>0</v>
      </c>
      <c r="BH4698" s="2">
        <v>1</v>
      </c>
      <c r="BI4698" s="2">
        <v>6</v>
      </c>
      <c r="BJ4698" s="2">
        <v>1.5</v>
      </c>
      <c r="BK4698" s="2">
        <v>6</v>
      </c>
      <c r="BL4698" s="2">
        <v>124.33</v>
      </c>
      <c r="BM4698" s="2">
        <v>17.41</v>
      </c>
      <c r="BN4698" s="2">
        <v>141.74</v>
      </c>
      <c r="BO4698" s="2">
        <v>141.74</v>
      </c>
      <c r="BP4698" s="2"/>
      <c r="BQ4698" s="2" t="s">
        <v>4113</v>
      </c>
      <c r="BR4698" s="2" t="s">
        <v>84</v>
      </c>
      <c r="BS4698" s="3">
        <v>42954</v>
      </c>
      <c r="BT4698" s="4">
        <v>0.29166666666666669</v>
      </c>
      <c r="BU4698" s="2" t="s">
        <v>2598</v>
      </c>
      <c r="BV4698" s="2" t="s">
        <v>95</v>
      </c>
      <c r="BW4698" s="2"/>
      <c r="BX4698" s="2"/>
      <c r="BY4698" s="2">
        <v>7627.39</v>
      </c>
      <c r="BZ4698" s="2"/>
      <c r="CA4698" s="2" t="s">
        <v>294</v>
      </c>
      <c r="CB4698" s="2"/>
      <c r="CC4698" s="2" t="s">
        <v>98</v>
      </c>
      <c r="CD4698" s="2">
        <v>6012</v>
      </c>
      <c r="CE4698" s="2" t="s">
        <v>948</v>
      </c>
      <c r="CF4698" s="5">
        <v>42955</v>
      </c>
      <c r="CG4698" s="2"/>
      <c r="CH4698" s="2"/>
      <c r="CI4698" s="2">
        <v>1</v>
      </c>
      <c r="CJ4698" s="2">
        <v>1</v>
      </c>
      <c r="CK4698" s="2">
        <v>21</v>
      </c>
      <c r="CL4698" s="2" t="s">
        <v>86</v>
      </c>
      <c r="CM4698" s="2"/>
    </row>
    <row r="4699" spans="1:91">
      <c r="A4699" s="2" t="s">
        <v>71</v>
      </c>
      <c r="B4699" s="2" t="s">
        <v>72</v>
      </c>
      <c r="C4699" s="2" t="s">
        <v>73</v>
      </c>
      <c r="D4699" s="2"/>
      <c r="E4699" s="2" t="str">
        <f>"FES1162567001"</f>
        <v>FES1162567001</v>
      </c>
      <c r="F4699" s="3">
        <v>42951</v>
      </c>
      <c r="G4699" s="2">
        <v>201802</v>
      </c>
      <c r="H4699" s="2" t="s">
        <v>74</v>
      </c>
      <c r="I4699" s="2" t="s">
        <v>75</v>
      </c>
      <c r="J4699" s="2" t="s">
        <v>76</v>
      </c>
      <c r="K4699" s="2" t="s">
        <v>77</v>
      </c>
      <c r="L4699" s="2" t="s">
        <v>510</v>
      </c>
      <c r="M4699" s="2" t="s">
        <v>511</v>
      </c>
      <c r="N4699" s="2" t="s">
        <v>583</v>
      </c>
      <c r="O4699" s="2" t="s">
        <v>100</v>
      </c>
      <c r="P4699" s="2" t="str">
        <f>"2170582750                    "</f>
        <v xml:space="preserve">2170582750                    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8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0</v>
      </c>
      <c r="AU4699" s="2">
        <v>0</v>
      </c>
      <c r="AV4699" s="2">
        <v>0</v>
      </c>
      <c r="AW4699" s="2">
        <v>0</v>
      </c>
      <c r="AX4699" s="2">
        <v>0</v>
      </c>
      <c r="AY4699" s="2">
        <v>0</v>
      </c>
      <c r="AZ4699" s="2">
        <v>0</v>
      </c>
      <c r="BA4699" s="2">
        <v>0</v>
      </c>
      <c r="BB4699" s="2">
        <v>0</v>
      </c>
      <c r="BC4699" s="2">
        <v>0</v>
      </c>
      <c r="BD4699" s="2">
        <v>0</v>
      </c>
      <c r="BE4699" s="2">
        <v>0</v>
      </c>
      <c r="BF4699" s="2">
        <v>0</v>
      </c>
      <c r="BG4699" s="2">
        <v>0</v>
      </c>
      <c r="BH4699" s="2">
        <v>1</v>
      </c>
      <c r="BI4699" s="2">
        <v>3.9</v>
      </c>
      <c r="BJ4699" s="2">
        <v>1.7</v>
      </c>
      <c r="BK4699" s="2">
        <v>4</v>
      </c>
      <c r="BL4699" s="2">
        <v>82.88</v>
      </c>
      <c r="BM4699" s="2">
        <v>11.6</v>
      </c>
      <c r="BN4699" s="2">
        <v>94.48</v>
      </c>
      <c r="BO4699" s="2">
        <v>94.48</v>
      </c>
      <c r="BP4699" s="2"/>
      <c r="BQ4699" s="2" t="s">
        <v>1505</v>
      </c>
      <c r="BR4699" s="2" t="s">
        <v>84</v>
      </c>
      <c r="BS4699" s="3">
        <v>42954</v>
      </c>
      <c r="BT4699" s="4">
        <v>0.33333333333333331</v>
      </c>
      <c r="BU4699" s="2" t="s">
        <v>4108</v>
      </c>
      <c r="BV4699" s="2" t="s">
        <v>95</v>
      </c>
      <c r="BW4699" s="2"/>
      <c r="BX4699" s="2"/>
      <c r="BY4699" s="2">
        <v>8572.7999999999993</v>
      </c>
      <c r="BZ4699" s="2"/>
      <c r="CA4699" s="2" t="s">
        <v>514</v>
      </c>
      <c r="CB4699" s="2"/>
      <c r="CC4699" s="2" t="s">
        <v>511</v>
      </c>
      <c r="CD4699" s="2">
        <v>6229</v>
      </c>
      <c r="CE4699" s="2" t="s">
        <v>89</v>
      </c>
      <c r="CF4699" s="5">
        <v>42955</v>
      </c>
      <c r="CG4699" s="2"/>
      <c r="CH4699" s="2"/>
      <c r="CI4699" s="2">
        <v>1</v>
      </c>
      <c r="CJ4699" s="2">
        <v>1</v>
      </c>
      <c r="CK4699" s="2">
        <v>21</v>
      </c>
      <c r="CL4699" s="2" t="s">
        <v>86</v>
      </c>
      <c r="CM4699" s="2"/>
    </row>
    <row r="4700" spans="1:91">
      <c r="A4700" s="2" t="s">
        <v>71</v>
      </c>
      <c r="B4700" s="2" t="s">
        <v>72</v>
      </c>
      <c r="C4700" s="2" t="s">
        <v>73</v>
      </c>
      <c r="D4700" s="2"/>
      <c r="E4700" s="2" t="str">
        <f>"FES1162567018"</f>
        <v>FES1162567018</v>
      </c>
      <c r="F4700" s="3">
        <v>42951</v>
      </c>
      <c r="G4700" s="2">
        <v>201802</v>
      </c>
      <c r="H4700" s="2" t="s">
        <v>74</v>
      </c>
      <c r="I4700" s="2" t="s">
        <v>75</v>
      </c>
      <c r="J4700" s="2" t="s">
        <v>76</v>
      </c>
      <c r="K4700" s="2" t="s">
        <v>77</v>
      </c>
      <c r="L4700" s="2" t="s">
        <v>939</v>
      </c>
      <c r="M4700" s="2" t="s">
        <v>940</v>
      </c>
      <c r="N4700" s="2" t="s">
        <v>941</v>
      </c>
      <c r="O4700" s="2" t="s">
        <v>100</v>
      </c>
      <c r="P4700" s="2" t="str">
        <f>"2170583268                    "</f>
        <v xml:space="preserve">2170583268                    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5.63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0</v>
      </c>
      <c r="AU4700" s="2">
        <v>0</v>
      </c>
      <c r="AV4700" s="2">
        <v>0</v>
      </c>
      <c r="AW4700" s="2">
        <v>0</v>
      </c>
      <c r="AX4700" s="2">
        <v>0</v>
      </c>
      <c r="AY4700" s="2">
        <v>0</v>
      </c>
      <c r="AZ4700" s="2">
        <v>0</v>
      </c>
      <c r="BA4700" s="2">
        <v>0</v>
      </c>
      <c r="BB4700" s="2">
        <v>0</v>
      </c>
      <c r="BC4700" s="2">
        <v>0</v>
      </c>
      <c r="BD4700" s="2">
        <v>0</v>
      </c>
      <c r="BE4700" s="2">
        <v>0</v>
      </c>
      <c r="BF4700" s="2">
        <v>0</v>
      </c>
      <c r="BG4700" s="2">
        <v>0</v>
      </c>
      <c r="BH4700" s="2">
        <v>1</v>
      </c>
      <c r="BI4700" s="2">
        <v>1</v>
      </c>
      <c r="BJ4700" s="2">
        <v>0.2</v>
      </c>
      <c r="BK4700" s="2">
        <v>1</v>
      </c>
      <c r="BL4700" s="2">
        <v>58.28</v>
      </c>
      <c r="BM4700" s="2">
        <v>8.16</v>
      </c>
      <c r="BN4700" s="2">
        <v>66.44</v>
      </c>
      <c r="BO4700" s="2">
        <v>66.44</v>
      </c>
      <c r="BP4700" s="2"/>
      <c r="BQ4700" s="2" t="s">
        <v>108</v>
      </c>
      <c r="BR4700" s="2" t="s">
        <v>84</v>
      </c>
      <c r="BS4700" s="3">
        <v>42954</v>
      </c>
      <c r="BT4700" s="4">
        <v>0.625</v>
      </c>
      <c r="BU4700" s="2" t="s">
        <v>942</v>
      </c>
      <c r="BV4700" s="2" t="s">
        <v>95</v>
      </c>
      <c r="BW4700" s="2"/>
      <c r="BX4700" s="2"/>
      <c r="BY4700" s="2">
        <v>1200</v>
      </c>
      <c r="BZ4700" s="2"/>
      <c r="CA4700" s="2" t="s">
        <v>943</v>
      </c>
      <c r="CB4700" s="2"/>
      <c r="CC4700" s="2" t="s">
        <v>940</v>
      </c>
      <c r="CD4700" s="2">
        <v>1028</v>
      </c>
      <c r="CE4700" s="2" t="s">
        <v>104</v>
      </c>
      <c r="CF4700" s="5">
        <v>42957</v>
      </c>
      <c r="CG4700" s="2"/>
      <c r="CH4700" s="2"/>
      <c r="CI4700" s="2">
        <v>2</v>
      </c>
      <c r="CJ4700" s="2">
        <v>1</v>
      </c>
      <c r="CK4700" s="2">
        <v>24</v>
      </c>
      <c r="CL4700" s="2" t="s">
        <v>86</v>
      </c>
      <c r="CM4700" s="2"/>
    </row>
    <row r="4701" spans="1:91">
      <c r="A4701" s="2" t="s">
        <v>71</v>
      </c>
      <c r="B4701" s="2" t="s">
        <v>72</v>
      </c>
      <c r="C4701" s="2" t="s">
        <v>73</v>
      </c>
      <c r="D4701" s="2"/>
      <c r="E4701" s="2" t="str">
        <f>"FES1162567152"</f>
        <v>FES1162567152</v>
      </c>
      <c r="F4701" s="3">
        <v>42951</v>
      </c>
      <c r="G4701" s="2">
        <v>201802</v>
      </c>
      <c r="H4701" s="2" t="s">
        <v>74</v>
      </c>
      <c r="I4701" s="2" t="s">
        <v>75</v>
      </c>
      <c r="J4701" s="2" t="s">
        <v>76</v>
      </c>
      <c r="K4701" s="2" t="s">
        <v>77</v>
      </c>
      <c r="L4701" s="2" t="s">
        <v>306</v>
      </c>
      <c r="M4701" s="2" t="s">
        <v>307</v>
      </c>
      <c r="N4701" s="2" t="s">
        <v>949</v>
      </c>
      <c r="O4701" s="2" t="s">
        <v>100</v>
      </c>
      <c r="P4701" s="2" t="str">
        <f>"2170582438                    "</f>
        <v xml:space="preserve">2170582438                    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</v>
      </c>
      <c r="Y4701" s="2">
        <v>0</v>
      </c>
      <c r="Z4701" s="2">
        <v>0</v>
      </c>
      <c r="AA4701" s="2">
        <v>0</v>
      </c>
      <c r="AB4701" s="2">
        <v>0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4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0</v>
      </c>
      <c r="AU4701" s="2">
        <v>0</v>
      </c>
      <c r="AV4701" s="2">
        <v>0</v>
      </c>
      <c r="AW4701" s="2">
        <v>0</v>
      </c>
      <c r="AX4701" s="2">
        <v>0</v>
      </c>
      <c r="AY4701" s="2">
        <v>0</v>
      </c>
      <c r="AZ4701" s="2">
        <v>0</v>
      </c>
      <c r="BA4701" s="2">
        <v>0</v>
      </c>
      <c r="BB4701" s="2">
        <v>0</v>
      </c>
      <c r="BC4701" s="2">
        <v>0</v>
      </c>
      <c r="BD4701" s="2">
        <v>0</v>
      </c>
      <c r="BE4701" s="2">
        <v>0</v>
      </c>
      <c r="BF4701" s="2">
        <v>0</v>
      </c>
      <c r="BG4701" s="2">
        <v>0</v>
      </c>
      <c r="BH4701" s="2">
        <v>1</v>
      </c>
      <c r="BI4701" s="2">
        <v>1</v>
      </c>
      <c r="BJ4701" s="2">
        <v>0.2</v>
      </c>
      <c r="BK4701" s="2">
        <v>1</v>
      </c>
      <c r="BL4701" s="2">
        <v>41.44</v>
      </c>
      <c r="BM4701" s="2">
        <v>5.8</v>
      </c>
      <c r="BN4701" s="2">
        <v>47.24</v>
      </c>
      <c r="BO4701" s="2">
        <v>47.24</v>
      </c>
      <c r="BP4701" s="2"/>
      <c r="BQ4701" s="2" t="s">
        <v>108</v>
      </c>
      <c r="BR4701" s="2" t="s">
        <v>84</v>
      </c>
      <c r="BS4701" s="3">
        <v>42954</v>
      </c>
      <c r="BT4701" s="4">
        <v>0.52430555555555558</v>
      </c>
      <c r="BU4701" s="2" t="s">
        <v>4170</v>
      </c>
      <c r="BV4701" s="2" t="s">
        <v>86</v>
      </c>
      <c r="BW4701" s="2"/>
      <c r="BX4701" s="2"/>
      <c r="BY4701" s="2">
        <v>1200</v>
      </c>
      <c r="BZ4701" s="2"/>
      <c r="CA4701" s="2"/>
      <c r="CB4701" s="2"/>
      <c r="CC4701" s="2" t="s">
        <v>307</v>
      </c>
      <c r="CD4701" s="2">
        <v>1961</v>
      </c>
      <c r="CE4701" s="2" t="s">
        <v>104</v>
      </c>
      <c r="CF4701" s="5">
        <v>42957</v>
      </c>
      <c r="CG4701" s="2"/>
      <c r="CH4701" s="2"/>
      <c r="CI4701" s="2">
        <v>1</v>
      </c>
      <c r="CJ4701" s="2">
        <v>1</v>
      </c>
      <c r="CK4701" s="2">
        <v>21</v>
      </c>
      <c r="CL4701" s="2" t="s">
        <v>86</v>
      </c>
      <c r="CM4701" s="2"/>
    </row>
    <row r="4702" spans="1:91">
      <c r="A4702" s="2" t="s">
        <v>71</v>
      </c>
      <c r="B4702" s="2" t="s">
        <v>72</v>
      </c>
      <c r="C4702" s="2" t="s">
        <v>73</v>
      </c>
      <c r="D4702" s="2"/>
      <c r="E4702" s="2" t="str">
        <f>"FES1162567052"</f>
        <v>FES1162567052</v>
      </c>
      <c r="F4702" s="3">
        <v>42951</v>
      </c>
      <c r="G4702" s="2">
        <v>201802</v>
      </c>
      <c r="H4702" s="2" t="s">
        <v>74</v>
      </c>
      <c r="I4702" s="2" t="s">
        <v>75</v>
      </c>
      <c r="J4702" s="2" t="s">
        <v>76</v>
      </c>
      <c r="K4702" s="2" t="s">
        <v>77</v>
      </c>
      <c r="L4702" s="2" t="s">
        <v>306</v>
      </c>
      <c r="M4702" s="2" t="s">
        <v>307</v>
      </c>
      <c r="N4702" s="2" t="s">
        <v>316</v>
      </c>
      <c r="O4702" s="2" t="s">
        <v>100</v>
      </c>
      <c r="P4702" s="2" t="str">
        <f>"2170583312                    "</f>
        <v xml:space="preserve">2170583312                    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4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0</v>
      </c>
      <c r="AU4702" s="2">
        <v>0</v>
      </c>
      <c r="AV4702" s="2">
        <v>0</v>
      </c>
      <c r="AW4702" s="2">
        <v>0</v>
      </c>
      <c r="AX4702" s="2">
        <v>0</v>
      </c>
      <c r="AY4702" s="2">
        <v>0</v>
      </c>
      <c r="AZ4702" s="2">
        <v>0</v>
      </c>
      <c r="BA4702" s="2">
        <v>0</v>
      </c>
      <c r="BB4702" s="2">
        <v>0</v>
      </c>
      <c r="BC4702" s="2">
        <v>0</v>
      </c>
      <c r="BD4702" s="2">
        <v>0</v>
      </c>
      <c r="BE4702" s="2">
        <v>0</v>
      </c>
      <c r="BF4702" s="2">
        <v>0</v>
      </c>
      <c r="BG4702" s="2">
        <v>0</v>
      </c>
      <c r="BH4702" s="2">
        <v>1</v>
      </c>
      <c r="BI4702" s="2">
        <v>1</v>
      </c>
      <c r="BJ4702" s="2">
        <v>0.2</v>
      </c>
      <c r="BK4702" s="2">
        <v>1</v>
      </c>
      <c r="BL4702" s="2">
        <v>41.44</v>
      </c>
      <c r="BM4702" s="2">
        <v>5.8</v>
      </c>
      <c r="BN4702" s="2">
        <v>47.24</v>
      </c>
      <c r="BO4702" s="2">
        <v>47.24</v>
      </c>
      <c r="BP4702" s="2"/>
      <c r="BQ4702" s="2" t="s">
        <v>317</v>
      </c>
      <c r="BR4702" s="2" t="s">
        <v>84</v>
      </c>
      <c r="BS4702" s="3">
        <v>42954</v>
      </c>
      <c r="BT4702" s="4">
        <v>0.43402777777777773</v>
      </c>
      <c r="BU4702" s="2" t="s">
        <v>990</v>
      </c>
      <c r="BV4702" s="2" t="s">
        <v>95</v>
      </c>
      <c r="BW4702" s="2"/>
      <c r="BX4702" s="2"/>
      <c r="BY4702" s="2">
        <v>1200</v>
      </c>
      <c r="BZ4702" s="2"/>
      <c r="CA4702" s="2"/>
      <c r="CB4702" s="2"/>
      <c r="CC4702" s="2" t="s">
        <v>307</v>
      </c>
      <c r="CD4702" s="2">
        <v>1873</v>
      </c>
      <c r="CE4702" s="2" t="s">
        <v>104</v>
      </c>
      <c r="CF4702" s="5">
        <v>42957</v>
      </c>
      <c r="CG4702" s="2"/>
      <c r="CH4702" s="2"/>
      <c r="CI4702" s="2">
        <v>1</v>
      </c>
      <c r="CJ4702" s="2">
        <v>1</v>
      </c>
      <c r="CK4702" s="2">
        <v>21</v>
      </c>
      <c r="CL4702" s="2" t="s">
        <v>86</v>
      </c>
      <c r="CM4702" s="2"/>
    </row>
    <row r="4703" spans="1:91">
      <c r="A4703" s="2" t="s">
        <v>71</v>
      </c>
      <c r="B4703" s="2" t="s">
        <v>72</v>
      </c>
      <c r="C4703" s="2" t="s">
        <v>73</v>
      </c>
      <c r="D4703" s="2"/>
      <c r="E4703" s="2" t="str">
        <f>"FES1162567081"</f>
        <v>FES1162567081</v>
      </c>
      <c r="F4703" s="3">
        <v>42951</v>
      </c>
      <c r="G4703" s="2">
        <v>201802</v>
      </c>
      <c r="H4703" s="2" t="s">
        <v>74</v>
      </c>
      <c r="I4703" s="2" t="s">
        <v>75</v>
      </c>
      <c r="J4703" s="2" t="s">
        <v>76</v>
      </c>
      <c r="K4703" s="2" t="s">
        <v>77</v>
      </c>
      <c r="L4703" s="2" t="s">
        <v>105</v>
      </c>
      <c r="M4703" s="2" t="s">
        <v>106</v>
      </c>
      <c r="N4703" s="2" t="s">
        <v>2277</v>
      </c>
      <c r="O4703" s="2" t="s">
        <v>100</v>
      </c>
      <c r="P4703" s="2" t="str">
        <f>"2170580080                    "</f>
        <v xml:space="preserve">2170580080                    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4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0</v>
      </c>
      <c r="AU4703" s="2">
        <v>0</v>
      </c>
      <c r="AV4703" s="2">
        <v>0</v>
      </c>
      <c r="AW4703" s="2">
        <v>0</v>
      </c>
      <c r="AX4703" s="2">
        <v>0</v>
      </c>
      <c r="AY4703" s="2">
        <v>0</v>
      </c>
      <c r="AZ4703" s="2">
        <v>0</v>
      </c>
      <c r="BA4703" s="2">
        <v>0</v>
      </c>
      <c r="BB4703" s="2">
        <v>0</v>
      </c>
      <c r="BC4703" s="2">
        <v>0</v>
      </c>
      <c r="BD4703" s="2">
        <v>0</v>
      </c>
      <c r="BE4703" s="2">
        <v>0</v>
      </c>
      <c r="BF4703" s="2">
        <v>0</v>
      </c>
      <c r="BG4703" s="2">
        <v>0</v>
      </c>
      <c r="BH4703" s="2">
        <v>1</v>
      </c>
      <c r="BI4703" s="2">
        <v>1</v>
      </c>
      <c r="BJ4703" s="2">
        <v>0.2</v>
      </c>
      <c r="BK4703" s="2">
        <v>1</v>
      </c>
      <c r="BL4703" s="2">
        <v>41.44</v>
      </c>
      <c r="BM4703" s="2">
        <v>5.8</v>
      </c>
      <c r="BN4703" s="2">
        <v>47.24</v>
      </c>
      <c r="BO4703" s="2">
        <v>47.24</v>
      </c>
      <c r="BP4703" s="2"/>
      <c r="BQ4703" s="2" t="s">
        <v>209</v>
      </c>
      <c r="BR4703" s="2" t="s">
        <v>84</v>
      </c>
      <c r="BS4703" s="3">
        <v>42954</v>
      </c>
      <c r="BT4703" s="4">
        <v>0.44861111111111113</v>
      </c>
      <c r="BU4703" s="2" t="s">
        <v>436</v>
      </c>
      <c r="BV4703" s="2" t="s">
        <v>95</v>
      </c>
      <c r="BW4703" s="2"/>
      <c r="BX4703" s="2"/>
      <c r="BY4703" s="2">
        <v>1200</v>
      </c>
      <c r="BZ4703" s="2"/>
      <c r="CA4703" s="2" t="s">
        <v>654</v>
      </c>
      <c r="CB4703" s="2"/>
      <c r="CC4703" s="2" t="s">
        <v>106</v>
      </c>
      <c r="CD4703" s="2">
        <v>7500</v>
      </c>
      <c r="CE4703" s="2" t="s">
        <v>104</v>
      </c>
      <c r="CF4703" s="5">
        <v>42955</v>
      </c>
      <c r="CG4703" s="2"/>
      <c r="CH4703" s="2"/>
      <c r="CI4703" s="2">
        <v>1</v>
      </c>
      <c r="CJ4703" s="2">
        <v>1</v>
      </c>
      <c r="CK4703" s="2">
        <v>21</v>
      </c>
      <c r="CL4703" s="2" t="s">
        <v>86</v>
      </c>
      <c r="CM4703" s="2"/>
    </row>
    <row r="4704" spans="1:91">
      <c r="A4704" s="2" t="s">
        <v>71</v>
      </c>
      <c r="B4704" s="2" t="s">
        <v>72</v>
      </c>
      <c r="C4704" s="2" t="s">
        <v>73</v>
      </c>
      <c r="D4704" s="2"/>
      <c r="E4704" s="2" t="str">
        <f>"FES1162567136"</f>
        <v>FES1162567136</v>
      </c>
      <c r="F4704" s="3">
        <v>42951</v>
      </c>
      <c r="G4704" s="2">
        <v>201802</v>
      </c>
      <c r="H4704" s="2" t="s">
        <v>74</v>
      </c>
      <c r="I4704" s="2" t="s">
        <v>75</v>
      </c>
      <c r="J4704" s="2" t="s">
        <v>76</v>
      </c>
      <c r="K4704" s="2" t="s">
        <v>77</v>
      </c>
      <c r="L4704" s="2" t="s">
        <v>105</v>
      </c>
      <c r="M4704" s="2" t="s">
        <v>106</v>
      </c>
      <c r="N4704" s="2" t="s">
        <v>253</v>
      </c>
      <c r="O4704" s="2" t="s">
        <v>100</v>
      </c>
      <c r="P4704" s="2" t="str">
        <f>"2170581124                    "</f>
        <v xml:space="preserve">2170581124                    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</v>
      </c>
      <c r="Y4704" s="2">
        <v>0</v>
      </c>
      <c r="Z4704" s="2">
        <v>0</v>
      </c>
      <c r="AA4704" s="2">
        <v>0</v>
      </c>
      <c r="AB4704" s="2">
        <v>0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4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0</v>
      </c>
      <c r="AU4704" s="2">
        <v>0</v>
      </c>
      <c r="AV4704" s="2">
        <v>0</v>
      </c>
      <c r="AW4704" s="2">
        <v>0</v>
      </c>
      <c r="AX4704" s="2">
        <v>0</v>
      </c>
      <c r="AY4704" s="2">
        <v>0</v>
      </c>
      <c r="AZ4704" s="2">
        <v>0</v>
      </c>
      <c r="BA4704" s="2">
        <v>0</v>
      </c>
      <c r="BB4704" s="2">
        <v>0</v>
      </c>
      <c r="BC4704" s="2">
        <v>0</v>
      </c>
      <c r="BD4704" s="2">
        <v>0</v>
      </c>
      <c r="BE4704" s="2">
        <v>0</v>
      </c>
      <c r="BF4704" s="2">
        <v>0</v>
      </c>
      <c r="BG4704" s="2">
        <v>0</v>
      </c>
      <c r="BH4704" s="2">
        <v>1</v>
      </c>
      <c r="BI4704" s="2">
        <v>1</v>
      </c>
      <c r="BJ4704" s="2">
        <v>0.2</v>
      </c>
      <c r="BK4704" s="2">
        <v>1</v>
      </c>
      <c r="BL4704" s="2">
        <v>41.44</v>
      </c>
      <c r="BM4704" s="2">
        <v>5.8</v>
      </c>
      <c r="BN4704" s="2">
        <v>47.24</v>
      </c>
      <c r="BO4704" s="2">
        <v>47.24</v>
      </c>
      <c r="BP4704" s="2"/>
      <c r="BQ4704" s="2" t="s">
        <v>108</v>
      </c>
      <c r="BR4704" s="2" t="s">
        <v>84</v>
      </c>
      <c r="BS4704" s="3">
        <v>42954</v>
      </c>
      <c r="BT4704" s="4">
        <v>0.4375</v>
      </c>
      <c r="BU4704" s="2" t="s">
        <v>4106</v>
      </c>
      <c r="BV4704" s="2" t="s">
        <v>95</v>
      </c>
      <c r="BW4704" s="2"/>
      <c r="BX4704" s="2"/>
      <c r="BY4704" s="2">
        <v>1200</v>
      </c>
      <c r="BZ4704" s="2"/>
      <c r="CA4704" s="2" t="s">
        <v>654</v>
      </c>
      <c r="CB4704" s="2"/>
      <c r="CC4704" s="2" t="s">
        <v>106</v>
      </c>
      <c r="CD4704" s="2">
        <v>7490</v>
      </c>
      <c r="CE4704" s="2" t="s">
        <v>104</v>
      </c>
      <c r="CF4704" s="5">
        <v>42955</v>
      </c>
      <c r="CG4704" s="2"/>
      <c r="CH4704" s="2"/>
      <c r="CI4704" s="2">
        <v>1</v>
      </c>
      <c r="CJ4704" s="2">
        <v>1</v>
      </c>
      <c r="CK4704" s="2">
        <v>21</v>
      </c>
      <c r="CL4704" s="2" t="s">
        <v>86</v>
      </c>
      <c r="CM4704" s="2"/>
    </row>
    <row r="4705" spans="1:91">
      <c r="A4705" s="2" t="s">
        <v>71</v>
      </c>
      <c r="B4705" s="2" t="s">
        <v>72</v>
      </c>
      <c r="C4705" s="2" t="s">
        <v>73</v>
      </c>
      <c r="D4705" s="2"/>
      <c r="E4705" s="2" t="str">
        <f>"FES1162567102"</f>
        <v>FES1162567102</v>
      </c>
      <c r="F4705" s="3">
        <v>42951</v>
      </c>
      <c r="G4705" s="2">
        <v>201802</v>
      </c>
      <c r="H4705" s="2" t="s">
        <v>74</v>
      </c>
      <c r="I4705" s="2" t="s">
        <v>75</v>
      </c>
      <c r="J4705" s="2" t="s">
        <v>76</v>
      </c>
      <c r="K4705" s="2" t="s">
        <v>77</v>
      </c>
      <c r="L4705" s="2" t="s">
        <v>417</v>
      </c>
      <c r="M4705" s="2" t="s">
        <v>417</v>
      </c>
      <c r="N4705" s="2" t="s">
        <v>1414</v>
      </c>
      <c r="O4705" s="2" t="s">
        <v>100</v>
      </c>
      <c r="P4705" s="2" t="str">
        <f>"2170580625                    "</f>
        <v xml:space="preserve">2170580625                    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2">
        <v>0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4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0</v>
      </c>
      <c r="AU4705" s="2">
        <v>0</v>
      </c>
      <c r="AV4705" s="2">
        <v>0</v>
      </c>
      <c r="AW4705" s="2">
        <v>0</v>
      </c>
      <c r="AX4705" s="2">
        <v>0</v>
      </c>
      <c r="AY4705" s="2">
        <v>0</v>
      </c>
      <c r="AZ4705" s="2">
        <v>0</v>
      </c>
      <c r="BA4705" s="2">
        <v>0</v>
      </c>
      <c r="BB4705" s="2">
        <v>0</v>
      </c>
      <c r="BC4705" s="2">
        <v>0</v>
      </c>
      <c r="BD4705" s="2">
        <v>0</v>
      </c>
      <c r="BE4705" s="2">
        <v>0</v>
      </c>
      <c r="BF4705" s="2">
        <v>0</v>
      </c>
      <c r="BG4705" s="2">
        <v>0</v>
      </c>
      <c r="BH4705" s="2">
        <v>1</v>
      </c>
      <c r="BI4705" s="2">
        <v>1</v>
      </c>
      <c r="BJ4705" s="2">
        <v>0.2</v>
      </c>
      <c r="BK4705" s="2">
        <v>1</v>
      </c>
      <c r="BL4705" s="2">
        <v>41.44</v>
      </c>
      <c r="BM4705" s="2">
        <v>5.8</v>
      </c>
      <c r="BN4705" s="2">
        <v>47.24</v>
      </c>
      <c r="BO4705" s="2">
        <v>47.24</v>
      </c>
      <c r="BP4705" s="2"/>
      <c r="BQ4705" s="2" t="s">
        <v>108</v>
      </c>
      <c r="BR4705" s="2" t="s">
        <v>84</v>
      </c>
      <c r="BS4705" s="3">
        <v>42954</v>
      </c>
      <c r="BT4705" s="4">
        <v>0.65347222222222223</v>
      </c>
      <c r="BU4705" s="2" t="s">
        <v>699</v>
      </c>
      <c r="BV4705" s="2" t="s">
        <v>86</v>
      </c>
      <c r="BW4705" s="2" t="s">
        <v>110</v>
      </c>
      <c r="BX4705" s="2" t="s">
        <v>290</v>
      </c>
      <c r="BY4705" s="2">
        <v>1200</v>
      </c>
      <c r="BZ4705" s="2"/>
      <c r="CA4705" s="2" t="s">
        <v>460</v>
      </c>
      <c r="CB4705" s="2"/>
      <c r="CC4705" s="2" t="s">
        <v>417</v>
      </c>
      <c r="CD4705" s="2">
        <v>7646</v>
      </c>
      <c r="CE4705" s="2" t="s">
        <v>104</v>
      </c>
      <c r="CF4705" s="5">
        <v>42954</v>
      </c>
      <c r="CG4705" s="2"/>
      <c r="CH4705" s="2"/>
      <c r="CI4705" s="2">
        <v>1</v>
      </c>
      <c r="CJ4705" s="2">
        <v>1</v>
      </c>
      <c r="CK4705" s="2">
        <v>21</v>
      </c>
      <c r="CL4705" s="2" t="s">
        <v>86</v>
      </c>
      <c r="CM4705" s="2"/>
    </row>
    <row r="4706" spans="1:91">
      <c r="A4706" s="2" t="s">
        <v>71</v>
      </c>
      <c r="B4706" s="2" t="s">
        <v>72</v>
      </c>
      <c r="C4706" s="2" t="s">
        <v>73</v>
      </c>
      <c r="D4706" s="2"/>
      <c r="E4706" s="2" t="str">
        <f>"FES1162567211"</f>
        <v>FES1162567211</v>
      </c>
      <c r="F4706" s="3">
        <v>42951</v>
      </c>
      <c r="G4706" s="2">
        <v>201802</v>
      </c>
      <c r="H4706" s="2" t="s">
        <v>74</v>
      </c>
      <c r="I4706" s="2" t="s">
        <v>75</v>
      </c>
      <c r="J4706" s="2" t="s">
        <v>76</v>
      </c>
      <c r="K4706" s="2" t="s">
        <v>77</v>
      </c>
      <c r="L4706" s="2" t="s">
        <v>97</v>
      </c>
      <c r="M4706" s="2" t="s">
        <v>98</v>
      </c>
      <c r="N4706" s="2" t="s">
        <v>1460</v>
      </c>
      <c r="O4706" s="2" t="s">
        <v>100</v>
      </c>
      <c r="P4706" s="2" t="str">
        <f>"2170583358                    "</f>
        <v xml:space="preserve">2170583358                    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0</v>
      </c>
      <c r="Y4706" s="2">
        <v>0</v>
      </c>
      <c r="Z4706" s="2">
        <v>0</v>
      </c>
      <c r="AA4706" s="2">
        <v>0</v>
      </c>
      <c r="AB4706" s="2">
        <v>0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14.01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0</v>
      </c>
      <c r="AU4706" s="2">
        <v>0</v>
      </c>
      <c r="AV4706" s="2">
        <v>0</v>
      </c>
      <c r="AW4706" s="2">
        <v>0</v>
      </c>
      <c r="AX4706" s="2">
        <v>0</v>
      </c>
      <c r="AY4706" s="2">
        <v>0</v>
      </c>
      <c r="AZ4706" s="2">
        <v>0</v>
      </c>
      <c r="BA4706" s="2">
        <v>0</v>
      </c>
      <c r="BB4706" s="2">
        <v>0</v>
      </c>
      <c r="BC4706" s="2">
        <v>0</v>
      </c>
      <c r="BD4706" s="2">
        <v>0</v>
      </c>
      <c r="BE4706" s="2">
        <v>234</v>
      </c>
      <c r="BF4706" s="2">
        <v>0</v>
      </c>
      <c r="BG4706" s="2">
        <v>0</v>
      </c>
      <c r="BH4706" s="2">
        <v>1</v>
      </c>
      <c r="BI4706" s="2">
        <v>5.4</v>
      </c>
      <c r="BJ4706" s="2">
        <v>6.7</v>
      </c>
      <c r="BK4706" s="2">
        <v>7</v>
      </c>
      <c r="BL4706" s="2">
        <v>379.05</v>
      </c>
      <c r="BM4706" s="2">
        <v>53.07</v>
      </c>
      <c r="BN4706" s="2">
        <v>432.12</v>
      </c>
      <c r="BO4706" s="2">
        <v>432.12</v>
      </c>
      <c r="BP4706" s="2" t="s">
        <v>910</v>
      </c>
      <c r="BQ4706" s="2" t="s">
        <v>4171</v>
      </c>
      <c r="BR4706" s="2" t="s">
        <v>84</v>
      </c>
      <c r="BS4706" s="3">
        <v>42952</v>
      </c>
      <c r="BT4706" s="4">
        <v>0.54166666666666663</v>
      </c>
      <c r="BU4706" s="2" t="s">
        <v>4172</v>
      </c>
      <c r="BV4706" s="2" t="s">
        <v>95</v>
      </c>
      <c r="BW4706" s="2"/>
      <c r="BX4706" s="2"/>
      <c r="BY4706" s="2">
        <v>33294.050000000003</v>
      </c>
      <c r="BZ4706" s="2" t="s">
        <v>913</v>
      </c>
      <c r="CA4706" s="2" t="s">
        <v>4124</v>
      </c>
      <c r="CB4706" s="2"/>
      <c r="CC4706" s="2" t="s">
        <v>98</v>
      </c>
      <c r="CD4706" s="2">
        <v>6001</v>
      </c>
      <c r="CE4706" s="2" t="s">
        <v>135</v>
      </c>
      <c r="CF4706" s="5">
        <v>42955</v>
      </c>
      <c r="CG4706" s="2"/>
      <c r="CH4706" s="2"/>
      <c r="CI4706" s="2">
        <v>1</v>
      </c>
      <c r="CJ4706" s="2">
        <v>1</v>
      </c>
      <c r="CK4706" s="2">
        <v>21</v>
      </c>
      <c r="CL4706" s="2" t="s">
        <v>86</v>
      </c>
      <c r="CM4706" s="2"/>
    </row>
    <row r="4707" spans="1:91">
      <c r="A4707" s="2" t="s">
        <v>71</v>
      </c>
      <c r="B4707" s="2" t="s">
        <v>72</v>
      </c>
      <c r="C4707" s="2" t="s">
        <v>73</v>
      </c>
      <c r="D4707" s="2"/>
      <c r="E4707" s="2" t="str">
        <f>"FES1162567314"</f>
        <v>FES1162567314</v>
      </c>
      <c r="F4707" s="3">
        <v>42951</v>
      </c>
      <c r="G4707" s="2">
        <v>201802</v>
      </c>
      <c r="H4707" s="2" t="s">
        <v>74</v>
      </c>
      <c r="I4707" s="2" t="s">
        <v>75</v>
      </c>
      <c r="J4707" s="2" t="s">
        <v>76</v>
      </c>
      <c r="K4707" s="2" t="s">
        <v>77</v>
      </c>
      <c r="L4707" s="2" t="s">
        <v>321</v>
      </c>
      <c r="M4707" s="2" t="s">
        <v>322</v>
      </c>
      <c r="N4707" s="2" t="s">
        <v>323</v>
      </c>
      <c r="O4707" s="2" t="s">
        <v>100</v>
      </c>
      <c r="P4707" s="2" t="str">
        <f>"2170580538                    "</f>
        <v xml:space="preserve">2170580538                    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5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0</v>
      </c>
      <c r="AU4707" s="2">
        <v>0</v>
      </c>
      <c r="AV4707" s="2">
        <v>0</v>
      </c>
      <c r="AW4707" s="2">
        <v>0</v>
      </c>
      <c r="AX4707" s="2">
        <v>0</v>
      </c>
      <c r="AY4707" s="2">
        <v>0</v>
      </c>
      <c r="AZ4707" s="2">
        <v>0</v>
      </c>
      <c r="BA4707" s="2">
        <v>0</v>
      </c>
      <c r="BB4707" s="2">
        <v>0</v>
      </c>
      <c r="BC4707" s="2">
        <v>0</v>
      </c>
      <c r="BD4707" s="2">
        <v>0</v>
      </c>
      <c r="BE4707" s="2">
        <v>234</v>
      </c>
      <c r="BF4707" s="2">
        <v>0</v>
      </c>
      <c r="BG4707" s="2">
        <v>0</v>
      </c>
      <c r="BH4707" s="2">
        <v>1</v>
      </c>
      <c r="BI4707" s="2">
        <v>2.2999999999999998</v>
      </c>
      <c r="BJ4707" s="2">
        <v>1.9</v>
      </c>
      <c r="BK4707" s="2">
        <v>2.5</v>
      </c>
      <c r="BL4707" s="2">
        <v>285.8</v>
      </c>
      <c r="BM4707" s="2">
        <v>40.01</v>
      </c>
      <c r="BN4707" s="2">
        <v>325.81</v>
      </c>
      <c r="BO4707" s="2">
        <v>325.81</v>
      </c>
      <c r="BP4707" s="2" t="s">
        <v>910</v>
      </c>
      <c r="BQ4707" s="2" t="s">
        <v>4173</v>
      </c>
      <c r="BR4707" s="2" t="s">
        <v>84</v>
      </c>
      <c r="BS4707" s="3">
        <v>42952</v>
      </c>
      <c r="BT4707" s="4">
        <v>0.5180555555555556</v>
      </c>
      <c r="BU4707" s="2" t="s">
        <v>1889</v>
      </c>
      <c r="BV4707" s="2" t="s">
        <v>95</v>
      </c>
      <c r="BW4707" s="2"/>
      <c r="BX4707" s="2"/>
      <c r="BY4707" s="2">
        <v>9526.14</v>
      </c>
      <c r="BZ4707" s="2" t="s">
        <v>913</v>
      </c>
      <c r="CA4707" s="2" t="s">
        <v>4124</v>
      </c>
      <c r="CB4707" s="2"/>
      <c r="CC4707" s="2" t="s">
        <v>322</v>
      </c>
      <c r="CD4707" s="2">
        <v>6220</v>
      </c>
      <c r="CE4707" s="2" t="s">
        <v>89</v>
      </c>
      <c r="CF4707" s="5">
        <v>42955</v>
      </c>
      <c r="CG4707" s="2"/>
      <c r="CH4707" s="2"/>
      <c r="CI4707" s="2">
        <v>1</v>
      </c>
      <c r="CJ4707" s="2">
        <v>1</v>
      </c>
      <c r="CK4707" s="2">
        <v>21</v>
      </c>
      <c r="CL4707" s="2" t="s">
        <v>86</v>
      </c>
      <c r="CM4707" s="2"/>
    </row>
    <row r="4708" spans="1:91">
      <c r="A4708" s="2" t="s">
        <v>71</v>
      </c>
      <c r="B4708" s="2" t="s">
        <v>72</v>
      </c>
      <c r="C4708" s="2" t="s">
        <v>73</v>
      </c>
      <c r="D4708" s="2"/>
      <c r="E4708" s="2" t="str">
        <f>"FES1162567115"</f>
        <v>FES1162567115</v>
      </c>
      <c r="F4708" s="3">
        <v>42951</v>
      </c>
      <c r="G4708" s="2">
        <v>201802</v>
      </c>
      <c r="H4708" s="2" t="s">
        <v>74</v>
      </c>
      <c r="I4708" s="2" t="s">
        <v>75</v>
      </c>
      <c r="J4708" s="2" t="s">
        <v>76</v>
      </c>
      <c r="K4708" s="2" t="s">
        <v>77</v>
      </c>
      <c r="L4708" s="2" t="s">
        <v>105</v>
      </c>
      <c r="M4708" s="2" t="s">
        <v>106</v>
      </c>
      <c r="N4708" s="2" t="s">
        <v>2080</v>
      </c>
      <c r="O4708" s="2" t="s">
        <v>100</v>
      </c>
      <c r="P4708" s="2" t="str">
        <f>"2170580787                    "</f>
        <v xml:space="preserve">2170580787                    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</v>
      </c>
      <c r="Y4708" s="2">
        <v>0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4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0</v>
      </c>
      <c r="AU4708" s="2">
        <v>0</v>
      </c>
      <c r="AV4708" s="2">
        <v>0</v>
      </c>
      <c r="AW4708" s="2">
        <v>0</v>
      </c>
      <c r="AX4708" s="2">
        <v>0</v>
      </c>
      <c r="AY4708" s="2">
        <v>0</v>
      </c>
      <c r="AZ4708" s="2">
        <v>0</v>
      </c>
      <c r="BA4708" s="2">
        <v>0</v>
      </c>
      <c r="BB4708" s="2">
        <v>0</v>
      </c>
      <c r="BC4708" s="2">
        <v>0</v>
      </c>
      <c r="BD4708" s="2">
        <v>0</v>
      </c>
      <c r="BE4708" s="2">
        <v>0</v>
      </c>
      <c r="BF4708" s="2">
        <v>0</v>
      </c>
      <c r="BG4708" s="2">
        <v>0</v>
      </c>
      <c r="BH4708" s="2">
        <v>1</v>
      </c>
      <c r="BI4708" s="2">
        <v>1</v>
      </c>
      <c r="BJ4708" s="2">
        <v>0.2</v>
      </c>
      <c r="BK4708" s="2">
        <v>1</v>
      </c>
      <c r="BL4708" s="2">
        <v>41.44</v>
      </c>
      <c r="BM4708" s="2">
        <v>5.8</v>
      </c>
      <c r="BN4708" s="2">
        <v>47.24</v>
      </c>
      <c r="BO4708" s="2">
        <v>47.24</v>
      </c>
      <c r="BP4708" s="2"/>
      <c r="BQ4708" s="2" t="s">
        <v>83</v>
      </c>
      <c r="BR4708" s="2" t="s">
        <v>84</v>
      </c>
      <c r="BS4708" s="3">
        <v>42954</v>
      </c>
      <c r="BT4708" s="4">
        <v>0.48541666666666666</v>
      </c>
      <c r="BU4708" s="2" t="s">
        <v>4174</v>
      </c>
      <c r="BV4708" s="2" t="s">
        <v>95</v>
      </c>
      <c r="BW4708" s="2"/>
      <c r="BX4708" s="2"/>
      <c r="BY4708" s="2">
        <v>1200</v>
      </c>
      <c r="BZ4708" s="2"/>
      <c r="CA4708" s="2" t="s">
        <v>3015</v>
      </c>
      <c r="CB4708" s="2"/>
      <c r="CC4708" s="2" t="s">
        <v>106</v>
      </c>
      <c r="CD4708" s="2">
        <v>7441</v>
      </c>
      <c r="CE4708" s="2" t="s">
        <v>104</v>
      </c>
      <c r="CF4708" s="5">
        <v>42954</v>
      </c>
      <c r="CG4708" s="2"/>
      <c r="CH4708" s="2"/>
      <c r="CI4708" s="2">
        <v>1</v>
      </c>
      <c r="CJ4708" s="2">
        <v>1</v>
      </c>
      <c r="CK4708" s="2">
        <v>21</v>
      </c>
      <c r="CL4708" s="2" t="s">
        <v>86</v>
      </c>
      <c r="CM4708" s="2"/>
    </row>
    <row r="4709" spans="1:91">
      <c r="A4709" s="2" t="s">
        <v>71</v>
      </c>
      <c r="B4709" s="2" t="s">
        <v>72</v>
      </c>
      <c r="C4709" s="2" t="s">
        <v>73</v>
      </c>
      <c r="D4709" s="2"/>
      <c r="E4709" s="2" t="str">
        <f>"FES1162567104"</f>
        <v>FES1162567104</v>
      </c>
      <c r="F4709" s="3">
        <v>42951</v>
      </c>
      <c r="G4709" s="2">
        <v>201802</v>
      </c>
      <c r="H4709" s="2" t="s">
        <v>74</v>
      </c>
      <c r="I4709" s="2" t="s">
        <v>75</v>
      </c>
      <c r="J4709" s="2" t="s">
        <v>76</v>
      </c>
      <c r="K4709" s="2" t="s">
        <v>77</v>
      </c>
      <c r="L4709" s="2" t="s">
        <v>846</v>
      </c>
      <c r="M4709" s="2" t="s">
        <v>847</v>
      </c>
      <c r="N4709" s="2" t="s">
        <v>1017</v>
      </c>
      <c r="O4709" s="2" t="s">
        <v>100</v>
      </c>
      <c r="P4709" s="2" t="str">
        <f>"2170580663                    "</f>
        <v xml:space="preserve">2170580663                    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</v>
      </c>
      <c r="Y4709" s="2">
        <v>0</v>
      </c>
      <c r="Z4709" s="2">
        <v>0</v>
      </c>
      <c r="AA4709" s="2">
        <v>0</v>
      </c>
      <c r="AB4709" s="2">
        <v>0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7.75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0</v>
      </c>
      <c r="AU4709" s="2">
        <v>0</v>
      </c>
      <c r="AV4709" s="2">
        <v>0</v>
      </c>
      <c r="AW4709" s="2">
        <v>0</v>
      </c>
      <c r="AX4709" s="2">
        <v>0</v>
      </c>
      <c r="AY4709" s="2">
        <v>0</v>
      </c>
      <c r="AZ4709" s="2">
        <v>0</v>
      </c>
      <c r="BA4709" s="2">
        <v>0</v>
      </c>
      <c r="BB4709" s="2">
        <v>0</v>
      </c>
      <c r="BC4709" s="2">
        <v>0</v>
      </c>
      <c r="BD4709" s="2">
        <v>0</v>
      </c>
      <c r="BE4709" s="2">
        <v>0</v>
      </c>
      <c r="BF4709" s="2">
        <v>0</v>
      </c>
      <c r="BG4709" s="2">
        <v>0</v>
      </c>
      <c r="BH4709" s="2">
        <v>1</v>
      </c>
      <c r="BI4709" s="2">
        <v>1</v>
      </c>
      <c r="BJ4709" s="2">
        <v>0.2</v>
      </c>
      <c r="BK4709" s="2">
        <v>1</v>
      </c>
      <c r="BL4709" s="2">
        <v>80.290000000000006</v>
      </c>
      <c r="BM4709" s="2">
        <v>11.24</v>
      </c>
      <c r="BN4709" s="2">
        <v>91.53</v>
      </c>
      <c r="BO4709" s="2">
        <v>91.53</v>
      </c>
      <c r="BP4709" s="2"/>
      <c r="BQ4709" s="2" t="s">
        <v>83</v>
      </c>
      <c r="BR4709" s="2" t="s">
        <v>84</v>
      </c>
      <c r="BS4709" s="3">
        <v>42954</v>
      </c>
      <c r="BT4709" s="4">
        <v>0.63541666666666663</v>
      </c>
      <c r="BU4709" s="2" t="s">
        <v>4175</v>
      </c>
      <c r="BV4709" s="2" t="s">
        <v>86</v>
      </c>
      <c r="BW4709" s="2" t="s">
        <v>110</v>
      </c>
      <c r="BX4709" s="2" t="s">
        <v>537</v>
      </c>
      <c r="BY4709" s="2">
        <v>1200</v>
      </c>
      <c r="BZ4709" s="2"/>
      <c r="CA4709" s="2"/>
      <c r="CB4709" s="2"/>
      <c r="CC4709" s="2" t="s">
        <v>847</v>
      </c>
      <c r="CD4709" s="2">
        <v>7349</v>
      </c>
      <c r="CE4709" s="2" t="s">
        <v>104</v>
      </c>
      <c r="CF4709" s="5">
        <v>42955</v>
      </c>
      <c r="CG4709" s="2"/>
      <c r="CH4709" s="2"/>
      <c r="CI4709" s="2">
        <v>1</v>
      </c>
      <c r="CJ4709" s="2">
        <v>1</v>
      </c>
      <c r="CK4709" s="2">
        <v>23</v>
      </c>
      <c r="CL4709" s="2" t="s">
        <v>86</v>
      </c>
      <c r="CM4709" s="2"/>
    </row>
    <row r="4710" spans="1:91">
      <c r="A4710" s="2" t="s">
        <v>71</v>
      </c>
      <c r="B4710" s="2" t="s">
        <v>72</v>
      </c>
      <c r="C4710" s="2" t="s">
        <v>73</v>
      </c>
      <c r="D4710" s="2"/>
      <c r="E4710" s="2" t="str">
        <f>"FES1162567186"</f>
        <v>FES1162567186</v>
      </c>
      <c r="F4710" s="3">
        <v>42951</v>
      </c>
      <c r="G4710" s="2">
        <v>201802</v>
      </c>
      <c r="H4710" s="2" t="s">
        <v>74</v>
      </c>
      <c r="I4710" s="2" t="s">
        <v>75</v>
      </c>
      <c r="J4710" s="2" t="s">
        <v>76</v>
      </c>
      <c r="K4710" s="2" t="s">
        <v>77</v>
      </c>
      <c r="L4710" s="2" t="s">
        <v>201</v>
      </c>
      <c r="M4710" s="2" t="s">
        <v>202</v>
      </c>
      <c r="N4710" s="2" t="s">
        <v>409</v>
      </c>
      <c r="O4710" s="2" t="s">
        <v>100</v>
      </c>
      <c r="P4710" s="2" t="str">
        <f>"2170581217                    "</f>
        <v xml:space="preserve">2170581217                    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0</v>
      </c>
      <c r="Y4710" s="2">
        <v>0</v>
      </c>
      <c r="Z4710" s="2">
        <v>0</v>
      </c>
      <c r="AA4710" s="2">
        <v>0</v>
      </c>
      <c r="AB4710" s="2">
        <v>0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4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0</v>
      </c>
      <c r="AU4710" s="2">
        <v>0</v>
      </c>
      <c r="AV4710" s="2">
        <v>0</v>
      </c>
      <c r="AW4710" s="2">
        <v>0</v>
      </c>
      <c r="AX4710" s="2">
        <v>0</v>
      </c>
      <c r="AY4710" s="2">
        <v>0</v>
      </c>
      <c r="AZ4710" s="2">
        <v>0</v>
      </c>
      <c r="BA4710" s="2">
        <v>0</v>
      </c>
      <c r="BB4710" s="2">
        <v>0</v>
      </c>
      <c r="BC4710" s="2">
        <v>0</v>
      </c>
      <c r="BD4710" s="2">
        <v>0</v>
      </c>
      <c r="BE4710" s="2">
        <v>0</v>
      </c>
      <c r="BF4710" s="2">
        <v>0</v>
      </c>
      <c r="BG4710" s="2">
        <v>0</v>
      </c>
      <c r="BH4710" s="2">
        <v>1</v>
      </c>
      <c r="BI4710" s="2">
        <v>1</v>
      </c>
      <c r="BJ4710" s="2">
        <v>0.2</v>
      </c>
      <c r="BK4710" s="2">
        <v>1</v>
      </c>
      <c r="BL4710" s="2">
        <v>41.44</v>
      </c>
      <c r="BM4710" s="2">
        <v>5.8</v>
      </c>
      <c r="BN4710" s="2">
        <v>47.24</v>
      </c>
      <c r="BO4710" s="2">
        <v>47.24</v>
      </c>
      <c r="BP4710" s="2"/>
      <c r="BQ4710" s="2" t="s">
        <v>485</v>
      </c>
      <c r="BR4710" s="2" t="s">
        <v>84</v>
      </c>
      <c r="BS4710" s="3">
        <v>42954</v>
      </c>
      <c r="BT4710" s="4">
        <v>0.44305555555555554</v>
      </c>
      <c r="BU4710" s="2" t="s">
        <v>410</v>
      </c>
      <c r="BV4710" s="2" t="s">
        <v>95</v>
      </c>
      <c r="BW4710" s="2"/>
      <c r="BX4710" s="2"/>
      <c r="BY4710" s="2">
        <v>1200</v>
      </c>
      <c r="BZ4710" s="2"/>
      <c r="CA4710" s="2" t="s">
        <v>4176</v>
      </c>
      <c r="CB4710" s="2"/>
      <c r="CC4710" s="2" t="s">
        <v>202</v>
      </c>
      <c r="CD4710" s="2">
        <v>7130</v>
      </c>
      <c r="CE4710" s="2" t="s">
        <v>104</v>
      </c>
      <c r="CF4710" s="5">
        <v>42955</v>
      </c>
      <c r="CG4710" s="2"/>
      <c r="CH4710" s="2"/>
      <c r="CI4710" s="2">
        <v>1</v>
      </c>
      <c r="CJ4710" s="2">
        <v>1</v>
      </c>
      <c r="CK4710" s="2">
        <v>21</v>
      </c>
      <c r="CL4710" s="2" t="s">
        <v>86</v>
      </c>
      <c r="CM4710" s="2"/>
    </row>
    <row r="4711" spans="1:91">
      <c r="A4711" s="2" t="s">
        <v>71</v>
      </c>
      <c r="B4711" s="2" t="s">
        <v>72</v>
      </c>
      <c r="C4711" s="2" t="s">
        <v>73</v>
      </c>
      <c r="D4711" s="2"/>
      <c r="E4711" s="2" t="str">
        <f>"FES1162567184"</f>
        <v>FES1162567184</v>
      </c>
      <c r="F4711" s="3">
        <v>42951</v>
      </c>
      <c r="G4711" s="2">
        <v>201802</v>
      </c>
      <c r="H4711" s="2" t="s">
        <v>74</v>
      </c>
      <c r="I4711" s="2" t="s">
        <v>75</v>
      </c>
      <c r="J4711" s="2" t="s">
        <v>76</v>
      </c>
      <c r="K4711" s="2" t="s">
        <v>77</v>
      </c>
      <c r="L4711" s="2" t="s">
        <v>417</v>
      </c>
      <c r="M4711" s="2" t="s">
        <v>417</v>
      </c>
      <c r="N4711" s="2" t="s">
        <v>1414</v>
      </c>
      <c r="O4711" s="2" t="s">
        <v>100</v>
      </c>
      <c r="P4711" s="2" t="str">
        <f>"2170581167                    "</f>
        <v xml:space="preserve">2170581167                    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4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0</v>
      </c>
      <c r="AU4711" s="2">
        <v>0</v>
      </c>
      <c r="AV4711" s="2">
        <v>0</v>
      </c>
      <c r="AW4711" s="2">
        <v>0</v>
      </c>
      <c r="AX4711" s="2">
        <v>0</v>
      </c>
      <c r="AY4711" s="2">
        <v>0</v>
      </c>
      <c r="AZ4711" s="2">
        <v>0</v>
      </c>
      <c r="BA4711" s="2">
        <v>0</v>
      </c>
      <c r="BB4711" s="2">
        <v>0</v>
      </c>
      <c r="BC4711" s="2">
        <v>0</v>
      </c>
      <c r="BD4711" s="2">
        <v>0</v>
      </c>
      <c r="BE4711" s="2">
        <v>0</v>
      </c>
      <c r="BF4711" s="2">
        <v>0</v>
      </c>
      <c r="BG4711" s="2">
        <v>0</v>
      </c>
      <c r="BH4711" s="2">
        <v>1</v>
      </c>
      <c r="BI4711" s="2">
        <v>1</v>
      </c>
      <c r="BJ4711" s="2">
        <v>0.2</v>
      </c>
      <c r="BK4711" s="2">
        <v>1</v>
      </c>
      <c r="BL4711" s="2">
        <v>41.44</v>
      </c>
      <c r="BM4711" s="2">
        <v>5.8</v>
      </c>
      <c r="BN4711" s="2">
        <v>47.24</v>
      </c>
      <c r="BO4711" s="2">
        <v>47.24</v>
      </c>
      <c r="BP4711" s="2"/>
      <c r="BQ4711" s="2" t="s">
        <v>108</v>
      </c>
      <c r="BR4711" s="2" t="s">
        <v>84</v>
      </c>
      <c r="BS4711" s="3">
        <v>42954</v>
      </c>
      <c r="BT4711" s="4">
        <v>0.65347222222222223</v>
      </c>
      <c r="BU4711" s="2" t="s">
        <v>699</v>
      </c>
      <c r="BV4711" s="2" t="s">
        <v>86</v>
      </c>
      <c r="BW4711" s="2" t="s">
        <v>110</v>
      </c>
      <c r="BX4711" s="2" t="s">
        <v>290</v>
      </c>
      <c r="BY4711" s="2">
        <v>1200</v>
      </c>
      <c r="BZ4711" s="2"/>
      <c r="CA4711" s="2" t="s">
        <v>460</v>
      </c>
      <c r="CB4711" s="2"/>
      <c r="CC4711" s="2" t="s">
        <v>417</v>
      </c>
      <c r="CD4711" s="2">
        <v>7646</v>
      </c>
      <c r="CE4711" s="2" t="s">
        <v>104</v>
      </c>
      <c r="CF4711" s="5">
        <v>42954</v>
      </c>
      <c r="CG4711" s="2"/>
      <c r="CH4711" s="2"/>
      <c r="CI4711" s="2">
        <v>1</v>
      </c>
      <c r="CJ4711" s="2">
        <v>1</v>
      </c>
      <c r="CK4711" s="2">
        <v>21</v>
      </c>
      <c r="CL4711" s="2" t="s">
        <v>86</v>
      </c>
      <c r="CM4711" s="2"/>
    </row>
    <row r="4712" spans="1:91">
      <c r="A4712" s="2" t="s">
        <v>71</v>
      </c>
      <c r="B4712" s="2" t="s">
        <v>72</v>
      </c>
      <c r="C4712" s="2" t="s">
        <v>73</v>
      </c>
      <c r="D4712" s="2"/>
      <c r="E4712" s="2" t="str">
        <f>"FES1162567021"</f>
        <v>FES1162567021</v>
      </c>
      <c r="F4712" s="3">
        <v>42951</v>
      </c>
      <c r="G4712" s="2">
        <v>201802</v>
      </c>
      <c r="H4712" s="2" t="s">
        <v>74</v>
      </c>
      <c r="I4712" s="2" t="s">
        <v>75</v>
      </c>
      <c r="J4712" s="2" t="s">
        <v>76</v>
      </c>
      <c r="K4712" s="2" t="s">
        <v>77</v>
      </c>
      <c r="L4712" s="2" t="s">
        <v>417</v>
      </c>
      <c r="M4712" s="2" t="s">
        <v>417</v>
      </c>
      <c r="N4712" s="2" t="s">
        <v>475</v>
      </c>
      <c r="O4712" s="2" t="s">
        <v>100</v>
      </c>
      <c r="P4712" s="2" t="str">
        <f>"2170583272                    "</f>
        <v xml:space="preserve">2170583272                    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4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0</v>
      </c>
      <c r="AU4712" s="2">
        <v>0</v>
      </c>
      <c r="AV4712" s="2">
        <v>0</v>
      </c>
      <c r="AW4712" s="2">
        <v>0</v>
      </c>
      <c r="AX4712" s="2">
        <v>0</v>
      </c>
      <c r="AY4712" s="2">
        <v>0</v>
      </c>
      <c r="AZ4712" s="2">
        <v>0</v>
      </c>
      <c r="BA4712" s="2">
        <v>0</v>
      </c>
      <c r="BB4712" s="2">
        <v>0</v>
      </c>
      <c r="BC4712" s="2">
        <v>0</v>
      </c>
      <c r="BD4712" s="2">
        <v>0</v>
      </c>
      <c r="BE4712" s="2">
        <v>0</v>
      </c>
      <c r="BF4712" s="2">
        <v>0</v>
      </c>
      <c r="BG4712" s="2">
        <v>0</v>
      </c>
      <c r="BH4712" s="2">
        <v>1</v>
      </c>
      <c r="BI4712" s="2">
        <v>1</v>
      </c>
      <c r="BJ4712" s="2">
        <v>0.2</v>
      </c>
      <c r="BK4712" s="2">
        <v>1</v>
      </c>
      <c r="BL4712" s="2">
        <v>41.44</v>
      </c>
      <c r="BM4712" s="2">
        <v>5.8</v>
      </c>
      <c r="BN4712" s="2">
        <v>47.24</v>
      </c>
      <c r="BO4712" s="2">
        <v>47.24</v>
      </c>
      <c r="BP4712" s="2"/>
      <c r="BQ4712" s="2" t="s">
        <v>108</v>
      </c>
      <c r="BR4712" s="2" t="s">
        <v>84</v>
      </c>
      <c r="BS4712" s="3">
        <v>42954</v>
      </c>
      <c r="BT4712" s="4">
        <v>0.67847222222222225</v>
      </c>
      <c r="BU4712" s="2" t="s">
        <v>476</v>
      </c>
      <c r="BV4712" s="2" t="s">
        <v>86</v>
      </c>
      <c r="BW4712" s="2" t="s">
        <v>110</v>
      </c>
      <c r="BX4712" s="2" t="s">
        <v>290</v>
      </c>
      <c r="BY4712" s="2">
        <v>1200</v>
      </c>
      <c r="BZ4712" s="2"/>
      <c r="CA4712" s="2" t="s">
        <v>460</v>
      </c>
      <c r="CB4712" s="2"/>
      <c r="CC4712" s="2" t="s">
        <v>417</v>
      </c>
      <c r="CD4712" s="2">
        <v>7646</v>
      </c>
      <c r="CE4712" s="2" t="s">
        <v>104</v>
      </c>
      <c r="CF4712" s="5">
        <v>42954</v>
      </c>
      <c r="CG4712" s="2"/>
      <c r="CH4712" s="2"/>
      <c r="CI4712" s="2">
        <v>1</v>
      </c>
      <c r="CJ4712" s="2">
        <v>1</v>
      </c>
      <c r="CK4712" s="2">
        <v>21</v>
      </c>
      <c r="CL4712" s="2" t="s">
        <v>86</v>
      </c>
      <c r="CM4712" s="2"/>
    </row>
    <row r="4713" spans="1:91">
      <c r="A4713" s="2" t="s">
        <v>71</v>
      </c>
      <c r="B4713" s="2" t="s">
        <v>72</v>
      </c>
      <c r="C4713" s="2" t="s">
        <v>73</v>
      </c>
      <c r="D4713" s="2"/>
      <c r="E4713" s="2" t="str">
        <f>"FES1162567144"</f>
        <v>FES1162567144</v>
      </c>
      <c r="F4713" s="3">
        <v>42951</v>
      </c>
      <c r="G4713" s="2">
        <v>201802</v>
      </c>
      <c r="H4713" s="2" t="s">
        <v>74</v>
      </c>
      <c r="I4713" s="2" t="s">
        <v>75</v>
      </c>
      <c r="J4713" s="2" t="s">
        <v>76</v>
      </c>
      <c r="K4713" s="2" t="s">
        <v>77</v>
      </c>
      <c r="L4713" s="2" t="s">
        <v>105</v>
      </c>
      <c r="M4713" s="2" t="s">
        <v>106</v>
      </c>
      <c r="N4713" s="2" t="s">
        <v>253</v>
      </c>
      <c r="O4713" s="2" t="s">
        <v>100</v>
      </c>
      <c r="P4713" s="2" t="str">
        <f>"2170581254                    "</f>
        <v xml:space="preserve">2170581254                    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4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0</v>
      </c>
      <c r="AU4713" s="2">
        <v>0</v>
      </c>
      <c r="AV4713" s="2">
        <v>0</v>
      </c>
      <c r="AW4713" s="2">
        <v>0</v>
      </c>
      <c r="AX4713" s="2">
        <v>0</v>
      </c>
      <c r="AY4713" s="2">
        <v>0</v>
      </c>
      <c r="AZ4713" s="2">
        <v>0</v>
      </c>
      <c r="BA4713" s="2">
        <v>0</v>
      </c>
      <c r="BB4713" s="2">
        <v>0</v>
      </c>
      <c r="BC4713" s="2">
        <v>0</v>
      </c>
      <c r="BD4713" s="2">
        <v>0</v>
      </c>
      <c r="BE4713" s="2">
        <v>0</v>
      </c>
      <c r="BF4713" s="2">
        <v>0</v>
      </c>
      <c r="BG4713" s="2">
        <v>0</v>
      </c>
      <c r="BH4713" s="2">
        <v>1</v>
      </c>
      <c r="BI4713" s="2">
        <v>1</v>
      </c>
      <c r="BJ4713" s="2">
        <v>0.2</v>
      </c>
      <c r="BK4713" s="2">
        <v>1</v>
      </c>
      <c r="BL4713" s="2">
        <v>41.44</v>
      </c>
      <c r="BM4713" s="2">
        <v>5.8</v>
      </c>
      <c r="BN4713" s="2">
        <v>47.24</v>
      </c>
      <c r="BO4713" s="2">
        <v>47.24</v>
      </c>
      <c r="BP4713" s="2"/>
      <c r="BQ4713" s="2" t="s">
        <v>108</v>
      </c>
      <c r="BR4713" s="2" t="s">
        <v>84</v>
      </c>
      <c r="BS4713" s="3">
        <v>42954</v>
      </c>
      <c r="BT4713" s="4">
        <v>0.4375</v>
      </c>
      <c r="BU4713" s="2" t="s">
        <v>4106</v>
      </c>
      <c r="BV4713" s="2" t="s">
        <v>95</v>
      </c>
      <c r="BW4713" s="2"/>
      <c r="BX4713" s="2"/>
      <c r="BY4713" s="2">
        <v>1200</v>
      </c>
      <c r="BZ4713" s="2"/>
      <c r="CA4713" s="2" t="s">
        <v>654</v>
      </c>
      <c r="CB4713" s="2"/>
      <c r="CC4713" s="2" t="s">
        <v>106</v>
      </c>
      <c r="CD4713" s="2">
        <v>7490</v>
      </c>
      <c r="CE4713" s="2" t="s">
        <v>104</v>
      </c>
      <c r="CF4713" s="5">
        <v>42955</v>
      </c>
      <c r="CG4713" s="2"/>
      <c r="CH4713" s="2"/>
      <c r="CI4713" s="2">
        <v>1</v>
      </c>
      <c r="CJ4713" s="2">
        <v>1</v>
      </c>
      <c r="CK4713" s="2">
        <v>21</v>
      </c>
      <c r="CL4713" s="2" t="s">
        <v>86</v>
      </c>
      <c r="CM4713" s="2"/>
    </row>
    <row r="4714" spans="1:91">
      <c r="A4714" s="2" t="s">
        <v>71</v>
      </c>
      <c r="B4714" s="2" t="s">
        <v>72</v>
      </c>
      <c r="C4714" s="2" t="s">
        <v>73</v>
      </c>
      <c r="D4714" s="2"/>
      <c r="E4714" s="2" t="str">
        <f>"FES1162567058"</f>
        <v>FES1162567058</v>
      </c>
      <c r="F4714" s="3">
        <v>42951</v>
      </c>
      <c r="G4714" s="2">
        <v>201802</v>
      </c>
      <c r="H4714" s="2" t="s">
        <v>74</v>
      </c>
      <c r="I4714" s="2" t="s">
        <v>75</v>
      </c>
      <c r="J4714" s="2" t="s">
        <v>76</v>
      </c>
      <c r="K4714" s="2" t="s">
        <v>77</v>
      </c>
      <c r="L4714" s="2" t="s">
        <v>164</v>
      </c>
      <c r="M4714" s="2" t="s">
        <v>165</v>
      </c>
      <c r="N4714" s="2" t="s">
        <v>1191</v>
      </c>
      <c r="O4714" s="2" t="s">
        <v>100</v>
      </c>
      <c r="P4714" s="2" t="str">
        <f>"2170583323                    "</f>
        <v xml:space="preserve">2170583323                    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</v>
      </c>
      <c r="Y4714" s="2">
        <v>0</v>
      </c>
      <c r="Z4714" s="2">
        <v>0</v>
      </c>
      <c r="AA4714" s="2">
        <v>0</v>
      </c>
      <c r="AB4714" s="2">
        <v>0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4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0</v>
      </c>
      <c r="AU4714" s="2">
        <v>0</v>
      </c>
      <c r="AV4714" s="2">
        <v>0</v>
      </c>
      <c r="AW4714" s="2">
        <v>0</v>
      </c>
      <c r="AX4714" s="2">
        <v>0</v>
      </c>
      <c r="AY4714" s="2">
        <v>0</v>
      </c>
      <c r="AZ4714" s="2">
        <v>0</v>
      </c>
      <c r="BA4714" s="2">
        <v>0</v>
      </c>
      <c r="BB4714" s="2">
        <v>0</v>
      </c>
      <c r="BC4714" s="2">
        <v>0</v>
      </c>
      <c r="BD4714" s="2">
        <v>0</v>
      </c>
      <c r="BE4714" s="2">
        <v>0</v>
      </c>
      <c r="BF4714" s="2">
        <v>0</v>
      </c>
      <c r="BG4714" s="2">
        <v>0</v>
      </c>
      <c r="BH4714" s="2">
        <v>1</v>
      </c>
      <c r="BI4714" s="2">
        <v>1</v>
      </c>
      <c r="BJ4714" s="2">
        <v>0.2</v>
      </c>
      <c r="BK4714" s="2">
        <v>1</v>
      </c>
      <c r="BL4714" s="2">
        <v>41.44</v>
      </c>
      <c r="BM4714" s="2">
        <v>5.8</v>
      </c>
      <c r="BN4714" s="2">
        <v>47.24</v>
      </c>
      <c r="BO4714" s="2">
        <v>47.24</v>
      </c>
      <c r="BP4714" s="2"/>
      <c r="BQ4714" s="2" t="s">
        <v>2388</v>
      </c>
      <c r="BR4714" s="2" t="s">
        <v>84</v>
      </c>
      <c r="BS4714" s="3">
        <v>42954</v>
      </c>
      <c r="BT4714" s="4">
        <v>0.40208333333333335</v>
      </c>
      <c r="BU4714" s="2" t="s">
        <v>2588</v>
      </c>
      <c r="BV4714" s="2" t="s">
        <v>95</v>
      </c>
      <c r="BW4714" s="2"/>
      <c r="BX4714" s="2"/>
      <c r="BY4714" s="2">
        <v>1200</v>
      </c>
      <c r="BZ4714" s="2"/>
      <c r="CA4714" s="2" t="s">
        <v>4177</v>
      </c>
      <c r="CB4714" s="2"/>
      <c r="CC4714" s="2" t="s">
        <v>165</v>
      </c>
      <c r="CD4714" s="2">
        <v>6850</v>
      </c>
      <c r="CE4714" s="2" t="s">
        <v>104</v>
      </c>
      <c r="CF4714" s="5">
        <v>42955</v>
      </c>
      <c r="CG4714" s="2"/>
      <c r="CH4714" s="2"/>
      <c r="CI4714" s="2">
        <v>3</v>
      </c>
      <c r="CJ4714" s="2">
        <v>1</v>
      </c>
      <c r="CK4714" s="2">
        <v>21</v>
      </c>
      <c r="CL4714" s="2" t="s">
        <v>86</v>
      </c>
      <c r="CM4714" s="2"/>
    </row>
    <row r="4715" spans="1:91">
      <c r="A4715" s="2" t="s">
        <v>71</v>
      </c>
      <c r="B4715" s="2" t="s">
        <v>72</v>
      </c>
      <c r="C4715" s="2" t="s">
        <v>73</v>
      </c>
      <c r="D4715" s="2"/>
      <c r="E4715" s="2" t="str">
        <f>"FES1162566985"</f>
        <v>FES1162566985</v>
      </c>
      <c r="F4715" s="3">
        <v>42951</v>
      </c>
      <c r="G4715" s="2">
        <v>201802</v>
      </c>
      <c r="H4715" s="2" t="s">
        <v>74</v>
      </c>
      <c r="I4715" s="2" t="s">
        <v>75</v>
      </c>
      <c r="J4715" s="2" t="s">
        <v>76</v>
      </c>
      <c r="K4715" s="2" t="s">
        <v>77</v>
      </c>
      <c r="L4715" s="2" t="s">
        <v>105</v>
      </c>
      <c r="M4715" s="2" t="s">
        <v>106</v>
      </c>
      <c r="N4715" s="2" t="s">
        <v>2439</v>
      </c>
      <c r="O4715" s="2" t="s">
        <v>100</v>
      </c>
      <c r="P4715" s="2" t="str">
        <f>"2170583251                    "</f>
        <v xml:space="preserve">2170583251                    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8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0</v>
      </c>
      <c r="AU4715" s="2">
        <v>0</v>
      </c>
      <c r="AV4715" s="2">
        <v>0</v>
      </c>
      <c r="AW4715" s="2">
        <v>0</v>
      </c>
      <c r="AX4715" s="2">
        <v>0</v>
      </c>
      <c r="AY4715" s="2">
        <v>0</v>
      </c>
      <c r="AZ4715" s="2">
        <v>0</v>
      </c>
      <c r="BA4715" s="2">
        <v>0</v>
      </c>
      <c r="BB4715" s="2">
        <v>0</v>
      </c>
      <c r="BC4715" s="2">
        <v>0</v>
      </c>
      <c r="BD4715" s="2">
        <v>0</v>
      </c>
      <c r="BE4715" s="2">
        <v>0</v>
      </c>
      <c r="BF4715" s="2">
        <v>0</v>
      </c>
      <c r="BG4715" s="2">
        <v>0</v>
      </c>
      <c r="BH4715" s="2">
        <v>1</v>
      </c>
      <c r="BI4715" s="2">
        <v>2.2000000000000002</v>
      </c>
      <c r="BJ4715" s="2">
        <v>3.6</v>
      </c>
      <c r="BK4715" s="2">
        <v>4</v>
      </c>
      <c r="BL4715" s="2">
        <v>82.88</v>
      </c>
      <c r="BM4715" s="2">
        <v>11.6</v>
      </c>
      <c r="BN4715" s="2">
        <v>94.48</v>
      </c>
      <c r="BO4715" s="2">
        <v>94.48</v>
      </c>
      <c r="BP4715" s="2"/>
      <c r="BQ4715" s="2" t="s">
        <v>4178</v>
      </c>
      <c r="BR4715" s="2" t="s">
        <v>84</v>
      </c>
      <c r="BS4715" s="3">
        <v>42954</v>
      </c>
      <c r="BT4715" s="4">
        <v>0.45694444444444443</v>
      </c>
      <c r="BU4715" s="2" t="s">
        <v>4179</v>
      </c>
      <c r="BV4715" s="2" t="s">
        <v>95</v>
      </c>
      <c r="BW4715" s="2"/>
      <c r="BX4715" s="2"/>
      <c r="BY4715" s="2">
        <v>18053.7</v>
      </c>
      <c r="BZ4715" s="2"/>
      <c r="CA4715" s="2" t="s">
        <v>4180</v>
      </c>
      <c r="CB4715" s="2"/>
      <c r="CC4715" s="2" t="s">
        <v>106</v>
      </c>
      <c r="CD4715" s="2">
        <v>7560</v>
      </c>
      <c r="CE4715" s="2" t="s">
        <v>89</v>
      </c>
      <c r="CF4715" s="5">
        <v>42955</v>
      </c>
      <c r="CG4715" s="2"/>
      <c r="CH4715" s="2"/>
      <c r="CI4715" s="2">
        <v>1</v>
      </c>
      <c r="CJ4715" s="2">
        <v>1</v>
      </c>
      <c r="CK4715" s="2">
        <v>21</v>
      </c>
      <c r="CL4715" s="2" t="s">
        <v>86</v>
      </c>
      <c r="CM4715" s="2"/>
    </row>
    <row r="4716" spans="1:91">
      <c r="A4716" s="2" t="s">
        <v>71</v>
      </c>
      <c r="B4716" s="2" t="s">
        <v>72</v>
      </c>
      <c r="C4716" s="2" t="s">
        <v>73</v>
      </c>
      <c r="D4716" s="2"/>
      <c r="E4716" s="2" t="str">
        <f>"FES1162567033"</f>
        <v>FES1162567033</v>
      </c>
      <c r="F4716" s="3">
        <v>42951</v>
      </c>
      <c r="G4716" s="2">
        <v>201802</v>
      </c>
      <c r="H4716" s="2" t="s">
        <v>74</v>
      </c>
      <c r="I4716" s="2" t="s">
        <v>75</v>
      </c>
      <c r="J4716" s="2" t="s">
        <v>76</v>
      </c>
      <c r="K4716" s="2" t="s">
        <v>77</v>
      </c>
      <c r="L4716" s="2" t="s">
        <v>417</v>
      </c>
      <c r="M4716" s="2" t="s">
        <v>417</v>
      </c>
      <c r="N4716" s="2" t="s">
        <v>2218</v>
      </c>
      <c r="O4716" s="2" t="s">
        <v>100</v>
      </c>
      <c r="P4716" s="2" t="str">
        <f>"2170583289                    "</f>
        <v xml:space="preserve">2170583289                    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7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0</v>
      </c>
      <c r="AU4716" s="2">
        <v>0</v>
      </c>
      <c r="AV4716" s="2">
        <v>0</v>
      </c>
      <c r="AW4716" s="2">
        <v>0</v>
      </c>
      <c r="AX4716" s="2">
        <v>0</v>
      </c>
      <c r="AY4716" s="2">
        <v>0</v>
      </c>
      <c r="AZ4716" s="2">
        <v>0</v>
      </c>
      <c r="BA4716" s="2">
        <v>0</v>
      </c>
      <c r="BB4716" s="2">
        <v>0</v>
      </c>
      <c r="BC4716" s="2">
        <v>0</v>
      </c>
      <c r="BD4716" s="2">
        <v>0</v>
      </c>
      <c r="BE4716" s="2">
        <v>0</v>
      </c>
      <c r="BF4716" s="2">
        <v>0</v>
      </c>
      <c r="BG4716" s="2">
        <v>0</v>
      </c>
      <c r="BH4716" s="2">
        <v>1</v>
      </c>
      <c r="BI4716" s="2">
        <v>3.5</v>
      </c>
      <c r="BJ4716" s="2">
        <v>1.7</v>
      </c>
      <c r="BK4716" s="2">
        <v>3.5</v>
      </c>
      <c r="BL4716" s="2">
        <v>72.52</v>
      </c>
      <c r="BM4716" s="2">
        <v>10.15</v>
      </c>
      <c r="BN4716" s="2">
        <v>82.67</v>
      </c>
      <c r="BO4716" s="2">
        <v>82.67</v>
      </c>
      <c r="BP4716" s="2"/>
      <c r="BQ4716" s="2" t="s">
        <v>365</v>
      </c>
      <c r="BR4716" s="2" t="s">
        <v>84</v>
      </c>
      <c r="BS4716" s="3">
        <v>42954</v>
      </c>
      <c r="BT4716" s="4">
        <v>0.66319444444444442</v>
      </c>
      <c r="BU4716" s="2" t="s">
        <v>4181</v>
      </c>
      <c r="BV4716" s="2" t="s">
        <v>86</v>
      </c>
      <c r="BW4716" s="2" t="s">
        <v>110</v>
      </c>
      <c r="BX4716" s="2" t="s">
        <v>290</v>
      </c>
      <c r="BY4716" s="2">
        <v>8482.32</v>
      </c>
      <c r="BZ4716" s="2"/>
      <c r="CA4716" s="2" t="s">
        <v>460</v>
      </c>
      <c r="CB4716" s="2"/>
      <c r="CC4716" s="2" t="s">
        <v>417</v>
      </c>
      <c r="CD4716" s="2">
        <v>7646</v>
      </c>
      <c r="CE4716" s="2" t="s">
        <v>89</v>
      </c>
      <c r="CF4716" s="5">
        <v>42954</v>
      </c>
      <c r="CG4716" s="2"/>
      <c r="CH4716" s="2"/>
      <c r="CI4716" s="2">
        <v>1</v>
      </c>
      <c r="CJ4716" s="2">
        <v>1</v>
      </c>
      <c r="CK4716" s="2">
        <v>21</v>
      </c>
      <c r="CL4716" s="2" t="s">
        <v>86</v>
      </c>
      <c r="CM4716" s="2"/>
    </row>
    <row r="4717" spans="1:91">
      <c r="A4717" s="2" t="s">
        <v>71</v>
      </c>
      <c r="B4717" s="2" t="s">
        <v>72</v>
      </c>
      <c r="C4717" s="2" t="s">
        <v>73</v>
      </c>
      <c r="D4717" s="2"/>
      <c r="E4717" s="2" t="str">
        <f>"FES1162567297"</f>
        <v>FES1162567297</v>
      </c>
      <c r="F4717" s="3">
        <v>42951</v>
      </c>
      <c r="G4717" s="2">
        <v>201802</v>
      </c>
      <c r="H4717" s="2" t="s">
        <v>74</v>
      </c>
      <c r="I4717" s="2" t="s">
        <v>75</v>
      </c>
      <c r="J4717" s="2" t="s">
        <v>76</v>
      </c>
      <c r="K4717" s="2" t="s">
        <v>77</v>
      </c>
      <c r="L4717" s="2" t="s">
        <v>174</v>
      </c>
      <c r="M4717" s="2" t="s">
        <v>175</v>
      </c>
      <c r="N4717" s="2" t="s">
        <v>1658</v>
      </c>
      <c r="O4717" s="2" t="s">
        <v>100</v>
      </c>
      <c r="P4717" s="2" t="str">
        <f>"2170583452                    "</f>
        <v xml:space="preserve">2170583452                    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19.010000000000002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0</v>
      </c>
      <c r="AU4717" s="2">
        <v>0</v>
      </c>
      <c r="AV4717" s="2">
        <v>0</v>
      </c>
      <c r="AW4717" s="2">
        <v>0</v>
      </c>
      <c r="AX4717" s="2">
        <v>0</v>
      </c>
      <c r="AY4717" s="2">
        <v>0</v>
      </c>
      <c r="AZ4717" s="2">
        <v>0</v>
      </c>
      <c r="BA4717" s="2">
        <v>0</v>
      </c>
      <c r="BB4717" s="2">
        <v>0</v>
      </c>
      <c r="BC4717" s="2">
        <v>0</v>
      </c>
      <c r="BD4717" s="2">
        <v>0</v>
      </c>
      <c r="BE4717" s="2">
        <v>0</v>
      </c>
      <c r="BF4717" s="2">
        <v>0</v>
      </c>
      <c r="BG4717" s="2">
        <v>0</v>
      </c>
      <c r="BH4717" s="2">
        <v>1</v>
      </c>
      <c r="BI4717" s="2">
        <v>9.3000000000000007</v>
      </c>
      <c r="BJ4717" s="2">
        <v>8.3000000000000007</v>
      </c>
      <c r="BK4717" s="2">
        <v>9.5</v>
      </c>
      <c r="BL4717" s="2">
        <v>196.85</v>
      </c>
      <c r="BM4717" s="2">
        <v>27.56</v>
      </c>
      <c r="BN4717" s="2">
        <v>224.41</v>
      </c>
      <c r="BO4717" s="2">
        <v>224.41</v>
      </c>
      <c r="BP4717" s="2"/>
      <c r="BQ4717" s="2" t="s">
        <v>4182</v>
      </c>
      <c r="BR4717" s="2" t="s">
        <v>84</v>
      </c>
      <c r="BS4717" s="3">
        <v>42954</v>
      </c>
      <c r="BT4717" s="4">
        <v>0.37361111111111112</v>
      </c>
      <c r="BU4717" s="2" t="s">
        <v>4183</v>
      </c>
      <c r="BV4717" s="2" t="s">
        <v>95</v>
      </c>
      <c r="BW4717" s="2"/>
      <c r="BX4717" s="2"/>
      <c r="BY4717" s="2">
        <v>41407.040000000001</v>
      </c>
      <c r="BZ4717" s="2"/>
      <c r="CA4717" s="2" t="s">
        <v>1420</v>
      </c>
      <c r="CB4717" s="2"/>
      <c r="CC4717" s="2" t="s">
        <v>175</v>
      </c>
      <c r="CD4717" s="2">
        <v>5201</v>
      </c>
      <c r="CE4717" s="2" t="s">
        <v>948</v>
      </c>
      <c r="CF4717" s="5">
        <v>42957</v>
      </c>
      <c r="CG4717" s="2"/>
      <c r="CH4717" s="2"/>
      <c r="CI4717" s="2">
        <v>1</v>
      </c>
      <c r="CJ4717" s="2">
        <v>1</v>
      </c>
      <c r="CK4717" s="2">
        <v>21</v>
      </c>
      <c r="CL4717" s="2" t="s">
        <v>86</v>
      </c>
      <c r="CM4717" s="2"/>
    </row>
    <row r="4718" spans="1:91">
      <c r="A4718" s="2" t="s">
        <v>71</v>
      </c>
      <c r="B4718" s="2" t="s">
        <v>72</v>
      </c>
      <c r="C4718" s="2" t="s">
        <v>73</v>
      </c>
      <c r="D4718" s="2"/>
      <c r="E4718" s="2" t="str">
        <f>"FES1162567303"</f>
        <v>FES1162567303</v>
      </c>
      <c r="F4718" s="3">
        <v>42951</v>
      </c>
      <c r="G4718" s="2">
        <v>201802</v>
      </c>
      <c r="H4718" s="2" t="s">
        <v>74</v>
      </c>
      <c r="I4718" s="2" t="s">
        <v>75</v>
      </c>
      <c r="J4718" s="2" t="s">
        <v>76</v>
      </c>
      <c r="K4718" s="2" t="s">
        <v>77</v>
      </c>
      <c r="L4718" s="2" t="s">
        <v>3020</v>
      </c>
      <c r="M4718" s="2" t="s">
        <v>3021</v>
      </c>
      <c r="N4718" s="2" t="s">
        <v>3022</v>
      </c>
      <c r="O4718" s="2" t="s">
        <v>100</v>
      </c>
      <c r="P4718" s="2" t="str">
        <f>"2170583470                    "</f>
        <v xml:space="preserve">2170583470                    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7.75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0</v>
      </c>
      <c r="AU4718" s="2">
        <v>0</v>
      </c>
      <c r="AV4718" s="2">
        <v>0</v>
      </c>
      <c r="AW4718" s="2">
        <v>0</v>
      </c>
      <c r="AX4718" s="2">
        <v>0</v>
      </c>
      <c r="AY4718" s="2">
        <v>0</v>
      </c>
      <c r="AZ4718" s="2">
        <v>0</v>
      </c>
      <c r="BA4718" s="2">
        <v>0</v>
      </c>
      <c r="BB4718" s="2">
        <v>0</v>
      </c>
      <c r="BC4718" s="2">
        <v>0</v>
      </c>
      <c r="BD4718" s="2">
        <v>0</v>
      </c>
      <c r="BE4718" s="2">
        <v>0</v>
      </c>
      <c r="BF4718" s="2">
        <v>0</v>
      </c>
      <c r="BG4718" s="2">
        <v>0</v>
      </c>
      <c r="BH4718" s="2">
        <v>1</v>
      </c>
      <c r="BI4718" s="2">
        <v>1</v>
      </c>
      <c r="BJ4718" s="2">
        <v>0.2</v>
      </c>
      <c r="BK4718" s="2">
        <v>1</v>
      </c>
      <c r="BL4718" s="2">
        <v>80.290000000000006</v>
      </c>
      <c r="BM4718" s="2">
        <v>11.24</v>
      </c>
      <c r="BN4718" s="2">
        <v>91.53</v>
      </c>
      <c r="BO4718" s="2">
        <v>91.53</v>
      </c>
      <c r="BP4718" s="2"/>
      <c r="BQ4718" s="2"/>
      <c r="BR4718" s="2" t="s">
        <v>84</v>
      </c>
      <c r="BS4718" s="3">
        <v>42955</v>
      </c>
      <c r="BT4718" s="4">
        <v>0.5180555555555556</v>
      </c>
      <c r="BU4718" s="2" t="s">
        <v>4184</v>
      </c>
      <c r="BV4718" s="2" t="s">
        <v>95</v>
      </c>
      <c r="BW4718" s="2"/>
      <c r="BX4718" s="2"/>
      <c r="BY4718" s="2">
        <v>1200</v>
      </c>
      <c r="BZ4718" s="2"/>
      <c r="CA4718" s="2" t="s">
        <v>3023</v>
      </c>
      <c r="CB4718" s="2"/>
      <c r="CC4718" s="2" t="s">
        <v>3021</v>
      </c>
      <c r="CD4718" s="2">
        <v>9750</v>
      </c>
      <c r="CE4718" s="2" t="s">
        <v>104</v>
      </c>
      <c r="CF4718" s="5">
        <v>42959</v>
      </c>
      <c r="CG4718" s="2"/>
      <c r="CH4718" s="2"/>
      <c r="CI4718" s="2">
        <v>3</v>
      </c>
      <c r="CJ4718" s="2">
        <v>2</v>
      </c>
      <c r="CK4718" s="2">
        <v>23</v>
      </c>
      <c r="CL4718" s="2" t="s">
        <v>86</v>
      </c>
      <c r="CM4718" s="2"/>
    </row>
    <row r="4719" spans="1:91">
      <c r="A4719" s="2" t="s">
        <v>71</v>
      </c>
      <c r="B4719" s="2" t="s">
        <v>72</v>
      </c>
      <c r="C4719" s="2" t="s">
        <v>73</v>
      </c>
      <c r="D4719" s="2"/>
      <c r="E4719" s="2" t="str">
        <f>"FES1162567027"</f>
        <v>FES1162567027</v>
      </c>
      <c r="F4719" s="3">
        <v>42951</v>
      </c>
      <c r="G4719" s="2">
        <v>201802</v>
      </c>
      <c r="H4719" s="2" t="s">
        <v>74</v>
      </c>
      <c r="I4719" s="2" t="s">
        <v>75</v>
      </c>
      <c r="J4719" s="2" t="s">
        <v>76</v>
      </c>
      <c r="K4719" s="2" t="s">
        <v>77</v>
      </c>
      <c r="L4719" s="2" t="s">
        <v>306</v>
      </c>
      <c r="M4719" s="2" t="s">
        <v>307</v>
      </c>
      <c r="N4719" s="2" t="s">
        <v>2573</v>
      </c>
      <c r="O4719" s="2" t="s">
        <v>100</v>
      </c>
      <c r="P4719" s="2" t="str">
        <f>"2170583281                    "</f>
        <v xml:space="preserve">2170583281                    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2">
        <v>0</v>
      </c>
      <c r="AB4719" s="2">
        <v>0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4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0</v>
      </c>
      <c r="AU4719" s="2">
        <v>0</v>
      </c>
      <c r="AV4719" s="2">
        <v>0</v>
      </c>
      <c r="AW4719" s="2">
        <v>0</v>
      </c>
      <c r="AX4719" s="2">
        <v>0</v>
      </c>
      <c r="AY4719" s="2">
        <v>0</v>
      </c>
      <c r="AZ4719" s="2">
        <v>0</v>
      </c>
      <c r="BA4719" s="2">
        <v>0</v>
      </c>
      <c r="BB4719" s="2">
        <v>0</v>
      </c>
      <c r="BC4719" s="2">
        <v>0</v>
      </c>
      <c r="BD4719" s="2">
        <v>0</v>
      </c>
      <c r="BE4719" s="2">
        <v>0</v>
      </c>
      <c r="BF4719" s="2">
        <v>0</v>
      </c>
      <c r="BG4719" s="2">
        <v>0</v>
      </c>
      <c r="BH4719" s="2">
        <v>1</v>
      </c>
      <c r="BI4719" s="2">
        <v>1</v>
      </c>
      <c r="BJ4719" s="2">
        <v>0.2</v>
      </c>
      <c r="BK4719" s="2">
        <v>1</v>
      </c>
      <c r="BL4719" s="2">
        <v>41.44</v>
      </c>
      <c r="BM4719" s="2">
        <v>5.8</v>
      </c>
      <c r="BN4719" s="2">
        <v>47.24</v>
      </c>
      <c r="BO4719" s="2">
        <v>47.24</v>
      </c>
      <c r="BP4719" s="2"/>
      <c r="BQ4719" s="2"/>
      <c r="BR4719" s="2" t="s">
        <v>84</v>
      </c>
      <c r="BS4719" s="3">
        <v>42954</v>
      </c>
      <c r="BT4719" s="4">
        <v>0.52430555555555558</v>
      </c>
      <c r="BU4719" s="2" t="s">
        <v>4185</v>
      </c>
      <c r="BV4719" s="2" t="s">
        <v>86</v>
      </c>
      <c r="BW4719" s="2"/>
      <c r="BX4719" s="2"/>
      <c r="BY4719" s="2">
        <v>1200</v>
      </c>
      <c r="BZ4719" s="2"/>
      <c r="CA4719" s="2"/>
      <c r="CB4719" s="2"/>
      <c r="CC4719" s="2" t="s">
        <v>307</v>
      </c>
      <c r="CD4719" s="2">
        <v>1939</v>
      </c>
      <c r="CE4719" s="2" t="s">
        <v>104</v>
      </c>
      <c r="CF4719" s="5">
        <v>42957</v>
      </c>
      <c r="CG4719" s="2"/>
      <c r="CH4719" s="2"/>
      <c r="CI4719" s="2">
        <v>1</v>
      </c>
      <c r="CJ4719" s="2">
        <v>1</v>
      </c>
      <c r="CK4719" s="2">
        <v>21</v>
      </c>
      <c r="CL4719" s="2" t="s">
        <v>86</v>
      </c>
      <c r="CM4719" s="2"/>
    </row>
    <row r="4720" spans="1:91">
      <c r="A4720" s="2" t="s">
        <v>71</v>
      </c>
      <c r="B4720" s="2" t="s">
        <v>72</v>
      </c>
      <c r="C4720" s="2" t="s">
        <v>73</v>
      </c>
      <c r="D4720" s="2"/>
      <c r="E4720" s="2" t="str">
        <f>"FES1162567165"</f>
        <v>FES1162567165</v>
      </c>
      <c r="F4720" s="3">
        <v>42951</v>
      </c>
      <c r="G4720" s="2">
        <v>201802</v>
      </c>
      <c r="H4720" s="2" t="s">
        <v>74</v>
      </c>
      <c r="I4720" s="2" t="s">
        <v>75</v>
      </c>
      <c r="J4720" s="2" t="s">
        <v>76</v>
      </c>
      <c r="K4720" s="2" t="s">
        <v>77</v>
      </c>
      <c r="L4720" s="2" t="s">
        <v>74</v>
      </c>
      <c r="M4720" s="2" t="s">
        <v>75</v>
      </c>
      <c r="N4720" s="2" t="s">
        <v>329</v>
      </c>
      <c r="O4720" s="2" t="s">
        <v>100</v>
      </c>
      <c r="P4720" s="2" t="str">
        <f>"2170583321                    "</f>
        <v xml:space="preserve">2170583321                    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3.13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0</v>
      </c>
      <c r="AU4720" s="2">
        <v>0</v>
      </c>
      <c r="AV4720" s="2">
        <v>0</v>
      </c>
      <c r="AW4720" s="2">
        <v>0</v>
      </c>
      <c r="AX4720" s="2">
        <v>0</v>
      </c>
      <c r="AY4720" s="2">
        <v>0</v>
      </c>
      <c r="AZ4720" s="2">
        <v>0</v>
      </c>
      <c r="BA4720" s="2">
        <v>0</v>
      </c>
      <c r="BB4720" s="2">
        <v>0</v>
      </c>
      <c r="BC4720" s="2">
        <v>0</v>
      </c>
      <c r="BD4720" s="2">
        <v>0</v>
      </c>
      <c r="BE4720" s="2">
        <v>0</v>
      </c>
      <c r="BF4720" s="2">
        <v>0</v>
      </c>
      <c r="BG4720" s="2">
        <v>0</v>
      </c>
      <c r="BH4720" s="2">
        <v>1</v>
      </c>
      <c r="BI4720" s="2">
        <v>1.6</v>
      </c>
      <c r="BJ4720" s="2">
        <v>1.6</v>
      </c>
      <c r="BK4720" s="2">
        <v>2</v>
      </c>
      <c r="BL4720" s="2">
        <v>32.380000000000003</v>
      </c>
      <c r="BM4720" s="2">
        <v>4.53</v>
      </c>
      <c r="BN4720" s="2">
        <v>36.909999999999997</v>
      </c>
      <c r="BO4720" s="2">
        <v>36.909999999999997</v>
      </c>
      <c r="BP4720" s="2"/>
      <c r="BQ4720" s="2" t="s">
        <v>83</v>
      </c>
      <c r="BR4720" s="2" t="s">
        <v>84</v>
      </c>
      <c r="BS4720" s="3">
        <v>42954</v>
      </c>
      <c r="BT4720" s="4">
        <v>0.31944444444444448</v>
      </c>
      <c r="BU4720" s="2" t="s">
        <v>4186</v>
      </c>
      <c r="BV4720" s="2" t="s">
        <v>95</v>
      </c>
      <c r="BW4720" s="2"/>
      <c r="BX4720" s="2"/>
      <c r="BY4720" s="2">
        <v>8202.6</v>
      </c>
      <c r="BZ4720" s="2"/>
      <c r="CA4720" s="2"/>
      <c r="CB4720" s="2"/>
      <c r="CC4720" s="2" t="s">
        <v>75</v>
      </c>
      <c r="CD4720" s="2">
        <v>1600</v>
      </c>
      <c r="CE4720" s="2" t="s">
        <v>89</v>
      </c>
      <c r="CF4720" s="5">
        <v>42955</v>
      </c>
      <c r="CG4720" s="2"/>
      <c r="CH4720" s="2"/>
      <c r="CI4720" s="2">
        <v>1</v>
      </c>
      <c r="CJ4720" s="2">
        <v>1</v>
      </c>
      <c r="CK4720" s="2">
        <v>22</v>
      </c>
      <c r="CL4720" s="2" t="s">
        <v>86</v>
      </c>
      <c r="CM4720" s="2"/>
    </row>
    <row r="4721" spans="1:91">
      <c r="A4721" s="2" t="s">
        <v>71</v>
      </c>
      <c r="B4721" s="2" t="s">
        <v>72</v>
      </c>
      <c r="C4721" s="2" t="s">
        <v>73</v>
      </c>
      <c r="D4721" s="2"/>
      <c r="E4721" s="2" t="str">
        <f>"FES1162566959"</f>
        <v>FES1162566959</v>
      </c>
      <c r="F4721" s="3">
        <v>42951</v>
      </c>
      <c r="G4721" s="2">
        <v>201802</v>
      </c>
      <c r="H4721" s="2" t="s">
        <v>74</v>
      </c>
      <c r="I4721" s="2" t="s">
        <v>75</v>
      </c>
      <c r="J4721" s="2" t="s">
        <v>76</v>
      </c>
      <c r="K4721" s="2" t="s">
        <v>77</v>
      </c>
      <c r="L4721" s="2" t="s">
        <v>149</v>
      </c>
      <c r="M4721" s="2" t="s">
        <v>150</v>
      </c>
      <c r="N4721" s="2" t="s">
        <v>1268</v>
      </c>
      <c r="O4721" s="2" t="s">
        <v>100</v>
      </c>
      <c r="P4721" s="2" t="str">
        <f>"2170583209                    "</f>
        <v xml:space="preserve">2170583209                    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7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0</v>
      </c>
      <c r="AT4721" s="2">
        <v>0</v>
      </c>
      <c r="AU4721" s="2">
        <v>0</v>
      </c>
      <c r="AV4721" s="2">
        <v>0</v>
      </c>
      <c r="AW4721" s="2">
        <v>0</v>
      </c>
      <c r="AX4721" s="2">
        <v>0</v>
      </c>
      <c r="AY4721" s="2">
        <v>0</v>
      </c>
      <c r="AZ4721" s="2">
        <v>0</v>
      </c>
      <c r="BA4721" s="2">
        <v>0</v>
      </c>
      <c r="BB4721" s="2">
        <v>0</v>
      </c>
      <c r="BC4721" s="2">
        <v>0</v>
      </c>
      <c r="BD4721" s="2">
        <v>0</v>
      </c>
      <c r="BE4721" s="2">
        <v>0</v>
      </c>
      <c r="BF4721" s="2">
        <v>0</v>
      </c>
      <c r="BG4721" s="2">
        <v>0</v>
      </c>
      <c r="BH4721" s="2">
        <v>1</v>
      </c>
      <c r="BI4721" s="2">
        <v>3.4</v>
      </c>
      <c r="BJ4721" s="2">
        <v>1.6</v>
      </c>
      <c r="BK4721" s="2">
        <v>3.5</v>
      </c>
      <c r="BL4721" s="2">
        <v>72.52</v>
      </c>
      <c r="BM4721" s="2">
        <v>10.15</v>
      </c>
      <c r="BN4721" s="2">
        <v>82.67</v>
      </c>
      <c r="BO4721" s="2">
        <v>82.67</v>
      </c>
      <c r="BP4721" s="2"/>
      <c r="BQ4721" s="2" t="s">
        <v>83</v>
      </c>
      <c r="BR4721" s="2" t="s">
        <v>84</v>
      </c>
      <c r="BS4721" s="3">
        <v>42954</v>
      </c>
      <c r="BT4721" s="4">
        <v>0.43611111111111112</v>
      </c>
      <c r="BU4721" s="2" t="s">
        <v>1817</v>
      </c>
      <c r="BV4721" s="2" t="s">
        <v>95</v>
      </c>
      <c r="BW4721" s="2"/>
      <c r="BX4721" s="2"/>
      <c r="BY4721" s="2">
        <v>8085.42</v>
      </c>
      <c r="BZ4721" s="2"/>
      <c r="CA4721" s="2" t="s">
        <v>682</v>
      </c>
      <c r="CB4721" s="2"/>
      <c r="CC4721" s="2" t="s">
        <v>150</v>
      </c>
      <c r="CD4721" s="2">
        <v>4001</v>
      </c>
      <c r="CE4721" s="2" t="s">
        <v>89</v>
      </c>
      <c r="CF4721" s="5">
        <v>42955</v>
      </c>
      <c r="CG4721" s="2"/>
      <c r="CH4721" s="2"/>
      <c r="CI4721" s="2">
        <v>1</v>
      </c>
      <c r="CJ4721" s="2">
        <v>1</v>
      </c>
      <c r="CK4721" s="2">
        <v>21</v>
      </c>
      <c r="CL4721" s="2" t="s">
        <v>86</v>
      </c>
      <c r="CM4721" s="2"/>
    </row>
    <row r="4722" spans="1:91">
      <c r="A4722" s="2" t="s">
        <v>71</v>
      </c>
      <c r="B4722" s="2" t="s">
        <v>72</v>
      </c>
      <c r="C4722" s="2" t="s">
        <v>73</v>
      </c>
      <c r="D4722" s="2"/>
      <c r="E4722" s="2" t="str">
        <f>"FES1162567013"</f>
        <v>FES1162567013</v>
      </c>
      <c r="F4722" s="3">
        <v>42951</v>
      </c>
      <c r="G4722" s="2">
        <v>201802</v>
      </c>
      <c r="H4722" s="2" t="s">
        <v>74</v>
      </c>
      <c r="I4722" s="2" t="s">
        <v>75</v>
      </c>
      <c r="J4722" s="2" t="s">
        <v>76</v>
      </c>
      <c r="K4722" s="2" t="s">
        <v>77</v>
      </c>
      <c r="L4722" s="2" t="s">
        <v>97</v>
      </c>
      <c r="M4722" s="2" t="s">
        <v>98</v>
      </c>
      <c r="N4722" s="2" t="s">
        <v>3277</v>
      </c>
      <c r="O4722" s="2" t="s">
        <v>100</v>
      </c>
      <c r="P4722" s="2" t="str">
        <f>"2170583260                    "</f>
        <v xml:space="preserve">2170583260                    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0</v>
      </c>
      <c r="Z4722" s="2">
        <v>0</v>
      </c>
      <c r="AA4722" s="2">
        <v>0</v>
      </c>
      <c r="AB4722" s="2">
        <v>0</v>
      </c>
      <c r="AC4722" s="2">
        <v>0</v>
      </c>
      <c r="AD4722" s="2">
        <v>0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8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0</v>
      </c>
      <c r="AU4722" s="2">
        <v>0</v>
      </c>
      <c r="AV4722" s="2">
        <v>0</v>
      </c>
      <c r="AW4722" s="2">
        <v>0</v>
      </c>
      <c r="AX4722" s="2">
        <v>0</v>
      </c>
      <c r="AY4722" s="2">
        <v>0</v>
      </c>
      <c r="AZ4722" s="2">
        <v>0</v>
      </c>
      <c r="BA4722" s="2">
        <v>0</v>
      </c>
      <c r="BB4722" s="2">
        <v>0</v>
      </c>
      <c r="BC4722" s="2">
        <v>0</v>
      </c>
      <c r="BD4722" s="2">
        <v>0</v>
      </c>
      <c r="BE4722" s="2">
        <v>0</v>
      </c>
      <c r="BF4722" s="2">
        <v>0</v>
      </c>
      <c r="BG4722" s="2">
        <v>0</v>
      </c>
      <c r="BH4722" s="2">
        <v>1</v>
      </c>
      <c r="BI4722" s="2">
        <v>3.7</v>
      </c>
      <c r="BJ4722" s="2">
        <v>1.6</v>
      </c>
      <c r="BK4722" s="2">
        <v>4</v>
      </c>
      <c r="BL4722" s="2">
        <v>82.88</v>
      </c>
      <c r="BM4722" s="2">
        <v>11.6</v>
      </c>
      <c r="BN4722" s="2">
        <v>94.48</v>
      </c>
      <c r="BO4722" s="2">
        <v>94.48</v>
      </c>
      <c r="BP4722" s="2"/>
      <c r="BQ4722" s="2" t="s">
        <v>83</v>
      </c>
      <c r="BR4722" s="2" t="s">
        <v>84</v>
      </c>
      <c r="BS4722" s="3">
        <v>42954</v>
      </c>
      <c r="BT4722" s="4">
        <v>0.4236111111111111</v>
      </c>
      <c r="BU4722" s="2" t="s">
        <v>3849</v>
      </c>
      <c r="BV4722" s="2" t="s">
        <v>95</v>
      </c>
      <c r="BW4722" s="2"/>
      <c r="BX4722" s="2"/>
      <c r="BY4722" s="2">
        <v>8162.28</v>
      </c>
      <c r="BZ4722" s="2"/>
      <c r="CA4722" s="2" t="s">
        <v>103</v>
      </c>
      <c r="CB4722" s="2"/>
      <c r="CC4722" s="2" t="s">
        <v>98</v>
      </c>
      <c r="CD4722" s="2">
        <v>6001</v>
      </c>
      <c r="CE4722" s="2" t="s">
        <v>89</v>
      </c>
      <c r="CF4722" s="5">
        <v>42955</v>
      </c>
      <c r="CG4722" s="2"/>
      <c r="CH4722" s="2"/>
      <c r="CI4722" s="2">
        <v>1</v>
      </c>
      <c r="CJ4722" s="2">
        <v>1</v>
      </c>
      <c r="CK4722" s="2">
        <v>21</v>
      </c>
      <c r="CL4722" s="2" t="s">
        <v>86</v>
      </c>
      <c r="CM4722" s="2"/>
    </row>
    <row r="4723" spans="1:91">
      <c r="A4723" s="2" t="s">
        <v>71</v>
      </c>
      <c r="B4723" s="2" t="s">
        <v>72</v>
      </c>
      <c r="C4723" s="2" t="s">
        <v>73</v>
      </c>
      <c r="D4723" s="2"/>
      <c r="E4723" s="2" t="str">
        <f>"FES1162567047"</f>
        <v>FES1162567047</v>
      </c>
      <c r="F4723" s="3">
        <v>42951</v>
      </c>
      <c r="G4723" s="2">
        <v>201802</v>
      </c>
      <c r="H4723" s="2" t="s">
        <v>74</v>
      </c>
      <c r="I4723" s="2" t="s">
        <v>75</v>
      </c>
      <c r="J4723" s="2" t="s">
        <v>76</v>
      </c>
      <c r="K4723" s="2" t="s">
        <v>77</v>
      </c>
      <c r="L4723" s="2" t="s">
        <v>97</v>
      </c>
      <c r="M4723" s="2" t="s">
        <v>98</v>
      </c>
      <c r="N4723" s="2" t="s">
        <v>119</v>
      </c>
      <c r="O4723" s="2" t="s">
        <v>100</v>
      </c>
      <c r="P4723" s="2" t="str">
        <f>"2170583309                    "</f>
        <v xml:space="preserve">2170583309                    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6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0</v>
      </c>
      <c r="AU4723" s="2">
        <v>0</v>
      </c>
      <c r="AV4723" s="2">
        <v>0</v>
      </c>
      <c r="AW4723" s="2">
        <v>0</v>
      </c>
      <c r="AX4723" s="2">
        <v>0</v>
      </c>
      <c r="AY4723" s="2">
        <v>0</v>
      </c>
      <c r="AZ4723" s="2">
        <v>0</v>
      </c>
      <c r="BA4723" s="2">
        <v>0</v>
      </c>
      <c r="BB4723" s="2">
        <v>0</v>
      </c>
      <c r="BC4723" s="2">
        <v>0</v>
      </c>
      <c r="BD4723" s="2">
        <v>0</v>
      </c>
      <c r="BE4723" s="2">
        <v>0</v>
      </c>
      <c r="BF4723" s="2">
        <v>0</v>
      </c>
      <c r="BG4723" s="2">
        <v>0</v>
      </c>
      <c r="BH4723" s="2">
        <v>1</v>
      </c>
      <c r="BI4723" s="2">
        <v>3</v>
      </c>
      <c r="BJ4723" s="2">
        <v>1.7</v>
      </c>
      <c r="BK4723" s="2">
        <v>3</v>
      </c>
      <c r="BL4723" s="2">
        <v>62.16</v>
      </c>
      <c r="BM4723" s="2">
        <v>8.6999999999999993</v>
      </c>
      <c r="BN4723" s="2">
        <v>70.86</v>
      </c>
      <c r="BO4723" s="2">
        <v>70.86</v>
      </c>
      <c r="BP4723" s="2"/>
      <c r="BQ4723" s="2" t="s">
        <v>108</v>
      </c>
      <c r="BR4723" s="2" t="s">
        <v>84</v>
      </c>
      <c r="BS4723" s="3">
        <v>42954</v>
      </c>
      <c r="BT4723" s="4">
        <v>0.33611111111111108</v>
      </c>
      <c r="BU4723" s="2" t="s">
        <v>1858</v>
      </c>
      <c r="BV4723" s="2" t="s">
        <v>95</v>
      </c>
      <c r="BW4723" s="2"/>
      <c r="BX4723" s="2"/>
      <c r="BY4723" s="2">
        <v>8607.7000000000007</v>
      </c>
      <c r="BZ4723" s="2"/>
      <c r="CA4723" s="2" t="s">
        <v>213</v>
      </c>
      <c r="CB4723" s="2"/>
      <c r="CC4723" s="2" t="s">
        <v>98</v>
      </c>
      <c r="CD4723" s="2">
        <v>6001</v>
      </c>
      <c r="CE4723" s="2" t="s">
        <v>89</v>
      </c>
      <c r="CF4723" s="5">
        <v>42955</v>
      </c>
      <c r="CG4723" s="2"/>
      <c r="CH4723" s="2"/>
      <c r="CI4723" s="2">
        <v>1</v>
      </c>
      <c r="CJ4723" s="2">
        <v>1</v>
      </c>
      <c r="CK4723" s="2">
        <v>21</v>
      </c>
      <c r="CL4723" s="2" t="s">
        <v>86</v>
      </c>
      <c r="CM4723" s="2"/>
    </row>
    <row r="4724" spans="1:91">
      <c r="A4724" s="2" t="s">
        <v>71</v>
      </c>
      <c r="B4724" s="2" t="s">
        <v>72</v>
      </c>
      <c r="C4724" s="2" t="s">
        <v>73</v>
      </c>
      <c r="D4724" s="2"/>
      <c r="E4724" s="2" t="str">
        <f>"FES1162567293"</f>
        <v>FES1162567293</v>
      </c>
      <c r="F4724" s="3">
        <v>42951</v>
      </c>
      <c r="G4724" s="2">
        <v>201802</v>
      </c>
      <c r="H4724" s="2" t="s">
        <v>74</v>
      </c>
      <c r="I4724" s="2" t="s">
        <v>75</v>
      </c>
      <c r="J4724" s="2" t="s">
        <v>76</v>
      </c>
      <c r="K4724" s="2" t="s">
        <v>77</v>
      </c>
      <c r="L4724" s="2" t="s">
        <v>149</v>
      </c>
      <c r="M4724" s="2" t="s">
        <v>150</v>
      </c>
      <c r="N4724" s="2" t="s">
        <v>463</v>
      </c>
      <c r="O4724" s="2" t="s">
        <v>100</v>
      </c>
      <c r="P4724" s="2" t="str">
        <f>"2170583441                    "</f>
        <v xml:space="preserve">2170583441                    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2">
        <v>0</v>
      </c>
      <c r="Z4724" s="2">
        <v>0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4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2">
        <v>0</v>
      </c>
      <c r="AT4724" s="2">
        <v>0</v>
      </c>
      <c r="AU4724" s="2">
        <v>0</v>
      </c>
      <c r="AV4724" s="2">
        <v>0</v>
      </c>
      <c r="AW4724" s="2">
        <v>0</v>
      </c>
      <c r="AX4724" s="2">
        <v>0</v>
      </c>
      <c r="AY4724" s="2">
        <v>0</v>
      </c>
      <c r="AZ4724" s="2">
        <v>0</v>
      </c>
      <c r="BA4724" s="2">
        <v>0</v>
      </c>
      <c r="BB4724" s="2">
        <v>0</v>
      </c>
      <c r="BC4724" s="2">
        <v>0</v>
      </c>
      <c r="BD4724" s="2">
        <v>0</v>
      </c>
      <c r="BE4724" s="2">
        <v>0</v>
      </c>
      <c r="BF4724" s="2">
        <v>0</v>
      </c>
      <c r="BG4724" s="2">
        <v>0</v>
      </c>
      <c r="BH4724" s="2">
        <v>1</v>
      </c>
      <c r="BI4724" s="2">
        <v>1</v>
      </c>
      <c r="BJ4724" s="2">
        <v>0.2</v>
      </c>
      <c r="BK4724" s="2">
        <v>1</v>
      </c>
      <c r="BL4724" s="2">
        <v>41.44</v>
      </c>
      <c r="BM4724" s="2">
        <v>5.8</v>
      </c>
      <c r="BN4724" s="2">
        <v>47.24</v>
      </c>
      <c r="BO4724" s="2">
        <v>47.24</v>
      </c>
      <c r="BP4724" s="2"/>
      <c r="BQ4724" s="2" t="s">
        <v>1820</v>
      </c>
      <c r="BR4724" s="2" t="s">
        <v>84</v>
      </c>
      <c r="BS4724" s="3">
        <v>42954</v>
      </c>
      <c r="BT4724" s="4">
        <v>0.4375</v>
      </c>
      <c r="BU4724" s="2" t="s">
        <v>768</v>
      </c>
      <c r="BV4724" s="2" t="s">
        <v>95</v>
      </c>
      <c r="BW4724" s="2"/>
      <c r="BX4724" s="2"/>
      <c r="BY4724" s="2">
        <v>1200</v>
      </c>
      <c r="BZ4724" s="2"/>
      <c r="CA4724" s="2" t="s">
        <v>347</v>
      </c>
      <c r="CB4724" s="2"/>
      <c r="CC4724" s="2" t="s">
        <v>150</v>
      </c>
      <c r="CD4724" s="2">
        <v>4001</v>
      </c>
      <c r="CE4724" s="2" t="s">
        <v>104</v>
      </c>
      <c r="CF4724" s="5">
        <v>42955</v>
      </c>
      <c r="CG4724" s="2"/>
      <c r="CH4724" s="2"/>
      <c r="CI4724" s="2">
        <v>1</v>
      </c>
      <c r="CJ4724" s="2">
        <v>1</v>
      </c>
      <c r="CK4724" s="2">
        <v>21</v>
      </c>
      <c r="CL4724" s="2" t="s">
        <v>86</v>
      </c>
      <c r="CM4724" s="2"/>
    </row>
    <row r="4725" spans="1:91">
      <c r="A4725" s="2" t="s">
        <v>71</v>
      </c>
      <c r="B4725" s="2" t="s">
        <v>72</v>
      </c>
      <c r="C4725" s="2" t="s">
        <v>73</v>
      </c>
      <c r="D4725" s="2"/>
      <c r="E4725" s="2" t="str">
        <f>"FES1162567294"</f>
        <v>FES1162567294</v>
      </c>
      <c r="F4725" s="3">
        <v>42951</v>
      </c>
      <c r="G4725" s="2">
        <v>201802</v>
      </c>
      <c r="H4725" s="2" t="s">
        <v>74</v>
      </c>
      <c r="I4725" s="2" t="s">
        <v>75</v>
      </c>
      <c r="J4725" s="2" t="s">
        <v>76</v>
      </c>
      <c r="K4725" s="2" t="s">
        <v>77</v>
      </c>
      <c r="L4725" s="2" t="s">
        <v>604</v>
      </c>
      <c r="M4725" s="2" t="s">
        <v>605</v>
      </c>
      <c r="N4725" s="2" t="s">
        <v>4187</v>
      </c>
      <c r="O4725" s="2" t="s">
        <v>100</v>
      </c>
      <c r="P4725" s="2" t="str">
        <f>"2170583447                    "</f>
        <v xml:space="preserve">2170583447                    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4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2">
        <v>0</v>
      </c>
      <c r="AT4725" s="2">
        <v>0</v>
      </c>
      <c r="AU4725" s="2">
        <v>0</v>
      </c>
      <c r="AV4725" s="2">
        <v>0</v>
      </c>
      <c r="AW4725" s="2">
        <v>0</v>
      </c>
      <c r="AX4725" s="2">
        <v>0</v>
      </c>
      <c r="AY4725" s="2">
        <v>0</v>
      </c>
      <c r="AZ4725" s="2">
        <v>0</v>
      </c>
      <c r="BA4725" s="2">
        <v>0</v>
      </c>
      <c r="BB4725" s="2">
        <v>0</v>
      </c>
      <c r="BC4725" s="2">
        <v>0</v>
      </c>
      <c r="BD4725" s="2">
        <v>0</v>
      </c>
      <c r="BE4725" s="2">
        <v>0</v>
      </c>
      <c r="BF4725" s="2">
        <v>0</v>
      </c>
      <c r="BG4725" s="2">
        <v>0</v>
      </c>
      <c r="BH4725" s="2">
        <v>1</v>
      </c>
      <c r="BI4725" s="2">
        <v>1</v>
      </c>
      <c r="BJ4725" s="2">
        <v>0.2</v>
      </c>
      <c r="BK4725" s="2">
        <v>1</v>
      </c>
      <c r="BL4725" s="2">
        <v>41.44</v>
      </c>
      <c r="BM4725" s="2">
        <v>5.8</v>
      </c>
      <c r="BN4725" s="2">
        <v>47.24</v>
      </c>
      <c r="BO4725" s="2">
        <v>47.24</v>
      </c>
      <c r="BP4725" s="2"/>
      <c r="BQ4725" s="2" t="s">
        <v>4188</v>
      </c>
      <c r="BR4725" s="2" t="s">
        <v>84</v>
      </c>
      <c r="BS4725" s="3">
        <v>42954</v>
      </c>
      <c r="BT4725" s="4">
        <v>0.39513888888888887</v>
      </c>
      <c r="BU4725" s="2" t="s">
        <v>4189</v>
      </c>
      <c r="BV4725" s="2" t="s">
        <v>95</v>
      </c>
      <c r="BW4725" s="2"/>
      <c r="BX4725" s="2"/>
      <c r="BY4725" s="2">
        <v>1200</v>
      </c>
      <c r="BZ4725" s="2"/>
      <c r="CA4725" s="2" t="s">
        <v>840</v>
      </c>
      <c r="CB4725" s="2"/>
      <c r="CC4725" s="2" t="s">
        <v>605</v>
      </c>
      <c r="CD4725" s="2">
        <v>4126</v>
      </c>
      <c r="CE4725" s="2" t="s">
        <v>104</v>
      </c>
      <c r="CF4725" s="5">
        <v>42954</v>
      </c>
      <c r="CG4725" s="2"/>
      <c r="CH4725" s="2"/>
      <c r="CI4725" s="2">
        <v>1</v>
      </c>
      <c r="CJ4725" s="2">
        <v>1</v>
      </c>
      <c r="CK4725" s="2">
        <v>21</v>
      </c>
      <c r="CL4725" s="2" t="s">
        <v>86</v>
      </c>
      <c r="CM4725" s="2"/>
    </row>
    <row r="4726" spans="1:91">
      <c r="A4726" s="2" t="s">
        <v>71</v>
      </c>
      <c r="B4726" s="2" t="s">
        <v>72</v>
      </c>
      <c r="C4726" s="2" t="s">
        <v>73</v>
      </c>
      <c r="D4726" s="2"/>
      <c r="E4726" s="2" t="str">
        <f>"FES1162567286"</f>
        <v>FES1162567286</v>
      </c>
      <c r="F4726" s="3">
        <v>42951</v>
      </c>
      <c r="G4726" s="2">
        <v>201802</v>
      </c>
      <c r="H4726" s="2" t="s">
        <v>74</v>
      </c>
      <c r="I4726" s="2" t="s">
        <v>75</v>
      </c>
      <c r="J4726" s="2" t="s">
        <v>76</v>
      </c>
      <c r="K4726" s="2" t="s">
        <v>77</v>
      </c>
      <c r="L4726" s="2" t="s">
        <v>221</v>
      </c>
      <c r="M4726" s="2" t="s">
        <v>222</v>
      </c>
      <c r="N4726" s="2" t="s">
        <v>3638</v>
      </c>
      <c r="O4726" s="2" t="s">
        <v>100</v>
      </c>
      <c r="P4726" s="2" t="str">
        <f>"2170582733                    "</f>
        <v xml:space="preserve">2170582733                    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0</v>
      </c>
      <c r="AB4726" s="2">
        <v>0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4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2">
        <v>0</v>
      </c>
      <c r="AT4726" s="2">
        <v>0</v>
      </c>
      <c r="AU4726" s="2">
        <v>0</v>
      </c>
      <c r="AV4726" s="2">
        <v>0</v>
      </c>
      <c r="AW4726" s="2">
        <v>0</v>
      </c>
      <c r="AX4726" s="2">
        <v>0</v>
      </c>
      <c r="AY4726" s="2">
        <v>0</v>
      </c>
      <c r="AZ4726" s="2">
        <v>0</v>
      </c>
      <c r="BA4726" s="2">
        <v>0</v>
      </c>
      <c r="BB4726" s="2">
        <v>0</v>
      </c>
      <c r="BC4726" s="2">
        <v>0</v>
      </c>
      <c r="BD4726" s="2">
        <v>0</v>
      </c>
      <c r="BE4726" s="2">
        <v>0</v>
      </c>
      <c r="BF4726" s="2">
        <v>0</v>
      </c>
      <c r="BG4726" s="2">
        <v>0</v>
      </c>
      <c r="BH4726" s="2">
        <v>1</v>
      </c>
      <c r="BI4726" s="2">
        <v>1</v>
      </c>
      <c r="BJ4726" s="2">
        <v>0.2</v>
      </c>
      <c r="BK4726" s="2">
        <v>1</v>
      </c>
      <c r="BL4726" s="2">
        <v>41.44</v>
      </c>
      <c r="BM4726" s="2">
        <v>5.8</v>
      </c>
      <c r="BN4726" s="2">
        <v>47.24</v>
      </c>
      <c r="BO4726" s="2">
        <v>47.24</v>
      </c>
      <c r="BP4726" s="2"/>
      <c r="BQ4726" s="2" t="s">
        <v>108</v>
      </c>
      <c r="BR4726" s="2" t="s">
        <v>84</v>
      </c>
      <c r="BS4726" s="3">
        <v>42954</v>
      </c>
      <c r="BT4726" s="4">
        <v>0.4513888888888889</v>
      </c>
      <c r="BU4726" s="2" t="s">
        <v>224</v>
      </c>
      <c r="BV4726" s="2" t="s">
        <v>95</v>
      </c>
      <c r="BW4726" s="2"/>
      <c r="BX4726" s="2"/>
      <c r="BY4726" s="2">
        <v>1200</v>
      </c>
      <c r="BZ4726" s="2"/>
      <c r="CA4726" s="2" t="s">
        <v>225</v>
      </c>
      <c r="CB4726" s="2"/>
      <c r="CC4726" s="2" t="s">
        <v>222</v>
      </c>
      <c r="CD4726" s="2">
        <v>4300</v>
      </c>
      <c r="CE4726" s="2" t="s">
        <v>104</v>
      </c>
      <c r="CF4726" s="5">
        <v>42955</v>
      </c>
      <c r="CG4726" s="2"/>
      <c r="CH4726" s="2"/>
      <c r="CI4726" s="2">
        <v>1</v>
      </c>
      <c r="CJ4726" s="2">
        <v>1</v>
      </c>
      <c r="CK4726" s="2">
        <v>21</v>
      </c>
      <c r="CL4726" s="2" t="s">
        <v>86</v>
      </c>
      <c r="CM4726" s="2"/>
    </row>
    <row r="4727" spans="1:91">
      <c r="A4727" s="2" t="s">
        <v>71</v>
      </c>
      <c r="B4727" s="2" t="s">
        <v>72</v>
      </c>
      <c r="C4727" s="2" t="s">
        <v>73</v>
      </c>
      <c r="D4727" s="2"/>
      <c r="E4727" s="2" t="str">
        <f>"FES1162567221"</f>
        <v>FES1162567221</v>
      </c>
      <c r="F4727" s="3">
        <v>42951</v>
      </c>
      <c r="G4727" s="2">
        <v>201802</v>
      </c>
      <c r="H4727" s="2" t="s">
        <v>74</v>
      </c>
      <c r="I4727" s="2" t="s">
        <v>75</v>
      </c>
      <c r="J4727" s="2" t="s">
        <v>76</v>
      </c>
      <c r="K4727" s="2" t="s">
        <v>77</v>
      </c>
      <c r="L4727" s="2" t="s">
        <v>221</v>
      </c>
      <c r="M4727" s="2" t="s">
        <v>222</v>
      </c>
      <c r="N4727" s="2" t="s">
        <v>1275</v>
      </c>
      <c r="O4727" s="2" t="s">
        <v>100</v>
      </c>
      <c r="P4727" s="2" t="str">
        <f>"2170583370                    "</f>
        <v xml:space="preserve">2170583370                    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4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0</v>
      </c>
      <c r="AU4727" s="2">
        <v>0</v>
      </c>
      <c r="AV4727" s="2">
        <v>0</v>
      </c>
      <c r="AW4727" s="2">
        <v>0</v>
      </c>
      <c r="AX4727" s="2">
        <v>0</v>
      </c>
      <c r="AY4727" s="2">
        <v>0</v>
      </c>
      <c r="AZ4727" s="2">
        <v>0</v>
      </c>
      <c r="BA4727" s="2">
        <v>0</v>
      </c>
      <c r="BB4727" s="2">
        <v>0</v>
      </c>
      <c r="BC4727" s="2">
        <v>0</v>
      </c>
      <c r="BD4727" s="2">
        <v>0</v>
      </c>
      <c r="BE4727" s="2">
        <v>0</v>
      </c>
      <c r="BF4727" s="2">
        <v>0</v>
      </c>
      <c r="BG4727" s="2">
        <v>0</v>
      </c>
      <c r="BH4727" s="2">
        <v>1</v>
      </c>
      <c r="BI4727" s="2">
        <v>1</v>
      </c>
      <c r="BJ4727" s="2">
        <v>0.2</v>
      </c>
      <c r="BK4727" s="2">
        <v>1</v>
      </c>
      <c r="BL4727" s="2">
        <v>41.44</v>
      </c>
      <c r="BM4727" s="2">
        <v>5.8</v>
      </c>
      <c r="BN4727" s="2">
        <v>47.24</v>
      </c>
      <c r="BO4727" s="2">
        <v>47.24</v>
      </c>
      <c r="BP4727" s="2"/>
      <c r="BQ4727" s="2" t="s">
        <v>1534</v>
      </c>
      <c r="BR4727" s="2" t="s">
        <v>84</v>
      </c>
      <c r="BS4727" s="3">
        <v>42954</v>
      </c>
      <c r="BT4727" s="4">
        <v>0.4069444444444445</v>
      </c>
      <c r="BU4727" s="2" t="s">
        <v>1767</v>
      </c>
      <c r="BV4727" s="2" t="s">
        <v>95</v>
      </c>
      <c r="BW4727" s="2"/>
      <c r="BX4727" s="2"/>
      <c r="BY4727" s="2">
        <v>1200</v>
      </c>
      <c r="BZ4727" s="2"/>
      <c r="CA4727" s="2" t="s">
        <v>1536</v>
      </c>
      <c r="CB4727" s="2"/>
      <c r="CC4727" s="2" t="s">
        <v>222</v>
      </c>
      <c r="CD4727" s="2">
        <v>4300</v>
      </c>
      <c r="CE4727" s="2" t="s">
        <v>104</v>
      </c>
      <c r="CF4727" s="5">
        <v>42955</v>
      </c>
      <c r="CG4727" s="2"/>
      <c r="CH4727" s="2"/>
      <c r="CI4727" s="2">
        <v>1</v>
      </c>
      <c r="CJ4727" s="2">
        <v>1</v>
      </c>
      <c r="CK4727" s="2">
        <v>21</v>
      </c>
      <c r="CL4727" s="2" t="s">
        <v>86</v>
      </c>
      <c r="CM4727" s="2"/>
    </row>
    <row r="4728" spans="1:91">
      <c r="A4728" s="2" t="s">
        <v>71</v>
      </c>
      <c r="B4728" s="2" t="s">
        <v>72</v>
      </c>
      <c r="C4728" s="2" t="s">
        <v>73</v>
      </c>
      <c r="D4728" s="2"/>
      <c r="E4728" s="2" t="str">
        <f>"FES1162567245"</f>
        <v>FES1162567245</v>
      </c>
      <c r="F4728" s="3">
        <v>42951</v>
      </c>
      <c r="G4728" s="2">
        <v>201802</v>
      </c>
      <c r="H4728" s="2" t="s">
        <v>74</v>
      </c>
      <c r="I4728" s="2" t="s">
        <v>75</v>
      </c>
      <c r="J4728" s="2" t="s">
        <v>76</v>
      </c>
      <c r="K4728" s="2" t="s">
        <v>77</v>
      </c>
      <c r="L4728" s="2" t="s">
        <v>362</v>
      </c>
      <c r="M4728" s="2" t="s">
        <v>363</v>
      </c>
      <c r="N4728" s="2" t="s">
        <v>2991</v>
      </c>
      <c r="O4728" s="2" t="s">
        <v>100</v>
      </c>
      <c r="P4728" s="2" t="str">
        <f>"2170583395                    "</f>
        <v xml:space="preserve">2170583395                    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0</v>
      </c>
      <c r="Z4728" s="2">
        <v>0</v>
      </c>
      <c r="AA4728" s="2">
        <v>0</v>
      </c>
      <c r="AB4728" s="2">
        <v>0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4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0</v>
      </c>
      <c r="AU4728" s="2">
        <v>0</v>
      </c>
      <c r="AV4728" s="2">
        <v>0</v>
      </c>
      <c r="AW4728" s="2">
        <v>0</v>
      </c>
      <c r="AX4728" s="2">
        <v>0</v>
      </c>
      <c r="AY4728" s="2">
        <v>0</v>
      </c>
      <c r="AZ4728" s="2">
        <v>0</v>
      </c>
      <c r="BA4728" s="2">
        <v>0</v>
      </c>
      <c r="BB4728" s="2">
        <v>0</v>
      </c>
      <c r="BC4728" s="2">
        <v>0</v>
      </c>
      <c r="BD4728" s="2">
        <v>0</v>
      </c>
      <c r="BE4728" s="2">
        <v>0</v>
      </c>
      <c r="BF4728" s="2">
        <v>0</v>
      </c>
      <c r="BG4728" s="2">
        <v>0</v>
      </c>
      <c r="BH4728" s="2">
        <v>1</v>
      </c>
      <c r="BI4728" s="2">
        <v>1</v>
      </c>
      <c r="BJ4728" s="2">
        <v>0.2</v>
      </c>
      <c r="BK4728" s="2">
        <v>1</v>
      </c>
      <c r="BL4728" s="2">
        <v>41.44</v>
      </c>
      <c r="BM4728" s="2">
        <v>5.8</v>
      </c>
      <c r="BN4728" s="2">
        <v>47.24</v>
      </c>
      <c r="BO4728" s="2">
        <v>47.24</v>
      </c>
      <c r="BP4728" s="2"/>
      <c r="BQ4728" s="2" t="s">
        <v>2992</v>
      </c>
      <c r="BR4728" s="2" t="s">
        <v>84</v>
      </c>
      <c r="BS4728" s="3">
        <v>42954</v>
      </c>
      <c r="BT4728" s="4">
        <v>0.41666666666666669</v>
      </c>
      <c r="BU4728" s="2" t="s">
        <v>4190</v>
      </c>
      <c r="BV4728" s="2" t="s">
        <v>95</v>
      </c>
      <c r="BW4728" s="2"/>
      <c r="BX4728" s="2"/>
      <c r="BY4728" s="2">
        <v>1200</v>
      </c>
      <c r="BZ4728" s="2"/>
      <c r="CA4728" s="2" t="s">
        <v>550</v>
      </c>
      <c r="CB4728" s="2"/>
      <c r="CC4728" s="2" t="s">
        <v>363</v>
      </c>
      <c r="CD4728" s="2">
        <v>3201</v>
      </c>
      <c r="CE4728" s="2" t="s">
        <v>104</v>
      </c>
      <c r="CF4728" s="5">
        <v>42955</v>
      </c>
      <c r="CG4728" s="2"/>
      <c r="CH4728" s="2"/>
      <c r="CI4728" s="2">
        <v>1</v>
      </c>
      <c r="CJ4728" s="2">
        <v>1</v>
      </c>
      <c r="CK4728" s="2">
        <v>21</v>
      </c>
      <c r="CL4728" s="2" t="s">
        <v>86</v>
      </c>
      <c r="CM4728" s="2"/>
    </row>
    <row r="4729" spans="1:91">
      <c r="A4729" s="2" t="s">
        <v>71</v>
      </c>
      <c r="B4729" s="2" t="s">
        <v>72</v>
      </c>
      <c r="C4729" s="2" t="s">
        <v>73</v>
      </c>
      <c r="D4729" s="2"/>
      <c r="E4729" s="2" t="str">
        <f>"FES1162567265"</f>
        <v>FES1162567265</v>
      </c>
      <c r="F4729" s="3">
        <v>42951</v>
      </c>
      <c r="G4729" s="2">
        <v>201802</v>
      </c>
      <c r="H4729" s="2" t="s">
        <v>74</v>
      </c>
      <c r="I4729" s="2" t="s">
        <v>75</v>
      </c>
      <c r="J4729" s="2" t="s">
        <v>76</v>
      </c>
      <c r="K4729" s="2" t="s">
        <v>77</v>
      </c>
      <c r="L4729" s="2" t="s">
        <v>841</v>
      </c>
      <c r="M4729" s="2" t="s">
        <v>842</v>
      </c>
      <c r="N4729" s="2" t="s">
        <v>843</v>
      </c>
      <c r="O4729" s="2" t="s">
        <v>100</v>
      </c>
      <c r="P4729" s="2" t="str">
        <f>"2170583420                    "</f>
        <v xml:space="preserve">2170583420                    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0</v>
      </c>
      <c r="Y4729" s="2">
        <v>0</v>
      </c>
      <c r="Z4729" s="2">
        <v>0</v>
      </c>
      <c r="AA4729" s="2">
        <v>0</v>
      </c>
      <c r="AB4729" s="2">
        <v>0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7.75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2">
        <v>0</v>
      </c>
      <c r="AT4729" s="2">
        <v>0</v>
      </c>
      <c r="AU4729" s="2">
        <v>0</v>
      </c>
      <c r="AV4729" s="2">
        <v>0</v>
      </c>
      <c r="AW4729" s="2">
        <v>0</v>
      </c>
      <c r="AX4729" s="2">
        <v>0</v>
      </c>
      <c r="AY4729" s="2">
        <v>0</v>
      </c>
      <c r="AZ4729" s="2">
        <v>0</v>
      </c>
      <c r="BA4729" s="2">
        <v>0</v>
      </c>
      <c r="BB4729" s="2">
        <v>0</v>
      </c>
      <c r="BC4729" s="2">
        <v>0</v>
      </c>
      <c r="BD4729" s="2">
        <v>0</v>
      </c>
      <c r="BE4729" s="2">
        <v>0</v>
      </c>
      <c r="BF4729" s="2">
        <v>0</v>
      </c>
      <c r="BG4729" s="2">
        <v>0</v>
      </c>
      <c r="BH4729" s="2">
        <v>1</v>
      </c>
      <c r="BI4729" s="2">
        <v>1</v>
      </c>
      <c r="BJ4729" s="2">
        <v>0.2</v>
      </c>
      <c r="BK4729" s="2">
        <v>1</v>
      </c>
      <c r="BL4729" s="2">
        <v>80.290000000000006</v>
      </c>
      <c r="BM4729" s="2">
        <v>11.24</v>
      </c>
      <c r="BN4729" s="2">
        <v>91.53</v>
      </c>
      <c r="BO4729" s="2">
        <v>91.53</v>
      </c>
      <c r="BP4729" s="2"/>
      <c r="BQ4729" s="2" t="s">
        <v>83</v>
      </c>
      <c r="BR4729" s="2" t="s">
        <v>84</v>
      </c>
      <c r="BS4729" s="3">
        <v>42954</v>
      </c>
      <c r="BT4729" s="4">
        <v>0.55277777777777781</v>
      </c>
      <c r="BU4729" s="2" t="s">
        <v>4105</v>
      </c>
      <c r="BV4729" s="2" t="s">
        <v>95</v>
      </c>
      <c r="BW4729" s="2"/>
      <c r="BX4729" s="2"/>
      <c r="BY4729" s="2">
        <v>1200</v>
      </c>
      <c r="BZ4729" s="2"/>
      <c r="CA4729" s="2" t="s">
        <v>1245</v>
      </c>
      <c r="CB4729" s="2"/>
      <c r="CC4729" s="2" t="s">
        <v>842</v>
      </c>
      <c r="CD4729" s="2">
        <v>3370</v>
      </c>
      <c r="CE4729" s="2" t="s">
        <v>104</v>
      </c>
      <c r="CF4729" s="5">
        <v>42957</v>
      </c>
      <c r="CG4729" s="2"/>
      <c r="CH4729" s="2"/>
      <c r="CI4729" s="2">
        <v>3</v>
      </c>
      <c r="CJ4729" s="2">
        <v>1</v>
      </c>
      <c r="CK4729" s="2">
        <v>23</v>
      </c>
      <c r="CL4729" s="2" t="s">
        <v>86</v>
      </c>
      <c r="CM4729" s="2"/>
    </row>
    <row r="4730" spans="1:91">
      <c r="A4730" s="2" t="s">
        <v>71</v>
      </c>
      <c r="B4730" s="2" t="s">
        <v>72</v>
      </c>
      <c r="C4730" s="2" t="s">
        <v>73</v>
      </c>
      <c r="D4730" s="2"/>
      <c r="E4730" s="2" t="str">
        <f>"FES1162567247"</f>
        <v>FES1162567247</v>
      </c>
      <c r="F4730" s="3">
        <v>42951</v>
      </c>
      <c r="G4730" s="2">
        <v>201802</v>
      </c>
      <c r="H4730" s="2" t="s">
        <v>74</v>
      </c>
      <c r="I4730" s="2" t="s">
        <v>75</v>
      </c>
      <c r="J4730" s="2" t="s">
        <v>76</v>
      </c>
      <c r="K4730" s="2" t="s">
        <v>77</v>
      </c>
      <c r="L4730" s="2" t="s">
        <v>237</v>
      </c>
      <c r="M4730" s="2" t="s">
        <v>238</v>
      </c>
      <c r="N4730" s="2" t="s">
        <v>239</v>
      </c>
      <c r="O4730" s="2" t="s">
        <v>100</v>
      </c>
      <c r="P4730" s="2" t="str">
        <f>"2170583400                    "</f>
        <v xml:space="preserve">2170583400                    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2">
        <v>0</v>
      </c>
      <c r="AB4730" s="2">
        <v>0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4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2">
        <v>0</v>
      </c>
      <c r="AT4730" s="2">
        <v>0</v>
      </c>
      <c r="AU4730" s="2">
        <v>0</v>
      </c>
      <c r="AV4730" s="2">
        <v>0</v>
      </c>
      <c r="AW4730" s="2">
        <v>0</v>
      </c>
      <c r="AX4730" s="2">
        <v>0</v>
      </c>
      <c r="AY4730" s="2">
        <v>0</v>
      </c>
      <c r="AZ4730" s="2">
        <v>0</v>
      </c>
      <c r="BA4730" s="2">
        <v>0</v>
      </c>
      <c r="BB4730" s="2">
        <v>0</v>
      </c>
      <c r="BC4730" s="2">
        <v>0</v>
      </c>
      <c r="BD4730" s="2">
        <v>0</v>
      </c>
      <c r="BE4730" s="2">
        <v>0</v>
      </c>
      <c r="BF4730" s="2">
        <v>0</v>
      </c>
      <c r="BG4730" s="2">
        <v>0</v>
      </c>
      <c r="BH4730" s="2">
        <v>1</v>
      </c>
      <c r="BI4730" s="2">
        <v>1</v>
      </c>
      <c r="BJ4730" s="2">
        <v>0.2</v>
      </c>
      <c r="BK4730" s="2">
        <v>1</v>
      </c>
      <c r="BL4730" s="2">
        <v>41.44</v>
      </c>
      <c r="BM4730" s="2">
        <v>5.8</v>
      </c>
      <c r="BN4730" s="2">
        <v>47.24</v>
      </c>
      <c r="BO4730" s="2">
        <v>47.24</v>
      </c>
      <c r="BP4730" s="2"/>
      <c r="BQ4730" s="2" t="s">
        <v>83</v>
      </c>
      <c r="BR4730" s="2" t="s">
        <v>84</v>
      </c>
      <c r="BS4730" s="3">
        <v>42954</v>
      </c>
      <c r="BT4730" s="4">
        <v>0.45277777777777778</v>
      </c>
      <c r="BU4730" s="2" t="s">
        <v>4191</v>
      </c>
      <c r="BV4730" s="2" t="s">
        <v>95</v>
      </c>
      <c r="BW4730" s="2"/>
      <c r="BX4730" s="2"/>
      <c r="BY4730" s="2">
        <v>1200</v>
      </c>
      <c r="BZ4730" s="2"/>
      <c r="CA4730" s="2" t="s">
        <v>2155</v>
      </c>
      <c r="CB4730" s="2"/>
      <c r="CC4730" s="2" t="s">
        <v>238</v>
      </c>
      <c r="CD4730" s="2">
        <v>3610</v>
      </c>
      <c r="CE4730" s="2" t="s">
        <v>104</v>
      </c>
      <c r="CF4730" s="5">
        <v>42955</v>
      </c>
      <c r="CG4730" s="2"/>
      <c r="CH4730" s="2"/>
      <c r="CI4730" s="2">
        <v>1</v>
      </c>
      <c r="CJ4730" s="2">
        <v>1</v>
      </c>
      <c r="CK4730" s="2">
        <v>21</v>
      </c>
      <c r="CL4730" s="2" t="s">
        <v>86</v>
      </c>
      <c r="CM4730" s="2"/>
    </row>
    <row r="4731" spans="1:91">
      <c r="A4731" s="2" t="s">
        <v>71</v>
      </c>
      <c r="B4731" s="2" t="s">
        <v>72</v>
      </c>
      <c r="C4731" s="2" t="s">
        <v>73</v>
      </c>
      <c r="D4731" s="2"/>
      <c r="E4731" s="2" t="str">
        <f>"FES1162567230"</f>
        <v>FES1162567230</v>
      </c>
      <c r="F4731" s="3">
        <v>42951</v>
      </c>
      <c r="G4731" s="2">
        <v>201802</v>
      </c>
      <c r="H4731" s="2" t="s">
        <v>74</v>
      </c>
      <c r="I4731" s="2" t="s">
        <v>75</v>
      </c>
      <c r="J4731" s="2" t="s">
        <v>76</v>
      </c>
      <c r="K4731" s="2" t="s">
        <v>77</v>
      </c>
      <c r="L4731" s="2" t="s">
        <v>237</v>
      </c>
      <c r="M4731" s="2" t="s">
        <v>238</v>
      </c>
      <c r="N4731" s="2" t="s">
        <v>669</v>
      </c>
      <c r="O4731" s="2" t="s">
        <v>100</v>
      </c>
      <c r="P4731" s="2" t="str">
        <f>"2170583384                    "</f>
        <v xml:space="preserve">2170583384                    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2">
        <v>0</v>
      </c>
      <c r="Z4731" s="2">
        <v>0</v>
      </c>
      <c r="AA4731" s="2">
        <v>0</v>
      </c>
      <c r="AB4731" s="2">
        <v>0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4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0</v>
      </c>
      <c r="AU4731" s="2">
        <v>0</v>
      </c>
      <c r="AV4731" s="2">
        <v>0</v>
      </c>
      <c r="AW4731" s="2">
        <v>0</v>
      </c>
      <c r="AX4731" s="2">
        <v>0</v>
      </c>
      <c r="AY4731" s="2">
        <v>0</v>
      </c>
      <c r="AZ4731" s="2">
        <v>0</v>
      </c>
      <c r="BA4731" s="2">
        <v>0</v>
      </c>
      <c r="BB4731" s="2">
        <v>0</v>
      </c>
      <c r="BC4731" s="2">
        <v>0</v>
      </c>
      <c r="BD4731" s="2">
        <v>0</v>
      </c>
      <c r="BE4731" s="2">
        <v>0</v>
      </c>
      <c r="BF4731" s="2">
        <v>0</v>
      </c>
      <c r="BG4731" s="2">
        <v>0</v>
      </c>
      <c r="BH4731" s="2">
        <v>1</v>
      </c>
      <c r="BI4731" s="2">
        <v>1</v>
      </c>
      <c r="BJ4731" s="2">
        <v>0.2</v>
      </c>
      <c r="BK4731" s="2">
        <v>1</v>
      </c>
      <c r="BL4731" s="2">
        <v>41.44</v>
      </c>
      <c r="BM4731" s="2">
        <v>5.8</v>
      </c>
      <c r="BN4731" s="2">
        <v>47.24</v>
      </c>
      <c r="BO4731" s="2">
        <v>47.24</v>
      </c>
      <c r="BP4731" s="2"/>
      <c r="BQ4731" s="2" t="s">
        <v>670</v>
      </c>
      <c r="BR4731" s="2" t="s">
        <v>84</v>
      </c>
      <c r="BS4731" s="3">
        <v>42954</v>
      </c>
      <c r="BT4731" s="4">
        <v>0.40138888888888885</v>
      </c>
      <c r="BU4731" s="2" t="s">
        <v>2160</v>
      </c>
      <c r="BV4731" s="2" t="s">
        <v>95</v>
      </c>
      <c r="BW4731" s="2"/>
      <c r="BX4731" s="2"/>
      <c r="BY4731" s="2">
        <v>1200</v>
      </c>
      <c r="BZ4731" s="2"/>
      <c r="CA4731" s="2" t="s">
        <v>2155</v>
      </c>
      <c r="CB4731" s="2"/>
      <c r="CC4731" s="2" t="s">
        <v>238</v>
      </c>
      <c r="CD4731" s="2">
        <v>3610</v>
      </c>
      <c r="CE4731" s="2" t="s">
        <v>104</v>
      </c>
      <c r="CF4731" s="5">
        <v>42955</v>
      </c>
      <c r="CG4731" s="2"/>
      <c r="CH4731" s="2"/>
      <c r="CI4731" s="2">
        <v>1</v>
      </c>
      <c r="CJ4731" s="2">
        <v>1</v>
      </c>
      <c r="CK4731" s="2">
        <v>21</v>
      </c>
      <c r="CL4731" s="2" t="s">
        <v>86</v>
      </c>
      <c r="CM4731" s="2"/>
    </row>
    <row r="4732" spans="1:91">
      <c r="A4732" s="2" t="s">
        <v>71</v>
      </c>
      <c r="B4732" s="2" t="s">
        <v>72</v>
      </c>
      <c r="C4732" s="2" t="s">
        <v>73</v>
      </c>
      <c r="D4732" s="2"/>
      <c r="E4732" s="2" t="str">
        <f>"FES1162567292"</f>
        <v>FES1162567292</v>
      </c>
      <c r="F4732" s="3">
        <v>42951</v>
      </c>
      <c r="G4732" s="2">
        <v>201802</v>
      </c>
      <c r="H4732" s="2" t="s">
        <v>74</v>
      </c>
      <c r="I4732" s="2" t="s">
        <v>75</v>
      </c>
      <c r="J4732" s="2" t="s">
        <v>76</v>
      </c>
      <c r="K4732" s="2" t="s">
        <v>77</v>
      </c>
      <c r="L4732" s="2" t="s">
        <v>237</v>
      </c>
      <c r="M4732" s="2" t="s">
        <v>238</v>
      </c>
      <c r="N4732" s="2" t="s">
        <v>388</v>
      </c>
      <c r="O4732" s="2" t="s">
        <v>100</v>
      </c>
      <c r="P4732" s="2" t="str">
        <f>"2170583434                    "</f>
        <v xml:space="preserve">2170583434                    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4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0</v>
      </c>
      <c r="AU4732" s="2">
        <v>0</v>
      </c>
      <c r="AV4732" s="2">
        <v>0</v>
      </c>
      <c r="AW4732" s="2">
        <v>0</v>
      </c>
      <c r="AX4732" s="2">
        <v>0</v>
      </c>
      <c r="AY4732" s="2">
        <v>0</v>
      </c>
      <c r="AZ4732" s="2">
        <v>0</v>
      </c>
      <c r="BA4732" s="2">
        <v>0</v>
      </c>
      <c r="BB4732" s="2">
        <v>0</v>
      </c>
      <c r="BC4732" s="2">
        <v>0</v>
      </c>
      <c r="BD4732" s="2">
        <v>0</v>
      </c>
      <c r="BE4732" s="2">
        <v>0</v>
      </c>
      <c r="BF4732" s="2">
        <v>0</v>
      </c>
      <c r="BG4732" s="2">
        <v>0</v>
      </c>
      <c r="BH4732" s="2">
        <v>1</v>
      </c>
      <c r="BI4732" s="2">
        <v>1</v>
      </c>
      <c r="BJ4732" s="2">
        <v>0.2</v>
      </c>
      <c r="BK4732" s="2">
        <v>1</v>
      </c>
      <c r="BL4732" s="2">
        <v>41.44</v>
      </c>
      <c r="BM4732" s="2">
        <v>5.8</v>
      </c>
      <c r="BN4732" s="2">
        <v>47.24</v>
      </c>
      <c r="BO4732" s="2">
        <v>47.24</v>
      </c>
      <c r="BP4732" s="2"/>
      <c r="BQ4732" s="2"/>
      <c r="BR4732" s="2" t="s">
        <v>84</v>
      </c>
      <c r="BS4732" s="3">
        <v>42954</v>
      </c>
      <c r="BT4732" s="4">
        <v>0.4375</v>
      </c>
      <c r="BU4732" s="2" t="s">
        <v>1112</v>
      </c>
      <c r="BV4732" s="2" t="s">
        <v>95</v>
      </c>
      <c r="BW4732" s="2"/>
      <c r="BX4732" s="2"/>
      <c r="BY4732" s="2">
        <v>1200</v>
      </c>
      <c r="BZ4732" s="2"/>
      <c r="CA4732" s="2"/>
      <c r="CB4732" s="2"/>
      <c r="CC4732" s="2" t="s">
        <v>238</v>
      </c>
      <c r="CD4732" s="2">
        <v>3610</v>
      </c>
      <c r="CE4732" s="2" t="s">
        <v>104</v>
      </c>
      <c r="CF4732" s="5">
        <v>42955</v>
      </c>
      <c r="CG4732" s="2"/>
      <c r="CH4732" s="2"/>
      <c r="CI4732" s="2">
        <v>1</v>
      </c>
      <c r="CJ4732" s="2">
        <v>1</v>
      </c>
      <c r="CK4732" s="2">
        <v>21</v>
      </c>
      <c r="CL4732" s="2" t="s">
        <v>86</v>
      </c>
      <c r="CM4732" s="2"/>
    </row>
    <row r="4733" spans="1:91">
      <c r="A4733" s="2" t="s">
        <v>71</v>
      </c>
      <c r="B4733" s="2" t="s">
        <v>72</v>
      </c>
      <c r="C4733" s="2" t="s">
        <v>73</v>
      </c>
      <c r="D4733" s="2"/>
      <c r="E4733" s="2" t="str">
        <f>"FES1162567007"</f>
        <v>FES1162567007</v>
      </c>
      <c r="F4733" s="3">
        <v>42951</v>
      </c>
      <c r="G4733" s="2">
        <v>201802</v>
      </c>
      <c r="H4733" s="2" t="s">
        <v>74</v>
      </c>
      <c r="I4733" s="2" t="s">
        <v>75</v>
      </c>
      <c r="J4733" s="2" t="s">
        <v>76</v>
      </c>
      <c r="K4733" s="2" t="s">
        <v>77</v>
      </c>
      <c r="L4733" s="2" t="s">
        <v>97</v>
      </c>
      <c r="M4733" s="2" t="s">
        <v>98</v>
      </c>
      <c r="N4733" s="2" t="s">
        <v>2203</v>
      </c>
      <c r="O4733" s="2" t="s">
        <v>100</v>
      </c>
      <c r="P4733" s="2" t="str">
        <f>"2170583247                    "</f>
        <v xml:space="preserve">2170583247                    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0</v>
      </c>
      <c r="Z4733" s="2">
        <v>0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4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0</v>
      </c>
      <c r="AU4733" s="2">
        <v>0</v>
      </c>
      <c r="AV4733" s="2">
        <v>0</v>
      </c>
      <c r="AW4733" s="2">
        <v>0</v>
      </c>
      <c r="AX4733" s="2">
        <v>0</v>
      </c>
      <c r="AY4733" s="2">
        <v>0</v>
      </c>
      <c r="AZ4733" s="2">
        <v>0</v>
      </c>
      <c r="BA4733" s="2">
        <v>0</v>
      </c>
      <c r="BB4733" s="2">
        <v>0</v>
      </c>
      <c r="BC4733" s="2">
        <v>0</v>
      </c>
      <c r="BD4733" s="2">
        <v>0</v>
      </c>
      <c r="BE4733" s="2">
        <v>0</v>
      </c>
      <c r="BF4733" s="2">
        <v>0</v>
      </c>
      <c r="BG4733" s="2">
        <v>0</v>
      </c>
      <c r="BH4733" s="2">
        <v>1</v>
      </c>
      <c r="BI4733" s="2">
        <v>1</v>
      </c>
      <c r="BJ4733" s="2">
        <v>0.2</v>
      </c>
      <c r="BK4733" s="2">
        <v>1</v>
      </c>
      <c r="BL4733" s="2">
        <v>41.44</v>
      </c>
      <c r="BM4733" s="2">
        <v>5.8</v>
      </c>
      <c r="BN4733" s="2">
        <v>47.24</v>
      </c>
      <c r="BO4733" s="2">
        <v>47.24</v>
      </c>
      <c r="BP4733" s="2"/>
      <c r="BQ4733" s="2" t="s">
        <v>4059</v>
      </c>
      <c r="BR4733" s="2" t="s">
        <v>84</v>
      </c>
      <c r="BS4733" s="3">
        <v>42954</v>
      </c>
      <c r="BT4733" s="4">
        <v>0.35416666666666669</v>
      </c>
      <c r="BU4733" s="2" t="s">
        <v>3737</v>
      </c>
      <c r="BV4733" s="2" t="s">
        <v>95</v>
      </c>
      <c r="BW4733" s="2"/>
      <c r="BX4733" s="2"/>
      <c r="BY4733" s="2">
        <v>1200</v>
      </c>
      <c r="BZ4733" s="2"/>
      <c r="CA4733" s="2" t="s">
        <v>294</v>
      </c>
      <c r="CB4733" s="2"/>
      <c r="CC4733" s="2" t="s">
        <v>98</v>
      </c>
      <c r="CD4733" s="2">
        <v>6001</v>
      </c>
      <c r="CE4733" s="2" t="s">
        <v>104</v>
      </c>
      <c r="CF4733" s="5">
        <v>42955</v>
      </c>
      <c r="CG4733" s="2"/>
      <c r="CH4733" s="2"/>
      <c r="CI4733" s="2">
        <v>1</v>
      </c>
      <c r="CJ4733" s="2">
        <v>1</v>
      </c>
      <c r="CK4733" s="2">
        <v>21</v>
      </c>
      <c r="CL4733" s="2" t="s">
        <v>86</v>
      </c>
      <c r="CM4733" s="2"/>
    </row>
    <row r="4734" spans="1:91">
      <c r="A4734" s="2" t="s">
        <v>71</v>
      </c>
      <c r="B4734" s="2" t="s">
        <v>72</v>
      </c>
      <c r="C4734" s="2" t="s">
        <v>73</v>
      </c>
      <c r="D4734" s="2"/>
      <c r="E4734" s="2" t="str">
        <f>"FES1162567064"</f>
        <v>FES1162567064</v>
      </c>
      <c r="F4734" s="3">
        <v>42951</v>
      </c>
      <c r="G4734" s="2">
        <v>201802</v>
      </c>
      <c r="H4734" s="2" t="s">
        <v>74</v>
      </c>
      <c r="I4734" s="2" t="s">
        <v>75</v>
      </c>
      <c r="J4734" s="2" t="s">
        <v>76</v>
      </c>
      <c r="K4734" s="2" t="s">
        <v>77</v>
      </c>
      <c r="L4734" s="2" t="s">
        <v>97</v>
      </c>
      <c r="M4734" s="2" t="s">
        <v>98</v>
      </c>
      <c r="N4734" s="2" t="s">
        <v>214</v>
      </c>
      <c r="O4734" s="2" t="s">
        <v>100</v>
      </c>
      <c r="P4734" s="2" t="str">
        <f>"2170583327                    "</f>
        <v xml:space="preserve">2170583327                    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0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4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0</v>
      </c>
      <c r="AU4734" s="2">
        <v>0</v>
      </c>
      <c r="AV4734" s="2">
        <v>0</v>
      </c>
      <c r="AW4734" s="2">
        <v>0</v>
      </c>
      <c r="AX4734" s="2">
        <v>0</v>
      </c>
      <c r="AY4734" s="2">
        <v>0</v>
      </c>
      <c r="AZ4734" s="2">
        <v>0</v>
      </c>
      <c r="BA4734" s="2">
        <v>0</v>
      </c>
      <c r="BB4734" s="2">
        <v>0</v>
      </c>
      <c r="BC4734" s="2">
        <v>0</v>
      </c>
      <c r="BD4734" s="2">
        <v>0</v>
      </c>
      <c r="BE4734" s="2">
        <v>0</v>
      </c>
      <c r="BF4734" s="2">
        <v>0</v>
      </c>
      <c r="BG4734" s="2">
        <v>0</v>
      </c>
      <c r="BH4734" s="2">
        <v>1</v>
      </c>
      <c r="BI4734" s="2">
        <v>1</v>
      </c>
      <c r="BJ4734" s="2">
        <v>0.2</v>
      </c>
      <c r="BK4734" s="2">
        <v>1</v>
      </c>
      <c r="BL4734" s="2">
        <v>41.44</v>
      </c>
      <c r="BM4734" s="2">
        <v>5.8</v>
      </c>
      <c r="BN4734" s="2">
        <v>47.24</v>
      </c>
      <c r="BO4734" s="2">
        <v>47.24</v>
      </c>
      <c r="BP4734" s="2"/>
      <c r="BQ4734" s="2" t="s">
        <v>3632</v>
      </c>
      <c r="BR4734" s="2" t="s">
        <v>84</v>
      </c>
      <c r="BS4734" s="3">
        <v>42954</v>
      </c>
      <c r="BT4734" s="4">
        <v>0.3263888888888889</v>
      </c>
      <c r="BU4734" s="2" t="s">
        <v>4192</v>
      </c>
      <c r="BV4734" s="2" t="s">
        <v>95</v>
      </c>
      <c r="BW4734" s="2"/>
      <c r="BX4734" s="2"/>
      <c r="BY4734" s="2">
        <v>1200</v>
      </c>
      <c r="BZ4734" s="2"/>
      <c r="CA4734" s="2"/>
      <c r="CB4734" s="2"/>
      <c r="CC4734" s="2" t="s">
        <v>98</v>
      </c>
      <c r="CD4734" s="2">
        <v>6001</v>
      </c>
      <c r="CE4734" s="2" t="s">
        <v>104</v>
      </c>
      <c r="CF4734" s="5">
        <v>42955</v>
      </c>
      <c r="CG4734" s="2"/>
      <c r="CH4734" s="2"/>
      <c r="CI4734" s="2">
        <v>1</v>
      </c>
      <c r="CJ4734" s="2">
        <v>1</v>
      </c>
      <c r="CK4734" s="2">
        <v>21</v>
      </c>
      <c r="CL4734" s="2" t="s">
        <v>86</v>
      </c>
      <c r="CM4734" s="2"/>
    </row>
    <row r="4735" spans="1:91">
      <c r="A4735" s="2" t="s">
        <v>71</v>
      </c>
      <c r="B4735" s="2" t="s">
        <v>72</v>
      </c>
      <c r="C4735" s="2" t="s">
        <v>73</v>
      </c>
      <c r="D4735" s="2"/>
      <c r="E4735" s="2" t="str">
        <f>"FES1162567169"</f>
        <v>FES1162567169</v>
      </c>
      <c r="F4735" s="3">
        <v>42951</v>
      </c>
      <c r="G4735" s="2">
        <v>201802</v>
      </c>
      <c r="H4735" s="2" t="s">
        <v>74</v>
      </c>
      <c r="I4735" s="2" t="s">
        <v>75</v>
      </c>
      <c r="J4735" s="2" t="s">
        <v>76</v>
      </c>
      <c r="K4735" s="2" t="s">
        <v>77</v>
      </c>
      <c r="L4735" s="2" t="s">
        <v>97</v>
      </c>
      <c r="M4735" s="2" t="s">
        <v>98</v>
      </c>
      <c r="N4735" s="2" t="s">
        <v>248</v>
      </c>
      <c r="O4735" s="2" t="s">
        <v>100</v>
      </c>
      <c r="P4735" s="2" t="str">
        <f>"217058332                     "</f>
        <v xml:space="preserve">217058332                     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4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0</v>
      </c>
      <c r="AU4735" s="2">
        <v>0</v>
      </c>
      <c r="AV4735" s="2">
        <v>0</v>
      </c>
      <c r="AW4735" s="2">
        <v>0</v>
      </c>
      <c r="AX4735" s="2">
        <v>0</v>
      </c>
      <c r="AY4735" s="2">
        <v>0</v>
      </c>
      <c r="AZ4735" s="2">
        <v>0</v>
      </c>
      <c r="BA4735" s="2">
        <v>0</v>
      </c>
      <c r="BB4735" s="2">
        <v>0</v>
      </c>
      <c r="BC4735" s="2">
        <v>0</v>
      </c>
      <c r="BD4735" s="2">
        <v>0</v>
      </c>
      <c r="BE4735" s="2">
        <v>0</v>
      </c>
      <c r="BF4735" s="2">
        <v>0</v>
      </c>
      <c r="BG4735" s="2">
        <v>0</v>
      </c>
      <c r="BH4735" s="2">
        <v>1</v>
      </c>
      <c r="BI4735" s="2">
        <v>1</v>
      </c>
      <c r="BJ4735" s="2">
        <v>0.2</v>
      </c>
      <c r="BK4735" s="2">
        <v>1</v>
      </c>
      <c r="BL4735" s="2">
        <v>41.44</v>
      </c>
      <c r="BM4735" s="2">
        <v>5.8</v>
      </c>
      <c r="BN4735" s="2">
        <v>47.24</v>
      </c>
      <c r="BO4735" s="2">
        <v>47.24</v>
      </c>
      <c r="BP4735" s="2"/>
      <c r="BQ4735" s="2" t="s">
        <v>83</v>
      </c>
      <c r="BR4735" s="2" t="s">
        <v>84</v>
      </c>
      <c r="BS4735" s="3">
        <v>42954</v>
      </c>
      <c r="BT4735" s="4">
        <v>0.37847222222222227</v>
      </c>
      <c r="BU4735" s="2" t="s">
        <v>390</v>
      </c>
      <c r="BV4735" s="2" t="s">
        <v>95</v>
      </c>
      <c r="BW4735" s="2"/>
      <c r="BX4735" s="2"/>
      <c r="BY4735" s="2">
        <v>1200</v>
      </c>
      <c r="BZ4735" s="2"/>
      <c r="CA4735" s="2" t="s">
        <v>294</v>
      </c>
      <c r="CB4735" s="2"/>
      <c r="CC4735" s="2" t="s">
        <v>98</v>
      </c>
      <c r="CD4735" s="2">
        <v>6001</v>
      </c>
      <c r="CE4735" s="2" t="s">
        <v>104</v>
      </c>
      <c r="CF4735" s="5">
        <v>42954</v>
      </c>
      <c r="CG4735" s="2"/>
      <c r="CH4735" s="2"/>
      <c r="CI4735" s="2">
        <v>1</v>
      </c>
      <c r="CJ4735" s="2">
        <v>1</v>
      </c>
      <c r="CK4735" s="2">
        <v>21</v>
      </c>
      <c r="CL4735" s="2" t="s">
        <v>86</v>
      </c>
      <c r="CM4735" s="2"/>
    </row>
    <row r="4736" spans="1:91">
      <c r="A4736" s="2" t="s">
        <v>71</v>
      </c>
      <c r="B4736" s="2" t="s">
        <v>72</v>
      </c>
      <c r="C4736" s="2" t="s">
        <v>73</v>
      </c>
      <c r="D4736" s="2"/>
      <c r="E4736" s="2" t="str">
        <f>"FES1162567054"</f>
        <v>FES1162567054</v>
      </c>
      <c r="F4736" s="3">
        <v>42951</v>
      </c>
      <c r="G4736" s="2">
        <v>201802</v>
      </c>
      <c r="H4736" s="2" t="s">
        <v>74</v>
      </c>
      <c r="I4736" s="2" t="s">
        <v>75</v>
      </c>
      <c r="J4736" s="2" t="s">
        <v>76</v>
      </c>
      <c r="K4736" s="2" t="s">
        <v>77</v>
      </c>
      <c r="L4736" s="2" t="s">
        <v>97</v>
      </c>
      <c r="M4736" s="2" t="s">
        <v>98</v>
      </c>
      <c r="N4736" s="2" t="s">
        <v>119</v>
      </c>
      <c r="O4736" s="2" t="s">
        <v>100</v>
      </c>
      <c r="P4736" s="2" t="str">
        <f>"2170583309                    "</f>
        <v xml:space="preserve">2170583309                    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4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0</v>
      </c>
      <c r="AU4736" s="2">
        <v>0</v>
      </c>
      <c r="AV4736" s="2">
        <v>0</v>
      </c>
      <c r="AW4736" s="2">
        <v>0</v>
      </c>
      <c r="AX4736" s="2">
        <v>0</v>
      </c>
      <c r="AY4736" s="2">
        <v>0</v>
      </c>
      <c r="AZ4736" s="2">
        <v>0</v>
      </c>
      <c r="BA4736" s="2">
        <v>0</v>
      </c>
      <c r="BB4736" s="2">
        <v>0</v>
      </c>
      <c r="BC4736" s="2">
        <v>0</v>
      </c>
      <c r="BD4736" s="2">
        <v>0</v>
      </c>
      <c r="BE4736" s="2">
        <v>0</v>
      </c>
      <c r="BF4736" s="2">
        <v>0</v>
      </c>
      <c r="BG4736" s="2">
        <v>0</v>
      </c>
      <c r="BH4736" s="2">
        <v>1</v>
      </c>
      <c r="BI4736" s="2">
        <v>1</v>
      </c>
      <c r="BJ4736" s="2">
        <v>0.2</v>
      </c>
      <c r="BK4736" s="2">
        <v>1</v>
      </c>
      <c r="BL4736" s="2">
        <v>41.44</v>
      </c>
      <c r="BM4736" s="2">
        <v>5.8</v>
      </c>
      <c r="BN4736" s="2">
        <v>47.24</v>
      </c>
      <c r="BO4736" s="2">
        <v>47.24</v>
      </c>
      <c r="BP4736" s="2"/>
      <c r="BQ4736" s="2" t="s">
        <v>108</v>
      </c>
      <c r="BR4736" s="2" t="s">
        <v>84</v>
      </c>
      <c r="BS4736" s="3">
        <v>42954</v>
      </c>
      <c r="BT4736" s="4">
        <v>0.3354166666666667</v>
      </c>
      <c r="BU4736" s="2" t="s">
        <v>1554</v>
      </c>
      <c r="BV4736" s="2" t="s">
        <v>95</v>
      </c>
      <c r="BW4736" s="2"/>
      <c r="BX4736" s="2"/>
      <c r="BY4736" s="2">
        <v>1200</v>
      </c>
      <c r="BZ4736" s="2"/>
      <c r="CA4736" s="2" t="s">
        <v>213</v>
      </c>
      <c r="CB4736" s="2"/>
      <c r="CC4736" s="2" t="s">
        <v>98</v>
      </c>
      <c r="CD4736" s="2">
        <v>6001</v>
      </c>
      <c r="CE4736" s="2" t="s">
        <v>104</v>
      </c>
      <c r="CF4736" s="5">
        <v>42955</v>
      </c>
      <c r="CG4736" s="2"/>
      <c r="CH4736" s="2"/>
      <c r="CI4736" s="2">
        <v>1</v>
      </c>
      <c r="CJ4736" s="2">
        <v>1</v>
      </c>
      <c r="CK4736" s="2">
        <v>21</v>
      </c>
      <c r="CL4736" s="2" t="s">
        <v>86</v>
      </c>
      <c r="CM4736" s="2"/>
    </row>
    <row r="4737" spans="1:91">
      <c r="A4737" s="2" t="s">
        <v>71</v>
      </c>
      <c r="B4737" s="2" t="s">
        <v>72</v>
      </c>
      <c r="C4737" s="2" t="s">
        <v>73</v>
      </c>
      <c r="D4737" s="2"/>
      <c r="E4737" s="2" t="str">
        <f>"FES1162567226"</f>
        <v>FES1162567226</v>
      </c>
      <c r="F4737" s="3">
        <v>42951</v>
      </c>
      <c r="G4737" s="2">
        <v>201802</v>
      </c>
      <c r="H4737" s="2" t="s">
        <v>74</v>
      </c>
      <c r="I4737" s="2" t="s">
        <v>75</v>
      </c>
      <c r="J4737" s="2" t="s">
        <v>76</v>
      </c>
      <c r="K4737" s="2" t="s">
        <v>77</v>
      </c>
      <c r="L4737" s="2" t="s">
        <v>244</v>
      </c>
      <c r="M4737" s="2" t="s">
        <v>245</v>
      </c>
      <c r="N4737" s="2" t="s">
        <v>246</v>
      </c>
      <c r="O4737" s="2" t="s">
        <v>100</v>
      </c>
      <c r="P4737" s="2" t="str">
        <f>"2170583383                    "</f>
        <v xml:space="preserve">2170583383                    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3.13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0</v>
      </c>
      <c r="AU4737" s="2">
        <v>0</v>
      </c>
      <c r="AV4737" s="2">
        <v>0</v>
      </c>
      <c r="AW4737" s="2">
        <v>0</v>
      </c>
      <c r="AX4737" s="2">
        <v>0</v>
      </c>
      <c r="AY4737" s="2">
        <v>0</v>
      </c>
      <c r="AZ4737" s="2">
        <v>0</v>
      </c>
      <c r="BA4737" s="2">
        <v>0</v>
      </c>
      <c r="BB4737" s="2">
        <v>0</v>
      </c>
      <c r="BC4737" s="2">
        <v>0</v>
      </c>
      <c r="BD4737" s="2">
        <v>0</v>
      </c>
      <c r="BE4737" s="2">
        <v>0</v>
      </c>
      <c r="BF4737" s="2">
        <v>0</v>
      </c>
      <c r="BG4737" s="2">
        <v>0</v>
      </c>
      <c r="BH4737" s="2">
        <v>1</v>
      </c>
      <c r="BI4737" s="2">
        <v>1</v>
      </c>
      <c r="BJ4737" s="2">
        <v>0.2</v>
      </c>
      <c r="BK4737" s="2">
        <v>1</v>
      </c>
      <c r="BL4737" s="2">
        <v>32.380000000000003</v>
      </c>
      <c r="BM4737" s="2">
        <v>4.53</v>
      </c>
      <c r="BN4737" s="2">
        <v>36.909999999999997</v>
      </c>
      <c r="BO4737" s="2">
        <v>36.909999999999997</v>
      </c>
      <c r="BP4737" s="2"/>
      <c r="BQ4737" s="2" t="s">
        <v>209</v>
      </c>
      <c r="BR4737" s="2" t="s">
        <v>84</v>
      </c>
      <c r="BS4737" s="3">
        <v>42954</v>
      </c>
      <c r="BT4737" s="4">
        <v>0.44791666666666669</v>
      </c>
      <c r="BU4737" s="2" t="s">
        <v>2623</v>
      </c>
      <c r="BV4737" s="2" t="s">
        <v>95</v>
      </c>
      <c r="BW4737" s="2"/>
      <c r="BX4737" s="2"/>
      <c r="BY4737" s="2">
        <v>1200</v>
      </c>
      <c r="BZ4737" s="2"/>
      <c r="CA4737" s="2"/>
      <c r="CB4737" s="2"/>
      <c r="CC4737" s="2" t="s">
        <v>245</v>
      </c>
      <c r="CD4737" s="2">
        <v>1459</v>
      </c>
      <c r="CE4737" s="2" t="s">
        <v>104</v>
      </c>
      <c r="CF4737" s="5">
        <v>42955</v>
      </c>
      <c r="CG4737" s="2"/>
      <c r="CH4737" s="2"/>
      <c r="CI4737" s="2">
        <v>1</v>
      </c>
      <c r="CJ4737" s="2">
        <v>1</v>
      </c>
      <c r="CK4737" s="2">
        <v>22</v>
      </c>
      <c r="CL4737" s="2" t="s">
        <v>86</v>
      </c>
      <c r="CM4737" s="2"/>
    </row>
    <row r="4738" spans="1:91">
      <c r="A4738" s="2" t="s">
        <v>71</v>
      </c>
      <c r="B4738" s="2" t="s">
        <v>72</v>
      </c>
      <c r="C4738" s="2" t="s">
        <v>73</v>
      </c>
      <c r="D4738" s="2"/>
      <c r="E4738" s="2" t="str">
        <f>"FES1162567176"</f>
        <v>FES1162567176</v>
      </c>
      <c r="F4738" s="3">
        <v>42951</v>
      </c>
      <c r="G4738" s="2">
        <v>201802</v>
      </c>
      <c r="H4738" s="2" t="s">
        <v>74</v>
      </c>
      <c r="I4738" s="2" t="s">
        <v>75</v>
      </c>
      <c r="J4738" s="2" t="s">
        <v>76</v>
      </c>
      <c r="K4738" s="2" t="s">
        <v>77</v>
      </c>
      <c r="L4738" s="2" t="s">
        <v>306</v>
      </c>
      <c r="M4738" s="2" t="s">
        <v>307</v>
      </c>
      <c r="N4738" s="2" t="s">
        <v>370</v>
      </c>
      <c r="O4738" s="2" t="s">
        <v>100</v>
      </c>
      <c r="P4738" s="2" t="str">
        <f>"2170580814                    "</f>
        <v xml:space="preserve">2170580814                    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4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0</v>
      </c>
      <c r="AU4738" s="2">
        <v>0</v>
      </c>
      <c r="AV4738" s="2">
        <v>0</v>
      </c>
      <c r="AW4738" s="2">
        <v>0</v>
      </c>
      <c r="AX4738" s="2">
        <v>0</v>
      </c>
      <c r="AY4738" s="2">
        <v>0</v>
      </c>
      <c r="AZ4738" s="2">
        <v>0</v>
      </c>
      <c r="BA4738" s="2">
        <v>0</v>
      </c>
      <c r="BB4738" s="2">
        <v>0</v>
      </c>
      <c r="BC4738" s="2">
        <v>0</v>
      </c>
      <c r="BD4738" s="2">
        <v>0</v>
      </c>
      <c r="BE4738" s="2">
        <v>0</v>
      </c>
      <c r="BF4738" s="2">
        <v>0</v>
      </c>
      <c r="BG4738" s="2">
        <v>0</v>
      </c>
      <c r="BH4738" s="2">
        <v>1</v>
      </c>
      <c r="BI4738" s="2">
        <v>1</v>
      </c>
      <c r="BJ4738" s="2">
        <v>0.2</v>
      </c>
      <c r="BK4738" s="2">
        <v>1</v>
      </c>
      <c r="BL4738" s="2">
        <v>41.44</v>
      </c>
      <c r="BM4738" s="2">
        <v>5.8</v>
      </c>
      <c r="BN4738" s="2">
        <v>47.24</v>
      </c>
      <c r="BO4738" s="2">
        <v>47.24</v>
      </c>
      <c r="BP4738" s="2"/>
      <c r="BQ4738" s="2" t="s">
        <v>83</v>
      </c>
      <c r="BR4738" s="2" t="s">
        <v>84</v>
      </c>
      <c r="BS4738" s="3">
        <v>42954</v>
      </c>
      <c r="BT4738" s="4">
        <v>0.52430555555555558</v>
      </c>
      <c r="BU4738" s="2" t="s">
        <v>3695</v>
      </c>
      <c r="BV4738" s="2" t="s">
        <v>86</v>
      </c>
      <c r="BW4738" s="2"/>
      <c r="BX4738" s="2"/>
      <c r="BY4738" s="2">
        <v>1200</v>
      </c>
      <c r="BZ4738" s="2"/>
      <c r="CA4738" s="2"/>
      <c r="CB4738" s="2"/>
      <c r="CC4738" s="2" t="s">
        <v>307</v>
      </c>
      <c r="CD4738" s="2">
        <v>1873</v>
      </c>
      <c r="CE4738" s="2" t="s">
        <v>104</v>
      </c>
      <c r="CF4738" s="5">
        <v>42957</v>
      </c>
      <c r="CG4738" s="2"/>
      <c r="CH4738" s="2"/>
      <c r="CI4738" s="2">
        <v>1</v>
      </c>
      <c r="CJ4738" s="2">
        <v>1</v>
      </c>
      <c r="CK4738" s="2">
        <v>21</v>
      </c>
      <c r="CL4738" s="2" t="s">
        <v>86</v>
      </c>
      <c r="CM4738" s="2"/>
    </row>
    <row r="4739" spans="1:91">
      <c r="A4739" s="2" t="s">
        <v>71</v>
      </c>
      <c r="B4739" s="2" t="s">
        <v>72</v>
      </c>
      <c r="C4739" s="2" t="s">
        <v>73</v>
      </c>
      <c r="D4739" s="2"/>
      <c r="E4739" s="2" t="str">
        <f>"FES1162567258"</f>
        <v>FES1162567258</v>
      </c>
      <c r="F4739" s="3">
        <v>42951</v>
      </c>
      <c r="G4739" s="2">
        <v>201802</v>
      </c>
      <c r="H4739" s="2" t="s">
        <v>74</v>
      </c>
      <c r="I4739" s="2" t="s">
        <v>75</v>
      </c>
      <c r="J4739" s="2" t="s">
        <v>76</v>
      </c>
      <c r="K4739" s="2" t="s">
        <v>77</v>
      </c>
      <c r="L4739" s="2" t="s">
        <v>539</v>
      </c>
      <c r="M4739" s="2" t="s">
        <v>540</v>
      </c>
      <c r="N4739" s="2" t="s">
        <v>1740</v>
      </c>
      <c r="O4739" s="2" t="s">
        <v>100</v>
      </c>
      <c r="P4739" s="2" t="str">
        <f>"2170583409                    "</f>
        <v xml:space="preserve">2170583409                    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0</v>
      </c>
      <c r="Y4739" s="2">
        <v>0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3.13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0</v>
      </c>
      <c r="AU4739" s="2">
        <v>0</v>
      </c>
      <c r="AV4739" s="2">
        <v>0</v>
      </c>
      <c r="AW4739" s="2">
        <v>0</v>
      </c>
      <c r="AX4739" s="2">
        <v>0</v>
      </c>
      <c r="AY4739" s="2">
        <v>0</v>
      </c>
      <c r="AZ4739" s="2">
        <v>0</v>
      </c>
      <c r="BA4739" s="2">
        <v>0</v>
      </c>
      <c r="BB4739" s="2">
        <v>0</v>
      </c>
      <c r="BC4739" s="2">
        <v>0</v>
      </c>
      <c r="BD4739" s="2">
        <v>0</v>
      </c>
      <c r="BE4739" s="2">
        <v>0</v>
      </c>
      <c r="BF4739" s="2">
        <v>0</v>
      </c>
      <c r="BG4739" s="2">
        <v>0</v>
      </c>
      <c r="BH4739" s="2">
        <v>1</v>
      </c>
      <c r="BI4739" s="2">
        <v>1</v>
      </c>
      <c r="BJ4739" s="2">
        <v>0.2</v>
      </c>
      <c r="BK4739" s="2">
        <v>1</v>
      </c>
      <c r="BL4739" s="2">
        <v>32.380000000000003</v>
      </c>
      <c r="BM4739" s="2">
        <v>4.53</v>
      </c>
      <c r="BN4739" s="2">
        <v>36.909999999999997</v>
      </c>
      <c r="BO4739" s="2">
        <v>36.909999999999997</v>
      </c>
      <c r="BP4739" s="2"/>
      <c r="BQ4739" s="2" t="s">
        <v>3656</v>
      </c>
      <c r="BR4739" s="2" t="s">
        <v>84</v>
      </c>
      <c r="BS4739" s="3">
        <v>42954</v>
      </c>
      <c r="BT4739" s="4">
        <v>0.5</v>
      </c>
      <c r="BU4739" s="2" t="s">
        <v>3358</v>
      </c>
      <c r="BV4739" s="2" t="s">
        <v>95</v>
      </c>
      <c r="BW4739" s="2"/>
      <c r="BX4739" s="2"/>
      <c r="BY4739" s="2">
        <v>1200</v>
      </c>
      <c r="BZ4739" s="2"/>
      <c r="CA4739" s="2"/>
      <c r="CB4739" s="2"/>
      <c r="CC4739" s="2" t="s">
        <v>540</v>
      </c>
      <c r="CD4739" s="2">
        <v>2163</v>
      </c>
      <c r="CE4739" s="2" t="s">
        <v>104</v>
      </c>
      <c r="CF4739" s="5">
        <v>42955</v>
      </c>
      <c r="CG4739" s="2"/>
      <c r="CH4739" s="2"/>
      <c r="CI4739" s="2">
        <v>1</v>
      </c>
      <c r="CJ4739" s="2">
        <v>1</v>
      </c>
      <c r="CK4739" s="2">
        <v>22</v>
      </c>
      <c r="CL4739" s="2" t="s">
        <v>86</v>
      </c>
      <c r="CM4739" s="2"/>
    </row>
    <row r="4740" spans="1:91">
      <c r="A4740" s="2" t="s">
        <v>71</v>
      </c>
      <c r="B4740" s="2" t="s">
        <v>72</v>
      </c>
      <c r="C4740" s="2" t="s">
        <v>73</v>
      </c>
      <c r="D4740" s="2"/>
      <c r="E4740" s="2" t="str">
        <f>"FES1162567003"</f>
        <v>FES1162567003</v>
      </c>
      <c r="F4740" s="3">
        <v>42951</v>
      </c>
      <c r="G4740" s="2">
        <v>201802</v>
      </c>
      <c r="H4740" s="2" t="s">
        <v>74</v>
      </c>
      <c r="I4740" s="2" t="s">
        <v>75</v>
      </c>
      <c r="J4740" s="2" t="s">
        <v>76</v>
      </c>
      <c r="K4740" s="2" t="s">
        <v>77</v>
      </c>
      <c r="L4740" s="2" t="s">
        <v>244</v>
      </c>
      <c r="M4740" s="2" t="s">
        <v>245</v>
      </c>
      <c r="N4740" s="2" t="s">
        <v>246</v>
      </c>
      <c r="O4740" s="2" t="s">
        <v>100</v>
      </c>
      <c r="P4740" s="2" t="str">
        <f>"2170578778                    "</f>
        <v xml:space="preserve">2170578778                    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3.13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0</v>
      </c>
      <c r="AU4740" s="2">
        <v>0</v>
      </c>
      <c r="AV4740" s="2">
        <v>0</v>
      </c>
      <c r="AW4740" s="2">
        <v>0</v>
      </c>
      <c r="AX4740" s="2">
        <v>0</v>
      </c>
      <c r="AY4740" s="2">
        <v>0</v>
      </c>
      <c r="AZ4740" s="2">
        <v>0</v>
      </c>
      <c r="BA4740" s="2">
        <v>0</v>
      </c>
      <c r="BB4740" s="2">
        <v>0</v>
      </c>
      <c r="BC4740" s="2">
        <v>0</v>
      </c>
      <c r="BD4740" s="2">
        <v>0</v>
      </c>
      <c r="BE4740" s="2">
        <v>0</v>
      </c>
      <c r="BF4740" s="2">
        <v>0</v>
      </c>
      <c r="BG4740" s="2">
        <v>0</v>
      </c>
      <c r="BH4740" s="2">
        <v>1</v>
      </c>
      <c r="BI4740" s="2">
        <v>1</v>
      </c>
      <c r="BJ4740" s="2">
        <v>0.2</v>
      </c>
      <c r="BK4740" s="2">
        <v>1</v>
      </c>
      <c r="BL4740" s="2">
        <v>32.380000000000003</v>
      </c>
      <c r="BM4740" s="2">
        <v>4.53</v>
      </c>
      <c r="BN4740" s="2">
        <v>36.909999999999997</v>
      </c>
      <c r="BO4740" s="2">
        <v>36.909999999999997</v>
      </c>
      <c r="BP4740" s="2"/>
      <c r="BQ4740" s="2" t="s">
        <v>209</v>
      </c>
      <c r="BR4740" s="2" t="s">
        <v>84</v>
      </c>
      <c r="BS4740" s="3">
        <v>42954</v>
      </c>
      <c r="BT4740" s="4">
        <v>0.44791666666666669</v>
      </c>
      <c r="BU4740" s="2" t="s">
        <v>2623</v>
      </c>
      <c r="BV4740" s="2" t="s">
        <v>95</v>
      </c>
      <c r="BW4740" s="2"/>
      <c r="BX4740" s="2"/>
      <c r="BY4740" s="2">
        <v>1200</v>
      </c>
      <c r="BZ4740" s="2"/>
      <c r="CA4740" s="2"/>
      <c r="CB4740" s="2"/>
      <c r="CC4740" s="2" t="s">
        <v>245</v>
      </c>
      <c r="CD4740" s="2">
        <v>1459</v>
      </c>
      <c r="CE4740" s="2" t="s">
        <v>104</v>
      </c>
      <c r="CF4740" s="5">
        <v>42955</v>
      </c>
      <c r="CG4740" s="2"/>
      <c r="CH4740" s="2"/>
      <c r="CI4740" s="2">
        <v>1</v>
      </c>
      <c r="CJ4740" s="2">
        <v>1</v>
      </c>
      <c r="CK4740" s="2">
        <v>22</v>
      </c>
      <c r="CL4740" s="2" t="s">
        <v>86</v>
      </c>
      <c r="CM4740" s="2"/>
    </row>
    <row r="4741" spans="1:91">
      <c r="A4741" s="2" t="s">
        <v>71</v>
      </c>
      <c r="B4741" s="2" t="s">
        <v>72</v>
      </c>
      <c r="C4741" s="2" t="s">
        <v>73</v>
      </c>
      <c r="D4741" s="2"/>
      <c r="E4741" s="2" t="str">
        <f>"FES1162566969"</f>
        <v>FES1162566969</v>
      </c>
      <c r="F4741" s="3">
        <v>42951</v>
      </c>
      <c r="G4741" s="2">
        <v>201802</v>
      </c>
      <c r="H4741" s="2" t="s">
        <v>74</v>
      </c>
      <c r="I4741" s="2" t="s">
        <v>75</v>
      </c>
      <c r="J4741" s="2" t="s">
        <v>76</v>
      </c>
      <c r="K4741" s="2" t="s">
        <v>77</v>
      </c>
      <c r="L4741" s="2" t="s">
        <v>170</v>
      </c>
      <c r="M4741" s="2" t="s">
        <v>171</v>
      </c>
      <c r="N4741" s="2" t="s">
        <v>730</v>
      </c>
      <c r="O4741" s="2" t="s">
        <v>100</v>
      </c>
      <c r="P4741" s="2" t="str">
        <f>"2170583223                    "</f>
        <v xml:space="preserve">2170583223                    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3.13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0</v>
      </c>
      <c r="AU4741" s="2">
        <v>0</v>
      </c>
      <c r="AV4741" s="2">
        <v>0</v>
      </c>
      <c r="AW4741" s="2">
        <v>0</v>
      </c>
      <c r="AX4741" s="2">
        <v>0</v>
      </c>
      <c r="AY4741" s="2">
        <v>0</v>
      </c>
      <c r="AZ4741" s="2">
        <v>0</v>
      </c>
      <c r="BA4741" s="2">
        <v>0</v>
      </c>
      <c r="BB4741" s="2">
        <v>0</v>
      </c>
      <c r="BC4741" s="2">
        <v>0</v>
      </c>
      <c r="BD4741" s="2">
        <v>0</v>
      </c>
      <c r="BE4741" s="2">
        <v>0</v>
      </c>
      <c r="BF4741" s="2">
        <v>0</v>
      </c>
      <c r="BG4741" s="2">
        <v>0</v>
      </c>
      <c r="BH4741" s="2">
        <v>1</v>
      </c>
      <c r="BI4741" s="2">
        <v>1</v>
      </c>
      <c r="BJ4741" s="2">
        <v>0.2</v>
      </c>
      <c r="BK4741" s="2">
        <v>1</v>
      </c>
      <c r="BL4741" s="2">
        <v>32.380000000000003</v>
      </c>
      <c r="BM4741" s="2">
        <v>4.53</v>
      </c>
      <c r="BN4741" s="2">
        <v>36.909999999999997</v>
      </c>
      <c r="BO4741" s="2">
        <v>36.909999999999997</v>
      </c>
      <c r="BP4741" s="2"/>
      <c r="BQ4741" s="2" t="s">
        <v>3722</v>
      </c>
      <c r="BR4741" s="2" t="s">
        <v>84</v>
      </c>
      <c r="BS4741" s="3">
        <v>42954</v>
      </c>
      <c r="BT4741" s="4">
        <v>0.4375</v>
      </c>
      <c r="BU4741" s="2" t="s">
        <v>4193</v>
      </c>
      <c r="BV4741" s="2" t="s">
        <v>95</v>
      </c>
      <c r="BW4741" s="2"/>
      <c r="BX4741" s="2"/>
      <c r="BY4741" s="2">
        <v>1200</v>
      </c>
      <c r="BZ4741" s="2"/>
      <c r="CA4741" s="2"/>
      <c r="CB4741" s="2"/>
      <c r="CC4741" s="2" t="s">
        <v>171</v>
      </c>
      <c r="CD4741" s="2">
        <v>1428</v>
      </c>
      <c r="CE4741" s="2" t="s">
        <v>104</v>
      </c>
      <c r="CF4741" s="5">
        <v>42955</v>
      </c>
      <c r="CG4741" s="2"/>
      <c r="CH4741" s="2"/>
      <c r="CI4741" s="2">
        <v>1</v>
      </c>
      <c r="CJ4741" s="2">
        <v>1</v>
      </c>
      <c r="CK4741" s="2">
        <v>22</v>
      </c>
      <c r="CL4741" s="2" t="s">
        <v>86</v>
      </c>
      <c r="CM4741" s="2"/>
    </row>
    <row r="4742" spans="1:91">
      <c r="A4742" s="2" t="s">
        <v>71</v>
      </c>
      <c r="B4742" s="2" t="s">
        <v>72</v>
      </c>
      <c r="C4742" s="2" t="s">
        <v>73</v>
      </c>
      <c r="D4742" s="2"/>
      <c r="E4742" s="2" t="str">
        <f>"FES1162566998"</f>
        <v>FES1162566998</v>
      </c>
      <c r="F4742" s="3">
        <v>42951</v>
      </c>
      <c r="G4742" s="2">
        <v>201802</v>
      </c>
      <c r="H4742" s="2" t="s">
        <v>74</v>
      </c>
      <c r="I4742" s="2" t="s">
        <v>75</v>
      </c>
      <c r="J4742" s="2" t="s">
        <v>76</v>
      </c>
      <c r="K4742" s="2" t="s">
        <v>77</v>
      </c>
      <c r="L4742" s="2" t="s">
        <v>216</v>
      </c>
      <c r="M4742" s="2" t="s">
        <v>217</v>
      </c>
      <c r="N4742" s="2" t="s">
        <v>2051</v>
      </c>
      <c r="O4742" s="2" t="s">
        <v>100</v>
      </c>
      <c r="P4742" s="2" t="str">
        <f>"2170582005                    "</f>
        <v xml:space="preserve">2170582005                    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3.13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0</v>
      </c>
      <c r="AU4742" s="2">
        <v>0</v>
      </c>
      <c r="AV4742" s="2">
        <v>0</v>
      </c>
      <c r="AW4742" s="2">
        <v>0</v>
      </c>
      <c r="AX4742" s="2">
        <v>0</v>
      </c>
      <c r="AY4742" s="2">
        <v>0</v>
      </c>
      <c r="AZ4742" s="2">
        <v>0</v>
      </c>
      <c r="BA4742" s="2">
        <v>0</v>
      </c>
      <c r="BB4742" s="2">
        <v>0</v>
      </c>
      <c r="BC4742" s="2">
        <v>0</v>
      </c>
      <c r="BD4742" s="2">
        <v>0</v>
      </c>
      <c r="BE4742" s="2">
        <v>0</v>
      </c>
      <c r="BF4742" s="2">
        <v>0</v>
      </c>
      <c r="BG4742" s="2">
        <v>0</v>
      </c>
      <c r="BH4742" s="2">
        <v>1</v>
      </c>
      <c r="BI4742" s="2">
        <v>1</v>
      </c>
      <c r="BJ4742" s="2">
        <v>0.2</v>
      </c>
      <c r="BK4742" s="2">
        <v>1</v>
      </c>
      <c r="BL4742" s="2">
        <v>32.380000000000003</v>
      </c>
      <c r="BM4742" s="2">
        <v>4.53</v>
      </c>
      <c r="BN4742" s="2">
        <v>36.909999999999997</v>
      </c>
      <c r="BO4742" s="2">
        <v>36.909999999999997</v>
      </c>
      <c r="BP4742" s="2"/>
      <c r="BQ4742" s="2"/>
      <c r="BR4742" s="2" t="s">
        <v>84</v>
      </c>
      <c r="BS4742" s="3">
        <v>42954</v>
      </c>
      <c r="BT4742" s="4">
        <v>0.42430555555555555</v>
      </c>
      <c r="BU4742" s="2" t="s">
        <v>4194</v>
      </c>
      <c r="BV4742" s="2" t="s">
        <v>95</v>
      </c>
      <c r="BW4742" s="2"/>
      <c r="BX4742" s="2"/>
      <c r="BY4742" s="2">
        <v>1200</v>
      </c>
      <c r="BZ4742" s="2"/>
      <c r="CA4742" s="2"/>
      <c r="CB4742" s="2"/>
      <c r="CC4742" s="2" t="s">
        <v>217</v>
      </c>
      <c r="CD4742" s="2">
        <v>1554</v>
      </c>
      <c r="CE4742" s="2" t="s">
        <v>104</v>
      </c>
      <c r="CF4742" s="5">
        <v>42955</v>
      </c>
      <c r="CG4742" s="2"/>
      <c r="CH4742" s="2"/>
      <c r="CI4742" s="2">
        <v>1</v>
      </c>
      <c r="CJ4742" s="2">
        <v>1</v>
      </c>
      <c r="CK4742" s="2">
        <v>22</v>
      </c>
      <c r="CL4742" s="2" t="s">
        <v>86</v>
      </c>
      <c r="CM4742" s="2"/>
    </row>
    <row r="4743" spans="1:91">
      <c r="A4743" s="2" t="s">
        <v>71</v>
      </c>
      <c r="B4743" s="2" t="s">
        <v>72</v>
      </c>
      <c r="C4743" s="2" t="s">
        <v>73</v>
      </c>
      <c r="D4743" s="2"/>
      <c r="E4743" s="2" t="str">
        <f>"FES1162566997"</f>
        <v>FES1162566997</v>
      </c>
      <c r="F4743" s="3">
        <v>42951</v>
      </c>
      <c r="G4743" s="2">
        <v>201802</v>
      </c>
      <c r="H4743" s="2" t="s">
        <v>74</v>
      </c>
      <c r="I4743" s="2" t="s">
        <v>75</v>
      </c>
      <c r="J4743" s="2" t="s">
        <v>76</v>
      </c>
      <c r="K4743" s="2" t="s">
        <v>77</v>
      </c>
      <c r="L4743" s="2" t="s">
        <v>244</v>
      </c>
      <c r="M4743" s="2" t="s">
        <v>245</v>
      </c>
      <c r="N4743" s="2" t="s">
        <v>246</v>
      </c>
      <c r="O4743" s="2" t="s">
        <v>100</v>
      </c>
      <c r="P4743" s="2" t="str">
        <f>"2170581801                    "</f>
        <v xml:space="preserve">2170581801                    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0</v>
      </c>
      <c r="Y4743" s="2">
        <v>0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3.13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0</v>
      </c>
      <c r="AU4743" s="2">
        <v>0</v>
      </c>
      <c r="AV4743" s="2">
        <v>0</v>
      </c>
      <c r="AW4743" s="2">
        <v>0</v>
      </c>
      <c r="AX4743" s="2">
        <v>0</v>
      </c>
      <c r="AY4743" s="2">
        <v>0</v>
      </c>
      <c r="AZ4743" s="2">
        <v>0</v>
      </c>
      <c r="BA4743" s="2">
        <v>0</v>
      </c>
      <c r="BB4743" s="2">
        <v>0</v>
      </c>
      <c r="BC4743" s="2">
        <v>0</v>
      </c>
      <c r="BD4743" s="2">
        <v>0</v>
      </c>
      <c r="BE4743" s="2">
        <v>0</v>
      </c>
      <c r="BF4743" s="2">
        <v>0</v>
      </c>
      <c r="BG4743" s="2">
        <v>0</v>
      </c>
      <c r="BH4743" s="2">
        <v>1</v>
      </c>
      <c r="BI4743" s="2">
        <v>1</v>
      </c>
      <c r="BJ4743" s="2">
        <v>0.2</v>
      </c>
      <c r="BK4743" s="2">
        <v>1</v>
      </c>
      <c r="BL4743" s="2">
        <v>32.380000000000003</v>
      </c>
      <c r="BM4743" s="2">
        <v>4.53</v>
      </c>
      <c r="BN4743" s="2">
        <v>36.909999999999997</v>
      </c>
      <c r="BO4743" s="2">
        <v>36.909999999999997</v>
      </c>
      <c r="BP4743" s="2"/>
      <c r="BQ4743" s="2" t="s">
        <v>209</v>
      </c>
      <c r="BR4743" s="2" t="s">
        <v>84</v>
      </c>
      <c r="BS4743" s="3">
        <v>42954</v>
      </c>
      <c r="BT4743" s="4">
        <v>0.44791666666666669</v>
      </c>
      <c r="BU4743" s="2" t="s">
        <v>2623</v>
      </c>
      <c r="BV4743" s="2" t="s">
        <v>95</v>
      </c>
      <c r="BW4743" s="2"/>
      <c r="BX4743" s="2"/>
      <c r="BY4743" s="2">
        <v>1200</v>
      </c>
      <c r="BZ4743" s="2"/>
      <c r="CA4743" s="2"/>
      <c r="CB4743" s="2"/>
      <c r="CC4743" s="2" t="s">
        <v>245</v>
      </c>
      <c r="CD4743" s="2">
        <v>1459</v>
      </c>
      <c r="CE4743" s="2" t="s">
        <v>104</v>
      </c>
      <c r="CF4743" s="5">
        <v>42955</v>
      </c>
      <c r="CG4743" s="2"/>
      <c r="CH4743" s="2"/>
      <c r="CI4743" s="2">
        <v>1</v>
      </c>
      <c r="CJ4743" s="2">
        <v>1</v>
      </c>
      <c r="CK4743" s="2">
        <v>22</v>
      </c>
      <c r="CL4743" s="2" t="s">
        <v>86</v>
      </c>
      <c r="CM4743" s="2"/>
    </row>
    <row r="4744" spans="1:91">
      <c r="A4744" s="2" t="s">
        <v>71</v>
      </c>
      <c r="B4744" s="2" t="s">
        <v>72</v>
      </c>
      <c r="C4744" s="2" t="s">
        <v>73</v>
      </c>
      <c r="D4744" s="2"/>
      <c r="E4744" s="2" t="str">
        <f>"FES1162567167"</f>
        <v>FES1162567167</v>
      </c>
      <c r="F4744" s="3">
        <v>42951</v>
      </c>
      <c r="G4744" s="2">
        <v>201802</v>
      </c>
      <c r="H4744" s="2" t="s">
        <v>74</v>
      </c>
      <c r="I4744" s="2" t="s">
        <v>75</v>
      </c>
      <c r="J4744" s="2" t="s">
        <v>76</v>
      </c>
      <c r="K4744" s="2" t="s">
        <v>77</v>
      </c>
      <c r="L4744" s="2" t="s">
        <v>216</v>
      </c>
      <c r="M4744" s="2" t="s">
        <v>217</v>
      </c>
      <c r="N4744" s="2" t="s">
        <v>351</v>
      </c>
      <c r="O4744" s="2" t="s">
        <v>100</v>
      </c>
      <c r="P4744" s="2" t="str">
        <f>"2170583330                    "</f>
        <v xml:space="preserve">2170583330                    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0</v>
      </c>
      <c r="Y4744" s="2">
        <v>0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3.13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0</v>
      </c>
      <c r="AU4744" s="2">
        <v>0</v>
      </c>
      <c r="AV4744" s="2">
        <v>0</v>
      </c>
      <c r="AW4744" s="2">
        <v>0</v>
      </c>
      <c r="AX4744" s="2">
        <v>0</v>
      </c>
      <c r="AY4744" s="2">
        <v>0</v>
      </c>
      <c r="AZ4744" s="2">
        <v>0</v>
      </c>
      <c r="BA4744" s="2">
        <v>0</v>
      </c>
      <c r="BB4744" s="2">
        <v>0</v>
      </c>
      <c r="BC4744" s="2">
        <v>0</v>
      </c>
      <c r="BD4744" s="2">
        <v>0</v>
      </c>
      <c r="BE4744" s="2">
        <v>0</v>
      </c>
      <c r="BF4744" s="2">
        <v>0</v>
      </c>
      <c r="BG4744" s="2">
        <v>0</v>
      </c>
      <c r="BH4744" s="2">
        <v>1</v>
      </c>
      <c r="BI4744" s="2">
        <v>1</v>
      </c>
      <c r="BJ4744" s="2">
        <v>0.2</v>
      </c>
      <c r="BK4744" s="2">
        <v>1</v>
      </c>
      <c r="BL4744" s="2">
        <v>32.380000000000003</v>
      </c>
      <c r="BM4744" s="2">
        <v>4.53</v>
      </c>
      <c r="BN4744" s="2">
        <v>36.909999999999997</v>
      </c>
      <c r="BO4744" s="2">
        <v>36.909999999999997</v>
      </c>
      <c r="BP4744" s="2"/>
      <c r="BQ4744" s="2"/>
      <c r="BR4744" s="2" t="s">
        <v>84</v>
      </c>
      <c r="BS4744" s="3">
        <v>42954</v>
      </c>
      <c r="BT4744" s="4">
        <v>0.3923611111111111</v>
      </c>
      <c r="BU4744" s="2" t="s">
        <v>330</v>
      </c>
      <c r="BV4744" s="2" t="s">
        <v>95</v>
      </c>
      <c r="BW4744" s="2"/>
      <c r="BX4744" s="2"/>
      <c r="BY4744" s="2">
        <v>1200</v>
      </c>
      <c r="BZ4744" s="2"/>
      <c r="CA4744" s="2"/>
      <c r="CB4744" s="2"/>
      <c r="CC4744" s="2" t="s">
        <v>217</v>
      </c>
      <c r="CD4744" s="2">
        <v>1451</v>
      </c>
      <c r="CE4744" s="2" t="s">
        <v>104</v>
      </c>
      <c r="CF4744" s="5">
        <v>42955</v>
      </c>
      <c r="CG4744" s="2"/>
      <c r="CH4744" s="2"/>
      <c r="CI4744" s="2">
        <v>1</v>
      </c>
      <c r="CJ4744" s="2">
        <v>1</v>
      </c>
      <c r="CK4744" s="2">
        <v>22</v>
      </c>
      <c r="CL4744" s="2" t="s">
        <v>86</v>
      </c>
      <c r="CM4744" s="2"/>
    </row>
    <row r="4745" spans="1:91">
      <c r="A4745" s="2" t="s">
        <v>71</v>
      </c>
      <c r="B4745" s="2" t="s">
        <v>72</v>
      </c>
      <c r="C4745" s="2" t="s">
        <v>73</v>
      </c>
      <c r="D4745" s="2"/>
      <c r="E4745" s="2" t="str">
        <f>"FES1162567261"</f>
        <v>FES1162567261</v>
      </c>
      <c r="F4745" s="3">
        <v>42951</v>
      </c>
      <c r="G4745" s="2">
        <v>201802</v>
      </c>
      <c r="H4745" s="2" t="s">
        <v>74</v>
      </c>
      <c r="I4745" s="2" t="s">
        <v>75</v>
      </c>
      <c r="J4745" s="2" t="s">
        <v>76</v>
      </c>
      <c r="K4745" s="2" t="s">
        <v>77</v>
      </c>
      <c r="L4745" s="2" t="s">
        <v>944</v>
      </c>
      <c r="M4745" s="2" t="s">
        <v>944</v>
      </c>
      <c r="N4745" s="2" t="s">
        <v>1096</v>
      </c>
      <c r="O4745" s="2" t="s">
        <v>100</v>
      </c>
      <c r="P4745" s="2" t="str">
        <f>"2170583414                    "</f>
        <v xml:space="preserve">2170583414                    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5.63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0</v>
      </c>
      <c r="AU4745" s="2">
        <v>0</v>
      </c>
      <c r="AV4745" s="2">
        <v>0</v>
      </c>
      <c r="AW4745" s="2">
        <v>0</v>
      </c>
      <c r="AX4745" s="2">
        <v>0</v>
      </c>
      <c r="AY4745" s="2">
        <v>0</v>
      </c>
      <c r="AZ4745" s="2">
        <v>0</v>
      </c>
      <c r="BA4745" s="2">
        <v>0</v>
      </c>
      <c r="BB4745" s="2">
        <v>0</v>
      </c>
      <c r="BC4745" s="2">
        <v>0</v>
      </c>
      <c r="BD4745" s="2">
        <v>0</v>
      </c>
      <c r="BE4745" s="2">
        <v>0</v>
      </c>
      <c r="BF4745" s="2">
        <v>0</v>
      </c>
      <c r="BG4745" s="2">
        <v>0</v>
      </c>
      <c r="BH4745" s="2">
        <v>1</v>
      </c>
      <c r="BI4745" s="2">
        <v>1</v>
      </c>
      <c r="BJ4745" s="2">
        <v>0.2</v>
      </c>
      <c r="BK4745" s="2">
        <v>1</v>
      </c>
      <c r="BL4745" s="2">
        <v>58.28</v>
      </c>
      <c r="BM4745" s="2">
        <v>8.16</v>
      </c>
      <c r="BN4745" s="2">
        <v>66.44</v>
      </c>
      <c r="BO4745" s="2">
        <v>66.44</v>
      </c>
      <c r="BP4745" s="2"/>
      <c r="BQ4745" s="2" t="s">
        <v>4195</v>
      </c>
      <c r="BR4745" s="2" t="s">
        <v>84</v>
      </c>
      <c r="BS4745" s="3">
        <v>42954</v>
      </c>
      <c r="BT4745" s="4">
        <v>0.41666666666666669</v>
      </c>
      <c r="BU4745" s="2" t="s">
        <v>1793</v>
      </c>
      <c r="BV4745" s="2" t="s">
        <v>95</v>
      </c>
      <c r="BW4745" s="2"/>
      <c r="BX4745" s="2"/>
      <c r="BY4745" s="2">
        <v>1200</v>
      </c>
      <c r="BZ4745" s="2"/>
      <c r="CA4745" s="2" t="s">
        <v>148</v>
      </c>
      <c r="CB4745" s="2"/>
      <c r="CC4745" s="2" t="s">
        <v>944</v>
      </c>
      <c r="CD4745" s="2">
        <v>1490</v>
      </c>
      <c r="CE4745" s="2" t="s">
        <v>104</v>
      </c>
      <c r="CF4745" s="5">
        <v>42955</v>
      </c>
      <c r="CG4745" s="2"/>
      <c r="CH4745" s="2"/>
      <c r="CI4745" s="2">
        <v>1</v>
      </c>
      <c r="CJ4745" s="2">
        <v>1</v>
      </c>
      <c r="CK4745" s="2">
        <v>24</v>
      </c>
      <c r="CL4745" s="2" t="s">
        <v>86</v>
      </c>
      <c r="CM4745" s="2"/>
    </row>
    <row r="4746" spans="1:91">
      <c r="A4746" s="2" t="s">
        <v>71</v>
      </c>
      <c r="B4746" s="2" t="s">
        <v>72</v>
      </c>
      <c r="C4746" s="2" t="s">
        <v>73</v>
      </c>
      <c r="D4746" s="2"/>
      <c r="E4746" s="2" t="str">
        <f>"FES1162566974"</f>
        <v>FES1162566974</v>
      </c>
      <c r="F4746" s="3">
        <v>42951</v>
      </c>
      <c r="G4746" s="2">
        <v>201802</v>
      </c>
      <c r="H4746" s="2" t="s">
        <v>74</v>
      </c>
      <c r="I4746" s="2" t="s">
        <v>75</v>
      </c>
      <c r="J4746" s="2" t="s">
        <v>76</v>
      </c>
      <c r="K4746" s="2" t="s">
        <v>77</v>
      </c>
      <c r="L4746" s="2" t="s">
        <v>1202</v>
      </c>
      <c r="M4746" s="2" t="s">
        <v>1203</v>
      </c>
      <c r="N4746" s="2" t="s">
        <v>2296</v>
      </c>
      <c r="O4746" s="2" t="s">
        <v>100</v>
      </c>
      <c r="P4746" s="2" t="str">
        <f>"2170583233                    "</f>
        <v xml:space="preserve">2170583233                    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0</v>
      </c>
      <c r="Y4746" s="2">
        <v>0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3.13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0</v>
      </c>
      <c r="AU4746" s="2">
        <v>0</v>
      </c>
      <c r="AV4746" s="2">
        <v>0</v>
      </c>
      <c r="AW4746" s="2">
        <v>0</v>
      </c>
      <c r="AX4746" s="2">
        <v>0</v>
      </c>
      <c r="AY4746" s="2">
        <v>0</v>
      </c>
      <c r="AZ4746" s="2">
        <v>0</v>
      </c>
      <c r="BA4746" s="2">
        <v>0</v>
      </c>
      <c r="BB4746" s="2">
        <v>0</v>
      </c>
      <c r="BC4746" s="2">
        <v>0</v>
      </c>
      <c r="BD4746" s="2">
        <v>0</v>
      </c>
      <c r="BE4746" s="2">
        <v>0</v>
      </c>
      <c r="BF4746" s="2">
        <v>0</v>
      </c>
      <c r="BG4746" s="2">
        <v>0</v>
      </c>
      <c r="BH4746" s="2">
        <v>1</v>
      </c>
      <c r="BI4746" s="2">
        <v>1</v>
      </c>
      <c r="BJ4746" s="2">
        <v>0.2</v>
      </c>
      <c r="BK4746" s="2">
        <v>1</v>
      </c>
      <c r="BL4746" s="2">
        <v>32.380000000000003</v>
      </c>
      <c r="BM4746" s="2">
        <v>4.53</v>
      </c>
      <c r="BN4746" s="2">
        <v>36.909999999999997</v>
      </c>
      <c r="BO4746" s="2">
        <v>36.909999999999997</v>
      </c>
      <c r="BP4746" s="2"/>
      <c r="BQ4746" s="2" t="s">
        <v>108</v>
      </c>
      <c r="BR4746" s="2" t="s">
        <v>84</v>
      </c>
      <c r="BS4746" s="3">
        <v>42955</v>
      </c>
      <c r="BT4746" s="4">
        <v>0.49305555555555558</v>
      </c>
      <c r="BU4746" s="2" t="s">
        <v>2782</v>
      </c>
      <c r="BV4746" s="2" t="s">
        <v>86</v>
      </c>
      <c r="BW4746" s="2" t="s">
        <v>110</v>
      </c>
      <c r="BX4746" s="2" t="s">
        <v>1150</v>
      </c>
      <c r="BY4746" s="2">
        <v>1200</v>
      </c>
      <c r="BZ4746" s="2"/>
      <c r="CA4746" s="2" t="s">
        <v>499</v>
      </c>
      <c r="CB4746" s="2"/>
      <c r="CC4746" s="2" t="s">
        <v>1203</v>
      </c>
      <c r="CD4746" s="2">
        <v>1501</v>
      </c>
      <c r="CE4746" s="2" t="s">
        <v>104</v>
      </c>
      <c r="CF4746" s="5">
        <v>42957</v>
      </c>
      <c r="CG4746" s="2"/>
      <c r="CH4746" s="2"/>
      <c r="CI4746" s="2">
        <v>1</v>
      </c>
      <c r="CJ4746" s="2">
        <v>2</v>
      </c>
      <c r="CK4746" s="2">
        <v>22</v>
      </c>
      <c r="CL4746" s="2" t="s">
        <v>86</v>
      </c>
      <c r="CM4746" s="2"/>
    </row>
    <row r="4747" spans="1:91">
      <c r="A4747" s="2" t="s">
        <v>71</v>
      </c>
      <c r="B4747" s="2" t="s">
        <v>72</v>
      </c>
      <c r="C4747" s="2" t="s">
        <v>73</v>
      </c>
      <c r="D4747" s="2"/>
      <c r="E4747" s="2" t="str">
        <f>"FES1162566992"</f>
        <v>FES1162566992</v>
      </c>
      <c r="F4747" s="3">
        <v>42951</v>
      </c>
      <c r="G4747" s="2">
        <v>201802</v>
      </c>
      <c r="H4747" s="2" t="s">
        <v>74</v>
      </c>
      <c r="I4747" s="2" t="s">
        <v>75</v>
      </c>
      <c r="J4747" s="2" t="s">
        <v>76</v>
      </c>
      <c r="K4747" s="2" t="s">
        <v>77</v>
      </c>
      <c r="L4747" s="2" t="s">
        <v>244</v>
      </c>
      <c r="M4747" s="2" t="s">
        <v>245</v>
      </c>
      <c r="N4747" s="2" t="s">
        <v>918</v>
      </c>
      <c r="O4747" s="2" t="s">
        <v>100</v>
      </c>
      <c r="P4747" s="2" t="str">
        <f>"2170581050                    "</f>
        <v xml:space="preserve">2170581050                    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3.13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0</v>
      </c>
      <c r="AU4747" s="2">
        <v>0</v>
      </c>
      <c r="AV4747" s="2">
        <v>0</v>
      </c>
      <c r="AW4747" s="2">
        <v>0</v>
      </c>
      <c r="AX4747" s="2">
        <v>0</v>
      </c>
      <c r="AY4747" s="2">
        <v>0</v>
      </c>
      <c r="AZ4747" s="2">
        <v>0</v>
      </c>
      <c r="BA4747" s="2">
        <v>0</v>
      </c>
      <c r="BB4747" s="2">
        <v>0</v>
      </c>
      <c r="BC4747" s="2">
        <v>0</v>
      </c>
      <c r="BD4747" s="2">
        <v>0</v>
      </c>
      <c r="BE4747" s="2">
        <v>0</v>
      </c>
      <c r="BF4747" s="2">
        <v>0</v>
      </c>
      <c r="BG4747" s="2">
        <v>0</v>
      </c>
      <c r="BH4747" s="2">
        <v>1</v>
      </c>
      <c r="BI4747" s="2">
        <v>1</v>
      </c>
      <c r="BJ4747" s="2">
        <v>0.2</v>
      </c>
      <c r="BK4747" s="2">
        <v>1</v>
      </c>
      <c r="BL4747" s="2">
        <v>32.380000000000003</v>
      </c>
      <c r="BM4747" s="2">
        <v>4.53</v>
      </c>
      <c r="BN4747" s="2">
        <v>36.909999999999997</v>
      </c>
      <c r="BO4747" s="2">
        <v>36.909999999999997</v>
      </c>
      <c r="BP4747" s="2"/>
      <c r="BQ4747" s="2" t="s">
        <v>3678</v>
      </c>
      <c r="BR4747" s="2" t="s">
        <v>84</v>
      </c>
      <c r="BS4747" s="3">
        <v>42954</v>
      </c>
      <c r="BT4747" s="4">
        <v>0.44791666666666669</v>
      </c>
      <c r="BU4747" s="2" t="s">
        <v>4196</v>
      </c>
      <c r="BV4747" s="2" t="s">
        <v>95</v>
      </c>
      <c r="BW4747" s="2"/>
      <c r="BX4747" s="2"/>
      <c r="BY4747" s="2">
        <v>1200</v>
      </c>
      <c r="BZ4747" s="2"/>
      <c r="CA4747" s="2"/>
      <c r="CB4747" s="2"/>
      <c r="CC4747" s="2" t="s">
        <v>245</v>
      </c>
      <c r="CD4747" s="2">
        <v>1459</v>
      </c>
      <c r="CE4747" s="2" t="s">
        <v>104</v>
      </c>
      <c r="CF4747" s="5">
        <v>42955</v>
      </c>
      <c r="CG4747" s="2"/>
      <c r="CH4747" s="2"/>
      <c r="CI4747" s="2">
        <v>1</v>
      </c>
      <c r="CJ4747" s="2">
        <v>1</v>
      </c>
      <c r="CK4747" s="2">
        <v>22</v>
      </c>
      <c r="CL4747" s="2" t="s">
        <v>86</v>
      </c>
      <c r="CM4747" s="2"/>
    </row>
    <row r="4748" spans="1:91">
      <c r="A4748" s="2" t="s">
        <v>71</v>
      </c>
      <c r="B4748" s="2" t="s">
        <v>72</v>
      </c>
      <c r="C4748" s="2" t="s">
        <v>73</v>
      </c>
      <c r="D4748" s="2"/>
      <c r="E4748" s="2" t="str">
        <f>"FES1162566991"</f>
        <v>FES1162566991</v>
      </c>
      <c r="F4748" s="3">
        <v>42951</v>
      </c>
      <c r="G4748" s="2">
        <v>201802</v>
      </c>
      <c r="H4748" s="2" t="s">
        <v>74</v>
      </c>
      <c r="I4748" s="2" t="s">
        <v>75</v>
      </c>
      <c r="J4748" s="2" t="s">
        <v>76</v>
      </c>
      <c r="K4748" s="2" t="s">
        <v>77</v>
      </c>
      <c r="L4748" s="2" t="s">
        <v>244</v>
      </c>
      <c r="M4748" s="2" t="s">
        <v>245</v>
      </c>
      <c r="N4748" s="2" t="s">
        <v>246</v>
      </c>
      <c r="O4748" s="2" t="s">
        <v>100</v>
      </c>
      <c r="P4748" s="2" t="str">
        <f>"2170580519                    "</f>
        <v xml:space="preserve">2170580519                    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3.13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0</v>
      </c>
      <c r="AU4748" s="2">
        <v>0</v>
      </c>
      <c r="AV4748" s="2">
        <v>0</v>
      </c>
      <c r="AW4748" s="2">
        <v>0</v>
      </c>
      <c r="AX4748" s="2">
        <v>0</v>
      </c>
      <c r="AY4748" s="2">
        <v>0</v>
      </c>
      <c r="AZ4748" s="2">
        <v>0</v>
      </c>
      <c r="BA4748" s="2">
        <v>0</v>
      </c>
      <c r="BB4748" s="2">
        <v>0</v>
      </c>
      <c r="BC4748" s="2">
        <v>0</v>
      </c>
      <c r="BD4748" s="2">
        <v>0</v>
      </c>
      <c r="BE4748" s="2">
        <v>0</v>
      </c>
      <c r="BF4748" s="2">
        <v>0</v>
      </c>
      <c r="BG4748" s="2">
        <v>0</v>
      </c>
      <c r="BH4748" s="2">
        <v>1</v>
      </c>
      <c r="BI4748" s="2">
        <v>1</v>
      </c>
      <c r="BJ4748" s="2">
        <v>0.2</v>
      </c>
      <c r="BK4748" s="2">
        <v>1</v>
      </c>
      <c r="BL4748" s="2">
        <v>32.380000000000003</v>
      </c>
      <c r="BM4748" s="2">
        <v>4.53</v>
      </c>
      <c r="BN4748" s="2">
        <v>36.909999999999997</v>
      </c>
      <c r="BO4748" s="2">
        <v>36.909999999999997</v>
      </c>
      <c r="BP4748" s="2"/>
      <c r="BQ4748" s="2" t="s">
        <v>209</v>
      </c>
      <c r="BR4748" s="2" t="s">
        <v>84</v>
      </c>
      <c r="BS4748" s="3">
        <v>42954</v>
      </c>
      <c r="BT4748" s="4">
        <v>0.44791666666666669</v>
      </c>
      <c r="BU4748" s="2" t="s">
        <v>2623</v>
      </c>
      <c r="BV4748" s="2" t="s">
        <v>95</v>
      </c>
      <c r="BW4748" s="2"/>
      <c r="BX4748" s="2"/>
      <c r="BY4748" s="2">
        <v>1200</v>
      </c>
      <c r="BZ4748" s="2"/>
      <c r="CA4748" s="2"/>
      <c r="CB4748" s="2"/>
      <c r="CC4748" s="2" t="s">
        <v>245</v>
      </c>
      <c r="CD4748" s="2">
        <v>1459</v>
      </c>
      <c r="CE4748" s="2" t="s">
        <v>104</v>
      </c>
      <c r="CF4748" s="5">
        <v>42955</v>
      </c>
      <c r="CG4748" s="2"/>
      <c r="CH4748" s="2"/>
      <c r="CI4748" s="2">
        <v>1</v>
      </c>
      <c r="CJ4748" s="2">
        <v>1</v>
      </c>
      <c r="CK4748" s="2">
        <v>22</v>
      </c>
      <c r="CL4748" s="2" t="s">
        <v>86</v>
      </c>
      <c r="CM4748" s="2"/>
    </row>
    <row r="4749" spans="1:91">
      <c r="A4749" s="2" t="s">
        <v>71</v>
      </c>
      <c r="B4749" s="2" t="s">
        <v>72</v>
      </c>
      <c r="C4749" s="2" t="s">
        <v>73</v>
      </c>
      <c r="D4749" s="2"/>
      <c r="E4749" s="2" t="str">
        <f>"FES1162567030"</f>
        <v>FES1162567030</v>
      </c>
      <c r="F4749" s="3">
        <v>42951</v>
      </c>
      <c r="G4749" s="2">
        <v>201802</v>
      </c>
      <c r="H4749" s="2" t="s">
        <v>74</v>
      </c>
      <c r="I4749" s="2" t="s">
        <v>75</v>
      </c>
      <c r="J4749" s="2" t="s">
        <v>76</v>
      </c>
      <c r="K4749" s="2" t="s">
        <v>77</v>
      </c>
      <c r="L4749" s="2" t="s">
        <v>97</v>
      </c>
      <c r="M4749" s="2" t="s">
        <v>98</v>
      </c>
      <c r="N4749" s="2" t="s">
        <v>2022</v>
      </c>
      <c r="O4749" s="2" t="s">
        <v>100</v>
      </c>
      <c r="P4749" s="2" t="str">
        <f>"2170583287                    "</f>
        <v xml:space="preserve">2170583287                    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0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12.01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0</v>
      </c>
      <c r="AU4749" s="2">
        <v>0</v>
      </c>
      <c r="AV4749" s="2">
        <v>0</v>
      </c>
      <c r="AW4749" s="2">
        <v>0</v>
      </c>
      <c r="AX4749" s="2">
        <v>0</v>
      </c>
      <c r="AY4749" s="2">
        <v>0</v>
      </c>
      <c r="AZ4749" s="2">
        <v>0</v>
      </c>
      <c r="BA4749" s="2">
        <v>0</v>
      </c>
      <c r="BB4749" s="2">
        <v>0</v>
      </c>
      <c r="BC4749" s="2">
        <v>0</v>
      </c>
      <c r="BD4749" s="2">
        <v>0</v>
      </c>
      <c r="BE4749" s="2">
        <v>0</v>
      </c>
      <c r="BF4749" s="2">
        <v>0</v>
      </c>
      <c r="BG4749" s="2">
        <v>0</v>
      </c>
      <c r="BH4749" s="2">
        <v>1</v>
      </c>
      <c r="BI4749" s="2">
        <v>6</v>
      </c>
      <c r="BJ4749" s="2">
        <v>3.6</v>
      </c>
      <c r="BK4749" s="2">
        <v>6</v>
      </c>
      <c r="BL4749" s="2">
        <v>124.33</v>
      </c>
      <c r="BM4749" s="2">
        <v>17.41</v>
      </c>
      <c r="BN4749" s="2">
        <v>141.74</v>
      </c>
      <c r="BO4749" s="2">
        <v>141.74</v>
      </c>
      <c r="BP4749" s="2"/>
      <c r="BQ4749" s="2" t="s">
        <v>365</v>
      </c>
      <c r="BR4749" s="2" t="s">
        <v>84</v>
      </c>
      <c r="BS4749" s="3">
        <v>42954</v>
      </c>
      <c r="BT4749" s="4">
        <v>0.38750000000000001</v>
      </c>
      <c r="BU4749" s="2" t="s">
        <v>4197</v>
      </c>
      <c r="BV4749" s="2" t="s">
        <v>95</v>
      </c>
      <c r="BW4749" s="2"/>
      <c r="BX4749" s="2"/>
      <c r="BY4749" s="2">
        <v>17880.91</v>
      </c>
      <c r="BZ4749" s="2"/>
      <c r="CA4749" s="2" t="s">
        <v>294</v>
      </c>
      <c r="CB4749" s="2"/>
      <c r="CC4749" s="2" t="s">
        <v>98</v>
      </c>
      <c r="CD4749" s="2">
        <v>6001</v>
      </c>
      <c r="CE4749" s="2" t="s">
        <v>89</v>
      </c>
      <c r="CF4749" s="5">
        <v>42954</v>
      </c>
      <c r="CG4749" s="2"/>
      <c r="CH4749" s="2"/>
      <c r="CI4749" s="2">
        <v>1</v>
      </c>
      <c r="CJ4749" s="2">
        <v>1</v>
      </c>
      <c r="CK4749" s="2">
        <v>21</v>
      </c>
      <c r="CL4749" s="2" t="s">
        <v>86</v>
      </c>
      <c r="CM4749" s="2"/>
    </row>
    <row r="4750" spans="1:91">
      <c r="A4750" s="2" t="s">
        <v>71</v>
      </c>
      <c r="B4750" s="2" t="s">
        <v>72</v>
      </c>
      <c r="C4750" s="2" t="s">
        <v>73</v>
      </c>
      <c r="D4750" s="2"/>
      <c r="E4750" s="2" t="str">
        <f>"FES1162567322"</f>
        <v>FES1162567322</v>
      </c>
      <c r="F4750" s="3">
        <v>42951</v>
      </c>
      <c r="G4750" s="2">
        <v>201802</v>
      </c>
      <c r="H4750" s="2" t="s">
        <v>74</v>
      </c>
      <c r="I4750" s="2" t="s">
        <v>75</v>
      </c>
      <c r="J4750" s="2" t="s">
        <v>76</v>
      </c>
      <c r="K4750" s="2" t="s">
        <v>77</v>
      </c>
      <c r="L4750" s="2" t="s">
        <v>321</v>
      </c>
      <c r="M4750" s="2" t="s">
        <v>322</v>
      </c>
      <c r="N4750" s="2" t="s">
        <v>323</v>
      </c>
      <c r="O4750" s="2" t="s">
        <v>100</v>
      </c>
      <c r="P4750" s="2" t="str">
        <f>"217058777724                  "</f>
        <v xml:space="preserve">217058777724                  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4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0</v>
      </c>
      <c r="AU4750" s="2">
        <v>0</v>
      </c>
      <c r="AV4750" s="2">
        <v>0</v>
      </c>
      <c r="AW4750" s="2">
        <v>0</v>
      </c>
      <c r="AX4750" s="2">
        <v>0</v>
      </c>
      <c r="AY4750" s="2">
        <v>0</v>
      </c>
      <c r="AZ4750" s="2">
        <v>0</v>
      </c>
      <c r="BA4750" s="2">
        <v>0</v>
      </c>
      <c r="BB4750" s="2">
        <v>0</v>
      </c>
      <c r="BC4750" s="2">
        <v>0</v>
      </c>
      <c r="BD4750" s="2">
        <v>0</v>
      </c>
      <c r="BE4750" s="2">
        <v>0</v>
      </c>
      <c r="BF4750" s="2">
        <v>0</v>
      </c>
      <c r="BG4750" s="2">
        <v>0</v>
      </c>
      <c r="BH4750" s="2">
        <v>1</v>
      </c>
      <c r="BI4750" s="2">
        <v>1</v>
      </c>
      <c r="BJ4750" s="2">
        <v>0.2</v>
      </c>
      <c r="BK4750" s="2">
        <v>1</v>
      </c>
      <c r="BL4750" s="2">
        <v>41.44</v>
      </c>
      <c r="BM4750" s="2">
        <v>5.8</v>
      </c>
      <c r="BN4750" s="2">
        <v>47.24</v>
      </c>
      <c r="BO4750" s="2">
        <v>47.24</v>
      </c>
      <c r="BP4750" s="2"/>
      <c r="BQ4750" s="2" t="s">
        <v>83</v>
      </c>
      <c r="BR4750" s="2" t="s">
        <v>84</v>
      </c>
      <c r="BS4750" s="3">
        <v>42954</v>
      </c>
      <c r="BT4750" s="4">
        <v>0.39444444444444443</v>
      </c>
      <c r="BU4750" s="2" t="s">
        <v>324</v>
      </c>
      <c r="BV4750" s="2" t="s">
        <v>95</v>
      </c>
      <c r="BW4750" s="2"/>
      <c r="BX4750" s="2"/>
      <c r="BY4750" s="2">
        <v>1200</v>
      </c>
      <c r="BZ4750" s="2"/>
      <c r="CA4750" s="2" t="s">
        <v>103</v>
      </c>
      <c r="CB4750" s="2"/>
      <c r="CC4750" s="2" t="s">
        <v>322</v>
      </c>
      <c r="CD4750" s="2">
        <v>6220</v>
      </c>
      <c r="CE4750" s="2" t="s">
        <v>104</v>
      </c>
      <c r="CF4750" s="5">
        <v>42955</v>
      </c>
      <c r="CG4750" s="2"/>
      <c r="CH4750" s="2"/>
      <c r="CI4750" s="2">
        <v>1</v>
      </c>
      <c r="CJ4750" s="2">
        <v>1</v>
      </c>
      <c r="CK4750" s="2">
        <v>21</v>
      </c>
      <c r="CL4750" s="2" t="s">
        <v>86</v>
      </c>
      <c r="CM4750" s="2"/>
    </row>
    <row r="4751" spans="1:91">
      <c r="A4751" s="2" t="s">
        <v>71</v>
      </c>
      <c r="B4751" s="2" t="s">
        <v>72</v>
      </c>
      <c r="C4751" s="2" t="s">
        <v>73</v>
      </c>
      <c r="D4751" s="2"/>
      <c r="E4751" s="2" t="str">
        <f>"FES1162567316"</f>
        <v>FES1162567316</v>
      </c>
      <c r="F4751" s="3">
        <v>42951</v>
      </c>
      <c r="G4751" s="2">
        <v>201802</v>
      </c>
      <c r="H4751" s="2" t="s">
        <v>74</v>
      </c>
      <c r="I4751" s="2" t="s">
        <v>75</v>
      </c>
      <c r="J4751" s="2" t="s">
        <v>76</v>
      </c>
      <c r="K4751" s="2" t="s">
        <v>77</v>
      </c>
      <c r="L4751" s="2" t="s">
        <v>321</v>
      </c>
      <c r="M4751" s="2" t="s">
        <v>322</v>
      </c>
      <c r="N4751" s="2" t="s">
        <v>323</v>
      </c>
      <c r="O4751" s="2" t="s">
        <v>100</v>
      </c>
      <c r="P4751" s="2" t="str">
        <f>"2170582353                    "</f>
        <v xml:space="preserve">2170582353                    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4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0</v>
      </c>
      <c r="AU4751" s="2">
        <v>0</v>
      </c>
      <c r="AV4751" s="2">
        <v>0</v>
      </c>
      <c r="AW4751" s="2">
        <v>0</v>
      </c>
      <c r="AX4751" s="2">
        <v>0</v>
      </c>
      <c r="AY4751" s="2">
        <v>0</v>
      </c>
      <c r="AZ4751" s="2">
        <v>0</v>
      </c>
      <c r="BA4751" s="2">
        <v>0</v>
      </c>
      <c r="BB4751" s="2">
        <v>0</v>
      </c>
      <c r="BC4751" s="2">
        <v>0</v>
      </c>
      <c r="BD4751" s="2">
        <v>0</v>
      </c>
      <c r="BE4751" s="2">
        <v>0</v>
      </c>
      <c r="BF4751" s="2">
        <v>0</v>
      </c>
      <c r="BG4751" s="2">
        <v>0</v>
      </c>
      <c r="BH4751" s="2">
        <v>1</v>
      </c>
      <c r="BI4751" s="2">
        <v>1</v>
      </c>
      <c r="BJ4751" s="2">
        <v>0.2</v>
      </c>
      <c r="BK4751" s="2">
        <v>1</v>
      </c>
      <c r="BL4751" s="2">
        <v>41.44</v>
      </c>
      <c r="BM4751" s="2">
        <v>5.8</v>
      </c>
      <c r="BN4751" s="2">
        <v>47.24</v>
      </c>
      <c r="BO4751" s="2">
        <v>47.24</v>
      </c>
      <c r="BP4751" s="2"/>
      <c r="BQ4751" s="2" t="s">
        <v>83</v>
      </c>
      <c r="BR4751" s="2" t="s">
        <v>84</v>
      </c>
      <c r="BS4751" s="3">
        <v>42954</v>
      </c>
      <c r="BT4751" s="4">
        <v>0.39513888888888887</v>
      </c>
      <c r="BU4751" s="2" t="s">
        <v>324</v>
      </c>
      <c r="BV4751" s="2" t="s">
        <v>95</v>
      </c>
      <c r="BW4751" s="2"/>
      <c r="BX4751" s="2"/>
      <c r="BY4751" s="2">
        <v>1200</v>
      </c>
      <c r="BZ4751" s="2"/>
      <c r="CA4751" s="2" t="s">
        <v>103</v>
      </c>
      <c r="CB4751" s="2"/>
      <c r="CC4751" s="2" t="s">
        <v>322</v>
      </c>
      <c r="CD4751" s="2">
        <v>6220</v>
      </c>
      <c r="CE4751" s="2" t="s">
        <v>104</v>
      </c>
      <c r="CF4751" s="5">
        <v>42955</v>
      </c>
      <c r="CG4751" s="2"/>
      <c r="CH4751" s="2"/>
      <c r="CI4751" s="2">
        <v>1</v>
      </c>
      <c r="CJ4751" s="2">
        <v>1</v>
      </c>
      <c r="CK4751" s="2">
        <v>21</v>
      </c>
      <c r="CL4751" s="2" t="s">
        <v>86</v>
      </c>
      <c r="CM4751" s="2"/>
    </row>
    <row r="4752" spans="1:91">
      <c r="A4752" s="2" t="s">
        <v>71</v>
      </c>
      <c r="B4752" s="2" t="s">
        <v>72</v>
      </c>
      <c r="C4752" s="2" t="s">
        <v>73</v>
      </c>
      <c r="D4752" s="2"/>
      <c r="E4752" s="2" t="str">
        <f>"FES1162567257"</f>
        <v>FES1162567257</v>
      </c>
      <c r="F4752" s="3">
        <v>42951</v>
      </c>
      <c r="G4752" s="2">
        <v>201802</v>
      </c>
      <c r="H4752" s="2" t="s">
        <v>74</v>
      </c>
      <c r="I4752" s="2" t="s">
        <v>75</v>
      </c>
      <c r="J4752" s="2" t="s">
        <v>76</v>
      </c>
      <c r="K4752" s="2" t="s">
        <v>77</v>
      </c>
      <c r="L4752" s="2" t="s">
        <v>510</v>
      </c>
      <c r="M4752" s="2" t="s">
        <v>511</v>
      </c>
      <c r="N4752" s="2" t="s">
        <v>1504</v>
      </c>
      <c r="O4752" s="2" t="s">
        <v>100</v>
      </c>
      <c r="P4752" s="2" t="str">
        <f>"217058408                     "</f>
        <v xml:space="preserve">217058408                     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0</v>
      </c>
      <c r="Z4752" s="2">
        <v>0</v>
      </c>
      <c r="AA4752" s="2">
        <v>0</v>
      </c>
      <c r="AB4752" s="2">
        <v>0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4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0</v>
      </c>
      <c r="AU4752" s="2">
        <v>0</v>
      </c>
      <c r="AV4752" s="2">
        <v>0</v>
      </c>
      <c r="AW4752" s="2">
        <v>0</v>
      </c>
      <c r="AX4752" s="2">
        <v>0</v>
      </c>
      <c r="AY4752" s="2">
        <v>0</v>
      </c>
      <c r="AZ4752" s="2">
        <v>0</v>
      </c>
      <c r="BA4752" s="2">
        <v>0</v>
      </c>
      <c r="BB4752" s="2">
        <v>0</v>
      </c>
      <c r="BC4752" s="2">
        <v>0</v>
      </c>
      <c r="BD4752" s="2">
        <v>0</v>
      </c>
      <c r="BE4752" s="2">
        <v>0</v>
      </c>
      <c r="BF4752" s="2">
        <v>0</v>
      </c>
      <c r="BG4752" s="2">
        <v>0</v>
      </c>
      <c r="BH4752" s="2">
        <v>1</v>
      </c>
      <c r="BI4752" s="2">
        <v>1.9</v>
      </c>
      <c r="BJ4752" s="2">
        <v>1.6</v>
      </c>
      <c r="BK4752" s="2">
        <v>2</v>
      </c>
      <c r="BL4752" s="2">
        <v>41.44</v>
      </c>
      <c r="BM4752" s="2">
        <v>5.8</v>
      </c>
      <c r="BN4752" s="2">
        <v>47.24</v>
      </c>
      <c r="BO4752" s="2">
        <v>47.24</v>
      </c>
      <c r="BP4752" s="2"/>
      <c r="BQ4752" s="2" t="s">
        <v>108</v>
      </c>
      <c r="BR4752" s="2" t="s">
        <v>84</v>
      </c>
      <c r="BS4752" s="3">
        <v>42954</v>
      </c>
      <c r="BT4752" s="4">
        <v>0.3125</v>
      </c>
      <c r="BU4752" s="2" t="s">
        <v>779</v>
      </c>
      <c r="BV4752" s="2" t="s">
        <v>95</v>
      </c>
      <c r="BW4752" s="2"/>
      <c r="BX4752" s="2"/>
      <c r="BY4752" s="2">
        <v>8004.28</v>
      </c>
      <c r="BZ4752" s="2"/>
      <c r="CA4752" s="2" t="s">
        <v>514</v>
      </c>
      <c r="CB4752" s="2"/>
      <c r="CC4752" s="2" t="s">
        <v>511</v>
      </c>
      <c r="CD4752" s="2">
        <v>6230</v>
      </c>
      <c r="CE4752" s="2" t="s">
        <v>89</v>
      </c>
      <c r="CF4752" s="2"/>
      <c r="CG4752" s="2"/>
      <c r="CH4752" s="2"/>
      <c r="CI4752" s="2">
        <v>1</v>
      </c>
      <c r="CJ4752" s="2">
        <v>1</v>
      </c>
      <c r="CK4752" s="2">
        <v>21</v>
      </c>
      <c r="CL4752" s="2" t="s">
        <v>86</v>
      </c>
      <c r="CM4752" s="2"/>
    </row>
    <row r="4753" spans="1:91">
      <c r="A4753" s="2" t="s">
        <v>71</v>
      </c>
      <c r="B4753" s="2" t="s">
        <v>72</v>
      </c>
      <c r="C4753" s="2" t="s">
        <v>73</v>
      </c>
      <c r="D4753" s="2"/>
      <c r="E4753" s="2" t="str">
        <f>"FES1162567057"</f>
        <v>FES1162567057</v>
      </c>
      <c r="F4753" s="3">
        <v>42951</v>
      </c>
      <c r="G4753" s="2">
        <v>201802</v>
      </c>
      <c r="H4753" s="2" t="s">
        <v>74</v>
      </c>
      <c r="I4753" s="2" t="s">
        <v>75</v>
      </c>
      <c r="J4753" s="2" t="s">
        <v>76</v>
      </c>
      <c r="K4753" s="2" t="s">
        <v>77</v>
      </c>
      <c r="L4753" s="2" t="s">
        <v>74</v>
      </c>
      <c r="M4753" s="2" t="s">
        <v>75</v>
      </c>
      <c r="N4753" s="2" t="s">
        <v>407</v>
      </c>
      <c r="O4753" s="2" t="s">
        <v>100</v>
      </c>
      <c r="P4753" s="2" t="str">
        <f>"2170583320                    "</f>
        <v xml:space="preserve">2170583320                    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3.13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0</v>
      </c>
      <c r="AU4753" s="2">
        <v>0</v>
      </c>
      <c r="AV4753" s="2">
        <v>0</v>
      </c>
      <c r="AW4753" s="2">
        <v>0</v>
      </c>
      <c r="AX4753" s="2">
        <v>0</v>
      </c>
      <c r="AY4753" s="2">
        <v>0</v>
      </c>
      <c r="AZ4753" s="2">
        <v>0</v>
      </c>
      <c r="BA4753" s="2">
        <v>0</v>
      </c>
      <c r="BB4753" s="2">
        <v>0</v>
      </c>
      <c r="BC4753" s="2">
        <v>0</v>
      </c>
      <c r="BD4753" s="2">
        <v>0</v>
      </c>
      <c r="BE4753" s="2">
        <v>0</v>
      </c>
      <c r="BF4753" s="2">
        <v>0</v>
      </c>
      <c r="BG4753" s="2">
        <v>0</v>
      </c>
      <c r="BH4753" s="2">
        <v>1</v>
      </c>
      <c r="BI4753" s="2">
        <v>5.9</v>
      </c>
      <c r="BJ4753" s="2">
        <v>1.6</v>
      </c>
      <c r="BK4753" s="2">
        <v>6</v>
      </c>
      <c r="BL4753" s="2">
        <v>32.380000000000003</v>
      </c>
      <c r="BM4753" s="2">
        <v>4.53</v>
      </c>
      <c r="BN4753" s="2">
        <v>36.909999999999997</v>
      </c>
      <c r="BO4753" s="2">
        <v>36.909999999999997</v>
      </c>
      <c r="BP4753" s="2"/>
      <c r="BQ4753" s="2" t="s">
        <v>108</v>
      </c>
      <c r="BR4753" s="2" t="s">
        <v>84</v>
      </c>
      <c r="BS4753" s="3">
        <v>42954</v>
      </c>
      <c r="BT4753" s="4">
        <v>0.33333333333333331</v>
      </c>
      <c r="BU4753" s="2" t="s">
        <v>935</v>
      </c>
      <c r="BV4753" s="2" t="s">
        <v>95</v>
      </c>
      <c r="BW4753" s="2"/>
      <c r="BX4753" s="2"/>
      <c r="BY4753" s="2">
        <v>8052.05</v>
      </c>
      <c r="BZ4753" s="2"/>
      <c r="CA4753" s="2"/>
      <c r="CB4753" s="2"/>
      <c r="CC4753" s="2" t="s">
        <v>75</v>
      </c>
      <c r="CD4753" s="2">
        <v>1645</v>
      </c>
      <c r="CE4753" s="2" t="s">
        <v>89</v>
      </c>
      <c r="CF4753" s="5">
        <v>42955</v>
      </c>
      <c r="CG4753" s="2"/>
      <c r="CH4753" s="2"/>
      <c r="CI4753" s="2">
        <v>1</v>
      </c>
      <c r="CJ4753" s="2">
        <v>1</v>
      </c>
      <c r="CK4753" s="2">
        <v>22</v>
      </c>
      <c r="CL4753" s="2" t="s">
        <v>86</v>
      </c>
      <c r="CM4753" s="2"/>
    </row>
    <row r="4754" spans="1:91">
      <c r="A4754" s="2" t="s">
        <v>71</v>
      </c>
      <c r="B4754" s="2" t="s">
        <v>72</v>
      </c>
      <c r="C4754" s="2" t="s">
        <v>73</v>
      </c>
      <c r="D4754" s="2"/>
      <c r="E4754" s="2" t="str">
        <f>"FES1162566913"</f>
        <v>FES1162566913</v>
      </c>
      <c r="F4754" s="3">
        <v>42951</v>
      </c>
      <c r="G4754" s="2">
        <v>201802</v>
      </c>
      <c r="H4754" s="2" t="s">
        <v>74</v>
      </c>
      <c r="I4754" s="2" t="s">
        <v>75</v>
      </c>
      <c r="J4754" s="2" t="s">
        <v>76</v>
      </c>
      <c r="K4754" s="2" t="s">
        <v>77</v>
      </c>
      <c r="L4754" s="2" t="s">
        <v>144</v>
      </c>
      <c r="M4754" s="2" t="s">
        <v>145</v>
      </c>
      <c r="N4754" s="2" t="s">
        <v>1578</v>
      </c>
      <c r="O4754" s="2" t="s">
        <v>100</v>
      </c>
      <c r="P4754" s="2" t="str">
        <f>"2170582894                    "</f>
        <v xml:space="preserve">2170582894                    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3.13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0</v>
      </c>
      <c r="AU4754" s="2">
        <v>0</v>
      </c>
      <c r="AV4754" s="2">
        <v>0</v>
      </c>
      <c r="AW4754" s="2">
        <v>0</v>
      </c>
      <c r="AX4754" s="2">
        <v>0</v>
      </c>
      <c r="AY4754" s="2">
        <v>0</v>
      </c>
      <c r="AZ4754" s="2">
        <v>0</v>
      </c>
      <c r="BA4754" s="2">
        <v>0</v>
      </c>
      <c r="BB4754" s="2">
        <v>0</v>
      </c>
      <c r="BC4754" s="2">
        <v>0</v>
      </c>
      <c r="BD4754" s="2">
        <v>0</v>
      </c>
      <c r="BE4754" s="2">
        <v>0</v>
      </c>
      <c r="BF4754" s="2">
        <v>0</v>
      </c>
      <c r="BG4754" s="2">
        <v>0</v>
      </c>
      <c r="BH4754" s="2">
        <v>1</v>
      </c>
      <c r="BI4754" s="2">
        <v>7.6</v>
      </c>
      <c r="BJ4754" s="2">
        <v>3.4</v>
      </c>
      <c r="BK4754" s="2">
        <v>8</v>
      </c>
      <c r="BL4754" s="2">
        <v>32.380000000000003</v>
      </c>
      <c r="BM4754" s="2">
        <v>4.53</v>
      </c>
      <c r="BN4754" s="2">
        <v>36.909999999999997</v>
      </c>
      <c r="BO4754" s="2">
        <v>36.909999999999997</v>
      </c>
      <c r="BP4754" s="2"/>
      <c r="BQ4754" s="2" t="s">
        <v>108</v>
      </c>
      <c r="BR4754" s="2" t="s">
        <v>84</v>
      </c>
      <c r="BS4754" s="3">
        <v>42954</v>
      </c>
      <c r="BT4754" s="4">
        <v>0.40972222222222227</v>
      </c>
      <c r="BU4754" s="2" t="s">
        <v>1754</v>
      </c>
      <c r="BV4754" s="2" t="s">
        <v>95</v>
      </c>
      <c r="BW4754" s="2"/>
      <c r="BX4754" s="2"/>
      <c r="BY4754" s="2">
        <v>17015.46</v>
      </c>
      <c r="BZ4754" s="2"/>
      <c r="CA4754" s="2"/>
      <c r="CB4754" s="2"/>
      <c r="CC4754" s="2" t="s">
        <v>145</v>
      </c>
      <c r="CD4754" s="2">
        <v>2197</v>
      </c>
      <c r="CE4754" s="2" t="s">
        <v>89</v>
      </c>
      <c r="CF4754" s="5">
        <v>42955</v>
      </c>
      <c r="CG4754" s="2"/>
      <c r="CH4754" s="2"/>
      <c r="CI4754" s="2">
        <v>1</v>
      </c>
      <c r="CJ4754" s="2">
        <v>1</v>
      </c>
      <c r="CK4754" s="2">
        <v>22</v>
      </c>
      <c r="CL4754" s="2" t="s">
        <v>86</v>
      </c>
      <c r="CM4754" s="2"/>
    </row>
    <row r="4755" spans="1:91">
      <c r="A4755" s="2" t="s">
        <v>71</v>
      </c>
      <c r="B4755" s="2" t="s">
        <v>72</v>
      </c>
      <c r="C4755" s="2" t="s">
        <v>73</v>
      </c>
      <c r="D4755" s="2"/>
      <c r="E4755" s="2" t="str">
        <f>"FES1162567328"</f>
        <v>FES1162567328</v>
      </c>
      <c r="F4755" s="3">
        <v>42951</v>
      </c>
      <c r="G4755" s="2">
        <v>201802</v>
      </c>
      <c r="H4755" s="2" t="s">
        <v>74</v>
      </c>
      <c r="I4755" s="2" t="s">
        <v>75</v>
      </c>
      <c r="J4755" s="2" t="s">
        <v>76</v>
      </c>
      <c r="K4755" s="2" t="s">
        <v>77</v>
      </c>
      <c r="L4755" s="2" t="s">
        <v>268</v>
      </c>
      <c r="M4755" s="2" t="s">
        <v>269</v>
      </c>
      <c r="N4755" s="2" t="s">
        <v>1124</v>
      </c>
      <c r="O4755" s="2" t="s">
        <v>100</v>
      </c>
      <c r="P4755" s="2" t="str">
        <f>"2170579933                    "</f>
        <v xml:space="preserve">2170579933                    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4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2">
        <v>0</v>
      </c>
      <c r="AT4755" s="2">
        <v>0</v>
      </c>
      <c r="AU4755" s="2">
        <v>0</v>
      </c>
      <c r="AV4755" s="2">
        <v>0</v>
      </c>
      <c r="AW4755" s="2">
        <v>0</v>
      </c>
      <c r="AX4755" s="2">
        <v>0</v>
      </c>
      <c r="AY4755" s="2">
        <v>0</v>
      </c>
      <c r="AZ4755" s="2">
        <v>0</v>
      </c>
      <c r="BA4755" s="2">
        <v>0</v>
      </c>
      <c r="BB4755" s="2">
        <v>0</v>
      </c>
      <c r="BC4755" s="2">
        <v>0</v>
      </c>
      <c r="BD4755" s="2">
        <v>0</v>
      </c>
      <c r="BE4755" s="2">
        <v>0</v>
      </c>
      <c r="BF4755" s="2">
        <v>0</v>
      </c>
      <c r="BG4755" s="2">
        <v>0</v>
      </c>
      <c r="BH4755" s="2">
        <v>1</v>
      </c>
      <c r="BI4755" s="2">
        <v>1</v>
      </c>
      <c r="BJ4755" s="2">
        <v>0.2</v>
      </c>
      <c r="BK4755" s="2">
        <v>1</v>
      </c>
      <c r="BL4755" s="2">
        <v>41.44</v>
      </c>
      <c r="BM4755" s="2">
        <v>5.8</v>
      </c>
      <c r="BN4755" s="2">
        <v>47.24</v>
      </c>
      <c r="BO4755" s="2">
        <v>47.24</v>
      </c>
      <c r="BP4755" s="2"/>
      <c r="BQ4755" s="2"/>
      <c r="BR4755" s="2" t="s">
        <v>84</v>
      </c>
      <c r="BS4755" s="3">
        <v>42954</v>
      </c>
      <c r="BT4755" s="4">
        <v>0.47916666666666669</v>
      </c>
      <c r="BU4755" s="2" t="s">
        <v>85</v>
      </c>
      <c r="BV4755" s="2" t="s">
        <v>86</v>
      </c>
      <c r="BW4755" s="2" t="s">
        <v>110</v>
      </c>
      <c r="BX4755" s="2" t="s">
        <v>444</v>
      </c>
      <c r="BY4755" s="2">
        <v>1200</v>
      </c>
      <c r="BZ4755" s="2"/>
      <c r="CA4755" s="2"/>
      <c r="CB4755" s="2"/>
      <c r="CC4755" s="2" t="s">
        <v>269</v>
      </c>
      <c r="CD4755" s="2">
        <v>200</v>
      </c>
      <c r="CE4755" s="2" t="s">
        <v>104</v>
      </c>
      <c r="CF4755" s="5">
        <v>42957</v>
      </c>
      <c r="CG4755" s="2"/>
      <c r="CH4755" s="2"/>
      <c r="CI4755" s="2">
        <v>1</v>
      </c>
      <c r="CJ4755" s="2">
        <v>1</v>
      </c>
      <c r="CK4755" s="2">
        <v>21</v>
      </c>
      <c r="CL4755" s="2" t="s">
        <v>86</v>
      </c>
      <c r="CM4755" s="2"/>
    </row>
    <row r="4756" spans="1:91">
      <c r="A4756" s="2" t="s">
        <v>71</v>
      </c>
      <c r="B4756" s="2" t="s">
        <v>72</v>
      </c>
      <c r="C4756" s="2" t="s">
        <v>73</v>
      </c>
      <c r="D4756" s="2"/>
      <c r="E4756" s="2" t="str">
        <f>"FES1162567175"</f>
        <v>FES1162567175</v>
      </c>
      <c r="F4756" s="3">
        <v>42951</v>
      </c>
      <c r="G4756" s="2">
        <v>201802</v>
      </c>
      <c r="H4756" s="2" t="s">
        <v>74</v>
      </c>
      <c r="I4756" s="2" t="s">
        <v>75</v>
      </c>
      <c r="J4756" s="2" t="s">
        <v>76</v>
      </c>
      <c r="K4756" s="2" t="s">
        <v>77</v>
      </c>
      <c r="L4756" s="2" t="s">
        <v>723</v>
      </c>
      <c r="M4756" s="2" t="s">
        <v>724</v>
      </c>
      <c r="N4756" s="2" t="s">
        <v>2306</v>
      </c>
      <c r="O4756" s="2" t="s">
        <v>100</v>
      </c>
      <c r="P4756" s="2" t="str">
        <f>"2170579509                    "</f>
        <v xml:space="preserve">2170579509                    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0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5.63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0</v>
      </c>
      <c r="AU4756" s="2">
        <v>0</v>
      </c>
      <c r="AV4756" s="2">
        <v>0</v>
      </c>
      <c r="AW4756" s="2">
        <v>0</v>
      </c>
      <c r="AX4756" s="2">
        <v>0</v>
      </c>
      <c r="AY4756" s="2">
        <v>0</v>
      </c>
      <c r="AZ4756" s="2">
        <v>0</v>
      </c>
      <c r="BA4756" s="2">
        <v>0</v>
      </c>
      <c r="BB4756" s="2">
        <v>0</v>
      </c>
      <c r="BC4756" s="2">
        <v>0</v>
      </c>
      <c r="BD4756" s="2">
        <v>0</v>
      </c>
      <c r="BE4756" s="2">
        <v>0</v>
      </c>
      <c r="BF4756" s="2">
        <v>0</v>
      </c>
      <c r="BG4756" s="2">
        <v>0</v>
      </c>
      <c r="BH4756" s="2">
        <v>1</v>
      </c>
      <c r="BI4756" s="2">
        <v>1</v>
      </c>
      <c r="BJ4756" s="2">
        <v>0.2</v>
      </c>
      <c r="BK4756" s="2">
        <v>1</v>
      </c>
      <c r="BL4756" s="2">
        <v>58.28</v>
      </c>
      <c r="BM4756" s="2">
        <v>8.16</v>
      </c>
      <c r="BN4756" s="2">
        <v>66.44</v>
      </c>
      <c r="BO4756" s="2">
        <v>66.44</v>
      </c>
      <c r="BP4756" s="2"/>
      <c r="BQ4756" s="2" t="s">
        <v>2307</v>
      </c>
      <c r="BR4756" s="2" t="s">
        <v>84</v>
      </c>
      <c r="BS4756" s="3">
        <v>42954</v>
      </c>
      <c r="BT4756" s="4">
        <v>0.41666666666666669</v>
      </c>
      <c r="BU4756" s="2" t="s">
        <v>1946</v>
      </c>
      <c r="BV4756" s="2" t="s">
        <v>95</v>
      </c>
      <c r="BW4756" s="2"/>
      <c r="BX4756" s="2"/>
      <c r="BY4756" s="2">
        <v>1200</v>
      </c>
      <c r="BZ4756" s="2"/>
      <c r="CA4756" s="2"/>
      <c r="CB4756" s="2"/>
      <c r="CC4756" s="2" t="s">
        <v>724</v>
      </c>
      <c r="CD4756" s="2">
        <v>1754</v>
      </c>
      <c r="CE4756" s="2" t="s">
        <v>104</v>
      </c>
      <c r="CF4756" s="5">
        <v>42955</v>
      </c>
      <c r="CG4756" s="2"/>
      <c r="CH4756" s="2"/>
      <c r="CI4756" s="2">
        <v>1</v>
      </c>
      <c r="CJ4756" s="2">
        <v>1</v>
      </c>
      <c r="CK4756" s="2">
        <v>24</v>
      </c>
      <c r="CL4756" s="2" t="s">
        <v>86</v>
      </c>
      <c r="CM4756" s="2"/>
    </row>
    <row r="4757" spans="1:91">
      <c r="A4757" s="2" t="s">
        <v>71</v>
      </c>
      <c r="B4757" s="2" t="s">
        <v>72</v>
      </c>
      <c r="C4757" s="2" t="s">
        <v>73</v>
      </c>
      <c r="D4757" s="2"/>
      <c r="E4757" s="2" t="str">
        <f>"FES1162567197"</f>
        <v>FES1162567197</v>
      </c>
      <c r="F4757" s="3">
        <v>42951</v>
      </c>
      <c r="G4757" s="2">
        <v>201802</v>
      </c>
      <c r="H4757" s="2" t="s">
        <v>74</v>
      </c>
      <c r="I4757" s="2" t="s">
        <v>75</v>
      </c>
      <c r="J4757" s="2" t="s">
        <v>76</v>
      </c>
      <c r="K4757" s="2" t="s">
        <v>77</v>
      </c>
      <c r="L4757" s="2" t="s">
        <v>159</v>
      </c>
      <c r="M4757" s="2" t="s">
        <v>160</v>
      </c>
      <c r="N4757" s="2" t="s">
        <v>954</v>
      </c>
      <c r="O4757" s="2" t="s">
        <v>100</v>
      </c>
      <c r="P4757" s="2" t="str">
        <f>"2170583341                    "</f>
        <v xml:space="preserve">2170583341                    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2">
        <v>0</v>
      </c>
      <c r="Z4757" s="2">
        <v>0</v>
      </c>
      <c r="AA4757" s="2">
        <v>0</v>
      </c>
      <c r="AB4757" s="2">
        <v>0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5.63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0</v>
      </c>
      <c r="AU4757" s="2">
        <v>0</v>
      </c>
      <c r="AV4757" s="2">
        <v>0</v>
      </c>
      <c r="AW4757" s="2">
        <v>0</v>
      </c>
      <c r="AX4757" s="2">
        <v>0</v>
      </c>
      <c r="AY4757" s="2">
        <v>0</v>
      </c>
      <c r="AZ4757" s="2">
        <v>0</v>
      </c>
      <c r="BA4757" s="2">
        <v>0</v>
      </c>
      <c r="BB4757" s="2">
        <v>0</v>
      </c>
      <c r="BC4757" s="2">
        <v>0</v>
      </c>
      <c r="BD4757" s="2">
        <v>0</v>
      </c>
      <c r="BE4757" s="2">
        <v>0</v>
      </c>
      <c r="BF4757" s="2">
        <v>0</v>
      </c>
      <c r="BG4757" s="2">
        <v>0</v>
      </c>
      <c r="BH4757" s="2">
        <v>1</v>
      </c>
      <c r="BI4757" s="2">
        <v>1</v>
      </c>
      <c r="BJ4757" s="2">
        <v>0.2</v>
      </c>
      <c r="BK4757" s="2">
        <v>1</v>
      </c>
      <c r="BL4757" s="2">
        <v>58.28</v>
      </c>
      <c r="BM4757" s="2">
        <v>8.16</v>
      </c>
      <c r="BN4757" s="2">
        <v>66.44</v>
      </c>
      <c r="BO4757" s="2">
        <v>66.44</v>
      </c>
      <c r="BP4757" s="2"/>
      <c r="BQ4757" s="2"/>
      <c r="BR4757" s="2" t="s">
        <v>84</v>
      </c>
      <c r="BS4757" s="3">
        <v>42954</v>
      </c>
      <c r="BT4757" s="4">
        <v>0.4375</v>
      </c>
      <c r="BU4757" s="2" t="s">
        <v>825</v>
      </c>
      <c r="BV4757" s="2" t="s">
        <v>95</v>
      </c>
      <c r="BW4757" s="2"/>
      <c r="BX4757" s="2"/>
      <c r="BY4757" s="2">
        <v>1200</v>
      </c>
      <c r="BZ4757" s="2"/>
      <c r="CA4757" s="2" t="s">
        <v>956</v>
      </c>
      <c r="CB4757" s="2"/>
      <c r="CC4757" s="2" t="s">
        <v>160</v>
      </c>
      <c r="CD4757" s="2">
        <v>407</v>
      </c>
      <c r="CE4757" s="2" t="s">
        <v>104</v>
      </c>
      <c r="CF4757" s="5">
        <v>42957</v>
      </c>
      <c r="CG4757" s="2"/>
      <c r="CH4757" s="2"/>
      <c r="CI4757" s="2">
        <v>1</v>
      </c>
      <c r="CJ4757" s="2">
        <v>1</v>
      </c>
      <c r="CK4757" s="2">
        <v>24</v>
      </c>
      <c r="CL4757" s="2" t="s">
        <v>86</v>
      </c>
      <c r="CM4757" s="2"/>
    </row>
    <row r="4758" spans="1:91">
      <c r="A4758" s="2" t="s">
        <v>71</v>
      </c>
      <c r="B4758" s="2" t="s">
        <v>72</v>
      </c>
      <c r="C4758" s="2" t="s">
        <v>73</v>
      </c>
      <c r="D4758" s="2"/>
      <c r="E4758" s="2" t="str">
        <f>"FES1162567198"</f>
        <v>FES1162567198</v>
      </c>
      <c r="F4758" s="3">
        <v>42951</v>
      </c>
      <c r="G4758" s="2">
        <v>201802</v>
      </c>
      <c r="H4758" s="2" t="s">
        <v>74</v>
      </c>
      <c r="I4758" s="2" t="s">
        <v>75</v>
      </c>
      <c r="J4758" s="2" t="s">
        <v>76</v>
      </c>
      <c r="K4758" s="2" t="s">
        <v>77</v>
      </c>
      <c r="L4758" s="2" t="s">
        <v>446</v>
      </c>
      <c r="M4758" s="2" t="s">
        <v>447</v>
      </c>
      <c r="N4758" s="2" t="s">
        <v>448</v>
      </c>
      <c r="O4758" s="2" t="s">
        <v>100</v>
      </c>
      <c r="P4758" s="2" t="str">
        <f>"2170583344                    "</f>
        <v xml:space="preserve">2170583344                    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0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5.63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0</v>
      </c>
      <c r="AU4758" s="2">
        <v>0</v>
      </c>
      <c r="AV4758" s="2">
        <v>0</v>
      </c>
      <c r="AW4758" s="2">
        <v>0</v>
      </c>
      <c r="AX4758" s="2">
        <v>0</v>
      </c>
      <c r="AY4758" s="2">
        <v>0</v>
      </c>
      <c r="AZ4758" s="2">
        <v>0</v>
      </c>
      <c r="BA4758" s="2">
        <v>0</v>
      </c>
      <c r="BB4758" s="2">
        <v>0</v>
      </c>
      <c r="BC4758" s="2">
        <v>0</v>
      </c>
      <c r="BD4758" s="2">
        <v>0</v>
      </c>
      <c r="BE4758" s="2">
        <v>0</v>
      </c>
      <c r="BF4758" s="2">
        <v>0</v>
      </c>
      <c r="BG4758" s="2">
        <v>0</v>
      </c>
      <c r="BH4758" s="2">
        <v>1</v>
      </c>
      <c r="BI4758" s="2">
        <v>1</v>
      </c>
      <c r="BJ4758" s="2">
        <v>0.2</v>
      </c>
      <c r="BK4758" s="2">
        <v>1</v>
      </c>
      <c r="BL4758" s="2">
        <v>58.28</v>
      </c>
      <c r="BM4758" s="2">
        <v>8.16</v>
      </c>
      <c r="BN4758" s="2">
        <v>66.44</v>
      </c>
      <c r="BO4758" s="2">
        <v>66.44</v>
      </c>
      <c r="BP4758" s="2"/>
      <c r="BQ4758" s="2" t="s">
        <v>83</v>
      </c>
      <c r="BR4758" s="2" t="s">
        <v>84</v>
      </c>
      <c r="BS4758" s="3">
        <v>42954</v>
      </c>
      <c r="BT4758" s="4">
        <v>0.41666666666666669</v>
      </c>
      <c r="BU4758" s="2" t="s">
        <v>449</v>
      </c>
      <c r="BV4758" s="2" t="s">
        <v>95</v>
      </c>
      <c r="BW4758" s="2"/>
      <c r="BX4758" s="2"/>
      <c r="BY4758" s="2">
        <v>1200</v>
      </c>
      <c r="BZ4758" s="2"/>
      <c r="CA4758" s="2"/>
      <c r="CB4758" s="2"/>
      <c r="CC4758" s="2" t="s">
        <v>447</v>
      </c>
      <c r="CD4758" s="2">
        <v>1759</v>
      </c>
      <c r="CE4758" s="2" t="s">
        <v>104</v>
      </c>
      <c r="CF4758" s="5">
        <v>42957</v>
      </c>
      <c r="CG4758" s="2"/>
      <c r="CH4758" s="2"/>
      <c r="CI4758" s="2">
        <v>1</v>
      </c>
      <c r="CJ4758" s="2">
        <v>1</v>
      </c>
      <c r="CK4758" s="2">
        <v>24</v>
      </c>
      <c r="CL4758" s="2" t="s">
        <v>86</v>
      </c>
      <c r="CM4758" s="2"/>
    </row>
    <row r="4759" spans="1:91">
      <c r="A4759" s="2" t="s">
        <v>71</v>
      </c>
      <c r="B4759" s="2" t="s">
        <v>72</v>
      </c>
      <c r="C4759" s="2" t="s">
        <v>73</v>
      </c>
      <c r="D4759" s="2"/>
      <c r="E4759" s="2" t="str">
        <f>"FES1162567337"</f>
        <v>FES1162567337</v>
      </c>
      <c r="F4759" s="3">
        <v>42951</v>
      </c>
      <c r="G4759" s="2">
        <v>201802</v>
      </c>
      <c r="H4759" s="2" t="s">
        <v>74</v>
      </c>
      <c r="I4759" s="2" t="s">
        <v>75</v>
      </c>
      <c r="J4759" s="2" t="s">
        <v>76</v>
      </c>
      <c r="K4759" s="2" t="s">
        <v>77</v>
      </c>
      <c r="L4759" s="2" t="s">
        <v>97</v>
      </c>
      <c r="M4759" s="2" t="s">
        <v>98</v>
      </c>
      <c r="N4759" s="2" t="s">
        <v>248</v>
      </c>
      <c r="O4759" s="2" t="s">
        <v>100</v>
      </c>
      <c r="P4759" s="2" t="str">
        <f>"217058560                     "</f>
        <v xml:space="preserve">217058560                     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4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0</v>
      </c>
      <c r="AU4759" s="2">
        <v>0</v>
      </c>
      <c r="AV4759" s="2">
        <v>0</v>
      </c>
      <c r="AW4759" s="2">
        <v>0</v>
      </c>
      <c r="AX4759" s="2">
        <v>0</v>
      </c>
      <c r="AY4759" s="2">
        <v>0</v>
      </c>
      <c r="AZ4759" s="2">
        <v>0</v>
      </c>
      <c r="BA4759" s="2">
        <v>0</v>
      </c>
      <c r="BB4759" s="2">
        <v>0</v>
      </c>
      <c r="BC4759" s="2">
        <v>0</v>
      </c>
      <c r="BD4759" s="2">
        <v>0</v>
      </c>
      <c r="BE4759" s="2">
        <v>0</v>
      </c>
      <c r="BF4759" s="2">
        <v>0</v>
      </c>
      <c r="BG4759" s="2">
        <v>0</v>
      </c>
      <c r="BH4759" s="2">
        <v>1</v>
      </c>
      <c r="BI4759" s="2">
        <v>1</v>
      </c>
      <c r="BJ4759" s="2">
        <v>0.2</v>
      </c>
      <c r="BK4759" s="2">
        <v>1</v>
      </c>
      <c r="BL4759" s="2">
        <v>41.44</v>
      </c>
      <c r="BM4759" s="2">
        <v>5.8</v>
      </c>
      <c r="BN4759" s="2">
        <v>47.24</v>
      </c>
      <c r="BO4759" s="2">
        <v>47.24</v>
      </c>
      <c r="BP4759" s="2"/>
      <c r="BQ4759" s="2" t="s">
        <v>83</v>
      </c>
      <c r="BR4759" s="2" t="s">
        <v>84</v>
      </c>
      <c r="BS4759" s="3">
        <v>42954</v>
      </c>
      <c r="BT4759" s="4">
        <v>0.37916666666666665</v>
      </c>
      <c r="BU4759" s="2" t="s">
        <v>390</v>
      </c>
      <c r="BV4759" s="2" t="s">
        <v>95</v>
      </c>
      <c r="BW4759" s="2"/>
      <c r="BX4759" s="2"/>
      <c r="BY4759" s="2">
        <v>1200</v>
      </c>
      <c r="BZ4759" s="2"/>
      <c r="CA4759" s="2" t="s">
        <v>294</v>
      </c>
      <c r="CB4759" s="2"/>
      <c r="CC4759" s="2" t="s">
        <v>98</v>
      </c>
      <c r="CD4759" s="2">
        <v>6001</v>
      </c>
      <c r="CE4759" s="2" t="s">
        <v>104</v>
      </c>
      <c r="CF4759" s="5">
        <v>42954</v>
      </c>
      <c r="CG4759" s="2"/>
      <c r="CH4759" s="2"/>
      <c r="CI4759" s="2">
        <v>1</v>
      </c>
      <c r="CJ4759" s="2">
        <v>1</v>
      </c>
      <c r="CK4759" s="2">
        <v>21</v>
      </c>
      <c r="CL4759" s="2" t="s">
        <v>86</v>
      </c>
      <c r="CM4759" s="2"/>
    </row>
    <row r="4760" spans="1:91">
      <c r="A4760" s="2" t="s">
        <v>71</v>
      </c>
      <c r="B4760" s="2" t="s">
        <v>72</v>
      </c>
      <c r="C4760" s="2" t="s">
        <v>73</v>
      </c>
      <c r="D4760" s="2"/>
      <c r="E4760" s="2" t="str">
        <f>"FES1162567338"</f>
        <v>FES1162567338</v>
      </c>
      <c r="F4760" s="3">
        <v>42951</v>
      </c>
      <c r="G4760" s="2">
        <v>201802</v>
      </c>
      <c r="H4760" s="2" t="s">
        <v>74</v>
      </c>
      <c r="I4760" s="2" t="s">
        <v>75</v>
      </c>
      <c r="J4760" s="2" t="s">
        <v>76</v>
      </c>
      <c r="K4760" s="2" t="s">
        <v>77</v>
      </c>
      <c r="L4760" s="2" t="s">
        <v>97</v>
      </c>
      <c r="M4760" s="2" t="s">
        <v>98</v>
      </c>
      <c r="N4760" s="2" t="s">
        <v>248</v>
      </c>
      <c r="O4760" s="2" t="s">
        <v>100</v>
      </c>
      <c r="P4760" s="2" t="str">
        <f>"217058901                     "</f>
        <v xml:space="preserve">217058901                     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4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0</v>
      </c>
      <c r="AU4760" s="2">
        <v>0</v>
      </c>
      <c r="AV4760" s="2">
        <v>0</v>
      </c>
      <c r="AW4760" s="2">
        <v>0</v>
      </c>
      <c r="AX4760" s="2">
        <v>0</v>
      </c>
      <c r="AY4760" s="2">
        <v>0</v>
      </c>
      <c r="AZ4760" s="2">
        <v>0</v>
      </c>
      <c r="BA4760" s="2">
        <v>0</v>
      </c>
      <c r="BB4760" s="2">
        <v>0</v>
      </c>
      <c r="BC4760" s="2">
        <v>0</v>
      </c>
      <c r="BD4760" s="2">
        <v>0</v>
      </c>
      <c r="BE4760" s="2">
        <v>0</v>
      </c>
      <c r="BF4760" s="2">
        <v>0</v>
      </c>
      <c r="BG4760" s="2">
        <v>0</v>
      </c>
      <c r="BH4760" s="2">
        <v>1</v>
      </c>
      <c r="BI4760" s="2">
        <v>1</v>
      </c>
      <c r="BJ4760" s="2">
        <v>0.2</v>
      </c>
      <c r="BK4760" s="2">
        <v>1</v>
      </c>
      <c r="BL4760" s="2">
        <v>41.44</v>
      </c>
      <c r="BM4760" s="2">
        <v>5.8</v>
      </c>
      <c r="BN4760" s="2">
        <v>47.24</v>
      </c>
      <c r="BO4760" s="2">
        <v>47.24</v>
      </c>
      <c r="BP4760" s="2"/>
      <c r="BQ4760" s="2" t="s">
        <v>83</v>
      </c>
      <c r="BR4760" s="2" t="s">
        <v>84</v>
      </c>
      <c r="BS4760" s="3">
        <v>42954</v>
      </c>
      <c r="BT4760" s="4">
        <v>0.37847222222222227</v>
      </c>
      <c r="BU4760" s="2" t="s">
        <v>390</v>
      </c>
      <c r="BV4760" s="2" t="s">
        <v>95</v>
      </c>
      <c r="BW4760" s="2"/>
      <c r="BX4760" s="2"/>
      <c r="BY4760" s="2">
        <v>1200</v>
      </c>
      <c r="BZ4760" s="2"/>
      <c r="CA4760" s="2" t="s">
        <v>294</v>
      </c>
      <c r="CB4760" s="2"/>
      <c r="CC4760" s="2" t="s">
        <v>98</v>
      </c>
      <c r="CD4760" s="2">
        <v>6001</v>
      </c>
      <c r="CE4760" s="2" t="s">
        <v>104</v>
      </c>
      <c r="CF4760" s="5">
        <v>42954</v>
      </c>
      <c r="CG4760" s="2"/>
      <c r="CH4760" s="2"/>
      <c r="CI4760" s="2">
        <v>1</v>
      </c>
      <c r="CJ4760" s="2">
        <v>1</v>
      </c>
      <c r="CK4760" s="2">
        <v>21</v>
      </c>
      <c r="CL4760" s="2" t="s">
        <v>86</v>
      </c>
      <c r="CM4760" s="2"/>
    </row>
    <row r="4761" spans="1:91">
      <c r="A4761" s="2" t="s">
        <v>71</v>
      </c>
      <c r="B4761" s="2" t="s">
        <v>72</v>
      </c>
      <c r="C4761" s="2" t="s">
        <v>73</v>
      </c>
      <c r="D4761" s="2"/>
      <c r="E4761" s="2" t="str">
        <f>"FES1162567178"</f>
        <v>FES1162567178</v>
      </c>
      <c r="F4761" s="3">
        <v>42951</v>
      </c>
      <c r="G4761" s="2">
        <v>201802</v>
      </c>
      <c r="H4761" s="2" t="s">
        <v>74</v>
      </c>
      <c r="I4761" s="2" t="s">
        <v>75</v>
      </c>
      <c r="J4761" s="2" t="s">
        <v>76</v>
      </c>
      <c r="K4761" s="2" t="s">
        <v>77</v>
      </c>
      <c r="L4761" s="2" t="s">
        <v>446</v>
      </c>
      <c r="M4761" s="2" t="s">
        <v>447</v>
      </c>
      <c r="N4761" s="2" t="s">
        <v>961</v>
      </c>
      <c r="O4761" s="2" t="s">
        <v>100</v>
      </c>
      <c r="P4761" s="2" t="str">
        <f>"2170580911                    "</f>
        <v xml:space="preserve">2170580911                    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5.63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2">
        <v>0</v>
      </c>
      <c r="AT4761" s="2">
        <v>0</v>
      </c>
      <c r="AU4761" s="2">
        <v>0</v>
      </c>
      <c r="AV4761" s="2">
        <v>0</v>
      </c>
      <c r="AW4761" s="2">
        <v>0</v>
      </c>
      <c r="AX4761" s="2">
        <v>0</v>
      </c>
      <c r="AY4761" s="2">
        <v>0</v>
      </c>
      <c r="AZ4761" s="2">
        <v>0</v>
      </c>
      <c r="BA4761" s="2">
        <v>0</v>
      </c>
      <c r="BB4761" s="2">
        <v>0</v>
      </c>
      <c r="BC4761" s="2">
        <v>0</v>
      </c>
      <c r="BD4761" s="2">
        <v>0</v>
      </c>
      <c r="BE4761" s="2">
        <v>0</v>
      </c>
      <c r="BF4761" s="2">
        <v>0</v>
      </c>
      <c r="BG4761" s="2">
        <v>0</v>
      </c>
      <c r="BH4761" s="2">
        <v>1</v>
      </c>
      <c r="BI4761" s="2">
        <v>1</v>
      </c>
      <c r="BJ4761" s="2">
        <v>0.2</v>
      </c>
      <c r="BK4761" s="2">
        <v>1</v>
      </c>
      <c r="BL4761" s="2">
        <v>58.28</v>
      </c>
      <c r="BM4761" s="2">
        <v>8.16</v>
      </c>
      <c r="BN4761" s="2">
        <v>66.44</v>
      </c>
      <c r="BO4761" s="2">
        <v>66.44</v>
      </c>
      <c r="BP4761" s="2"/>
      <c r="BQ4761" s="2" t="s">
        <v>962</v>
      </c>
      <c r="BR4761" s="2" t="s">
        <v>84</v>
      </c>
      <c r="BS4761" s="3">
        <v>42954</v>
      </c>
      <c r="BT4761" s="4">
        <v>0.41666666666666669</v>
      </c>
      <c r="BU4761" s="2" t="s">
        <v>963</v>
      </c>
      <c r="BV4761" s="2" t="s">
        <v>95</v>
      </c>
      <c r="BW4761" s="2"/>
      <c r="BX4761" s="2"/>
      <c r="BY4761" s="2">
        <v>1200</v>
      </c>
      <c r="BZ4761" s="2"/>
      <c r="CA4761" s="2"/>
      <c r="CB4761" s="2"/>
      <c r="CC4761" s="2" t="s">
        <v>447</v>
      </c>
      <c r="CD4761" s="2">
        <v>1759</v>
      </c>
      <c r="CE4761" s="2" t="s">
        <v>104</v>
      </c>
      <c r="CF4761" s="5">
        <v>42957</v>
      </c>
      <c r="CG4761" s="2"/>
      <c r="CH4761" s="2"/>
      <c r="CI4761" s="2">
        <v>1</v>
      </c>
      <c r="CJ4761" s="2">
        <v>1</v>
      </c>
      <c r="CK4761" s="2">
        <v>24</v>
      </c>
      <c r="CL4761" s="2" t="s">
        <v>86</v>
      </c>
      <c r="CM4761" s="2"/>
    </row>
    <row r="4762" spans="1:91">
      <c r="A4762" s="2" t="s">
        <v>71</v>
      </c>
      <c r="B4762" s="2" t="s">
        <v>72</v>
      </c>
      <c r="C4762" s="2" t="s">
        <v>73</v>
      </c>
      <c r="D4762" s="2"/>
      <c r="E4762" s="2" t="str">
        <f>"FES1162567256"</f>
        <v>FES1162567256</v>
      </c>
      <c r="F4762" s="3">
        <v>42951</v>
      </c>
      <c r="G4762" s="2">
        <v>201802</v>
      </c>
      <c r="H4762" s="2" t="s">
        <v>74</v>
      </c>
      <c r="I4762" s="2" t="s">
        <v>75</v>
      </c>
      <c r="J4762" s="2" t="s">
        <v>76</v>
      </c>
      <c r="K4762" s="2" t="s">
        <v>77</v>
      </c>
      <c r="L4762" s="2" t="s">
        <v>237</v>
      </c>
      <c r="M4762" s="2" t="s">
        <v>238</v>
      </c>
      <c r="N4762" s="2" t="s">
        <v>3938</v>
      </c>
      <c r="O4762" s="2" t="s">
        <v>100</v>
      </c>
      <c r="P4762" s="2" t="str">
        <f>"2170582924                    "</f>
        <v xml:space="preserve">2170582924                    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4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0</v>
      </c>
      <c r="AT4762" s="2">
        <v>0</v>
      </c>
      <c r="AU4762" s="2">
        <v>0</v>
      </c>
      <c r="AV4762" s="2">
        <v>0</v>
      </c>
      <c r="AW4762" s="2">
        <v>0</v>
      </c>
      <c r="AX4762" s="2">
        <v>0</v>
      </c>
      <c r="AY4762" s="2">
        <v>0</v>
      </c>
      <c r="AZ4762" s="2">
        <v>0</v>
      </c>
      <c r="BA4762" s="2">
        <v>0</v>
      </c>
      <c r="BB4762" s="2">
        <v>0</v>
      </c>
      <c r="BC4762" s="2">
        <v>0</v>
      </c>
      <c r="BD4762" s="2">
        <v>0</v>
      </c>
      <c r="BE4762" s="2">
        <v>0</v>
      </c>
      <c r="BF4762" s="2">
        <v>0</v>
      </c>
      <c r="BG4762" s="2">
        <v>0</v>
      </c>
      <c r="BH4762" s="2">
        <v>1</v>
      </c>
      <c r="BI4762" s="2">
        <v>1</v>
      </c>
      <c r="BJ4762" s="2">
        <v>0.2</v>
      </c>
      <c r="BK4762" s="2">
        <v>1</v>
      </c>
      <c r="BL4762" s="2">
        <v>41.44</v>
      </c>
      <c r="BM4762" s="2">
        <v>5.8</v>
      </c>
      <c r="BN4762" s="2">
        <v>47.24</v>
      </c>
      <c r="BO4762" s="2">
        <v>47.24</v>
      </c>
      <c r="BP4762" s="2"/>
      <c r="BQ4762" s="2" t="s">
        <v>83</v>
      </c>
      <c r="BR4762" s="2" t="s">
        <v>84</v>
      </c>
      <c r="BS4762" s="3">
        <v>42954</v>
      </c>
      <c r="BT4762" s="4">
        <v>0.43194444444444446</v>
      </c>
      <c r="BU4762" s="2" t="s">
        <v>4198</v>
      </c>
      <c r="BV4762" s="2" t="s">
        <v>95</v>
      </c>
      <c r="BW4762" s="2"/>
      <c r="BX4762" s="2"/>
      <c r="BY4762" s="2">
        <v>1200</v>
      </c>
      <c r="BZ4762" s="2"/>
      <c r="CA4762" s="2" t="s">
        <v>2641</v>
      </c>
      <c r="CB4762" s="2"/>
      <c r="CC4762" s="2" t="s">
        <v>238</v>
      </c>
      <c r="CD4762" s="2">
        <v>3610</v>
      </c>
      <c r="CE4762" s="2" t="s">
        <v>104</v>
      </c>
      <c r="CF4762" s="5">
        <v>42955</v>
      </c>
      <c r="CG4762" s="2"/>
      <c r="CH4762" s="2"/>
      <c r="CI4762" s="2">
        <v>1</v>
      </c>
      <c r="CJ4762" s="2">
        <v>1</v>
      </c>
      <c r="CK4762" s="2">
        <v>21</v>
      </c>
      <c r="CL4762" s="2" t="s">
        <v>86</v>
      </c>
      <c r="CM4762" s="2"/>
    </row>
    <row r="4763" spans="1:91">
      <c r="A4763" s="2" t="s">
        <v>71</v>
      </c>
      <c r="B4763" s="2" t="s">
        <v>72</v>
      </c>
      <c r="C4763" s="2" t="s">
        <v>73</v>
      </c>
      <c r="D4763" s="2"/>
      <c r="E4763" s="2" t="str">
        <f>"FES1162567182"</f>
        <v>FES1162567182</v>
      </c>
      <c r="F4763" s="3">
        <v>42951</v>
      </c>
      <c r="G4763" s="2">
        <v>201802</v>
      </c>
      <c r="H4763" s="2" t="s">
        <v>74</v>
      </c>
      <c r="I4763" s="2" t="s">
        <v>75</v>
      </c>
      <c r="J4763" s="2" t="s">
        <v>76</v>
      </c>
      <c r="K4763" s="2" t="s">
        <v>77</v>
      </c>
      <c r="L4763" s="2" t="s">
        <v>244</v>
      </c>
      <c r="M4763" s="2" t="s">
        <v>245</v>
      </c>
      <c r="N4763" s="2" t="s">
        <v>918</v>
      </c>
      <c r="O4763" s="2" t="s">
        <v>100</v>
      </c>
      <c r="P4763" s="2" t="str">
        <f>"2170581050                    "</f>
        <v xml:space="preserve">2170581050                    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2">
        <v>0</v>
      </c>
      <c r="Z4763" s="2">
        <v>0</v>
      </c>
      <c r="AA4763" s="2">
        <v>0</v>
      </c>
      <c r="AB4763" s="2">
        <v>0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3.13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0</v>
      </c>
      <c r="AU4763" s="2">
        <v>0</v>
      </c>
      <c r="AV4763" s="2">
        <v>0</v>
      </c>
      <c r="AW4763" s="2">
        <v>0</v>
      </c>
      <c r="AX4763" s="2">
        <v>0</v>
      </c>
      <c r="AY4763" s="2">
        <v>0</v>
      </c>
      <c r="AZ4763" s="2">
        <v>0</v>
      </c>
      <c r="BA4763" s="2">
        <v>0</v>
      </c>
      <c r="BB4763" s="2">
        <v>0</v>
      </c>
      <c r="BC4763" s="2">
        <v>0</v>
      </c>
      <c r="BD4763" s="2">
        <v>0</v>
      </c>
      <c r="BE4763" s="2">
        <v>0</v>
      </c>
      <c r="BF4763" s="2">
        <v>0</v>
      </c>
      <c r="BG4763" s="2">
        <v>0</v>
      </c>
      <c r="BH4763" s="2">
        <v>1</v>
      </c>
      <c r="BI4763" s="2">
        <v>1</v>
      </c>
      <c r="BJ4763" s="2">
        <v>0.2</v>
      </c>
      <c r="BK4763" s="2">
        <v>1</v>
      </c>
      <c r="BL4763" s="2">
        <v>32.380000000000003</v>
      </c>
      <c r="BM4763" s="2">
        <v>4.53</v>
      </c>
      <c r="BN4763" s="2">
        <v>36.909999999999997</v>
      </c>
      <c r="BO4763" s="2">
        <v>36.909999999999997</v>
      </c>
      <c r="BP4763" s="2"/>
      <c r="BQ4763" s="2" t="s">
        <v>3678</v>
      </c>
      <c r="BR4763" s="2" t="s">
        <v>84</v>
      </c>
      <c r="BS4763" s="3">
        <v>42954</v>
      </c>
      <c r="BT4763" s="4">
        <v>0.44791666666666669</v>
      </c>
      <c r="BU4763" s="2" t="s">
        <v>4196</v>
      </c>
      <c r="BV4763" s="2" t="s">
        <v>95</v>
      </c>
      <c r="BW4763" s="2"/>
      <c r="BX4763" s="2"/>
      <c r="BY4763" s="2">
        <v>1200</v>
      </c>
      <c r="BZ4763" s="2"/>
      <c r="CA4763" s="2"/>
      <c r="CB4763" s="2"/>
      <c r="CC4763" s="2" t="s">
        <v>245</v>
      </c>
      <c r="CD4763" s="2">
        <v>1459</v>
      </c>
      <c r="CE4763" s="2" t="s">
        <v>104</v>
      </c>
      <c r="CF4763" s="5">
        <v>42955</v>
      </c>
      <c r="CG4763" s="2"/>
      <c r="CH4763" s="2"/>
      <c r="CI4763" s="2">
        <v>1</v>
      </c>
      <c r="CJ4763" s="2">
        <v>1</v>
      </c>
      <c r="CK4763" s="2">
        <v>22</v>
      </c>
      <c r="CL4763" s="2" t="s">
        <v>86</v>
      </c>
      <c r="CM4763" s="2"/>
    </row>
    <row r="4764" spans="1:91">
      <c r="A4764" s="2" t="s">
        <v>71</v>
      </c>
      <c r="B4764" s="2" t="s">
        <v>72</v>
      </c>
      <c r="C4764" s="2" t="s">
        <v>73</v>
      </c>
      <c r="D4764" s="2"/>
      <c r="E4764" s="2" t="str">
        <f>"FES1162567244"</f>
        <v>FES1162567244</v>
      </c>
      <c r="F4764" s="3">
        <v>42951</v>
      </c>
      <c r="G4764" s="2">
        <v>201802</v>
      </c>
      <c r="H4764" s="2" t="s">
        <v>74</v>
      </c>
      <c r="I4764" s="2" t="s">
        <v>75</v>
      </c>
      <c r="J4764" s="2" t="s">
        <v>76</v>
      </c>
      <c r="K4764" s="2" t="s">
        <v>77</v>
      </c>
      <c r="L4764" s="2" t="s">
        <v>149</v>
      </c>
      <c r="M4764" s="2" t="s">
        <v>150</v>
      </c>
      <c r="N4764" s="2" t="s">
        <v>4199</v>
      </c>
      <c r="O4764" s="2" t="s">
        <v>81</v>
      </c>
      <c r="P4764" s="2" t="str">
        <f>"21705874793                   "</f>
        <v xml:space="preserve">21705874793                   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0</v>
      </c>
      <c r="Y4764" s="2">
        <v>0</v>
      </c>
      <c r="Z4764" s="2">
        <v>0</v>
      </c>
      <c r="AA4764" s="2">
        <v>0</v>
      </c>
      <c r="AB4764" s="2">
        <v>0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8.48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0</v>
      </c>
      <c r="AU4764" s="2">
        <v>0</v>
      </c>
      <c r="AV4764" s="2">
        <v>0</v>
      </c>
      <c r="AW4764" s="2">
        <v>0</v>
      </c>
      <c r="AX4764" s="2">
        <v>0</v>
      </c>
      <c r="AY4764" s="2">
        <v>0</v>
      </c>
      <c r="AZ4764" s="2">
        <v>0</v>
      </c>
      <c r="BA4764" s="2">
        <v>0</v>
      </c>
      <c r="BB4764" s="2">
        <v>0</v>
      </c>
      <c r="BC4764" s="2">
        <v>0</v>
      </c>
      <c r="BD4764" s="2">
        <v>0</v>
      </c>
      <c r="BE4764" s="2">
        <v>0</v>
      </c>
      <c r="BF4764" s="2">
        <v>0</v>
      </c>
      <c r="BG4764" s="2">
        <v>0</v>
      </c>
      <c r="BH4764" s="2">
        <v>1</v>
      </c>
      <c r="BI4764" s="2">
        <v>26.8</v>
      </c>
      <c r="BJ4764" s="2">
        <v>25</v>
      </c>
      <c r="BK4764" s="2">
        <v>27</v>
      </c>
      <c r="BL4764" s="2">
        <v>92.77</v>
      </c>
      <c r="BM4764" s="2">
        <v>12.99</v>
      </c>
      <c r="BN4764" s="2">
        <v>105.76</v>
      </c>
      <c r="BO4764" s="2">
        <v>105.76</v>
      </c>
      <c r="BP4764" s="2"/>
      <c r="BQ4764" s="2" t="s">
        <v>365</v>
      </c>
      <c r="BR4764" s="2" t="s">
        <v>84</v>
      </c>
      <c r="BS4764" s="3">
        <v>42954</v>
      </c>
      <c r="BT4764" s="4">
        <v>0.54097222222222219</v>
      </c>
      <c r="BU4764" s="2" t="s">
        <v>4200</v>
      </c>
      <c r="BV4764" s="2" t="s">
        <v>95</v>
      </c>
      <c r="BW4764" s="2"/>
      <c r="BX4764" s="2"/>
      <c r="BY4764" s="2">
        <v>124806</v>
      </c>
      <c r="BZ4764" s="2"/>
      <c r="CA4764" s="2" t="s">
        <v>4201</v>
      </c>
      <c r="CB4764" s="2"/>
      <c r="CC4764" s="2" t="s">
        <v>150</v>
      </c>
      <c r="CD4764" s="2">
        <v>4022</v>
      </c>
      <c r="CE4764" s="2" t="s">
        <v>948</v>
      </c>
      <c r="CF4764" s="5">
        <v>42954</v>
      </c>
      <c r="CG4764" s="2"/>
      <c r="CH4764" s="2"/>
      <c r="CI4764" s="2">
        <v>0</v>
      </c>
      <c r="CJ4764" s="2">
        <v>0</v>
      </c>
      <c r="CK4764" s="2" t="s">
        <v>153</v>
      </c>
      <c r="CL4764" s="2" t="s">
        <v>86</v>
      </c>
      <c r="CM4764" s="2"/>
    </row>
    <row r="4765" spans="1:91">
      <c r="A4765" s="2" t="s">
        <v>71</v>
      </c>
      <c r="B4765" s="2" t="s">
        <v>72</v>
      </c>
      <c r="C4765" s="2" t="s">
        <v>73</v>
      </c>
      <c r="D4765" s="2"/>
      <c r="E4765" s="2" t="str">
        <f>"FES1162566669"</f>
        <v>FES1162566669</v>
      </c>
      <c r="F4765" s="3">
        <v>42951</v>
      </c>
      <c r="G4765" s="2">
        <v>201802</v>
      </c>
      <c r="H4765" s="2" t="s">
        <v>74</v>
      </c>
      <c r="I4765" s="2" t="s">
        <v>75</v>
      </c>
      <c r="J4765" s="2" t="s">
        <v>76</v>
      </c>
      <c r="K4765" s="2" t="s">
        <v>77</v>
      </c>
      <c r="L4765" s="2" t="s">
        <v>244</v>
      </c>
      <c r="M4765" s="2" t="s">
        <v>245</v>
      </c>
      <c r="N4765" s="2" t="s">
        <v>918</v>
      </c>
      <c r="O4765" s="2" t="s">
        <v>81</v>
      </c>
      <c r="P4765" s="2" t="str">
        <f>"2170587635                    "</f>
        <v xml:space="preserve">2170587635                    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2">
        <v>0</v>
      </c>
      <c r="Z4765" s="2">
        <v>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7.32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0</v>
      </c>
      <c r="AU4765" s="2">
        <v>0</v>
      </c>
      <c r="AV4765" s="2">
        <v>0</v>
      </c>
      <c r="AW4765" s="2">
        <v>0</v>
      </c>
      <c r="AX4765" s="2">
        <v>0</v>
      </c>
      <c r="AY4765" s="2">
        <v>0</v>
      </c>
      <c r="AZ4765" s="2">
        <v>0</v>
      </c>
      <c r="BA4765" s="2">
        <v>0</v>
      </c>
      <c r="BB4765" s="2">
        <v>0</v>
      </c>
      <c r="BC4765" s="2">
        <v>0</v>
      </c>
      <c r="BD4765" s="2">
        <v>0</v>
      </c>
      <c r="BE4765" s="2">
        <v>0</v>
      </c>
      <c r="BF4765" s="2">
        <v>0</v>
      </c>
      <c r="BG4765" s="2">
        <v>0</v>
      </c>
      <c r="BH4765" s="2">
        <v>1</v>
      </c>
      <c r="BI4765" s="2">
        <v>23.9</v>
      </c>
      <c r="BJ4765" s="2">
        <v>3.1</v>
      </c>
      <c r="BK4765" s="2">
        <v>24</v>
      </c>
      <c r="BL4765" s="2">
        <v>80.81</v>
      </c>
      <c r="BM4765" s="2">
        <v>11.31</v>
      </c>
      <c r="BN4765" s="2">
        <v>92.12</v>
      </c>
      <c r="BO4765" s="2">
        <v>92.12</v>
      </c>
      <c r="BP4765" s="2"/>
      <c r="BQ4765" s="2" t="s">
        <v>3678</v>
      </c>
      <c r="BR4765" s="2" t="s">
        <v>84</v>
      </c>
      <c r="BS4765" s="3">
        <v>42954</v>
      </c>
      <c r="BT4765" s="4">
        <v>0.55972222222222223</v>
      </c>
      <c r="BU4765" s="2" t="s">
        <v>4196</v>
      </c>
      <c r="BV4765" s="2" t="s">
        <v>95</v>
      </c>
      <c r="BW4765" s="2"/>
      <c r="BX4765" s="2"/>
      <c r="BY4765" s="2">
        <v>15416.66</v>
      </c>
      <c r="BZ4765" s="2"/>
      <c r="CA4765" s="2"/>
      <c r="CB4765" s="2"/>
      <c r="CC4765" s="2" t="s">
        <v>245</v>
      </c>
      <c r="CD4765" s="2">
        <v>1459</v>
      </c>
      <c r="CE4765" s="2" t="s">
        <v>948</v>
      </c>
      <c r="CF4765" s="5">
        <v>42957</v>
      </c>
      <c r="CG4765" s="2"/>
      <c r="CH4765" s="2"/>
      <c r="CI4765" s="2">
        <v>0</v>
      </c>
      <c r="CJ4765" s="2">
        <v>0</v>
      </c>
      <c r="CK4765" s="2" t="s">
        <v>132</v>
      </c>
      <c r="CL4765" s="2" t="s">
        <v>86</v>
      </c>
      <c r="CM4765" s="2"/>
    </row>
    <row r="4766" spans="1:91">
      <c r="A4766" s="2" t="s">
        <v>71</v>
      </c>
      <c r="B4766" s="2" t="s">
        <v>72</v>
      </c>
      <c r="C4766" s="2" t="s">
        <v>73</v>
      </c>
      <c r="D4766" s="2"/>
      <c r="E4766" s="2" t="str">
        <f>"FES1162567162"</f>
        <v>FES1162567162</v>
      </c>
      <c r="F4766" s="3">
        <v>42951</v>
      </c>
      <c r="G4766" s="2">
        <v>201802</v>
      </c>
      <c r="H4766" s="2" t="s">
        <v>74</v>
      </c>
      <c r="I4766" s="2" t="s">
        <v>75</v>
      </c>
      <c r="J4766" s="2" t="s">
        <v>76</v>
      </c>
      <c r="K4766" s="2" t="s">
        <v>77</v>
      </c>
      <c r="L4766" s="2" t="s">
        <v>510</v>
      </c>
      <c r="M4766" s="2" t="s">
        <v>511</v>
      </c>
      <c r="N4766" s="2" t="s">
        <v>2112</v>
      </c>
      <c r="O4766" s="2" t="s">
        <v>81</v>
      </c>
      <c r="P4766" s="2" t="str">
        <f>"2170583111                    "</f>
        <v xml:space="preserve">2170583111                    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14.5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0</v>
      </c>
      <c r="AU4766" s="2">
        <v>0</v>
      </c>
      <c r="AV4766" s="2">
        <v>0</v>
      </c>
      <c r="AW4766" s="2">
        <v>0</v>
      </c>
      <c r="AX4766" s="2">
        <v>0</v>
      </c>
      <c r="AY4766" s="2">
        <v>0</v>
      </c>
      <c r="AZ4766" s="2">
        <v>0</v>
      </c>
      <c r="BA4766" s="2">
        <v>0</v>
      </c>
      <c r="BB4766" s="2">
        <v>0</v>
      </c>
      <c r="BC4766" s="2">
        <v>0</v>
      </c>
      <c r="BD4766" s="2">
        <v>0</v>
      </c>
      <c r="BE4766" s="2">
        <v>0</v>
      </c>
      <c r="BF4766" s="2">
        <v>0</v>
      </c>
      <c r="BG4766" s="2">
        <v>0</v>
      </c>
      <c r="BH4766" s="2">
        <v>1</v>
      </c>
      <c r="BI4766" s="2">
        <v>23.8</v>
      </c>
      <c r="BJ4766" s="2">
        <v>32.1</v>
      </c>
      <c r="BK4766" s="2">
        <v>33</v>
      </c>
      <c r="BL4766" s="2">
        <v>155.18</v>
      </c>
      <c r="BM4766" s="2">
        <v>21.73</v>
      </c>
      <c r="BN4766" s="2">
        <v>176.91</v>
      </c>
      <c r="BO4766" s="2">
        <v>176.91</v>
      </c>
      <c r="BP4766" s="2"/>
      <c r="BQ4766" s="2" t="s">
        <v>108</v>
      </c>
      <c r="BR4766" s="2" t="s">
        <v>84</v>
      </c>
      <c r="BS4766" s="3">
        <v>42954</v>
      </c>
      <c r="BT4766" s="4">
        <v>0.61597222222222225</v>
      </c>
      <c r="BU4766" s="2" t="s">
        <v>4202</v>
      </c>
      <c r="BV4766" s="2" t="s">
        <v>95</v>
      </c>
      <c r="BW4766" s="2"/>
      <c r="BX4766" s="2"/>
      <c r="BY4766" s="2">
        <v>160644.12</v>
      </c>
      <c r="BZ4766" s="2"/>
      <c r="CA4766" s="2" t="s">
        <v>4203</v>
      </c>
      <c r="CB4766" s="2"/>
      <c r="CC4766" s="2" t="s">
        <v>511</v>
      </c>
      <c r="CD4766" s="2">
        <v>6230</v>
      </c>
      <c r="CE4766" s="2" t="s">
        <v>89</v>
      </c>
      <c r="CF4766" s="5">
        <v>42954</v>
      </c>
      <c r="CG4766" s="2"/>
      <c r="CH4766" s="2"/>
      <c r="CI4766" s="2">
        <v>0</v>
      </c>
      <c r="CJ4766" s="2">
        <v>0</v>
      </c>
      <c r="CK4766" s="2" t="s">
        <v>136</v>
      </c>
      <c r="CL4766" s="2" t="s">
        <v>86</v>
      </c>
      <c r="CM4766" s="2"/>
    </row>
    <row r="4767" spans="1:91">
      <c r="A4767" s="2" t="s">
        <v>71</v>
      </c>
      <c r="B4767" s="2" t="s">
        <v>72</v>
      </c>
      <c r="C4767" s="2" t="s">
        <v>73</v>
      </c>
      <c r="D4767" s="2"/>
      <c r="E4767" s="2" t="str">
        <f>"FES1162566995"</f>
        <v>FES1162566995</v>
      </c>
      <c r="F4767" s="3">
        <v>42951</v>
      </c>
      <c r="G4767" s="2">
        <v>201802</v>
      </c>
      <c r="H4767" s="2" t="s">
        <v>74</v>
      </c>
      <c r="I4767" s="2" t="s">
        <v>75</v>
      </c>
      <c r="J4767" s="2" t="s">
        <v>76</v>
      </c>
      <c r="K4767" s="2" t="s">
        <v>77</v>
      </c>
      <c r="L4767" s="2" t="s">
        <v>206</v>
      </c>
      <c r="M4767" s="2" t="s">
        <v>207</v>
      </c>
      <c r="N4767" s="2" t="s">
        <v>1134</v>
      </c>
      <c r="O4767" s="2" t="s">
        <v>81</v>
      </c>
      <c r="P4767" s="2" t="str">
        <f>"2170581535                    "</f>
        <v xml:space="preserve">2170581535                    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</v>
      </c>
      <c r="Y4767" s="2">
        <v>0</v>
      </c>
      <c r="Z4767" s="2">
        <v>0</v>
      </c>
      <c r="AA4767" s="2">
        <v>0</v>
      </c>
      <c r="AB4767" s="2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7.5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0</v>
      </c>
      <c r="AT4767" s="2">
        <v>0</v>
      </c>
      <c r="AU4767" s="2">
        <v>0</v>
      </c>
      <c r="AV4767" s="2">
        <v>0</v>
      </c>
      <c r="AW4767" s="2">
        <v>0</v>
      </c>
      <c r="AX4767" s="2">
        <v>0</v>
      </c>
      <c r="AY4767" s="2">
        <v>0</v>
      </c>
      <c r="AZ4767" s="2">
        <v>0</v>
      </c>
      <c r="BA4767" s="2">
        <v>0</v>
      </c>
      <c r="BB4767" s="2">
        <v>0</v>
      </c>
      <c r="BC4767" s="2">
        <v>0</v>
      </c>
      <c r="BD4767" s="2">
        <v>0</v>
      </c>
      <c r="BE4767" s="2">
        <v>0</v>
      </c>
      <c r="BF4767" s="2">
        <v>0</v>
      </c>
      <c r="BG4767" s="2">
        <v>0</v>
      </c>
      <c r="BH4767" s="2">
        <v>1</v>
      </c>
      <c r="BI4767" s="2">
        <v>5</v>
      </c>
      <c r="BJ4767" s="2">
        <v>9.9</v>
      </c>
      <c r="BK4767" s="2">
        <v>10</v>
      </c>
      <c r="BL4767" s="2">
        <v>82.7</v>
      </c>
      <c r="BM4767" s="2">
        <v>11.58</v>
      </c>
      <c r="BN4767" s="2">
        <v>94.28</v>
      </c>
      <c r="BO4767" s="2">
        <v>94.28</v>
      </c>
      <c r="BP4767" s="2"/>
      <c r="BQ4767" s="2" t="s">
        <v>4204</v>
      </c>
      <c r="BR4767" s="2" t="s">
        <v>84</v>
      </c>
      <c r="BS4767" s="3">
        <v>42954</v>
      </c>
      <c r="BT4767" s="4">
        <v>0.66319444444444442</v>
      </c>
      <c r="BU4767" s="2" t="s">
        <v>4205</v>
      </c>
      <c r="BV4767" s="2" t="s">
        <v>95</v>
      </c>
      <c r="BW4767" s="2"/>
      <c r="BX4767" s="2"/>
      <c r="BY4767" s="2">
        <v>49284</v>
      </c>
      <c r="BZ4767" s="2"/>
      <c r="CA4767" s="2" t="s">
        <v>700</v>
      </c>
      <c r="CB4767" s="2"/>
      <c r="CC4767" s="2" t="s">
        <v>207</v>
      </c>
      <c r="CD4767" s="2">
        <v>216</v>
      </c>
      <c r="CE4767" s="2" t="s">
        <v>948</v>
      </c>
      <c r="CF4767" s="5">
        <v>42957</v>
      </c>
      <c r="CG4767" s="2"/>
      <c r="CH4767" s="2"/>
      <c r="CI4767" s="2">
        <v>0</v>
      </c>
      <c r="CJ4767" s="2">
        <v>0</v>
      </c>
      <c r="CK4767" s="2" t="s">
        <v>163</v>
      </c>
      <c r="CL4767" s="2" t="s">
        <v>86</v>
      </c>
      <c r="CM4767" s="2"/>
    </row>
    <row r="4768" spans="1:91">
      <c r="A4768" s="2" t="s">
        <v>71</v>
      </c>
      <c r="B4768" s="2" t="s">
        <v>72</v>
      </c>
      <c r="C4768" s="2" t="s">
        <v>73</v>
      </c>
      <c r="D4768" s="2"/>
      <c r="E4768" s="2" t="str">
        <f>"FES1162567020"</f>
        <v>FES1162567020</v>
      </c>
      <c r="F4768" s="3">
        <v>42951</v>
      </c>
      <c r="G4768" s="2">
        <v>201802</v>
      </c>
      <c r="H4768" s="2" t="s">
        <v>74</v>
      </c>
      <c r="I4768" s="2" t="s">
        <v>75</v>
      </c>
      <c r="J4768" s="2" t="s">
        <v>76</v>
      </c>
      <c r="K4768" s="2" t="s">
        <v>77</v>
      </c>
      <c r="L4768" s="2" t="s">
        <v>97</v>
      </c>
      <c r="M4768" s="2" t="s">
        <v>98</v>
      </c>
      <c r="N4768" s="2" t="s">
        <v>2597</v>
      </c>
      <c r="O4768" s="2" t="s">
        <v>100</v>
      </c>
      <c r="P4768" s="2" t="str">
        <f>"2170583271                    "</f>
        <v xml:space="preserve">2170583271                    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4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0</v>
      </c>
      <c r="AU4768" s="2">
        <v>0</v>
      </c>
      <c r="AV4768" s="2">
        <v>0</v>
      </c>
      <c r="AW4768" s="2">
        <v>0</v>
      </c>
      <c r="AX4768" s="2">
        <v>0</v>
      </c>
      <c r="AY4768" s="2">
        <v>0</v>
      </c>
      <c r="AZ4768" s="2">
        <v>0</v>
      </c>
      <c r="BA4768" s="2">
        <v>0</v>
      </c>
      <c r="BB4768" s="2">
        <v>0</v>
      </c>
      <c r="BC4768" s="2">
        <v>0</v>
      </c>
      <c r="BD4768" s="2">
        <v>0</v>
      </c>
      <c r="BE4768" s="2">
        <v>0</v>
      </c>
      <c r="BF4768" s="2">
        <v>0</v>
      </c>
      <c r="BG4768" s="2">
        <v>0</v>
      </c>
      <c r="BH4768" s="2">
        <v>1</v>
      </c>
      <c r="BI4768" s="2">
        <v>1</v>
      </c>
      <c r="BJ4768" s="2">
        <v>0.2</v>
      </c>
      <c r="BK4768" s="2">
        <v>1</v>
      </c>
      <c r="BL4768" s="2">
        <v>41.44</v>
      </c>
      <c r="BM4768" s="2">
        <v>5.8</v>
      </c>
      <c r="BN4768" s="2">
        <v>47.24</v>
      </c>
      <c r="BO4768" s="2">
        <v>47.24</v>
      </c>
      <c r="BP4768" s="2"/>
      <c r="BQ4768" s="2" t="s">
        <v>4113</v>
      </c>
      <c r="BR4768" s="2" t="s">
        <v>84</v>
      </c>
      <c r="BS4768" s="3">
        <v>42954</v>
      </c>
      <c r="BT4768" s="4">
        <v>0.29166666666666669</v>
      </c>
      <c r="BU4768" s="2" t="s">
        <v>2598</v>
      </c>
      <c r="BV4768" s="2" t="s">
        <v>95</v>
      </c>
      <c r="BW4768" s="2"/>
      <c r="BX4768" s="2"/>
      <c r="BY4768" s="2">
        <v>1200</v>
      </c>
      <c r="BZ4768" s="2"/>
      <c r="CA4768" s="2" t="s">
        <v>294</v>
      </c>
      <c r="CB4768" s="2"/>
      <c r="CC4768" s="2" t="s">
        <v>98</v>
      </c>
      <c r="CD4768" s="2">
        <v>6012</v>
      </c>
      <c r="CE4768" s="2" t="s">
        <v>104</v>
      </c>
      <c r="CF4768" s="5">
        <v>42955</v>
      </c>
      <c r="CG4768" s="2"/>
      <c r="CH4768" s="2"/>
      <c r="CI4768" s="2">
        <v>1</v>
      </c>
      <c r="CJ4768" s="2">
        <v>1</v>
      </c>
      <c r="CK4768" s="2">
        <v>21</v>
      </c>
      <c r="CL4768" s="2" t="s">
        <v>86</v>
      </c>
      <c r="CM4768" s="2"/>
    </row>
    <row r="4769" spans="1:91">
      <c r="A4769" s="2" t="s">
        <v>71</v>
      </c>
      <c r="B4769" s="2" t="s">
        <v>72</v>
      </c>
      <c r="C4769" s="2" t="s">
        <v>73</v>
      </c>
      <c r="D4769" s="2"/>
      <c r="E4769" s="2" t="str">
        <f>"FES1162567300"</f>
        <v>FES1162567300</v>
      </c>
      <c r="F4769" s="3">
        <v>42954</v>
      </c>
      <c r="G4769" s="2">
        <v>201802</v>
      </c>
      <c r="H4769" s="2" t="s">
        <v>74</v>
      </c>
      <c r="I4769" s="2" t="s">
        <v>75</v>
      </c>
      <c r="J4769" s="2" t="s">
        <v>76</v>
      </c>
      <c r="K4769" s="2" t="s">
        <v>77</v>
      </c>
      <c r="L4769" s="2" t="s">
        <v>105</v>
      </c>
      <c r="M4769" s="2" t="s">
        <v>106</v>
      </c>
      <c r="N4769" s="2" t="s">
        <v>397</v>
      </c>
      <c r="O4769" s="2" t="s">
        <v>100</v>
      </c>
      <c r="P4769" s="2" t="str">
        <f>"2170583457                    "</f>
        <v xml:space="preserve">2170583457                    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0</v>
      </c>
      <c r="Y4769" s="2">
        <v>0</v>
      </c>
      <c r="Z4769" s="2">
        <v>0</v>
      </c>
      <c r="AA4769" s="2">
        <v>0</v>
      </c>
      <c r="AB4769" s="2">
        <v>0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27.02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0</v>
      </c>
      <c r="AU4769" s="2">
        <v>0</v>
      </c>
      <c r="AV4769" s="2">
        <v>0</v>
      </c>
      <c r="AW4769" s="2">
        <v>0</v>
      </c>
      <c r="AX4769" s="2">
        <v>0</v>
      </c>
      <c r="AY4769" s="2">
        <v>0</v>
      </c>
      <c r="AZ4769" s="2">
        <v>0</v>
      </c>
      <c r="BA4769" s="2">
        <v>0</v>
      </c>
      <c r="BB4769" s="2">
        <v>0</v>
      </c>
      <c r="BC4769" s="2">
        <v>0</v>
      </c>
      <c r="BD4769" s="2">
        <v>0</v>
      </c>
      <c r="BE4769" s="2">
        <v>0</v>
      </c>
      <c r="BF4769" s="2">
        <v>0</v>
      </c>
      <c r="BG4769" s="2">
        <v>0</v>
      </c>
      <c r="BH4769" s="2">
        <v>1</v>
      </c>
      <c r="BI4769" s="2">
        <v>13.3</v>
      </c>
      <c r="BJ4769" s="2">
        <v>6.3</v>
      </c>
      <c r="BK4769" s="2">
        <v>13.5</v>
      </c>
      <c r="BL4769" s="2">
        <v>279.74</v>
      </c>
      <c r="BM4769" s="2">
        <v>39.159999999999997</v>
      </c>
      <c r="BN4769" s="2">
        <v>318.89999999999998</v>
      </c>
      <c r="BO4769" s="2">
        <v>318.89999999999998</v>
      </c>
      <c r="BP4769" s="2"/>
      <c r="BQ4769" s="2" t="s">
        <v>83</v>
      </c>
      <c r="BR4769" s="2" t="s">
        <v>84</v>
      </c>
      <c r="BS4769" s="3">
        <v>42955</v>
      </c>
      <c r="BT4769" s="4">
        <v>0.38263888888888892</v>
      </c>
      <c r="BU4769" s="2" t="s">
        <v>779</v>
      </c>
      <c r="BV4769" s="2" t="s">
        <v>95</v>
      </c>
      <c r="BW4769" s="2"/>
      <c r="BX4769" s="2"/>
      <c r="BY4769" s="2">
        <v>31411.52</v>
      </c>
      <c r="BZ4769" s="2"/>
      <c r="CA4769" s="2" t="s">
        <v>112</v>
      </c>
      <c r="CB4769" s="2"/>
      <c r="CC4769" s="2" t="s">
        <v>106</v>
      </c>
      <c r="CD4769" s="2">
        <v>7405</v>
      </c>
      <c r="CE4769" s="2" t="s">
        <v>89</v>
      </c>
      <c r="CF4769" s="5">
        <v>42957</v>
      </c>
      <c r="CG4769" s="2"/>
      <c r="CH4769" s="2"/>
      <c r="CI4769" s="2">
        <v>1</v>
      </c>
      <c r="CJ4769" s="2">
        <v>1</v>
      </c>
      <c r="CK4769" s="2">
        <v>21</v>
      </c>
      <c r="CL4769" s="2" t="s">
        <v>86</v>
      </c>
      <c r="CM4769" s="2"/>
    </row>
    <row r="4770" spans="1:91">
      <c r="A4770" s="2" t="s">
        <v>71</v>
      </c>
      <c r="B4770" s="2" t="s">
        <v>72</v>
      </c>
      <c r="C4770" s="2" t="s">
        <v>73</v>
      </c>
      <c r="D4770" s="2"/>
      <c r="E4770" s="2" t="str">
        <f>"FES1162567554"</f>
        <v>FES1162567554</v>
      </c>
      <c r="F4770" s="3">
        <v>42954</v>
      </c>
      <c r="G4770" s="2">
        <v>201802</v>
      </c>
      <c r="H4770" s="2" t="s">
        <v>74</v>
      </c>
      <c r="I4770" s="2" t="s">
        <v>75</v>
      </c>
      <c r="J4770" s="2" t="s">
        <v>76</v>
      </c>
      <c r="K4770" s="2" t="s">
        <v>77</v>
      </c>
      <c r="L4770" s="2" t="s">
        <v>105</v>
      </c>
      <c r="M4770" s="2" t="s">
        <v>106</v>
      </c>
      <c r="N4770" s="2" t="s">
        <v>107</v>
      </c>
      <c r="O4770" s="2" t="s">
        <v>100</v>
      </c>
      <c r="P4770" s="2" t="str">
        <f>"2170583701                    "</f>
        <v xml:space="preserve">2170583701                    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4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0</v>
      </c>
      <c r="AU4770" s="2">
        <v>0</v>
      </c>
      <c r="AV4770" s="2">
        <v>0</v>
      </c>
      <c r="AW4770" s="2">
        <v>0</v>
      </c>
      <c r="AX4770" s="2">
        <v>0</v>
      </c>
      <c r="AY4770" s="2">
        <v>0</v>
      </c>
      <c r="AZ4770" s="2">
        <v>0</v>
      </c>
      <c r="BA4770" s="2">
        <v>0</v>
      </c>
      <c r="BB4770" s="2">
        <v>0</v>
      </c>
      <c r="BC4770" s="2">
        <v>0</v>
      </c>
      <c r="BD4770" s="2">
        <v>0</v>
      </c>
      <c r="BE4770" s="2">
        <v>0</v>
      </c>
      <c r="BF4770" s="2">
        <v>0</v>
      </c>
      <c r="BG4770" s="2">
        <v>0</v>
      </c>
      <c r="BH4770" s="2">
        <v>1</v>
      </c>
      <c r="BI4770" s="2">
        <v>0.5</v>
      </c>
      <c r="BJ4770" s="2">
        <v>1</v>
      </c>
      <c r="BK4770" s="2">
        <v>1</v>
      </c>
      <c r="BL4770" s="2">
        <v>41.44</v>
      </c>
      <c r="BM4770" s="2">
        <v>5.8</v>
      </c>
      <c r="BN4770" s="2">
        <v>47.24</v>
      </c>
      <c r="BO4770" s="2">
        <v>47.24</v>
      </c>
      <c r="BP4770" s="2"/>
      <c r="BQ4770" s="2" t="s">
        <v>108</v>
      </c>
      <c r="BR4770" s="2" t="s">
        <v>84</v>
      </c>
      <c r="BS4770" s="3">
        <v>42955</v>
      </c>
      <c r="BT4770" s="4">
        <v>0.4069444444444445</v>
      </c>
      <c r="BU4770" s="2" t="s">
        <v>236</v>
      </c>
      <c r="BV4770" s="2" t="s">
        <v>95</v>
      </c>
      <c r="BW4770" s="2"/>
      <c r="BX4770" s="2"/>
      <c r="BY4770" s="2">
        <v>5031.3900000000003</v>
      </c>
      <c r="BZ4770" s="2"/>
      <c r="CA4770" s="2" t="s">
        <v>112</v>
      </c>
      <c r="CB4770" s="2"/>
      <c r="CC4770" s="2" t="s">
        <v>106</v>
      </c>
      <c r="CD4770" s="2">
        <v>7405</v>
      </c>
      <c r="CE4770" s="2" t="s">
        <v>89</v>
      </c>
      <c r="CF4770" s="5">
        <v>42957</v>
      </c>
      <c r="CG4770" s="2"/>
      <c r="CH4770" s="2"/>
      <c r="CI4770" s="2">
        <v>1</v>
      </c>
      <c r="CJ4770" s="2">
        <v>1</v>
      </c>
      <c r="CK4770" s="2">
        <v>21</v>
      </c>
      <c r="CL4770" s="2" t="s">
        <v>86</v>
      </c>
      <c r="CM4770" s="2"/>
    </row>
    <row r="4771" spans="1:91">
      <c r="A4771" s="2" t="s">
        <v>71</v>
      </c>
      <c r="B4771" s="2" t="s">
        <v>72</v>
      </c>
      <c r="C4771" s="2" t="s">
        <v>73</v>
      </c>
      <c r="D4771" s="2"/>
      <c r="E4771" s="2" t="str">
        <f>"FES1162567512"</f>
        <v>FES1162567512</v>
      </c>
      <c r="F4771" s="3">
        <v>42954</v>
      </c>
      <c r="G4771" s="2">
        <v>201802</v>
      </c>
      <c r="H4771" s="2" t="s">
        <v>74</v>
      </c>
      <c r="I4771" s="2" t="s">
        <v>75</v>
      </c>
      <c r="J4771" s="2" t="s">
        <v>76</v>
      </c>
      <c r="K4771" s="2" t="s">
        <v>77</v>
      </c>
      <c r="L4771" s="2" t="s">
        <v>417</v>
      </c>
      <c r="M4771" s="2" t="s">
        <v>417</v>
      </c>
      <c r="N4771" s="2" t="s">
        <v>1414</v>
      </c>
      <c r="O4771" s="2" t="s">
        <v>100</v>
      </c>
      <c r="P4771" s="2" t="str">
        <f>"2170579617                    "</f>
        <v xml:space="preserve">2170579617                    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4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0</v>
      </c>
      <c r="AU4771" s="2">
        <v>0</v>
      </c>
      <c r="AV4771" s="2">
        <v>0</v>
      </c>
      <c r="AW4771" s="2">
        <v>0</v>
      </c>
      <c r="AX4771" s="2">
        <v>0</v>
      </c>
      <c r="AY4771" s="2">
        <v>0</v>
      </c>
      <c r="AZ4771" s="2">
        <v>0</v>
      </c>
      <c r="BA4771" s="2">
        <v>0</v>
      </c>
      <c r="BB4771" s="2">
        <v>0</v>
      </c>
      <c r="BC4771" s="2">
        <v>0</v>
      </c>
      <c r="BD4771" s="2">
        <v>0</v>
      </c>
      <c r="BE4771" s="2">
        <v>0</v>
      </c>
      <c r="BF4771" s="2">
        <v>0</v>
      </c>
      <c r="BG4771" s="2">
        <v>0</v>
      </c>
      <c r="BH4771" s="2">
        <v>1</v>
      </c>
      <c r="BI4771" s="2">
        <v>0.6</v>
      </c>
      <c r="BJ4771" s="2">
        <v>1.7</v>
      </c>
      <c r="BK4771" s="2">
        <v>2</v>
      </c>
      <c r="BL4771" s="2">
        <v>41.44</v>
      </c>
      <c r="BM4771" s="2">
        <v>5.8</v>
      </c>
      <c r="BN4771" s="2">
        <v>47.24</v>
      </c>
      <c r="BO4771" s="2">
        <v>47.24</v>
      </c>
      <c r="BP4771" s="2"/>
      <c r="BQ4771" s="2" t="s">
        <v>108</v>
      </c>
      <c r="BR4771" s="2" t="s">
        <v>84</v>
      </c>
      <c r="BS4771" s="3">
        <v>42955</v>
      </c>
      <c r="BT4771" s="4">
        <v>0.51736111111111105</v>
      </c>
      <c r="BU4771" s="2" t="s">
        <v>699</v>
      </c>
      <c r="BV4771" s="2" t="s">
        <v>95</v>
      </c>
      <c r="BW4771" s="2"/>
      <c r="BX4771" s="2"/>
      <c r="BY4771" s="2">
        <v>8545.86</v>
      </c>
      <c r="BZ4771" s="2"/>
      <c r="CA4771" s="2" t="s">
        <v>460</v>
      </c>
      <c r="CB4771" s="2"/>
      <c r="CC4771" s="2" t="s">
        <v>417</v>
      </c>
      <c r="CD4771" s="2">
        <v>7646</v>
      </c>
      <c r="CE4771" s="2" t="s">
        <v>104</v>
      </c>
      <c r="CF4771" s="5">
        <v>42955</v>
      </c>
      <c r="CG4771" s="2"/>
      <c r="CH4771" s="2"/>
      <c r="CI4771" s="2">
        <v>1</v>
      </c>
      <c r="CJ4771" s="2">
        <v>1</v>
      </c>
      <c r="CK4771" s="2">
        <v>21</v>
      </c>
      <c r="CL4771" s="2" t="s">
        <v>86</v>
      </c>
      <c r="CM4771" s="2"/>
    </row>
    <row r="4772" spans="1:91">
      <c r="A4772" s="2" t="s">
        <v>71</v>
      </c>
      <c r="B4772" s="2" t="s">
        <v>72</v>
      </c>
      <c r="C4772" s="2" t="s">
        <v>73</v>
      </c>
      <c r="D4772" s="2"/>
      <c r="E4772" s="2" t="str">
        <f>"FES1162566800"</f>
        <v>FES1162566800</v>
      </c>
      <c r="F4772" s="3">
        <v>42950</v>
      </c>
      <c r="G4772" s="2">
        <v>201802</v>
      </c>
      <c r="H4772" s="2" t="s">
        <v>74</v>
      </c>
      <c r="I4772" s="2" t="s">
        <v>75</v>
      </c>
      <c r="J4772" s="2" t="s">
        <v>76</v>
      </c>
      <c r="K4772" s="2" t="s">
        <v>77</v>
      </c>
      <c r="L4772" s="2" t="s">
        <v>144</v>
      </c>
      <c r="M4772" s="2" t="s">
        <v>145</v>
      </c>
      <c r="N4772" s="2" t="s">
        <v>190</v>
      </c>
      <c r="O4772" s="2" t="s">
        <v>81</v>
      </c>
      <c r="P4772" s="2" t="str">
        <f>"2170578260                    "</f>
        <v xml:space="preserve">2170578260                    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0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10.9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0</v>
      </c>
      <c r="AU4772" s="2">
        <v>0</v>
      </c>
      <c r="AV4772" s="2">
        <v>0</v>
      </c>
      <c r="AW4772" s="2">
        <v>0</v>
      </c>
      <c r="AX4772" s="2">
        <v>0</v>
      </c>
      <c r="AY4772" s="2">
        <v>0</v>
      </c>
      <c r="AZ4772" s="2">
        <v>0</v>
      </c>
      <c r="BA4772" s="2">
        <v>0</v>
      </c>
      <c r="BB4772" s="2">
        <v>0</v>
      </c>
      <c r="BC4772" s="2">
        <v>0</v>
      </c>
      <c r="BD4772" s="2">
        <v>0</v>
      </c>
      <c r="BE4772" s="2">
        <v>0</v>
      </c>
      <c r="BF4772" s="2">
        <v>0</v>
      </c>
      <c r="BG4772" s="2">
        <v>0</v>
      </c>
      <c r="BH4772" s="2">
        <v>1</v>
      </c>
      <c r="BI4772" s="2">
        <v>43</v>
      </c>
      <c r="BJ4772" s="2">
        <v>32.700000000000003</v>
      </c>
      <c r="BK4772" s="2">
        <v>43</v>
      </c>
      <c r="BL4772" s="2">
        <v>117.83</v>
      </c>
      <c r="BM4772" s="2">
        <v>16.5</v>
      </c>
      <c r="BN4772" s="2">
        <v>134.33000000000001</v>
      </c>
      <c r="BO4772" s="2">
        <v>134.33000000000001</v>
      </c>
      <c r="BP4772" s="2"/>
      <c r="BQ4772" s="2" t="s">
        <v>108</v>
      </c>
      <c r="BR4772" s="2" t="s">
        <v>84</v>
      </c>
      <c r="BS4772" s="3">
        <v>42951</v>
      </c>
      <c r="BT4772" s="4">
        <v>0.55555555555555558</v>
      </c>
      <c r="BU4772" s="2" t="s">
        <v>3439</v>
      </c>
      <c r="BV4772" s="2" t="s">
        <v>95</v>
      </c>
      <c r="BW4772" s="2"/>
      <c r="BX4772" s="2"/>
      <c r="BY4772" s="2">
        <v>163328</v>
      </c>
      <c r="BZ4772" s="2"/>
      <c r="CA4772" s="2" t="s">
        <v>148</v>
      </c>
      <c r="CB4772" s="2"/>
      <c r="CC4772" s="2" t="s">
        <v>145</v>
      </c>
      <c r="CD4772" s="2">
        <v>2094</v>
      </c>
      <c r="CE4772" s="2" t="s">
        <v>2716</v>
      </c>
      <c r="CF4772" s="5">
        <v>42954</v>
      </c>
      <c r="CG4772" s="2"/>
      <c r="CH4772" s="2"/>
      <c r="CI4772" s="2">
        <v>0</v>
      </c>
      <c r="CJ4772" s="2">
        <v>0</v>
      </c>
      <c r="CK4772" s="2" t="s">
        <v>132</v>
      </c>
      <c r="CL4772" s="2" t="s">
        <v>86</v>
      </c>
      <c r="CM4772" s="2"/>
    </row>
    <row r="4773" spans="1:91">
      <c r="A4773" s="2" t="s">
        <v>71</v>
      </c>
      <c r="B4773" s="2" t="s">
        <v>72</v>
      </c>
      <c r="C4773" s="2" t="s">
        <v>73</v>
      </c>
      <c r="D4773" s="2"/>
      <c r="E4773" s="2" t="str">
        <f>"FES1162566830"</f>
        <v>FES1162566830</v>
      </c>
      <c r="F4773" s="3">
        <v>42950</v>
      </c>
      <c r="G4773" s="2">
        <v>201802</v>
      </c>
      <c r="H4773" s="2" t="s">
        <v>74</v>
      </c>
      <c r="I4773" s="2" t="s">
        <v>75</v>
      </c>
      <c r="J4773" s="2" t="s">
        <v>76</v>
      </c>
      <c r="K4773" s="2" t="s">
        <v>77</v>
      </c>
      <c r="L4773" s="2" t="s">
        <v>632</v>
      </c>
      <c r="M4773" s="2" t="s">
        <v>269</v>
      </c>
      <c r="N4773" s="2" t="s">
        <v>493</v>
      </c>
      <c r="O4773" s="2" t="s">
        <v>81</v>
      </c>
      <c r="P4773" s="2" t="str">
        <f>"217058688                     "</f>
        <v xml:space="preserve">217058688                     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6.88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0</v>
      </c>
      <c r="AU4773" s="2">
        <v>0</v>
      </c>
      <c r="AV4773" s="2">
        <v>0</v>
      </c>
      <c r="AW4773" s="2">
        <v>0</v>
      </c>
      <c r="AX4773" s="2">
        <v>0</v>
      </c>
      <c r="AY4773" s="2">
        <v>0</v>
      </c>
      <c r="AZ4773" s="2">
        <v>0</v>
      </c>
      <c r="BA4773" s="2">
        <v>0</v>
      </c>
      <c r="BB4773" s="2">
        <v>0</v>
      </c>
      <c r="BC4773" s="2">
        <v>0</v>
      </c>
      <c r="BD4773" s="2">
        <v>0</v>
      </c>
      <c r="BE4773" s="2">
        <v>0</v>
      </c>
      <c r="BF4773" s="2">
        <v>0</v>
      </c>
      <c r="BG4773" s="2">
        <v>0</v>
      </c>
      <c r="BH4773" s="2">
        <v>1</v>
      </c>
      <c r="BI4773" s="2">
        <v>5</v>
      </c>
      <c r="BJ4773" s="2">
        <v>9.1999999999999993</v>
      </c>
      <c r="BK4773" s="2">
        <v>10</v>
      </c>
      <c r="BL4773" s="2">
        <v>76.23</v>
      </c>
      <c r="BM4773" s="2">
        <v>10.67</v>
      </c>
      <c r="BN4773" s="2">
        <v>86.9</v>
      </c>
      <c r="BO4773" s="2">
        <v>86.9</v>
      </c>
      <c r="BP4773" s="2"/>
      <c r="BQ4773" s="2" t="s">
        <v>494</v>
      </c>
      <c r="BR4773" s="2" t="s">
        <v>84</v>
      </c>
      <c r="BS4773" s="3">
        <v>42951</v>
      </c>
      <c r="BT4773" s="4">
        <v>0.4375</v>
      </c>
      <c r="BU4773" s="2" t="s">
        <v>4206</v>
      </c>
      <c r="BV4773" s="2"/>
      <c r="BW4773" s="2"/>
      <c r="BX4773" s="2"/>
      <c r="BY4773" s="2">
        <v>46090.559999999998</v>
      </c>
      <c r="BZ4773" s="2"/>
      <c r="CA4773" s="2"/>
      <c r="CB4773" s="2"/>
      <c r="CC4773" s="2" t="s">
        <v>269</v>
      </c>
      <c r="CD4773" s="2">
        <v>200</v>
      </c>
      <c r="CE4773" s="2" t="s">
        <v>1005</v>
      </c>
      <c r="CF4773" s="5">
        <v>42954</v>
      </c>
      <c r="CG4773" s="2"/>
      <c r="CH4773" s="2"/>
      <c r="CI4773" s="2">
        <v>0</v>
      </c>
      <c r="CJ4773" s="2">
        <v>0</v>
      </c>
      <c r="CK4773" s="2" t="s">
        <v>143</v>
      </c>
      <c r="CL4773" s="2" t="s">
        <v>86</v>
      </c>
      <c r="CM4773" s="2"/>
    </row>
    <row r="4774" spans="1:91">
      <c r="A4774" s="2" t="s">
        <v>71</v>
      </c>
      <c r="B4774" s="2" t="s">
        <v>72</v>
      </c>
      <c r="C4774" s="2" t="s">
        <v>73</v>
      </c>
      <c r="D4774" s="2"/>
      <c r="E4774" s="2" t="str">
        <f>"FES1162566932"</f>
        <v>FES1162566932</v>
      </c>
      <c r="F4774" s="3">
        <v>42950</v>
      </c>
      <c r="G4774" s="2">
        <v>201802</v>
      </c>
      <c r="H4774" s="2" t="s">
        <v>74</v>
      </c>
      <c r="I4774" s="2" t="s">
        <v>75</v>
      </c>
      <c r="J4774" s="2" t="s">
        <v>76</v>
      </c>
      <c r="K4774" s="2" t="s">
        <v>77</v>
      </c>
      <c r="L4774" s="2" t="s">
        <v>362</v>
      </c>
      <c r="M4774" s="2" t="s">
        <v>363</v>
      </c>
      <c r="N4774" s="2" t="s">
        <v>1020</v>
      </c>
      <c r="O4774" s="2" t="s">
        <v>81</v>
      </c>
      <c r="P4774" s="2" t="str">
        <f>"2170583181                    "</f>
        <v xml:space="preserve">2170583181                    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0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11.38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0</v>
      </c>
      <c r="AU4774" s="2">
        <v>0</v>
      </c>
      <c r="AV4774" s="2">
        <v>0</v>
      </c>
      <c r="AW4774" s="2">
        <v>0</v>
      </c>
      <c r="AX4774" s="2">
        <v>0</v>
      </c>
      <c r="AY4774" s="2">
        <v>0</v>
      </c>
      <c r="AZ4774" s="2">
        <v>0</v>
      </c>
      <c r="BA4774" s="2">
        <v>0</v>
      </c>
      <c r="BB4774" s="2">
        <v>0</v>
      </c>
      <c r="BC4774" s="2">
        <v>0</v>
      </c>
      <c r="BD4774" s="2">
        <v>0</v>
      </c>
      <c r="BE4774" s="2">
        <v>0</v>
      </c>
      <c r="BF4774" s="2">
        <v>0</v>
      </c>
      <c r="BG4774" s="2">
        <v>0</v>
      </c>
      <c r="BH4774" s="2">
        <v>1</v>
      </c>
      <c r="BI4774" s="2">
        <v>24.4</v>
      </c>
      <c r="BJ4774" s="2">
        <v>8.8000000000000007</v>
      </c>
      <c r="BK4774" s="2">
        <v>25</v>
      </c>
      <c r="BL4774" s="2">
        <v>122.83</v>
      </c>
      <c r="BM4774" s="2">
        <v>17.2</v>
      </c>
      <c r="BN4774" s="2">
        <v>140.03</v>
      </c>
      <c r="BO4774" s="2">
        <v>140.03</v>
      </c>
      <c r="BP4774" s="2"/>
      <c r="BQ4774" s="2" t="s">
        <v>209</v>
      </c>
      <c r="BR4774" s="2" t="s">
        <v>84</v>
      </c>
      <c r="BS4774" s="3">
        <v>42951</v>
      </c>
      <c r="BT4774" s="4">
        <v>0.41666666666666669</v>
      </c>
      <c r="BU4774" s="2" t="s">
        <v>1040</v>
      </c>
      <c r="BV4774" s="2" t="s">
        <v>95</v>
      </c>
      <c r="BW4774" s="2"/>
      <c r="BX4774" s="2"/>
      <c r="BY4774" s="2">
        <v>44112.97</v>
      </c>
      <c r="BZ4774" s="2"/>
      <c r="CA4774" s="2" t="s">
        <v>367</v>
      </c>
      <c r="CB4774" s="2"/>
      <c r="CC4774" s="2" t="s">
        <v>363</v>
      </c>
      <c r="CD4774" s="2">
        <v>3200</v>
      </c>
      <c r="CE4774" s="2" t="s">
        <v>89</v>
      </c>
      <c r="CF4774" s="5">
        <v>42954</v>
      </c>
      <c r="CG4774" s="2"/>
      <c r="CH4774" s="2"/>
      <c r="CI4774" s="2">
        <v>0</v>
      </c>
      <c r="CJ4774" s="2">
        <v>0</v>
      </c>
      <c r="CK4774" s="2" t="s">
        <v>624</v>
      </c>
      <c r="CL4774" s="2" t="s">
        <v>86</v>
      </c>
      <c r="CM4774" s="2"/>
    </row>
    <row r="4775" spans="1:91">
      <c r="A4775" s="2" t="s">
        <v>71</v>
      </c>
      <c r="B4775" s="2" t="s">
        <v>72</v>
      </c>
      <c r="C4775" s="2" t="s">
        <v>73</v>
      </c>
      <c r="D4775" s="2"/>
      <c r="E4775" s="2" t="str">
        <f>"FES1162566676"</f>
        <v>FES1162566676</v>
      </c>
      <c r="F4775" s="3">
        <v>42950</v>
      </c>
      <c r="G4775" s="2">
        <v>201802</v>
      </c>
      <c r="H4775" s="2" t="s">
        <v>74</v>
      </c>
      <c r="I4775" s="2" t="s">
        <v>75</v>
      </c>
      <c r="J4775" s="2" t="s">
        <v>76</v>
      </c>
      <c r="K4775" s="2" t="s">
        <v>77</v>
      </c>
      <c r="L4775" s="2" t="s">
        <v>632</v>
      </c>
      <c r="M4775" s="2" t="s">
        <v>269</v>
      </c>
      <c r="N4775" s="2" t="s">
        <v>442</v>
      </c>
      <c r="O4775" s="2" t="s">
        <v>81</v>
      </c>
      <c r="P4775" s="2" t="str">
        <f>"2170582988                    "</f>
        <v xml:space="preserve">2170582988                    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7.52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0</v>
      </c>
      <c r="AU4775" s="2">
        <v>0</v>
      </c>
      <c r="AV4775" s="2">
        <v>0</v>
      </c>
      <c r="AW4775" s="2">
        <v>0</v>
      </c>
      <c r="AX4775" s="2">
        <v>0</v>
      </c>
      <c r="AY4775" s="2">
        <v>0</v>
      </c>
      <c r="AZ4775" s="2">
        <v>0</v>
      </c>
      <c r="BA4775" s="2">
        <v>0</v>
      </c>
      <c r="BB4775" s="2">
        <v>0</v>
      </c>
      <c r="BC4775" s="2">
        <v>0</v>
      </c>
      <c r="BD4775" s="2">
        <v>0</v>
      </c>
      <c r="BE4775" s="2">
        <v>0</v>
      </c>
      <c r="BF4775" s="2">
        <v>0</v>
      </c>
      <c r="BG4775" s="2">
        <v>0</v>
      </c>
      <c r="BH4775" s="2">
        <v>1</v>
      </c>
      <c r="BI4775" s="2">
        <v>13</v>
      </c>
      <c r="BJ4775" s="2">
        <v>18</v>
      </c>
      <c r="BK4775" s="2">
        <v>18</v>
      </c>
      <c r="BL4775" s="2">
        <v>82.84</v>
      </c>
      <c r="BM4775" s="2">
        <v>11.6</v>
      </c>
      <c r="BN4775" s="2">
        <v>94.44</v>
      </c>
      <c r="BO4775" s="2">
        <v>94.44</v>
      </c>
      <c r="BP4775" s="2"/>
      <c r="BQ4775" s="2" t="s">
        <v>83</v>
      </c>
      <c r="BR4775" s="2" t="s">
        <v>84</v>
      </c>
      <c r="BS4775" s="3">
        <v>42951</v>
      </c>
      <c r="BT4775" s="4">
        <v>0.4375</v>
      </c>
      <c r="BU4775" s="2" t="s">
        <v>1483</v>
      </c>
      <c r="BV4775" s="2"/>
      <c r="BW4775" s="2"/>
      <c r="BX4775" s="2"/>
      <c r="BY4775" s="2">
        <v>90134.11</v>
      </c>
      <c r="BZ4775" s="2"/>
      <c r="CA4775" s="2" t="s">
        <v>445</v>
      </c>
      <c r="CB4775" s="2"/>
      <c r="CC4775" s="2" t="s">
        <v>269</v>
      </c>
      <c r="CD4775" s="2">
        <v>1</v>
      </c>
      <c r="CE4775" s="2" t="s">
        <v>259</v>
      </c>
      <c r="CF4775" s="5">
        <v>42954</v>
      </c>
      <c r="CG4775" s="2"/>
      <c r="CH4775" s="2"/>
      <c r="CI4775" s="2">
        <v>0</v>
      </c>
      <c r="CJ4775" s="2">
        <v>0</v>
      </c>
      <c r="CK4775" s="2" t="s">
        <v>143</v>
      </c>
      <c r="CL4775" s="2" t="s">
        <v>86</v>
      </c>
      <c r="CM4775" s="2"/>
    </row>
    <row r="4776" spans="1:91">
      <c r="A4776" s="2" t="s">
        <v>71</v>
      </c>
      <c r="B4776" s="2" t="s">
        <v>72</v>
      </c>
      <c r="C4776" s="2" t="s">
        <v>73</v>
      </c>
      <c r="D4776" s="2"/>
      <c r="E4776" s="2" t="str">
        <f>"FES1162566134"</f>
        <v>FES1162566134</v>
      </c>
      <c r="F4776" s="3">
        <v>42949</v>
      </c>
      <c r="G4776" s="2">
        <v>201802</v>
      </c>
      <c r="H4776" s="2" t="s">
        <v>74</v>
      </c>
      <c r="I4776" s="2" t="s">
        <v>75</v>
      </c>
      <c r="J4776" s="2" t="s">
        <v>76</v>
      </c>
      <c r="K4776" s="2" t="s">
        <v>77</v>
      </c>
      <c r="L4776" s="2" t="s">
        <v>632</v>
      </c>
      <c r="M4776" s="2" t="s">
        <v>269</v>
      </c>
      <c r="N4776" s="2" t="s">
        <v>1002</v>
      </c>
      <c r="O4776" s="2" t="s">
        <v>81</v>
      </c>
      <c r="P4776" s="2" t="str">
        <f>"2170579274                    "</f>
        <v xml:space="preserve">2170579274                    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17.73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0</v>
      </c>
      <c r="AU4776" s="2">
        <v>0</v>
      </c>
      <c r="AV4776" s="2">
        <v>0</v>
      </c>
      <c r="AW4776" s="2">
        <v>0</v>
      </c>
      <c r="AX4776" s="2">
        <v>0</v>
      </c>
      <c r="AY4776" s="2">
        <v>0</v>
      </c>
      <c r="AZ4776" s="2">
        <v>0</v>
      </c>
      <c r="BA4776" s="2">
        <v>0</v>
      </c>
      <c r="BB4776" s="2">
        <v>0</v>
      </c>
      <c r="BC4776" s="2">
        <v>0</v>
      </c>
      <c r="BD4776" s="2">
        <v>0</v>
      </c>
      <c r="BE4776" s="2">
        <v>0</v>
      </c>
      <c r="BF4776" s="2">
        <v>0</v>
      </c>
      <c r="BG4776" s="2">
        <v>0</v>
      </c>
      <c r="BH4776" s="2">
        <v>2</v>
      </c>
      <c r="BI4776" s="2">
        <v>32</v>
      </c>
      <c r="BJ4776" s="2">
        <v>65.2</v>
      </c>
      <c r="BK4776" s="2">
        <v>66</v>
      </c>
      <c r="BL4776" s="2">
        <v>188.57</v>
      </c>
      <c r="BM4776" s="2">
        <v>26.4</v>
      </c>
      <c r="BN4776" s="2">
        <v>214.97</v>
      </c>
      <c r="BO4776" s="2">
        <v>214.97</v>
      </c>
      <c r="BP4776" s="2"/>
      <c r="BQ4776" s="2" t="s">
        <v>4207</v>
      </c>
      <c r="BR4776" s="2" t="s">
        <v>84</v>
      </c>
      <c r="BS4776" s="3">
        <v>42950</v>
      </c>
      <c r="BT4776" s="4">
        <v>0.48402777777777778</v>
      </c>
      <c r="BU4776" s="2" t="s">
        <v>4208</v>
      </c>
      <c r="BV4776" s="2"/>
      <c r="BW4776" s="2"/>
      <c r="BX4776" s="2"/>
      <c r="BY4776" s="2">
        <v>326115.78999999998</v>
      </c>
      <c r="BZ4776" s="2"/>
      <c r="CA4776" s="2"/>
      <c r="CB4776" s="2"/>
      <c r="CC4776" s="2" t="s">
        <v>269</v>
      </c>
      <c r="CD4776" s="2">
        <v>200</v>
      </c>
      <c r="CE4776" s="2" t="s">
        <v>259</v>
      </c>
      <c r="CF4776" s="5">
        <v>42951</v>
      </c>
      <c r="CG4776" s="2"/>
      <c r="CH4776" s="2"/>
      <c r="CI4776" s="2">
        <v>0</v>
      </c>
      <c r="CJ4776" s="2">
        <v>0</v>
      </c>
      <c r="CK4776" s="2" t="s">
        <v>143</v>
      </c>
      <c r="CL4776" s="2" t="s">
        <v>86</v>
      </c>
      <c r="CM4776" s="2"/>
    </row>
    <row r="4777" spans="1:91">
      <c r="A4777" s="2" t="s">
        <v>71</v>
      </c>
      <c r="B4777" s="2" t="s">
        <v>72</v>
      </c>
      <c r="C4777" s="2" t="s">
        <v>73</v>
      </c>
      <c r="D4777" s="2"/>
      <c r="E4777" s="2" t="str">
        <f>"RFES1162567245"</f>
        <v>RFES1162567245</v>
      </c>
      <c r="F4777" s="3">
        <v>42954</v>
      </c>
      <c r="G4777" s="2">
        <v>201802</v>
      </c>
      <c r="H4777" s="2" t="s">
        <v>268</v>
      </c>
      <c r="I4777" s="2" t="s">
        <v>269</v>
      </c>
      <c r="J4777" s="2" t="s">
        <v>2991</v>
      </c>
      <c r="K4777" s="2" t="s">
        <v>77</v>
      </c>
      <c r="L4777" s="2" t="s">
        <v>74</v>
      </c>
      <c r="M4777" s="2" t="s">
        <v>75</v>
      </c>
      <c r="N4777" s="2" t="s">
        <v>76</v>
      </c>
      <c r="O4777" s="2" t="s">
        <v>100</v>
      </c>
      <c r="P4777" s="2" t="str">
        <f>"2170583395                    "</f>
        <v xml:space="preserve">2170583395                    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4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0</v>
      </c>
      <c r="AU4777" s="2">
        <v>0</v>
      </c>
      <c r="AV4777" s="2">
        <v>0</v>
      </c>
      <c r="AW4777" s="2">
        <v>0</v>
      </c>
      <c r="AX4777" s="2">
        <v>0</v>
      </c>
      <c r="AY4777" s="2">
        <v>0</v>
      </c>
      <c r="AZ4777" s="2">
        <v>0</v>
      </c>
      <c r="BA4777" s="2">
        <v>0</v>
      </c>
      <c r="BB4777" s="2">
        <v>0</v>
      </c>
      <c r="BC4777" s="2">
        <v>0</v>
      </c>
      <c r="BD4777" s="2">
        <v>0</v>
      </c>
      <c r="BE4777" s="2">
        <v>0</v>
      </c>
      <c r="BF4777" s="2">
        <v>0</v>
      </c>
      <c r="BG4777" s="2">
        <v>0</v>
      </c>
      <c r="BH4777" s="2">
        <v>1</v>
      </c>
      <c r="BI4777" s="2">
        <v>1</v>
      </c>
      <c r="BJ4777" s="2">
        <v>0.2</v>
      </c>
      <c r="BK4777" s="2">
        <v>1</v>
      </c>
      <c r="BL4777" s="2">
        <v>41.44</v>
      </c>
      <c r="BM4777" s="2">
        <v>5.8</v>
      </c>
      <c r="BN4777" s="2">
        <v>47.24</v>
      </c>
      <c r="BO4777" s="2">
        <v>47.24</v>
      </c>
      <c r="BP4777" s="2"/>
      <c r="BQ4777" s="2" t="s">
        <v>84</v>
      </c>
      <c r="BR4777" s="2" t="s">
        <v>2992</v>
      </c>
      <c r="BS4777" s="3">
        <v>42955</v>
      </c>
      <c r="BT4777" s="4">
        <v>0.4375</v>
      </c>
      <c r="BU4777" s="2" t="s">
        <v>2993</v>
      </c>
      <c r="BV4777" s="2" t="s">
        <v>95</v>
      </c>
      <c r="BW4777" s="2"/>
      <c r="BX4777" s="2"/>
      <c r="BY4777" s="2">
        <v>1200</v>
      </c>
      <c r="BZ4777" s="2"/>
      <c r="CA4777" s="2" t="s">
        <v>148</v>
      </c>
      <c r="CB4777" s="2"/>
      <c r="CC4777" s="2" t="s">
        <v>75</v>
      </c>
      <c r="CD4777" s="2">
        <v>1600</v>
      </c>
      <c r="CE4777" s="2" t="s">
        <v>104</v>
      </c>
      <c r="CF4777" s="5">
        <v>42957</v>
      </c>
      <c r="CG4777" s="2"/>
      <c r="CH4777" s="2"/>
      <c r="CI4777" s="2">
        <v>1</v>
      </c>
      <c r="CJ4777" s="2">
        <v>1</v>
      </c>
      <c r="CK4777" s="2">
        <v>21</v>
      </c>
      <c r="CL4777" s="2" t="s">
        <v>86</v>
      </c>
      <c r="CM4777" s="2"/>
    </row>
    <row r="4778" spans="1:91">
      <c r="A4778" s="2" t="s">
        <v>71</v>
      </c>
      <c r="B4778" s="2" t="s">
        <v>72</v>
      </c>
      <c r="C4778" s="2" t="s">
        <v>73</v>
      </c>
      <c r="D4778" s="2"/>
      <c r="E4778" s="2" t="str">
        <f>"FES1162567435"</f>
        <v>FES1162567435</v>
      </c>
      <c r="F4778" s="3">
        <v>42954</v>
      </c>
      <c r="G4778" s="2">
        <v>201802</v>
      </c>
      <c r="H4778" s="2" t="s">
        <v>74</v>
      </c>
      <c r="I4778" s="2" t="s">
        <v>75</v>
      </c>
      <c r="J4778" s="2" t="s">
        <v>76</v>
      </c>
      <c r="K4778" s="2" t="s">
        <v>77</v>
      </c>
      <c r="L4778" s="2" t="s">
        <v>237</v>
      </c>
      <c r="M4778" s="2" t="s">
        <v>238</v>
      </c>
      <c r="N4778" s="2" t="s">
        <v>1766</v>
      </c>
      <c r="O4778" s="2" t="s">
        <v>100</v>
      </c>
      <c r="P4778" s="2" t="str">
        <f>"2170583587                    "</f>
        <v xml:space="preserve">2170583587                    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4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0</v>
      </c>
      <c r="AU4778" s="2">
        <v>0</v>
      </c>
      <c r="AV4778" s="2">
        <v>0</v>
      </c>
      <c r="AW4778" s="2">
        <v>0</v>
      </c>
      <c r="AX4778" s="2">
        <v>0</v>
      </c>
      <c r="AY4778" s="2">
        <v>0</v>
      </c>
      <c r="AZ4778" s="2">
        <v>0</v>
      </c>
      <c r="BA4778" s="2">
        <v>0</v>
      </c>
      <c r="BB4778" s="2">
        <v>0</v>
      </c>
      <c r="BC4778" s="2">
        <v>0</v>
      </c>
      <c r="BD4778" s="2">
        <v>0</v>
      </c>
      <c r="BE4778" s="2">
        <v>0</v>
      </c>
      <c r="BF4778" s="2">
        <v>0</v>
      </c>
      <c r="BG4778" s="2">
        <v>0</v>
      </c>
      <c r="BH4778" s="2">
        <v>1</v>
      </c>
      <c r="BI4778" s="2">
        <v>1</v>
      </c>
      <c r="BJ4778" s="2">
        <v>0.2</v>
      </c>
      <c r="BK4778" s="2">
        <v>1</v>
      </c>
      <c r="BL4778" s="2">
        <v>41.44</v>
      </c>
      <c r="BM4778" s="2">
        <v>5.8</v>
      </c>
      <c r="BN4778" s="2">
        <v>47.24</v>
      </c>
      <c r="BO4778" s="2">
        <v>47.24</v>
      </c>
      <c r="BP4778" s="2"/>
      <c r="BQ4778" s="2" t="s">
        <v>108</v>
      </c>
      <c r="BR4778" s="2" t="s">
        <v>84</v>
      </c>
      <c r="BS4778" s="3">
        <v>42955</v>
      </c>
      <c r="BT4778" s="4">
        <v>0.40972222222222227</v>
      </c>
      <c r="BU4778" s="2" t="s">
        <v>428</v>
      </c>
      <c r="BV4778" s="2" t="s">
        <v>95</v>
      </c>
      <c r="BW4778" s="2"/>
      <c r="BX4778" s="2"/>
      <c r="BY4778" s="2">
        <v>1200</v>
      </c>
      <c r="BZ4778" s="2"/>
      <c r="CA4778" s="2" t="s">
        <v>401</v>
      </c>
      <c r="CB4778" s="2"/>
      <c r="CC4778" s="2" t="s">
        <v>238</v>
      </c>
      <c r="CD4778" s="2">
        <v>3620</v>
      </c>
      <c r="CE4778" s="2" t="s">
        <v>104</v>
      </c>
      <c r="CF4778" s="5">
        <v>42957</v>
      </c>
      <c r="CG4778" s="2"/>
      <c r="CH4778" s="2"/>
      <c r="CI4778" s="2">
        <v>1</v>
      </c>
      <c r="CJ4778" s="2">
        <v>1</v>
      </c>
      <c r="CK4778" s="2">
        <v>21</v>
      </c>
      <c r="CL4778" s="2" t="s">
        <v>86</v>
      </c>
      <c r="CM4778" s="2"/>
    </row>
    <row r="4779" spans="1:91">
      <c r="A4779" s="2" t="s">
        <v>71</v>
      </c>
      <c r="B4779" s="2" t="s">
        <v>72</v>
      </c>
      <c r="C4779" s="2" t="s">
        <v>73</v>
      </c>
      <c r="D4779" s="2"/>
      <c r="E4779" s="2" t="str">
        <f>"FES1162567470"</f>
        <v>FES1162567470</v>
      </c>
      <c r="F4779" s="3">
        <v>42954</v>
      </c>
      <c r="G4779" s="2">
        <v>201802</v>
      </c>
      <c r="H4779" s="2" t="s">
        <v>74</v>
      </c>
      <c r="I4779" s="2" t="s">
        <v>75</v>
      </c>
      <c r="J4779" s="2" t="s">
        <v>76</v>
      </c>
      <c r="K4779" s="2" t="s">
        <v>77</v>
      </c>
      <c r="L4779" s="2" t="s">
        <v>841</v>
      </c>
      <c r="M4779" s="2" t="s">
        <v>842</v>
      </c>
      <c r="N4779" s="2" t="s">
        <v>843</v>
      </c>
      <c r="O4779" s="2" t="s">
        <v>100</v>
      </c>
      <c r="P4779" s="2" t="str">
        <f>"2170583632                    "</f>
        <v xml:space="preserve">2170583632                    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0</v>
      </c>
      <c r="Y4779" s="2">
        <v>0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7.75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0</v>
      </c>
      <c r="AU4779" s="2">
        <v>0</v>
      </c>
      <c r="AV4779" s="2">
        <v>0</v>
      </c>
      <c r="AW4779" s="2">
        <v>0</v>
      </c>
      <c r="AX4779" s="2">
        <v>0</v>
      </c>
      <c r="AY4779" s="2">
        <v>0</v>
      </c>
      <c r="AZ4779" s="2">
        <v>0</v>
      </c>
      <c r="BA4779" s="2">
        <v>0</v>
      </c>
      <c r="BB4779" s="2">
        <v>0</v>
      </c>
      <c r="BC4779" s="2">
        <v>0</v>
      </c>
      <c r="BD4779" s="2">
        <v>0</v>
      </c>
      <c r="BE4779" s="2">
        <v>0</v>
      </c>
      <c r="BF4779" s="2">
        <v>0</v>
      </c>
      <c r="BG4779" s="2">
        <v>0</v>
      </c>
      <c r="BH4779" s="2">
        <v>1</v>
      </c>
      <c r="BI4779" s="2">
        <v>1</v>
      </c>
      <c r="BJ4779" s="2">
        <v>0.2</v>
      </c>
      <c r="BK4779" s="2">
        <v>1</v>
      </c>
      <c r="BL4779" s="2">
        <v>80.290000000000006</v>
      </c>
      <c r="BM4779" s="2">
        <v>11.24</v>
      </c>
      <c r="BN4779" s="2">
        <v>91.53</v>
      </c>
      <c r="BO4779" s="2">
        <v>91.53</v>
      </c>
      <c r="BP4779" s="2"/>
      <c r="BQ4779" s="2" t="s">
        <v>83</v>
      </c>
      <c r="BR4779" s="2" t="s">
        <v>84</v>
      </c>
      <c r="BS4779" s="3">
        <v>42955</v>
      </c>
      <c r="BT4779" s="4">
        <v>0.59861111111111109</v>
      </c>
      <c r="BU4779" s="2" t="s">
        <v>2438</v>
      </c>
      <c r="BV4779" s="2" t="s">
        <v>95</v>
      </c>
      <c r="BW4779" s="2"/>
      <c r="BX4779" s="2"/>
      <c r="BY4779" s="2">
        <v>1200</v>
      </c>
      <c r="BZ4779" s="2"/>
      <c r="CA4779" s="2"/>
      <c r="CB4779" s="2"/>
      <c r="CC4779" s="2" t="s">
        <v>842</v>
      </c>
      <c r="CD4779" s="2">
        <v>3370</v>
      </c>
      <c r="CE4779" s="2" t="s">
        <v>104</v>
      </c>
      <c r="CF4779" s="5">
        <v>42959</v>
      </c>
      <c r="CG4779" s="2"/>
      <c r="CH4779" s="2"/>
      <c r="CI4779" s="2">
        <v>3</v>
      </c>
      <c r="CJ4779" s="2">
        <v>1</v>
      </c>
      <c r="CK4779" s="2">
        <v>23</v>
      </c>
      <c r="CL4779" s="2" t="s">
        <v>86</v>
      </c>
      <c r="CM4779" s="2"/>
    </row>
    <row r="4780" spans="1:91">
      <c r="A4780" s="2" t="s">
        <v>71</v>
      </c>
      <c r="B4780" s="2" t="s">
        <v>72</v>
      </c>
      <c r="C4780" s="2" t="s">
        <v>73</v>
      </c>
      <c r="D4780" s="2"/>
      <c r="E4780" s="2" t="str">
        <f>"FES1162567551"</f>
        <v>FES1162567551</v>
      </c>
      <c r="F4780" s="3">
        <v>42954</v>
      </c>
      <c r="G4780" s="2">
        <v>201802</v>
      </c>
      <c r="H4780" s="2" t="s">
        <v>74</v>
      </c>
      <c r="I4780" s="2" t="s">
        <v>75</v>
      </c>
      <c r="J4780" s="2" t="s">
        <v>76</v>
      </c>
      <c r="K4780" s="2" t="s">
        <v>77</v>
      </c>
      <c r="L4780" s="2" t="s">
        <v>268</v>
      </c>
      <c r="M4780" s="2" t="s">
        <v>269</v>
      </c>
      <c r="N4780" s="2" t="s">
        <v>4209</v>
      </c>
      <c r="O4780" s="2" t="s">
        <v>100</v>
      </c>
      <c r="P4780" s="2" t="str">
        <f>"2170583696                    "</f>
        <v xml:space="preserve">2170583696                    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4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0</v>
      </c>
      <c r="AU4780" s="2">
        <v>0</v>
      </c>
      <c r="AV4780" s="2">
        <v>0</v>
      </c>
      <c r="AW4780" s="2">
        <v>0</v>
      </c>
      <c r="AX4780" s="2">
        <v>0</v>
      </c>
      <c r="AY4780" s="2">
        <v>0</v>
      </c>
      <c r="AZ4780" s="2">
        <v>0</v>
      </c>
      <c r="BA4780" s="2">
        <v>0</v>
      </c>
      <c r="BB4780" s="2">
        <v>0</v>
      </c>
      <c r="BC4780" s="2">
        <v>0</v>
      </c>
      <c r="BD4780" s="2">
        <v>0</v>
      </c>
      <c r="BE4780" s="2">
        <v>0</v>
      </c>
      <c r="BF4780" s="2">
        <v>0</v>
      </c>
      <c r="BG4780" s="2">
        <v>0</v>
      </c>
      <c r="BH4780" s="2">
        <v>1</v>
      </c>
      <c r="BI4780" s="2">
        <v>1</v>
      </c>
      <c r="BJ4780" s="2">
        <v>0.2</v>
      </c>
      <c r="BK4780" s="2">
        <v>1</v>
      </c>
      <c r="BL4780" s="2">
        <v>41.44</v>
      </c>
      <c r="BM4780" s="2">
        <v>5.8</v>
      </c>
      <c r="BN4780" s="2">
        <v>47.24</v>
      </c>
      <c r="BO4780" s="2">
        <v>47.24</v>
      </c>
      <c r="BP4780" s="2"/>
      <c r="BQ4780" s="2" t="s">
        <v>4210</v>
      </c>
      <c r="BR4780" s="2" t="s">
        <v>84</v>
      </c>
      <c r="BS4780" s="3">
        <v>42955</v>
      </c>
      <c r="BT4780" s="4">
        <v>0.40416666666666662</v>
      </c>
      <c r="BU4780" s="2" t="s">
        <v>4211</v>
      </c>
      <c r="BV4780" s="2" t="s">
        <v>95</v>
      </c>
      <c r="BW4780" s="2"/>
      <c r="BX4780" s="2"/>
      <c r="BY4780" s="2">
        <v>1200</v>
      </c>
      <c r="BZ4780" s="2"/>
      <c r="CA4780" s="2" t="s">
        <v>4091</v>
      </c>
      <c r="CB4780" s="2"/>
      <c r="CC4780" s="2" t="s">
        <v>269</v>
      </c>
      <c r="CD4780" s="2">
        <v>157</v>
      </c>
      <c r="CE4780" s="2" t="s">
        <v>104</v>
      </c>
      <c r="CF4780" s="5">
        <v>42957</v>
      </c>
      <c r="CG4780" s="2"/>
      <c r="CH4780" s="2"/>
      <c r="CI4780" s="2">
        <v>1</v>
      </c>
      <c r="CJ4780" s="2">
        <v>1</v>
      </c>
      <c r="CK4780" s="2">
        <v>21</v>
      </c>
      <c r="CL4780" s="2" t="s">
        <v>86</v>
      </c>
      <c r="CM4780" s="2"/>
    </row>
    <row r="4781" spans="1:91">
      <c r="A4781" s="2" t="s">
        <v>71</v>
      </c>
      <c r="B4781" s="2" t="s">
        <v>72</v>
      </c>
      <c r="C4781" s="2" t="s">
        <v>73</v>
      </c>
      <c r="D4781" s="2"/>
      <c r="E4781" s="2" t="str">
        <f>"FES1162567516"</f>
        <v>FES1162567516</v>
      </c>
      <c r="F4781" s="3">
        <v>42954</v>
      </c>
      <c r="G4781" s="2">
        <v>201802</v>
      </c>
      <c r="H4781" s="2" t="s">
        <v>74</v>
      </c>
      <c r="I4781" s="2" t="s">
        <v>75</v>
      </c>
      <c r="J4781" s="2" t="s">
        <v>76</v>
      </c>
      <c r="K4781" s="2" t="s">
        <v>77</v>
      </c>
      <c r="L4781" s="2" t="s">
        <v>170</v>
      </c>
      <c r="M4781" s="2" t="s">
        <v>171</v>
      </c>
      <c r="N4781" s="2" t="s">
        <v>4212</v>
      </c>
      <c r="O4781" s="2" t="s">
        <v>100</v>
      </c>
      <c r="P4781" s="2" t="str">
        <f>"2170583669                    "</f>
        <v xml:space="preserve">2170583669                    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3.13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0</v>
      </c>
      <c r="AU4781" s="2">
        <v>0</v>
      </c>
      <c r="AV4781" s="2">
        <v>0</v>
      </c>
      <c r="AW4781" s="2">
        <v>0</v>
      </c>
      <c r="AX4781" s="2">
        <v>0</v>
      </c>
      <c r="AY4781" s="2">
        <v>0</v>
      </c>
      <c r="AZ4781" s="2">
        <v>0</v>
      </c>
      <c r="BA4781" s="2">
        <v>0</v>
      </c>
      <c r="BB4781" s="2">
        <v>0</v>
      </c>
      <c r="BC4781" s="2">
        <v>0</v>
      </c>
      <c r="BD4781" s="2">
        <v>0</v>
      </c>
      <c r="BE4781" s="2">
        <v>0</v>
      </c>
      <c r="BF4781" s="2">
        <v>0</v>
      </c>
      <c r="BG4781" s="2">
        <v>0</v>
      </c>
      <c r="BH4781" s="2">
        <v>1</v>
      </c>
      <c r="BI4781" s="2">
        <v>1</v>
      </c>
      <c r="BJ4781" s="2">
        <v>0.2</v>
      </c>
      <c r="BK4781" s="2">
        <v>1</v>
      </c>
      <c r="BL4781" s="2">
        <v>32.380000000000003</v>
      </c>
      <c r="BM4781" s="2">
        <v>4.53</v>
      </c>
      <c r="BN4781" s="2">
        <v>36.909999999999997</v>
      </c>
      <c r="BO4781" s="2">
        <v>36.909999999999997</v>
      </c>
      <c r="BP4781" s="2"/>
      <c r="BQ4781" s="2" t="s">
        <v>288</v>
      </c>
      <c r="BR4781" s="2" t="s">
        <v>84</v>
      </c>
      <c r="BS4781" s="3">
        <v>42955</v>
      </c>
      <c r="BT4781" s="4">
        <v>0.44791666666666669</v>
      </c>
      <c r="BU4781" s="2" t="s">
        <v>4213</v>
      </c>
      <c r="BV4781" s="2" t="s">
        <v>95</v>
      </c>
      <c r="BW4781" s="2"/>
      <c r="BX4781" s="2"/>
      <c r="BY4781" s="2">
        <v>1200</v>
      </c>
      <c r="BZ4781" s="2"/>
      <c r="CA4781" s="2" t="s">
        <v>492</v>
      </c>
      <c r="CB4781" s="2"/>
      <c r="CC4781" s="2" t="s">
        <v>171</v>
      </c>
      <c r="CD4781" s="2">
        <v>1422</v>
      </c>
      <c r="CE4781" s="2" t="s">
        <v>104</v>
      </c>
      <c r="CF4781" s="5">
        <v>42957</v>
      </c>
      <c r="CG4781" s="2"/>
      <c r="CH4781" s="2"/>
      <c r="CI4781" s="2">
        <v>1</v>
      </c>
      <c r="CJ4781" s="2">
        <v>1</v>
      </c>
      <c r="CK4781" s="2">
        <v>22</v>
      </c>
      <c r="CL4781" s="2" t="s">
        <v>86</v>
      </c>
      <c r="CM4781" s="2"/>
    </row>
    <row r="4782" spans="1:91">
      <c r="A4782" s="2" t="s">
        <v>71</v>
      </c>
      <c r="B4782" s="2" t="s">
        <v>72</v>
      </c>
      <c r="C4782" s="2" t="s">
        <v>73</v>
      </c>
      <c r="D4782" s="2"/>
      <c r="E4782" s="2" t="str">
        <f>"FES1162567478"</f>
        <v>FES1162567478</v>
      </c>
      <c r="F4782" s="3">
        <v>42954</v>
      </c>
      <c r="G4782" s="2">
        <v>201802</v>
      </c>
      <c r="H4782" s="2" t="s">
        <v>74</v>
      </c>
      <c r="I4782" s="2" t="s">
        <v>75</v>
      </c>
      <c r="J4782" s="2" t="s">
        <v>76</v>
      </c>
      <c r="K4782" s="2" t="s">
        <v>77</v>
      </c>
      <c r="L4782" s="2" t="s">
        <v>343</v>
      </c>
      <c r="M4782" s="2" t="s">
        <v>344</v>
      </c>
      <c r="N4782" s="2" t="s">
        <v>351</v>
      </c>
      <c r="O4782" s="2" t="s">
        <v>100</v>
      </c>
      <c r="P4782" s="2" t="str">
        <f>"2170583643                    "</f>
        <v xml:space="preserve">2170583643                    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4</v>
      </c>
      <c r="AN4782" s="2">
        <v>0</v>
      </c>
      <c r="AO4782" s="2">
        <v>0</v>
      </c>
      <c r="AP4782" s="2">
        <v>0</v>
      </c>
      <c r="AQ4782" s="2">
        <v>0</v>
      </c>
      <c r="AR4782" s="2">
        <v>0</v>
      </c>
      <c r="AS4782" s="2">
        <v>0</v>
      </c>
      <c r="AT4782" s="2">
        <v>0</v>
      </c>
      <c r="AU4782" s="2">
        <v>0</v>
      </c>
      <c r="AV4782" s="2">
        <v>0</v>
      </c>
      <c r="AW4782" s="2">
        <v>0</v>
      </c>
      <c r="AX4782" s="2">
        <v>0</v>
      </c>
      <c r="AY4782" s="2">
        <v>0</v>
      </c>
      <c r="AZ4782" s="2">
        <v>0</v>
      </c>
      <c r="BA4782" s="2">
        <v>0</v>
      </c>
      <c r="BB4782" s="2">
        <v>0</v>
      </c>
      <c r="BC4782" s="2">
        <v>0</v>
      </c>
      <c r="BD4782" s="2">
        <v>0</v>
      </c>
      <c r="BE4782" s="2">
        <v>0</v>
      </c>
      <c r="BF4782" s="2">
        <v>0</v>
      </c>
      <c r="BG4782" s="2">
        <v>0</v>
      </c>
      <c r="BH4782" s="2">
        <v>1</v>
      </c>
      <c r="BI4782" s="2">
        <v>1</v>
      </c>
      <c r="BJ4782" s="2">
        <v>0.2</v>
      </c>
      <c r="BK4782" s="2">
        <v>1</v>
      </c>
      <c r="BL4782" s="2">
        <v>41.44</v>
      </c>
      <c r="BM4782" s="2">
        <v>5.8</v>
      </c>
      <c r="BN4782" s="2">
        <v>47.24</v>
      </c>
      <c r="BO4782" s="2">
        <v>47.24</v>
      </c>
      <c r="BP4782" s="2"/>
      <c r="BQ4782" s="2" t="s">
        <v>1582</v>
      </c>
      <c r="BR4782" s="2" t="s">
        <v>84</v>
      </c>
      <c r="BS4782" s="3">
        <v>42955</v>
      </c>
      <c r="BT4782" s="4">
        <v>0.3888888888888889</v>
      </c>
      <c r="BU4782" s="2" t="s">
        <v>352</v>
      </c>
      <c r="BV4782" s="2" t="s">
        <v>95</v>
      </c>
      <c r="BW4782" s="2"/>
      <c r="BX4782" s="2"/>
      <c r="BY4782" s="2">
        <v>1200</v>
      </c>
      <c r="BZ4782" s="2"/>
      <c r="CA4782" s="2" t="s">
        <v>347</v>
      </c>
      <c r="CB4782" s="2"/>
      <c r="CC4782" s="2" t="s">
        <v>344</v>
      </c>
      <c r="CD4782" s="2">
        <v>4133</v>
      </c>
      <c r="CE4782" s="2" t="s">
        <v>104</v>
      </c>
      <c r="CF4782" s="5">
        <v>42957</v>
      </c>
      <c r="CG4782" s="2"/>
      <c r="CH4782" s="2"/>
      <c r="CI4782" s="2">
        <v>1</v>
      </c>
      <c r="CJ4782" s="2">
        <v>1</v>
      </c>
      <c r="CK4782" s="2">
        <v>21</v>
      </c>
      <c r="CL4782" s="2" t="s">
        <v>86</v>
      </c>
      <c r="CM4782" s="2"/>
    </row>
    <row r="4783" spans="1:91">
      <c r="A4783" s="2" t="s">
        <v>71</v>
      </c>
      <c r="B4783" s="2" t="s">
        <v>72</v>
      </c>
      <c r="C4783" s="2" t="s">
        <v>73</v>
      </c>
      <c r="D4783" s="2"/>
      <c r="E4783" s="2" t="str">
        <f>"FES1162567500"</f>
        <v>FES1162567500</v>
      </c>
      <c r="F4783" s="3">
        <v>42954</v>
      </c>
      <c r="G4783" s="2">
        <v>201802</v>
      </c>
      <c r="H4783" s="2" t="s">
        <v>74</v>
      </c>
      <c r="I4783" s="2" t="s">
        <v>75</v>
      </c>
      <c r="J4783" s="2" t="s">
        <v>118</v>
      </c>
      <c r="K4783" s="2" t="s">
        <v>77</v>
      </c>
      <c r="L4783" s="2" t="s">
        <v>97</v>
      </c>
      <c r="M4783" s="2" t="s">
        <v>98</v>
      </c>
      <c r="N4783" s="2" t="s">
        <v>4214</v>
      </c>
      <c r="O4783" s="2" t="s">
        <v>100</v>
      </c>
      <c r="P4783" s="2" t="str">
        <f>"2170579441                    "</f>
        <v xml:space="preserve">2170579441                    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28.02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0</v>
      </c>
      <c r="AU4783" s="2">
        <v>0</v>
      </c>
      <c r="AV4783" s="2">
        <v>0</v>
      </c>
      <c r="AW4783" s="2">
        <v>0</v>
      </c>
      <c r="AX4783" s="2">
        <v>0</v>
      </c>
      <c r="AY4783" s="2">
        <v>0</v>
      </c>
      <c r="AZ4783" s="2">
        <v>0</v>
      </c>
      <c r="BA4783" s="2">
        <v>0</v>
      </c>
      <c r="BB4783" s="2">
        <v>0</v>
      </c>
      <c r="BC4783" s="2">
        <v>0</v>
      </c>
      <c r="BD4783" s="2">
        <v>0</v>
      </c>
      <c r="BE4783" s="2">
        <v>0</v>
      </c>
      <c r="BF4783" s="2">
        <v>0</v>
      </c>
      <c r="BG4783" s="2">
        <v>0</v>
      </c>
      <c r="BH4783" s="2">
        <v>1</v>
      </c>
      <c r="BI4783" s="2">
        <v>13</v>
      </c>
      <c r="BJ4783" s="2">
        <v>12.6</v>
      </c>
      <c r="BK4783" s="2">
        <v>14</v>
      </c>
      <c r="BL4783" s="2">
        <v>290.10000000000002</v>
      </c>
      <c r="BM4783" s="2">
        <v>40.61</v>
      </c>
      <c r="BN4783" s="2">
        <v>330.71</v>
      </c>
      <c r="BO4783" s="2">
        <v>330.71</v>
      </c>
      <c r="BP4783" s="2"/>
      <c r="BQ4783" s="2" t="s">
        <v>288</v>
      </c>
      <c r="BR4783" s="2" t="s">
        <v>122</v>
      </c>
      <c r="BS4783" s="3">
        <v>42955</v>
      </c>
      <c r="BT4783" s="4">
        <v>0.43055555555555558</v>
      </c>
      <c r="BU4783" s="2" t="s">
        <v>1186</v>
      </c>
      <c r="BV4783" s="2" t="s">
        <v>95</v>
      </c>
      <c r="BW4783" s="2"/>
      <c r="BX4783" s="2"/>
      <c r="BY4783" s="2">
        <v>67500</v>
      </c>
      <c r="BZ4783" s="2" t="s">
        <v>27</v>
      </c>
      <c r="CA4783" s="2" t="s">
        <v>1187</v>
      </c>
      <c r="CB4783" s="2"/>
      <c r="CC4783" s="2" t="s">
        <v>98</v>
      </c>
      <c r="CD4783" s="2">
        <v>6000</v>
      </c>
      <c r="CE4783" s="2" t="s">
        <v>996</v>
      </c>
      <c r="CF4783" s="5">
        <v>42957</v>
      </c>
      <c r="CG4783" s="2"/>
      <c r="CH4783" s="2"/>
      <c r="CI4783" s="2">
        <v>1</v>
      </c>
      <c r="CJ4783" s="2">
        <v>1</v>
      </c>
      <c r="CK4783" s="2">
        <v>21</v>
      </c>
      <c r="CL4783" s="2" t="s">
        <v>86</v>
      </c>
      <c r="CM4783" s="2"/>
    </row>
    <row r="4784" spans="1:91">
      <c r="A4784" s="2" t="s">
        <v>71</v>
      </c>
      <c r="B4784" s="2" t="s">
        <v>72</v>
      </c>
      <c r="C4784" s="2" t="s">
        <v>73</v>
      </c>
      <c r="D4784" s="2"/>
      <c r="E4784" s="2" t="str">
        <f>"FES1162567447"</f>
        <v>FES1162567447</v>
      </c>
      <c r="F4784" s="3">
        <v>42954</v>
      </c>
      <c r="G4784" s="2">
        <v>201802</v>
      </c>
      <c r="H4784" s="2" t="s">
        <v>74</v>
      </c>
      <c r="I4784" s="2" t="s">
        <v>75</v>
      </c>
      <c r="J4784" s="2" t="s">
        <v>76</v>
      </c>
      <c r="K4784" s="2" t="s">
        <v>77</v>
      </c>
      <c r="L4784" s="2" t="s">
        <v>268</v>
      </c>
      <c r="M4784" s="2" t="s">
        <v>269</v>
      </c>
      <c r="N4784" s="2" t="s">
        <v>432</v>
      </c>
      <c r="O4784" s="2" t="s">
        <v>100</v>
      </c>
      <c r="P4784" s="2" t="str">
        <f>"2170583607                    "</f>
        <v xml:space="preserve">2170583607                    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4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0</v>
      </c>
      <c r="AU4784" s="2">
        <v>0</v>
      </c>
      <c r="AV4784" s="2">
        <v>0</v>
      </c>
      <c r="AW4784" s="2">
        <v>0</v>
      </c>
      <c r="AX4784" s="2">
        <v>0</v>
      </c>
      <c r="AY4784" s="2">
        <v>0</v>
      </c>
      <c r="AZ4784" s="2">
        <v>0</v>
      </c>
      <c r="BA4784" s="2">
        <v>0</v>
      </c>
      <c r="BB4784" s="2">
        <v>0</v>
      </c>
      <c r="BC4784" s="2">
        <v>0</v>
      </c>
      <c r="BD4784" s="2">
        <v>0</v>
      </c>
      <c r="BE4784" s="2">
        <v>0</v>
      </c>
      <c r="BF4784" s="2">
        <v>0</v>
      </c>
      <c r="BG4784" s="2">
        <v>0</v>
      </c>
      <c r="BH4784" s="2">
        <v>1</v>
      </c>
      <c r="BI4784" s="2">
        <v>1</v>
      </c>
      <c r="BJ4784" s="2">
        <v>0.2</v>
      </c>
      <c r="BK4784" s="2">
        <v>1</v>
      </c>
      <c r="BL4784" s="2">
        <v>41.44</v>
      </c>
      <c r="BM4784" s="2">
        <v>5.8</v>
      </c>
      <c r="BN4784" s="2">
        <v>47.24</v>
      </c>
      <c r="BO4784" s="2">
        <v>47.24</v>
      </c>
      <c r="BP4784" s="2"/>
      <c r="BQ4784" s="2" t="s">
        <v>433</v>
      </c>
      <c r="BR4784" s="2" t="s">
        <v>84</v>
      </c>
      <c r="BS4784" s="3">
        <v>42955</v>
      </c>
      <c r="BT4784" s="4">
        <v>0.39583333333333331</v>
      </c>
      <c r="BU4784" s="2" t="s">
        <v>4215</v>
      </c>
      <c r="BV4784" s="2" t="s">
        <v>95</v>
      </c>
      <c r="BW4784" s="2"/>
      <c r="BX4784" s="2"/>
      <c r="BY4784" s="2">
        <v>1200</v>
      </c>
      <c r="BZ4784" s="2"/>
      <c r="CA4784" s="2" t="s">
        <v>981</v>
      </c>
      <c r="CB4784" s="2"/>
      <c r="CC4784" s="2" t="s">
        <v>269</v>
      </c>
      <c r="CD4784" s="2">
        <v>117</v>
      </c>
      <c r="CE4784" s="2" t="s">
        <v>104</v>
      </c>
      <c r="CF4784" s="5">
        <v>42957</v>
      </c>
      <c r="CG4784" s="2"/>
      <c r="CH4784" s="2"/>
      <c r="CI4784" s="2">
        <v>1</v>
      </c>
      <c r="CJ4784" s="2">
        <v>1</v>
      </c>
      <c r="CK4784" s="2">
        <v>21</v>
      </c>
      <c r="CL4784" s="2" t="s">
        <v>86</v>
      </c>
      <c r="CM4784" s="2"/>
    </row>
    <row r="4785" spans="1:91">
      <c r="A4785" s="2" t="s">
        <v>71</v>
      </c>
      <c r="B4785" s="2" t="s">
        <v>72</v>
      </c>
      <c r="C4785" s="2" t="s">
        <v>73</v>
      </c>
      <c r="D4785" s="2"/>
      <c r="E4785" s="2" t="str">
        <f>"FES1162567532"</f>
        <v>FES1162567532</v>
      </c>
      <c r="F4785" s="3">
        <v>42954</v>
      </c>
      <c r="G4785" s="2">
        <v>201802</v>
      </c>
      <c r="H4785" s="2" t="s">
        <v>74</v>
      </c>
      <c r="I4785" s="2" t="s">
        <v>75</v>
      </c>
      <c r="J4785" s="2" t="s">
        <v>76</v>
      </c>
      <c r="K4785" s="2" t="s">
        <v>77</v>
      </c>
      <c r="L4785" s="2" t="s">
        <v>806</v>
      </c>
      <c r="M4785" s="2" t="s">
        <v>807</v>
      </c>
      <c r="N4785" s="2" t="s">
        <v>808</v>
      </c>
      <c r="O4785" s="2" t="s">
        <v>100</v>
      </c>
      <c r="P4785" s="2" t="str">
        <f>"2170583685                    "</f>
        <v xml:space="preserve">2170583685                    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</v>
      </c>
      <c r="Y4785" s="2">
        <v>0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5.63</v>
      </c>
      <c r="AN4785" s="2">
        <v>0</v>
      </c>
      <c r="AO4785" s="2">
        <v>0</v>
      </c>
      <c r="AP4785" s="2">
        <v>0</v>
      </c>
      <c r="AQ4785" s="2">
        <v>0</v>
      </c>
      <c r="AR4785" s="2">
        <v>0</v>
      </c>
      <c r="AS4785" s="2">
        <v>0</v>
      </c>
      <c r="AT4785" s="2">
        <v>0</v>
      </c>
      <c r="AU4785" s="2">
        <v>0</v>
      </c>
      <c r="AV4785" s="2">
        <v>0</v>
      </c>
      <c r="AW4785" s="2">
        <v>0</v>
      </c>
      <c r="AX4785" s="2">
        <v>0</v>
      </c>
      <c r="AY4785" s="2">
        <v>0</v>
      </c>
      <c r="AZ4785" s="2">
        <v>0</v>
      </c>
      <c r="BA4785" s="2">
        <v>0</v>
      </c>
      <c r="BB4785" s="2">
        <v>0</v>
      </c>
      <c r="BC4785" s="2">
        <v>0</v>
      </c>
      <c r="BD4785" s="2">
        <v>0</v>
      </c>
      <c r="BE4785" s="2">
        <v>0</v>
      </c>
      <c r="BF4785" s="2">
        <v>0</v>
      </c>
      <c r="BG4785" s="2">
        <v>0</v>
      </c>
      <c r="BH4785" s="2">
        <v>1</v>
      </c>
      <c r="BI4785" s="2">
        <v>1</v>
      </c>
      <c r="BJ4785" s="2">
        <v>0.2</v>
      </c>
      <c r="BK4785" s="2">
        <v>1</v>
      </c>
      <c r="BL4785" s="2">
        <v>58.28</v>
      </c>
      <c r="BM4785" s="2">
        <v>8.16</v>
      </c>
      <c r="BN4785" s="2">
        <v>66.44</v>
      </c>
      <c r="BO4785" s="2">
        <v>66.44</v>
      </c>
      <c r="BP4785" s="2"/>
      <c r="BQ4785" s="2" t="s">
        <v>83</v>
      </c>
      <c r="BR4785" s="2" t="s">
        <v>84</v>
      </c>
      <c r="BS4785" s="3">
        <v>42957</v>
      </c>
      <c r="BT4785" s="4">
        <v>0.37847222222222227</v>
      </c>
      <c r="BU4785" s="2" t="s">
        <v>990</v>
      </c>
      <c r="BV4785" s="2" t="s">
        <v>86</v>
      </c>
      <c r="BW4785" s="2"/>
      <c r="BX4785" s="2"/>
      <c r="BY4785" s="2">
        <v>1200</v>
      </c>
      <c r="BZ4785" s="2"/>
      <c r="CA4785" s="2" t="s">
        <v>810</v>
      </c>
      <c r="CB4785" s="2"/>
      <c r="CC4785" s="2" t="s">
        <v>807</v>
      </c>
      <c r="CD4785" s="2">
        <v>2410</v>
      </c>
      <c r="CE4785" s="2" t="s">
        <v>104</v>
      </c>
      <c r="CF4785" s="5">
        <v>42961</v>
      </c>
      <c r="CG4785" s="2"/>
      <c r="CH4785" s="2"/>
      <c r="CI4785" s="2">
        <v>1</v>
      </c>
      <c r="CJ4785" s="2">
        <v>3</v>
      </c>
      <c r="CK4785" s="2">
        <v>24</v>
      </c>
      <c r="CL4785" s="2" t="s">
        <v>86</v>
      </c>
      <c r="CM4785" s="2"/>
    </row>
    <row r="4786" spans="1:91">
      <c r="A4786" s="2" t="s">
        <v>71</v>
      </c>
      <c r="B4786" s="2" t="s">
        <v>72</v>
      </c>
      <c r="C4786" s="2" t="s">
        <v>73</v>
      </c>
      <c r="D4786" s="2"/>
      <c r="E4786" s="2" t="str">
        <f>"FES1162567491"</f>
        <v>FES1162567491</v>
      </c>
      <c r="F4786" s="3">
        <v>42954</v>
      </c>
      <c r="G4786" s="2">
        <v>201802</v>
      </c>
      <c r="H4786" s="2" t="s">
        <v>74</v>
      </c>
      <c r="I4786" s="2" t="s">
        <v>75</v>
      </c>
      <c r="J4786" s="2" t="s">
        <v>76</v>
      </c>
      <c r="K4786" s="2" t="s">
        <v>77</v>
      </c>
      <c r="L4786" s="2" t="s">
        <v>97</v>
      </c>
      <c r="M4786" s="2" t="s">
        <v>98</v>
      </c>
      <c r="N4786" s="2" t="s">
        <v>248</v>
      </c>
      <c r="O4786" s="2" t="s">
        <v>100</v>
      </c>
      <c r="P4786" s="2" t="str">
        <f>"2170583613                    "</f>
        <v xml:space="preserve">2170583613                    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4</v>
      </c>
      <c r="AN4786" s="2">
        <v>0</v>
      </c>
      <c r="AO4786" s="2">
        <v>0</v>
      </c>
      <c r="AP4786" s="2">
        <v>0</v>
      </c>
      <c r="AQ4786" s="2">
        <v>0</v>
      </c>
      <c r="AR4786" s="2">
        <v>0</v>
      </c>
      <c r="AS4786" s="2">
        <v>0</v>
      </c>
      <c r="AT4786" s="2">
        <v>0</v>
      </c>
      <c r="AU4786" s="2">
        <v>0</v>
      </c>
      <c r="AV4786" s="2">
        <v>0</v>
      </c>
      <c r="AW4786" s="2">
        <v>0</v>
      </c>
      <c r="AX4786" s="2">
        <v>0</v>
      </c>
      <c r="AY4786" s="2">
        <v>0</v>
      </c>
      <c r="AZ4786" s="2">
        <v>0</v>
      </c>
      <c r="BA4786" s="2">
        <v>0</v>
      </c>
      <c r="BB4786" s="2">
        <v>0</v>
      </c>
      <c r="BC4786" s="2">
        <v>0</v>
      </c>
      <c r="BD4786" s="2">
        <v>0</v>
      </c>
      <c r="BE4786" s="2">
        <v>0</v>
      </c>
      <c r="BF4786" s="2">
        <v>0</v>
      </c>
      <c r="BG4786" s="2">
        <v>0</v>
      </c>
      <c r="BH4786" s="2">
        <v>1</v>
      </c>
      <c r="BI4786" s="2">
        <v>1</v>
      </c>
      <c r="BJ4786" s="2">
        <v>0.2</v>
      </c>
      <c r="BK4786" s="2">
        <v>1</v>
      </c>
      <c r="BL4786" s="2">
        <v>41.44</v>
      </c>
      <c r="BM4786" s="2">
        <v>5.8</v>
      </c>
      <c r="BN4786" s="2">
        <v>47.24</v>
      </c>
      <c r="BO4786" s="2">
        <v>47.24</v>
      </c>
      <c r="BP4786" s="2"/>
      <c r="BQ4786" s="2" t="s">
        <v>83</v>
      </c>
      <c r="BR4786" s="2" t="s">
        <v>84</v>
      </c>
      <c r="BS4786" s="3">
        <v>42955</v>
      </c>
      <c r="BT4786" s="4">
        <v>0.35416666666666669</v>
      </c>
      <c r="BU4786" s="2" t="s">
        <v>390</v>
      </c>
      <c r="BV4786" s="2" t="s">
        <v>95</v>
      </c>
      <c r="BW4786" s="2"/>
      <c r="BX4786" s="2"/>
      <c r="BY4786" s="2">
        <v>1200</v>
      </c>
      <c r="BZ4786" s="2"/>
      <c r="CA4786" s="2" t="s">
        <v>294</v>
      </c>
      <c r="CB4786" s="2"/>
      <c r="CC4786" s="2" t="s">
        <v>98</v>
      </c>
      <c r="CD4786" s="2">
        <v>6001</v>
      </c>
      <c r="CE4786" s="2" t="s">
        <v>104</v>
      </c>
      <c r="CF4786" s="5">
        <v>42957</v>
      </c>
      <c r="CG4786" s="2"/>
      <c r="CH4786" s="2"/>
      <c r="CI4786" s="2">
        <v>1</v>
      </c>
      <c r="CJ4786" s="2">
        <v>1</v>
      </c>
      <c r="CK4786" s="2">
        <v>21</v>
      </c>
      <c r="CL4786" s="2" t="s">
        <v>86</v>
      </c>
      <c r="CM4786" s="2"/>
    </row>
    <row r="4787" spans="1:91">
      <c r="A4787" s="2" t="s">
        <v>71</v>
      </c>
      <c r="B4787" s="2" t="s">
        <v>72</v>
      </c>
      <c r="C4787" s="2" t="s">
        <v>73</v>
      </c>
      <c r="D4787" s="2"/>
      <c r="E4787" s="2" t="str">
        <f>"FES1162567502"</f>
        <v>FES1162567502</v>
      </c>
      <c r="F4787" s="3">
        <v>42954</v>
      </c>
      <c r="G4787" s="2">
        <v>201802</v>
      </c>
      <c r="H4787" s="2" t="s">
        <v>74</v>
      </c>
      <c r="I4787" s="2" t="s">
        <v>75</v>
      </c>
      <c r="J4787" s="2" t="s">
        <v>76</v>
      </c>
      <c r="K4787" s="2" t="s">
        <v>77</v>
      </c>
      <c r="L4787" s="2" t="s">
        <v>268</v>
      </c>
      <c r="M4787" s="2" t="s">
        <v>269</v>
      </c>
      <c r="N4787" s="2" t="s">
        <v>493</v>
      </c>
      <c r="O4787" s="2" t="s">
        <v>100</v>
      </c>
      <c r="P4787" s="2" t="str">
        <f>"2170583523                    "</f>
        <v xml:space="preserve">2170583523                    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4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2">
        <v>0</v>
      </c>
      <c r="AT4787" s="2">
        <v>0</v>
      </c>
      <c r="AU4787" s="2">
        <v>0</v>
      </c>
      <c r="AV4787" s="2">
        <v>0</v>
      </c>
      <c r="AW4787" s="2">
        <v>0</v>
      </c>
      <c r="AX4787" s="2">
        <v>0</v>
      </c>
      <c r="AY4787" s="2">
        <v>0</v>
      </c>
      <c r="AZ4787" s="2">
        <v>0</v>
      </c>
      <c r="BA4787" s="2">
        <v>0</v>
      </c>
      <c r="BB4787" s="2">
        <v>0</v>
      </c>
      <c r="BC4787" s="2">
        <v>0</v>
      </c>
      <c r="BD4787" s="2">
        <v>0</v>
      </c>
      <c r="BE4787" s="2">
        <v>0</v>
      </c>
      <c r="BF4787" s="2">
        <v>0</v>
      </c>
      <c r="BG4787" s="2">
        <v>0</v>
      </c>
      <c r="BH4787" s="2">
        <v>1</v>
      </c>
      <c r="BI4787" s="2">
        <v>1</v>
      </c>
      <c r="BJ4787" s="2">
        <v>0.2</v>
      </c>
      <c r="BK4787" s="2">
        <v>1</v>
      </c>
      <c r="BL4787" s="2">
        <v>41.44</v>
      </c>
      <c r="BM4787" s="2">
        <v>5.8</v>
      </c>
      <c r="BN4787" s="2">
        <v>47.24</v>
      </c>
      <c r="BO4787" s="2">
        <v>47.24</v>
      </c>
      <c r="BP4787" s="2"/>
      <c r="BQ4787" s="2" t="s">
        <v>494</v>
      </c>
      <c r="BR4787" s="2" t="s">
        <v>84</v>
      </c>
      <c r="BS4787" s="3">
        <v>42955</v>
      </c>
      <c r="BT4787" s="4">
        <v>0.44791666666666669</v>
      </c>
      <c r="BU4787" s="2" t="s">
        <v>495</v>
      </c>
      <c r="BV4787" s="2" t="s">
        <v>95</v>
      </c>
      <c r="BW4787" s="2"/>
      <c r="BX4787" s="2"/>
      <c r="BY4787" s="2">
        <v>1200</v>
      </c>
      <c r="BZ4787" s="2"/>
      <c r="CA4787" s="2" t="s">
        <v>272</v>
      </c>
      <c r="CB4787" s="2"/>
      <c r="CC4787" s="2" t="s">
        <v>269</v>
      </c>
      <c r="CD4787" s="2">
        <v>200</v>
      </c>
      <c r="CE4787" s="2" t="s">
        <v>104</v>
      </c>
      <c r="CF4787" s="5">
        <v>42957</v>
      </c>
      <c r="CG4787" s="2"/>
      <c r="CH4787" s="2"/>
      <c r="CI4787" s="2">
        <v>1</v>
      </c>
      <c r="CJ4787" s="2">
        <v>1</v>
      </c>
      <c r="CK4787" s="2">
        <v>21</v>
      </c>
      <c r="CL4787" s="2" t="s">
        <v>86</v>
      </c>
      <c r="CM4787" s="2"/>
    </row>
    <row r="4788" spans="1:91">
      <c r="A4788" s="2" t="s">
        <v>71</v>
      </c>
      <c r="B4788" s="2" t="s">
        <v>72</v>
      </c>
      <c r="C4788" s="2" t="s">
        <v>73</v>
      </c>
      <c r="D4788" s="2"/>
      <c r="E4788" s="2" t="str">
        <f>"FES1162567433"</f>
        <v>FES1162567433</v>
      </c>
      <c r="F4788" s="3">
        <v>42954</v>
      </c>
      <c r="G4788" s="2">
        <v>201802</v>
      </c>
      <c r="H4788" s="2" t="s">
        <v>74</v>
      </c>
      <c r="I4788" s="2" t="s">
        <v>75</v>
      </c>
      <c r="J4788" s="2" t="s">
        <v>76</v>
      </c>
      <c r="K4788" s="2" t="s">
        <v>77</v>
      </c>
      <c r="L4788" s="2" t="s">
        <v>237</v>
      </c>
      <c r="M4788" s="2" t="s">
        <v>238</v>
      </c>
      <c r="N4788" s="2" t="s">
        <v>1766</v>
      </c>
      <c r="O4788" s="2" t="s">
        <v>100</v>
      </c>
      <c r="P4788" s="2" t="str">
        <f>"2170583584                    "</f>
        <v xml:space="preserve">2170583584                    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4</v>
      </c>
      <c r="AN4788" s="2">
        <v>0</v>
      </c>
      <c r="AO4788" s="2">
        <v>0</v>
      </c>
      <c r="AP4788" s="2">
        <v>0</v>
      </c>
      <c r="AQ4788" s="2">
        <v>0</v>
      </c>
      <c r="AR4788" s="2">
        <v>0</v>
      </c>
      <c r="AS4788" s="2">
        <v>0</v>
      </c>
      <c r="AT4788" s="2">
        <v>0</v>
      </c>
      <c r="AU4788" s="2">
        <v>0</v>
      </c>
      <c r="AV4788" s="2">
        <v>0</v>
      </c>
      <c r="AW4788" s="2">
        <v>0</v>
      </c>
      <c r="AX4788" s="2">
        <v>0</v>
      </c>
      <c r="AY4788" s="2">
        <v>0</v>
      </c>
      <c r="AZ4788" s="2">
        <v>0</v>
      </c>
      <c r="BA4788" s="2">
        <v>0</v>
      </c>
      <c r="BB4788" s="2">
        <v>0</v>
      </c>
      <c r="BC4788" s="2">
        <v>0</v>
      </c>
      <c r="BD4788" s="2">
        <v>0</v>
      </c>
      <c r="BE4788" s="2">
        <v>0</v>
      </c>
      <c r="BF4788" s="2">
        <v>0</v>
      </c>
      <c r="BG4788" s="2">
        <v>0</v>
      </c>
      <c r="BH4788" s="2">
        <v>1</v>
      </c>
      <c r="BI4788" s="2">
        <v>1</v>
      </c>
      <c r="BJ4788" s="2">
        <v>0.2</v>
      </c>
      <c r="BK4788" s="2">
        <v>1</v>
      </c>
      <c r="BL4788" s="2">
        <v>41.44</v>
      </c>
      <c r="BM4788" s="2">
        <v>5.8</v>
      </c>
      <c r="BN4788" s="2">
        <v>47.24</v>
      </c>
      <c r="BO4788" s="2">
        <v>47.24</v>
      </c>
      <c r="BP4788" s="2"/>
      <c r="BQ4788" s="2" t="s">
        <v>108</v>
      </c>
      <c r="BR4788" s="2" t="s">
        <v>84</v>
      </c>
      <c r="BS4788" s="3">
        <v>42955</v>
      </c>
      <c r="BT4788" s="4">
        <v>0.40972222222222227</v>
      </c>
      <c r="BU4788" s="2" t="s">
        <v>428</v>
      </c>
      <c r="BV4788" s="2" t="s">
        <v>95</v>
      </c>
      <c r="BW4788" s="2"/>
      <c r="BX4788" s="2"/>
      <c r="BY4788" s="2">
        <v>1200</v>
      </c>
      <c r="BZ4788" s="2"/>
      <c r="CA4788" s="2" t="s">
        <v>401</v>
      </c>
      <c r="CB4788" s="2"/>
      <c r="CC4788" s="2" t="s">
        <v>238</v>
      </c>
      <c r="CD4788" s="2">
        <v>3620</v>
      </c>
      <c r="CE4788" s="2" t="s">
        <v>104</v>
      </c>
      <c r="CF4788" s="5">
        <v>42957</v>
      </c>
      <c r="CG4788" s="2"/>
      <c r="CH4788" s="2"/>
      <c r="CI4788" s="2">
        <v>1</v>
      </c>
      <c r="CJ4788" s="2">
        <v>1</v>
      </c>
      <c r="CK4788" s="2">
        <v>21</v>
      </c>
      <c r="CL4788" s="2" t="s">
        <v>86</v>
      </c>
      <c r="CM4788" s="2"/>
    </row>
    <row r="4789" spans="1:91">
      <c r="A4789" s="2" t="s">
        <v>71</v>
      </c>
      <c r="B4789" s="2" t="s">
        <v>72</v>
      </c>
      <c r="C4789" s="2" t="s">
        <v>73</v>
      </c>
      <c r="D4789" s="2"/>
      <c r="E4789" s="2" t="str">
        <f>"FES1162567428"</f>
        <v>FES1162567428</v>
      </c>
      <c r="F4789" s="3">
        <v>42954</v>
      </c>
      <c r="G4789" s="2">
        <v>201802</v>
      </c>
      <c r="H4789" s="2" t="s">
        <v>74</v>
      </c>
      <c r="I4789" s="2" t="s">
        <v>75</v>
      </c>
      <c r="J4789" s="2" t="s">
        <v>76</v>
      </c>
      <c r="K4789" s="2" t="s">
        <v>77</v>
      </c>
      <c r="L4789" s="2" t="s">
        <v>2227</v>
      </c>
      <c r="M4789" s="2" t="s">
        <v>2228</v>
      </c>
      <c r="N4789" s="2" t="s">
        <v>2314</v>
      </c>
      <c r="O4789" s="2" t="s">
        <v>100</v>
      </c>
      <c r="P4789" s="2" t="str">
        <f>"2170582972                    "</f>
        <v xml:space="preserve">2170582972                    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7.75</v>
      </c>
      <c r="AN4789" s="2">
        <v>0</v>
      </c>
      <c r="AO4789" s="2">
        <v>0</v>
      </c>
      <c r="AP4789" s="2">
        <v>0</v>
      </c>
      <c r="AQ4789" s="2">
        <v>0</v>
      </c>
      <c r="AR4789" s="2">
        <v>0</v>
      </c>
      <c r="AS4789" s="2">
        <v>0</v>
      </c>
      <c r="AT4789" s="2">
        <v>0</v>
      </c>
      <c r="AU4789" s="2">
        <v>0</v>
      </c>
      <c r="AV4789" s="2">
        <v>0</v>
      </c>
      <c r="AW4789" s="2">
        <v>0</v>
      </c>
      <c r="AX4789" s="2">
        <v>0</v>
      </c>
      <c r="AY4789" s="2">
        <v>0</v>
      </c>
      <c r="AZ4789" s="2">
        <v>0</v>
      </c>
      <c r="BA4789" s="2">
        <v>0</v>
      </c>
      <c r="BB4789" s="2">
        <v>0</v>
      </c>
      <c r="BC4789" s="2">
        <v>0</v>
      </c>
      <c r="BD4789" s="2">
        <v>0</v>
      </c>
      <c r="BE4789" s="2">
        <v>0</v>
      </c>
      <c r="BF4789" s="2">
        <v>0</v>
      </c>
      <c r="BG4789" s="2">
        <v>0</v>
      </c>
      <c r="BH4789" s="2">
        <v>1</v>
      </c>
      <c r="BI4789" s="2">
        <v>1</v>
      </c>
      <c r="BJ4789" s="2">
        <v>0.2</v>
      </c>
      <c r="BK4789" s="2">
        <v>1</v>
      </c>
      <c r="BL4789" s="2">
        <v>80.290000000000006</v>
      </c>
      <c r="BM4789" s="2">
        <v>11.24</v>
      </c>
      <c r="BN4789" s="2">
        <v>91.53</v>
      </c>
      <c r="BO4789" s="2">
        <v>91.53</v>
      </c>
      <c r="BP4789" s="2"/>
      <c r="BQ4789" s="2" t="s">
        <v>365</v>
      </c>
      <c r="BR4789" s="2" t="s">
        <v>84</v>
      </c>
      <c r="BS4789" s="3">
        <v>42955</v>
      </c>
      <c r="BT4789" s="4">
        <v>0.43263888888888885</v>
      </c>
      <c r="BU4789" s="2" t="s">
        <v>4216</v>
      </c>
      <c r="BV4789" s="2" t="s">
        <v>95</v>
      </c>
      <c r="BW4789" s="2"/>
      <c r="BX4789" s="2"/>
      <c r="BY4789" s="2">
        <v>1200</v>
      </c>
      <c r="BZ4789" s="2"/>
      <c r="CA4789" s="2" t="s">
        <v>2231</v>
      </c>
      <c r="CB4789" s="2"/>
      <c r="CC4789" s="2" t="s">
        <v>2228</v>
      </c>
      <c r="CD4789" s="2">
        <v>4170</v>
      </c>
      <c r="CE4789" s="2" t="s">
        <v>104</v>
      </c>
      <c r="CF4789" s="5">
        <v>42957</v>
      </c>
      <c r="CG4789" s="2"/>
      <c r="CH4789" s="2"/>
      <c r="CI4789" s="2">
        <v>1</v>
      </c>
      <c r="CJ4789" s="2">
        <v>1</v>
      </c>
      <c r="CK4789" s="2">
        <v>23</v>
      </c>
      <c r="CL4789" s="2" t="s">
        <v>86</v>
      </c>
      <c r="CM4789" s="2"/>
    </row>
    <row r="4790" spans="1:91">
      <c r="A4790" s="2" t="s">
        <v>71</v>
      </c>
      <c r="B4790" s="2" t="s">
        <v>72</v>
      </c>
      <c r="C4790" s="2" t="s">
        <v>73</v>
      </c>
      <c r="D4790" s="2"/>
      <c r="E4790" s="2" t="str">
        <f>"FES1162567446"</f>
        <v>FES1162567446</v>
      </c>
      <c r="F4790" s="3">
        <v>42954</v>
      </c>
      <c r="G4790" s="2">
        <v>201802</v>
      </c>
      <c r="H4790" s="2" t="s">
        <v>74</v>
      </c>
      <c r="I4790" s="2" t="s">
        <v>75</v>
      </c>
      <c r="J4790" s="2" t="s">
        <v>76</v>
      </c>
      <c r="K4790" s="2" t="s">
        <v>77</v>
      </c>
      <c r="L4790" s="2" t="s">
        <v>149</v>
      </c>
      <c r="M4790" s="2" t="s">
        <v>150</v>
      </c>
      <c r="N4790" s="2" t="s">
        <v>3343</v>
      </c>
      <c r="O4790" s="2" t="s">
        <v>100</v>
      </c>
      <c r="P4790" s="2" t="str">
        <f>"2170583605                    "</f>
        <v xml:space="preserve">2170583605                    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4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0</v>
      </c>
      <c r="AU4790" s="2">
        <v>0</v>
      </c>
      <c r="AV4790" s="2">
        <v>0</v>
      </c>
      <c r="AW4790" s="2">
        <v>0</v>
      </c>
      <c r="AX4790" s="2">
        <v>0</v>
      </c>
      <c r="AY4790" s="2">
        <v>0</v>
      </c>
      <c r="AZ4790" s="2">
        <v>0</v>
      </c>
      <c r="BA4790" s="2">
        <v>0</v>
      </c>
      <c r="BB4790" s="2">
        <v>0</v>
      </c>
      <c r="BC4790" s="2">
        <v>0</v>
      </c>
      <c r="BD4790" s="2">
        <v>0</v>
      </c>
      <c r="BE4790" s="2">
        <v>0</v>
      </c>
      <c r="BF4790" s="2">
        <v>0</v>
      </c>
      <c r="BG4790" s="2">
        <v>0</v>
      </c>
      <c r="BH4790" s="2">
        <v>1</v>
      </c>
      <c r="BI4790" s="2">
        <v>1</v>
      </c>
      <c r="BJ4790" s="2">
        <v>0.2</v>
      </c>
      <c r="BK4790" s="2">
        <v>1</v>
      </c>
      <c r="BL4790" s="2">
        <v>41.44</v>
      </c>
      <c r="BM4790" s="2">
        <v>5.8</v>
      </c>
      <c r="BN4790" s="2">
        <v>47.24</v>
      </c>
      <c r="BO4790" s="2">
        <v>47.24</v>
      </c>
      <c r="BP4790" s="2"/>
      <c r="BQ4790" s="2" t="s">
        <v>227</v>
      </c>
      <c r="BR4790" s="2" t="s">
        <v>84</v>
      </c>
      <c r="BS4790" s="3">
        <v>42955</v>
      </c>
      <c r="BT4790" s="4">
        <v>0.39999999999999997</v>
      </c>
      <c r="BU4790" s="2" t="s">
        <v>4217</v>
      </c>
      <c r="BV4790" s="2" t="s">
        <v>95</v>
      </c>
      <c r="BW4790" s="2"/>
      <c r="BX4790" s="2"/>
      <c r="BY4790" s="2">
        <v>1200</v>
      </c>
      <c r="BZ4790" s="2"/>
      <c r="CA4790" s="2" t="s">
        <v>682</v>
      </c>
      <c r="CB4790" s="2"/>
      <c r="CC4790" s="2" t="s">
        <v>150</v>
      </c>
      <c r="CD4790" s="2">
        <v>4001</v>
      </c>
      <c r="CE4790" s="2" t="s">
        <v>104</v>
      </c>
      <c r="CF4790" s="5">
        <v>42957</v>
      </c>
      <c r="CG4790" s="2"/>
      <c r="CH4790" s="2"/>
      <c r="CI4790" s="2">
        <v>1</v>
      </c>
      <c r="CJ4790" s="2">
        <v>1</v>
      </c>
      <c r="CK4790" s="2">
        <v>21</v>
      </c>
      <c r="CL4790" s="2" t="s">
        <v>86</v>
      </c>
      <c r="CM4790" s="2"/>
    </row>
    <row r="4791" spans="1:91">
      <c r="A4791" s="2" t="s">
        <v>71</v>
      </c>
      <c r="B4791" s="2" t="s">
        <v>72</v>
      </c>
      <c r="C4791" s="2" t="s">
        <v>73</v>
      </c>
      <c r="D4791" s="2"/>
      <c r="E4791" s="2" t="str">
        <f>"FES1162567489"</f>
        <v>FES1162567489</v>
      </c>
      <c r="F4791" s="3">
        <v>42954</v>
      </c>
      <c r="G4791" s="2">
        <v>201802</v>
      </c>
      <c r="H4791" s="2" t="s">
        <v>74</v>
      </c>
      <c r="I4791" s="2" t="s">
        <v>75</v>
      </c>
      <c r="J4791" s="2" t="s">
        <v>76</v>
      </c>
      <c r="K4791" s="2" t="s">
        <v>77</v>
      </c>
      <c r="L4791" s="2" t="s">
        <v>311</v>
      </c>
      <c r="M4791" s="2" t="s">
        <v>312</v>
      </c>
      <c r="N4791" s="2" t="s">
        <v>590</v>
      </c>
      <c r="O4791" s="2" t="s">
        <v>100</v>
      </c>
      <c r="P4791" s="2" t="str">
        <f>"2170583658                    "</f>
        <v xml:space="preserve">2170583658                    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3.13</v>
      </c>
      <c r="AN4791" s="2">
        <v>0</v>
      </c>
      <c r="AO4791" s="2">
        <v>0</v>
      </c>
      <c r="AP4791" s="2">
        <v>0</v>
      </c>
      <c r="AQ4791" s="2">
        <v>0</v>
      </c>
      <c r="AR4791" s="2">
        <v>0</v>
      </c>
      <c r="AS4791" s="2">
        <v>0</v>
      </c>
      <c r="AT4791" s="2">
        <v>0</v>
      </c>
      <c r="AU4791" s="2">
        <v>0</v>
      </c>
      <c r="AV4791" s="2">
        <v>0</v>
      </c>
      <c r="AW4791" s="2">
        <v>0</v>
      </c>
      <c r="AX4791" s="2">
        <v>0</v>
      </c>
      <c r="AY4791" s="2">
        <v>0</v>
      </c>
      <c r="AZ4791" s="2">
        <v>0</v>
      </c>
      <c r="BA4791" s="2">
        <v>0</v>
      </c>
      <c r="BB4791" s="2">
        <v>0</v>
      </c>
      <c r="BC4791" s="2">
        <v>0</v>
      </c>
      <c r="BD4791" s="2">
        <v>0</v>
      </c>
      <c r="BE4791" s="2">
        <v>0</v>
      </c>
      <c r="BF4791" s="2">
        <v>0</v>
      </c>
      <c r="BG4791" s="2">
        <v>0</v>
      </c>
      <c r="BH4791" s="2">
        <v>1</v>
      </c>
      <c r="BI4791" s="2">
        <v>1</v>
      </c>
      <c r="BJ4791" s="2">
        <v>0.2</v>
      </c>
      <c r="BK4791" s="2">
        <v>1</v>
      </c>
      <c r="BL4791" s="2">
        <v>32.380000000000003</v>
      </c>
      <c r="BM4791" s="2">
        <v>4.53</v>
      </c>
      <c r="BN4791" s="2">
        <v>36.909999999999997</v>
      </c>
      <c r="BO4791" s="2">
        <v>36.909999999999997</v>
      </c>
      <c r="BP4791" s="2"/>
      <c r="BQ4791" s="2" t="s">
        <v>1516</v>
      </c>
      <c r="BR4791" s="2" t="s">
        <v>84</v>
      </c>
      <c r="BS4791" s="3">
        <v>42955</v>
      </c>
      <c r="BT4791" s="4">
        <v>0.41597222222222219</v>
      </c>
      <c r="BU4791" s="2" t="s">
        <v>1435</v>
      </c>
      <c r="BV4791" s="2" t="s">
        <v>95</v>
      </c>
      <c r="BW4791" s="2"/>
      <c r="BX4791" s="2"/>
      <c r="BY4791" s="2">
        <v>1200</v>
      </c>
      <c r="BZ4791" s="2"/>
      <c r="CA4791" s="2"/>
      <c r="CB4791" s="2"/>
      <c r="CC4791" s="2" t="s">
        <v>312</v>
      </c>
      <c r="CD4791" s="2">
        <v>1559</v>
      </c>
      <c r="CE4791" s="2" t="s">
        <v>104</v>
      </c>
      <c r="CF4791" s="5">
        <v>42957</v>
      </c>
      <c r="CG4791" s="2"/>
      <c r="CH4791" s="2"/>
      <c r="CI4791" s="2">
        <v>1</v>
      </c>
      <c r="CJ4791" s="2">
        <v>1</v>
      </c>
      <c r="CK4791" s="2">
        <v>22</v>
      </c>
      <c r="CL4791" s="2" t="s">
        <v>86</v>
      </c>
      <c r="CM4791" s="2"/>
    </row>
    <row r="4792" spans="1:91">
      <c r="A4792" s="2" t="s">
        <v>71</v>
      </c>
      <c r="B4792" s="2" t="s">
        <v>72</v>
      </c>
      <c r="C4792" s="2" t="s">
        <v>73</v>
      </c>
      <c r="D4792" s="2"/>
      <c r="E4792" s="2" t="str">
        <f>"FES1162567459"</f>
        <v>FES1162567459</v>
      </c>
      <c r="F4792" s="3">
        <v>42954</v>
      </c>
      <c r="G4792" s="2">
        <v>201802</v>
      </c>
      <c r="H4792" s="2" t="s">
        <v>74</v>
      </c>
      <c r="I4792" s="2" t="s">
        <v>75</v>
      </c>
      <c r="J4792" s="2" t="s">
        <v>76</v>
      </c>
      <c r="K4792" s="2" t="s">
        <v>77</v>
      </c>
      <c r="L4792" s="2" t="s">
        <v>268</v>
      </c>
      <c r="M4792" s="2" t="s">
        <v>269</v>
      </c>
      <c r="N4792" s="2" t="s">
        <v>432</v>
      </c>
      <c r="O4792" s="2" t="s">
        <v>100</v>
      </c>
      <c r="P4792" s="2" t="str">
        <f>"2170583620                    "</f>
        <v xml:space="preserve">2170583620                    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0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4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2">
        <v>0</v>
      </c>
      <c r="AT4792" s="2">
        <v>0</v>
      </c>
      <c r="AU4792" s="2">
        <v>0</v>
      </c>
      <c r="AV4792" s="2">
        <v>0</v>
      </c>
      <c r="AW4792" s="2">
        <v>0</v>
      </c>
      <c r="AX4792" s="2">
        <v>0</v>
      </c>
      <c r="AY4792" s="2">
        <v>0</v>
      </c>
      <c r="AZ4792" s="2">
        <v>0</v>
      </c>
      <c r="BA4792" s="2">
        <v>0</v>
      </c>
      <c r="BB4792" s="2">
        <v>0</v>
      </c>
      <c r="BC4792" s="2">
        <v>0</v>
      </c>
      <c r="BD4792" s="2">
        <v>0</v>
      </c>
      <c r="BE4792" s="2">
        <v>0</v>
      </c>
      <c r="BF4792" s="2">
        <v>0</v>
      </c>
      <c r="BG4792" s="2">
        <v>0</v>
      </c>
      <c r="BH4792" s="2">
        <v>1</v>
      </c>
      <c r="BI4792" s="2">
        <v>1</v>
      </c>
      <c r="BJ4792" s="2">
        <v>0.2</v>
      </c>
      <c r="BK4792" s="2">
        <v>1</v>
      </c>
      <c r="BL4792" s="2">
        <v>41.44</v>
      </c>
      <c r="BM4792" s="2">
        <v>5.8</v>
      </c>
      <c r="BN4792" s="2">
        <v>47.24</v>
      </c>
      <c r="BO4792" s="2">
        <v>47.24</v>
      </c>
      <c r="BP4792" s="2"/>
      <c r="BQ4792" s="2" t="s">
        <v>433</v>
      </c>
      <c r="BR4792" s="2" t="s">
        <v>84</v>
      </c>
      <c r="BS4792" s="3">
        <v>42955</v>
      </c>
      <c r="BT4792" s="4">
        <v>0.39583333333333331</v>
      </c>
      <c r="BU4792" s="2" t="s">
        <v>4215</v>
      </c>
      <c r="BV4792" s="2" t="s">
        <v>95</v>
      </c>
      <c r="BW4792" s="2"/>
      <c r="BX4792" s="2"/>
      <c r="BY4792" s="2">
        <v>1200</v>
      </c>
      <c r="BZ4792" s="2"/>
      <c r="CA4792" s="2" t="s">
        <v>981</v>
      </c>
      <c r="CB4792" s="2"/>
      <c r="CC4792" s="2" t="s">
        <v>269</v>
      </c>
      <c r="CD4792" s="2">
        <v>117</v>
      </c>
      <c r="CE4792" s="2" t="s">
        <v>104</v>
      </c>
      <c r="CF4792" s="5">
        <v>42957</v>
      </c>
      <c r="CG4792" s="2"/>
      <c r="CH4792" s="2"/>
      <c r="CI4792" s="2">
        <v>1</v>
      </c>
      <c r="CJ4792" s="2">
        <v>1</v>
      </c>
      <c r="CK4792" s="2">
        <v>21</v>
      </c>
      <c r="CL4792" s="2" t="s">
        <v>86</v>
      </c>
      <c r="CM4792" s="2"/>
    </row>
    <row r="4793" spans="1:91">
      <c r="A4793" s="2" t="s">
        <v>71</v>
      </c>
      <c r="B4793" s="2" t="s">
        <v>72</v>
      </c>
      <c r="C4793" s="2" t="s">
        <v>73</v>
      </c>
      <c r="D4793" s="2"/>
      <c r="E4793" s="2" t="str">
        <f>"FES1162567460"</f>
        <v>FES1162567460</v>
      </c>
      <c r="F4793" s="3">
        <v>42954</v>
      </c>
      <c r="G4793" s="2">
        <v>201802</v>
      </c>
      <c r="H4793" s="2" t="s">
        <v>74</v>
      </c>
      <c r="I4793" s="2" t="s">
        <v>75</v>
      </c>
      <c r="J4793" s="2" t="s">
        <v>76</v>
      </c>
      <c r="K4793" s="2" t="s">
        <v>77</v>
      </c>
      <c r="L4793" s="2" t="s">
        <v>268</v>
      </c>
      <c r="M4793" s="2" t="s">
        <v>269</v>
      </c>
      <c r="N4793" s="2" t="s">
        <v>2207</v>
      </c>
      <c r="O4793" s="2" t="s">
        <v>100</v>
      </c>
      <c r="P4793" s="2" t="str">
        <f>"2170583621                    "</f>
        <v xml:space="preserve">2170583621                    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2">
        <v>0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  <c r="AM4793" s="2">
        <v>4</v>
      </c>
      <c r="AN4793" s="2">
        <v>0</v>
      </c>
      <c r="AO4793" s="2">
        <v>0</v>
      </c>
      <c r="AP4793" s="2">
        <v>0</v>
      </c>
      <c r="AQ4793" s="2">
        <v>0</v>
      </c>
      <c r="AR4793" s="2">
        <v>0</v>
      </c>
      <c r="AS4793" s="2">
        <v>0</v>
      </c>
      <c r="AT4793" s="2">
        <v>0</v>
      </c>
      <c r="AU4793" s="2">
        <v>0</v>
      </c>
      <c r="AV4793" s="2">
        <v>0</v>
      </c>
      <c r="AW4793" s="2">
        <v>0</v>
      </c>
      <c r="AX4793" s="2">
        <v>0</v>
      </c>
      <c r="AY4793" s="2">
        <v>0</v>
      </c>
      <c r="AZ4793" s="2">
        <v>0</v>
      </c>
      <c r="BA4793" s="2">
        <v>0</v>
      </c>
      <c r="BB4793" s="2">
        <v>0</v>
      </c>
      <c r="BC4793" s="2">
        <v>0</v>
      </c>
      <c r="BD4793" s="2">
        <v>0</v>
      </c>
      <c r="BE4793" s="2">
        <v>0</v>
      </c>
      <c r="BF4793" s="2">
        <v>0</v>
      </c>
      <c r="BG4793" s="2">
        <v>0</v>
      </c>
      <c r="BH4793" s="2">
        <v>1</v>
      </c>
      <c r="BI4793" s="2">
        <v>1</v>
      </c>
      <c r="BJ4793" s="2">
        <v>0.2</v>
      </c>
      <c r="BK4793" s="2">
        <v>1</v>
      </c>
      <c r="BL4793" s="2">
        <v>41.44</v>
      </c>
      <c r="BM4793" s="2">
        <v>5.8</v>
      </c>
      <c r="BN4793" s="2">
        <v>47.24</v>
      </c>
      <c r="BO4793" s="2">
        <v>47.24</v>
      </c>
      <c r="BP4793" s="2"/>
      <c r="BQ4793" s="2" t="s">
        <v>4218</v>
      </c>
      <c r="BR4793" s="2" t="s">
        <v>84</v>
      </c>
      <c r="BS4793" s="3">
        <v>42955</v>
      </c>
      <c r="BT4793" s="4">
        <v>0.64583333333333337</v>
      </c>
      <c r="BU4793" s="2" t="s">
        <v>4219</v>
      </c>
      <c r="BV4793" s="2" t="s">
        <v>86</v>
      </c>
      <c r="BW4793" s="2" t="s">
        <v>110</v>
      </c>
      <c r="BX4793" s="2" t="s">
        <v>444</v>
      </c>
      <c r="BY4793" s="2">
        <v>1200</v>
      </c>
      <c r="BZ4793" s="2"/>
      <c r="CA4793" s="2"/>
      <c r="CB4793" s="2"/>
      <c r="CC4793" s="2" t="s">
        <v>269</v>
      </c>
      <c r="CD4793" s="2">
        <v>200</v>
      </c>
      <c r="CE4793" s="2" t="s">
        <v>104</v>
      </c>
      <c r="CF4793" s="5">
        <v>42957</v>
      </c>
      <c r="CG4793" s="2"/>
      <c r="CH4793" s="2"/>
      <c r="CI4793" s="2">
        <v>1</v>
      </c>
      <c r="CJ4793" s="2">
        <v>1</v>
      </c>
      <c r="CK4793" s="2">
        <v>21</v>
      </c>
      <c r="CL4793" s="2" t="s">
        <v>86</v>
      </c>
      <c r="CM4793" s="2"/>
    </row>
    <row r="4794" spans="1:91">
      <c r="A4794" s="2" t="s">
        <v>71</v>
      </c>
      <c r="B4794" s="2" t="s">
        <v>72</v>
      </c>
      <c r="C4794" s="2" t="s">
        <v>73</v>
      </c>
      <c r="D4794" s="2"/>
      <c r="E4794" s="2" t="str">
        <f>"FES1162567480"</f>
        <v>FES1162567480</v>
      </c>
      <c r="F4794" s="3">
        <v>42954</v>
      </c>
      <c r="G4794" s="2">
        <v>201802</v>
      </c>
      <c r="H4794" s="2" t="s">
        <v>74</v>
      </c>
      <c r="I4794" s="2" t="s">
        <v>75</v>
      </c>
      <c r="J4794" s="2" t="s">
        <v>76</v>
      </c>
      <c r="K4794" s="2" t="s">
        <v>77</v>
      </c>
      <c r="L4794" s="2" t="s">
        <v>539</v>
      </c>
      <c r="M4794" s="2" t="s">
        <v>540</v>
      </c>
      <c r="N4794" s="2" t="s">
        <v>1740</v>
      </c>
      <c r="O4794" s="2" t="s">
        <v>100</v>
      </c>
      <c r="P4794" s="2" t="str">
        <f>"2170583644                    "</f>
        <v xml:space="preserve">2170583644                    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3.13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2">
        <v>0</v>
      </c>
      <c r="AT4794" s="2">
        <v>0</v>
      </c>
      <c r="AU4794" s="2">
        <v>0</v>
      </c>
      <c r="AV4794" s="2">
        <v>0</v>
      </c>
      <c r="AW4794" s="2">
        <v>0</v>
      </c>
      <c r="AX4794" s="2">
        <v>0</v>
      </c>
      <c r="AY4794" s="2">
        <v>0</v>
      </c>
      <c r="AZ4794" s="2">
        <v>0</v>
      </c>
      <c r="BA4794" s="2">
        <v>0</v>
      </c>
      <c r="BB4794" s="2">
        <v>0</v>
      </c>
      <c r="BC4794" s="2">
        <v>0</v>
      </c>
      <c r="BD4794" s="2">
        <v>0</v>
      </c>
      <c r="BE4794" s="2">
        <v>0</v>
      </c>
      <c r="BF4794" s="2">
        <v>0</v>
      </c>
      <c r="BG4794" s="2">
        <v>0</v>
      </c>
      <c r="BH4794" s="2">
        <v>1</v>
      </c>
      <c r="BI4794" s="2">
        <v>1</v>
      </c>
      <c r="BJ4794" s="2">
        <v>0.2</v>
      </c>
      <c r="BK4794" s="2">
        <v>1</v>
      </c>
      <c r="BL4794" s="2">
        <v>32.380000000000003</v>
      </c>
      <c r="BM4794" s="2">
        <v>4.53</v>
      </c>
      <c r="BN4794" s="2">
        <v>36.909999999999997</v>
      </c>
      <c r="BO4794" s="2">
        <v>36.909999999999997</v>
      </c>
      <c r="BP4794" s="2"/>
      <c r="BQ4794" s="2" t="s">
        <v>3656</v>
      </c>
      <c r="BR4794" s="2" t="s">
        <v>84</v>
      </c>
      <c r="BS4794" s="3">
        <v>42955</v>
      </c>
      <c r="BT4794" s="4">
        <v>0.43541666666666662</v>
      </c>
      <c r="BU4794" s="2" t="s">
        <v>4220</v>
      </c>
      <c r="BV4794" s="2" t="s">
        <v>95</v>
      </c>
      <c r="BW4794" s="2"/>
      <c r="BX4794" s="2"/>
      <c r="BY4794" s="2">
        <v>1200</v>
      </c>
      <c r="BZ4794" s="2"/>
      <c r="CA4794" s="2" t="s">
        <v>200</v>
      </c>
      <c r="CB4794" s="2"/>
      <c r="CC4794" s="2" t="s">
        <v>540</v>
      </c>
      <c r="CD4794" s="2">
        <v>2163</v>
      </c>
      <c r="CE4794" s="2" t="s">
        <v>104</v>
      </c>
      <c r="CF4794" s="5">
        <v>42957</v>
      </c>
      <c r="CG4794" s="2"/>
      <c r="CH4794" s="2"/>
      <c r="CI4794" s="2">
        <v>1</v>
      </c>
      <c r="CJ4794" s="2">
        <v>1</v>
      </c>
      <c r="CK4794" s="2">
        <v>22</v>
      </c>
      <c r="CL4794" s="2" t="s">
        <v>86</v>
      </c>
      <c r="CM4794" s="2"/>
    </row>
    <row r="4795" spans="1:91">
      <c r="A4795" s="2" t="s">
        <v>71</v>
      </c>
      <c r="B4795" s="2" t="s">
        <v>72</v>
      </c>
      <c r="C4795" s="2" t="s">
        <v>73</v>
      </c>
      <c r="D4795" s="2"/>
      <c r="E4795" s="2" t="str">
        <f>"FES1162567481"</f>
        <v>FES1162567481</v>
      </c>
      <c r="F4795" s="3">
        <v>42954</v>
      </c>
      <c r="G4795" s="2">
        <v>201802</v>
      </c>
      <c r="H4795" s="2" t="s">
        <v>74</v>
      </c>
      <c r="I4795" s="2" t="s">
        <v>75</v>
      </c>
      <c r="J4795" s="2" t="s">
        <v>76</v>
      </c>
      <c r="K4795" s="2" t="s">
        <v>77</v>
      </c>
      <c r="L4795" s="2" t="s">
        <v>216</v>
      </c>
      <c r="M4795" s="2" t="s">
        <v>217</v>
      </c>
      <c r="N4795" s="2" t="s">
        <v>374</v>
      </c>
      <c r="O4795" s="2" t="s">
        <v>100</v>
      </c>
      <c r="P4795" s="2" t="str">
        <f>"23170583645                   "</f>
        <v xml:space="preserve">23170583645                   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3.13</v>
      </c>
      <c r="AN4795" s="2">
        <v>0</v>
      </c>
      <c r="AO4795" s="2">
        <v>0</v>
      </c>
      <c r="AP4795" s="2">
        <v>0</v>
      </c>
      <c r="AQ4795" s="2">
        <v>0</v>
      </c>
      <c r="AR4795" s="2">
        <v>0</v>
      </c>
      <c r="AS4795" s="2">
        <v>0</v>
      </c>
      <c r="AT4795" s="2">
        <v>0</v>
      </c>
      <c r="AU4795" s="2">
        <v>0</v>
      </c>
      <c r="AV4795" s="2">
        <v>0</v>
      </c>
      <c r="AW4795" s="2">
        <v>0</v>
      </c>
      <c r="AX4795" s="2">
        <v>0</v>
      </c>
      <c r="AY4795" s="2">
        <v>0</v>
      </c>
      <c r="AZ4795" s="2">
        <v>0</v>
      </c>
      <c r="BA4795" s="2">
        <v>0</v>
      </c>
      <c r="BB4795" s="2">
        <v>0</v>
      </c>
      <c r="BC4795" s="2">
        <v>0</v>
      </c>
      <c r="BD4795" s="2">
        <v>0</v>
      </c>
      <c r="BE4795" s="2">
        <v>0</v>
      </c>
      <c r="BF4795" s="2">
        <v>0</v>
      </c>
      <c r="BG4795" s="2">
        <v>0</v>
      </c>
      <c r="BH4795" s="2">
        <v>1</v>
      </c>
      <c r="BI4795" s="2">
        <v>1</v>
      </c>
      <c r="BJ4795" s="2">
        <v>0.2</v>
      </c>
      <c r="BK4795" s="2">
        <v>1</v>
      </c>
      <c r="BL4795" s="2">
        <v>32.380000000000003</v>
      </c>
      <c r="BM4795" s="2">
        <v>4.53</v>
      </c>
      <c r="BN4795" s="2">
        <v>36.909999999999997</v>
      </c>
      <c r="BO4795" s="2">
        <v>36.909999999999997</v>
      </c>
      <c r="BP4795" s="2"/>
      <c r="BQ4795" s="2" t="s">
        <v>375</v>
      </c>
      <c r="BR4795" s="2" t="s">
        <v>84</v>
      </c>
      <c r="BS4795" s="3">
        <v>42955</v>
      </c>
      <c r="BT4795" s="4">
        <v>0.43263888888888885</v>
      </c>
      <c r="BU4795" s="2" t="s">
        <v>4221</v>
      </c>
      <c r="BV4795" s="2" t="s">
        <v>95</v>
      </c>
      <c r="BW4795" s="2"/>
      <c r="BX4795" s="2"/>
      <c r="BY4795" s="2">
        <v>1200</v>
      </c>
      <c r="BZ4795" s="2"/>
      <c r="CA4795" s="2"/>
      <c r="CB4795" s="2"/>
      <c r="CC4795" s="2" t="s">
        <v>217</v>
      </c>
      <c r="CD4795" s="2">
        <v>1451</v>
      </c>
      <c r="CE4795" s="2" t="s">
        <v>104</v>
      </c>
      <c r="CF4795" s="5">
        <v>42957</v>
      </c>
      <c r="CG4795" s="2"/>
      <c r="CH4795" s="2"/>
      <c r="CI4795" s="2">
        <v>1</v>
      </c>
      <c r="CJ4795" s="2">
        <v>1</v>
      </c>
      <c r="CK4795" s="2">
        <v>22</v>
      </c>
      <c r="CL4795" s="2" t="s">
        <v>86</v>
      </c>
      <c r="CM4795" s="2"/>
    </row>
    <row r="4796" spans="1:91">
      <c r="A4796" s="2" t="s">
        <v>71</v>
      </c>
      <c r="B4796" s="2" t="s">
        <v>72</v>
      </c>
      <c r="C4796" s="2" t="s">
        <v>73</v>
      </c>
      <c r="D4796" s="2"/>
      <c r="E4796" s="2" t="str">
        <f>"FES1162567461"</f>
        <v>FES1162567461</v>
      </c>
      <c r="F4796" s="3">
        <v>42954</v>
      </c>
      <c r="G4796" s="2">
        <v>201802</v>
      </c>
      <c r="H4796" s="2" t="s">
        <v>74</v>
      </c>
      <c r="I4796" s="2" t="s">
        <v>75</v>
      </c>
      <c r="J4796" s="2" t="s">
        <v>76</v>
      </c>
      <c r="K4796" s="2" t="s">
        <v>77</v>
      </c>
      <c r="L4796" s="2" t="s">
        <v>221</v>
      </c>
      <c r="M4796" s="2" t="s">
        <v>222</v>
      </c>
      <c r="N4796" s="2" t="s">
        <v>1275</v>
      </c>
      <c r="O4796" s="2" t="s">
        <v>100</v>
      </c>
      <c r="P4796" s="2" t="str">
        <f>"2170583622                    "</f>
        <v xml:space="preserve">2170583622                    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4</v>
      </c>
      <c r="AN4796" s="2">
        <v>0</v>
      </c>
      <c r="AO4796" s="2">
        <v>0</v>
      </c>
      <c r="AP4796" s="2">
        <v>0</v>
      </c>
      <c r="AQ4796" s="2">
        <v>0</v>
      </c>
      <c r="AR4796" s="2">
        <v>0</v>
      </c>
      <c r="AS4796" s="2">
        <v>0</v>
      </c>
      <c r="AT4796" s="2">
        <v>0</v>
      </c>
      <c r="AU4796" s="2">
        <v>0</v>
      </c>
      <c r="AV4796" s="2">
        <v>0</v>
      </c>
      <c r="AW4796" s="2">
        <v>0</v>
      </c>
      <c r="AX4796" s="2">
        <v>0</v>
      </c>
      <c r="AY4796" s="2">
        <v>0</v>
      </c>
      <c r="AZ4796" s="2">
        <v>0</v>
      </c>
      <c r="BA4796" s="2">
        <v>0</v>
      </c>
      <c r="BB4796" s="2">
        <v>0</v>
      </c>
      <c r="BC4796" s="2">
        <v>0</v>
      </c>
      <c r="BD4796" s="2">
        <v>0</v>
      </c>
      <c r="BE4796" s="2">
        <v>0</v>
      </c>
      <c r="BF4796" s="2">
        <v>0</v>
      </c>
      <c r="BG4796" s="2">
        <v>0</v>
      </c>
      <c r="BH4796" s="2">
        <v>1</v>
      </c>
      <c r="BI4796" s="2">
        <v>1</v>
      </c>
      <c r="BJ4796" s="2">
        <v>0.2</v>
      </c>
      <c r="BK4796" s="2">
        <v>1</v>
      </c>
      <c r="BL4796" s="2">
        <v>41.44</v>
      </c>
      <c r="BM4796" s="2">
        <v>5.8</v>
      </c>
      <c r="BN4796" s="2">
        <v>47.24</v>
      </c>
      <c r="BO4796" s="2">
        <v>47.24</v>
      </c>
      <c r="BP4796" s="2"/>
      <c r="BQ4796" s="2" t="s">
        <v>1534</v>
      </c>
      <c r="BR4796" s="2" t="s">
        <v>84</v>
      </c>
      <c r="BS4796" s="3">
        <v>42955</v>
      </c>
      <c r="BT4796" s="4">
        <v>0.39861111111111108</v>
      </c>
      <c r="BU4796" s="2" t="s">
        <v>2659</v>
      </c>
      <c r="BV4796" s="2" t="s">
        <v>95</v>
      </c>
      <c r="BW4796" s="2"/>
      <c r="BX4796" s="2"/>
      <c r="BY4796" s="2">
        <v>1200</v>
      </c>
      <c r="BZ4796" s="2"/>
      <c r="CA4796" s="2" t="s">
        <v>1536</v>
      </c>
      <c r="CB4796" s="2"/>
      <c r="CC4796" s="2" t="s">
        <v>222</v>
      </c>
      <c r="CD4796" s="2">
        <v>4300</v>
      </c>
      <c r="CE4796" s="2" t="s">
        <v>104</v>
      </c>
      <c r="CF4796" s="5">
        <v>42957</v>
      </c>
      <c r="CG4796" s="2"/>
      <c r="CH4796" s="2"/>
      <c r="CI4796" s="2">
        <v>1</v>
      </c>
      <c r="CJ4796" s="2">
        <v>1</v>
      </c>
      <c r="CK4796" s="2">
        <v>21</v>
      </c>
      <c r="CL4796" s="2" t="s">
        <v>86</v>
      </c>
      <c r="CM4796" s="2"/>
    </row>
    <row r="4797" spans="1:91">
      <c r="A4797" s="2" t="s">
        <v>71</v>
      </c>
      <c r="B4797" s="2" t="s">
        <v>72</v>
      </c>
      <c r="C4797" s="2" t="s">
        <v>73</v>
      </c>
      <c r="D4797" s="2"/>
      <c r="E4797" s="2" t="str">
        <f>"FES1162567488"</f>
        <v>FES1162567488</v>
      </c>
      <c r="F4797" s="3">
        <v>42954</v>
      </c>
      <c r="G4797" s="2">
        <v>201802</v>
      </c>
      <c r="H4797" s="2" t="s">
        <v>74</v>
      </c>
      <c r="I4797" s="2" t="s">
        <v>75</v>
      </c>
      <c r="J4797" s="2" t="s">
        <v>76</v>
      </c>
      <c r="K4797" s="2" t="s">
        <v>77</v>
      </c>
      <c r="L4797" s="2" t="s">
        <v>206</v>
      </c>
      <c r="M4797" s="2" t="s">
        <v>207</v>
      </c>
      <c r="N4797" s="2" t="s">
        <v>1672</v>
      </c>
      <c r="O4797" s="2" t="s">
        <v>100</v>
      </c>
      <c r="P4797" s="2" t="str">
        <f>"2170583657                    "</f>
        <v xml:space="preserve">2170583657                    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</v>
      </c>
      <c r="Y4797" s="2">
        <v>0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5.63</v>
      </c>
      <c r="AN4797" s="2">
        <v>0</v>
      </c>
      <c r="AO4797" s="2">
        <v>0</v>
      </c>
      <c r="AP4797" s="2">
        <v>0</v>
      </c>
      <c r="AQ4797" s="2">
        <v>0</v>
      </c>
      <c r="AR4797" s="2">
        <v>0</v>
      </c>
      <c r="AS4797" s="2">
        <v>0</v>
      </c>
      <c r="AT4797" s="2">
        <v>0</v>
      </c>
      <c r="AU4797" s="2">
        <v>0</v>
      </c>
      <c r="AV4797" s="2">
        <v>0</v>
      </c>
      <c r="AW4797" s="2">
        <v>0</v>
      </c>
      <c r="AX4797" s="2">
        <v>0</v>
      </c>
      <c r="AY4797" s="2">
        <v>0</v>
      </c>
      <c r="AZ4797" s="2">
        <v>0</v>
      </c>
      <c r="BA4797" s="2">
        <v>0</v>
      </c>
      <c r="BB4797" s="2">
        <v>0</v>
      </c>
      <c r="BC4797" s="2">
        <v>0</v>
      </c>
      <c r="BD4797" s="2">
        <v>0</v>
      </c>
      <c r="BE4797" s="2">
        <v>0</v>
      </c>
      <c r="BF4797" s="2">
        <v>0</v>
      </c>
      <c r="BG4797" s="2">
        <v>0</v>
      </c>
      <c r="BH4797" s="2">
        <v>1</v>
      </c>
      <c r="BI4797" s="2">
        <v>1</v>
      </c>
      <c r="BJ4797" s="2">
        <v>0.2</v>
      </c>
      <c r="BK4797" s="2">
        <v>1</v>
      </c>
      <c r="BL4797" s="2">
        <v>58.28</v>
      </c>
      <c r="BM4797" s="2">
        <v>8.16</v>
      </c>
      <c r="BN4797" s="2">
        <v>66.44</v>
      </c>
      <c r="BO4797" s="2">
        <v>66.44</v>
      </c>
      <c r="BP4797" s="2"/>
      <c r="BQ4797" s="2" t="s">
        <v>2847</v>
      </c>
      <c r="BR4797" s="2" t="s">
        <v>84</v>
      </c>
      <c r="BS4797" s="3">
        <v>42955</v>
      </c>
      <c r="BT4797" s="4">
        <v>0.49374999999999997</v>
      </c>
      <c r="BU4797" s="2" t="s">
        <v>1673</v>
      </c>
      <c r="BV4797" s="2" t="s">
        <v>95</v>
      </c>
      <c r="BW4797" s="2"/>
      <c r="BX4797" s="2"/>
      <c r="BY4797" s="2">
        <v>1200</v>
      </c>
      <c r="BZ4797" s="2"/>
      <c r="CA4797" s="2" t="s">
        <v>640</v>
      </c>
      <c r="CB4797" s="2"/>
      <c r="CC4797" s="2" t="s">
        <v>207</v>
      </c>
      <c r="CD4797" s="2">
        <v>250</v>
      </c>
      <c r="CE4797" s="2" t="s">
        <v>104</v>
      </c>
      <c r="CF4797" s="5">
        <v>42958</v>
      </c>
      <c r="CG4797" s="2"/>
      <c r="CH4797" s="2"/>
      <c r="CI4797" s="2">
        <v>1</v>
      </c>
      <c r="CJ4797" s="2">
        <v>1</v>
      </c>
      <c r="CK4797" s="2">
        <v>24</v>
      </c>
      <c r="CL4797" s="2" t="s">
        <v>86</v>
      </c>
      <c r="CM4797" s="2"/>
    </row>
    <row r="4798" spans="1:91">
      <c r="A4798" s="2" t="s">
        <v>71</v>
      </c>
      <c r="B4798" s="2" t="s">
        <v>72</v>
      </c>
      <c r="C4798" s="2" t="s">
        <v>73</v>
      </c>
      <c r="D4798" s="2"/>
      <c r="E4798" s="2" t="str">
        <f>"FES1162567487"</f>
        <v>FES1162567487</v>
      </c>
      <c r="F4798" s="3">
        <v>42954</v>
      </c>
      <c r="G4798" s="2">
        <v>201802</v>
      </c>
      <c r="H4798" s="2" t="s">
        <v>74</v>
      </c>
      <c r="I4798" s="2" t="s">
        <v>75</v>
      </c>
      <c r="J4798" s="2" t="s">
        <v>76</v>
      </c>
      <c r="K4798" s="2" t="s">
        <v>77</v>
      </c>
      <c r="L4798" s="2" t="s">
        <v>97</v>
      </c>
      <c r="M4798" s="2" t="s">
        <v>98</v>
      </c>
      <c r="N4798" s="2" t="s">
        <v>214</v>
      </c>
      <c r="O4798" s="2" t="s">
        <v>100</v>
      </c>
      <c r="P4798" s="2" t="str">
        <f>"2170583655                    "</f>
        <v xml:space="preserve">2170583655                    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</v>
      </c>
      <c r="Y4798" s="2">
        <v>0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4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2">
        <v>0</v>
      </c>
      <c r="AT4798" s="2">
        <v>0</v>
      </c>
      <c r="AU4798" s="2">
        <v>0</v>
      </c>
      <c r="AV4798" s="2">
        <v>0</v>
      </c>
      <c r="AW4798" s="2">
        <v>0</v>
      </c>
      <c r="AX4798" s="2">
        <v>0</v>
      </c>
      <c r="AY4798" s="2">
        <v>0</v>
      </c>
      <c r="AZ4798" s="2">
        <v>0</v>
      </c>
      <c r="BA4798" s="2">
        <v>0</v>
      </c>
      <c r="BB4798" s="2">
        <v>0</v>
      </c>
      <c r="BC4798" s="2">
        <v>0</v>
      </c>
      <c r="BD4798" s="2">
        <v>0</v>
      </c>
      <c r="BE4798" s="2">
        <v>0</v>
      </c>
      <c r="BF4798" s="2">
        <v>0</v>
      </c>
      <c r="BG4798" s="2">
        <v>0</v>
      </c>
      <c r="BH4798" s="2">
        <v>1</v>
      </c>
      <c r="BI4798" s="2">
        <v>1</v>
      </c>
      <c r="BJ4798" s="2">
        <v>0.2</v>
      </c>
      <c r="BK4798" s="2">
        <v>1</v>
      </c>
      <c r="BL4798" s="2">
        <v>41.44</v>
      </c>
      <c r="BM4798" s="2">
        <v>5.8</v>
      </c>
      <c r="BN4798" s="2">
        <v>47.24</v>
      </c>
      <c r="BO4798" s="2">
        <v>47.24</v>
      </c>
      <c r="BP4798" s="2"/>
      <c r="BQ4798" s="2" t="s">
        <v>108</v>
      </c>
      <c r="BR4798" s="2" t="s">
        <v>84</v>
      </c>
      <c r="BS4798" s="3">
        <v>42955</v>
      </c>
      <c r="BT4798" s="4">
        <v>0.31736111111111115</v>
      </c>
      <c r="BU4798" s="2" t="s">
        <v>1131</v>
      </c>
      <c r="BV4798" s="2" t="s">
        <v>95</v>
      </c>
      <c r="BW4798" s="2"/>
      <c r="BX4798" s="2"/>
      <c r="BY4798" s="2">
        <v>1200</v>
      </c>
      <c r="BZ4798" s="2"/>
      <c r="CA4798" s="2" t="s">
        <v>213</v>
      </c>
      <c r="CB4798" s="2"/>
      <c r="CC4798" s="2" t="s">
        <v>98</v>
      </c>
      <c r="CD4798" s="2">
        <v>6001</v>
      </c>
      <c r="CE4798" s="2" t="s">
        <v>104</v>
      </c>
      <c r="CF4798" s="5">
        <v>42957</v>
      </c>
      <c r="CG4798" s="2"/>
      <c r="CH4798" s="2"/>
      <c r="CI4798" s="2">
        <v>1</v>
      </c>
      <c r="CJ4798" s="2">
        <v>1</v>
      </c>
      <c r="CK4798" s="2">
        <v>21</v>
      </c>
      <c r="CL4798" s="2" t="s">
        <v>86</v>
      </c>
      <c r="CM4798" s="2"/>
    </row>
    <row r="4799" spans="1:91">
      <c r="A4799" s="2" t="s">
        <v>71</v>
      </c>
      <c r="B4799" s="2" t="s">
        <v>72</v>
      </c>
      <c r="C4799" s="2" t="s">
        <v>73</v>
      </c>
      <c r="D4799" s="2"/>
      <c r="E4799" s="2" t="str">
        <f>"FES1162567423"</f>
        <v>FES1162567423</v>
      </c>
      <c r="F4799" s="3">
        <v>42954</v>
      </c>
      <c r="G4799" s="2">
        <v>201802</v>
      </c>
      <c r="H4799" s="2" t="s">
        <v>74</v>
      </c>
      <c r="I4799" s="2" t="s">
        <v>75</v>
      </c>
      <c r="J4799" s="2" t="s">
        <v>76</v>
      </c>
      <c r="K4799" s="2" t="s">
        <v>77</v>
      </c>
      <c r="L4799" s="2" t="s">
        <v>237</v>
      </c>
      <c r="M4799" s="2" t="s">
        <v>238</v>
      </c>
      <c r="N4799" s="2" t="s">
        <v>669</v>
      </c>
      <c r="O4799" s="2" t="s">
        <v>100</v>
      </c>
      <c r="P4799" s="2" t="str">
        <f>"2170583579                    "</f>
        <v xml:space="preserve">2170583579                    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4</v>
      </c>
      <c r="AN4799" s="2">
        <v>0</v>
      </c>
      <c r="AO4799" s="2">
        <v>0</v>
      </c>
      <c r="AP4799" s="2">
        <v>0</v>
      </c>
      <c r="AQ4799" s="2">
        <v>0</v>
      </c>
      <c r="AR4799" s="2">
        <v>0</v>
      </c>
      <c r="AS4799" s="2">
        <v>0</v>
      </c>
      <c r="AT4799" s="2">
        <v>0</v>
      </c>
      <c r="AU4799" s="2">
        <v>0</v>
      </c>
      <c r="AV4799" s="2">
        <v>0</v>
      </c>
      <c r="AW4799" s="2">
        <v>0</v>
      </c>
      <c r="AX4799" s="2">
        <v>0</v>
      </c>
      <c r="AY4799" s="2">
        <v>0</v>
      </c>
      <c r="AZ4799" s="2">
        <v>0</v>
      </c>
      <c r="BA4799" s="2">
        <v>0</v>
      </c>
      <c r="BB4799" s="2">
        <v>0</v>
      </c>
      <c r="BC4799" s="2">
        <v>0</v>
      </c>
      <c r="BD4799" s="2">
        <v>0</v>
      </c>
      <c r="BE4799" s="2">
        <v>0</v>
      </c>
      <c r="BF4799" s="2">
        <v>0</v>
      </c>
      <c r="BG4799" s="2">
        <v>0</v>
      </c>
      <c r="BH4799" s="2">
        <v>1</v>
      </c>
      <c r="BI4799" s="2">
        <v>1</v>
      </c>
      <c r="BJ4799" s="2">
        <v>0.2</v>
      </c>
      <c r="BK4799" s="2">
        <v>1</v>
      </c>
      <c r="BL4799" s="2">
        <v>41.44</v>
      </c>
      <c r="BM4799" s="2">
        <v>5.8</v>
      </c>
      <c r="BN4799" s="2">
        <v>47.24</v>
      </c>
      <c r="BO4799" s="2">
        <v>47.24</v>
      </c>
      <c r="BP4799" s="2"/>
      <c r="BQ4799" s="2" t="s">
        <v>83</v>
      </c>
      <c r="BR4799" s="2" t="s">
        <v>84</v>
      </c>
      <c r="BS4799" s="3">
        <v>42955</v>
      </c>
      <c r="BT4799" s="4">
        <v>0.3840277777777778</v>
      </c>
      <c r="BU4799" s="2" t="s">
        <v>671</v>
      </c>
      <c r="BV4799" s="2" t="s">
        <v>95</v>
      </c>
      <c r="BW4799" s="2"/>
      <c r="BX4799" s="2"/>
      <c r="BY4799" s="2">
        <v>1200</v>
      </c>
      <c r="BZ4799" s="2"/>
      <c r="CA4799" s="2" t="s">
        <v>672</v>
      </c>
      <c r="CB4799" s="2"/>
      <c r="CC4799" s="2" t="s">
        <v>238</v>
      </c>
      <c r="CD4799" s="2">
        <v>3610</v>
      </c>
      <c r="CE4799" s="2" t="s">
        <v>104</v>
      </c>
      <c r="CF4799" s="5">
        <v>42957</v>
      </c>
      <c r="CG4799" s="2"/>
      <c r="CH4799" s="2"/>
      <c r="CI4799" s="2">
        <v>1</v>
      </c>
      <c r="CJ4799" s="2">
        <v>1</v>
      </c>
      <c r="CK4799" s="2">
        <v>21</v>
      </c>
      <c r="CL4799" s="2" t="s">
        <v>86</v>
      </c>
      <c r="CM4799" s="2"/>
    </row>
    <row r="4800" spans="1:91">
      <c r="A4800" s="2" t="s">
        <v>71</v>
      </c>
      <c r="B4800" s="2" t="s">
        <v>72</v>
      </c>
      <c r="C4800" s="2" t="s">
        <v>73</v>
      </c>
      <c r="D4800" s="2"/>
      <c r="E4800" s="2" t="str">
        <f>"FES1162567377"</f>
        <v>FES1162567377</v>
      </c>
      <c r="F4800" s="3">
        <v>42954</v>
      </c>
      <c r="G4800" s="2">
        <v>201802</v>
      </c>
      <c r="H4800" s="2" t="s">
        <v>74</v>
      </c>
      <c r="I4800" s="2" t="s">
        <v>75</v>
      </c>
      <c r="J4800" s="2" t="s">
        <v>76</v>
      </c>
      <c r="K4800" s="2" t="s">
        <v>77</v>
      </c>
      <c r="L4800" s="2" t="s">
        <v>237</v>
      </c>
      <c r="M4800" s="2" t="s">
        <v>238</v>
      </c>
      <c r="N4800" s="2" t="s">
        <v>2002</v>
      </c>
      <c r="O4800" s="2" t="s">
        <v>100</v>
      </c>
      <c r="P4800" s="2" t="str">
        <f>"2170583538                    "</f>
        <v xml:space="preserve">2170583538                    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2">
        <v>0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4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2">
        <v>0</v>
      </c>
      <c r="AT4800" s="2">
        <v>0</v>
      </c>
      <c r="AU4800" s="2">
        <v>0</v>
      </c>
      <c r="AV4800" s="2">
        <v>0</v>
      </c>
      <c r="AW4800" s="2">
        <v>0</v>
      </c>
      <c r="AX4800" s="2">
        <v>0</v>
      </c>
      <c r="AY4800" s="2">
        <v>0</v>
      </c>
      <c r="AZ4800" s="2">
        <v>0</v>
      </c>
      <c r="BA4800" s="2">
        <v>0</v>
      </c>
      <c r="BB4800" s="2">
        <v>0</v>
      </c>
      <c r="BC4800" s="2">
        <v>0</v>
      </c>
      <c r="BD4800" s="2">
        <v>0</v>
      </c>
      <c r="BE4800" s="2">
        <v>0</v>
      </c>
      <c r="BF4800" s="2">
        <v>0</v>
      </c>
      <c r="BG4800" s="2">
        <v>0</v>
      </c>
      <c r="BH4800" s="2">
        <v>1</v>
      </c>
      <c r="BI4800" s="2">
        <v>1</v>
      </c>
      <c r="BJ4800" s="2">
        <v>0.2</v>
      </c>
      <c r="BK4800" s="2">
        <v>1</v>
      </c>
      <c r="BL4800" s="2">
        <v>41.44</v>
      </c>
      <c r="BM4800" s="2">
        <v>5.8</v>
      </c>
      <c r="BN4800" s="2">
        <v>47.24</v>
      </c>
      <c r="BO4800" s="2">
        <v>47.24</v>
      </c>
      <c r="BP4800" s="2"/>
      <c r="BQ4800" s="2" t="s">
        <v>83</v>
      </c>
      <c r="BR4800" s="2" t="s">
        <v>84</v>
      </c>
      <c r="BS4800" s="3">
        <v>42955</v>
      </c>
      <c r="BT4800" s="4">
        <v>0.4201388888888889</v>
      </c>
      <c r="BU4800" s="2" t="s">
        <v>755</v>
      </c>
      <c r="BV4800" s="2" t="s">
        <v>95</v>
      </c>
      <c r="BW4800" s="2"/>
      <c r="BX4800" s="2"/>
      <c r="BY4800" s="2">
        <v>1200</v>
      </c>
      <c r="BZ4800" s="2"/>
      <c r="CA4800" s="2" t="s">
        <v>672</v>
      </c>
      <c r="CB4800" s="2"/>
      <c r="CC4800" s="2" t="s">
        <v>238</v>
      </c>
      <c r="CD4800" s="2">
        <v>3610</v>
      </c>
      <c r="CE4800" s="2" t="s">
        <v>104</v>
      </c>
      <c r="CF4800" s="5">
        <v>42957</v>
      </c>
      <c r="CG4800" s="2"/>
      <c r="CH4800" s="2"/>
      <c r="CI4800" s="2">
        <v>1</v>
      </c>
      <c r="CJ4800" s="2">
        <v>1</v>
      </c>
      <c r="CK4800" s="2">
        <v>21</v>
      </c>
      <c r="CL4800" s="2" t="s">
        <v>86</v>
      </c>
      <c r="CM4800" s="2"/>
    </row>
    <row r="4801" spans="1:91">
      <c r="A4801" s="2" t="s">
        <v>71</v>
      </c>
      <c r="B4801" s="2" t="s">
        <v>72</v>
      </c>
      <c r="C4801" s="2" t="s">
        <v>73</v>
      </c>
      <c r="D4801" s="2"/>
      <c r="E4801" s="2" t="str">
        <f>"FES1162567410"</f>
        <v>FES1162567410</v>
      </c>
      <c r="F4801" s="3">
        <v>42954</v>
      </c>
      <c r="G4801" s="2">
        <v>201802</v>
      </c>
      <c r="H4801" s="2" t="s">
        <v>74</v>
      </c>
      <c r="I4801" s="2" t="s">
        <v>75</v>
      </c>
      <c r="J4801" s="2" t="s">
        <v>76</v>
      </c>
      <c r="K4801" s="2" t="s">
        <v>77</v>
      </c>
      <c r="L4801" s="2" t="s">
        <v>362</v>
      </c>
      <c r="M4801" s="2" t="s">
        <v>363</v>
      </c>
      <c r="N4801" s="2" t="s">
        <v>4222</v>
      </c>
      <c r="O4801" s="2" t="s">
        <v>100</v>
      </c>
      <c r="P4801" s="2" t="str">
        <f>"2170583564                    "</f>
        <v xml:space="preserve">2170583564                    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4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2">
        <v>0</v>
      </c>
      <c r="AT4801" s="2">
        <v>0</v>
      </c>
      <c r="AU4801" s="2">
        <v>0</v>
      </c>
      <c r="AV4801" s="2">
        <v>0</v>
      </c>
      <c r="AW4801" s="2">
        <v>0</v>
      </c>
      <c r="AX4801" s="2">
        <v>0</v>
      </c>
      <c r="AY4801" s="2">
        <v>0</v>
      </c>
      <c r="AZ4801" s="2">
        <v>0</v>
      </c>
      <c r="BA4801" s="2">
        <v>0</v>
      </c>
      <c r="BB4801" s="2">
        <v>0</v>
      </c>
      <c r="BC4801" s="2">
        <v>0</v>
      </c>
      <c r="BD4801" s="2">
        <v>0</v>
      </c>
      <c r="BE4801" s="2">
        <v>0</v>
      </c>
      <c r="BF4801" s="2">
        <v>0</v>
      </c>
      <c r="BG4801" s="2">
        <v>0</v>
      </c>
      <c r="BH4801" s="2">
        <v>1</v>
      </c>
      <c r="BI4801" s="2">
        <v>1</v>
      </c>
      <c r="BJ4801" s="2">
        <v>0.2</v>
      </c>
      <c r="BK4801" s="2">
        <v>1</v>
      </c>
      <c r="BL4801" s="2">
        <v>41.44</v>
      </c>
      <c r="BM4801" s="2">
        <v>5.8</v>
      </c>
      <c r="BN4801" s="2">
        <v>47.24</v>
      </c>
      <c r="BO4801" s="2">
        <v>47.24</v>
      </c>
      <c r="BP4801" s="2"/>
      <c r="BQ4801" s="2" t="s">
        <v>288</v>
      </c>
      <c r="BR4801" s="2" t="s">
        <v>84</v>
      </c>
      <c r="BS4801" s="3">
        <v>42955</v>
      </c>
      <c r="BT4801" s="4">
        <v>0.40972222222222227</v>
      </c>
      <c r="BU4801" s="2" t="s">
        <v>4223</v>
      </c>
      <c r="BV4801" s="2" t="s">
        <v>95</v>
      </c>
      <c r="BW4801" s="2"/>
      <c r="BX4801" s="2"/>
      <c r="BY4801" s="2">
        <v>1200</v>
      </c>
      <c r="BZ4801" s="2"/>
      <c r="CA4801" s="2"/>
      <c r="CB4801" s="2"/>
      <c r="CC4801" s="2" t="s">
        <v>363</v>
      </c>
      <c r="CD4801" s="2">
        <v>3680</v>
      </c>
      <c r="CE4801" s="2" t="s">
        <v>104</v>
      </c>
      <c r="CF4801" s="5">
        <v>42957</v>
      </c>
      <c r="CG4801" s="2"/>
      <c r="CH4801" s="2"/>
      <c r="CI4801" s="2">
        <v>1</v>
      </c>
      <c r="CJ4801" s="2">
        <v>1</v>
      </c>
      <c r="CK4801" s="2">
        <v>21</v>
      </c>
      <c r="CL4801" s="2" t="s">
        <v>86</v>
      </c>
      <c r="CM4801" s="2"/>
    </row>
    <row r="4802" spans="1:91">
      <c r="A4802" s="2" t="s">
        <v>71</v>
      </c>
      <c r="B4802" s="2" t="s">
        <v>72</v>
      </c>
      <c r="C4802" s="2" t="s">
        <v>73</v>
      </c>
      <c r="D4802" s="2"/>
      <c r="E4802" s="2" t="str">
        <f>"FES1162567533"</f>
        <v>FES1162567533</v>
      </c>
      <c r="F4802" s="3">
        <v>42954</v>
      </c>
      <c r="G4802" s="2">
        <v>201802</v>
      </c>
      <c r="H4802" s="2" t="s">
        <v>74</v>
      </c>
      <c r="I4802" s="2" t="s">
        <v>75</v>
      </c>
      <c r="J4802" s="2" t="s">
        <v>76</v>
      </c>
      <c r="K4802" s="2" t="s">
        <v>77</v>
      </c>
      <c r="L4802" s="2" t="s">
        <v>510</v>
      </c>
      <c r="M4802" s="2" t="s">
        <v>511</v>
      </c>
      <c r="N4802" s="2" t="s">
        <v>1504</v>
      </c>
      <c r="O4802" s="2" t="s">
        <v>100</v>
      </c>
      <c r="P4802" s="2" t="str">
        <f>"2170583670                    "</f>
        <v xml:space="preserve">2170583670                    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4</v>
      </c>
      <c r="AN4802" s="2">
        <v>0</v>
      </c>
      <c r="AO4802" s="2">
        <v>0</v>
      </c>
      <c r="AP4802" s="2">
        <v>0</v>
      </c>
      <c r="AQ4802" s="2">
        <v>0</v>
      </c>
      <c r="AR4802" s="2">
        <v>0</v>
      </c>
      <c r="AS4802" s="2">
        <v>0</v>
      </c>
      <c r="AT4802" s="2">
        <v>0</v>
      </c>
      <c r="AU4802" s="2">
        <v>0</v>
      </c>
      <c r="AV4802" s="2">
        <v>0</v>
      </c>
      <c r="AW4802" s="2">
        <v>0</v>
      </c>
      <c r="AX4802" s="2">
        <v>0</v>
      </c>
      <c r="AY4802" s="2">
        <v>0</v>
      </c>
      <c r="AZ4802" s="2">
        <v>0</v>
      </c>
      <c r="BA4802" s="2">
        <v>0</v>
      </c>
      <c r="BB4802" s="2">
        <v>0</v>
      </c>
      <c r="BC4802" s="2">
        <v>0</v>
      </c>
      <c r="BD4802" s="2">
        <v>0</v>
      </c>
      <c r="BE4802" s="2">
        <v>0</v>
      </c>
      <c r="BF4802" s="2">
        <v>0</v>
      </c>
      <c r="BG4802" s="2">
        <v>0</v>
      </c>
      <c r="BH4802" s="2">
        <v>1</v>
      </c>
      <c r="BI4802" s="2">
        <v>1</v>
      </c>
      <c r="BJ4802" s="2">
        <v>0.2</v>
      </c>
      <c r="BK4802" s="2">
        <v>1</v>
      </c>
      <c r="BL4802" s="2">
        <v>41.44</v>
      </c>
      <c r="BM4802" s="2">
        <v>5.8</v>
      </c>
      <c r="BN4802" s="2">
        <v>47.24</v>
      </c>
      <c r="BO4802" s="2">
        <v>47.24</v>
      </c>
      <c r="BP4802" s="2"/>
      <c r="BQ4802" s="2" t="s">
        <v>108</v>
      </c>
      <c r="BR4802" s="2" t="s">
        <v>84</v>
      </c>
      <c r="BS4802" s="3">
        <v>42955</v>
      </c>
      <c r="BT4802" s="4">
        <v>0.31458333333333333</v>
      </c>
      <c r="BU4802" s="2" t="s">
        <v>779</v>
      </c>
      <c r="BV4802" s="2" t="s">
        <v>95</v>
      </c>
      <c r="BW4802" s="2"/>
      <c r="BX4802" s="2"/>
      <c r="BY4802" s="2">
        <v>1200</v>
      </c>
      <c r="BZ4802" s="2"/>
      <c r="CA4802" s="2" t="s">
        <v>514</v>
      </c>
      <c r="CB4802" s="2"/>
      <c r="CC4802" s="2" t="s">
        <v>511</v>
      </c>
      <c r="CD4802" s="2">
        <v>6230</v>
      </c>
      <c r="CE4802" s="2" t="s">
        <v>104</v>
      </c>
      <c r="CF4802" s="5">
        <v>42957</v>
      </c>
      <c r="CG4802" s="2"/>
      <c r="CH4802" s="2"/>
      <c r="CI4802" s="2">
        <v>1</v>
      </c>
      <c r="CJ4802" s="2">
        <v>1</v>
      </c>
      <c r="CK4802" s="2">
        <v>21</v>
      </c>
      <c r="CL4802" s="2" t="s">
        <v>86</v>
      </c>
      <c r="CM4802" s="2"/>
    </row>
    <row r="4803" spans="1:91">
      <c r="A4803" s="2" t="s">
        <v>71</v>
      </c>
      <c r="B4803" s="2" t="s">
        <v>72</v>
      </c>
      <c r="C4803" s="2" t="s">
        <v>73</v>
      </c>
      <c r="D4803" s="2"/>
      <c r="E4803" s="2" t="str">
        <f>"FES1162567517"</f>
        <v>FES1162567517</v>
      </c>
      <c r="F4803" s="3">
        <v>42954</v>
      </c>
      <c r="G4803" s="2">
        <v>201802</v>
      </c>
      <c r="H4803" s="2" t="s">
        <v>74</v>
      </c>
      <c r="I4803" s="2" t="s">
        <v>75</v>
      </c>
      <c r="J4803" s="2" t="s">
        <v>76</v>
      </c>
      <c r="K4803" s="2" t="s">
        <v>77</v>
      </c>
      <c r="L4803" s="2" t="s">
        <v>105</v>
      </c>
      <c r="M4803" s="2" t="s">
        <v>106</v>
      </c>
      <c r="N4803" s="2" t="s">
        <v>652</v>
      </c>
      <c r="O4803" s="2" t="s">
        <v>100</v>
      </c>
      <c r="P4803" s="2" t="str">
        <f>"2170583672                    "</f>
        <v xml:space="preserve">2170583672                    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2">
        <v>0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4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2">
        <v>0</v>
      </c>
      <c r="AT4803" s="2">
        <v>0</v>
      </c>
      <c r="AU4803" s="2">
        <v>0</v>
      </c>
      <c r="AV4803" s="2">
        <v>0</v>
      </c>
      <c r="AW4803" s="2">
        <v>0</v>
      </c>
      <c r="AX4803" s="2">
        <v>0</v>
      </c>
      <c r="AY4803" s="2">
        <v>0</v>
      </c>
      <c r="AZ4803" s="2">
        <v>0</v>
      </c>
      <c r="BA4803" s="2">
        <v>0</v>
      </c>
      <c r="BB4803" s="2">
        <v>0</v>
      </c>
      <c r="BC4803" s="2">
        <v>0</v>
      </c>
      <c r="BD4803" s="2">
        <v>0</v>
      </c>
      <c r="BE4803" s="2">
        <v>0</v>
      </c>
      <c r="BF4803" s="2">
        <v>0</v>
      </c>
      <c r="BG4803" s="2">
        <v>0</v>
      </c>
      <c r="BH4803" s="2">
        <v>1</v>
      </c>
      <c r="BI4803" s="2">
        <v>1</v>
      </c>
      <c r="BJ4803" s="2">
        <v>0.2</v>
      </c>
      <c r="BK4803" s="2">
        <v>1</v>
      </c>
      <c r="BL4803" s="2">
        <v>41.44</v>
      </c>
      <c r="BM4803" s="2">
        <v>5.8</v>
      </c>
      <c r="BN4803" s="2">
        <v>47.24</v>
      </c>
      <c r="BO4803" s="2">
        <v>47.24</v>
      </c>
      <c r="BP4803" s="2"/>
      <c r="BQ4803" s="2" t="s">
        <v>83</v>
      </c>
      <c r="BR4803" s="2" t="s">
        <v>84</v>
      </c>
      <c r="BS4803" s="3">
        <v>42955</v>
      </c>
      <c r="BT4803" s="4">
        <v>0.34027777777777773</v>
      </c>
      <c r="BU4803" s="2" t="s">
        <v>4224</v>
      </c>
      <c r="BV4803" s="2" t="s">
        <v>95</v>
      </c>
      <c r="BW4803" s="2"/>
      <c r="BX4803" s="2"/>
      <c r="BY4803" s="2">
        <v>1200</v>
      </c>
      <c r="BZ4803" s="2"/>
      <c r="CA4803" s="2" t="s">
        <v>302</v>
      </c>
      <c r="CB4803" s="2"/>
      <c r="CC4803" s="2" t="s">
        <v>106</v>
      </c>
      <c r="CD4803" s="2">
        <v>7493</v>
      </c>
      <c r="CE4803" s="2" t="s">
        <v>104</v>
      </c>
      <c r="CF4803" s="5">
        <v>42957</v>
      </c>
      <c r="CG4803" s="2"/>
      <c r="CH4803" s="2"/>
      <c r="CI4803" s="2">
        <v>1</v>
      </c>
      <c r="CJ4803" s="2">
        <v>1</v>
      </c>
      <c r="CK4803" s="2">
        <v>21</v>
      </c>
      <c r="CL4803" s="2" t="s">
        <v>86</v>
      </c>
      <c r="CM4803" s="2"/>
    </row>
    <row r="4804" spans="1:91">
      <c r="A4804" s="2" t="s">
        <v>71</v>
      </c>
      <c r="B4804" s="2" t="s">
        <v>72</v>
      </c>
      <c r="C4804" s="2" t="s">
        <v>73</v>
      </c>
      <c r="D4804" s="2"/>
      <c r="E4804" s="2" t="str">
        <f>"FES1162567394"</f>
        <v>FES1162567394</v>
      </c>
      <c r="F4804" s="3">
        <v>42954</v>
      </c>
      <c r="G4804" s="2">
        <v>201802</v>
      </c>
      <c r="H4804" s="2" t="s">
        <v>74</v>
      </c>
      <c r="I4804" s="2" t="s">
        <v>75</v>
      </c>
      <c r="J4804" s="2" t="s">
        <v>76</v>
      </c>
      <c r="K4804" s="2" t="s">
        <v>77</v>
      </c>
      <c r="L4804" s="2" t="s">
        <v>244</v>
      </c>
      <c r="M4804" s="2" t="s">
        <v>245</v>
      </c>
      <c r="N4804" s="2" t="s">
        <v>1794</v>
      </c>
      <c r="O4804" s="2" t="s">
        <v>100</v>
      </c>
      <c r="P4804" s="2" t="str">
        <f>"2170582867                    "</f>
        <v xml:space="preserve">2170582867                    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2">
        <v>0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3.13</v>
      </c>
      <c r="AN4804" s="2">
        <v>0</v>
      </c>
      <c r="AO4804" s="2">
        <v>0</v>
      </c>
      <c r="AP4804" s="2">
        <v>0</v>
      </c>
      <c r="AQ4804" s="2">
        <v>0</v>
      </c>
      <c r="AR4804" s="2">
        <v>0</v>
      </c>
      <c r="AS4804" s="2">
        <v>0</v>
      </c>
      <c r="AT4804" s="2">
        <v>0</v>
      </c>
      <c r="AU4804" s="2">
        <v>0</v>
      </c>
      <c r="AV4804" s="2">
        <v>0</v>
      </c>
      <c r="AW4804" s="2">
        <v>0</v>
      </c>
      <c r="AX4804" s="2">
        <v>0</v>
      </c>
      <c r="AY4804" s="2">
        <v>0</v>
      </c>
      <c r="AZ4804" s="2">
        <v>0</v>
      </c>
      <c r="BA4804" s="2">
        <v>0</v>
      </c>
      <c r="BB4804" s="2">
        <v>0</v>
      </c>
      <c r="BC4804" s="2">
        <v>0</v>
      </c>
      <c r="BD4804" s="2">
        <v>0</v>
      </c>
      <c r="BE4804" s="2">
        <v>0</v>
      </c>
      <c r="BF4804" s="2">
        <v>0</v>
      </c>
      <c r="BG4804" s="2">
        <v>0</v>
      </c>
      <c r="BH4804" s="2">
        <v>1</v>
      </c>
      <c r="BI4804" s="2">
        <v>2</v>
      </c>
      <c r="BJ4804" s="2">
        <v>1</v>
      </c>
      <c r="BK4804" s="2">
        <v>2</v>
      </c>
      <c r="BL4804" s="2">
        <v>32.380000000000003</v>
      </c>
      <c r="BM4804" s="2">
        <v>4.53</v>
      </c>
      <c r="BN4804" s="2">
        <v>36.909999999999997</v>
      </c>
      <c r="BO4804" s="2">
        <v>36.909999999999997</v>
      </c>
      <c r="BP4804" s="2"/>
      <c r="BQ4804" s="2" t="s">
        <v>1795</v>
      </c>
      <c r="BR4804" s="2" t="s">
        <v>84</v>
      </c>
      <c r="BS4804" s="3">
        <v>42955</v>
      </c>
      <c r="BT4804" s="4">
        <v>0.33611111111111108</v>
      </c>
      <c r="BU4804" s="2" t="s">
        <v>1796</v>
      </c>
      <c r="BV4804" s="2" t="s">
        <v>95</v>
      </c>
      <c r="BW4804" s="2"/>
      <c r="BX4804" s="2"/>
      <c r="BY4804" s="2">
        <v>4800</v>
      </c>
      <c r="BZ4804" s="2"/>
      <c r="CA4804" s="2" t="s">
        <v>499</v>
      </c>
      <c r="CB4804" s="2"/>
      <c r="CC4804" s="2" t="s">
        <v>245</v>
      </c>
      <c r="CD4804" s="2">
        <v>1459</v>
      </c>
      <c r="CE4804" s="2" t="s">
        <v>135</v>
      </c>
      <c r="CF4804" s="5">
        <v>42957</v>
      </c>
      <c r="CG4804" s="2"/>
      <c r="CH4804" s="2"/>
      <c r="CI4804" s="2">
        <v>1</v>
      </c>
      <c r="CJ4804" s="2">
        <v>1</v>
      </c>
      <c r="CK4804" s="2">
        <v>22</v>
      </c>
      <c r="CL4804" s="2" t="s">
        <v>86</v>
      </c>
      <c r="CM4804" s="2"/>
    </row>
    <row r="4805" spans="1:91">
      <c r="A4805" s="2" t="s">
        <v>71</v>
      </c>
      <c r="B4805" s="2" t="s">
        <v>72</v>
      </c>
      <c r="C4805" s="2" t="s">
        <v>73</v>
      </c>
      <c r="D4805" s="2"/>
      <c r="E4805" s="2" t="str">
        <f>"FES1162567454"</f>
        <v>FES1162567454</v>
      </c>
      <c r="F4805" s="3">
        <v>42954</v>
      </c>
      <c r="G4805" s="2">
        <v>201802</v>
      </c>
      <c r="H4805" s="2" t="s">
        <v>74</v>
      </c>
      <c r="I4805" s="2" t="s">
        <v>75</v>
      </c>
      <c r="J4805" s="2" t="s">
        <v>76</v>
      </c>
      <c r="K4805" s="2" t="s">
        <v>77</v>
      </c>
      <c r="L4805" s="2" t="s">
        <v>74</v>
      </c>
      <c r="M4805" s="2" t="s">
        <v>75</v>
      </c>
      <c r="N4805" s="2" t="s">
        <v>264</v>
      </c>
      <c r="O4805" s="2" t="s">
        <v>100</v>
      </c>
      <c r="P4805" s="2" t="str">
        <f>"2170583614                    "</f>
        <v xml:space="preserve">2170583614                    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3.13</v>
      </c>
      <c r="AN4805" s="2">
        <v>0</v>
      </c>
      <c r="AO4805" s="2">
        <v>0</v>
      </c>
      <c r="AP4805" s="2">
        <v>0</v>
      </c>
      <c r="AQ4805" s="2">
        <v>0</v>
      </c>
      <c r="AR4805" s="2">
        <v>0</v>
      </c>
      <c r="AS4805" s="2">
        <v>0</v>
      </c>
      <c r="AT4805" s="2">
        <v>0</v>
      </c>
      <c r="AU4805" s="2">
        <v>0</v>
      </c>
      <c r="AV4805" s="2">
        <v>0</v>
      </c>
      <c r="AW4805" s="2">
        <v>0</v>
      </c>
      <c r="AX4805" s="2">
        <v>0</v>
      </c>
      <c r="AY4805" s="2">
        <v>0</v>
      </c>
      <c r="AZ4805" s="2">
        <v>0</v>
      </c>
      <c r="BA4805" s="2">
        <v>0</v>
      </c>
      <c r="BB4805" s="2">
        <v>0</v>
      </c>
      <c r="BC4805" s="2">
        <v>0</v>
      </c>
      <c r="BD4805" s="2">
        <v>0</v>
      </c>
      <c r="BE4805" s="2">
        <v>0</v>
      </c>
      <c r="BF4805" s="2">
        <v>0</v>
      </c>
      <c r="BG4805" s="2">
        <v>0</v>
      </c>
      <c r="BH4805" s="2">
        <v>1</v>
      </c>
      <c r="BI4805" s="2">
        <v>1</v>
      </c>
      <c r="BJ4805" s="2">
        <v>0.2</v>
      </c>
      <c r="BK4805" s="2">
        <v>1</v>
      </c>
      <c r="BL4805" s="2">
        <v>32.380000000000003</v>
      </c>
      <c r="BM4805" s="2">
        <v>4.53</v>
      </c>
      <c r="BN4805" s="2">
        <v>36.909999999999997</v>
      </c>
      <c r="BO4805" s="2">
        <v>36.909999999999997</v>
      </c>
      <c r="BP4805" s="2"/>
      <c r="BQ4805" s="2" t="s">
        <v>4225</v>
      </c>
      <c r="BR4805" s="2" t="s">
        <v>84</v>
      </c>
      <c r="BS4805" s="3">
        <v>42955</v>
      </c>
      <c r="BT4805" s="4">
        <v>0.52847222222222223</v>
      </c>
      <c r="BU4805" s="2" t="s">
        <v>4226</v>
      </c>
      <c r="BV4805" s="2" t="s">
        <v>86</v>
      </c>
      <c r="BW4805" s="2"/>
      <c r="BX4805" s="2"/>
      <c r="BY4805" s="2">
        <v>1200</v>
      </c>
      <c r="BZ4805" s="2"/>
      <c r="CA4805" s="2" t="s">
        <v>267</v>
      </c>
      <c r="CB4805" s="2"/>
      <c r="CC4805" s="2" t="s">
        <v>75</v>
      </c>
      <c r="CD4805" s="2">
        <v>1645</v>
      </c>
      <c r="CE4805" s="2" t="s">
        <v>104</v>
      </c>
      <c r="CF4805" s="5">
        <v>42957</v>
      </c>
      <c r="CG4805" s="2"/>
      <c r="CH4805" s="2"/>
      <c r="CI4805" s="2">
        <v>1</v>
      </c>
      <c r="CJ4805" s="2">
        <v>1</v>
      </c>
      <c r="CK4805" s="2">
        <v>22</v>
      </c>
      <c r="CL4805" s="2" t="s">
        <v>86</v>
      </c>
      <c r="CM4805" s="2"/>
    </row>
    <row r="4806" spans="1:91">
      <c r="A4806" s="2" t="s">
        <v>71</v>
      </c>
      <c r="B4806" s="2" t="s">
        <v>72</v>
      </c>
      <c r="C4806" s="2" t="s">
        <v>73</v>
      </c>
      <c r="D4806" s="2"/>
      <c r="E4806" s="2" t="str">
        <f>"FES1162567331"</f>
        <v>FES1162567331</v>
      </c>
      <c r="F4806" s="3">
        <v>42954</v>
      </c>
      <c r="G4806" s="2">
        <v>201802</v>
      </c>
      <c r="H4806" s="2" t="s">
        <v>74</v>
      </c>
      <c r="I4806" s="2" t="s">
        <v>75</v>
      </c>
      <c r="J4806" s="2" t="s">
        <v>76</v>
      </c>
      <c r="K4806" s="2" t="s">
        <v>77</v>
      </c>
      <c r="L4806" s="2" t="s">
        <v>144</v>
      </c>
      <c r="M4806" s="2" t="s">
        <v>145</v>
      </c>
      <c r="N4806" s="2" t="s">
        <v>1578</v>
      </c>
      <c r="O4806" s="2" t="s">
        <v>100</v>
      </c>
      <c r="P4806" s="2" t="str">
        <f>"2170582894                    "</f>
        <v xml:space="preserve">2170582894                    </v>
      </c>
      <c r="Q4806" s="2">
        <v>0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3.13</v>
      </c>
      <c r="AN4806" s="2">
        <v>0</v>
      </c>
      <c r="AO4806" s="2">
        <v>0</v>
      </c>
      <c r="AP4806" s="2">
        <v>0</v>
      </c>
      <c r="AQ4806" s="2">
        <v>0</v>
      </c>
      <c r="AR4806" s="2">
        <v>0</v>
      </c>
      <c r="AS4806" s="2">
        <v>0</v>
      </c>
      <c r="AT4806" s="2">
        <v>0</v>
      </c>
      <c r="AU4806" s="2">
        <v>0</v>
      </c>
      <c r="AV4806" s="2">
        <v>0</v>
      </c>
      <c r="AW4806" s="2">
        <v>0</v>
      </c>
      <c r="AX4806" s="2">
        <v>0</v>
      </c>
      <c r="AY4806" s="2">
        <v>0</v>
      </c>
      <c r="AZ4806" s="2">
        <v>0</v>
      </c>
      <c r="BA4806" s="2">
        <v>0</v>
      </c>
      <c r="BB4806" s="2">
        <v>0</v>
      </c>
      <c r="BC4806" s="2">
        <v>0</v>
      </c>
      <c r="BD4806" s="2">
        <v>0</v>
      </c>
      <c r="BE4806" s="2">
        <v>0</v>
      </c>
      <c r="BF4806" s="2">
        <v>0</v>
      </c>
      <c r="BG4806" s="2">
        <v>0</v>
      </c>
      <c r="BH4806" s="2">
        <v>1</v>
      </c>
      <c r="BI4806" s="2">
        <v>1</v>
      </c>
      <c r="BJ4806" s="2">
        <v>0.2</v>
      </c>
      <c r="BK4806" s="2">
        <v>1</v>
      </c>
      <c r="BL4806" s="2">
        <v>32.380000000000003</v>
      </c>
      <c r="BM4806" s="2">
        <v>4.53</v>
      </c>
      <c r="BN4806" s="2">
        <v>36.909999999999997</v>
      </c>
      <c r="BO4806" s="2">
        <v>36.909999999999997</v>
      </c>
      <c r="BP4806" s="2"/>
      <c r="BQ4806" s="2" t="s">
        <v>108</v>
      </c>
      <c r="BR4806" s="2" t="s">
        <v>84</v>
      </c>
      <c r="BS4806" s="3">
        <v>42955</v>
      </c>
      <c r="BT4806" s="4">
        <v>0.47361111111111115</v>
      </c>
      <c r="BU4806" s="2" t="s">
        <v>1579</v>
      </c>
      <c r="BV4806" s="2" t="s">
        <v>86</v>
      </c>
      <c r="BW4806" s="2" t="s">
        <v>110</v>
      </c>
      <c r="BX4806" s="2" t="s">
        <v>327</v>
      </c>
      <c r="BY4806" s="2">
        <v>1200</v>
      </c>
      <c r="BZ4806" s="2"/>
      <c r="CA4806" s="2" t="s">
        <v>729</v>
      </c>
      <c r="CB4806" s="2"/>
      <c r="CC4806" s="2" t="s">
        <v>145</v>
      </c>
      <c r="CD4806" s="2">
        <v>2197</v>
      </c>
      <c r="CE4806" s="2" t="s">
        <v>104</v>
      </c>
      <c r="CF4806" s="5">
        <v>42957</v>
      </c>
      <c r="CG4806" s="2"/>
      <c r="CH4806" s="2"/>
      <c r="CI4806" s="2">
        <v>1</v>
      </c>
      <c r="CJ4806" s="2">
        <v>1</v>
      </c>
      <c r="CK4806" s="2">
        <v>22</v>
      </c>
      <c r="CL4806" s="2" t="s">
        <v>86</v>
      </c>
      <c r="CM4806" s="2"/>
    </row>
    <row r="4807" spans="1:91">
      <c r="A4807" s="2" t="s">
        <v>71</v>
      </c>
      <c r="B4807" s="2" t="s">
        <v>72</v>
      </c>
      <c r="C4807" s="2" t="s">
        <v>73</v>
      </c>
      <c r="D4807" s="2"/>
      <c r="E4807" s="2" t="str">
        <f>"FES1162567408"</f>
        <v>FES1162567408</v>
      </c>
      <c r="F4807" s="3">
        <v>42954</v>
      </c>
      <c r="G4807" s="2">
        <v>201802</v>
      </c>
      <c r="H4807" s="2" t="s">
        <v>74</v>
      </c>
      <c r="I4807" s="2" t="s">
        <v>75</v>
      </c>
      <c r="J4807" s="2" t="s">
        <v>76</v>
      </c>
      <c r="K4807" s="2" t="s">
        <v>77</v>
      </c>
      <c r="L4807" s="2" t="s">
        <v>74</v>
      </c>
      <c r="M4807" s="2" t="s">
        <v>75</v>
      </c>
      <c r="N4807" s="2" t="s">
        <v>1870</v>
      </c>
      <c r="O4807" s="2" t="s">
        <v>100</v>
      </c>
      <c r="P4807" s="2" t="str">
        <f>"2170583560                    "</f>
        <v xml:space="preserve">2170583560                    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3.13</v>
      </c>
      <c r="AN4807" s="2">
        <v>0</v>
      </c>
      <c r="AO4807" s="2">
        <v>0</v>
      </c>
      <c r="AP4807" s="2">
        <v>0</v>
      </c>
      <c r="AQ4807" s="2">
        <v>0</v>
      </c>
      <c r="AR4807" s="2">
        <v>0</v>
      </c>
      <c r="AS4807" s="2">
        <v>0</v>
      </c>
      <c r="AT4807" s="2">
        <v>0</v>
      </c>
      <c r="AU4807" s="2">
        <v>0</v>
      </c>
      <c r="AV4807" s="2">
        <v>0</v>
      </c>
      <c r="AW4807" s="2">
        <v>0</v>
      </c>
      <c r="AX4807" s="2">
        <v>0</v>
      </c>
      <c r="AY4807" s="2">
        <v>0</v>
      </c>
      <c r="AZ4807" s="2">
        <v>0</v>
      </c>
      <c r="BA4807" s="2">
        <v>0</v>
      </c>
      <c r="BB4807" s="2">
        <v>0</v>
      </c>
      <c r="BC4807" s="2">
        <v>0</v>
      </c>
      <c r="BD4807" s="2">
        <v>0</v>
      </c>
      <c r="BE4807" s="2">
        <v>0</v>
      </c>
      <c r="BF4807" s="2">
        <v>0</v>
      </c>
      <c r="BG4807" s="2">
        <v>0</v>
      </c>
      <c r="BH4807" s="2">
        <v>1</v>
      </c>
      <c r="BI4807" s="2">
        <v>1</v>
      </c>
      <c r="BJ4807" s="2">
        <v>0.2</v>
      </c>
      <c r="BK4807" s="2">
        <v>1</v>
      </c>
      <c r="BL4807" s="2">
        <v>32.380000000000003</v>
      </c>
      <c r="BM4807" s="2">
        <v>4.53</v>
      </c>
      <c r="BN4807" s="2">
        <v>36.909999999999997</v>
      </c>
      <c r="BO4807" s="2">
        <v>36.909999999999997</v>
      </c>
      <c r="BP4807" s="2"/>
      <c r="BQ4807" s="2" t="s">
        <v>1871</v>
      </c>
      <c r="BR4807" s="2" t="s">
        <v>84</v>
      </c>
      <c r="BS4807" s="3">
        <v>42955</v>
      </c>
      <c r="BT4807" s="4">
        <v>0.33333333333333331</v>
      </c>
      <c r="BU4807" s="2" t="s">
        <v>935</v>
      </c>
      <c r="BV4807" s="2" t="s">
        <v>95</v>
      </c>
      <c r="BW4807" s="2"/>
      <c r="BX4807" s="2"/>
      <c r="BY4807" s="2">
        <v>1200</v>
      </c>
      <c r="BZ4807" s="2"/>
      <c r="CA4807" s="2" t="s">
        <v>267</v>
      </c>
      <c r="CB4807" s="2"/>
      <c r="CC4807" s="2" t="s">
        <v>75</v>
      </c>
      <c r="CD4807" s="2">
        <v>1645</v>
      </c>
      <c r="CE4807" s="2" t="s">
        <v>104</v>
      </c>
      <c r="CF4807" s="5">
        <v>42955</v>
      </c>
      <c r="CG4807" s="2"/>
      <c r="CH4807" s="2"/>
      <c r="CI4807" s="2">
        <v>1</v>
      </c>
      <c r="CJ4807" s="2">
        <v>1</v>
      </c>
      <c r="CK4807" s="2">
        <v>22</v>
      </c>
      <c r="CL4807" s="2" t="s">
        <v>86</v>
      </c>
      <c r="CM4807" s="2"/>
    </row>
    <row r="4808" spans="1:91">
      <c r="A4808" s="2" t="s">
        <v>71</v>
      </c>
      <c r="B4808" s="2" t="s">
        <v>72</v>
      </c>
      <c r="C4808" s="2" t="s">
        <v>73</v>
      </c>
      <c r="D4808" s="2"/>
      <c r="E4808" s="2" t="str">
        <f>"FES1162567455"</f>
        <v>FES1162567455</v>
      </c>
      <c r="F4808" s="3">
        <v>42954</v>
      </c>
      <c r="G4808" s="2">
        <v>201802</v>
      </c>
      <c r="H4808" s="2" t="s">
        <v>74</v>
      </c>
      <c r="I4808" s="2" t="s">
        <v>75</v>
      </c>
      <c r="J4808" s="2" t="s">
        <v>76</v>
      </c>
      <c r="K4808" s="2" t="s">
        <v>77</v>
      </c>
      <c r="L4808" s="2" t="s">
        <v>144</v>
      </c>
      <c r="M4808" s="2" t="s">
        <v>145</v>
      </c>
      <c r="N4808" s="2" t="s">
        <v>2662</v>
      </c>
      <c r="O4808" s="2" t="s">
        <v>100</v>
      </c>
      <c r="P4808" s="2" t="str">
        <f>"2170583617                    "</f>
        <v xml:space="preserve">2170583617                    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2">
        <v>0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3.13</v>
      </c>
      <c r="AN4808" s="2">
        <v>0</v>
      </c>
      <c r="AO4808" s="2">
        <v>0</v>
      </c>
      <c r="AP4808" s="2">
        <v>0</v>
      </c>
      <c r="AQ4808" s="2">
        <v>0</v>
      </c>
      <c r="AR4808" s="2">
        <v>0</v>
      </c>
      <c r="AS4808" s="2">
        <v>0</v>
      </c>
      <c r="AT4808" s="2">
        <v>0</v>
      </c>
      <c r="AU4808" s="2">
        <v>0</v>
      </c>
      <c r="AV4808" s="2">
        <v>0</v>
      </c>
      <c r="AW4808" s="2">
        <v>0</v>
      </c>
      <c r="AX4808" s="2">
        <v>0</v>
      </c>
      <c r="AY4808" s="2">
        <v>0</v>
      </c>
      <c r="AZ4808" s="2">
        <v>0</v>
      </c>
      <c r="BA4808" s="2">
        <v>0</v>
      </c>
      <c r="BB4808" s="2">
        <v>0</v>
      </c>
      <c r="BC4808" s="2">
        <v>0</v>
      </c>
      <c r="BD4808" s="2">
        <v>0</v>
      </c>
      <c r="BE4808" s="2">
        <v>0</v>
      </c>
      <c r="BF4808" s="2">
        <v>0</v>
      </c>
      <c r="BG4808" s="2">
        <v>0</v>
      </c>
      <c r="BH4808" s="2">
        <v>1</v>
      </c>
      <c r="BI4808" s="2">
        <v>1</v>
      </c>
      <c r="BJ4808" s="2">
        <v>0.2</v>
      </c>
      <c r="BK4808" s="2">
        <v>1</v>
      </c>
      <c r="BL4808" s="2">
        <v>32.380000000000003</v>
      </c>
      <c r="BM4808" s="2">
        <v>4.53</v>
      </c>
      <c r="BN4808" s="2">
        <v>36.909999999999997</v>
      </c>
      <c r="BO4808" s="2">
        <v>36.909999999999997</v>
      </c>
      <c r="BP4808" s="2"/>
      <c r="BQ4808" s="2" t="s">
        <v>3610</v>
      </c>
      <c r="BR4808" s="2" t="s">
        <v>84</v>
      </c>
      <c r="BS4808" s="3">
        <v>42955</v>
      </c>
      <c r="BT4808" s="4">
        <v>0.41666666666666669</v>
      </c>
      <c r="BU4808" s="2" t="s">
        <v>1435</v>
      </c>
      <c r="BV4808" s="2" t="s">
        <v>95</v>
      </c>
      <c r="BW4808" s="2"/>
      <c r="BX4808" s="2"/>
      <c r="BY4808" s="2">
        <v>1200</v>
      </c>
      <c r="BZ4808" s="2"/>
      <c r="CA4808" s="2" t="s">
        <v>1714</v>
      </c>
      <c r="CB4808" s="2"/>
      <c r="CC4808" s="2" t="s">
        <v>145</v>
      </c>
      <c r="CD4808" s="2">
        <v>2090</v>
      </c>
      <c r="CE4808" s="2" t="s">
        <v>104</v>
      </c>
      <c r="CF4808" s="5">
        <v>42957</v>
      </c>
      <c r="CG4808" s="2"/>
      <c r="CH4808" s="2"/>
      <c r="CI4808" s="2">
        <v>1</v>
      </c>
      <c r="CJ4808" s="2">
        <v>1</v>
      </c>
      <c r="CK4808" s="2">
        <v>22</v>
      </c>
      <c r="CL4808" s="2" t="s">
        <v>86</v>
      </c>
      <c r="CM4808" s="2"/>
    </row>
    <row r="4809" spans="1:91">
      <c r="A4809" s="2" t="s">
        <v>71</v>
      </c>
      <c r="B4809" s="2" t="s">
        <v>72</v>
      </c>
      <c r="C4809" s="2" t="s">
        <v>73</v>
      </c>
      <c r="D4809" s="2"/>
      <c r="E4809" s="2" t="str">
        <f>"FES1162567418"</f>
        <v>FES1162567418</v>
      </c>
      <c r="F4809" s="3">
        <v>42954</v>
      </c>
      <c r="G4809" s="2">
        <v>201802</v>
      </c>
      <c r="H4809" s="2" t="s">
        <v>74</v>
      </c>
      <c r="I4809" s="2" t="s">
        <v>75</v>
      </c>
      <c r="J4809" s="2" t="s">
        <v>76</v>
      </c>
      <c r="K4809" s="2" t="s">
        <v>77</v>
      </c>
      <c r="L4809" s="2" t="s">
        <v>74</v>
      </c>
      <c r="M4809" s="2" t="s">
        <v>75</v>
      </c>
      <c r="N4809" s="2" t="s">
        <v>833</v>
      </c>
      <c r="O4809" s="2" t="s">
        <v>100</v>
      </c>
      <c r="P4809" s="2" t="str">
        <f>"2170583573                    "</f>
        <v xml:space="preserve">2170583573                    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3.13</v>
      </c>
      <c r="AN4809" s="2">
        <v>0</v>
      </c>
      <c r="AO4809" s="2">
        <v>0</v>
      </c>
      <c r="AP4809" s="2">
        <v>0</v>
      </c>
      <c r="AQ4809" s="2">
        <v>0</v>
      </c>
      <c r="AR4809" s="2">
        <v>0</v>
      </c>
      <c r="AS4809" s="2">
        <v>0</v>
      </c>
      <c r="AT4809" s="2">
        <v>0</v>
      </c>
      <c r="AU4809" s="2">
        <v>0</v>
      </c>
      <c r="AV4809" s="2">
        <v>0</v>
      </c>
      <c r="AW4809" s="2">
        <v>0</v>
      </c>
      <c r="AX4809" s="2">
        <v>0</v>
      </c>
      <c r="AY4809" s="2">
        <v>0</v>
      </c>
      <c r="AZ4809" s="2">
        <v>0</v>
      </c>
      <c r="BA4809" s="2">
        <v>0</v>
      </c>
      <c r="BB4809" s="2">
        <v>0</v>
      </c>
      <c r="BC4809" s="2">
        <v>0</v>
      </c>
      <c r="BD4809" s="2">
        <v>0</v>
      </c>
      <c r="BE4809" s="2">
        <v>0</v>
      </c>
      <c r="BF4809" s="2">
        <v>0</v>
      </c>
      <c r="BG4809" s="2">
        <v>0</v>
      </c>
      <c r="BH4809" s="2">
        <v>1</v>
      </c>
      <c r="BI4809" s="2">
        <v>1</v>
      </c>
      <c r="BJ4809" s="2">
        <v>0.2</v>
      </c>
      <c r="BK4809" s="2">
        <v>1</v>
      </c>
      <c r="BL4809" s="2">
        <v>32.380000000000003</v>
      </c>
      <c r="BM4809" s="2">
        <v>4.53</v>
      </c>
      <c r="BN4809" s="2">
        <v>36.909999999999997</v>
      </c>
      <c r="BO4809" s="2">
        <v>36.909999999999997</v>
      </c>
      <c r="BP4809" s="2"/>
      <c r="BQ4809" s="2" t="s">
        <v>83</v>
      </c>
      <c r="BR4809" s="2" t="s">
        <v>84</v>
      </c>
      <c r="BS4809" s="3">
        <v>42955</v>
      </c>
      <c r="BT4809" s="4">
        <v>0.36736111111111108</v>
      </c>
      <c r="BU4809" s="2" t="s">
        <v>834</v>
      </c>
      <c r="BV4809" s="2" t="s">
        <v>95</v>
      </c>
      <c r="BW4809" s="2"/>
      <c r="BX4809" s="2"/>
      <c r="BY4809" s="2">
        <v>1200</v>
      </c>
      <c r="BZ4809" s="2"/>
      <c r="CA4809" s="2" t="s">
        <v>194</v>
      </c>
      <c r="CB4809" s="2"/>
      <c r="CC4809" s="2" t="s">
        <v>75</v>
      </c>
      <c r="CD4809" s="2">
        <v>1666</v>
      </c>
      <c r="CE4809" s="2" t="s">
        <v>104</v>
      </c>
      <c r="CF4809" s="5">
        <v>42955</v>
      </c>
      <c r="CG4809" s="2"/>
      <c r="CH4809" s="2"/>
      <c r="CI4809" s="2">
        <v>1</v>
      </c>
      <c r="CJ4809" s="2">
        <v>1</v>
      </c>
      <c r="CK4809" s="2">
        <v>22</v>
      </c>
      <c r="CL4809" s="2" t="s">
        <v>86</v>
      </c>
      <c r="CM4809" s="2"/>
    </row>
    <row r="4810" spans="1:91">
      <c r="A4810" s="2" t="s">
        <v>71</v>
      </c>
      <c r="B4810" s="2" t="s">
        <v>72</v>
      </c>
      <c r="C4810" s="2" t="s">
        <v>73</v>
      </c>
      <c r="D4810" s="2"/>
      <c r="E4810" s="2" t="str">
        <f>"FES1162567239"</f>
        <v>FES1162567239</v>
      </c>
      <c r="F4810" s="3">
        <v>42954</v>
      </c>
      <c r="G4810" s="2">
        <v>201802</v>
      </c>
      <c r="H4810" s="2" t="s">
        <v>74</v>
      </c>
      <c r="I4810" s="2" t="s">
        <v>75</v>
      </c>
      <c r="J4810" s="2" t="s">
        <v>76</v>
      </c>
      <c r="K4810" s="2" t="s">
        <v>77</v>
      </c>
      <c r="L4810" s="2" t="s">
        <v>144</v>
      </c>
      <c r="M4810" s="2" t="s">
        <v>145</v>
      </c>
      <c r="N4810" s="2" t="s">
        <v>146</v>
      </c>
      <c r="O4810" s="2" t="s">
        <v>100</v>
      </c>
      <c r="P4810" s="2" t="str">
        <f>"2170583391                    "</f>
        <v xml:space="preserve">2170583391                    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3.13</v>
      </c>
      <c r="AN4810" s="2">
        <v>0</v>
      </c>
      <c r="AO4810" s="2">
        <v>0</v>
      </c>
      <c r="AP4810" s="2">
        <v>0</v>
      </c>
      <c r="AQ4810" s="2">
        <v>0</v>
      </c>
      <c r="AR4810" s="2">
        <v>0</v>
      </c>
      <c r="AS4810" s="2">
        <v>0</v>
      </c>
      <c r="AT4810" s="2">
        <v>0</v>
      </c>
      <c r="AU4810" s="2">
        <v>0</v>
      </c>
      <c r="AV4810" s="2">
        <v>0</v>
      </c>
      <c r="AW4810" s="2">
        <v>0</v>
      </c>
      <c r="AX4810" s="2">
        <v>0</v>
      </c>
      <c r="AY4810" s="2">
        <v>0</v>
      </c>
      <c r="AZ4810" s="2">
        <v>0</v>
      </c>
      <c r="BA4810" s="2">
        <v>0</v>
      </c>
      <c r="BB4810" s="2">
        <v>0</v>
      </c>
      <c r="BC4810" s="2">
        <v>0</v>
      </c>
      <c r="BD4810" s="2">
        <v>0</v>
      </c>
      <c r="BE4810" s="2">
        <v>0</v>
      </c>
      <c r="BF4810" s="2">
        <v>0</v>
      </c>
      <c r="BG4810" s="2">
        <v>0</v>
      </c>
      <c r="BH4810" s="2">
        <v>1</v>
      </c>
      <c r="BI4810" s="2">
        <v>1</v>
      </c>
      <c r="BJ4810" s="2">
        <v>0.2</v>
      </c>
      <c r="BK4810" s="2">
        <v>1</v>
      </c>
      <c r="BL4810" s="2">
        <v>32.380000000000003</v>
      </c>
      <c r="BM4810" s="2">
        <v>4.53</v>
      </c>
      <c r="BN4810" s="2">
        <v>36.909999999999997</v>
      </c>
      <c r="BO4810" s="2">
        <v>36.909999999999997</v>
      </c>
      <c r="BP4810" s="2"/>
      <c r="BQ4810" s="2" t="s">
        <v>83</v>
      </c>
      <c r="BR4810" s="2" t="s">
        <v>84</v>
      </c>
      <c r="BS4810" s="3">
        <v>42955</v>
      </c>
      <c r="BT4810" s="4">
        <v>0.39652777777777781</v>
      </c>
      <c r="BU4810" s="2" t="s">
        <v>2768</v>
      </c>
      <c r="BV4810" s="2" t="s">
        <v>95</v>
      </c>
      <c r="BW4810" s="2"/>
      <c r="BX4810" s="2"/>
      <c r="BY4810" s="2">
        <v>1200</v>
      </c>
      <c r="BZ4810" s="2"/>
      <c r="CA4810" s="2"/>
      <c r="CB4810" s="2"/>
      <c r="CC4810" s="2" t="s">
        <v>145</v>
      </c>
      <c r="CD4810" s="2">
        <v>2094</v>
      </c>
      <c r="CE4810" s="2" t="s">
        <v>104</v>
      </c>
      <c r="CF4810" s="5">
        <v>42957</v>
      </c>
      <c r="CG4810" s="2"/>
      <c r="CH4810" s="2"/>
      <c r="CI4810" s="2">
        <v>1</v>
      </c>
      <c r="CJ4810" s="2">
        <v>1</v>
      </c>
      <c r="CK4810" s="2">
        <v>22</v>
      </c>
      <c r="CL4810" s="2" t="s">
        <v>86</v>
      </c>
      <c r="CM4810" s="2"/>
    </row>
    <row r="4811" spans="1:91">
      <c r="A4811" s="2" t="s">
        <v>71</v>
      </c>
      <c r="B4811" s="2" t="s">
        <v>72</v>
      </c>
      <c r="C4811" s="2" t="s">
        <v>73</v>
      </c>
      <c r="D4811" s="2"/>
      <c r="E4811" s="2" t="str">
        <f>"FES1162567177"</f>
        <v>FES1162567177</v>
      </c>
      <c r="F4811" s="3">
        <v>42954</v>
      </c>
      <c r="G4811" s="2">
        <v>201802</v>
      </c>
      <c r="H4811" s="2" t="s">
        <v>74</v>
      </c>
      <c r="I4811" s="2" t="s">
        <v>75</v>
      </c>
      <c r="J4811" s="2" t="s">
        <v>76</v>
      </c>
      <c r="K4811" s="2" t="s">
        <v>77</v>
      </c>
      <c r="L4811" s="2" t="s">
        <v>170</v>
      </c>
      <c r="M4811" s="2" t="s">
        <v>171</v>
      </c>
      <c r="N4811" s="2" t="s">
        <v>489</v>
      </c>
      <c r="O4811" s="2" t="s">
        <v>100</v>
      </c>
      <c r="P4811" s="2" t="str">
        <f>"2170580894                    "</f>
        <v xml:space="preserve">2170580894                    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3.13</v>
      </c>
      <c r="AN4811" s="2">
        <v>0</v>
      </c>
      <c r="AO4811" s="2">
        <v>0</v>
      </c>
      <c r="AP4811" s="2">
        <v>0</v>
      </c>
      <c r="AQ4811" s="2">
        <v>0</v>
      </c>
      <c r="AR4811" s="2">
        <v>0</v>
      </c>
      <c r="AS4811" s="2">
        <v>0</v>
      </c>
      <c r="AT4811" s="2">
        <v>0</v>
      </c>
      <c r="AU4811" s="2">
        <v>0</v>
      </c>
      <c r="AV4811" s="2">
        <v>0</v>
      </c>
      <c r="AW4811" s="2">
        <v>0</v>
      </c>
      <c r="AX4811" s="2">
        <v>0</v>
      </c>
      <c r="AY4811" s="2">
        <v>0</v>
      </c>
      <c r="AZ4811" s="2">
        <v>0</v>
      </c>
      <c r="BA4811" s="2">
        <v>0</v>
      </c>
      <c r="BB4811" s="2">
        <v>0</v>
      </c>
      <c r="BC4811" s="2">
        <v>0</v>
      </c>
      <c r="BD4811" s="2">
        <v>0</v>
      </c>
      <c r="BE4811" s="2">
        <v>0</v>
      </c>
      <c r="BF4811" s="2">
        <v>0</v>
      </c>
      <c r="BG4811" s="2">
        <v>0</v>
      </c>
      <c r="BH4811" s="2">
        <v>1</v>
      </c>
      <c r="BI4811" s="2">
        <v>1</v>
      </c>
      <c r="BJ4811" s="2">
        <v>0.2</v>
      </c>
      <c r="BK4811" s="2">
        <v>1</v>
      </c>
      <c r="BL4811" s="2">
        <v>32.380000000000003</v>
      </c>
      <c r="BM4811" s="2">
        <v>4.53</v>
      </c>
      <c r="BN4811" s="2">
        <v>36.909999999999997</v>
      </c>
      <c r="BO4811" s="2">
        <v>36.909999999999997</v>
      </c>
      <c r="BP4811" s="2"/>
      <c r="BQ4811" s="2" t="s">
        <v>490</v>
      </c>
      <c r="BR4811" s="2" t="s">
        <v>84</v>
      </c>
      <c r="BS4811" s="3">
        <v>42955</v>
      </c>
      <c r="BT4811" s="4">
        <v>0.49305555555555558</v>
      </c>
      <c r="BU4811" s="2" t="s">
        <v>2868</v>
      </c>
      <c r="BV4811" s="2" t="s">
        <v>86</v>
      </c>
      <c r="BW4811" s="2" t="s">
        <v>110</v>
      </c>
      <c r="BX4811" s="2" t="s">
        <v>327</v>
      </c>
      <c r="BY4811" s="2">
        <v>1200</v>
      </c>
      <c r="BZ4811" s="2"/>
      <c r="CA4811" s="2" t="s">
        <v>492</v>
      </c>
      <c r="CB4811" s="2"/>
      <c r="CC4811" s="2" t="s">
        <v>171</v>
      </c>
      <c r="CD4811" s="2">
        <v>1401</v>
      </c>
      <c r="CE4811" s="2" t="s">
        <v>104</v>
      </c>
      <c r="CF4811" s="5">
        <v>42957</v>
      </c>
      <c r="CG4811" s="2"/>
      <c r="CH4811" s="2"/>
      <c r="CI4811" s="2">
        <v>1</v>
      </c>
      <c r="CJ4811" s="2">
        <v>1</v>
      </c>
      <c r="CK4811" s="2">
        <v>22</v>
      </c>
      <c r="CL4811" s="2" t="s">
        <v>86</v>
      </c>
      <c r="CM4811" s="2"/>
    </row>
    <row r="4812" spans="1:91">
      <c r="A4812" s="2" t="s">
        <v>71</v>
      </c>
      <c r="B4812" s="2" t="s">
        <v>72</v>
      </c>
      <c r="C4812" s="2" t="s">
        <v>73</v>
      </c>
      <c r="D4812" s="2"/>
      <c r="E4812" s="2" t="str">
        <f>"FES1162567075"</f>
        <v>FES1162567075</v>
      </c>
      <c r="F4812" s="3">
        <v>42954</v>
      </c>
      <c r="G4812" s="2">
        <v>201802</v>
      </c>
      <c r="H4812" s="2" t="s">
        <v>74</v>
      </c>
      <c r="I4812" s="2" t="s">
        <v>75</v>
      </c>
      <c r="J4812" s="2" t="s">
        <v>76</v>
      </c>
      <c r="K4812" s="2" t="s">
        <v>77</v>
      </c>
      <c r="L4812" s="2" t="s">
        <v>144</v>
      </c>
      <c r="M4812" s="2" t="s">
        <v>145</v>
      </c>
      <c r="N4812" s="2" t="s">
        <v>146</v>
      </c>
      <c r="O4812" s="2" t="s">
        <v>100</v>
      </c>
      <c r="P4812" s="2" t="str">
        <f>"2170577773                    "</f>
        <v xml:space="preserve">2170577773                    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0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3.13</v>
      </c>
      <c r="AN4812" s="2">
        <v>0</v>
      </c>
      <c r="AO4812" s="2">
        <v>0</v>
      </c>
      <c r="AP4812" s="2">
        <v>0</v>
      </c>
      <c r="AQ4812" s="2">
        <v>0</v>
      </c>
      <c r="AR4812" s="2">
        <v>0</v>
      </c>
      <c r="AS4812" s="2">
        <v>0</v>
      </c>
      <c r="AT4812" s="2">
        <v>0</v>
      </c>
      <c r="AU4812" s="2">
        <v>0</v>
      </c>
      <c r="AV4812" s="2">
        <v>0</v>
      </c>
      <c r="AW4812" s="2">
        <v>0</v>
      </c>
      <c r="AX4812" s="2">
        <v>0</v>
      </c>
      <c r="AY4812" s="2">
        <v>0</v>
      </c>
      <c r="AZ4812" s="2">
        <v>0</v>
      </c>
      <c r="BA4812" s="2">
        <v>0</v>
      </c>
      <c r="BB4812" s="2">
        <v>0</v>
      </c>
      <c r="BC4812" s="2">
        <v>0</v>
      </c>
      <c r="BD4812" s="2">
        <v>0</v>
      </c>
      <c r="BE4812" s="2">
        <v>0</v>
      </c>
      <c r="BF4812" s="2">
        <v>0</v>
      </c>
      <c r="BG4812" s="2">
        <v>0</v>
      </c>
      <c r="BH4812" s="2">
        <v>1</v>
      </c>
      <c r="BI4812" s="2">
        <v>1</v>
      </c>
      <c r="BJ4812" s="2">
        <v>0.2</v>
      </c>
      <c r="BK4812" s="2">
        <v>1</v>
      </c>
      <c r="BL4812" s="2">
        <v>32.380000000000003</v>
      </c>
      <c r="BM4812" s="2">
        <v>4.53</v>
      </c>
      <c r="BN4812" s="2">
        <v>36.909999999999997</v>
      </c>
      <c r="BO4812" s="2">
        <v>36.909999999999997</v>
      </c>
      <c r="BP4812" s="2"/>
      <c r="BQ4812" s="2" t="s">
        <v>83</v>
      </c>
      <c r="BR4812" s="2" t="s">
        <v>84</v>
      </c>
      <c r="BS4812" s="3">
        <v>42955</v>
      </c>
      <c r="BT4812" s="4">
        <v>0.40277777777777773</v>
      </c>
      <c r="BU4812" s="2" t="s">
        <v>1458</v>
      </c>
      <c r="BV4812" s="2" t="s">
        <v>95</v>
      </c>
      <c r="BW4812" s="2"/>
      <c r="BX4812" s="2"/>
      <c r="BY4812" s="2">
        <v>1200</v>
      </c>
      <c r="BZ4812" s="2"/>
      <c r="CA4812" s="2" t="s">
        <v>729</v>
      </c>
      <c r="CB4812" s="2"/>
      <c r="CC4812" s="2" t="s">
        <v>145</v>
      </c>
      <c r="CD4812" s="2">
        <v>2094</v>
      </c>
      <c r="CE4812" s="2" t="s">
        <v>104</v>
      </c>
      <c r="CF4812" s="5">
        <v>42955</v>
      </c>
      <c r="CG4812" s="2"/>
      <c r="CH4812" s="2"/>
      <c r="CI4812" s="2">
        <v>1</v>
      </c>
      <c r="CJ4812" s="2">
        <v>1</v>
      </c>
      <c r="CK4812" s="2">
        <v>22</v>
      </c>
      <c r="CL4812" s="2" t="s">
        <v>86</v>
      </c>
      <c r="CM4812" s="2"/>
    </row>
    <row r="4813" spans="1:91">
      <c r="A4813" s="2" t="s">
        <v>71</v>
      </c>
      <c r="B4813" s="2" t="s">
        <v>72</v>
      </c>
      <c r="C4813" s="2" t="s">
        <v>73</v>
      </c>
      <c r="D4813" s="2"/>
      <c r="E4813" s="2" t="str">
        <f>"FES1162567363"</f>
        <v>FES1162567363</v>
      </c>
      <c r="F4813" s="3">
        <v>42954</v>
      </c>
      <c r="G4813" s="2">
        <v>201802</v>
      </c>
      <c r="H4813" s="2" t="s">
        <v>74</v>
      </c>
      <c r="I4813" s="2" t="s">
        <v>75</v>
      </c>
      <c r="J4813" s="2" t="s">
        <v>76</v>
      </c>
      <c r="K4813" s="2" t="s">
        <v>77</v>
      </c>
      <c r="L4813" s="2" t="s">
        <v>144</v>
      </c>
      <c r="M4813" s="2" t="s">
        <v>145</v>
      </c>
      <c r="N4813" s="2" t="s">
        <v>146</v>
      </c>
      <c r="O4813" s="2" t="s">
        <v>100</v>
      </c>
      <c r="P4813" s="2" t="str">
        <f>"2170571463                    "</f>
        <v xml:space="preserve">2170571463                    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3.13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2">
        <v>0</v>
      </c>
      <c r="AT4813" s="2">
        <v>0</v>
      </c>
      <c r="AU4813" s="2">
        <v>0</v>
      </c>
      <c r="AV4813" s="2">
        <v>0</v>
      </c>
      <c r="AW4813" s="2">
        <v>0</v>
      </c>
      <c r="AX4813" s="2">
        <v>0</v>
      </c>
      <c r="AY4813" s="2">
        <v>0</v>
      </c>
      <c r="AZ4813" s="2">
        <v>0</v>
      </c>
      <c r="BA4813" s="2">
        <v>0</v>
      </c>
      <c r="BB4813" s="2">
        <v>0</v>
      </c>
      <c r="BC4813" s="2">
        <v>0</v>
      </c>
      <c r="BD4813" s="2">
        <v>0</v>
      </c>
      <c r="BE4813" s="2">
        <v>0</v>
      </c>
      <c r="BF4813" s="2">
        <v>0</v>
      </c>
      <c r="BG4813" s="2">
        <v>0</v>
      </c>
      <c r="BH4813" s="2">
        <v>1</v>
      </c>
      <c r="BI4813" s="2">
        <v>1</v>
      </c>
      <c r="BJ4813" s="2">
        <v>0.2</v>
      </c>
      <c r="BK4813" s="2">
        <v>1</v>
      </c>
      <c r="BL4813" s="2">
        <v>32.380000000000003</v>
      </c>
      <c r="BM4813" s="2">
        <v>4.53</v>
      </c>
      <c r="BN4813" s="2">
        <v>36.909999999999997</v>
      </c>
      <c r="BO4813" s="2">
        <v>36.909999999999997</v>
      </c>
      <c r="BP4813" s="2"/>
      <c r="BQ4813" s="2" t="s">
        <v>83</v>
      </c>
      <c r="BR4813" s="2" t="s">
        <v>84</v>
      </c>
      <c r="BS4813" s="3">
        <v>42955</v>
      </c>
      <c r="BT4813" s="4">
        <v>0.40347222222222223</v>
      </c>
      <c r="BU4813" s="2" t="s">
        <v>1458</v>
      </c>
      <c r="BV4813" s="2" t="s">
        <v>95</v>
      </c>
      <c r="BW4813" s="2"/>
      <c r="BX4813" s="2"/>
      <c r="BY4813" s="2">
        <v>1200</v>
      </c>
      <c r="BZ4813" s="2"/>
      <c r="CA4813" s="2" t="s">
        <v>729</v>
      </c>
      <c r="CB4813" s="2"/>
      <c r="CC4813" s="2" t="s">
        <v>145</v>
      </c>
      <c r="CD4813" s="2">
        <v>2094</v>
      </c>
      <c r="CE4813" s="2" t="s">
        <v>104</v>
      </c>
      <c r="CF4813" s="5">
        <v>42957</v>
      </c>
      <c r="CG4813" s="2"/>
      <c r="CH4813" s="2"/>
      <c r="CI4813" s="2">
        <v>1</v>
      </c>
      <c r="CJ4813" s="2">
        <v>1</v>
      </c>
      <c r="CK4813" s="2">
        <v>22</v>
      </c>
      <c r="CL4813" s="2" t="s">
        <v>86</v>
      </c>
      <c r="CM4813" s="2"/>
    </row>
    <row r="4814" spans="1:91">
      <c r="A4814" s="2" t="s">
        <v>71</v>
      </c>
      <c r="B4814" s="2" t="s">
        <v>72</v>
      </c>
      <c r="C4814" s="2" t="s">
        <v>73</v>
      </c>
      <c r="D4814" s="2"/>
      <c r="E4814" s="2" t="str">
        <f>"FES1162567255"</f>
        <v>FES1162567255</v>
      </c>
      <c r="F4814" s="3">
        <v>42954</v>
      </c>
      <c r="G4814" s="2">
        <v>201802</v>
      </c>
      <c r="H4814" s="2" t="s">
        <v>74</v>
      </c>
      <c r="I4814" s="2" t="s">
        <v>75</v>
      </c>
      <c r="J4814" s="2" t="s">
        <v>76</v>
      </c>
      <c r="K4814" s="2" t="s">
        <v>77</v>
      </c>
      <c r="L4814" s="2" t="s">
        <v>539</v>
      </c>
      <c r="M4814" s="2" t="s">
        <v>540</v>
      </c>
      <c r="N4814" s="2" t="s">
        <v>3282</v>
      </c>
      <c r="O4814" s="2" t="s">
        <v>100</v>
      </c>
      <c r="P4814" s="2" t="str">
        <f>"2170582700                    "</f>
        <v xml:space="preserve">2170582700                    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3.13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2">
        <v>0</v>
      </c>
      <c r="AT4814" s="2">
        <v>0</v>
      </c>
      <c r="AU4814" s="2">
        <v>0</v>
      </c>
      <c r="AV4814" s="2">
        <v>0</v>
      </c>
      <c r="AW4814" s="2">
        <v>0</v>
      </c>
      <c r="AX4814" s="2">
        <v>0</v>
      </c>
      <c r="AY4814" s="2">
        <v>0</v>
      </c>
      <c r="AZ4814" s="2">
        <v>0</v>
      </c>
      <c r="BA4814" s="2">
        <v>0</v>
      </c>
      <c r="BB4814" s="2">
        <v>0</v>
      </c>
      <c r="BC4814" s="2">
        <v>0</v>
      </c>
      <c r="BD4814" s="2">
        <v>0</v>
      </c>
      <c r="BE4814" s="2">
        <v>0</v>
      </c>
      <c r="BF4814" s="2">
        <v>0</v>
      </c>
      <c r="BG4814" s="2">
        <v>0</v>
      </c>
      <c r="BH4814" s="2">
        <v>1</v>
      </c>
      <c r="BI4814" s="2">
        <v>1</v>
      </c>
      <c r="BJ4814" s="2">
        <v>0.2</v>
      </c>
      <c r="BK4814" s="2">
        <v>1</v>
      </c>
      <c r="BL4814" s="2">
        <v>32.380000000000003</v>
      </c>
      <c r="BM4814" s="2">
        <v>4.53</v>
      </c>
      <c r="BN4814" s="2">
        <v>36.909999999999997</v>
      </c>
      <c r="BO4814" s="2">
        <v>36.909999999999997</v>
      </c>
      <c r="BP4814" s="2"/>
      <c r="BQ4814" s="2" t="s">
        <v>288</v>
      </c>
      <c r="BR4814" s="2" t="s">
        <v>84</v>
      </c>
      <c r="BS4814" s="3">
        <v>42955</v>
      </c>
      <c r="BT4814" s="4">
        <v>0.3215277777777778</v>
      </c>
      <c r="BU4814" s="2" t="s">
        <v>4227</v>
      </c>
      <c r="BV4814" s="2" t="s">
        <v>95</v>
      </c>
      <c r="BW4814" s="2"/>
      <c r="BX4814" s="2"/>
      <c r="BY4814" s="2">
        <v>1200</v>
      </c>
      <c r="BZ4814" s="2"/>
      <c r="CA4814" s="2" t="s">
        <v>1368</v>
      </c>
      <c r="CB4814" s="2"/>
      <c r="CC4814" s="2" t="s">
        <v>540</v>
      </c>
      <c r="CD4814" s="2">
        <v>2194</v>
      </c>
      <c r="CE4814" s="2" t="s">
        <v>104</v>
      </c>
      <c r="CF4814" s="5">
        <v>42957</v>
      </c>
      <c r="CG4814" s="2"/>
      <c r="CH4814" s="2"/>
      <c r="CI4814" s="2">
        <v>1</v>
      </c>
      <c r="CJ4814" s="2">
        <v>1</v>
      </c>
      <c r="CK4814" s="2">
        <v>22</v>
      </c>
      <c r="CL4814" s="2" t="s">
        <v>86</v>
      </c>
      <c r="CM4814" s="2"/>
    </row>
    <row r="4815" spans="1:91">
      <c r="A4815" s="2" t="s">
        <v>71</v>
      </c>
      <c r="B4815" s="2" t="s">
        <v>72</v>
      </c>
      <c r="C4815" s="2" t="s">
        <v>73</v>
      </c>
      <c r="D4815" s="2"/>
      <c r="E4815" s="2" t="str">
        <f>"FES1162567310"</f>
        <v>FES1162567310</v>
      </c>
      <c r="F4815" s="3">
        <v>42954</v>
      </c>
      <c r="G4815" s="2">
        <v>201802</v>
      </c>
      <c r="H4815" s="2" t="s">
        <v>74</v>
      </c>
      <c r="I4815" s="2" t="s">
        <v>75</v>
      </c>
      <c r="J4815" s="2" t="s">
        <v>76</v>
      </c>
      <c r="K4815" s="2" t="s">
        <v>77</v>
      </c>
      <c r="L4815" s="2" t="s">
        <v>74</v>
      </c>
      <c r="M4815" s="2" t="s">
        <v>75</v>
      </c>
      <c r="N4815" s="2" t="s">
        <v>4228</v>
      </c>
      <c r="O4815" s="2" t="s">
        <v>100</v>
      </c>
      <c r="P4815" s="2" t="str">
        <f>"2170583481                    "</f>
        <v xml:space="preserve">2170583481                    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3.13</v>
      </c>
      <c r="AN4815" s="2">
        <v>0</v>
      </c>
      <c r="AO4815" s="2">
        <v>0</v>
      </c>
      <c r="AP4815" s="2">
        <v>0</v>
      </c>
      <c r="AQ4815" s="2">
        <v>0</v>
      </c>
      <c r="AR4815" s="2">
        <v>0</v>
      </c>
      <c r="AS4815" s="2">
        <v>0</v>
      </c>
      <c r="AT4815" s="2">
        <v>0</v>
      </c>
      <c r="AU4815" s="2">
        <v>0</v>
      </c>
      <c r="AV4815" s="2">
        <v>0</v>
      </c>
      <c r="AW4815" s="2">
        <v>0</v>
      </c>
      <c r="AX4815" s="2">
        <v>0</v>
      </c>
      <c r="AY4815" s="2">
        <v>0</v>
      </c>
      <c r="AZ4815" s="2">
        <v>0</v>
      </c>
      <c r="BA4815" s="2">
        <v>0</v>
      </c>
      <c r="BB4815" s="2">
        <v>0</v>
      </c>
      <c r="BC4815" s="2">
        <v>0</v>
      </c>
      <c r="BD4815" s="2">
        <v>0</v>
      </c>
      <c r="BE4815" s="2">
        <v>0</v>
      </c>
      <c r="BF4815" s="2">
        <v>0</v>
      </c>
      <c r="BG4815" s="2">
        <v>0</v>
      </c>
      <c r="BH4815" s="2">
        <v>1</v>
      </c>
      <c r="BI4815" s="2">
        <v>1</v>
      </c>
      <c r="BJ4815" s="2">
        <v>0.2</v>
      </c>
      <c r="BK4815" s="2">
        <v>1</v>
      </c>
      <c r="BL4815" s="2">
        <v>32.380000000000003</v>
      </c>
      <c r="BM4815" s="2">
        <v>4.53</v>
      </c>
      <c r="BN4815" s="2">
        <v>36.909999999999997</v>
      </c>
      <c r="BO4815" s="2">
        <v>36.909999999999997</v>
      </c>
      <c r="BP4815" s="2"/>
      <c r="BQ4815" s="2"/>
      <c r="BR4815" s="2" t="s">
        <v>84</v>
      </c>
      <c r="BS4815" s="3">
        <v>42955</v>
      </c>
      <c r="BT4815" s="4">
        <v>0.29166666666666669</v>
      </c>
      <c r="BU4815" s="2" t="s">
        <v>4229</v>
      </c>
      <c r="BV4815" s="2" t="s">
        <v>95</v>
      </c>
      <c r="BW4815" s="2"/>
      <c r="BX4815" s="2"/>
      <c r="BY4815" s="2">
        <v>1200</v>
      </c>
      <c r="BZ4815" s="2"/>
      <c r="CA4815" s="2"/>
      <c r="CB4815" s="2"/>
      <c r="CC4815" s="2" t="s">
        <v>75</v>
      </c>
      <c r="CD4815" s="2">
        <v>1624</v>
      </c>
      <c r="CE4815" s="2" t="s">
        <v>104</v>
      </c>
      <c r="CF4815" s="5">
        <v>42957</v>
      </c>
      <c r="CG4815" s="2"/>
      <c r="CH4815" s="2"/>
      <c r="CI4815" s="2">
        <v>1</v>
      </c>
      <c r="CJ4815" s="2">
        <v>1</v>
      </c>
      <c r="CK4815" s="2">
        <v>22</v>
      </c>
      <c r="CL4815" s="2" t="s">
        <v>86</v>
      </c>
      <c r="CM4815" s="2"/>
    </row>
    <row r="4816" spans="1:91">
      <c r="A4816" s="2" t="s">
        <v>71</v>
      </c>
      <c r="B4816" s="2" t="s">
        <v>72</v>
      </c>
      <c r="C4816" s="2" t="s">
        <v>73</v>
      </c>
      <c r="D4816" s="2"/>
      <c r="E4816" s="2" t="str">
        <f>"FES1162567126"</f>
        <v>FES1162567126</v>
      </c>
      <c r="F4816" s="3">
        <v>42954</v>
      </c>
      <c r="G4816" s="2">
        <v>201802</v>
      </c>
      <c r="H4816" s="2" t="s">
        <v>74</v>
      </c>
      <c r="I4816" s="2" t="s">
        <v>75</v>
      </c>
      <c r="J4816" s="2" t="s">
        <v>76</v>
      </c>
      <c r="K4816" s="2" t="s">
        <v>77</v>
      </c>
      <c r="L4816" s="2" t="s">
        <v>723</v>
      </c>
      <c r="M4816" s="2" t="s">
        <v>724</v>
      </c>
      <c r="N4816" s="2" t="s">
        <v>351</v>
      </c>
      <c r="O4816" s="2" t="s">
        <v>100</v>
      </c>
      <c r="P4816" s="2" t="str">
        <f>"2170580939                    "</f>
        <v xml:space="preserve">2170580939                    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5.63</v>
      </c>
      <c r="AN4816" s="2">
        <v>0</v>
      </c>
      <c r="AO4816" s="2">
        <v>0</v>
      </c>
      <c r="AP4816" s="2">
        <v>0</v>
      </c>
      <c r="AQ4816" s="2">
        <v>0</v>
      </c>
      <c r="AR4816" s="2">
        <v>0</v>
      </c>
      <c r="AS4816" s="2">
        <v>0</v>
      </c>
      <c r="AT4816" s="2">
        <v>0</v>
      </c>
      <c r="AU4816" s="2">
        <v>0</v>
      </c>
      <c r="AV4816" s="2">
        <v>0</v>
      </c>
      <c r="AW4816" s="2">
        <v>0</v>
      </c>
      <c r="AX4816" s="2">
        <v>0</v>
      </c>
      <c r="AY4816" s="2">
        <v>0</v>
      </c>
      <c r="AZ4816" s="2">
        <v>0</v>
      </c>
      <c r="BA4816" s="2">
        <v>0</v>
      </c>
      <c r="BB4816" s="2">
        <v>0</v>
      </c>
      <c r="BC4816" s="2">
        <v>0</v>
      </c>
      <c r="BD4816" s="2">
        <v>0</v>
      </c>
      <c r="BE4816" s="2">
        <v>0</v>
      </c>
      <c r="BF4816" s="2">
        <v>0</v>
      </c>
      <c r="BG4816" s="2">
        <v>0</v>
      </c>
      <c r="BH4816" s="2">
        <v>1</v>
      </c>
      <c r="BI4816" s="2">
        <v>1</v>
      </c>
      <c r="BJ4816" s="2">
        <v>0.2</v>
      </c>
      <c r="BK4816" s="2">
        <v>1</v>
      </c>
      <c r="BL4816" s="2">
        <v>58.28</v>
      </c>
      <c r="BM4816" s="2">
        <v>8.16</v>
      </c>
      <c r="BN4816" s="2">
        <v>66.44</v>
      </c>
      <c r="BO4816" s="2">
        <v>66.44</v>
      </c>
      <c r="BP4816" s="2"/>
      <c r="BQ4816" s="2" t="s">
        <v>83</v>
      </c>
      <c r="BR4816" s="2" t="s">
        <v>84</v>
      </c>
      <c r="BS4816" s="3">
        <v>42955</v>
      </c>
      <c r="BT4816" s="4">
        <v>0.5395833333333333</v>
      </c>
      <c r="BU4816" s="2" t="s">
        <v>1360</v>
      </c>
      <c r="BV4816" s="2" t="s">
        <v>95</v>
      </c>
      <c r="BW4816" s="2"/>
      <c r="BX4816" s="2"/>
      <c r="BY4816" s="2">
        <v>1200</v>
      </c>
      <c r="BZ4816" s="2"/>
      <c r="CA4816" s="2" t="s">
        <v>727</v>
      </c>
      <c r="CB4816" s="2"/>
      <c r="CC4816" s="2" t="s">
        <v>724</v>
      </c>
      <c r="CD4816" s="2">
        <v>1754</v>
      </c>
      <c r="CE4816" s="2" t="s">
        <v>104</v>
      </c>
      <c r="CF4816" s="5">
        <v>42957</v>
      </c>
      <c r="CG4816" s="2"/>
      <c r="CH4816" s="2"/>
      <c r="CI4816" s="2">
        <v>1</v>
      </c>
      <c r="CJ4816" s="2">
        <v>1</v>
      </c>
      <c r="CK4816" s="2">
        <v>24</v>
      </c>
      <c r="CL4816" s="2" t="s">
        <v>86</v>
      </c>
      <c r="CM4816" s="2"/>
    </row>
    <row r="4817" spans="1:91">
      <c r="A4817" s="2" t="s">
        <v>71</v>
      </c>
      <c r="B4817" s="2" t="s">
        <v>72</v>
      </c>
      <c r="C4817" s="2" t="s">
        <v>73</v>
      </c>
      <c r="D4817" s="2"/>
      <c r="E4817" s="2" t="str">
        <f>"FES1162567149"</f>
        <v>FES1162567149</v>
      </c>
      <c r="F4817" s="3">
        <v>42954</v>
      </c>
      <c r="G4817" s="2">
        <v>201802</v>
      </c>
      <c r="H4817" s="2" t="s">
        <v>74</v>
      </c>
      <c r="I4817" s="2" t="s">
        <v>75</v>
      </c>
      <c r="J4817" s="2" t="s">
        <v>76</v>
      </c>
      <c r="K4817" s="2" t="s">
        <v>77</v>
      </c>
      <c r="L4817" s="2" t="s">
        <v>1202</v>
      </c>
      <c r="M4817" s="2" t="s">
        <v>1203</v>
      </c>
      <c r="N4817" s="2" t="s">
        <v>1982</v>
      </c>
      <c r="O4817" s="2" t="s">
        <v>100</v>
      </c>
      <c r="P4817" s="2" t="str">
        <f>"2170581550                    "</f>
        <v xml:space="preserve">2170581550                    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3.13</v>
      </c>
      <c r="AN4817" s="2">
        <v>0</v>
      </c>
      <c r="AO4817" s="2">
        <v>0</v>
      </c>
      <c r="AP4817" s="2">
        <v>0</v>
      </c>
      <c r="AQ4817" s="2">
        <v>0</v>
      </c>
      <c r="AR4817" s="2">
        <v>0</v>
      </c>
      <c r="AS4817" s="2">
        <v>0</v>
      </c>
      <c r="AT4817" s="2">
        <v>0</v>
      </c>
      <c r="AU4817" s="2">
        <v>0</v>
      </c>
      <c r="AV4817" s="2">
        <v>0</v>
      </c>
      <c r="AW4817" s="2">
        <v>0</v>
      </c>
      <c r="AX4817" s="2">
        <v>0</v>
      </c>
      <c r="AY4817" s="2">
        <v>0</v>
      </c>
      <c r="AZ4817" s="2">
        <v>0</v>
      </c>
      <c r="BA4817" s="2">
        <v>0</v>
      </c>
      <c r="BB4817" s="2">
        <v>0</v>
      </c>
      <c r="BC4817" s="2">
        <v>0</v>
      </c>
      <c r="BD4817" s="2">
        <v>0</v>
      </c>
      <c r="BE4817" s="2">
        <v>0</v>
      </c>
      <c r="BF4817" s="2">
        <v>0</v>
      </c>
      <c r="BG4817" s="2">
        <v>0</v>
      </c>
      <c r="BH4817" s="2">
        <v>1</v>
      </c>
      <c r="BI4817" s="2">
        <v>1</v>
      </c>
      <c r="BJ4817" s="2">
        <v>0.2</v>
      </c>
      <c r="BK4817" s="2">
        <v>1</v>
      </c>
      <c r="BL4817" s="2">
        <v>32.380000000000003</v>
      </c>
      <c r="BM4817" s="2">
        <v>4.53</v>
      </c>
      <c r="BN4817" s="2">
        <v>36.909999999999997</v>
      </c>
      <c r="BO4817" s="2">
        <v>36.909999999999997</v>
      </c>
      <c r="BP4817" s="2"/>
      <c r="BQ4817" s="2" t="s">
        <v>83</v>
      </c>
      <c r="BR4817" s="2" t="s">
        <v>84</v>
      </c>
      <c r="BS4817" s="3">
        <v>42955</v>
      </c>
      <c r="BT4817" s="4">
        <v>0.29305555555555557</v>
      </c>
      <c r="BU4817" s="2" t="s">
        <v>1984</v>
      </c>
      <c r="BV4817" s="2" t="s">
        <v>95</v>
      </c>
      <c r="BW4817" s="2"/>
      <c r="BX4817" s="2"/>
      <c r="BY4817" s="2">
        <v>1200</v>
      </c>
      <c r="BZ4817" s="2"/>
      <c r="CA4817" s="2" t="s">
        <v>499</v>
      </c>
      <c r="CB4817" s="2"/>
      <c r="CC4817" s="2" t="s">
        <v>1203</v>
      </c>
      <c r="CD4817" s="2">
        <v>1501</v>
      </c>
      <c r="CE4817" s="2" t="s">
        <v>104</v>
      </c>
      <c r="CF4817" s="5">
        <v>42957</v>
      </c>
      <c r="CG4817" s="2"/>
      <c r="CH4817" s="2"/>
      <c r="CI4817" s="2">
        <v>1</v>
      </c>
      <c r="CJ4817" s="2">
        <v>1</v>
      </c>
      <c r="CK4817" s="2">
        <v>22</v>
      </c>
      <c r="CL4817" s="2" t="s">
        <v>86</v>
      </c>
      <c r="CM4817" s="2"/>
    </row>
    <row r="4818" spans="1:91">
      <c r="A4818" s="2" t="s">
        <v>71</v>
      </c>
      <c r="B4818" s="2" t="s">
        <v>72</v>
      </c>
      <c r="C4818" s="2" t="s">
        <v>73</v>
      </c>
      <c r="D4818" s="2"/>
      <c r="E4818" s="2" t="str">
        <f>"FES1162567179"</f>
        <v>FES1162567179</v>
      </c>
      <c r="F4818" s="3">
        <v>42954</v>
      </c>
      <c r="G4818" s="2">
        <v>201802</v>
      </c>
      <c r="H4818" s="2" t="s">
        <v>74</v>
      </c>
      <c r="I4818" s="2" t="s">
        <v>75</v>
      </c>
      <c r="J4818" s="2" t="s">
        <v>76</v>
      </c>
      <c r="K4818" s="2" t="s">
        <v>77</v>
      </c>
      <c r="L4818" s="2" t="s">
        <v>311</v>
      </c>
      <c r="M4818" s="2" t="s">
        <v>312</v>
      </c>
      <c r="N4818" s="2" t="s">
        <v>2450</v>
      </c>
      <c r="O4818" s="2" t="s">
        <v>100</v>
      </c>
      <c r="P4818" s="2" t="str">
        <f>"2170580951                    "</f>
        <v xml:space="preserve">2170580951                    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3.13</v>
      </c>
      <c r="AN4818" s="2">
        <v>0</v>
      </c>
      <c r="AO4818" s="2">
        <v>0</v>
      </c>
      <c r="AP4818" s="2">
        <v>0</v>
      </c>
      <c r="AQ4818" s="2">
        <v>0</v>
      </c>
      <c r="AR4818" s="2">
        <v>0</v>
      </c>
      <c r="AS4818" s="2">
        <v>0</v>
      </c>
      <c r="AT4818" s="2">
        <v>0</v>
      </c>
      <c r="AU4818" s="2">
        <v>0</v>
      </c>
      <c r="AV4818" s="2">
        <v>0</v>
      </c>
      <c r="AW4818" s="2">
        <v>0</v>
      </c>
      <c r="AX4818" s="2">
        <v>0</v>
      </c>
      <c r="AY4818" s="2">
        <v>0</v>
      </c>
      <c r="AZ4818" s="2">
        <v>0</v>
      </c>
      <c r="BA4818" s="2">
        <v>0</v>
      </c>
      <c r="BB4818" s="2">
        <v>0</v>
      </c>
      <c r="BC4818" s="2">
        <v>0</v>
      </c>
      <c r="BD4818" s="2">
        <v>0</v>
      </c>
      <c r="BE4818" s="2">
        <v>0</v>
      </c>
      <c r="BF4818" s="2">
        <v>0</v>
      </c>
      <c r="BG4818" s="2">
        <v>0</v>
      </c>
      <c r="BH4818" s="2">
        <v>1</v>
      </c>
      <c r="BI4818" s="2">
        <v>1</v>
      </c>
      <c r="BJ4818" s="2">
        <v>0.2</v>
      </c>
      <c r="BK4818" s="2">
        <v>1</v>
      </c>
      <c r="BL4818" s="2">
        <v>32.380000000000003</v>
      </c>
      <c r="BM4818" s="2">
        <v>4.53</v>
      </c>
      <c r="BN4818" s="2">
        <v>36.909999999999997</v>
      </c>
      <c r="BO4818" s="2">
        <v>36.909999999999997</v>
      </c>
      <c r="BP4818" s="2"/>
      <c r="BQ4818" s="2" t="s">
        <v>108</v>
      </c>
      <c r="BR4818" s="2" t="s">
        <v>84</v>
      </c>
      <c r="BS4818" s="3">
        <v>42955</v>
      </c>
      <c r="BT4818" s="4">
        <v>0.4291666666666667</v>
      </c>
      <c r="BU4818" s="2" t="s">
        <v>2451</v>
      </c>
      <c r="BV4818" s="2" t="s">
        <v>95</v>
      </c>
      <c r="BW4818" s="2"/>
      <c r="BX4818" s="2"/>
      <c r="BY4818" s="2">
        <v>1200</v>
      </c>
      <c r="BZ4818" s="2"/>
      <c r="CA4818" s="2"/>
      <c r="CB4818" s="2"/>
      <c r="CC4818" s="2" t="s">
        <v>312</v>
      </c>
      <c r="CD4818" s="2">
        <v>1559</v>
      </c>
      <c r="CE4818" s="2" t="s">
        <v>104</v>
      </c>
      <c r="CF4818" s="5">
        <v>42957</v>
      </c>
      <c r="CG4818" s="2"/>
      <c r="CH4818" s="2"/>
      <c r="CI4818" s="2">
        <v>1</v>
      </c>
      <c r="CJ4818" s="2">
        <v>1</v>
      </c>
      <c r="CK4818" s="2">
        <v>22</v>
      </c>
      <c r="CL4818" s="2" t="s">
        <v>86</v>
      </c>
      <c r="CM4818" s="2"/>
    </row>
    <row r="4819" spans="1:91">
      <c r="A4819" s="2" t="s">
        <v>71</v>
      </c>
      <c r="B4819" s="2" t="s">
        <v>72</v>
      </c>
      <c r="C4819" s="2" t="s">
        <v>73</v>
      </c>
      <c r="D4819" s="2"/>
      <c r="E4819" s="2" t="str">
        <f>"FES1162567241"</f>
        <v>FES1162567241</v>
      </c>
      <c r="F4819" s="3">
        <v>42954</v>
      </c>
      <c r="G4819" s="2">
        <v>201802</v>
      </c>
      <c r="H4819" s="2" t="s">
        <v>74</v>
      </c>
      <c r="I4819" s="2" t="s">
        <v>75</v>
      </c>
      <c r="J4819" s="2" t="s">
        <v>76</v>
      </c>
      <c r="K4819" s="2" t="s">
        <v>77</v>
      </c>
      <c r="L4819" s="2" t="s">
        <v>74</v>
      </c>
      <c r="M4819" s="2" t="s">
        <v>75</v>
      </c>
      <c r="N4819" s="2" t="s">
        <v>1815</v>
      </c>
      <c r="O4819" s="2" t="s">
        <v>100</v>
      </c>
      <c r="P4819" s="2" t="str">
        <f>"2170583394                    "</f>
        <v xml:space="preserve">2170583394                    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3.13</v>
      </c>
      <c r="AN4819" s="2">
        <v>0</v>
      </c>
      <c r="AO4819" s="2">
        <v>0</v>
      </c>
      <c r="AP4819" s="2">
        <v>0</v>
      </c>
      <c r="AQ4819" s="2">
        <v>0</v>
      </c>
      <c r="AR4819" s="2">
        <v>0</v>
      </c>
      <c r="AS4819" s="2">
        <v>0</v>
      </c>
      <c r="AT4819" s="2">
        <v>0</v>
      </c>
      <c r="AU4819" s="2">
        <v>0</v>
      </c>
      <c r="AV4819" s="2">
        <v>0</v>
      </c>
      <c r="AW4819" s="2">
        <v>0</v>
      </c>
      <c r="AX4819" s="2">
        <v>0</v>
      </c>
      <c r="AY4819" s="2">
        <v>0</v>
      </c>
      <c r="AZ4819" s="2">
        <v>0</v>
      </c>
      <c r="BA4819" s="2">
        <v>0</v>
      </c>
      <c r="BB4819" s="2">
        <v>0</v>
      </c>
      <c r="BC4819" s="2">
        <v>0</v>
      </c>
      <c r="BD4819" s="2">
        <v>0</v>
      </c>
      <c r="BE4819" s="2">
        <v>0</v>
      </c>
      <c r="BF4819" s="2">
        <v>0</v>
      </c>
      <c r="BG4819" s="2">
        <v>0</v>
      </c>
      <c r="BH4819" s="2">
        <v>1</v>
      </c>
      <c r="BI4819" s="2">
        <v>1</v>
      </c>
      <c r="BJ4819" s="2">
        <v>0.2</v>
      </c>
      <c r="BK4819" s="2">
        <v>1</v>
      </c>
      <c r="BL4819" s="2">
        <v>32.380000000000003</v>
      </c>
      <c r="BM4819" s="2">
        <v>4.53</v>
      </c>
      <c r="BN4819" s="2">
        <v>36.909999999999997</v>
      </c>
      <c r="BO4819" s="2">
        <v>36.909999999999997</v>
      </c>
      <c r="BP4819" s="2"/>
      <c r="BQ4819" s="2" t="s">
        <v>83</v>
      </c>
      <c r="BR4819" s="2" t="s">
        <v>84</v>
      </c>
      <c r="BS4819" s="3">
        <v>42955</v>
      </c>
      <c r="BT4819" s="4">
        <v>0.3430555555555555</v>
      </c>
      <c r="BU4819" s="2" t="s">
        <v>2186</v>
      </c>
      <c r="BV4819" s="2" t="s">
        <v>95</v>
      </c>
      <c r="BW4819" s="2"/>
      <c r="BX4819" s="2"/>
      <c r="BY4819" s="2">
        <v>1200</v>
      </c>
      <c r="BZ4819" s="2"/>
      <c r="CA4819" s="2" t="s">
        <v>953</v>
      </c>
      <c r="CB4819" s="2"/>
      <c r="CC4819" s="2" t="s">
        <v>75</v>
      </c>
      <c r="CD4819" s="2">
        <v>1601</v>
      </c>
      <c r="CE4819" s="2" t="s">
        <v>104</v>
      </c>
      <c r="CF4819" s="5">
        <v>42957</v>
      </c>
      <c r="CG4819" s="2"/>
      <c r="CH4819" s="2"/>
      <c r="CI4819" s="2">
        <v>1</v>
      </c>
      <c r="CJ4819" s="2">
        <v>1</v>
      </c>
      <c r="CK4819" s="2">
        <v>22</v>
      </c>
      <c r="CL4819" s="2" t="s">
        <v>86</v>
      </c>
      <c r="CM4819" s="2"/>
    </row>
    <row r="4820" spans="1:91">
      <c r="A4820" s="2" t="s">
        <v>71</v>
      </c>
      <c r="B4820" s="2" t="s">
        <v>72</v>
      </c>
      <c r="C4820" s="2" t="s">
        <v>73</v>
      </c>
      <c r="D4820" s="2"/>
      <c r="E4820" s="2" t="str">
        <f>"FES1162567354"</f>
        <v>FES1162567354</v>
      </c>
      <c r="F4820" s="3">
        <v>42954</v>
      </c>
      <c r="G4820" s="2">
        <v>201802</v>
      </c>
      <c r="H4820" s="2" t="s">
        <v>74</v>
      </c>
      <c r="I4820" s="2" t="s">
        <v>75</v>
      </c>
      <c r="J4820" s="2" t="s">
        <v>76</v>
      </c>
      <c r="K4820" s="2" t="s">
        <v>77</v>
      </c>
      <c r="L4820" s="2" t="s">
        <v>144</v>
      </c>
      <c r="M4820" s="2" t="s">
        <v>145</v>
      </c>
      <c r="N4820" s="2" t="s">
        <v>4230</v>
      </c>
      <c r="O4820" s="2" t="s">
        <v>100</v>
      </c>
      <c r="P4820" s="2" t="str">
        <f>"2170583515                    "</f>
        <v xml:space="preserve">2170583515                    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3.13</v>
      </c>
      <c r="AN4820" s="2">
        <v>0</v>
      </c>
      <c r="AO4820" s="2">
        <v>0</v>
      </c>
      <c r="AP4820" s="2">
        <v>0</v>
      </c>
      <c r="AQ4820" s="2">
        <v>0</v>
      </c>
      <c r="AR4820" s="2">
        <v>0</v>
      </c>
      <c r="AS4820" s="2">
        <v>0</v>
      </c>
      <c r="AT4820" s="2">
        <v>0</v>
      </c>
      <c r="AU4820" s="2">
        <v>0</v>
      </c>
      <c r="AV4820" s="2">
        <v>0</v>
      </c>
      <c r="AW4820" s="2">
        <v>0</v>
      </c>
      <c r="AX4820" s="2">
        <v>0</v>
      </c>
      <c r="AY4820" s="2">
        <v>0</v>
      </c>
      <c r="AZ4820" s="2">
        <v>0</v>
      </c>
      <c r="BA4820" s="2">
        <v>0</v>
      </c>
      <c r="BB4820" s="2">
        <v>0</v>
      </c>
      <c r="BC4820" s="2">
        <v>0</v>
      </c>
      <c r="BD4820" s="2">
        <v>0</v>
      </c>
      <c r="BE4820" s="2">
        <v>0</v>
      </c>
      <c r="BF4820" s="2">
        <v>0</v>
      </c>
      <c r="BG4820" s="2">
        <v>0</v>
      </c>
      <c r="BH4820" s="2">
        <v>1</v>
      </c>
      <c r="BI4820" s="2">
        <v>1</v>
      </c>
      <c r="BJ4820" s="2">
        <v>0.2</v>
      </c>
      <c r="BK4820" s="2">
        <v>1</v>
      </c>
      <c r="BL4820" s="2">
        <v>32.380000000000003</v>
      </c>
      <c r="BM4820" s="2">
        <v>4.53</v>
      </c>
      <c r="BN4820" s="2">
        <v>36.909999999999997</v>
      </c>
      <c r="BO4820" s="2">
        <v>36.909999999999997</v>
      </c>
      <c r="BP4820" s="2"/>
      <c r="BQ4820" s="2" t="s">
        <v>83</v>
      </c>
      <c r="BR4820" s="2" t="s">
        <v>84</v>
      </c>
      <c r="BS4820" s="3">
        <v>42955</v>
      </c>
      <c r="BT4820" s="4">
        <v>0.40138888888888885</v>
      </c>
      <c r="BU4820" s="2" t="s">
        <v>4231</v>
      </c>
      <c r="BV4820" s="2" t="s">
        <v>95</v>
      </c>
      <c r="BW4820" s="2"/>
      <c r="BX4820" s="2"/>
      <c r="BY4820" s="2">
        <v>1200</v>
      </c>
      <c r="BZ4820" s="2"/>
      <c r="CA4820" s="2" t="s">
        <v>1441</v>
      </c>
      <c r="CB4820" s="2"/>
      <c r="CC4820" s="2" t="s">
        <v>145</v>
      </c>
      <c r="CD4820" s="2">
        <v>2001</v>
      </c>
      <c r="CE4820" s="2" t="s">
        <v>104</v>
      </c>
      <c r="CF4820" s="5">
        <v>42957</v>
      </c>
      <c r="CG4820" s="2"/>
      <c r="CH4820" s="2"/>
      <c r="CI4820" s="2">
        <v>1</v>
      </c>
      <c r="CJ4820" s="2">
        <v>1</v>
      </c>
      <c r="CK4820" s="2">
        <v>22</v>
      </c>
      <c r="CL4820" s="2" t="s">
        <v>86</v>
      </c>
      <c r="CM4820" s="2"/>
    </row>
    <row r="4821" spans="1:91">
      <c r="A4821" s="2" t="s">
        <v>71</v>
      </c>
      <c r="B4821" s="2" t="s">
        <v>72</v>
      </c>
      <c r="C4821" s="2" t="s">
        <v>73</v>
      </c>
      <c r="D4821" s="2"/>
      <c r="E4821" s="2" t="str">
        <f>"FES1162567130"</f>
        <v>FES1162567130</v>
      </c>
      <c r="F4821" s="3">
        <v>42954</v>
      </c>
      <c r="G4821" s="2">
        <v>201802</v>
      </c>
      <c r="H4821" s="2" t="s">
        <v>74</v>
      </c>
      <c r="I4821" s="2" t="s">
        <v>75</v>
      </c>
      <c r="J4821" s="2" t="s">
        <v>76</v>
      </c>
      <c r="K4821" s="2" t="s">
        <v>77</v>
      </c>
      <c r="L4821" s="2" t="s">
        <v>1202</v>
      </c>
      <c r="M4821" s="2" t="s">
        <v>1203</v>
      </c>
      <c r="N4821" s="2" t="s">
        <v>1204</v>
      </c>
      <c r="O4821" s="2" t="s">
        <v>100</v>
      </c>
      <c r="P4821" s="2" t="str">
        <f>"2170581067                    "</f>
        <v xml:space="preserve">2170581067                    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2">
        <v>0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3.13</v>
      </c>
      <c r="AN4821" s="2">
        <v>0</v>
      </c>
      <c r="AO4821" s="2">
        <v>0</v>
      </c>
      <c r="AP4821" s="2">
        <v>0</v>
      </c>
      <c r="AQ4821" s="2">
        <v>0</v>
      </c>
      <c r="AR4821" s="2">
        <v>0</v>
      </c>
      <c r="AS4821" s="2">
        <v>0</v>
      </c>
      <c r="AT4821" s="2">
        <v>0</v>
      </c>
      <c r="AU4821" s="2">
        <v>0</v>
      </c>
      <c r="AV4821" s="2">
        <v>0</v>
      </c>
      <c r="AW4821" s="2">
        <v>0</v>
      </c>
      <c r="AX4821" s="2">
        <v>0</v>
      </c>
      <c r="AY4821" s="2">
        <v>0</v>
      </c>
      <c r="AZ4821" s="2">
        <v>0</v>
      </c>
      <c r="BA4821" s="2">
        <v>0</v>
      </c>
      <c r="BB4821" s="2">
        <v>0</v>
      </c>
      <c r="BC4821" s="2">
        <v>0</v>
      </c>
      <c r="BD4821" s="2">
        <v>0</v>
      </c>
      <c r="BE4821" s="2">
        <v>0</v>
      </c>
      <c r="BF4821" s="2">
        <v>0</v>
      </c>
      <c r="BG4821" s="2">
        <v>0</v>
      </c>
      <c r="BH4821" s="2">
        <v>1</v>
      </c>
      <c r="BI4821" s="2">
        <v>1</v>
      </c>
      <c r="BJ4821" s="2">
        <v>0.2</v>
      </c>
      <c r="BK4821" s="2">
        <v>1</v>
      </c>
      <c r="BL4821" s="2">
        <v>32.380000000000003</v>
      </c>
      <c r="BM4821" s="2">
        <v>4.53</v>
      </c>
      <c r="BN4821" s="2">
        <v>36.909999999999997</v>
      </c>
      <c r="BO4821" s="2">
        <v>36.909999999999997</v>
      </c>
      <c r="BP4821" s="2"/>
      <c r="BQ4821" s="2" t="s">
        <v>83</v>
      </c>
      <c r="BR4821" s="2" t="s">
        <v>84</v>
      </c>
      <c r="BS4821" s="3">
        <v>42955</v>
      </c>
      <c r="BT4821" s="4">
        <v>0.44722222222222219</v>
      </c>
      <c r="BU4821" s="2" t="s">
        <v>330</v>
      </c>
      <c r="BV4821" s="2" t="s">
        <v>95</v>
      </c>
      <c r="BW4821" s="2"/>
      <c r="BX4821" s="2"/>
      <c r="BY4821" s="2">
        <v>1200</v>
      </c>
      <c r="BZ4821" s="2"/>
      <c r="CA4821" s="2" t="s">
        <v>2411</v>
      </c>
      <c r="CB4821" s="2"/>
      <c r="CC4821" s="2" t="s">
        <v>1203</v>
      </c>
      <c r="CD4821" s="2">
        <v>1501</v>
      </c>
      <c r="CE4821" s="2" t="s">
        <v>104</v>
      </c>
      <c r="CF4821" s="5">
        <v>42957</v>
      </c>
      <c r="CG4821" s="2"/>
      <c r="CH4821" s="2"/>
      <c r="CI4821" s="2">
        <v>1</v>
      </c>
      <c r="CJ4821" s="2">
        <v>1</v>
      </c>
      <c r="CK4821" s="2">
        <v>22</v>
      </c>
      <c r="CL4821" s="2" t="s">
        <v>86</v>
      </c>
      <c r="CM4821" s="2"/>
    </row>
    <row r="4822" spans="1:91">
      <c r="A4822" s="2" t="s">
        <v>71</v>
      </c>
      <c r="B4822" s="2" t="s">
        <v>72</v>
      </c>
      <c r="C4822" s="2" t="s">
        <v>73</v>
      </c>
      <c r="D4822" s="2"/>
      <c r="E4822" s="2" t="str">
        <f>"FES1162567252"</f>
        <v>FES1162567252</v>
      </c>
      <c r="F4822" s="3">
        <v>42954</v>
      </c>
      <c r="G4822" s="2">
        <v>201802</v>
      </c>
      <c r="H4822" s="2" t="s">
        <v>74</v>
      </c>
      <c r="I4822" s="2" t="s">
        <v>75</v>
      </c>
      <c r="J4822" s="2" t="s">
        <v>76</v>
      </c>
      <c r="K4822" s="2" t="s">
        <v>77</v>
      </c>
      <c r="L4822" s="2" t="s">
        <v>144</v>
      </c>
      <c r="M4822" s="2" t="s">
        <v>145</v>
      </c>
      <c r="N4822" s="2" t="s">
        <v>146</v>
      </c>
      <c r="O4822" s="2" t="s">
        <v>100</v>
      </c>
      <c r="P4822" s="2" t="str">
        <f>"2170582490                    "</f>
        <v xml:space="preserve">2170582490                    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</v>
      </c>
      <c r="Y4822" s="2">
        <v>0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3.13</v>
      </c>
      <c r="AN4822" s="2">
        <v>0</v>
      </c>
      <c r="AO4822" s="2">
        <v>0</v>
      </c>
      <c r="AP4822" s="2">
        <v>0</v>
      </c>
      <c r="AQ4822" s="2">
        <v>0</v>
      </c>
      <c r="AR4822" s="2">
        <v>0</v>
      </c>
      <c r="AS4822" s="2">
        <v>0</v>
      </c>
      <c r="AT4822" s="2">
        <v>0</v>
      </c>
      <c r="AU4822" s="2">
        <v>0</v>
      </c>
      <c r="AV4822" s="2">
        <v>0</v>
      </c>
      <c r="AW4822" s="2">
        <v>0</v>
      </c>
      <c r="AX4822" s="2">
        <v>0</v>
      </c>
      <c r="AY4822" s="2">
        <v>0</v>
      </c>
      <c r="AZ4822" s="2">
        <v>0</v>
      </c>
      <c r="BA4822" s="2">
        <v>0</v>
      </c>
      <c r="BB4822" s="2">
        <v>0</v>
      </c>
      <c r="BC4822" s="2">
        <v>0</v>
      </c>
      <c r="BD4822" s="2">
        <v>0</v>
      </c>
      <c r="BE4822" s="2">
        <v>0</v>
      </c>
      <c r="BF4822" s="2">
        <v>0</v>
      </c>
      <c r="BG4822" s="2">
        <v>0</v>
      </c>
      <c r="BH4822" s="2">
        <v>1</v>
      </c>
      <c r="BI4822" s="2">
        <v>1</v>
      </c>
      <c r="BJ4822" s="2">
        <v>0.2</v>
      </c>
      <c r="BK4822" s="2">
        <v>1</v>
      </c>
      <c r="BL4822" s="2">
        <v>32.380000000000003</v>
      </c>
      <c r="BM4822" s="2">
        <v>4.53</v>
      </c>
      <c r="BN4822" s="2">
        <v>36.909999999999997</v>
      </c>
      <c r="BO4822" s="2">
        <v>36.909999999999997</v>
      </c>
      <c r="BP4822" s="2"/>
      <c r="BQ4822" s="2" t="s">
        <v>83</v>
      </c>
      <c r="BR4822" s="2" t="s">
        <v>84</v>
      </c>
      <c r="BS4822" s="3">
        <v>42955</v>
      </c>
      <c r="BT4822" s="4">
        <v>0.40277777777777773</v>
      </c>
      <c r="BU4822" s="2" t="s">
        <v>1458</v>
      </c>
      <c r="BV4822" s="2" t="s">
        <v>95</v>
      </c>
      <c r="BW4822" s="2"/>
      <c r="BX4822" s="2"/>
      <c r="BY4822" s="2">
        <v>1200</v>
      </c>
      <c r="BZ4822" s="2"/>
      <c r="CA4822" s="2" t="s">
        <v>729</v>
      </c>
      <c r="CB4822" s="2"/>
      <c r="CC4822" s="2" t="s">
        <v>145</v>
      </c>
      <c r="CD4822" s="2">
        <v>2094</v>
      </c>
      <c r="CE4822" s="2" t="s">
        <v>104</v>
      </c>
      <c r="CF4822" s="5">
        <v>42957</v>
      </c>
      <c r="CG4822" s="2"/>
      <c r="CH4822" s="2"/>
      <c r="CI4822" s="2">
        <v>1</v>
      </c>
      <c r="CJ4822" s="2">
        <v>1</v>
      </c>
      <c r="CK4822" s="2">
        <v>22</v>
      </c>
      <c r="CL4822" s="2" t="s">
        <v>86</v>
      </c>
      <c r="CM4822" s="2"/>
    </row>
    <row r="4823" spans="1:91">
      <c r="A4823" s="2" t="s">
        <v>71</v>
      </c>
      <c r="B4823" s="2" t="s">
        <v>72</v>
      </c>
      <c r="C4823" s="2" t="s">
        <v>73</v>
      </c>
      <c r="D4823" s="2"/>
      <c r="E4823" s="2" t="str">
        <f>"FES1162567249"</f>
        <v>FES1162567249</v>
      </c>
      <c r="F4823" s="3">
        <v>42954</v>
      </c>
      <c r="G4823" s="2">
        <v>201802</v>
      </c>
      <c r="H4823" s="2" t="s">
        <v>74</v>
      </c>
      <c r="I4823" s="2" t="s">
        <v>75</v>
      </c>
      <c r="J4823" s="2" t="s">
        <v>76</v>
      </c>
      <c r="K4823" s="2" t="s">
        <v>77</v>
      </c>
      <c r="L4823" s="2" t="s">
        <v>268</v>
      </c>
      <c r="M4823" s="2" t="s">
        <v>269</v>
      </c>
      <c r="N4823" s="2" t="s">
        <v>368</v>
      </c>
      <c r="O4823" s="2" t="s">
        <v>100</v>
      </c>
      <c r="P4823" s="2" t="str">
        <f>"2170583404                    "</f>
        <v xml:space="preserve">2170583404                    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4</v>
      </c>
      <c r="AN4823" s="2">
        <v>0</v>
      </c>
      <c r="AO4823" s="2">
        <v>0</v>
      </c>
      <c r="AP4823" s="2">
        <v>0</v>
      </c>
      <c r="AQ4823" s="2">
        <v>0</v>
      </c>
      <c r="AR4823" s="2">
        <v>0</v>
      </c>
      <c r="AS4823" s="2">
        <v>0</v>
      </c>
      <c r="AT4823" s="2">
        <v>0</v>
      </c>
      <c r="AU4823" s="2">
        <v>0</v>
      </c>
      <c r="AV4823" s="2">
        <v>0</v>
      </c>
      <c r="AW4823" s="2">
        <v>0</v>
      </c>
      <c r="AX4823" s="2">
        <v>0</v>
      </c>
      <c r="AY4823" s="2">
        <v>0</v>
      </c>
      <c r="AZ4823" s="2">
        <v>0</v>
      </c>
      <c r="BA4823" s="2">
        <v>0</v>
      </c>
      <c r="BB4823" s="2">
        <v>0</v>
      </c>
      <c r="BC4823" s="2">
        <v>0</v>
      </c>
      <c r="BD4823" s="2">
        <v>0</v>
      </c>
      <c r="BE4823" s="2">
        <v>0</v>
      </c>
      <c r="BF4823" s="2">
        <v>0</v>
      </c>
      <c r="BG4823" s="2">
        <v>0</v>
      </c>
      <c r="BH4823" s="2">
        <v>1</v>
      </c>
      <c r="BI4823" s="2">
        <v>1</v>
      </c>
      <c r="BJ4823" s="2">
        <v>0.2</v>
      </c>
      <c r="BK4823" s="2">
        <v>1</v>
      </c>
      <c r="BL4823" s="2">
        <v>41.44</v>
      </c>
      <c r="BM4823" s="2">
        <v>5.8</v>
      </c>
      <c r="BN4823" s="2">
        <v>47.24</v>
      </c>
      <c r="BO4823" s="2">
        <v>47.24</v>
      </c>
      <c r="BP4823" s="2"/>
      <c r="BQ4823" s="2" t="s">
        <v>108</v>
      </c>
      <c r="BR4823" s="2" t="s">
        <v>84</v>
      </c>
      <c r="BS4823" s="3">
        <v>42955</v>
      </c>
      <c r="BT4823" s="4">
        <v>0.34652777777777777</v>
      </c>
      <c r="BU4823" s="2" t="s">
        <v>369</v>
      </c>
      <c r="BV4823" s="2" t="s">
        <v>95</v>
      </c>
      <c r="BW4823" s="2"/>
      <c r="BX4823" s="2"/>
      <c r="BY4823" s="2">
        <v>1200</v>
      </c>
      <c r="BZ4823" s="2"/>
      <c r="CA4823" s="2"/>
      <c r="CB4823" s="2"/>
      <c r="CC4823" s="2" t="s">
        <v>269</v>
      </c>
      <c r="CD4823" s="2">
        <v>157</v>
      </c>
      <c r="CE4823" s="2" t="s">
        <v>104</v>
      </c>
      <c r="CF4823" s="5">
        <v>42957</v>
      </c>
      <c r="CG4823" s="2"/>
      <c r="CH4823" s="2"/>
      <c r="CI4823" s="2">
        <v>1</v>
      </c>
      <c r="CJ4823" s="2">
        <v>1</v>
      </c>
      <c r="CK4823" s="2">
        <v>21</v>
      </c>
      <c r="CL4823" s="2" t="s">
        <v>86</v>
      </c>
      <c r="CM4823" s="2"/>
    </row>
    <row r="4824" spans="1:91">
      <c r="A4824" s="2" t="s">
        <v>71</v>
      </c>
      <c r="B4824" s="2" t="s">
        <v>72</v>
      </c>
      <c r="C4824" s="2" t="s">
        <v>73</v>
      </c>
      <c r="D4824" s="2"/>
      <c r="E4824" s="2" t="str">
        <f>"FES1162567128"</f>
        <v>FES1162567128</v>
      </c>
      <c r="F4824" s="3">
        <v>42954</v>
      </c>
      <c r="G4824" s="2">
        <v>201802</v>
      </c>
      <c r="H4824" s="2" t="s">
        <v>74</v>
      </c>
      <c r="I4824" s="2" t="s">
        <v>75</v>
      </c>
      <c r="J4824" s="2" t="s">
        <v>76</v>
      </c>
      <c r="K4824" s="2" t="s">
        <v>77</v>
      </c>
      <c r="L4824" s="2" t="s">
        <v>237</v>
      </c>
      <c r="M4824" s="2" t="s">
        <v>238</v>
      </c>
      <c r="N4824" s="2" t="s">
        <v>4232</v>
      </c>
      <c r="O4824" s="2" t="s">
        <v>100</v>
      </c>
      <c r="P4824" s="2" t="str">
        <f>"2170581058                    "</f>
        <v xml:space="preserve">2170581058                    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0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4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0</v>
      </c>
      <c r="AU4824" s="2">
        <v>0</v>
      </c>
      <c r="AV4824" s="2">
        <v>0</v>
      </c>
      <c r="AW4824" s="2">
        <v>0</v>
      </c>
      <c r="AX4824" s="2">
        <v>0</v>
      </c>
      <c r="AY4824" s="2">
        <v>0</v>
      </c>
      <c r="AZ4824" s="2">
        <v>0</v>
      </c>
      <c r="BA4824" s="2">
        <v>0</v>
      </c>
      <c r="BB4824" s="2">
        <v>0</v>
      </c>
      <c r="BC4824" s="2">
        <v>0</v>
      </c>
      <c r="BD4824" s="2">
        <v>0</v>
      </c>
      <c r="BE4824" s="2">
        <v>0</v>
      </c>
      <c r="BF4824" s="2">
        <v>0</v>
      </c>
      <c r="BG4824" s="2">
        <v>0</v>
      </c>
      <c r="BH4824" s="2">
        <v>1</v>
      </c>
      <c r="BI4824" s="2">
        <v>1</v>
      </c>
      <c r="BJ4824" s="2">
        <v>0.2</v>
      </c>
      <c r="BK4824" s="2">
        <v>1</v>
      </c>
      <c r="BL4824" s="2">
        <v>41.44</v>
      </c>
      <c r="BM4824" s="2">
        <v>5.8</v>
      </c>
      <c r="BN4824" s="2">
        <v>47.24</v>
      </c>
      <c r="BO4824" s="2">
        <v>47.24</v>
      </c>
      <c r="BP4824" s="2"/>
      <c r="BQ4824" s="2" t="s">
        <v>83</v>
      </c>
      <c r="BR4824" s="2" t="s">
        <v>84</v>
      </c>
      <c r="BS4824" s="3">
        <v>42955</v>
      </c>
      <c r="BT4824" s="4">
        <v>0.33680555555555558</v>
      </c>
      <c r="BU4824" s="2" t="s">
        <v>4233</v>
      </c>
      <c r="BV4824" s="2" t="s">
        <v>95</v>
      </c>
      <c r="BW4824" s="2"/>
      <c r="BX4824" s="2"/>
      <c r="BY4824" s="2">
        <v>1200</v>
      </c>
      <c r="BZ4824" s="2"/>
      <c r="CA4824" s="2" t="s">
        <v>401</v>
      </c>
      <c r="CB4824" s="2"/>
      <c r="CC4824" s="2" t="s">
        <v>238</v>
      </c>
      <c r="CD4824" s="2">
        <v>3600</v>
      </c>
      <c r="CE4824" s="2" t="s">
        <v>104</v>
      </c>
      <c r="CF4824" s="5">
        <v>42957</v>
      </c>
      <c r="CG4824" s="2"/>
      <c r="CH4824" s="2"/>
      <c r="CI4824" s="2">
        <v>1</v>
      </c>
      <c r="CJ4824" s="2">
        <v>1</v>
      </c>
      <c r="CK4824" s="2">
        <v>21</v>
      </c>
      <c r="CL4824" s="2" t="s">
        <v>86</v>
      </c>
      <c r="CM4824" s="2"/>
    </row>
    <row r="4825" spans="1:91">
      <c r="A4825" s="2" t="s">
        <v>71</v>
      </c>
      <c r="B4825" s="2" t="s">
        <v>72</v>
      </c>
      <c r="C4825" s="2" t="s">
        <v>73</v>
      </c>
      <c r="D4825" s="2"/>
      <c r="E4825" s="2" t="str">
        <f>"FES1162567025"</f>
        <v>FES1162567025</v>
      </c>
      <c r="F4825" s="3">
        <v>42954</v>
      </c>
      <c r="G4825" s="2">
        <v>201802</v>
      </c>
      <c r="H4825" s="2" t="s">
        <v>74</v>
      </c>
      <c r="I4825" s="2" t="s">
        <v>75</v>
      </c>
      <c r="J4825" s="2" t="s">
        <v>76</v>
      </c>
      <c r="K4825" s="2" t="s">
        <v>77</v>
      </c>
      <c r="L4825" s="2" t="s">
        <v>74</v>
      </c>
      <c r="M4825" s="2" t="s">
        <v>75</v>
      </c>
      <c r="N4825" s="2" t="s">
        <v>407</v>
      </c>
      <c r="O4825" s="2" t="s">
        <v>100</v>
      </c>
      <c r="P4825" s="2" t="str">
        <f>"2170583278                    "</f>
        <v xml:space="preserve">2170583278                    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0</v>
      </c>
      <c r="AA4825" s="2">
        <v>0</v>
      </c>
      <c r="AB4825" s="2">
        <v>0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3.13</v>
      </c>
      <c r="AN4825" s="2">
        <v>0</v>
      </c>
      <c r="AO4825" s="2">
        <v>0</v>
      </c>
      <c r="AP4825" s="2">
        <v>0</v>
      </c>
      <c r="AQ4825" s="2">
        <v>0</v>
      </c>
      <c r="AR4825" s="2">
        <v>0</v>
      </c>
      <c r="AS4825" s="2">
        <v>0</v>
      </c>
      <c r="AT4825" s="2">
        <v>0</v>
      </c>
      <c r="AU4825" s="2">
        <v>0</v>
      </c>
      <c r="AV4825" s="2">
        <v>0</v>
      </c>
      <c r="AW4825" s="2">
        <v>0</v>
      </c>
      <c r="AX4825" s="2">
        <v>0</v>
      </c>
      <c r="AY4825" s="2">
        <v>0</v>
      </c>
      <c r="AZ4825" s="2">
        <v>0</v>
      </c>
      <c r="BA4825" s="2">
        <v>0</v>
      </c>
      <c r="BB4825" s="2">
        <v>0</v>
      </c>
      <c r="BC4825" s="2">
        <v>0</v>
      </c>
      <c r="BD4825" s="2">
        <v>0</v>
      </c>
      <c r="BE4825" s="2">
        <v>0</v>
      </c>
      <c r="BF4825" s="2">
        <v>0</v>
      </c>
      <c r="BG4825" s="2">
        <v>0</v>
      </c>
      <c r="BH4825" s="2">
        <v>1</v>
      </c>
      <c r="BI4825" s="2">
        <v>1</v>
      </c>
      <c r="BJ4825" s="2">
        <v>0.2</v>
      </c>
      <c r="BK4825" s="2">
        <v>1</v>
      </c>
      <c r="BL4825" s="2">
        <v>32.380000000000003</v>
      </c>
      <c r="BM4825" s="2">
        <v>4.53</v>
      </c>
      <c r="BN4825" s="2">
        <v>36.909999999999997</v>
      </c>
      <c r="BO4825" s="2">
        <v>36.909999999999997</v>
      </c>
      <c r="BP4825" s="2"/>
      <c r="BQ4825" s="2" t="s">
        <v>108</v>
      </c>
      <c r="BR4825" s="2" t="s">
        <v>84</v>
      </c>
      <c r="BS4825" s="3">
        <v>42955</v>
      </c>
      <c r="BT4825" s="4">
        <v>0.33333333333333331</v>
      </c>
      <c r="BU4825" s="2" t="s">
        <v>935</v>
      </c>
      <c r="BV4825" s="2" t="s">
        <v>95</v>
      </c>
      <c r="BW4825" s="2"/>
      <c r="BX4825" s="2"/>
      <c r="BY4825" s="2">
        <v>1200</v>
      </c>
      <c r="BZ4825" s="2"/>
      <c r="CA4825" s="2" t="s">
        <v>267</v>
      </c>
      <c r="CB4825" s="2"/>
      <c r="CC4825" s="2" t="s">
        <v>75</v>
      </c>
      <c r="CD4825" s="2">
        <v>1645</v>
      </c>
      <c r="CE4825" s="2" t="s">
        <v>104</v>
      </c>
      <c r="CF4825" s="5">
        <v>42957</v>
      </c>
      <c r="CG4825" s="2"/>
      <c r="CH4825" s="2"/>
      <c r="CI4825" s="2">
        <v>1</v>
      </c>
      <c r="CJ4825" s="2">
        <v>1</v>
      </c>
      <c r="CK4825" s="2">
        <v>22</v>
      </c>
      <c r="CL4825" s="2" t="s">
        <v>86</v>
      </c>
      <c r="CM4825" s="2"/>
    </row>
    <row r="4826" spans="1:91">
      <c r="A4826" s="2" t="s">
        <v>71</v>
      </c>
      <c r="B4826" s="2" t="s">
        <v>72</v>
      </c>
      <c r="C4826" s="2" t="s">
        <v>73</v>
      </c>
      <c r="D4826" s="2"/>
      <c r="E4826" s="2" t="str">
        <f>"FES1162567240"</f>
        <v>FES1162567240</v>
      </c>
      <c r="F4826" s="3">
        <v>42954</v>
      </c>
      <c r="G4826" s="2">
        <v>201802</v>
      </c>
      <c r="H4826" s="2" t="s">
        <v>74</v>
      </c>
      <c r="I4826" s="2" t="s">
        <v>75</v>
      </c>
      <c r="J4826" s="2" t="s">
        <v>76</v>
      </c>
      <c r="K4826" s="2" t="s">
        <v>77</v>
      </c>
      <c r="L4826" s="2" t="s">
        <v>268</v>
      </c>
      <c r="M4826" s="2" t="s">
        <v>269</v>
      </c>
      <c r="N4826" s="2" t="s">
        <v>368</v>
      </c>
      <c r="O4826" s="2" t="s">
        <v>100</v>
      </c>
      <c r="P4826" s="2" t="str">
        <f>"2170583393                    "</f>
        <v xml:space="preserve">2170583393                    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2">
        <v>0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4</v>
      </c>
      <c r="AN4826" s="2">
        <v>0</v>
      </c>
      <c r="AO4826" s="2">
        <v>0</v>
      </c>
      <c r="AP4826" s="2">
        <v>0</v>
      </c>
      <c r="AQ4826" s="2">
        <v>0</v>
      </c>
      <c r="AR4826" s="2">
        <v>0</v>
      </c>
      <c r="AS4826" s="2">
        <v>0</v>
      </c>
      <c r="AT4826" s="2">
        <v>0</v>
      </c>
      <c r="AU4826" s="2">
        <v>0</v>
      </c>
      <c r="AV4826" s="2">
        <v>0</v>
      </c>
      <c r="AW4826" s="2">
        <v>0</v>
      </c>
      <c r="AX4826" s="2">
        <v>0</v>
      </c>
      <c r="AY4826" s="2">
        <v>0</v>
      </c>
      <c r="AZ4826" s="2">
        <v>0</v>
      </c>
      <c r="BA4826" s="2">
        <v>0</v>
      </c>
      <c r="BB4826" s="2">
        <v>0</v>
      </c>
      <c r="BC4826" s="2">
        <v>0</v>
      </c>
      <c r="BD4826" s="2">
        <v>0</v>
      </c>
      <c r="BE4826" s="2">
        <v>0</v>
      </c>
      <c r="BF4826" s="2">
        <v>0</v>
      </c>
      <c r="BG4826" s="2">
        <v>0</v>
      </c>
      <c r="BH4826" s="2">
        <v>1</v>
      </c>
      <c r="BI4826" s="2">
        <v>1</v>
      </c>
      <c r="BJ4826" s="2">
        <v>0.2</v>
      </c>
      <c r="BK4826" s="2">
        <v>1</v>
      </c>
      <c r="BL4826" s="2">
        <v>41.44</v>
      </c>
      <c r="BM4826" s="2">
        <v>5.8</v>
      </c>
      <c r="BN4826" s="2">
        <v>47.24</v>
      </c>
      <c r="BO4826" s="2">
        <v>47.24</v>
      </c>
      <c r="BP4826" s="2"/>
      <c r="BQ4826" s="2" t="s">
        <v>108</v>
      </c>
      <c r="BR4826" s="2" t="s">
        <v>84</v>
      </c>
      <c r="BS4826" s="3">
        <v>42955</v>
      </c>
      <c r="BT4826" s="4">
        <v>0.34652777777777777</v>
      </c>
      <c r="BU4826" s="2" t="s">
        <v>369</v>
      </c>
      <c r="BV4826" s="2" t="s">
        <v>95</v>
      </c>
      <c r="BW4826" s="2"/>
      <c r="BX4826" s="2"/>
      <c r="BY4826" s="2">
        <v>1200</v>
      </c>
      <c r="BZ4826" s="2"/>
      <c r="CA4826" s="2"/>
      <c r="CB4826" s="2"/>
      <c r="CC4826" s="2" t="s">
        <v>269</v>
      </c>
      <c r="CD4826" s="2">
        <v>157</v>
      </c>
      <c r="CE4826" s="2" t="s">
        <v>104</v>
      </c>
      <c r="CF4826" s="5">
        <v>42957</v>
      </c>
      <c r="CG4826" s="2"/>
      <c r="CH4826" s="2"/>
      <c r="CI4826" s="2">
        <v>1</v>
      </c>
      <c r="CJ4826" s="2">
        <v>1</v>
      </c>
      <c r="CK4826" s="2">
        <v>21</v>
      </c>
      <c r="CL4826" s="2" t="s">
        <v>86</v>
      </c>
      <c r="CM4826" s="2"/>
    </row>
    <row r="4827" spans="1:91">
      <c r="A4827" s="2" t="s">
        <v>71</v>
      </c>
      <c r="B4827" s="2" t="s">
        <v>72</v>
      </c>
      <c r="C4827" s="2" t="s">
        <v>73</v>
      </c>
      <c r="D4827" s="2"/>
      <c r="E4827" s="2" t="str">
        <f>"FES1162567341"</f>
        <v>FES1162567341</v>
      </c>
      <c r="F4827" s="3">
        <v>42954</v>
      </c>
      <c r="G4827" s="2">
        <v>201802</v>
      </c>
      <c r="H4827" s="2" t="s">
        <v>74</v>
      </c>
      <c r="I4827" s="2" t="s">
        <v>75</v>
      </c>
      <c r="J4827" s="2" t="s">
        <v>76</v>
      </c>
      <c r="K4827" s="2" t="s">
        <v>77</v>
      </c>
      <c r="L4827" s="2" t="s">
        <v>723</v>
      </c>
      <c r="M4827" s="2" t="s">
        <v>724</v>
      </c>
      <c r="N4827" s="2" t="s">
        <v>351</v>
      </c>
      <c r="O4827" s="2" t="s">
        <v>100</v>
      </c>
      <c r="P4827" s="2" t="str">
        <f>"2170581246                    "</f>
        <v xml:space="preserve">2170581246                    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5.63</v>
      </c>
      <c r="AN4827" s="2">
        <v>0</v>
      </c>
      <c r="AO4827" s="2">
        <v>0</v>
      </c>
      <c r="AP4827" s="2">
        <v>0</v>
      </c>
      <c r="AQ4827" s="2">
        <v>0</v>
      </c>
      <c r="AR4827" s="2">
        <v>0</v>
      </c>
      <c r="AS4827" s="2">
        <v>0</v>
      </c>
      <c r="AT4827" s="2">
        <v>0</v>
      </c>
      <c r="AU4827" s="2">
        <v>0</v>
      </c>
      <c r="AV4827" s="2">
        <v>0</v>
      </c>
      <c r="AW4827" s="2">
        <v>0</v>
      </c>
      <c r="AX4827" s="2">
        <v>0</v>
      </c>
      <c r="AY4827" s="2">
        <v>0</v>
      </c>
      <c r="AZ4827" s="2">
        <v>0</v>
      </c>
      <c r="BA4827" s="2">
        <v>0</v>
      </c>
      <c r="BB4827" s="2">
        <v>0</v>
      </c>
      <c r="BC4827" s="2">
        <v>0</v>
      </c>
      <c r="BD4827" s="2">
        <v>0</v>
      </c>
      <c r="BE4827" s="2">
        <v>0</v>
      </c>
      <c r="BF4827" s="2">
        <v>0</v>
      </c>
      <c r="BG4827" s="2">
        <v>0</v>
      </c>
      <c r="BH4827" s="2">
        <v>1</v>
      </c>
      <c r="BI4827" s="2">
        <v>1</v>
      </c>
      <c r="BJ4827" s="2">
        <v>0.2</v>
      </c>
      <c r="BK4827" s="2">
        <v>1</v>
      </c>
      <c r="BL4827" s="2">
        <v>58.28</v>
      </c>
      <c r="BM4827" s="2">
        <v>8.16</v>
      </c>
      <c r="BN4827" s="2">
        <v>66.44</v>
      </c>
      <c r="BO4827" s="2">
        <v>66.44</v>
      </c>
      <c r="BP4827" s="2"/>
      <c r="BQ4827" s="2" t="s">
        <v>83</v>
      </c>
      <c r="BR4827" s="2" t="s">
        <v>84</v>
      </c>
      <c r="BS4827" s="3">
        <v>42955</v>
      </c>
      <c r="BT4827" s="4">
        <v>0.4375</v>
      </c>
      <c r="BU4827" s="2" t="s">
        <v>2800</v>
      </c>
      <c r="BV4827" s="2" t="s">
        <v>95</v>
      </c>
      <c r="BW4827" s="2"/>
      <c r="BX4827" s="2"/>
      <c r="BY4827" s="2">
        <v>1200</v>
      </c>
      <c r="BZ4827" s="2"/>
      <c r="CA4827" s="2" t="s">
        <v>727</v>
      </c>
      <c r="CB4827" s="2"/>
      <c r="CC4827" s="2" t="s">
        <v>724</v>
      </c>
      <c r="CD4827" s="2">
        <v>1754</v>
      </c>
      <c r="CE4827" s="2" t="s">
        <v>104</v>
      </c>
      <c r="CF4827" s="5">
        <v>42957</v>
      </c>
      <c r="CG4827" s="2"/>
      <c r="CH4827" s="2"/>
      <c r="CI4827" s="2">
        <v>1</v>
      </c>
      <c r="CJ4827" s="2">
        <v>1</v>
      </c>
      <c r="CK4827" s="2">
        <v>24</v>
      </c>
      <c r="CL4827" s="2" t="s">
        <v>86</v>
      </c>
      <c r="CM4827" s="2"/>
    </row>
    <row r="4828" spans="1:91">
      <c r="A4828" s="2" t="s">
        <v>71</v>
      </c>
      <c r="B4828" s="2" t="s">
        <v>72</v>
      </c>
      <c r="C4828" s="2" t="s">
        <v>73</v>
      </c>
      <c r="D4828" s="2"/>
      <c r="E4828" s="2" t="str">
        <f>"FES1162567367"</f>
        <v>FES1162567367</v>
      </c>
      <c r="F4828" s="3">
        <v>42954</v>
      </c>
      <c r="G4828" s="2">
        <v>201802</v>
      </c>
      <c r="H4828" s="2" t="s">
        <v>74</v>
      </c>
      <c r="I4828" s="2" t="s">
        <v>75</v>
      </c>
      <c r="J4828" s="2" t="s">
        <v>76</v>
      </c>
      <c r="K4828" s="2" t="s">
        <v>77</v>
      </c>
      <c r="L4828" s="2" t="s">
        <v>97</v>
      </c>
      <c r="M4828" s="2" t="s">
        <v>98</v>
      </c>
      <c r="N4828" s="2" t="s">
        <v>4234</v>
      </c>
      <c r="O4828" s="2" t="s">
        <v>100</v>
      </c>
      <c r="P4828" s="2" t="str">
        <f>"2170583531                    "</f>
        <v xml:space="preserve">2170583531                    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0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4</v>
      </c>
      <c r="AN4828" s="2">
        <v>0</v>
      </c>
      <c r="AO4828" s="2">
        <v>0</v>
      </c>
      <c r="AP4828" s="2">
        <v>0</v>
      </c>
      <c r="AQ4828" s="2">
        <v>0</v>
      </c>
      <c r="AR4828" s="2">
        <v>0</v>
      </c>
      <c r="AS4828" s="2">
        <v>0</v>
      </c>
      <c r="AT4828" s="2">
        <v>0</v>
      </c>
      <c r="AU4828" s="2">
        <v>0</v>
      </c>
      <c r="AV4828" s="2">
        <v>0</v>
      </c>
      <c r="AW4828" s="2">
        <v>0</v>
      </c>
      <c r="AX4828" s="2">
        <v>0</v>
      </c>
      <c r="AY4828" s="2">
        <v>0</v>
      </c>
      <c r="AZ4828" s="2">
        <v>0</v>
      </c>
      <c r="BA4828" s="2">
        <v>0</v>
      </c>
      <c r="BB4828" s="2">
        <v>0</v>
      </c>
      <c r="BC4828" s="2">
        <v>0</v>
      </c>
      <c r="BD4828" s="2">
        <v>0</v>
      </c>
      <c r="BE4828" s="2">
        <v>0</v>
      </c>
      <c r="BF4828" s="2">
        <v>0</v>
      </c>
      <c r="BG4828" s="2">
        <v>0</v>
      </c>
      <c r="BH4828" s="2">
        <v>1</v>
      </c>
      <c r="BI4828" s="2">
        <v>1</v>
      </c>
      <c r="BJ4828" s="2">
        <v>0.2</v>
      </c>
      <c r="BK4828" s="2">
        <v>1</v>
      </c>
      <c r="BL4828" s="2">
        <v>41.44</v>
      </c>
      <c r="BM4828" s="2">
        <v>5.8</v>
      </c>
      <c r="BN4828" s="2">
        <v>47.24</v>
      </c>
      <c r="BO4828" s="2">
        <v>47.24</v>
      </c>
      <c r="BP4828" s="2"/>
      <c r="BQ4828" s="2" t="s">
        <v>83</v>
      </c>
      <c r="BR4828" s="2" t="s">
        <v>84</v>
      </c>
      <c r="BS4828" s="3">
        <v>42955</v>
      </c>
      <c r="BT4828" s="4">
        <v>0.3743055555555555</v>
      </c>
      <c r="BU4828" s="2" t="s">
        <v>4235</v>
      </c>
      <c r="BV4828" s="2" t="s">
        <v>95</v>
      </c>
      <c r="BW4828" s="2"/>
      <c r="BX4828" s="2"/>
      <c r="BY4828" s="2">
        <v>1200</v>
      </c>
      <c r="BZ4828" s="2"/>
      <c r="CA4828" s="2" t="s">
        <v>103</v>
      </c>
      <c r="CB4828" s="2"/>
      <c r="CC4828" s="2" t="s">
        <v>98</v>
      </c>
      <c r="CD4828" s="2">
        <v>6210</v>
      </c>
      <c r="CE4828" s="2" t="s">
        <v>104</v>
      </c>
      <c r="CF4828" s="5">
        <v>42957</v>
      </c>
      <c r="CG4828" s="2"/>
      <c r="CH4828" s="2"/>
      <c r="CI4828" s="2">
        <v>1</v>
      </c>
      <c r="CJ4828" s="2">
        <v>1</v>
      </c>
      <c r="CK4828" s="2">
        <v>21</v>
      </c>
      <c r="CL4828" s="2" t="s">
        <v>86</v>
      </c>
      <c r="CM4828" s="2"/>
    </row>
    <row r="4829" spans="1:91">
      <c r="A4829" s="2" t="s">
        <v>71</v>
      </c>
      <c r="B4829" s="2" t="s">
        <v>72</v>
      </c>
      <c r="C4829" s="2" t="s">
        <v>73</v>
      </c>
      <c r="D4829" s="2"/>
      <c r="E4829" s="2" t="str">
        <f>"FES1162567296"</f>
        <v>FES1162567296</v>
      </c>
      <c r="F4829" s="3">
        <v>42954</v>
      </c>
      <c r="G4829" s="2">
        <v>201802</v>
      </c>
      <c r="H4829" s="2" t="s">
        <v>74</v>
      </c>
      <c r="I4829" s="2" t="s">
        <v>75</v>
      </c>
      <c r="J4829" s="2" t="s">
        <v>76</v>
      </c>
      <c r="K4829" s="2" t="s">
        <v>77</v>
      </c>
      <c r="L4829" s="2" t="s">
        <v>939</v>
      </c>
      <c r="M4829" s="2" t="s">
        <v>940</v>
      </c>
      <c r="N4829" s="2" t="s">
        <v>941</v>
      </c>
      <c r="O4829" s="2" t="s">
        <v>100</v>
      </c>
      <c r="P4829" s="2" t="str">
        <f>"2170583268                    "</f>
        <v xml:space="preserve">2170583268                    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5.63</v>
      </c>
      <c r="AN4829" s="2">
        <v>0</v>
      </c>
      <c r="AO4829" s="2">
        <v>0</v>
      </c>
      <c r="AP4829" s="2">
        <v>0</v>
      </c>
      <c r="AQ4829" s="2">
        <v>0</v>
      </c>
      <c r="AR4829" s="2">
        <v>0</v>
      </c>
      <c r="AS4829" s="2">
        <v>0</v>
      </c>
      <c r="AT4829" s="2">
        <v>0</v>
      </c>
      <c r="AU4829" s="2">
        <v>0</v>
      </c>
      <c r="AV4829" s="2">
        <v>0</v>
      </c>
      <c r="AW4829" s="2">
        <v>0</v>
      </c>
      <c r="AX4829" s="2">
        <v>0</v>
      </c>
      <c r="AY4829" s="2">
        <v>0</v>
      </c>
      <c r="AZ4829" s="2">
        <v>0</v>
      </c>
      <c r="BA4829" s="2">
        <v>0</v>
      </c>
      <c r="BB4829" s="2">
        <v>0</v>
      </c>
      <c r="BC4829" s="2">
        <v>0</v>
      </c>
      <c r="BD4829" s="2">
        <v>0</v>
      </c>
      <c r="BE4829" s="2">
        <v>0</v>
      </c>
      <c r="BF4829" s="2">
        <v>0</v>
      </c>
      <c r="BG4829" s="2">
        <v>0</v>
      </c>
      <c r="BH4829" s="2">
        <v>1</v>
      </c>
      <c r="BI4829" s="2">
        <v>1</v>
      </c>
      <c r="BJ4829" s="2">
        <v>0.2</v>
      </c>
      <c r="BK4829" s="2">
        <v>1</v>
      </c>
      <c r="BL4829" s="2">
        <v>58.28</v>
      </c>
      <c r="BM4829" s="2">
        <v>8.16</v>
      </c>
      <c r="BN4829" s="2">
        <v>66.44</v>
      </c>
      <c r="BO4829" s="2">
        <v>66.44</v>
      </c>
      <c r="BP4829" s="2"/>
      <c r="BQ4829" s="2" t="s">
        <v>108</v>
      </c>
      <c r="BR4829" s="2" t="s">
        <v>84</v>
      </c>
      <c r="BS4829" s="3">
        <v>42957</v>
      </c>
      <c r="BT4829" s="4">
        <v>0.57638888888888895</v>
      </c>
      <c r="BU4829" s="2" t="s">
        <v>1677</v>
      </c>
      <c r="BV4829" s="2" t="s">
        <v>86</v>
      </c>
      <c r="BW4829" s="2"/>
      <c r="BX4829" s="2"/>
      <c r="BY4829" s="2">
        <v>1200</v>
      </c>
      <c r="BZ4829" s="2"/>
      <c r="CA4829" s="2" t="s">
        <v>943</v>
      </c>
      <c r="CB4829" s="2"/>
      <c r="CC4829" s="2" t="s">
        <v>940</v>
      </c>
      <c r="CD4829" s="2">
        <v>1028</v>
      </c>
      <c r="CE4829" s="2" t="s">
        <v>104</v>
      </c>
      <c r="CF4829" s="5">
        <v>42958</v>
      </c>
      <c r="CG4829" s="2"/>
      <c r="CH4829" s="2"/>
      <c r="CI4829" s="2">
        <v>2</v>
      </c>
      <c r="CJ4829" s="2">
        <v>3</v>
      </c>
      <c r="CK4829" s="2">
        <v>24</v>
      </c>
      <c r="CL4829" s="2" t="s">
        <v>86</v>
      </c>
      <c r="CM4829" s="2"/>
    </row>
    <row r="4830" spans="1:91">
      <c r="A4830" s="2" t="s">
        <v>71</v>
      </c>
      <c r="B4830" s="2" t="s">
        <v>72</v>
      </c>
      <c r="C4830" s="2" t="s">
        <v>73</v>
      </c>
      <c r="D4830" s="2"/>
      <c r="E4830" s="2" t="str">
        <f>"FES1162567389"</f>
        <v>FES1162567389</v>
      </c>
      <c r="F4830" s="3">
        <v>42954</v>
      </c>
      <c r="G4830" s="2">
        <v>201802</v>
      </c>
      <c r="H4830" s="2" t="s">
        <v>74</v>
      </c>
      <c r="I4830" s="2" t="s">
        <v>75</v>
      </c>
      <c r="J4830" s="2" t="s">
        <v>76</v>
      </c>
      <c r="K4830" s="2" t="s">
        <v>77</v>
      </c>
      <c r="L4830" s="2" t="s">
        <v>268</v>
      </c>
      <c r="M4830" s="2" t="s">
        <v>269</v>
      </c>
      <c r="N4830" s="2" t="s">
        <v>442</v>
      </c>
      <c r="O4830" s="2" t="s">
        <v>100</v>
      </c>
      <c r="P4830" s="2" t="str">
        <f>"2170579569                    "</f>
        <v xml:space="preserve">2170579569                    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0</v>
      </c>
      <c r="Y4830" s="2">
        <v>0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4</v>
      </c>
      <c r="AN4830" s="2">
        <v>0</v>
      </c>
      <c r="AO4830" s="2">
        <v>0</v>
      </c>
      <c r="AP4830" s="2">
        <v>0</v>
      </c>
      <c r="AQ4830" s="2">
        <v>0</v>
      </c>
      <c r="AR4830" s="2">
        <v>0</v>
      </c>
      <c r="AS4830" s="2">
        <v>0</v>
      </c>
      <c r="AT4830" s="2">
        <v>0</v>
      </c>
      <c r="AU4830" s="2">
        <v>0</v>
      </c>
      <c r="AV4830" s="2">
        <v>0</v>
      </c>
      <c r="AW4830" s="2">
        <v>0</v>
      </c>
      <c r="AX4830" s="2">
        <v>0</v>
      </c>
      <c r="AY4830" s="2">
        <v>0</v>
      </c>
      <c r="AZ4830" s="2">
        <v>0</v>
      </c>
      <c r="BA4830" s="2">
        <v>0</v>
      </c>
      <c r="BB4830" s="2">
        <v>0</v>
      </c>
      <c r="BC4830" s="2">
        <v>0</v>
      </c>
      <c r="BD4830" s="2">
        <v>0</v>
      </c>
      <c r="BE4830" s="2">
        <v>0</v>
      </c>
      <c r="BF4830" s="2">
        <v>0</v>
      </c>
      <c r="BG4830" s="2">
        <v>0</v>
      </c>
      <c r="BH4830" s="2">
        <v>1</v>
      </c>
      <c r="BI4830" s="2">
        <v>1</v>
      </c>
      <c r="BJ4830" s="2">
        <v>0.2</v>
      </c>
      <c r="BK4830" s="2">
        <v>1</v>
      </c>
      <c r="BL4830" s="2">
        <v>41.44</v>
      </c>
      <c r="BM4830" s="2">
        <v>5.8</v>
      </c>
      <c r="BN4830" s="2">
        <v>47.24</v>
      </c>
      <c r="BO4830" s="2">
        <v>47.24</v>
      </c>
      <c r="BP4830" s="2"/>
      <c r="BQ4830" s="2" t="s">
        <v>83</v>
      </c>
      <c r="BR4830" s="2" t="s">
        <v>84</v>
      </c>
      <c r="BS4830" s="3">
        <v>42955</v>
      </c>
      <c r="BT4830" s="4">
        <v>0.41666666666666669</v>
      </c>
      <c r="BU4830" s="2" t="s">
        <v>819</v>
      </c>
      <c r="BV4830" s="2" t="s">
        <v>95</v>
      </c>
      <c r="BW4830" s="2"/>
      <c r="BX4830" s="2"/>
      <c r="BY4830" s="2">
        <v>1200</v>
      </c>
      <c r="BZ4830" s="2"/>
      <c r="CA4830" s="2"/>
      <c r="CB4830" s="2"/>
      <c r="CC4830" s="2" t="s">
        <v>269</v>
      </c>
      <c r="CD4830" s="2">
        <v>1</v>
      </c>
      <c r="CE4830" s="2" t="s">
        <v>104</v>
      </c>
      <c r="CF4830" s="5">
        <v>42957</v>
      </c>
      <c r="CG4830" s="2"/>
      <c r="CH4830" s="2"/>
      <c r="CI4830" s="2">
        <v>1</v>
      </c>
      <c r="CJ4830" s="2">
        <v>1</v>
      </c>
      <c r="CK4830" s="2">
        <v>21</v>
      </c>
      <c r="CL4830" s="2" t="s">
        <v>86</v>
      </c>
      <c r="CM4830" s="2"/>
    </row>
    <row r="4831" spans="1:91">
      <c r="A4831" s="2" t="s">
        <v>71</v>
      </c>
      <c r="B4831" s="2" t="s">
        <v>72</v>
      </c>
      <c r="C4831" s="2" t="s">
        <v>73</v>
      </c>
      <c r="D4831" s="2"/>
      <c r="E4831" s="2" t="str">
        <f>"FES1162565741"</f>
        <v>FES1162565741</v>
      </c>
      <c r="F4831" s="3">
        <v>42954</v>
      </c>
      <c r="G4831" s="2">
        <v>201802</v>
      </c>
      <c r="H4831" s="2" t="s">
        <v>74</v>
      </c>
      <c r="I4831" s="2" t="s">
        <v>75</v>
      </c>
      <c r="J4831" s="2" t="s">
        <v>76</v>
      </c>
      <c r="K4831" s="2" t="s">
        <v>77</v>
      </c>
      <c r="L4831" s="2" t="s">
        <v>268</v>
      </c>
      <c r="M4831" s="2" t="s">
        <v>269</v>
      </c>
      <c r="N4831" s="2" t="s">
        <v>442</v>
      </c>
      <c r="O4831" s="2" t="s">
        <v>100</v>
      </c>
      <c r="P4831" s="2" t="str">
        <f>"2170578792                    "</f>
        <v xml:space="preserve">2170578792                    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2">
        <v>0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  <c r="AM4831" s="2">
        <v>4</v>
      </c>
      <c r="AN4831" s="2">
        <v>0</v>
      </c>
      <c r="AO4831" s="2">
        <v>0</v>
      </c>
      <c r="AP4831" s="2">
        <v>0</v>
      </c>
      <c r="AQ4831" s="2">
        <v>0</v>
      </c>
      <c r="AR4831" s="2">
        <v>0</v>
      </c>
      <c r="AS4831" s="2">
        <v>0</v>
      </c>
      <c r="AT4831" s="2">
        <v>0</v>
      </c>
      <c r="AU4831" s="2">
        <v>0</v>
      </c>
      <c r="AV4831" s="2">
        <v>0</v>
      </c>
      <c r="AW4831" s="2">
        <v>0</v>
      </c>
      <c r="AX4831" s="2">
        <v>0</v>
      </c>
      <c r="AY4831" s="2">
        <v>0</v>
      </c>
      <c r="AZ4831" s="2">
        <v>0</v>
      </c>
      <c r="BA4831" s="2">
        <v>0</v>
      </c>
      <c r="BB4831" s="2">
        <v>0</v>
      </c>
      <c r="BC4831" s="2">
        <v>0</v>
      </c>
      <c r="BD4831" s="2">
        <v>0</v>
      </c>
      <c r="BE4831" s="2">
        <v>0</v>
      </c>
      <c r="BF4831" s="2">
        <v>0</v>
      </c>
      <c r="BG4831" s="2">
        <v>0</v>
      </c>
      <c r="BH4831" s="2">
        <v>1</v>
      </c>
      <c r="BI4831" s="2">
        <v>1</v>
      </c>
      <c r="BJ4831" s="2">
        <v>0.2</v>
      </c>
      <c r="BK4831" s="2">
        <v>1</v>
      </c>
      <c r="BL4831" s="2">
        <v>41.44</v>
      </c>
      <c r="BM4831" s="2">
        <v>5.8</v>
      </c>
      <c r="BN4831" s="2">
        <v>47.24</v>
      </c>
      <c r="BO4831" s="2">
        <v>47.24</v>
      </c>
      <c r="BP4831" s="2"/>
      <c r="BQ4831" s="2" t="s">
        <v>83</v>
      </c>
      <c r="BR4831" s="2" t="s">
        <v>84</v>
      </c>
      <c r="BS4831" s="3">
        <v>42955</v>
      </c>
      <c r="BT4831" s="4">
        <v>0.41666666666666669</v>
      </c>
      <c r="BU4831" s="2" t="s">
        <v>819</v>
      </c>
      <c r="BV4831" s="2" t="s">
        <v>95</v>
      </c>
      <c r="BW4831" s="2"/>
      <c r="BX4831" s="2"/>
      <c r="BY4831" s="2">
        <v>1200</v>
      </c>
      <c r="BZ4831" s="2"/>
      <c r="CA4831" s="2"/>
      <c r="CB4831" s="2"/>
      <c r="CC4831" s="2" t="s">
        <v>269</v>
      </c>
      <c r="CD4831" s="2">
        <v>1</v>
      </c>
      <c r="CE4831" s="2" t="s">
        <v>104</v>
      </c>
      <c r="CF4831" s="5">
        <v>42957</v>
      </c>
      <c r="CG4831" s="2"/>
      <c r="CH4831" s="2"/>
      <c r="CI4831" s="2">
        <v>1</v>
      </c>
      <c r="CJ4831" s="2">
        <v>1</v>
      </c>
      <c r="CK4831" s="2">
        <v>21</v>
      </c>
      <c r="CL4831" s="2" t="s">
        <v>86</v>
      </c>
      <c r="CM4831" s="2"/>
    </row>
    <row r="4832" spans="1:91">
      <c r="A4832" s="2" t="s">
        <v>71</v>
      </c>
      <c r="B4832" s="2" t="s">
        <v>72</v>
      </c>
      <c r="C4832" s="2" t="s">
        <v>73</v>
      </c>
      <c r="D4832" s="2"/>
      <c r="E4832" s="2" t="str">
        <f>"FES1162566849"</f>
        <v>FES1162566849</v>
      </c>
      <c r="F4832" s="3">
        <v>42954</v>
      </c>
      <c r="G4832" s="2">
        <v>201802</v>
      </c>
      <c r="H4832" s="2" t="s">
        <v>74</v>
      </c>
      <c r="I4832" s="2" t="s">
        <v>75</v>
      </c>
      <c r="J4832" s="2" t="s">
        <v>76</v>
      </c>
      <c r="K4832" s="2" t="s">
        <v>77</v>
      </c>
      <c r="L4832" s="2" t="s">
        <v>206</v>
      </c>
      <c r="M4832" s="2" t="s">
        <v>207</v>
      </c>
      <c r="N4832" s="2" t="s">
        <v>1570</v>
      </c>
      <c r="O4832" s="2" t="s">
        <v>100</v>
      </c>
      <c r="P4832" s="2" t="str">
        <f>"2170579563                    "</f>
        <v xml:space="preserve">2170579563                    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5.63</v>
      </c>
      <c r="AN4832" s="2">
        <v>0</v>
      </c>
      <c r="AO4832" s="2">
        <v>0</v>
      </c>
      <c r="AP4832" s="2">
        <v>0</v>
      </c>
      <c r="AQ4832" s="2">
        <v>0</v>
      </c>
      <c r="AR4832" s="2">
        <v>0</v>
      </c>
      <c r="AS4832" s="2">
        <v>0</v>
      </c>
      <c r="AT4832" s="2">
        <v>0</v>
      </c>
      <c r="AU4832" s="2">
        <v>0</v>
      </c>
      <c r="AV4832" s="2">
        <v>0</v>
      </c>
      <c r="AW4832" s="2">
        <v>0</v>
      </c>
      <c r="AX4832" s="2">
        <v>0</v>
      </c>
      <c r="AY4832" s="2">
        <v>0</v>
      </c>
      <c r="AZ4832" s="2">
        <v>0</v>
      </c>
      <c r="BA4832" s="2">
        <v>0</v>
      </c>
      <c r="BB4832" s="2">
        <v>0</v>
      </c>
      <c r="BC4832" s="2">
        <v>0</v>
      </c>
      <c r="BD4832" s="2">
        <v>0</v>
      </c>
      <c r="BE4832" s="2">
        <v>0</v>
      </c>
      <c r="BF4832" s="2">
        <v>0</v>
      </c>
      <c r="BG4832" s="2">
        <v>0</v>
      </c>
      <c r="BH4832" s="2">
        <v>1</v>
      </c>
      <c r="BI4832" s="2">
        <v>1</v>
      </c>
      <c r="BJ4832" s="2">
        <v>0.2</v>
      </c>
      <c r="BK4832" s="2">
        <v>1</v>
      </c>
      <c r="BL4832" s="2">
        <v>58.28</v>
      </c>
      <c r="BM4832" s="2">
        <v>8.16</v>
      </c>
      <c r="BN4832" s="2">
        <v>66.44</v>
      </c>
      <c r="BO4832" s="2">
        <v>66.44</v>
      </c>
      <c r="BP4832" s="2"/>
      <c r="BQ4832" s="2" t="s">
        <v>1571</v>
      </c>
      <c r="BR4832" s="2" t="s">
        <v>84</v>
      </c>
      <c r="BS4832" s="3">
        <v>42955</v>
      </c>
      <c r="BT4832" s="4">
        <v>0.42083333333333334</v>
      </c>
      <c r="BU4832" s="2" t="s">
        <v>2574</v>
      </c>
      <c r="BV4832" s="2" t="s">
        <v>95</v>
      </c>
      <c r="BW4832" s="2"/>
      <c r="BX4832" s="2"/>
      <c r="BY4832" s="2">
        <v>1200</v>
      </c>
      <c r="BZ4832" s="2"/>
      <c r="CA4832" s="2" t="s">
        <v>640</v>
      </c>
      <c r="CB4832" s="2"/>
      <c r="CC4832" s="2" t="s">
        <v>207</v>
      </c>
      <c r="CD4832" s="2">
        <v>250</v>
      </c>
      <c r="CE4832" s="2" t="s">
        <v>104</v>
      </c>
      <c r="CF4832" s="5">
        <v>42958</v>
      </c>
      <c r="CG4832" s="2"/>
      <c r="CH4832" s="2"/>
      <c r="CI4832" s="2">
        <v>1</v>
      </c>
      <c r="CJ4832" s="2">
        <v>1</v>
      </c>
      <c r="CK4832" s="2">
        <v>24</v>
      </c>
      <c r="CL4832" s="2" t="s">
        <v>86</v>
      </c>
      <c r="CM4832" s="2"/>
    </row>
    <row r="4833" spans="1:91">
      <c r="A4833" s="2" t="s">
        <v>71</v>
      </c>
      <c r="B4833" s="2" t="s">
        <v>72</v>
      </c>
      <c r="C4833" s="2" t="s">
        <v>73</v>
      </c>
      <c r="D4833" s="2"/>
      <c r="E4833" s="2" t="str">
        <f>"FES1162566472"</f>
        <v>FES1162566472</v>
      </c>
      <c r="F4833" s="3">
        <v>42954</v>
      </c>
      <c r="G4833" s="2">
        <v>201802</v>
      </c>
      <c r="H4833" s="2" t="s">
        <v>74</v>
      </c>
      <c r="I4833" s="2" t="s">
        <v>75</v>
      </c>
      <c r="J4833" s="2" t="s">
        <v>76</v>
      </c>
      <c r="K4833" s="2" t="s">
        <v>77</v>
      </c>
      <c r="L4833" s="2" t="s">
        <v>362</v>
      </c>
      <c r="M4833" s="2" t="s">
        <v>363</v>
      </c>
      <c r="N4833" s="2" t="s">
        <v>683</v>
      </c>
      <c r="O4833" s="2" t="s">
        <v>100</v>
      </c>
      <c r="P4833" s="2" t="str">
        <f>"2170574783                    "</f>
        <v xml:space="preserve">2170574783                    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4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0</v>
      </c>
      <c r="AU4833" s="2">
        <v>0</v>
      </c>
      <c r="AV4833" s="2">
        <v>0</v>
      </c>
      <c r="AW4833" s="2">
        <v>0</v>
      </c>
      <c r="AX4833" s="2">
        <v>0</v>
      </c>
      <c r="AY4833" s="2">
        <v>0</v>
      </c>
      <c r="AZ4833" s="2">
        <v>0</v>
      </c>
      <c r="BA4833" s="2">
        <v>0</v>
      </c>
      <c r="BB4833" s="2">
        <v>0</v>
      </c>
      <c r="BC4833" s="2">
        <v>0</v>
      </c>
      <c r="BD4833" s="2">
        <v>0</v>
      </c>
      <c r="BE4833" s="2">
        <v>0</v>
      </c>
      <c r="BF4833" s="2">
        <v>0</v>
      </c>
      <c r="BG4833" s="2">
        <v>0</v>
      </c>
      <c r="BH4833" s="2">
        <v>1</v>
      </c>
      <c r="BI4833" s="2">
        <v>1</v>
      </c>
      <c r="BJ4833" s="2">
        <v>0.2</v>
      </c>
      <c r="BK4833" s="2">
        <v>1</v>
      </c>
      <c r="BL4833" s="2">
        <v>41.44</v>
      </c>
      <c r="BM4833" s="2">
        <v>5.8</v>
      </c>
      <c r="BN4833" s="2">
        <v>47.24</v>
      </c>
      <c r="BO4833" s="2">
        <v>47.24</v>
      </c>
      <c r="BP4833" s="2"/>
      <c r="BQ4833" s="2" t="s">
        <v>108</v>
      </c>
      <c r="BR4833" s="2" t="s">
        <v>84</v>
      </c>
      <c r="BS4833" s="3">
        <v>42955</v>
      </c>
      <c r="BT4833" s="4">
        <v>0.41666666666666669</v>
      </c>
      <c r="BU4833" s="2" t="s">
        <v>4236</v>
      </c>
      <c r="BV4833" s="2" t="s">
        <v>95</v>
      </c>
      <c r="BW4833" s="2"/>
      <c r="BX4833" s="2"/>
      <c r="BY4833" s="2">
        <v>1200</v>
      </c>
      <c r="BZ4833" s="2"/>
      <c r="CA4833" s="2" t="s">
        <v>367</v>
      </c>
      <c r="CB4833" s="2"/>
      <c r="CC4833" s="2" t="s">
        <v>363</v>
      </c>
      <c r="CD4833" s="2">
        <v>3201</v>
      </c>
      <c r="CE4833" s="2" t="s">
        <v>104</v>
      </c>
      <c r="CF4833" s="5">
        <v>42955</v>
      </c>
      <c r="CG4833" s="2"/>
      <c r="CH4833" s="2"/>
      <c r="CI4833" s="2">
        <v>1</v>
      </c>
      <c r="CJ4833" s="2">
        <v>1</v>
      </c>
      <c r="CK4833" s="2">
        <v>21</v>
      </c>
      <c r="CL4833" s="2" t="s">
        <v>86</v>
      </c>
      <c r="CM4833" s="2"/>
    </row>
    <row r="4834" spans="1:91">
      <c r="A4834" s="2" t="s">
        <v>71</v>
      </c>
      <c r="B4834" s="2" t="s">
        <v>72</v>
      </c>
      <c r="C4834" s="2" t="s">
        <v>73</v>
      </c>
      <c r="D4834" s="2"/>
      <c r="E4834" s="2" t="str">
        <f>"FES1162567381"</f>
        <v>FES1162567381</v>
      </c>
      <c r="F4834" s="3">
        <v>42954</v>
      </c>
      <c r="G4834" s="2">
        <v>201802</v>
      </c>
      <c r="H4834" s="2" t="s">
        <v>74</v>
      </c>
      <c r="I4834" s="2" t="s">
        <v>75</v>
      </c>
      <c r="J4834" s="2" t="s">
        <v>76</v>
      </c>
      <c r="K4834" s="2" t="s">
        <v>77</v>
      </c>
      <c r="L4834" s="2" t="s">
        <v>149</v>
      </c>
      <c r="M4834" s="2" t="s">
        <v>150</v>
      </c>
      <c r="N4834" s="2" t="s">
        <v>1592</v>
      </c>
      <c r="O4834" s="2" t="s">
        <v>100</v>
      </c>
      <c r="P4834" s="2" t="str">
        <f>"2170583542                    "</f>
        <v xml:space="preserve">2170583542                    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4</v>
      </c>
      <c r="AN4834" s="2">
        <v>0</v>
      </c>
      <c r="AO4834" s="2">
        <v>0</v>
      </c>
      <c r="AP4834" s="2">
        <v>0</v>
      </c>
      <c r="AQ4834" s="2">
        <v>0</v>
      </c>
      <c r="AR4834" s="2">
        <v>0</v>
      </c>
      <c r="AS4834" s="2">
        <v>0</v>
      </c>
      <c r="AT4834" s="2">
        <v>0</v>
      </c>
      <c r="AU4834" s="2">
        <v>0</v>
      </c>
      <c r="AV4834" s="2">
        <v>0</v>
      </c>
      <c r="AW4834" s="2">
        <v>0</v>
      </c>
      <c r="AX4834" s="2">
        <v>0</v>
      </c>
      <c r="AY4834" s="2">
        <v>0</v>
      </c>
      <c r="AZ4834" s="2">
        <v>0</v>
      </c>
      <c r="BA4834" s="2">
        <v>0</v>
      </c>
      <c r="BB4834" s="2">
        <v>0</v>
      </c>
      <c r="BC4834" s="2">
        <v>0</v>
      </c>
      <c r="BD4834" s="2">
        <v>0</v>
      </c>
      <c r="BE4834" s="2">
        <v>0</v>
      </c>
      <c r="BF4834" s="2">
        <v>0</v>
      </c>
      <c r="BG4834" s="2">
        <v>0</v>
      </c>
      <c r="BH4834" s="2">
        <v>1</v>
      </c>
      <c r="BI4834" s="2">
        <v>1</v>
      </c>
      <c r="BJ4834" s="2">
        <v>0.2</v>
      </c>
      <c r="BK4834" s="2">
        <v>1</v>
      </c>
      <c r="BL4834" s="2">
        <v>41.44</v>
      </c>
      <c r="BM4834" s="2">
        <v>5.8</v>
      </c>
      <c r="BN4834" s="2">
        <v>47.24</v>
      </c>
      <c r="BO4834" s="2">
        <v>47.24</v>
      </c>
      <c r="BP4834" s="2"/>
      <c r="BQ4834" s="2" t="s">
        <v>83</v>
      </c>
      <c r="BR4834" s="2" t="s">
        <v>84</v>
      </c>
      <c r="BS4834" s="3">
        <v>42955</v>
      </c>
      <c r="BT4834" s="4">
        <v>0.34722222222222227</v>
      </c>
      <c r="BU4834" s="2" t="s">
        <v>2033</v>
      </c>
      <c r="BV4834" s="2" t="s">
        <v>95</v>
      </c>
      <c r="BW4834" s="2"/>
      <c r="BX4834" s="2"/>
      <c r="BY4834" s="2">
        <v>1200</v>
      </c>
      <c r="BZ4834" s="2"/>
      <c r="CA4834" s="2" t="s">
        <v>1163</v>
      </c>
      <c r="CB4834" s="2"/>
      <c r="CC4834" s="2" t="s">
        <v>150</v>
      </c>
      <c r="CD4834" s="2">
        <v>4094</v>
      </c>
      <c r="CE4834" s="2" t="s">
        <v>104</v>
      </c>
      <c r="CF4834" s="5">
        <v>42957</v>
      </c>
      <c r="CG4834" s="2"/>
      <c r="CH4834" s="2"/>
      <c r="CI4834" s="2">
        <v>1</v>
      </c>
      <c r="CJ4834" s="2">
        <v>1</v>
      </c>
      <c r="CK4834" s="2">
        <v>21</v>
      </c>
      <c r="CL4834" s="2" t="s">
        <v>86</v>
      </c>
      <c r="CM4834" s="2"/>
    </row>
    <row r="4835" spans="1:91">
      <c r="A4835" s="2" t="s">
        <v>71</v>
      </c>
      <c r="B4835" s="2" t="s">
        <v>72</v>
      </c>
      <c r="C4835" s="2" t="s">
        <v>73</v>
      </c>
      <c r="D4835" s="2"/>
      <c r="E4835" s="2" t="str">
        <f>"FES1162567384"</f>
        <v>FES1162567384</v>
      </c>
      <c r="F4835" s="3">
        <v>42954</v>
      </c>
      <c r="G4835" s="2">
        <v>201802</v>
      </c>
      <c r="H4835" s="2" t="s">
        <v>74</v>
      </c>
      <c r="I4835" s="2" t="s">
        <v>75</v>
      </c>
      <c r="J4835" s="2" t="s">
        <v>76</v>
      </c>
      <c r="K4835" s="2" t="s">
        <v>77</v>
      </c>
      <c r="L4835" s="2" t="s">
        <v>97</v>
      </c>
      <c r="M4835" s="2" t="s">
        <v>98</v>
      </c>
      <c r="N4835" s="2" t="s">
        <v>1460</v>
      </c>
      <c r="O4835" s="2" t="s">
        <v>100</v>
      </c>
      <c r="P4835" s="2" t="str">
        <f>"2170583546                    "</f>
        <v xml:space="preserve">2170583546                    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4</v>
      </c>
      <c r="AN4835" s="2">
        <v>0</v>
      </c>
      <c r="AO4835" s="2">
        <v>0</v>
      </c>
      <c r="AP4835" s="2">
        <v>0</v>
      </c>
      <c r="AQ4835" s="2">
        <v>0</v>
      </c>
      <c r="AR4835" s="2">
        <v>0</v>
      </c>
      <c r="AS4835" s="2">
        <v>0</v>
      </c>
      <c r="AT4835" s="2">
        <v>0</v>
      </c>
      <c r="AU4835" s="2">
        <v>0</v>
      </c>
      <c r="AV4835" s="2">
        <v>0</v>
      </c>
      <c r="AW4835" s="2">
        <v>0</v>
      </c>
      <c r="AX4835" s="2">
        <v>0</v>
      </c>
      <c r="AY4835" s="2">
        <v>0</v>
      </c>
      <c r="AZ4835" s="2">
        <v>0</v>
      </c>
      <c r="BA4835" s="2">
        <v>0</v>
      </c>
      <c r="BB4835" s="2">
        <v>0</v>
      </c>
      <c r="BC4835" s="2">
        <v>0</v>
      </c>
      <c r="BD4835" s="2">
        <v>0</v>
      </c>
      <c r="BE4835" s="2">
        <v>0</v>
      </c>
      <c r="BF4835" s="2">
        <v>0</v>
      </c>
      <c r="BG4835" s="2">
        <v>0</v>
      </c>
      <c r="BH4835" s="2">
        <v>1</v>
      </c>
      <c r="BI4835" s="2">
        <v>1</v>
      </c>
      <c r="BJ4835" s="2">
        <v>0.2</v>
      </c>
      <c r="BK4835" s="2">
        <v>1</v>
      </c>
      <c r="BL4835" s="2">
        <v>41.44</v>
      </c>
      <c r="BM4835" s="2">
        <v>5.8</v>
      </c>
      <c r="BN4835" s="2">
        <v>47.24</v>
      </c>
      <c r="BO4835" s="2">
        <v>47.24</v>
      </c>
      <c r="BP4835" s="2"/>
      <c r="BQ4835" s="2" t="s">
        <v>83</v>
      </c>
      <c r="BR4835" s="2" t="s">
        <v>84</v>
      </c>
      <c r="BS4835" s="3">
        <v>42955</v>
      </c>
      <c r="BT4835" s="4">
        <v>0.41250000000000003</v>
      </c>
      <c r="BU4835" s="2" t="s">
        <v>4237</v>
      </c>
      <c r="BV4835" s="2" t="s">
        <v>95</v>
      </c>
      <c r="BW4835" s="2"/>
      <c r="BX4835" s="2"/>
      <c r="BY4835" s="2">
        <v>1200</v>
      </c>
      <c r="BZ4835" s="2"/>
      <c r="CA4835" s="2" t="s">
        <v>600</v>
      </c>
      <c r="CB4835" s="2"/>
      <c r="CC4835" s="2" t="s">
        <v>98</v>
      </c>
      <c r="CD4835" s="2">
        <v>6001</v>
      </c>
      <c r="CE4835" s="2" t="s">
        <v>104</v>
      </c>
      <c r="CF4835" s="5">
        <v>42957</v>
      </c>
      <c r="CG4835" s="2"/>
      <c r="CH4835" s="2"/>
      <c r="CI4835" s="2">
        <v>1</v>
      </c>
      <c r="CJ4835" s="2">
        <v>1</v>
      </c>
      <c r="CK4835" s="2">
        <v>21</v>
      </c>
      <c r="CL4835" s="2" t="s">
        <v>86</v>
      </c>
      <c r="CM4835" s="2"/>
    </row>
    <row r="4836" spans="1:91">
      <c r="A4836" s="2" t="s">
        <v>71</v>
      </c>
      <c r="B4836" s="2" t="s">
        <v>72</v>
      </c>
      <c r="C4836" s="2" t="s">
        <v>73</v>
      </c>
      <c r="D4836" s="2"/>
      <c r="E4836" s="2" t="str">
        <f>"FES1162567309"</f>
        <v>FES1162567309</v>
      </c>
      <c r="F4836" s="3">
        <v>42954</v>
      </c>
      <c r="G4836" s="2">
        <v>201802</v>
      </c>
      <c r="H4836" s="2" t="s">
        <v>74</v>
      </c>
      <c r="I4836" s="2" t="s">
        <v>75</v>
      </c>
      <c r="J4836" s="2" t="s">
        <v>76</v>
      </c>
      <c r="K4836" s="2" t="s">
        <v>77</v>
      </c>
      <c r="L4836" s="2" t="s">
        <v>216</v>
      </c>
      <c r="M4836" s="2" t="s">
        <v>217</v>
      </c>
      <c r="N4836" s="2" t="s">
        <v>218</v>
      </c>
      <c r="O4836" s="2" t="s">
        <v>100</v>
      </c>
      <c r="P4836" s="2" t="str">
        <f>"2170583480                    "</f>
        <v xml:space="preserve">2170583480                    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0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3.13</v>
      </c>
      <c r="AN4836" s="2">
        <v>0</v>
      </c>
      <c r="AO4836" s="2">
        <v>0</v>
      </c>
      <c r="AP4836" s="2">
        <v>0</v>
      </c>
      <c r="AQ4836" s="2">
        <v>0</v>
      </c>
      <c r="AR4836" s="2">
        <v>0</v>
      </c>
      <c r="AS4836" s="2">
        <v>0</v>
      </c>
      <c r="AT4836" s="2">
        <v>0</v>
      </c>
      <c r="AU4836" s="2">
        <v>0</v>
      </c>
      <c r="AV4836" s="2">
        <v>0</v>
      </c>
      <c r="AW4836" s="2">
        <v>0</v>
      </c>
      <c r="AX4836" s="2">
        <v>0</v>
      </c>
      <c r="AY4836" s="2">
        <v>0</v>
      </c>
      <c r="AZ4836" s="2">
        <v>0</v>
      </c>
      <c r="BA4836" s="2">
        <v>0</v>
      </c>
      <c r="BB4836" s="2">
        <v>0</v>
      </c>
      <c r="BC4836" s="2">
        <v>0</v>
      </c>
      <c r="BD4836" s="2">
        <v>0</v>
      </c>
      <c r="BE4836" s="2">
        <v>0</v>
      </c>
      <c r="BF4836" s="2">
        <v>0</v>
      </c>
      <c r="BG4836" s="2">
        <v>0</v>
      </c>
      <c r="BH4836" s="2">
        <v>1</v>
      </c>
      <c r="BI4836" s="2">
        <v>1</v>
      </c>
      <c r="BJ4836" s="2">
        <v>0.2</v>
      </c>
      <c r="BK4836" s="2">
        <v>1</v>
      </c>
      <c r="BL4836" s="2">
        <v>32.380000000000003</v>
      </c>
      <c r="BM4836" s="2">
        <v>4.53</v>
      </c>
      <c r="BN4836" s="2">
        <v>36.909999999999997</v>
      </c>
      <c r="BO4836" s="2">
        <v>36.909999999999997</v>
      </c>
      <c r="BP4836" s="2"/>
      <c r="BQ4836" s="2" t="s">
        <v>83</v>
      </c>
      <c r="BR4836" s="2" t="s">
        <v>84</v>
      </c>
      <c r="BS4836" s="3">
        <v>42955</v>
      </c>
      <c r="BT4836" s="4">
        <v>0.3215277777777778</v>
      </c>
      <c r="BU4836" s="2" t="s">
        <v>2543</v>
      </c>
      <c r="BV4836" s="2" t="s">
        <v>95</v>
      </c>
      <c r="BW4836" s="2"/>
      <c r="BX4836" s="2"/>
      <c r="BY4836" s="2">
        <v>1200</v>
      </c>
      <c r="BZ4836" s="2"/>
      <c r="CA4836" s="2" t="s">
        <v>220</v>
      </c>
      <c r="CB4836" s="2"/>
      <c r="CC4836" s="2" t="s">
        <v>217</v>
      </c>
      <c r="CD4836" s="2">
        <v>1451</v>
      </c>
      <c r="CE4836" s="2" t="s">
        <v>104</v>
      </c>
      <c r="CF4836" s="5">
        <v>42957</v>
      </c>
      <c r="CG4836" s="2"/>
      <c r="CH4836" s="2"/>
      <c r="CI4836" s="2">
        <v>1</v>
      </c>
      <c r="CJ4836" s="2">
        <v>1</v>
      </c>
      <c r="CK4836" s="2">
        <v>22</v>
      </c>
      <c r="CL4836" s="2" t="s">
        <v>86</v>
      </c>
      <c r="CM4836" s="2"/>
    </row>
    <row r="4837" spans="1:91">
      <c r="A4837" s="2" t="s">
        <v>71</v>
      </c>
      <c r="B4837" s="2" t="s">
        <v>72</v>
      </c>
      <c r="C4837" s="2" t="s">
        <v>73</v>
      </c>
      <c r="D4837" s="2"/>
      <c r="E4837" s="2" t="str">
        <f>"FES1162567371"</f>
        <v>FES1162567371</v>
      </c>
      <c r="F4837" s="3">
        <v>42954</v>
      </c>
      <c r="G4837" s="2">
        <v>201802</v>
      </c>
      <c r="H4837" s="2" t="s">
        <v>74</v>
      </c>
      <c r="I4837" s="2" t="s">
        <v>75</v>
      </c>
      <c r="J4837" s="2" t="s">
        <v>76</v>
      </c>
      <c r="K4837" s="2" t="s">
        <v>77</v>
      </c>
      <c r="L4837" s="2" t="s">
        <v>715</v>
      </c>
      <c r="M4837" s="2" t="s">
        <v>716</v>
      </c>
      <c r="N4837" s="2" t="s">
        <v>717</v>
      </c>
      <c r="O4837" s="2" t="s">
        <v>100</v>
      </c>
      <c r="P4837" s="2" t="str">
        <f>"2170583536                    "</f>
        <v xml:space="preserve">2170583536                    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2">
        <v>0</v>
      </c>
      <c r="Z4837" s="2">
        <v>0</v>
      </c>
      <c r="AA4837" s="2">
        <v>0</v>
      </c>
      <c r="AB4837" s="2">
        <v>0</v>
      </c>
      <c r="AC4837" s="2">
        <v>0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4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0</v>
      </c>
      <c r="AU4837" s="2">
        <v>0</v>
      </c>
      <c r="AV4837" s="2">
        <v>0</v>
      </c>
      <c r="AW4837" s="2">
        <v>0</v>
      </c>
      <c r="AX4837" s="2">
        <v>0</v>
      </c>
      <c r="AY4837" s="2">
        <v>0</v>
      </c>
      <c r="AZ4837" s="2">
        <v>0</v>
      </c>
      <c r="BA4837" s="2">
        <v>0</v>
      </c>
      <c r="BB4837" s="2">
        <v>0</v>
      </c>
      <c r="BC4837" s="2">
        <v>0</v>
      </c>
      <c r="BD4837" s="2">
        <v>0</v>
      </c>
      <c r="BE4837" s="2">
        <v>0</v>
      </c>
      <c r="BF4837" s="2">
        <v>0</v>
      </c>
      <c r="BG4837" s="2">
        <v>0</v>
      </c>
      <c r="BH4837" s="2">
        <v>1</v>
      </c>
      <c r="BI4837" s="2">
        <v>1</v>
      </c>
      <c r="BJ4837" s="2">
        <v>0.2</v>
      </c>
      <c r="BK4837" s="2">
        <v>1</v>
      </c>
      <c r="BL4837" s="2">
        <v>41.44</v>
      </c>
      <c r="BM4837" s="2">
        <v>5.8</v>
      </c>
      <c r="BN4837" s="2">
        <v>47.24</v>
      </c>
      <c r="BO4837" s="2">
        <v>47.24</v>
      </c>
      <c r="BP4837" s="2"/>
      <c r="BQ4837" s="2" t="s">
        <v>108</v>
      </c>
      <c r="BR4837" s="2" t="s">
        <v>84</v>
      </c>
      <c r="BS4837" s="3">
        <v>42955</v>
      </c>
      <c r="BT4837" s="4">
        <v>0.5180555555555556</v>
      </c>
      <c r="BU4837" s="2" t="s">
        <v>4238</v>
      </c>
      <c r="BV4837" s="2" t="s">
        <v>95</v>
      </c>
      <c r="BW4837" s="2"/>
      <c r="BX4837" s="2"/>
      <c r="BY4837" s="2">
        <v>1200</v>
      </c>
      <c r="BZ4837" s="2"/>
      <c r="CA4837" s="2" t="s">
        <v>566</v>
      </c>
      <c r="CB4837" s="2"/>
      <c r="CC4837" s="2" t="s">
        <v>716</v>
      </c>
      <c r="CD4837" s="2">
        <v>3290</v>
      </c>
      <c r="CE4837" s="2" t="s">
        <v>104</v>
      </c>
      <c r="CF4837" s="5">
        <v>42959</v>
      </c>
      <c r="CG4837" s="2"/>
      <c r="CH4837" s="2"/>
      <c r="CI4837" s="2">
        <v>1</v>
      </c>
      <c r="CJ4837" s="2">
        <v>1</v>
      </c>
      <c r="CK4837" s="2">
        <v>21</v>
      </c>
      <c r="CL4837" s="2" t="s">
        <v>86</v>
      </c>
      <c r="CM4837" s="2"/>
    </row>
    <row r="4838" spans="1:91">
      <c r="A4838" s="2" t="s">
        <v>71</v>
      </c>
      <c r="B4838" s="2" t="s">
        <v>72</v>
      </c>
      <c r="C4838" s="2" t="s">
        <v>73</v>
      </c>
      <c r="D4838" s="2"/>
      <c r="E4838" s="2" t="str">
        <f>"FES1162567368"</f>
        <v>FES1162567368</v>
      </c>
      <c r="F4838" s="3">
        <v>42954</v>
      </c>
      <c r="G4838" s="2">
        <v>201802</v>
      </c>
      <c r="H4838" s="2" t="s">
        <v>74</v>
      </c>
      <c r="I4838" s="2" t="s">
        <v>75</v>
      </c>
      <c r="J4838" s="2" t="s">
        <v>76</v>
      </c>
      <c r="K4838" s="2" t="s">
        <v>77</v>
      </c>
      <c r="L4838" s="2" t="s">
        <v>715</v>
      </c>
      <c r="M4838" s="2" t="s">
        <v>716</v>
      </c>
      <c r="N4838" s="2" t="s">
        <v>717</v>
      </c>
      <c r="O4838" s="2" t="s">
        <v>100</v>
      </c>
      <c r="P4838" s="2" t="str">
        <f>"2170583533                    "</f>
        <v xml:space="preserve">2170583533                    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0</v>
      </c>
      <c r="Y4838" s="2">
        <v>0</v>
      </c>
      <c r="Z4838" s="2">
        <v>0</v>
      </c>
      <c r="AA4838" s="2">
        <v>0</v>
      </c>
      <c r="AB4838" s="2">
        <v>0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4</v>
      </c>
      <c r="AN4838" s="2">
        <v>0</v>
      </c>
      <c r="AO4838" s="2">
        <v>0</v>
      </c>
      <c r="AP4838" s="2">
        <v>0</v>
      </c>
      <c r="AQ4838" s="2">
        <v>0</v>
      </c>
      <c r="AR4838" s="2">
        <v>0</v>
      </c>
      <c r="AS4838" s="2">
        <v>0</v>
      </c>
      <c r="AT4838" s="2">
        <v>0</v>
      </c>
      <c r="AU4838" s="2">
        <v>0</v>
      </c>
      <c r="AV4838" s="2">
        <v>0</v>
      </c>
      <c r="AW4838" s="2">
        <v>0</v>
      </c>
      <c r="AX4838" s="2">
        <v>0</v>
      </c>
      <c r="AY4838" s="2">
        <v>0</v>
      </c>
      <c r="AZ4838" s="2">
        <v>0</v>
      </c>
      <c r="BA4838" s="2">
        <v>0</v>
      </c>
      <c r="BB4838" s="2">
        <v>0</v>
      </c>
      <c r="BC4838" s="2">
        <v>0</v>
      </c>
      <c r="BD4838" s="2">
        <v>0</v>
      </c>
      <c r="BE4838" s="2">
        <v>0</v>
      </c>
      <c r="BF4838" s="2">
        <v>0</v>
      </c>
      <c r="BG4838" s="2">
        <v>0</v>
      </c>
      <c r="BH4838" s="2">
        <v>1</v>
      </c>
      <c r="BI4838" s="2">
        <v>1</v>
      </c>
      <c r="BJ4838" s="2">
        <v>0.2</v>
      </c>
      <c r="BK4838" s="2">
        <v>1</v>
      </c>
      <c r="BL4838" s="2">
        <v>41.44</v>
      </c>
      <c r="BM4838" s="2">
        <v>5.8</v>
      </c>
      <c r="BN4838" s="2">
        <v>47.24</v>
      </c>
      <c r="BO4838" s="2">
        <v>47.24</v>
      </c>
      <c r="BP4838" s="2"/>
      <c r="BQ4838" s="2" t="s">
        <v>108</v>
      </c>
      <c r="BR4838" s="2" t="s">
        <v>84</v>
      </c>
      <c r="BS4838" s="3">
        <v>42955</v>
      </c>
      <c r="BT4838" s="4">
        <v>0.51874999999999993</v>
      </c>
      <c r="BU4838" s="2" t="s">
        <v>4239</v>
      </c>
      <c r="BV4838" s="2" t="s">
        <v>95</v>
      </c>
      <c r="BW4838" s="2"/>
      <c r="BX4838" s="2"/>
      <c r="BY4838" s="2">
        <v>1200</v>
      </c>
      <c r="BZ4838" s="2"/>
      <c r="CA4838" s="2" t="s">
        <v>566</v>
      </c>
      <c r="CB4838" s="2"/>
      <c r="CC4838" s="2" t="s">
        <v>716</v>
      </c>
      <c r="CD4838" s="2">
        <v>3290</v>
      </c>
      <c r="CE4838" s="2" t="s">
        <v>104</v>
      </c>
      <c r="CF4838" s="5">
        <v>42959</v>
      </c>
      <c r="CG4838" s="2"/>
      <c r="CH4838" s="2"/>
      <c r="CI4838" s="2">
        <v>1</v>
      </c>
      <c r="CJ4838" s="2">
        <v>1</v>
      </c>
      <c r="CK4838" s="2">
        <v>21</v>
      </c>
      <c r="CL4838" s="2" t="s">
        <v>86</v>
      </c>
      <c r="CM4838" s="2"/>
    </row>
    <row r="4839" spans="1:91">
      <c r="A4839" s="2" t="s">
        <v>71</v>
      </c>
      <c r="B4839" s="2" t="s">
        <v>72</v>
      </c>
      <c r="C4839" s="2" t="s">
        <v>73</v>
      </c>
      <c r="D4839" s="2"/>
      <c r="E4839" s="2" t="str">
        <f>"FES1162567214"</f>
        <v>FES1162567214</v>
      </c>
      <c r="F4839" s="3">
        <v>42954</v>
      </c>
      <c r="G4839" s="2">
        <v>201802</v>
      </c>
      <c r="H4839" s="2" t="s">
        <v>74</v>
      </c>
      <c r="I4839" s="2" t="s">
        <v>75</v>
      </c>
      <c r="J4839" s="2" t="s">
        <v>76</v>
      </c>
      <c r="K4839" s="2" t="s">
        <v>77</v>
      </c>
      <c r="L4839" s="2" t="s">
        <v>144</v>
      </c>
      <c r="M4839" s="2" t="s">
        <v>145</v>
      </c>
      <c r="N4839" s="2" t="s">
        <v>2916</v>
      </c>
      <c r="O4839" s="2" t="s">
        <v>100</v>
      </c>
      <c r="P4839" s="2" t="str">
        <f>"2170583360                    "</f>
        <v xml:space="preserve">2170583360                    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0</v>
      </c>
      <c r="Y4839" s="2">
        <v>0</v>
      </c>
      <c r="Z4839" s="2">
        <v>0</v>
      </c>
      <c r="AA4839" s="2">
        <v>0</v>
      </c>
      <c r="AB4839" s="2">
        <v>0</v>
      </c>
      <c r="AC4839" s="2">
        <v>0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3.13</v>
      </c>
      <c r="AN4839" s="2">
        <v>0</v>
      </c>
      <c r="AO4839" s="2">
        <v>0</v>
      </c>
      <c r="AP4839" s="2">
        <v>0</v>
      </c>
      <c r="AQ4839" s="2">
        <v>0</v>
      </c>
      <c r="AR4839" s="2">
        <v>0</v>
      </c>
      <c r="AS4839" s="2">
        <v>0</v>
      </c>
      <c r="AT4839" s="2">
        <v>0</v>
      </c>
      <c r="AU4839" s="2">
        <v>0</v>
      </c>
      <c r="AV4839" s="2">
        <v>0</v>
      </c>
      <c r="AW4839" s="2">
        <v>0</v>
      </c>
      <c r="AX4839" s="2">
        <v>0</v>
      </c>
      <c r="AY4839" s="2">
        <v>0</v>
      </c>
      <c r="AZ4839" s="2">
        <v>0</v>
      </c>
      <c r="BA4839" s="2">
        <v>0</v>
      </c>
      <c r="BB4839" s="2">
        <v>0</v>
      </c>
      <c r="BC4839" s="2">
        <v>0</v>
      </c>
      <c r="BD4839" s="2">
        <v>0</v>
      </c>
      <c r="BE4839" s="2">
        <v>0</v>
      </c>
      <c r="BF4839" s="2">
        <v>0</v>
      </c>
      <c r="BG4839" s="2">
        <v>0</v>
      </c>
      <c r="BH4839" s="2">
        <v>1</v>
      </c>
      <c r="BI4839" s="2">
        <v>1</v>
      </c>
      <c r="BJ4839" s="2">
        <v>0.2</v>
      </c>
      <c r="BK4839" s="2">
        <v>1</v>
      </c>
      <c r="BL4839" s="2">
        <v>32.380000000000003</v>
      </c>
      <c r="BM4839" s="2">
        <v>4.53</v>
      </c>
      <c r="BN4839" s="2">
        <v>36.909999999999997</v>
      </c>
      <c r="BO4839" s="2">
        <v>36.909999999999997</v>
      </c>
      <c r="BP4839" s="2"/>
      <c r="BQ4839" s="2" t="s">
        <v>83</v>
      </c>
      <c r="BR4839" s="2" t="s">
        <v>84</v>
      </c>
      <c r="BS4839" s="3">
        <v>42955</v>
      </c>
      <c r="BT4839" s="4">
        <v>0.42986111111111108</v>
      </c>
      <c r="BU4839" s="2" t="s">
        <v>2917</v>
      </c>
      <c r="BV4839" s="2" t="s">
        <v>95</v>
      </c>
      <c r="BW4839" s="2"/>
      <c r="BX4839" s="2"/>
      <c r="BY4839" s="2">
        <v>1200</v>
      </c>
      <c r="BZ4839" s="2"/>
      <c r="CA4839" s="2"/>
      <c r="CB4839" s="2"/>
      <c r="CC4839" s="2" t="s">
        <v>145</v>
      </c>
      <c r="CD4839" s="2">
        <v>2157</v>
      </c>
      <c r="CE4839" s="2" t="s">
        <v>104</v>
      </c>
      <c r="CF4839" s="5">
        <v>42957</v>
      </c>
      <c r="CG4839" s="2"/>
      <c r="CH4839" s="2"/>
      <c r="CI4839" s="2">
        <v>1</v>
      </c>
      <c r="CJ4839" s="2">
        <v>1</v>
      </c>
      <c r="CK4839" s="2">
        <v>22</v>
      </c>
      <c r="CL4839" s="2" t="s">
        <v>86</v>
      </c>
      <c r="CM4839" s="2"/>
    </row>
    <row r="4840" spans="1:91">
      <c r="A4840" s="2" t="s">
        <v>71</v>
      </c>
      <c r="B4840" s="2" t="s">
        <v>72</v>
      </c>
      <c r="C4840" s="2" t="s">
        <v>73</v>
      </c>
      <c r="D4840" s="2"/>
      <c r="E4840" s="2" t="str">
        <f>"FES1162567274"</f>
        <v>FES1162567274</v>
      </c>
      <c r="F4840" s="3">
        <v>42954</v>
      </c>
      <c r="G4840" s="2">
        <v>201802</v>
      </c>
      <c r="H4840" s="2" t="s">
        <v>74</v>
      </c>
      <c r="I4840" s="2" t="s">
        <v>75</v>
      </c>
      <c r="J4840" s="2" t="s">
        <v>76</v>
      </c>
      <c r="K4840" s="2" t="s">
        <v>77</v>
      </c>
      <c r="L4840" s="2" t="s">
        <v>144</v>
      </c>
      <c r="M4840" s="2" t="s">
        <v>145</v>
      </c>
      <c r="N4840" s="2" t="s">
        <v>146</v>
      </c>
      <c r="O4840" s="2" t="s">
        <v>100</v>
      </c>
      <c r="P4840" s="2" t="str">
        <f>"2170583431                    "</f>
        <v xml:space="preserve">2170583431                    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0</v>
      </c>
      <c r="Y4840" s="2">
        <v>0</v>
      </c>
      <c r="Z4840" s="2">
        <v>0</v>
      </c>
      <c r="AA4840" s="2">
        <v>0</v>
      </c>
      <c r="AB4840" s="2">
        <v>0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3.13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2">
        <v>0</v>
      </c>
      <c r="AT4840" s="2">
        <v>0</v>
      </c>
      <c r="AU4840" s="2">
        <v>0</v>
      </c>
      <c r="AV4840" s="2">
        <v>0</v>
      </c>
      <c r="AW4840" s="2">
        <v>0</v>
      </c>
      <c r="AX4840" s="2">
        <v>0</v>
      </c>
      <c r="AY4840" s="2">
        <v>0</v>
      </c>
      <c r="AZ4840" s="2">
        <v>0</v>
      </c>
      <c r="BA4840" s="2">
        <v>0</v>
      </c>
      <c r="BB4840" s="2">
        <v>0</v>
      </c>
      <c r="BC4840" s="2">
        <v>0</v>
      </c>
      <c r="BD4840" s="2">
        <v>0</v>
      </c>
      <c r="BE4840" s="2">
        <v>0</v>
      </c>
      <c r="BF4840" s="2">
        <v>0</v>
      </c>
      <c r="BG4840" s="2">
        <v>0</v>
      </c>
      <c r="BH4840" s="2">
        <v>1</v>
      </c>
      <c r="BI4840" s="2">
        <v>1</v>
      </c>
      <c r="BJ4840" s="2">
        <v>0.2</v>
      </c>
      <c r="BK4840" s="2">
        <v>1</v>
      </c>
      <c r="BL4840" s="2">
        <v>32.380000000000003</v>
      </c>
      <c r="BM4840" s="2">
        <v>4.53</v>
      </c>
      <c r="BN4840" s="2">
        <v>36.909999999999997</v>
      </c>
      <c r="BO4840" s="2">
        <v>36.909999999999997</v>
      </c>
      <c r="BP4840" s="2"/>
      <c r="BQ4840" s="2" t="s">
        <v>83</v>
      </c>
      <c r="BR4840" s="2" t="s">
        <v>84</v>
      </c>
      <c r="BS4840" s="3">
        <v>42955</v>
      </c>
      <c r="BT4840" s="4">
        <v>0.40486111111111112</v>
      </c>
      <c r="BU4840" s="2" t="s">
        <v>1458</v>
      </c>
      <c r="BV4840" s="2" t="s">
        <v>95</v>
      </c>
      <c r="BW4840" s="2"/>
      <c r="BX4840" s="2"/>
      <c r="BY4840" s="2">
        <v>1200</v>
      </c>
      <c r="BZ4840" s="2"/>
      <c r="CA4840" s="2" t="s">
        <v>729</v>
      </c>
      <c r="CB4840" s="2"/>
      <c r="CC4840" s="2" t="s">
        <v>145</v>
      </c>
      <c r="CD4840" s="2">
        <v>2094</v>
      </c>
      <c r="CE4840" s="2" t="s">
        <v>104</v>
      </c>
      <c r="CF4840" s="5">
        <v>42957</v>
      </c>
      <c r="CG4840" s="2"/>
      <c r="CH4840" s="2"/>
      <c r="CI4840" s="2">
        <v>1</v>
      </c>
      <c r="CJ4840" s="2">
        <v>1</v>
      </c>
      <c r="CK4840" s="2">
        <v>22</v>
      </c>
      <c r="CL4840" s="2" t="s">
        <v>86</v>
      </c>
      <c r="CM4840" s="2"/>
    </row>
    <row r="4841" spans="1:91">
      <c r="A4841" s="2" t="s">
        <v>71</v>
      </c>
      <c r="B4841" s="2" t="s">
        <v>72</v>
      </c>
      <c r="C4841" s="2" t="s">
        <v>73</v>
      </c>
      <c r="D4841" s="2"/>
      <c r="E4841" s="2" t="str">
        <f>"FES1162567376"</f>
        <v>FES1162567376</v>
      </c>
      <c r="F4841" s="3">
        <v>42954</v>
      </c>
      <c r="G4841" s="2">
        <v>201802</v>
      </c>
      <c r="H4841" s="2" t="s">
        <v>74</v>
      </c>
      <c r="I4841" s="2" t="s">
        <v>75</v>
      </c>
      <c r="J4841" s="2" t="s">
        <v>76</v>
      </c>
      <c r="K4841" s="2" t="s">
        <v>77</v>
      </c>
      <c r="L4841" s="2" t="s">
        <v>237</v>
      </c>
      <c r="M4841" s="2" t="s">
        <v>238</v>
      </c>
      <c r="N4841" s="2" t="s">
        <v>2002</v>
      </c>
      <c r="O4841" s="2" t="s">
        <v>100</v>
      </c>
      <c r="P4841" s="2" t="str">
        <f>"2170583537                    "</f>
        <v xml:space="preserve">2170583537                    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0</v>
      </c>
      <c r="Y4841" s="2">
        <v>0</v>
      </c>
      <c r="Z4841" s="2">
        <v>0</v>
      </c>
      <c r="AA4841" s="2">
        <v>0</v>
      </c>
      <c r="AB4841" s="2">
        <v>0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  <c r="AM4841" s="2">
        <v>4</v>
      </c>
      <c r="AN4841" s="2">
        <v>0</v>
      </c>
      <c r="AO4841" s="2">
        <v>0</v>
      </c>
      <c r="AP4841" s="2">
        <v>0</v>
      </c>
      <c r="AQ4841" s="2">
        <v>0</v>
      </c>
      <c r="AR4841" s="2">
        <v>0</v>
      </c>
      <c r="AS4841" s="2">
        <v>0</v>
      </c>
      <c r="AT4841" s="2">
        <v>0</v>
      </c>
      <c r="AU4841" s="2">
        <v>0</v>
      </c>
      <c r="AV4841" s="2">
        <v>0</v>
      </c>
      <c r="AW4841" s="2">
        <v>0</v>
      </c>
      <c r="AX4841" s="2">
        <v>0</v>
      </c>
      <c r="AY4841" s="2">
        <v>0</v>
      </c>
      <c r="AZ4841" s="2">
        <v>0</v>
      </c>
      <c r="BA4841" s="2">
        <v>0</v>
      </c>
      <c r="BB4841" s="2">
        <v>0</v>
      </c>
      <c r="BC4841" s="2">
        <v>0</v>
      </c>
      <c r="BD4841" s="2">
        <v>0</v>
      </c>
      <c r="BE4841" s="2">
        <v>0</v>
      </c>
      <c r="BF4841" s="2">
        <v>0</v>
      </c>
      <c r="BG4841" s="2">
        <v>0</v>
      </c>
      <c r="BH4841" s="2">
        <v>1</v>
      </c>
      <c r="BI4841" s="2">
        <v>1</v>
      </c>
      <c r="BJ4841" s="2">
        <v>0.2</v>
      </c>
      <c r="BK4841" s="2">
        <v>1</v>
      </c>
      <c r="BL4841" s="2">
        <v>41.44</v>
      </c>
      <c r="BM4841" s="2">
        <v>5.8</v>
      </c>
      <c r="BN4841" s="2">
        <v>47.24</v>
      </c>
      <c r="BO4841" s="2">
        <v>47.24</v>
      </c>
      <c r="BP4841" s="2"/>
      <c r="BQ4841" s="2" t="s">
        <v>365</v>
      </c>
      <c r="BR4841" s="2" t="s">
        <v>84</v>
      </c>
      <c r="BS4841" s="3">
        <v>42955</v>
      </c>
      <c r="BT4841" s="4">
        <v>0.4201388888888889</v>
      </c>
      <c r="BU4841" s="2" t="s">
        <v>755</v>
      </c>
      <c r="BV4841" s="2" t="s">
        <v>95</v>
      </c>
      <c r="BW4841" s="2"/>
      <c r="BX4841" s="2"/>
      <c r="BY4841" s="2">
        <v>1200</v>
      </c>
      <c r="BZ4841" s="2"/>
      <c r="CA4841" s="2" t="s">
        <v>672</v>
      </c>
      <c r="CB4841" s="2"/>
      <c r="CC4841" s="2" t="s">
        <v>238</v>
      </c>
      <c r="CD4841" s="2">
        <v>3610</v>
      </c>
      <c r="CE4841" s="2" t="s">
        <v>104</v>
      </c>
      <c r="CF4841" s="5">
        <v>42957</v>
      </c>
      <c r="CG4841" s="2"/>
      <c r="CH4841" s="2"/>
      <c r="CI4841" s="2">
        <v>1</v>
      </c>
      <c r="CJ4841" s="2">
        <v>1</v>
      </c>
      <c r="CK4841" s="2">
        <v>21</v>
      </c>
      <c r="CL4841" s="2" t="s">
        <v>86</v>
      </c>
      <c r="CM4841" s="2"/>
    </row>
    <row r="4842" spans="1:91">
      <c r="A4842" s="2" t="s">
        <v>71</v>
      </c>
      <c r="B4842" s="2" t="s">
        <v>72</v>
      </c>
      <c r="C4842" s="2" t="s">
        <v>73</v>
      </c>
      <c r="D4842" s="2"/>
      <c r="E4842" s="2" t="str">
        <f>"FES1162567383"</f>
        <v>FES1162567383</v>
      </c>
      <c r="F4842" s="3">
        <v>42954</v>
      </c>
      <c r="G4842" s="2">
        <v>201802</v>
      </c>
      <c r="H4842" s="2" t="s">
        <v>74</v>
      </c>
      <c r="I4842" s="2" t="s">
        <v>75</v>
      </c>
      <c r="J4842" s="2" t="s">
        <v>76</v>
      </c>
      <c r="K4842" s="2" t="s">
        <v>77</v>
      </c>
      <c r="L4842" s="2" t="s">
        <v>604</v>
      </c>
      <c r="M4842" s="2" t="s">
        <v>605</v>
      </c>
      <c r="N4842" s="2" t="s">
        <v>1907</v>
      </c>
      <c r="O4842" s="2" t="s">
        <v>100</v>
      </c>
      <c r="P4842" s="2" t="str">
        <f>"2170583544                    "</f>
        <v xml:space="preserve">2170583544                    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0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4</v>
      </c>
      <c r="AN4842" s="2">
        <v>0</v>
      </c>
      <c r="AO4842" s="2">
        <v>0</v>
      </c>
      <c r="AP4842" s="2">
        <v>0</v>
      </c>
      <c r="AQ4842" s="2">
        <v>0</v>
      </c>
      <c r="AR4842" s="2">
        <v>0</v>
      </c>
      <c r="AS4842" s="2">
        <v>0</v>
      </c>
      <c r="AT4842" s="2">
        <v>0</v>
      </c>
      <c r="AU4842" s="2">
        <v>0</v>
      </c>
      <c r="AV4842" s="2">
        <v>0</v>
      </c>
      <c r="AW4842" s="2">
        <v>0</v>
      </c>
      <c r="AX4842" s="2">
        <v>0</v>
      </c>
      <c r="AY4842" s="2">
        <v>0</v>
      </c>
      <c r="AZ4842" s="2">
        <v>0</v>
      </c>
      <c r="BA4842" s="2">
        <v>0</v>
      </c>
      <c r="BB4842" s="2">
        <v>0</v>
      </c>
      <c r="BC4842" s="2">
        <v>0</v>
      </c>
      <c r="BD4842" s="2">
        <v>0</v>
      </c>
      <c r="BE4842" s="2">
        <v>0</v>
      </c>
      <c r="BF4842" s="2">
        <v>0</v>
      </c>
      <c r="BG4842" s="2">
        <v>0</v>
      </c>
      <c r="BH4842" s="2">
        <v>1</v>
      </c>
      <c r="BI4842" s="2">
        <v>1</v>
      </c>
      <c r="BJ4842" s="2">
        <v>0.2</v>
      </c>
      <c r="BK4842" s="2">
        <v>1</v>
      </c>
      <c r="BL4842" s="2">
        <v>41.44</v>
      </c>
      <c r="BM4842" s="2">
        <v>5.8</v>
      </c>
      <c r="BN4842" s="2">
        <v>47.24</v>
      </c>
      <c r="BO4842" s="2">
        <v>47.24</v>
      </c>
      <c r="BP4842" s="2"/>
      <c r="BQ4842" s="2" t="s">
        <v>1540</v>
      </c>
      <c r="BR4842" s="2" t="s">
        <v>84</v>
      </c>
      <c r="BS4842" s="3">
        <v>42955</v>
      </c>
      <c r="BT4842" s="4">
        <v>0.375</v>
      </c>
      <c r="BU4842" s="2" t="s">
        <v>1649</v>
      </c>
      <c r="BV4842" s="2" t="s">
        <v>95</v>
      </c>
      <c r="BW4842" s="2"/>
      <c r="BX4842" s="2"/>
      <c r="BY4842" s="2">
        <v>1200</v>
      </c>
      <c r="BZ4842" s="2"/>
      <c r="CA4842" s="2" t="s">
        <v>607</v>
      </c>
      <c r="CB4842" s="2"/>
      <c r="CC4842" s="2" t="s">
        <v>605</v>
      </c>
      <c r="CD4842" s="2">
        <v>4126</v>
      </c>
      <c r="CE4842" s="2" t="s">
        <v>104</v>
      </c>
      <c r="CF4842" s="5">
        <v>42957</v>
      </c>
      <c r="CG4842" s="2"/>
      <c r="CH4842" s="2"/>
      <c r="CI4842" s="2">
        <v>1</v>
      </c>
      <c r="CJ4842" s="2">
        <v>1</v>
      </c>
      <c r="CK4842" s="2">
        <v>21</v>
      </c>
      <c r="CL4842" s="2" t="s">
        <v>86</v>
      </c>
      <c r="CM4842" s="2"/>
    </row>
    <row r="4843" spans="1:91">
      <c r="A4843" s="2" t="s">
        <v>71</v>
      </c>
      <c r="B4843" s="2" t="s">
        <v>72</v>
      </c>
      <c r="C4843" s="2" t="s">
        <v>73</v>
      </c>
      <c r="D4843" s="2"/>
      <c r="E4843" s="2" t="str">
        <f>"FES1162567365"</f>
        <v>FES1162567365</v>
      </c>
      <c r="F4843" s="3">
        <v>42954</v>
      </c>
      <c r="G4843" s="2">
        <v>201802</v>
      </c>
      <c r="H4843" s="2" t="s">
        <v>74</v>
      </c>
      <c r="I4843" s="2" t="s">
        <v>75</v>
      </c>
      <c r="J4843" s="2" t="s">
        <v>76</v>
      </c>
      <c r="K4843" s="2" t="s">
        <v>77</v>
      </c>
      <c r="L4843" s="2" t="s">
        <v>268</v>
      </c>
      <c r="M4843" s="2" t="s">
        <v>269</v>
      </c>
      <c r="N4843" s="2" t="s">
        <v>1002</v>
      </c>
      <c r="O4843" s="2" t="s">
        <v>100</v>
      </c>
      <c r="P4843" s="2" t="str">
        <f>"2170581485                    "</f>
        <v xml:space="preserve">2170581485                    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0</v>
      </c>
      <c r="Y4843" s="2">
        <v>0</v>
      </c>
      <c r="Z4843" s="2">
        <v>0</v>
      </c>
      <c r="AA4843" s="2">
        <v>0</v>
      </c>
      <c r="AB4843" s="2">
        <v>0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4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2">
        <v>0</v>
      </c>
      <c r="AT4843" s="2">
        <v>0</v>
      </c>
      <c r="AU4843" s="2">
        <v>0</v>
      </c>
      <c r="AV4843" s="2">
        <v>0</v>
      </c>
      <c r="AW4843" s="2">
        <v>0</v>
      </c>
      <c r="AX4843" s="2">
        <v>0</v>
      </c>
      <c r="AY4843" s="2">
        <v>0</v>
      </c>
      <c r="AZ4843" s="2">
        <v>0</v>
      </c>
      <c r="BA4843" s="2">
        <v>0</v>
      </c>
      <c r="BB4843" s="2">
        <v>0</v>
      </c>
      <c r="BC4843" s="2">
        <v>0</v>
      </c>
      <c r="BD4843" s="2">
        <v>0</v>
      </c>
      <c r="BE4843" s="2">
        <v>0</v>
      </c>
      <c r="BF4843" s="2">
        <v>0</v>
      </c>
      <c r="BG4843" s="2">
        <v>0</v>
      </c>
      <c r="BH4843" s="2">
        <v>1</v>
      </c>
      <c r="BI4843" s="2">
        <v>1</v>
      </c>
      <c r="BJ4843" s="2">
        <v>0.2</v>
      </c>
      <c r="BK4843" s="2">
        <v>1</v>
      </c>
      <c r="BL4843" s="2">
        <v>41.44</v>
      </c>
      <c r="BM4843" s="2">
        <v>5.8</v>
      </c>
      <c r="BN4843" s="2">
        <v>47.24</v>
      </c>
      <c r="BO4843" s="2">
        <v>47.24</v>
      </c>
      <c r="BP4843" s="2"/>
      <c r="BQ4843" s="2" t="s">
        <v>4207</v>
      </c>
      <c r="BR4843" s="2" t="s">
        <v>84</v>
      </c>
      <c r="BS4843" s="3">
        <v>42955</v>
      </c>
      <c r="BT4843" s="4">
        <v>0.46875</v>
      </c>
      <c r="BU4843" s="2" t="s">
        <v>4240</v>
      </c>
      <c r="BV4843" s="2" t="s">
        <v>86</v>
      </c>
      <c r="BW4843" s="2" t="s">
        <v>110</v>
      </c>
      <c r="BX4843" s="2" t="s">
        <v>444</v>
      </c>
      <c r="BY4843" s="2">
        <v>1200</v>
      </c>
      <c r="BZ4843" s="2"/>
      <c r="CA4843" s="2" t="s">
        <v>272</v>
      </c>
      <c r="CB4843" s="2"/>
      <c r="CC4843" s="2" t="s">
        <v>269</v>
      </c>
      <c r="CD4843" s="2">
        <v>200</v>
      </c>
      <c r="CE4843" s="2" t="s">
        <v>104</v>
      </c>
      <c r="CF4843" s="5">
        <v>42957</v>
      </c>
      <c r="CG4843" s="2"/>
      <c r="CH4843" s="2"/>
      <c r="CI4843" s="2">
        <v>1</v>
      </c>
      <c r="CJ4843" s="2">
        <v>1</v>
      </c>
      <c r="CK4843" s="2">
        <v>21</v>
      </c>
      <c r="CL4843" s="2" t="s">
        <v>86</v>
      </c>
      <c r="CM4843" s="2"/>
    </row>
    <row r="4844" spans="1:91">
      <c r="A4844" s="2" t="s">
        <v>71</v>
      </c>
      <c r="B4844" s="2" t="s">
        <v>72</v>
      </c>
      <c r="C4844" s="2" t="s">
        <v>73</v>
      </c>
      <c r="D4844" s="2"/>
      <c r="E4844" s="2" t="str">
        <f>"FES1162567424"</f>
        <v>FES1162567424</v>
      </c>
      <c r="F4844" s="3">
        <v>42954</v>
      </c>
      <c r="G4844" s="2">
        <v>201802</v>
      </c>
      <c r="H4844" s="2" t="s">
        <v>74</v>
      </c>
      <c r="I4844" s="2" t="s">
        <v>75</v>
      </c>
      <c r="J4844" s="2" t="s">
        <v>76</v>
      </c>
      <c r="K4844" s="2" t="s">
        <v>77</v>
      </c>
      <c r="L4844" s="2" t="s">
        <v>221</v>
      </c>
      <c r="M4844" s="2" t="s">
        <v>222</v>
      </c>
      <c r="N4844" s="2" t="s">
        <v>415</v>
      </c>
      <c r="O4844" s="2" t="s">
        <v>100</v>
      </c>
      <c r="P4844" s="2" t="str">
        <f>"2170583580                    "</f>
        <v xml:space="preserve">2170583580                    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0</v>
      </c>
      <c r="Y4844" s="2">
        <v>0</v>
      </c>
      <c r="Z4844" s="2">
        <v>0</v>
      </c>
      <c r="AA4844" s="2">
        <v>0</v>
      </c>
      <c r="AB4844" s="2">
        <v>0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4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2">
        <v>0</v>
      </c>
      <c r="AT4844" s="2">
        <v>0</v>
      </c>
      <c r="AU4844" s="2">
        <v>0</v>
      </c>
      <c r="AV4844" s="2">
        <v>0</v>
      </c>
      <c r="AW4844" s="2">
        <v>0</v>
      </c>
      <c r="AX4844" s="2">
        <v>0</v>
      </c>
      <c r="AY4844" s="2">
        <v>0</v>
      </c>
      <c r="AZ4844" s="2">
        <v>0</v>
      </c>
      <c r="BA4844" s="2">
        <v>0</v>
      </c>
      <c r="BB4844" s="2">
        <v>0</v>
      </c>
      <c r="BC4844" s="2">
        <v>0</v>
      </c>
      <c r="BD4844" s="2">
        <v>0</v>
      </c>
      <c r="BE4844" s="2">
        <v>0</v>
      </c>
      <c r="BF4844" s="2">
        <v>0</v>
      </c>
      <c r="BG4844" s="2">
        <v>0</v>
      </c>
      <c r="BH4844" s="2">
        <v>1</v>
      </c>
      <c r="BI4844" s="2">
        <v>1</v>
      </c>
      <c r="BJ4844" s="2">
        <v>0.2</v>
      </c>
      <c r="BK4844" s="2">
        <v>1</v>
      </c>
      <c r="BL4844" s="2">
        <v>41.44</v>
      </c>
      <c r="BM4844" s="2">
        <v>5.8</v>
      </c>
      <c r="BN4844" s="2">
        <v>47.24</v>
      </c>
      <c r="BO4844" s="2">
        <v>47.24</v>
      </c>
      <c r="BP4844" s="2"/>
      <c r="BQ4844" s="2" t="s">
        <v>108</v>
      </c>
      <c r="BR4844" s="2" t="s">
        <v>84</v>
      </c>
      <c r="BS4844" s="3">
        <v>42955</v>
      </c>
      <c r="BT4844" s="4">
        <v>0.36249999999999999</v>
      </c>
      <c r="BU4844" s="2" t="s">
        <v>4241</v>
      </c>
      <c r="BV4844" s="2" t="s">
        <v>95</v>
      </c>
      <c r="BW4844" s="2"/>
      <c r="BX4844" s="2"/>
      <c r="BY4844" s="2">
        <v>1200</v>
      </c>
      <c r="BZ4844" s="2"/>
      <c r="CA4844" s="2" t="s">
        <v>3640</v>
      </c>
      <c r="CB4844" s="2"/>
      <c r="CC4844" s="2" t="s">
        <v>222</v>
      </c>
      <c r="CD4844" s="2">
        <v>4302</v>
      </c>
      <c r="CE4844" s="2" t="s">
        <v>104</v>
      </c>
      <c r="CF4844" s="5">
        <v>42957</v>
      </c>
      <c r="CG4844" s="2"/>
      <c r="CH4844" s="2"/>
      <c r="CI4844" s="2">
        <v>1</v>
      </c>
      <c r="CJ4844" s="2">
        <v>1</v>
      </c>
      <c r="CK4844" s="2">
        <v>21</v>
      </c>
      <c r="CL4844" s="2" t="s">
        <v>86</v>
      </c>
      <c r="CM4844" s="2"/>
    </row>
    <row r="4845" spans="1:91">
      <c r="A4845" s="2" t="s">
        <v>71</v>
      </c>
      <c r="B4845" s="2" t="s">
        <v>72</v>
      </c>
      <c r="C4845" s="2" t="s">
        <v>73</v>
      </c>
      <c r="D4845" s="2"/>
      <c r="E4845" s="2" t="str">
        <f>"FES1162567181"</f>
        <v>FES1162567181</v>
      </c>
      <c r="F4845" s="3">
        <v>42954</v>
      </c>
      <c r="G4845" s="2">
        <v>201802</v>
      </c>
      <c r="H4845" s="2" t="s">
        <v>74</v>
      </c>
      <c r="I4845" s="2" t="s">
        <v>75</v>
      </c>
      <c r="J4845" s="2" t="s">
        <v>76</v>
      </c>
      <c r="K4845" s="2" t="s">
        <v>77</v>
      </c>
      <c r="L4845" s="2" t="s">
        <v>539</v>
      </c>
      <c r="M4845" s="2" t="s">
        <v>540</v>
      </c>
      <c r="N4845" s="2" t="s">
        <v>2480</v>
      </c>
      <c r="O4845" s="2" t="s">
        <v>100</v>
      </c>
      <c r="P4845" s="2" t="str">
        <f>"2170581011                    "</f>
        <v xml:space="preserve">2170581011                    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2">
        <v>0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3.13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2">
        <v>0</v>
      </c>
      <c r="AT4845" s="2">
        <v>0</v>
      </c>
      <c r="AU4845" s="2">
        <v>0</v>
      </c>
      <c r="AV4845" s="2">
        <v>0</v>
      </c>
      <c r="AW4845" s="2">
        <v>0</v>
      </c>
      <c r="AX4845" s="2">
        <v>0</v>
      </c>
      <c r="AY4845" s="2">
        <v>0</v>
      </c>
      <c r="AZ4845" s="2">
        <v>0</v>
      </c>
      <c r="BA4845" s="2">
        <v>0</v>
      </c>
      <c r="BB4845" s="2">
        <v>0</v>
      </c>
      <c r="BC4845" s="2">
        <v>0</v>
      </c>
      <c r="BD4845" s="2">
        <v>0</v>
      </c>
      <c r="BE4845" s="2">
        <v>0</v>
      </c>
      <c r="BF4845" s="2">
        <v>0</v>
      </c>
      <c r="BG4845" s="2">
        <v>0</v>
      </c>
      <c r="BH4845" s="2">
        <v>1</v>
      </c>
      <c r="BI4845" s="2">
        <v>1</v>
      </c>
      <c r="BJ4845" s="2">
        <v>0.2</v>
      </c>
      <c r="BK4845" s="2">
        <v>1</v>
      </c>
      <c r="BL4845" s="2">
        <v>32.380000000000003</v>
      </c>
      <c r="BM4845" s="2">
        <v>4.53</v>
      </c>
      <c r="BN4845" s="2">
        <v>36.909999999999997</v>
      </c>
      <c r="BO4845" s="2">
        <v>36.909999999999997</v>
      </c>
      <c r="BP4845" s="2"/>
      <c r="BQ4845" s="2" t="s">
        <v>83</v>
      </c>
      <c r="BR4845" s="2" t="s">
        <v>84</v>
      </c>
      <c r="BS4845" s="3">
        <v>42955</v>
      </c>
      <c r="BT4845" s="4">
        <v>0.40069444444444446</v>
      </c>
      <c r="BU4845" s="2" t="s">
        <v>4242</v>
      </c>
      <c r="BV4845" s="2" t="s">
        <v>95</v>
      </c>
      <c r="BW4845" s="2"/>
      <c r="BX4845" s="2"/>
      <c r="BY4845" s="2">
        <v>1200</v>
      </c>
      <c r="BZ4845" s="2"/>
      <c r="CA4845" s="2" t="s">
        <v>200</v>
      </c>
      <c r="CB4845" s="2"/>
      <c r="CC4845" s="2" t="s">
        <v>540</v>
      </c>
      <c r="CD4845" s="2">
        <v>2125</v>
      </c>
      <c r="CE4845" s="2" t="s">
        <v>104</v>
      </c>
      <c r="CF4845" s="5">
        <v>42957</v>
      </c>
      <c r="CG4845" s="2"/>
      <c r="CH4845" s="2"/>
      <c r="CI4845" s="2">
        <v>1</v>
      </c>
      <c r="CJ4845" s="2">
        <v>1</v>
      </c>
      <c r="CK4845" s="2">
        <v>22</v>
      </c>
      <c r="CL4845" s="2" t="s">
        <v>86</v>
      </c>
      <c r="CM4845" s="2"/>
    </row>
    <row r="4846" spans="1:91">
      <c r="A4846" s="2" t="s">
        <v>71</v>
      </c>
      <c r="B4846" s="2" t="s">
        <v>72</v>
      </c>
      <c r="C4846" s="2" t="s">
        <v>73</v>
      </c>
      <c r="D4846" s="2"/>
      <c r="E4846" s="2" t="str">
        <f>"FES1162567370"</f>
        <v>FES1162567370</v>
      </c>
      <c r="F4846" s="3">
        <v>42954</v>
      </c>
      <c r="G4846" s="2">
        <v>201802</v>
      </c>
      <c r="H4846" s="2" t="s">
        <v>74</v>
      </c>
      <c r="I4846" s="2" t="s">
        <v>75</v>
      </c>
      <c r="J4846" s="2" t="s">
        <v>76</v>
      </c>
      <c r="K4846" s="2" t="s">
        <v>77</v>
      </c>
      <c r="L4846" s="2" t="s">
        <v>924</v>
      </c>
      <c r="M4846" s="2" t="s">
        <v>925</v>
      </c>
      <c r="N4846" s="2" t="s">
        <v>1684</v>
      </c>
      <c r="O4846" s="2" t="s">
        <v>100</v>
      </c>
      <c r="P4846" s="2" t="str">
        <f>"2170583535                    "</f>
        <v xml:space="preserve">2170583535                    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0</v>
      </c>
      <c r="Y4846" s="2">
        <v>0</v>
      </c>
      <c r="Z4846" s="2">
        <v>0</v>
      </c>
      <c r="AA4846" s="2">
        <v>0</v>
      </c>
      <c r="AB4846" s="2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4</v>
      </c>
      <c r="AN4846" s="2">
        <v>0</v>
      </c>
      <c r="AO4846" s="2">
        <v>0</v>
      </c>
      <c r="AP4846" s="2">
        <v>0</v>
      </c>
      <c r="AQ4846" s="2">
        <v>0</v>
      </c>
      <c r="AR4846" s="2">
        <v>0</v>
      </c>
      <c r="AS4846" s="2">
        <v>0</v>
      </c>
      <c r="AT4846" s="2">
        <v>0</v>
      </c>
      <c r="AU4846" s="2">
        <v>0</v>
      </c>
      <c r="AV4846" s="2">
        <v>0</v>
      </c>
      <c r="AW4846" s="2">
        <v>0</v>
      </c>
      <c r="AX4846" s="2">
        <v>0</v>
      </c>
      <c r="AY4846" s="2">
        <v>0</v>
      </c>
      <c r="AZ4846" s="2">
        <v>0</v>
      </c>
      <c r="BA4846" s="2">
        <v>0</v>
      </c>
      <c r="BB4846" s="2">
        <v>0</v>
      </c>
      <c r="BC4846" s="2">
        <v>0</v>
      </c>
      <c r="BD4846" s="2">
        <v>0</v>
      </c>
      <c r="BE4846" s="2">
        <v>0</v>
      </c>
      <c r="BF4846" s="2">
        <v>0</v>
      </c>
      <c r="BG4846" s="2">
        <v>0</v>
      </c>
      <c r="BH4846" s="2">
        <v>1</v>
      </c>
      <c r="BI4846" s="2">
        <v>1</v>
      </c>
      <c r="BJ4846" s="2">
        <v>0.2</v>
      </c>
      <c r="BK4846" s="2">
        <v>1</v>
      </c>
      <c r="BL4846" s="2">
        <v>41.44</v>
      </c>
      <c r="BM4846" s="2">
        <v>5.8</v>
      </c>
      <c r="BN4846" s="2">
        <v>47.24</v>
      </c>
      <c r="BO4846" s="2">
        <v>47.24</v>
      </c>
      <c r="BP4846" s="2"/>
      <c r="BQ4846" s="2" t="s">
        <v>83</v>
      </c>
      <c r="BR4846" s="2" t="s">
        <v>84</v>
      </c>
      <c r="BS4846" s="3">
        <v>42955</v>
      </c>
      <c r="BT4846" s="4">
        <v>0.35555555555555557</v>
      </c>
      <c r="BU4846" s="2" t="s">
        <v>1685</v>
      </c>
      <c r="BV4846" s="2" t="s">
        <v>95</v>
      </c>
      <c r="BW4846" s="2"/>
      <c r="BX4846" s="2"/>
      <c r="BY4846" s="2">
        <v>1200</v>
      </c>
      <c r="BZ4846" s="2"/>
      <c r="CA4846" s="2" t="s">
        <v>205</v>
      </c>
      <c r="CB4846" s="2"/>
      <c r="CC4846" s="2" t="s">
        <v>925</v>
      </c>
      <c r="CD4846" s="2">
        <v>7600</v>
      </c>
      <c r="CE4846" s="2" t="s">
        <v>104</v>
      </c>
      <c r="CF4846" s="5">
        <v>42957</v>
      </c>
      <c r="CG4846" s="2"/>
      <c r="CH4846" s="2"/>
      <c r="CI4846" s="2">
        <v>1</v>
      </c>
      <c r="CJ4846" s="2">
        <v>1</v>
      </c>
      <c r="CK4846" s="2">
        <v>21</v>
      </c>
      <c r="CL4846" s="2" t="s">
        <v>86</v>
      </c>
      <c r="CM4846" s="2"/>
    </row>
    <row r="4847" spans="1:91">
      <c r="A4847" s="2" t="s">
        <v>71</v>
      </c>
      <c r="B4847" s="2" t="s">
        <v>72</v>
      </c>
      <c r="C4847" s="2" t="s">
        <v>73</v>
      </c>
      <c r="D4847" s="2"/>
      <c r="E4847" s="2" t="str">
        <f>"FES1162567246"</f>
        <v>FES1162567246</v>
      </c>
      <c r="F4847" s="3">
        <v>42954</v>
      </c>
      <c r="G4847" s="2">
        <v>201802</v>
      </c>
      <c r="H4847" s="2" t="s">
        <v>74</v>
      </c>
      <c r="I4847" s="2" t="s">
        <v>75</v>
      </c>
      <c r="J4847" s="2" t="s">
        <v>76</v>
      </c>
      <c r="K4847" s="2" t="s">
        <v>77</v>
      </c>
      <c r="L4847" s="2" t="s">
        <v>216</v>
      </c>
      <c r="M4847" s="2" t="s">
        <v>217</v>
      </c>
      <c r="N4847" s="2" t="s">
        <v>374</v>
      </c>
      <c r="O4847" s="2" t="s">
        <v>100</v>
      </c>
      <c r="P4847" s="2" t="str">
        <f>"2170583397                    "</f>
        <v xml:space="preserve">2170583397                    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3.13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2">
        <v>0</v>
      </c>
      <c r="AT4847" s="2">
        <v>0</v>
      </c>
      <c r="AU4847" s="2">
        <v>0</v>
      </c>
      <c r="AV4847" s="2">
        <v>0</v>
      </c>
      <c r="AW4847" s="2">
        <v>0</v>
      </c>
      <c r="AX4847" s="2">
        <v>0</v>
      </c>
      <c r="AY4847" s="2">
        <v>0</v>
      </c>
      <c r="AZ4847" s="2">
        <v>0</v>
      </c>
      <c r="BA4847" s="2">
        <v>0</v>
      </c>
      <c r="BB4847" s="2">
        <v>0</v>
      </c>
      <c r="BC4847" s="2">
        <v>0</v>
      </c>
      <c r="BD4847" s="2">
        <v>0</v>
      </c>
      <c r="BE4847" s="2">
        <v>0</v>
      </c>
      <c r="BF4847" s="2">
        <v>0</v>
      </c>
      <c r="BG4847" s="2">
        <v>0</v>
      </c>
      <c r="BH4847" s="2">
        <v>1</v>
      </c>
      <c r="BI4847" s="2">
        <v>1</v>
      </c>
      <c r="BJ4847" s="2">
        <v>0.2</v>
      </c>
      <c r="BK4847" s="2">
        <v>1</v>
      </c>
      <c r="BL4847" s="2">
        <v>32.380000000000003</v>
      </c>
      <c r="BM4847" s="2">
        <v>4.53</v>
      </c>
      <c r="BN4847" s="2">
        <v>36.909999999999997</v>
      </c>
      <c r="BO4847" s="2">
        <v>36.909999999999997</v>
      </c>
      <c r="BP4847" s="2"/>
      <c r="BQ4847" s="2" t="s">
        <v>83</v>
      </c>
      <c r="BR4847" s="2" t="s">
        <v>84</v>
      </c>
      <c r="BS4847" s="3">
        <v>42955</v>
      </c>
      <c r="BT4847" s="4">
        <v>0.43333333333333335</v>
      </c>
      <c r="BU4847" s="2" t="s">
        <v>375</v>
      </c>
      <c r="BV4847" s="2" t="s">
        <v>95</v>
      </c>
      <c r="BW4847" s="2"/>
      <c r="BX4847" s="2"/>
      <c r="BY4847" s="2">
        <v>1200</v>
      </c>
      <c r="BZ4847" s="2"/>
      <c r="CA4847" s="2"/>
      <c r="CB4847" s="2"/>
      <c r="CC4847" s="2" t="s">
        <v>217</v>
      </c>
      <c r="CD4847" s="2">
        <v>1451</v>
      </c>
      <c r="CE4847" s="2" t="s">
        <v>104</v>
      </c>
      <c r="CF4847" s="5">
        <v>42957</v>
      </c>
      <c r="CG4847" s="2"/>
      <c r="CH4847" s="2"/>
      <c r="CI4847" s="2">
        <v>1</v>
      </c>
      <c r="CJ4847" s="2">
        <v>1</v>
      </c>
      <c r="CK4847" s="2">
        <v>22</v>
      </c>
      <c r="CL4847" s="2" t="s">
        <v>86</v>
      </c>
      <c r="CM4847" s="2"/>
    </row>
    <row r="4848" spans="1:91">
      <c r="A4848" s="2" t="s">
        <v>71</v>
      </c>
      <c r="B4848" s="2" t="s">
        <v>72</v>
      </c>
      <c r="C4848" s="2" t="s">
        <v>73</v>
      </c>
      <c r="D4848" s="2"/>
      <c r="E4848" s="2" t="str">
        <f>"FES1162567154"</f>
        <v>FES1162567154</v>
      </c>
      <c r="F4848" s="3">
        <v>42954</v>
      </c>
      <c r="G4848" s="2">
        <v>201802</v>
      </c>
      <c r="H4848" s="2" t="s">
        <v>74</v>
      </c>
      <c r="I4848" s="2" t="s">
        <v>75</v>
      </c>
      <c r="J4848" s="2" t="s">
        <v>76</v>
      </c>
      <c r="K4848" s="2" t="s">
        <v>77</v>
      </c>
      <c r="L4848" s="2" t="s">
        <v>144</v>
      </c>
      <c r="M4848" s="2" t="s">
        <v>145</v>
      </c>
      <c r="N4848" s="2" t="s">
        <v>146</v>
      </c>
      <c r="O4848" s="2" t="s">
        <v>100</v>
      </c>
      <c r="P4848" s="2" t="str">
        <f>"2170582827                    "</f>
        <v xml:space="preserve">2170582827                    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0</v>
      </c>
      <c r="Y4848" s="2">
        <v>0</v>
      </c>
      <c r="Z4848" s="2">
        <v>0</v>
      </c>
      <c r="AA4848" s="2">
        <v>0</v>
      </c>
      <c r="AB4848" s="2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3.13</v>
      </c>
      <c r="AN4848" s="2">
        <v>0</v>
      </c>
      <c r="AO4848" s="2">
        <v>0</v>
      </c>
      <c r="AP4848" s="2">
        <v>0</v>
      </c>
      <c r="AQ4848" s="2">
        <v>0</v>
      </c>
      <c r="AR4848" s="2">
        <v>0</v>
      </c>
      <c r="AS4848" s="2">
        <v>0</v>
      </c>
      <c r="AT4848" s="2">
        <v>0</v>
      </c>
      <c r="AU4848" s="2">
        <v>0</v>
      </c>
      <c r="AV4848" s="2">
        <v>0</v>
      </c>
      <c r="AW4848" s="2">
        <v>0</v>
      </c>
      <c r="AX4848" s="2">
        <v>0</v>
      </c>
      <c r="AY4848" s="2">
        <v>0</v>
      </c>
      <c r="AZ4848" s="2">
        <v>0</v>
      </c>
      <c r="BA4848" s="2">
        <v>0</v>
      </c>
      <c r="BB4848" s="2">
        <v>0</v>
      </c>
      <c r="BC4848" s="2">
        <v>0</v>
      </c>
      <c r="BD4848" s="2">
        <v>0</v>
      </c>
      <c r="BE4848" s="2">
        <v>0</v>
      </c>
      <c r="BF4848" s="2">
        <v>0</v>
      </c>
      <c r="BG4848" s="2">
        <v>0</v>
      </c>
      <c r="BH4848" s="2">
        <v>1</v>
      </c>
      <c r="BI4848" s="2">
        <v>1</v>
      </c>
      <c r="BJ4848" s="2">
        <v>0.2</v>
      </c>
      <c r="BK4848" s="2">
        <v>1</v>
      </c>
      <c r="BL4848" s="2">
        <v>32.380000000000003</v>
      </c>
      <c r="BM4848" s="2">
        <v>4.53</v>
      </c>
      <c r="BN4848" s="2">
        <v>36.909999999999997</v>
      </c>
      <c r="BO4848" s="2">
        <v>36.909999999999997</v>
      </c>
      <c r="BP4848" s="2"/>
      <c r="BQ4848" s="2" t="s">
        <v>83</v>
      </c>
      <c r="BR4848" s="2" t="s">
        <v>84</v>
      </c>
      <c r="BS4848" s="3">
        <v>42955</v>
      </c>
      <c r="BT4848" s="4">
        <v>0.40416666666666662</v>
      </c>
      <c r="BU4848" s="2" t="s">
        <v>1458</v>
      </c>
      <c r="BV4848" s="2" t="s">
        <v>95</v>
      </c>
      <c r="BW4848" s="2"/>
      <c r="BX4848" s="2"/>
      <c r="BY4848" s="2">
        <v>1200</v>
      </c>
      <c r="BZ4848" s="2"/>
      <c r="CA4848" s="2" t="s">
        <v>729</v>
      </c>
      <c r="CB4848" s="2"/>
      <c r="CC4848" s="2" t="s">
        <v>145</v>
      </c>
      <c r="CD4848" s="2">
        <v>2094</v>
      </c>
      <c r="CE4848" s="2" t="s">
        <v>104</v>
      </c>
      <c r="CF4848" s="5">
        <v>42955</v>
      </c>
      <c r="CG4848" s="2"/>
      <c r="CH4848" s="2"/>
      <c r="CI4848" s="2">
        <v>1</v>
      </c>
      <c r="CJ4848" s="2">
        <v>1</v>
      </c>
      <c r="CK4848" s="2">
        <v>22</v>
      </c>
      <c r="CL4848" s="2" t="s">
        <v>86</v>
      </c>
      <c r="CM4848" s="2"/>
    </row>
    <row r="4849" spans="1:91">
      <c r="A4849" s="2" t="s">
        <v>71</v>
      </c>
      <c r="B4849" s="2" t="s">
        <v>72</v>
      </c>
      <c r="C4849" s="2" t="s">
        <v>73</v>
      </c>
      <c r="D4849" s="2"/>
      <c r="E4849" s="2" t="str">
        <f>"FES1162567361"</f>
        <v>FES1162567361</v>
      </c>
      <c r="F4849" s="3">
        <v>42954</v>
      </c>
      <c r="G4849" s="2">
        <v>201802</v>
      </c>
      <c r="H4849" s="2" t="s">
        <v>74</v>
      </c>
      <c r="I4849" s="2" t="s">
        <v>75</v>
      </c>
      <c r="J4849" s="2" t="s">
        <v>76</v>
      </c>
      <c r="K4849" s="2" t="s">
        <v>77</v>
      </c>
      <c r="L4849" s="2" t="s">
        <v>268</v>
      </c>
      <c r="M4849" s="2" t="s">
        <v>269</v>
      </c>
      <c r="N4849" s="2" t="s">
        <v>432</v>
      </c>
      <c r="O4849" s="2" t="s">
        <v>100</v>
      </c>
      <c r="P4849" s="2" t="str">
        <f>"2170583527                    "</f>
        <v xml:space="preserve">2170583527                    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</v>
      </c>
      <c r="Y4849" s="2">
        <v>0</v>
      </c>
      <c r="Z4849" s="2">
        <v>0</v>
      </c>
      <c r="AA4849" s="2">
        <v>0</v>
      </c>
      <c r="AB4849" s="2">
        <v>0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4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2">
        <v>0</v>
      </c>
      <c r="AT4849" s="2">
        <v>0</v>
      </c>
      <c r="AU4849" s="2">
        <v>0</v>
      </c>
      <c r="AV4849" s="2">
        <v>0</v>
      </c>
      <c r="AW4849" s="2">
        <v>0</v>
      </c>
      <c r="AX4849" s="2">
        <v>0</v>
      </c>
      <c r="AY4849" s="2">
        <v>0</v>
      </c>
      <c r="AZ4849" s="2">
        <v>0</v>
      </c>
      <c r="BA4849" s="2">
        <v>0</v>
      </c>
      <c r="BB4849" s="2">
        <v>0</v>
      </c>
      <c r="BC4849" s="2">
        <v>0</v>
      </c>
      <c r="BD4849" s="2">
        <v>0</v>
      </c>
      <c r="BE4849" s="2">
        <v>0</v>
      </c>
      <c r="BF4849" s="2">
        <v>0</v>
      </c>
      <c r="BG4849" s="2">
        <v>0</v>
      </c>
      <c r="BH4849" s="2">
        <v>1</v>
      </c>
      <c r="BI4849" s="2">
        <v>1</v>
      </c>
      <c r="BJ4849" s="2">
        <v>0.2</v>
      </c>
      <c r="BK4849" s="2">
        <v>1</v>
      </c>
      <c r="BL4849" s="2">
        <v>41.44</v>
      </c>
      <c r="BM4849" s="2">
        <v>5.8</v>
      </c>
      <c r="BN4849" s="2">
        <v>47.24</v>
      </c>
      <c r="BO4849" s="2">
        <v>47.24</v>
      </c>
      <c r="BP4849" s="2"/>
      <c r="BQ4849" s="2" t="s">
        <v>83</v>
      </c>
      <c r="BR4849" s="2" t="s">
        <v>84</v>
      </c>
      <c r="BS4849" s="3">
        <v>42955</v>
      </c>
      <c r="BT4849" s="4">
        <v>0.39583333333333331</v>
      </c>
      <c r="BU4849" s="2" t="s">
        <v>4215</v>
      </c>
      <c r="BV4849" s="2" t="s">
        <v>95</v>
      </c>
      <c r="BW4849" s="2"/>
      <c r="BX4849" s="2"/>
      <c r="BY4849" s="2">
        <v>1200</v>
      </c>
      <c r="BZ4849" s="2"/>
      <c r="CA4849" s="2" t="s">
        <v>981</v>
      </c>
      <c r="CB4849" s="2"/>
      <c r="CC4849" s="2" t="s">
        <v>269</v>
      </c>
      <c r="CD4849" s="2">
        <v>117</v>
      </c>
      <c r="CE4849" s="2" t="s">
        <v>104</v>
      </c>
      <c r="CF4849" s="5">
        <v>42957</v>
      </c>
      <c r="CG4849" s="2"/>
      <c r="CH4849" s="2"/>
      <c r="CI4849" s="2">
        <v>1</v>
      </c>
      <c r="CJ4849" s="2">
        <v>1</v>
      </c>
      <c r="CK4849" s="2">
        <v>21</v>
      </c>
      <c r="CL4849" s="2" t="s">
        <v>86</v>
      </c>
      <c r="CM4849" s="2"/>
    </row>
    <row r="4850" spans="1:91">
      <c r="A4850" s="2" t="s">
        <v>71</v>
      </c>
      <c r="B4850" s="2" t="s">
        <v>72</v>
      </c>
      <c r="C4850" s="2" t="s">
        <v>73</v>
      </c>
      <c r="D4850" s="2"/>
      <c r="E4850" s="2" t="str">
        <f>"FES1162567421"</f>
        <v>FES1162567421</v>
      </c>
      <c r="F4850" s="3">
        <v>42954</v>
      </c>
      <c r="G4850" s="2">
        <v>201802</v>
      </c>
      <c r="H4850" s="2" t="s">
        <v>74</v>
      </c>
      <c r="I4850" s="2" t="s">
        <v>75</v>
      </c>
      <c r="J4850" s="2" t="s">
        <v>76</v>
      </c>
      <c r="K4850" s="2" t="s">
        <v>77</v>
      </c>
      <c r="L4850" s="2" t="s">
        <v>105</v>
      </c>
      <c r="M4850" s="2" t="s">
        <v>106</v>
      </c>
      <c r="N4850" s="2" t="s">
        <v>2141</v>
      </c>
      <c r="O4850" s="2" t="s">
        <v>100</v>
      </c>
      <c r="P4850" s="2" t="str">
        <f>"2170583224                    "</f>
        <v xml:space="preserve">2170583224                    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2">
        <v>0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4</v>
      </c>
      <c r="AN4850" s="2">
        <v>0</v>
      </c>
      <c r="AO4850" s="2">
        <v>0</v>
      </c>
      <c r="AP4850" s="2">
        <v>0</v>
      </c>
      <c r="AQ4850" s="2">
        <v>0</v>
      </c>
      <c r="AR4850" s="2">
        <v>0</v>
      </c>
      <c r="AS4850" s="2">
        <v>0</v>
      </c>
      <c r="AT4850" s="2">
        <v>0</v>
      </c>
      <c r="AU4850" s="2">
        <v>0</v>
      </c>
      <c r="AV4850" s="2">
        <v>0</v>
      </c>
      <c r="AW4850" s="2">
        <v>0</v>
      </c>
      <c r="AX4850" s="2">
        <v>0</v>
      </c>
      <c r="AY4850" s="2">
        <v>0</v>
      </c>
      <c r="AZ4850" s="2">
        <v>0</v>
      </c>
      <c r="BA4850" s="2">
        <v>0</v>
      </c>
      <c r="BB4850" s="2">
        <v>0</v>
      </c>
      <c r="BC4850" s="2">
        <v>0</v>
      </c>
      <c r="BD4850" s="2">
        <v>0</v>
      </c>
      <c r="BE4850" s="2">
        <v>0</v>
      </c>
      <c r="BF4850" s="2">
        <v>0</v>
      </c>
      <c r="BG4850" s="2">
        <v>0</v>
      </c>
      <c r="BH4850" s="2">
        <v>1</v>
      </c>
      <c r="BI4850" s="2">
        <v>1</v>
      </c>
      <c r="BJ4850" s="2">
        <v>0.2</v>
      </c>
      <c r="BK4850" s="2">
        <v>1</v>
      </c>
      <c r="BL4850" s="2">
        <v>41.44</v>
      </c>
      <c r="BM4850" s="2">
        <v>5.8</v>
      </c>
      <c r="BN4850" s="2">
        <v>47.24</v>
      </c>
      <c r="BO4850" s="2">
        <v>47.24</v>
      </c>
      <c r="BP4850" s="2"/>
      <c r="BQ4850" s="2" t="s">
        <v>288</v>
      </c>
      <c r="BR4850" s="2" t="s">
        <v>84</v>
      </c>
      <c r="BS4850" s="3">
        <v>42955</v>
      </c>
      <c r="BT4850" s="4">
        <v>0.3923611111111111</v>
      </c>
      <c r="BU4850" s="2" t="s">
        <v>4243</v>
      </c>
      <c r="BV4850" s="2" t="s">
        <v>95</v>
      </c>
      <c r="BW4850" s="2"/>
      <c r="BX4850" s="2"/>
      <c r="BY4850" s="2">
        <v>1200</v>
      </c>
      <c r="BZ4850" s="2"/>
      <c r="CA4850" s="2" t="s">
        <v>302</v>
      </c>
      <c r="CB4850" s="2"/>
      <c r="CC4850" s="2" t="s">
        <v>106</v>
      </c>
      <c r="CD4850" s="2">
        <v>7530</v>
      </c>
      <c r="CE4850" s="2" t="s">
        <v>104</v>
      </c>
      <c r="CF4850" s="5">
        <v>42957</v>
      </c>
      <c r="CG4850" s="2"/>
      <c r="CH4850" s="2"/>
      <c r="CI4850" s="2">
        <v>1</v>
      </c>
      <c r="CJ4850" s="2">
        <v>1</v>
      </c>
      <c r="CK4850" s="2">
        <v>21</v>
      </c>
      <c r="CL4850" s="2" t="s">
        <v>86</v>
      </c>
      <c r="CM4850" s="2"/>
    </row>
    <row r="4851" spans="1:91">
      <c r="A4851" s="2" t="s">
        <v>71</v>
      </c>
      <c r="B4851" s="2" t="s">
        <v>72</v>
      </c>
      <c r="C4851" s="2" t="s">
        <v>73</v>
      </c>
      <c r="D4851" s="2"/>
      <c r="E4851" s="2" t="str">
        <f>"FES1162567355"</f>
        <v>FES1162567355</v>
      </c>
      <c r="F4851" s="3">
        <v>42954</v>
      </c>
      <c r="G4851" s="2">
        <v>201802</v>
      </c>
      <c r="H4851" s="2" t="s">
        <v>74</v>
      </c>
      <c r="I4851" s="2" t="s">
        <v>75</v>
      </c>
      <c r="J4851" s="2" t="s">
        <v>76</v>
      </c>
      <c r="K4851" s="2" t="s">
        <v>77</v>
      </c>
      <c r="L4851" s="2" t="s">
        <v>362</v>
      </c>
      <c r="M4851" s="2" t="s">
        <v>363</v>
      </c>
      <c r="N4851" s="2" t="s">
        <v>1416</v>
      </c>
      <c r="O4851" s="2" t="s">
        <v>100</v>
      </c>
      <c r="P4851" s="2" t="str">
        <f>"2170583516                    "</f>
        <v xml:space="preserve">2170583516                    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4</v>
      </c>
      <c r="AN4851" s="2">
        <v>0</v>
      </c>
      <c r="AO4851" s="2">
        <v>0</v>
      </c>
      <c r="AP4851" s="2">
        <v>0</v>
      </c>
      <c r="AQ4851" s="2">
        <v>0</v>
      </c>
      <c r="AR4851" s="2">
        <v>0</v>
      </c>
      <c r="AS4851" s="2">
        <v>0</v>
      </c>
      <c r="AT4851" s="2">
        <v>0</v>
      </c>
      <c r="AU4851" s="2">
        <v>0</v>
      </c>
      <c r="AV4851" s="2">
        <v>0</v>
      </c>
      <c r="AW4851" s="2">
        <v>0</v>
      </c>
      <c r="AX4851" s="2">
        <v>0</v>
      </c>
      <c r="AY4851" s="2">
        <v>0</v>
      </c>
      <c r="AZ4851" s="2">
        <v>0</v>
      </c>
      <c r="BA4851" s="2">
        <v>0</v>
      </c>
      <c r="BB4851" s="2">
        <v>0</v>
      </c>
      <c r="BC4851" s="2">
        <v>0</v>
      </c>
      <c r="BD4851" s="2">
        <v>0</v>
      </c>
      <c r="BE4851" s="2">
        <v>0</v>
      </c>
      <c r="BF4851" s="2">
        <v>0</v>
      </c>
      <c r="BG4851" s="2">
        <v>0</v>
      </c>
      <c r="BH4851" s="2">
        <v>1</v>
      </c>
      <c r="BI4851" s="2">
        <v>1</v>
      </c>
      <c r="BJ4851" s="2">
        <v>0.2</v>
      </c>
      <c r="BK4851" s="2">
        <v>1</v>
      </c>
      <c r="BL4851" s="2">
        <v>41.44</v>
      </c>
      <c r="BM4851" s="2">
        <v>5.8</v>
      </c>
      <c r="BN4851" s="2">
        <v>47.24</v>
      </c>
      <c r="BO4851" s="2">
        <v>47.24</v>
      </c>
      <c r="BP4851" s="2"/>
      <c r="BQ4851" s="2" t="s">
        <v>83</v>
      </c>
      <c r="BR4851" s="2" t="s">
        <v>84</v>
      </c>
      <c r="BS4851" s="3">
        <v>42955</v>
      </c>
      <c r="BT4851" s="4">
        <v>0.42291666666666666</v>
      </c>
      <c r="BU4851" s="2" t="s">
        <v>3548</v>
      </c>
      <c r="BV4851" s="2" t="s">
        <v>95</v>
      </c>
      <c r="BW4851" s="2"/>
      <c r="BX4851" s="2"/>
      <c r="BY4851" s="2">
        <v>1200</v>
      </c>
      <c r="BZ4851" s="2"/>
      <c r="CA4851" s="2" t="s">
        <v>2961</v>
      </c>
      <c r="CB4851" s="2"/>
      <c r="CC4851" s="2" t="s">
        <v>363</v>
      </c>
      <c r="CD4851" s="2">
        <v>3212</v>
      </c>
      <c r="CE4851" s="2" t="s">
        <v>104</v>
      </c>
      <c r="CF4851" s="5">
        <v>42957</v>
      </c>
      <c r="CG4851" s="2"/>
      <c r="CH4851" s="2"/>
      <c r="CI4851" s="2">
        <v>1</v>
      </c>
      <c r="CJ4851" s="2">
        <v>1</v>
      </c>
      <c r="CK4851" s="2">
        <v>21</v>
      </c>
      <c r="CL4851" s="2" t="s">
        <v>86</v>
      </c>
      <c r="CM4851" s="2"/>
    </row>
    <row r="4852" spans="1:91">
      <c r="A4852" s="2" t="s">
        <v>71</v>
      </c>
      <c r="B4852" s="2" t="s">
        <v>72</v>
      </c>
      <c r="C4852" s="2" t="s">
        <v>73</v>
      </c>
      <c r="D4852" s="2"/>
      <c r="E4852" s="2" t="str">
        <f>"FES1162567342"</f>
        <v>FES1162567342</v>
      </c>
      <c r="F4852" s="3">
        <v>42954</v>
      </c>
      <c r="G4852" s="2">
        <v>201802</v>
      </c>
      <c r="H4852" s="2" t="s">
        <v>74</v>
      </c>
      <c r="I4852" s="2" t="s">
        <v>75</v>
      </c>
      <c r="J4852" s="2" t="s">
        <v>76</v>
      </c>
      <c r="K4852" s="2" t="s">
        <v>77</v>
      </c>
      <c r="L4852" s="2" t="s">
        <v>105</v>
      </c>
      <c r="M4852" s="2" t="s">
        <v>106</v>
      </c>
      <c r="N4852" s="2" t="s">
        <v>1436</v>
      </c>
      <c r="O4852" s="2" t="s">
        <v>100</v>
      </c>
      <c r="P4852" s="2" t="str">
        <f>"2170581275                    "</f>
        <v xml:space="preserve">2170581275                    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0</v>
      </c>
      <c r="Y4852" s="2">
        <v>0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4</v>
      </c>
      <c r="AN4852" s="2">
        <v>0</v>
      </c>
      <c r="AO4852" s="2">
        <v>0</v>
      </c>
      <c r="AP4852" s="2">
        <v>0</v>
      </c>
      <c r="AQ4852" s="2">
        <v>0</v>
      </c>
      <c r="AR4852" s="2">
        <v>0</v>
      </c>
      <c r="AS4852" s="2">
        <v>0</v>
      </c>
      <c r="AT4852" s="2">
        <v>0</v>
      </c>
      <c r="AU4852" s="2">
        <v>0</v>
      </c>
      <c r="AV4852" s="2">
        <v>0</v>
      </c>
      <c r="AW4852" s="2">
        <v>0</v>
      </c>
      <c r="AX4852" s="2">
        <v>0</v>
      </c>
      <c r="AY4852" s="2">
        <v>0</v>
      </c>
      <c r="AZ4852" s="2">
        <v>0</v>
      </c>
      <c r="BA4852" s="2">
        <v>0</v>
      </c>
      <c r="BB4852" s="2">
        <v>0</v>
      </c>
      <c r="BC4852" s="2">
        <v>0</v>
      </c>
      <c r="BD4852" s="2">
        <v>0</v>
      </c>
      <c r="BE4852" s="2">
        <v>0</v>
      </c>
      <c r="BF4852" s="2">
        <v>0</v>
      </c>
      <c r="BG4852" s="2">
        <v>0</v>
      </c>
      <c r="BH4852" s="2">
        <v>1</v>
      </c>
      <c r="BI4852" s="2">
        <v>1</v>
      </c>
      <c r="BJ4852" s="2">
        <v>0.2</v>
      </c>
      <c r="BK4852" s="2">
        <v>1</v>
      </c>
      <c r="BL4852" s="2">
        <v>41.44</v>
      </c>
      <c r="BM4852" s="2">
        <v>5.8</v>
      </c>
      <c r="BN4852" s="2">
        <v>47.24</v>
      </c>
      <c r="BO4852" s="2">
        <v>47.24</v>
      </c>
      <c r="BP4852" s="2"/>
      <c r="BQ4852" s="2" t="s">
        <v>83</v>
      </c>
      <c r="BR4852" s="2" t="s">
        <v>84</v>
      </c>
      <c r="BS4852" s="3">
        <v>42955</v>
      </c>
      <c r="BT4852" s="4">
        <v>0.45</v>
      </c>
      <c r="BU4852" s="2" t="s">
        <v>1437</v>
      </c>
      <c r="BV4852" s="2" t="s">
        <v>95</v>
      </c>
      <c r="BW4852" s="2"/>
      <c r="BX4852" s="2"/>
      <c r="BY4852" s="2">
        <v>1200</v>
      </c>
      <c r="BZ4852" s="2"/>
      <c r="CA4852" s="2" t="s">
        <v>291</v>
      </c>
      <c r="CB4852" s="2"/>
      <c r="CC4852" s="2" t="s">
        <v>106</v>
      </c>
      <c r="CD4852" s="2">
        <v>7441</v>
      </c>
      <c r="CE4852" s="2" t="s">
        <v>104</v>
      </c>
      <c r="CF4852" s="5">
        <v>42957</v>
      </c>
      <c r="CG4852" s="2"/>
      <c r="CH4852" s="2"/>
      <c r="CI4852" s="2">
        <v>1</v>
      </c>
      <c r="CJ4852" s="2">
        <v>1</v>
      </c>
      <c r="CK4852" s="2">
        <v>21</v>
      </c>
      <c r="CL4852" s="2" t="s">
        <v>86</v>
      </c>
      <c r="CM4852" s="2"/>
    </row>
    <row r="4853" spans="1:91">
      <c r="A4853" s="2" t="s">
        <v>71</v>
      </c>
      <c r="B4853" s="2" t="s">
        <v>72</v>
      </c>
      <c r="C4853" s="2" t="s">
        <v>73</v>
      </c>
      <c r="D4853" s="2"/>
      <c r="E4853" s="2" t="str">
        <f>"FES1162565970"</f>
        <v>FES1162565970</v>
      </c>
      <c r="F4853" s="3">
        <v>42954</v>
      </c>
      <c r="G4853" s="2">
        <v>201802</v>
      </c>
      <c r="H4853" s="2" t="s">
        <v>74</v>
      </c>
      <c r="I4853" s="2" t="s">
        <v>75</v>
      </c>
      <c r="J4853" s="2" t="s">
        <v>76</v>
      </c>
      <c r="K4853" s="2" t="s">
        <v>77</v>
      </c>
      <c r="L4853" s="2" t="s">
        <v>105</v>
      </c>
      <c r="M4853" s="2" t="s">
        <v>106</v>
      </c>
      <c r="N4853" s="2" t="s">
        <v>253</v>
      </c>
      <c r="O4853" s="2" t="s">
        <v>100</v>
      </c>
      <c r="P4853" s="2" t="str">
        <f>"2170581254                    "</f>
        <v xml:space="preserve">2170581254                    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0</v>
      </c>
      <c r="Y4853" s="2">
        <v>0</v>
      </c>
      <c r="Z4853" s="2">
        <v>0</v>
      </c>
      <c r="AA4853" s="2">
        <v>0</v>
      </c>
      <c r="AB4853" s="2">
        <v>0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4</v>
      </c>
      <c r="AN4853" s="2">
        <v>0</v>
      </c>
      <c r="AO4853" s="2">
        <v>0</v>
      </c>
      <c r="AP4853" s="2">
        <v>0</v>
      </c>
      <c r="AQ4853" s="2">
        <v>0</v>
      </c>
      <c r="AR4853" s="2">
        <v>0</v>
      </c>
      <c r="AS4853" s="2">
        <v>0</v>
      </c>
      <c r="AT4853" s="2">
        <v>0</v>
      </c>
      <c r="AU4853" s="2">
        <v>0</v>
      </c>
      <c r="AV4853" s="2">
        <v>0</v>
      </c>
      <c r="AW4853" s="2">
        <v>0</v>
      </c>
      <c r="AX4853" s="2">
        <v>0</v>
      </c>
      <c r="AY4853" s="2">
        <v>0</v>
      </c>
      <c r="AZ4853" s="2">
        <v>0</v>
      </c>
      <c r="BA4853" s="2">
        <v>0</v>
      </c>
      <c r="BB4853" s="2">
        <v>0</v>
      </c>
      <c r="BC4853" s="2">
        <v>0</v>
      </c>
      <c r="BD4853" s="2">
        <v>0</v>
      </c>
      <c r="BE4853" s="2">
        <v>0</v>
      </c>
      <c r="BF4853" s="2">
        <v>0</v>
      </c>
      <c r="BG4853" s="2">
        <v>0</v>
      </c>
      <c r="BH4853" s="2">
        <v>1</v>
      </c>
      <c r="BI4853" s="2">
        <v>1</v>
      </c>
      <c r="BJ4853" s="2">
        <v>0.2</v>
      </c>
      <c r="BK4853" s="2">
        <v>1</v>
      </c>
      <c r="BL4853" s="2">
        <v>41.44</v>
      </c>
      <c r="BM4853" s="2">
        <v>5.8</v>
      </c>
      <c r="BN4853" s="2">
        <v>47.24</v>
      </c>
      <c r="BO4853" s="2">
        <v>47.24</v>
      </c>
      <c r="BP4853" s="2"/>
      <c r="BQ4853" s="2" t="s">
        <v>108</v>
      </c>
      <c r="BR4853" s="2" t="s">
        <v>84</v>
      </c>
      <c r="BS4853" s="3">
        <v>42955</v>
      </c>
      <c r="BT4853" s="4">
        <v>0.37777777777777777</v>
      </c>
      <c r="BU4853" s="2" t="s">
        <v>1074</v>
      </c>
      <c r="BV4853" s="2" t="s">
        <v>95</v>
      </c>
      <c r="BW4853" s="2"/>
      <c r="BX4853" s="2"/>
      <c r="BY4853" s="2">
        <v>1200</v>
      </c>
      <c r="BZ4853" s="2"/>
      <c r="CA4853" s="2" t="s">
        <v>654</v>
      </c>
      <c r="CB4853" s="2"/>
      <c r="CC4853" s="2" t="s">
        <v>106</v>
      </c>
      <c r="CD4853" s="2">
        <v>7490</v>
      </c>
      <c r="CE4853" s="2" t="s">
        <v>104</v>
      </c>
      <c r="CF4853" s="5">
        <v>42957</v>
      </c>
      <c r="CG4853" s="2"/>
      <c r="CH4853" s="2"/>
      <c r="CI4853" s="2">
        <v>1</v>
      </c>
      <c r="CJ4853" s="2">
        <v>1</v>
      </c>
      <c r="CK4853" s="2">
        <v>21</v>
      </c>
      <c r="CL4853" s="2" t="s">
        <v>86</v>
      </c>
      <c r="CM4853" s="2"/>
    </row>
    <row r="4854" spans="1:91">
      <c r="A4854" s="2" t="s">
        <v>71</v>
      </c>
      <c r="B4854" s="2" t="s">
        <v>72</v>
      </c>
      <c r="C4854" s="2" t="s">
        <v>73</v>
      </c>
      <c r="D4854" s="2"/>
      <c r="E4854" s="2" t="str">
        <f>"FES1162567302"</f>
        <v>FES1162567302</v>
      </c>
      <c r="F4854" s="3">
        <v>42954</v>
      </c>
      <c r="G4854" s="2">
        <v>201802</v>
      </c>
      <c r="H4854" s="2" t="s">
        <v>74</v>
      </c>
      <c r="I4854" s="2" t="s">
        <v>75</v>
      </c>
      <c r="J4854" s="2" t="s">
        <v>76</v>
      </c>
      <c r="K4854" s="2" t="s">
        <v>77</v>
      </c>
      <c r="L4854" s="2" t="s">
        <v>437</v>
      </c>
      <c r="M4854" s="2" t="s">
        <v>438</v>
      </c>
      <c r="N4854" s="2" t="s">
        <v>749</v>
      </c>
      <c r="O4854" s="2" t="s">
        <v>100</v>
      </c>
      <c r="P4854" s="2" t="str">
        <f>"2170583468                    "</f>
        <v xml:space="preserve">2170583468                    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0</v>
      </c>
      <c r="Y4854" s="2">
        <v>0</v>
      </c>
      <c r="Z4854" s="2">
        <v>0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0</v>
      </c>
      <c r="AH4854" s="2">
        <v>0</v>
      </c>
      <c r="AI4854" s="2">
        <v>0</v>
      </c>
      <c r="AJ4854" s="2">
        <v>0</v>
      </c>
      <c r="AK4854" s="2">
        <v>0</v>
      </c>
      <c r="AL4854" s="2">
        <v>0</v>
      </c>
      <c r="AM4854" s="2">
        <v>4</v>
      </c>
      <c r="AN4854" s="2">
        <v>0</v>
      </c>
      <c r="AO4854" s="2">
        <v>0</v>
      </c>
      <c r="AP4854" s="2">
        <v>0</v>
      </c>
      <c r="AQ4854" s="2">
        <v>0</v>
      </c>
      <c r="AR4854" s="2">
        <v>0</v>
      </c>
      <c r="AS4854" s="2">
        <v>0</v>
      </c>
      <c r="AT4854" s="2">
        <v>0</v>
      </c>
      <c r="AU4854" s="2">
        <v>0</v>
      </c>
      <c r="AV4854" s="2">
        <v>0</v>
      </c>
      <c r="AW4854" s="2">
        <v>0</v>
      </c>
      <c r="AX4854" s="2">
        <v>0</v>
      </c>
      <c r="AY4854" s="2">
        <v>0</v>
      </c>
      <c r="AZ4854" s="2">
        <v>0</v>
      </c>
      <c r="BA4854" s="2">
        <v>0</v>
      </c>
      <c r="BB4854" s="2">
        <v>0</v>
      </c>
      <c r="BC4854" s="2">
        <v>0</v>
      </c>
      <c r="BD4854" s="2">
        <v>0</v>
      </c>
      <c r="BE4854" s="2">
        <v>0</v>
      </c>
      <c r="BF4854" s="2">
        <v>0</v>
      </c>
      <c r="BG4854" s="2">
        <v>0</v>
      </c>
      <c r="BH4854" s="2">
        <v>1</v>
      </c>
      <c r="BI4854" s="2">
        <v>1</v>
      </c>
      <c r="BJ4854" s="2">
        <v>0.2</v>
      </c>
      <c r="BK4854" s="2">
        <v>1</v>
      </c>
      <c r="BL4854" s="2">
        <v>41.44</v>
      </c>
      <c r="BM4854" s="2">
        <v>5.8</v>
      </c>
      <c r="BN4854" s="2">
        <v>47.24</v>
      </c>
      <c r="BO4854" s="2">
        <v>47.24</v>
      </c>
      <c r="BP4854" s="2"/>
      <c r="BQ4854" s="2" t="s">
        <v>108</v>
      </c>
      <c r="BR4854" s="2" t="s">
        <v>84</v>
      </c>
      <c r="BS4854" s="3">
        <v>42955</v>
      </c>
      <c r="BT4854" s="4">
        <v>0.38125000000000003</v>
      </c>
      <c r="BU4854" s="2" t="s">
        <v>750</v>
      </c>
      <c r="BV4854" s="2" t="s">
        <v>95</v>
      </c>
      <c r="BW4854" s="2"/>
      <c r="BX4854" s="2"/>
      <c r="BY4854" s="2">
        <v>1200</v>
      </c>
      <c r="BZ4854" s="2"/>
      <c r="CA4854" s="2" t="s">
        <v>441</v>
      </c>
      <c r="CB4854" s="2"/>
      <c r="CC4854" s="2" t="s">
        <v>438</v>
      </c>
      <c r="CD4854" s="2">
        <v>6536</v>
      </c>
      <c r="CE4854" s="2" t="s">
        <v>104</v>
      </c>
      <c r="CF4854" s="5">
        <v>42957</v>
      </c>
      <c r="CG4854" s="2"/>
      <c r="CH4854" s="2"/>
      <c r="CI4854" s="2">
        <v>1</v>
      </c>
      <c r="CJ4854" s="2">
        <v>1</v>
      </c>
      <c r="CK4854" s="2">
        <v>21</v>
      </c>
      <c r="CL4854" s="2" t="s">
        <v>86</v>
      </c>
      <c r="CM4854" s="2"/>
    </row>
    <row r="4855" spans="1:91">
      <c r="A4855" s="2" t="s">
        <v>71</v>
      </c>
      <c r="B4855" s="2" t="s">
        <v>72</v>
      </c>
      <c r="C4855" s="2" t="s">
        <v>73</v>
      </c>
      <c r="D4855" s="2"/>
      <c r="E4855" s="2" t="str">
        <f>"FES1162567409"</f>
        <v>FES1162567409</v>
      </c>
      <c r="F4855" s="3">
        <v>42954</v>
      </c>
      <c r="G4855" s="2">
        <v>201802</v>
      </c>
      <c r="H4855" s="2" t="s">
        <v>74</v>
      </c>
      <c r="I4855" s="2" t="s">
        <v>75</v>
      </c>
      <c r="J4855" s="2" t="s">
        <v>76</v>
      </c>
      <c r="K4855" s="2" t="s">
        <v>77</v>
      </c>
      <c r="L4855" s="2" t="s">
        <v>417</v>
      </c>
      <c r="M4855" s="2" t="s">
        <v>417</v>
      </c>
      <c r="N4855" s="2" t="s">
        <v>475</v>
      </c>
      <c r="O4855" s="2" t="s">
        <v>100</v>
      </c>
      <c r="P4855" s="2" t="str">
        <f>"2170583562                    "</f>
        <v xml:space="preserve">2170583562                    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0</v>
      </c>
      <c r="Y4855" s="2">
        <v>0</v>
      </c>
      <c r="Z4855" s="2">
        <v>0</v>
      </c>
      <c r="AA4855" s="2">
        <v>0</v>
      </c>
      <c r="AB4855" s="2">
        <v>0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4</v>
      </c>
      <c r="AN4855" s="2">
        <v>0</v>
      </c>
      <c r="AO4855" s="2">
        <v>0</v>
      </c>
      <c r="AP4855" s="2">
        <v>0</v>
      </c>
      <c r="AQ4855" s="2">
        <v>0</v>
      </c>
      <c r="AR4855" s="2">
        <v>0</v>
      </c>
      <c r="AS4855" s="2">
        <v>0</v>
      </c>
      <c r="AT4855" s="2">
        <v>0</v>
      </c>
      <c r="AU4855" s="2">
        <v>0</v>
      </c>
      <c r="AV4855" s="2">
        <v>0</v>
      </c>
      <c r="AW4855" s="2">
        <v>0</v>
      </c>
      <c r="AX4855" s="2">
        <v>0</v>
      </c>
      <c r="AY4855" s="2">
        <v>0</v>
      </c>
      <c r="AZ4855" s="2">
        <v>0</v>
      </c>
      <c r="BA4855" s="2">
        <v>0</v>
      </c>
      <c r="BB4855" s="2">
        <v>0</v>
      </c>
      <c r="BC4855" s="2">
        <v>0</v>
      </c>
      <c r="BD4855" s="2">
        <v>0</v>
      </c>
      <c r="BE4855" s="2">
        <v>0</v>
      </c>
      <c r="BF4855" s="2">
        <v>0</v>
      </c>
      <c r="BG4855" s="2">
        <v>0</v>
      </c>
      <c r="BH4855" s="2">
        <v>1</v>
      </c>
      <c r="BI4855" s="2">
        <v>1</v>
      </c>
      <c r="BJ4855" s="2">
        <v>0.2</v>
      </c>
      <c r="BK4855" s="2">
        <v>1</v>
      </c>
      <c r="BL4855" s="2">
        <v>41.44</v>
      </c>
      <c r="BM4855" s="2">
        <v>5.8</v>
      </c>
      <c r="BN4855" s="2">
        <v>47.24</v>
      </c>
      <c r="BO4855" s="2">
        <v>47.24</v>
      </c>
      <c r="BP4855" s="2"/>
      <c r="BQ4855" s="2" t="s">
        <v>108</v>
      </c>
      <c r="BR4855" s="2" t="s">
        <v>84</v>
      </c>
      <c r="BS4855" s="3">
        <v>42955</v>
      </c>
      <c r="BT4855" s="4">
        <v>0.50902777777777775</v>
      </c>
      <c r="BU4855" s="2" t="s">
        <v>4244</v>
      </c>
      <c r="BV4855" s="2" t="s">
        <v>95</v>
      </c>
      <c r="BW4855" s="2"/>
      <c r="BX4855" s="2"/>
      <c r="BY4855" s="2">
        <v>1200</v>
      </c>
      <c r="BZ4855" s="2"/>
      <c r="CA4855" s="2" t="s">
        <v>460</v>
      </c>
      <c r="CB4855" s="2"/>
      <c r="CC4855" s="2" t="s">
        <v>417</v>
      </c>
      <c r="CD4855" s="2">
        <v>7646</v>
      </c>
      <c r="CE4855" s="2" t="s">
        <v>104</v>
      </c>
      <c r="CF4855" s="5">
        <v>42957</v>
      </c>
      <c r="CG4855" s="2"/>
      <c r="CH4855" s="2"/>
      <c r="CI4855" s="2">
        <v>1</v>
      </c>
      <c r="CJ4855" s="2">
        <v>1</v>
      </c>
      <c r="CK4855" s="2">
        <v>21</v>
      </c>
      <c r="CL4855" s="2" t="s">
        <v>86</v>
      </c>
      <c r="CM4855" s="2"/>
    </row>
    <row r="4856" spans="1:91">
      <c r="A4856" s="2" t="s">
        <v>71</v>
      </c>
      <c r="B4856" s="2" t="s">
        <v>72</v>
      </c>
      <c r="C4856" s="2" t="s">
        <v>73</v>
      </c>
      <c r="D4856" s="2"/>
      <c r="E4856" s="2" t="str">
        <f>"FES1162567439"</f>
        <v>FES1162567439</v>
      </c>
      <c r="F4856" s="3">
        <v>42954</v>
      </c>
      <c r="G4856" s="2">
        <v>201802</v>
      </c>
      <c r="H4856" s="2" t="s">
        <v>74</v>
      </c>
      <c r="I4856" s="2" t="s">
        <v>75</v>
      </c>
      <c r="J4856" s="2" t="s">
        <v>76</v>
      </c>
      <c r="K4856" s="2" t="s">
        <v>77</v>
      </c>
      <c r="L4856" s="2" t="s">
        <v>97</v>
      </c>
      <c r="M4856" s="2" t="s">
        <v>98</v>
      </c>
      <c r="N4856" s="2" t="s">
        <v>1495</v>
      </c>
      <c r="O4856" s="2" t="s">
        <v>100</v>
      </c>
      <c r="P4856" s="2" t="str">
        <f>"2170583591                    "</f>
        <v xml:space="preserve">2170583591                    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0</v>
      </c>
      <c r="Y4856" s="2">
        <v>0</v>
      </c>
      <c r="Z4856" s="2">
        <v>0</v>
      </c>
      <c r="AA4856" s="2">
        <v>0</v>
      </c>
      <c r="AB4856" s="2">
        <v>0</v>
      </c>
      <c r="AC4856" s="2">
        <v>0</v>
      </c>
      <c r="AD4856" s="2">
        <v>0</v>
      </c>
      <c r="AE4856" s="2">
        <v>0</v>
      </c>
      <c r="AF4856" s="2">
        <v>0</v>
      </c>
      <c r="AG4856" s="2">
        <v>0</v>
      </c>
      <c r="AH4856" s="2">
        <v>0</v>
      </c>
      <c r="AI4856" s="2">
        <v>0</v>
      </c>
      <c r="AJ4856" s="2">
        <v>0</v>
      </c>
      <c r="AK4856" s="2">
        <v>0</v>
      </c>
      <c r="AL4856" s="2">
        <v>0</v>
      </c>
      <c r="AM4856" s="2">
        <v>4</v>
      </c>
      <c r="AN4856" s="2">
        <v>0</v>
      </c>
      <c r="AO4856" s="2">
        <v>0</v>
      </c>
      <c r="AP4856" s="2">
        <v>0</v>
      </c>
      <c r="AQ4856" s="2">
        <v>0</v>
      </c>
      <c r="AR4856" s="2">
        <v>0</v>
      </c>
      <c r="AS4856" s="2">
        <v>0</v>
      </c>
      <c r="AT4856" s="2">
        <v>0</v>
      </c>
      <c r="AU4856" s="2">
        <v>0</v>
      </c>
      <c r="AV4856" s="2">
        <v>0</v>
      </c>
      <c r="AW4856" s="2">
        <v>0</v>
      </c>
      <c r="AX4856" s="2">
        <v>0</v>
      </c>
      <c r="AY4856" s="2">
        <v>0</v>
      </c>
      <c r="AZ4856" s="2">
        <v>0</v>
      </c>
      <c r="BA4856" s="2">
        <v>0</v>
      </c>
      <c r="BB4856" s="2">
        <v>0</v>
      </c>
      <c r="BC4856" s="2">
        <v>0</v>
      </c>
      <c r="BD4856" s="2">
        <v>0</v>
      </c>
      <c r="BE4856" s="2">
        <v>0</v>
      </c>
      <c r="BF4856" s="2">
        <v>0</v>
      </c>
      <c r="BG4856" s="2">
        <v>0</v>
      </c>
      <c r="BH4856" s="2">
        <v>1</v>
      </c>
      <c r="BI4856" s="2">
        <v>1</v>
      </c>
      <c r="BJ4856" s="2">
        <v>0.2</v>
      </c>
      <c r="BK4856" s="2">
        <v>1</v>
      </c>
      <c r="BL4856" s="2">
        <v>41.44</v>
      </c>
      <c r="BM4856" s="2">
        <v>5.8</v>
      </c>
      <c r="BN4856" s="2">
        <v>47.24</v>
      </c>
      <c r="BO4856" s="2">
        <v>47.24</v>
      </c>
      <c r="BP4856" s="2"/>
      <c r="BQ4856" s="2" t="s">
        <v>1496</v>
      </c>
      <c r="BR4856" s="2" t="s">
        <v>84</v>
      </c>
      <c r="BS4856" s="3">
        <v>42955</v>
      </c>
      <c r="BT4856" s="4">
        <v>0.37638888888888888</v>
      </c>
      <c r="BU4856" s="2" t="s">
        <v>4245</v>
      </c>
      <c r="BV4856" s="2" t="s">
        <v>95</v>
      </c>
      <c r="BW4856" s="2"/>
      <c r="BX4856" s="2"/>
      <c r="BY4856" s="2">
        <v>1200</v>
      </c>
      <c r="BZ4856" s="2"/>
      <c r="CA4856" s="2" t="s">
        <v>213</v>
      </c>
      <c r="CB4856" s="2"/>
      <c r="CC4856" s="2" t="s">
        <v>98</v>
      </c>
      <c r="CD4856" s="2">
        <v>6001</v>
      </c>
      <c r="CE4856" s="2" t="s">
        <v>104</v>
      </c>
      <c r="CF4856" s="5">
        <v>42957</v>
      </c>
      <c r="CG4856" s="2"/>
      <c r="CH4856" s="2"/>
      <c r="CI4856" s="2">
        <v>1</v>
      </c>
      <c r="CJ4856" s="2">
        <v>1</v>
      </c>
      <c r="CK4856" s="2">
        <v>21</v>
      </c>
      <c r="CL4856" s="2" t="s">
        <v>86</v>
      </c>
      <c r="CM4856" s="2"/>
    </row>
    <row r="4857" spans="1:91">
      <c r="A4857" s="2" t="s">
        <v>71</v>
      </c>
      <c r="B4857" s="2" t="s">
        <v>72</v>
      </c>
      <c r="C4857" s="2" t="s">
        <v>73</v>
      </c>
      <c r="D4857" s="2"/>
      <c r="E4857" s="2" t="str">
        <f>"FES1162567444"</f>
        <v>FES1162567444</v>
      </c>
      <c r="F4857" s="3">
        <v>42954</v>
      </c>
      <c r="G4857" s="2">
        <v>201802</v>
      </c>
      <c r="H4857" s="2" t="s">
        <v>74</v>
      </c>
      <c r="I4857" s="2" t="s">
        <v>75</v>
      </c>
      <c r="J4857" s="2" t="s">
        <v>76</v>
      </c>
      <c r="K4857" s="2" t="s">
        <v>77</v>
      </c>
      <c r="L4857" s="2" t="s">
        <v>206</v>
      </c>
      <c r="M4857" s="2" t="s">
        <v>207</v>
      </c>
      <c r="N4857" s="2" t="s">
        <v>262</v>
      </c>
      <c r="O4857" s="2" t="s">
        <v>100</v>
      </c>
      <c r="P4857" s="2" t="str">
        <f>"2170583598                    "</f>
        <v xml:space="preserve">2170583598                    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0</v>
      </c>
      <c r="Z4857" s="2">
        <v>0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5.63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2">
        <v>0</v>
      </c>
      <c r="AT4857" s="2">
        <v>0</v>
      </c>
      <c r="AU4857" s="2">
        <v>0</v>
      </c>
      <c r="AV4857" s="2">
        <v>0</v>
      </c>
      <c r="AW4857" s="2">
        <v>0</v>
      </c>
      <c r="AX4857" s="2">
        <v>0</v>
      </c>
      <c r="AY4857" s="2">
        <v>0</v>
      </c>
      <c r="AZ4857" s="2">
        <v>0</v>
      </c>
      <c r="BA4857" s="2">
        <v>0</v>
      </c>
      <c r="BB4857" s="2">
        <v>0</v>
      </c>
      <c r="BC4857" s="2">
        <v>0</v>
      </c>
      <c r="BD4857" s="2">
        <v>0</v>
      </c>
      <c r="BE4857" s="2">
        <v>0</v>
      </c>
      <c r="BF4857" s="2">
        <v>0</v>
      </c>
      <c r="BG4857" s="2">
        <v>0</v>
      </c>
      <c r="BH4857" s="2">
        <v>1</v>
      </c>
      <c r="BI4857" s="2">
        <v>1</v>
      </c>
      <c r="BJ4857" s="2">
        <v>0.2</v>
      </c>
      <c r="BK4857" s="2">
        <v>1</v>
      </c>
      <c r="BL4857" s="2">
        <v>58.28</v>
      </c>
      <c r="BM4857" s="2">
        <v>8.16</v>
      </c>
      <c r="BN4857" s="2">
        <v>66.44</v>
      </c>
      <c r="BO4857" s="2">
        <v>66.44</v>
      </c>
      <c r="BP4857" s="2"/>
      <c r="BQ4857" s="2" t="s">
        <v>83</v>
      </c>
      <c r="BR4857" s="2" t="s">
        <v>84</v>
      </c>
      <c r="BS4857" s="3">
        <v>42955</v>
      </c>
      <c r="BT4857" s="4">
        <v>0.56597222222222221</v>
      </c>
      <c r="BU4857" s="2" t="s">
        <v>975</v>
      </c>
      <c r="BV4857" s="2" t="s">
        <v>95</v>
      </c>
      <c r="BW4857" s="2"/>
      <c r="BX4857" s="2"/>
      <c r="BY4857" s="2">
        <v>1200</v>
      </c>
      <c r="BZ4857" s="2"/>
      <c r="CA4857" s="2" t="s">
        <v>640</v>
      </c>
      <c r="CB4857" s="2"/>
      <c r="CC4857" s="2" t="s">
        <v>207</v>
      </c>
      <c r="CD4857" s="2">
        <v>250</v>
      </c>
      <c r="CE4857" s="2" t="s">
        <v>104</v>
      </c>
      <c r="CF4857" s="5">
        <v>42958</v>
      </c>
      <c r="CG4857" s="2"/>
      <c r="CH4857" s="2"/>
      <c r="CI4857" s="2">
        <v>1</v>
      </c>
      <c r="CJ4857" s="2">
        <v>1</v>
      </c>
      <c r="CK4857" s="2">
        <v>24</v>
      </c>
      <c r="CL4857" s="2" t="s">
        <v>86</v>
      </c>
      <c r="CM4857" s="2"/>
    </row>
    <row r="4858" spans="1:91">
      <c r="A4858" s="2" t="s">
        <v>71</v>
      </c>
      <c r="B4858" s="2" t="s">
        <v>72</v>
      </c>
      <c r="C4858" s="2" t="s">
        <v>73</v>
      </c>
      <c r="D4858" s="2"/>
      <c r="E4858" s="2" t="str">
        <f>"FES1162567364"</f>
        <v>FES1162567364</v>
      </c>
      <c r="F4858" s="3">
        <v>42954</v>
      </c>
      <c r="G4858" s="2">
        <v>201802</v>
      </c>
      <c r="H4858" s="2" t="s">
        <v>74</v>
      </c>
      <c r="I4858" s="2" t="s">
        <v>75</v>
      </c>
      <c r="J4858" s="2" t="s">
        <v>76</v>
      </c>
      <c r="K4858" s="2" t="s">
        <v>77</v>
      </c>
      <c r="L4858" s="2" t="s">
        <v>417</v>
      </c>
      <c r="M4858" s="2" t="s">
        <v>417</v>
      </c>
      <c r="N4858" s="2" t="s">
        <v>475</v>
      </c>
      <c r="O4858" s="2" t="s">
        <v>100</v>
      </c>
      <c r="P4858" s="2" t="str">
        <f>"2170583272                    "</f>
        <v xml:space="preserve">2170583272                    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2">
        <v>0</v>
      </c>
      <c r="Z4858" s="2">
        <v>0</v>
      </c>
      <c r="AA4858" s="2">
        <v>0</v>
      </c>
      <c r="AB4858" s="2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4</v>
      </c>
      <c r="AN4858" s="2">
        <v>0</v>
      </c>
      <c r="AO4858" s="2">
        <v>0</v>
      </c>
      <c r="AP4858" s="2">
        <v>0</v>
      </c>
      <c r="AQ4858" s="2">
        <v>0</v>
      </c>
      <c r="AR4858" s="2">
        <v>0</v>
      </c>
      <c r="AS4858" s="2">
        <v>0</v>
      </c>
      <c r="AT4858" s="2">
        <v>0</v>
      </c>
      <c r="AU4858" s="2">
        <v>0</v>
      </c>
      <c r="AV4858" s="2">
        <v>0</v>
      </c>
      <c r="AW4858" s="2">
        <v>0</v>
      </c>
      <c r="AX4858" s="2">
        <v>0</v>
      </c>
      <c r="AY4858" s="2">
        <v>0</v>
      </c>
      <c r="AZ4858" s="2">
        <v>0</v>
      </c>
      <c r="BA4858" s="2">
        <v>0</v>
      </c>
      <c r="BB4858" s="2">
        <v>0</v>
      </c>
      <c r="BC4858" s="2">
        <v>0</v>
      </c>
      <c r="BD4858" s="2">
        <v>0</v>
      </c>
      <c r="BE4858" s="2">
        <v>0</v>
      </c>
      <c r="BF4858" s="2">
        <v>0</v>
      </c>
      <c r="BG4858" s="2">
        <v>0</v>
      </c>
      <c r="BH4858" s="2">
        <v>1</v>
      </c>
      <c r="BI4858" s="2">
        <v>1</v>
      </c>
      <c r="BJ4858" s="2">
        <v>0.2</v>
      </c>
      <c r="BK4858" s="2">
        <v>1</v>
      </c>
      <c r="BL4858" s="2">
        <v>41.44</v>
      </c>
      <c r="BM4858" s="2">
        <v>5.8</v>
      </c>
      <c r="BN4858" s="2">
        <v>47.24</v>
      </c>
      <c r="BO4858" s="2">
        <v>47.24</v>
      </c>
      <c r="BP4858" s="2"/>
      <c r="BQ4858" s="2" t="s">
        <v>108</v>
      </c>
      <c r="BR4858" s="2" t="s">
        <v>84</v>
      </c>
      <c r="BS4858" s="3">
        <v>42955</v>
      </c>
      <c r="BT4858" s="4">
        <v>0.50902777777777775</v>
      </c>
      <c r="BU4858" s="2" t="s">
        <v>509</v>
      </c>
      <c r="BV4858" s="2" t="s">
        <v>95</v>
      </c>
      <c r="BW4858" s="2"/>
      <c r="BX4858" s="2"/>
      <c r="BY4858" s="2">
        <v>1200</v>
      </c>
      <c r="BZ4858" s="2"/>
      <c r="CA4858" s="2" t="s">
        <v>460</v>
      </c>
      <c r="CB4858" s="2"/>
      <c r="CC4858" s="2" t="s">
        <v>417</v>
      </c>
      <c r="CD4858" s="2">
        <v>7646</v>
      </c>
      <c r="CE4858" s="2" t="s">
        <v>104</v>
      </c>
      <c r="CF4858" s="5">
        <v>42957</v>
      </c>
      <c r="CG4858" s="2"/>
      <c r="CH4858" s="2"/>
      <c r="CI4858" s="2">
        <v>1</v>
      </c>
      <c r="CJ4858" s="2">
        <v>1</v>
      </c>
      <c r="CK4858" s="2">
        <v>21</v>
      </c>
      <c r="CL4858" s="2" t="s">
        <v>86</v>
      </c>
      <c r="CM4858" s="2"/>
    </row>
    <row r="4859" spans="1:91">
      <c r="A4859" s="2" t="s">
        <v>71</v>
      </c>
      <c r="B4859" s="2" t="s">
        <v>72</v>
      </c>
      <c r="C4859" s="2" t="s">
        <v>73</v>
      </c>
      <c r="D4859" s="2"/>
      <c r="E4859" s="2" t="str">
        <f>"FES1162567456"</f>
        <v>FES1162567456</v>
      </c>
      <c r="F4859" s="3">
        <v>42954</v>
      </c>
      <c r="G4859" s="2">
        <v>201802</v>
      </c>
      <c r="H4859" s="2" t="s">
        <v>74</v>
      </c>
      <c r="I4859" s="2" t="s">
        <v>75</v>
      </c>
      <c r="J4859" s="2" t="s">
        <v>76</v>
      </c>
      <c r="K4859" s="2" t="s">
        <v>77</v>
      </c>
      <c r="L4859" s="2" t="s">
        <v>268</v>
      </c>
      <c r="M4859" s="2" t="s">
        <v>269</v>
      </c>
      <c r="N4859" s="2" t="s">
        <v>2207</v>
      </c>
      <c r="O4859" s="2" t="s">
        <v>100</v>
      </c>
      <c r="P4859" s="2" t="str">
        <f>"2170583619                    "</f>
        <v xml:space="preserve">2170583619                    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2">
        <v>0</v>
      </c>
      <c r="Z4859" s="2">
        <v>0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0</v>
      </c>
      <c r="AH4859" s="2">
        <v>0</v>
      </c>
      <c r="AI4859" s="2">
        <v>0</v>
      </c>
      <c r="AJ4859" s="2">
        <v>0</v>
      </c>
      <c r="AK4859" s="2">
        <v>0</v>
      </c>
      <c r="AL4859" s="2">
        <v>0</v>
      </c>
      <c r="AM4859" s="2">
        <v>4</v>
      </c>
      <c r="AN4859" s="2">
        <v>0</v>
      </c>
      <c r="AO4859" s="2">
        <v>0</v>
      </c>
      <c r="AP4859" s="2">
        <v>0</v>
      </c>
      <c r="AQ4859" s="2">
        <v>0</v>
      </c>
      <c r="AR4859" s="2">
        <v>0</v>
      </c>
      <c r="AS4859" s="2">
        <v>0</v>
      </c>
      <c r="AT4859" s="2">
        <v>0</v>
      </c>
      <c r="AU4859" s="2">
        <v>0</v>
      </c>
      <c r="AV4859" s="2">
        <v>0</v>
      </c>
      <c r="AW4859" s="2">
        <v>0</v>
      </c>
      <c r="AX4859" s="2">
        <v>0</v>
      </c>
      <c r="AY4859" s="2">
        <v>0</v>
      </c>
      <c r="AZ4859" s="2">
        <v>0</v>
      </c>
      <c r="BA4859" s="2">
        <v>0</v>
      </c>
      <c r="BB4859" s="2">
        <v>0</v>
      </c>
      <c r="BC4859" s="2">
        <v>0</v>
      </c>
      <c r="BD4859" s="2">
        <v>0</v>
      </c>
      <c r="BE4859" s="2">
        <v>0</v>
      </c>
      <c r="BF4859" s="2">
        <v>0</v>
      </c>
      <c r="BG4859" s="2">
        <v>0</v>
      </c>
      <c r="BH4859" s="2">
        <v>1</v>
      </c>
      <c r="BI4859" s="2">
        <v>1</v>
      </c>
      <c r="BJ4859" s="2">
        <v>0.2</v>
      </c>
      <c r="BK4859" s="2">
        <v>1</v>
      </c>
      <c r="BL4859" s="2">
        <v>41.44</v>
      </c>
      <c r="BM4859" s="2">
        <v>5.8</v>
      </c>
      <c r="BN4859" s="2">
        <v>47.24</v>
      </c>
      <c r="BO4859" s="2">
        <v>47.24</v>
      </c>
      <c r="BP4859" s="2"/>
      <c r="BQ4859" s="2" t="s">
        <v>2043</v>
      </c>
      <c r="BR4859" s="2" t="s">
        <v>84</v>
      </c>
      <c r="BS4859" s="3">
        <v>42955</v>
      </c>
      <c r="BT4859" s="4">
        <v>0.64583333333333337</v>
      </c>
      <c r="BU4859" s="2" t="s">
        <v>4219</v>
      </c>
      <c r="BV4859" s="2" t="s">
        <v>86</v>
      </c>
      <c r="BW4859" s="2" t="s">
        <v>110</v>
      </c>
      <c r="BX4859" s="2" t="s">
        <v>444</v>
      </c>
      <c r="BY4859" s="2">
        <v>1200</v>
      </c>
      <c r="BZ4859" s="2"/>
      <c r="CA4859" s="2"/>
      <c r="CB4859" s="2"/>
      <c r="CC4859" s="2" t="s">
        <v>269</v>
      </c>
      <c r="CD4859" s="2">
        <v>200</v>
      </c>
      <c r="CE4859" s="2" t="s">
        <v>104</v>
      </c>
      <c r="CF4859" s="5">
        <v>42957</v>
      </c>
      <c r="CG4859" s="2"/>
      <c r="CH4859" s="2"/>
      <c r="CI4859" s="2">
        <v>1</v>
      </c>
      <c r="CJ4859" s="2">
        <v>1</v>
      </c>
      <c r="CK4859" s="2">
        <v>21</v>
      </c>
      <c r="CL4859" s="2" t="s">
        <v>86</v>
      </c>
      <c r="CM4859" s="2"/>
    </row>
    <row r="4860" spans="1:91">
      <c r="A4860" s="2" t="s">
        <v>71</v>
      </c>
      <c r="B4860" s="2" t="s">
        <v>72</v>
      </c>
      <c r="C4860" s="2" t="s">
        <v>73</v>
      </c>
      <c r="D4860" s="2"/>
      <c r="E4860" s="2" t="str">
        <f>"FES1162567451"</f>
        <v>FES1162567451</v>
      </c>
      <c r="F4860" s="3">
        <v>42954</v>
      </c>
      <c r="G4860" s="2">
        <v>201802</v>
      </c>
      <c r="H4860" s="2" t="s">
        <v>74</v>
      </c>
      <c r="I4860" s="2" t="s">
        <v>75</v>
      </c>
      <c r="J4860" s="2" t="s">
        <v>76</v>
      </c>
      <c r="K4860" s="2" t="s">
        <v>77</v>
      </c>
      <c r="L4860" s="2" t="s">
        <v>417</v>
      </c>
      <c r="M4860" s="2" t="s">
        <v>417</v>
      </c>
      <c r="N4860" s="2" t="s">
        <v>418</v>
      </c>
      <c r="O4860" s="2" t="s">
        <v>100</v>
      </c>
      <c r="P4860" s="2" t="str">
        <f>"2170583609                    "</f>
        <v xml:space="preserve">2170583609                    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2">
        <v>0</v>
      </c>
      <c r="Z4860" s="2">
        <v>0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  <c r="AM4860" s="2">
        <v>4</v>
      </c>
      <c r="AN4860" s="2">
        <v>0</v>
      </c>
      <c r="AO4860" s="2">
        <v>0</v>
      </c>
      <c r="AP4860" s="2">
        <v>0</v>
      </c>
      <c r="AQ4860" s="2">
        <v>0</v>
      </c>
      <c r="AR4860" s="2">
        <v>0</v>
      </c>
      <c r="AS4860" s="2">
        <v>0</v>
      </c>
      <c r="AT4860" s="2">
        <v>0</v>
      </c>
      <c r="AU4860" s="2">
        <v>0</v>
      </c>
      <c r="AV4860" s="2">
        <v>0</v>
      </c>
      <c r="AW4860" s="2">
        <v>0</v>
      </c>
      <c r="AX4860" s="2">
        <v>0</v>
      </c>
      <c r="AY4860" s="2">
        <v>0</v>
      </c>
      <c r="AZ4860" s="2">
        <v>0</v>
      </c>
      <c r="BA4860" s="2">
        <v>0</v>
      </c>
      <c r="BB4860" s="2">
        <v>0</v>
      </c>
      <c r="BC4860" s="2">
        <v>0</v>
      </c>
      <c r="BD4860" s="2">
        <v>0</v>
      </c>
      <c r="BE4860" s="2">
        <v>0</v>
      </c>
      <c r="BF4860" s="2">
        <v>0</v>
      </c>
      <c r="BG4860" s="2">
        <v>0</v>
      </c>
      <c r="BH4860" s="2">
        <v>1</v>
      </c>
      <c r="BI4860" s="2">
        <v>1</v>
      </c>
      <c r="BJ4860" s="2">
        <v>0.2</v>
      </c>
      <c r="BK4860" s="2">
        <v>1</v>
      </c>
      <c r="BL4860" s="2">
        <v>41.44</v>
      </c>
      <c r="BM4860" s="2">
        <v>5.8</v>
      </c>
      <c r="BN4860" s="2">
        <v>47.24</v>
      </c>
      <c r="BO4860" s="2">
        <v>47.24</v>
      </c>
      <c r="BP4860" s="2"/>
      <c r="BQ4860" s="2" t="s">
        <v>209</v>
      </c>
      <c r="BR4860" s="2" t="s">
        <v>84</v>
      </c>
      <c r="BS4860" s="3">
        <v>42955</v>
      </c>
      <c r="BT4860" s="4">
        <v>0.51944444444444449</v>
      </c>
      <c r="BU4860" s="2" t="s">
        <v>4246</v>
      </c>
      <c r="BV4860" s="2" t="s">
        <v>95</v>
      </c>
      <c r="BW4860" s="2"/>
      <c r="BX4860" s="2"/>
      <c r="BY4860" s="2">
        <v>1200</v>
      </c>
      <c r="BZ4860" s="2"/>
      <c r="CA4860" s="2" t="s">
        <v>460</v>
      </c>
      <c r="CB4860" s="2"/>
      <c r="CC4860" s="2" t="s">
        <v>417</v>
      </c>
      <c r="CD4860" s="2">
        <v>7646</v>
      </c>
      <c r="CE4860" s="2" t="s">
        <v>104</v>
      </c>
      <c r="CF4860" s="5">
        <v>42955</v>
      </c>
      <c r="CG4860" s="2"/>
      <c r="CH4860" s="2"/>
      <c r="CI4860" s="2">
        <v>1</v>
      </c>
      <c r="CJ4860" s="2">
        <v>1</v>
      </c>
      <c r="CK4860" s="2">
        <v>21</v>
      </c>
      <c r="CL4860" s="2" t="s">
        <v>86</v>
      </c>
      <c r="CM4860" s="2"/>
    </row>
    <row r="4861" spans="1:91">
      <c r="A4861" s="2" t="s">
        <v>71</v>
      </c>
      <c r="B4861" s="2" t="s">
        <v>72</v>
      </c>
      <c r="C4861" s="2" t="s">
        <v>73</v>
      </c>
      <c r="D4861" s="2"/>
      <c r="E4861" s="2" t="str">
        <f>"FES1162567406"</f>
        <v>FES1162567406</v>
      </c>
      <c r="F4861" s="3">
        <v>42954</v>
      </c>
      <c r="G4861" s="2">
        <v>201802</v>
      </c>
      <c r="H4861" s="2" t="s">
        <v>74</v>
      </c>
      <c r="I4861" s="2" t="s">
        <v>75</v>
      </c>
      <c r="J4861" s="2" t="s">
        <v>76</v>
      </c>
      <c r="K4861" s="2" t="s">
        <v>77</v>
      </c>
      <c r="L4861" s="2" t="s">
        <v>756</v>
      </c>
      <c r="M4861" s="2" t="s">
        <v>757</v>
      </c>
      <c r="N4861" s="2" t="s">
        <v>758</v>
      </c>
      <c r="O4861" s="2" t="s">
        <v>100</v>
      </c>
      <c r="P4861" s="2" t="str">
        <f>"2170583558                    "</f>
        <v xml:space="preserve">2170583558                    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35.770000000000003</v>
      </c>
      <c r="AN4861" s="2">
        <v>0</v>
      </c>
      <c r="AO4861" s="2">
        <v>0</v>
      </c>
      <c r="AP4861" s="2">
        <v>0</v>
      </c>
      <c r="AQ4861" s="2">
        <v>0</v>
      </c>
      <c r="AR4861" s="2">
        <v>0</v>
      </c>
      <c r="AS4861" s="2">
        <v>0</v>
      </c>
      <c r="AT4861" s="2">
        <v>0</v>
      </c>
      <c r="AU4861" s="2">
        <v>0</v>
      </c>
      <c r="AV4861" s="2">
        <v>0</v>
      </c>
      <c r="AW4861" s="2">
        <v>0</v>
      </c>
      <c r="AX4861" s="2">
        <v>0</v>
      </c>
      <c r="AY4861" s="2">
        <v>0</v>
      </c>
      <c r="AZ4861" s="2">
        <v>0</v>
      </c>
      <c r="BA4861" s="2">
        <v>0</v>
      </c>
      <c r="BB4861" s="2">
        <v>0</v>
      </c>
      <c r="BC4861" s="2">
        <v>0</v>
      </c>
      <c r="BD4861" s="2">
        <v>0</v>
      </c>
      <c r="BE4861" s="2">
        <v>0</v>
      </c>
      <c r="BF4861" s="2">
        <v>0</v>
      </c>
      <c r="BG4861" s="2">
        <v>0</v>
      </c>
      <c r="BH4861" s="2">
        <v>1</v>
      </c>
      <c r="BI4861" s="2">
        <v>9.8000000000000007</v>
      </c>
      <c r="BJ4861" s="2">
        <v>6.5</v>
      </c>
      <c r="BK4861" s="2">
        <v>10</v>
      </c>
      <c r="BL4861" s="2">
        <v>370.39</v>
      </c>
      <c r="BM4861" s="2">
        <v>51.85</v>
      </c>
      <c r="BN4861" s="2">
        <v>422.24</v>
      </c>
      <c r="BO4861" s="2">
        <v>422.24</v>
      </c>
      <c r="BP4861" s="2"/>
      <c r="BQ4861" s="2" t="s">
        <v>288</v>
      </c>
      <c r="BR4861" s="2" t="s">
        <v>84</v>
      </c>
      <c r="BS4861" s="3">
        <v>42955</v>
      </c>
      <c r="BT4861" s="4">
        <v>0.625</v>
      </c>
      <c r="BU4861" s="2" t="s">
        <v>4247</v>
      </c>
      <c r="BV4861" s="2" t="s">
        <v>95</v>
      </c>
      <c r="BW4861" s="2"/>
      <c r="BX4861" s="2"/>
      <c r="BY4861" s="2">
        <v>32391.46</v>
      </c>
      <c r="BZ4861" s="2"/>
      <c r="CA4861" s="2" t="s">
        <v>1885</v>
      </c>
      <c r="CB4861" s="2"/>
      <c r="CC4861" s="2" t="s">
        <v>757</v>
      </c>
      <c r="CD4861" s="2">
        <v>4276</v>
      </c>
      <c r="CE4861" s="2" t="s">
        <v>89</v>
      </c>
      <c r="CF4861" s="5">
        <v>42955</v>
      </c>
      <c r="CG4861" s="2"/>
      <c r="CH4861" s="2"/>
      <c r="CI4861" s="2">
        <v>1</v>
      </c>
      <c r="CJ4861" s="2">
        <v>1</v>
      </c>
      <c r="CK4861" s="2">
        <v>23</v>
      </c>
      <c r="CL4861" s="2" t="s">
        <v>86</v>
      </c>
      <c r="CM4861" s="2"/>
    </row>
    <row r="4862" spans="1:91">
      <c r="A4862" s="2" t="s">
        <v>71</v>
      </c>
      <c r="B4862" s="2" t="s">
        <v>72</v>
      </c>
      <c r="C4862" s="2" t="s">
        <v>73</v>
      </c>
      <c r="D4862" s="2"/>
      <c r="E4862" s="2" t="str">
        <f>"FES1162567598"</f>
        <v>FES1162567598</v>
      </c>
      <c r="F4862" s="3">
        <v>42954</v>
      </c>
      <c r="G4862" s="2">
        <v>201802</v>
      </c>
      <c r="H4862" s="2" t="s">
        <v>74</v>
      </c>
      <c r="I4862" s="2" t="s">
        <v>75</v>
      </c>
      <c r="J4862" s="2" t="s">
        <v>76</v>
      </c>
      <c r="K4862" s="2" t="s">
        <v>77</v>
      </c>
      <c r="L4862" s="2" t="s">
        <v>268</v>
      </c>
      <c r="M4862" s="2" t="s">
        <v>269</v>
      </c>
      <c r="N4862" s="2" t="s">
        <v>368</v>
      </c>
      <c r="O4862" s="2" t="s">
        <v>100</v>
      </c>
      <c r="P4862" s="2" t="str">
        <f>"2170583746                    "</f>
        <v xml:space="preserve">2170583746                    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4</v>
      </c>
      <c r="AN4862" s="2">
        <v>0</v>
      </c>
      <c r="AO4862" s="2">
        <v>0</v>
      </c>
      <c r="AP4862" s="2">
        <v>0</v>
      </c>
      <c r="AQ4862" s="2">
        <v>0</v>
      </c>
      <c r="AR4862" s="2">
        <v>0</v>
      </c>
      <c r="AS4862" s="2">
        <v>0</v>
      </c>
      <c r="AT4862" s="2">
        <v>0</v>
      </c>
      <c r="AU4862" s="2">
        <v>0</v>
      </c>
      <c r="AV4862" s="2">
        <v>0</v>
      </c>
      <c r="AW4862" s="2">
        <v>0</v>
      </c>
      <c r="AX4862" s="2">
        <v>0</v>
      </c>
      <c r="AY4862" s="2">
        <v>0</v>
      </c>
      <c r="AZ4862" s="2">
        <v>0</v>
      </c>
      <c r="BA4862" s="2">
        <v>0</v>
      </c>
      <c r="BB4862" s="2">
        <v>0</v>
      </c>
      <c r="BC4862" s="2">
        <v>0</v>
      </c>
      <c r="BD4862" s="2">
        <v>0</v>
      </c>
      <c r="BE4862" s="2">
        <v>0</v>
      </c>
      <c r="BF4862" s="2">
        <v>0</v>
      </c>
      <c r="BG4862" s="2">
        <v>0</v>
      </c>
      <c r="BH4862" s="2">
        <v>1</v>
      </c>
      <c r="BI4862" s="2">
        <v>0.7</v>
      </c>
      <c r="BJ4862" s="2">
        <v>1.6</v>
      </c>
      <c r="BK4862" s="2">
        <v>2</v>
      </c>
      <c r="BL4862" s="2">
        <v>41.44</v>
      </c>
      <c r="BM4862" s="2">
        <v>5.8</v>
      </c>
      <c r="BN4862" s="2">
        <v>47.24</v>
      </c>
      <c r="BO4862" s="2">
        <v>47.24</v>
      </c>
      <c r="BP4862" s="2"/>
      <c r="BQ4862" s="2" t="s">
        <v>108</v>
      </c>
      <c r="BR4862" s="2" t="s">
        <v>84</v>
      </c>
      <c r="BS4862" s="3">
        <v>42955</v>
      </c>
      <c r="BT4862" s="4">
        <v>0.34652777777777777</v>
      </c>
      <c r="BU4862" s="2" t="s">
        <v>1109</v>
      </c>
      <c r="BV4862" s="2" t="s">
        <v>95</v>
      </c>
      <c r="BW4862" s="2"/>
      <c r="BX4862" s="2"/>
      <c r="BY4862" s="2">
        <v>7981.71</v>
      </c>
      <c r="BZ4862" s="2"/>
      <c r="CA4862" s="2"/>
      <c r="CB4862" s="2"/>
      <c r="CC4862" s="2" t="s">
        <v>269</v>
      </c>
      <c r="CD4862" s="2">
        <v>157</v>
      </c>
      <c r="CE4862" s="2" t="s">
        <v>104</v>
      </c>
      <c r="CF4862" s="5">
        <v>42957</v>
      </c>
      <c r="CG4862" s="2"/>
      <c r="CH4862" s="2"/>
      <c r="CI4862" s="2">
        <v>1</v>
      </c>
      <c r="CJ4862" s="2">
        <v>1</v>
      </c>
      <c r="CK4862" s="2">
        <v>21</v>
      </c>
      <c r="CL4862" s="2" t="s">
        <v>86</v>
      </c>
      <c r="CM4862" s="2"/>
    </row>
    <row r="4863" spans="1:91">
      <c r="A4863" s="2" t="s">
        <v>71</v>
      </c>
      <c r="B4863" s="2" t="s">
        <v>72</v>
      </c>
      <c r="C4863" s="2" t="s">
        <v>73</v>
      </c>
      <c r="D4863" s="2"/>
      <c r="E4863" s="2" t="str">
        <f>"FES1162567440"</f>
        <v>FES1162567440</v>
      </c>
      <c r="F4863" s="3">
        <v>42954</v>
      </c>
      <c r="G4863" s="2">
        <v>201802</v>
      </c>
      <c r="H4863" s="2" t="s">
        <v>74</v>
      </c>
      <c r="I4863" s="2" t="s">
        <v>75</v>
      </c>
      <c r="J4863" s="2" t="s">
        <v>76</v>
      </c>
      <c r="K4863" s="2" t="s">
        <v>77</v>
      </c>
      <c r="L4863" s="2" t="s">
        <v>105</v>
      </c>
      <c r="M4863" s="2" t="s">
        <v>106</v>
      </c>
      <c r="N4863" s="2" t="s">
        <v>107</v>
      </c>
      <c r="O4863" s="2" t="s">
        <v>100</v>
      </c>
      <c r="P4863" s="2" t="str">
        <f>"2170583592                    "</f>
        <v xml:space="preserve">2170583592                    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9.01</v>
      </c>
      <c r="AN4863" s="2">
        <v>0</v>
      </c>
      <c r="AO4863" s="2">
        <v>0</v>
      </c>
      <c r="AP4863" s="2">
        <v>0</v>
      </c>
      <c r="AQ4863" s="2">
        <v>0</v>
      </c>
      <c r="AR4863" s="2">
        <v>0</v>
      </c>
      <c r="AS4863" s="2">
        <v>0</v>
      </c>
      <c r="AT4863" s="2">
        <v>0</v>
      </c>
      <c r="AU4863" s="2">
        <v>0</v>
      </c>
      <c r="AV4863" s="2">
        <v>0</v>
      </c>
      <c r="AW4863" s="2">
        <v>0</v>
      </c>
      <c r="AX4863" s="2">
        <v>0</v>
      </c>
      <c r="AY4863" s="2">
        <v>0</v>
      </c>
      <c r="AZ4863" s="2">
        <v>0</v>
      </c>
      <c r="BA4863" s="2">
        <v>0</v>
      </c>
      <c r="BB4863" s="2">
        <v>0</v>
      </c>
      <c r="BC4863" s="2">
        <v>0</v>
      </c>
      <c r="BD4863" s="2">
        <v>0</v>
      </c>
      <c r="BE4863" s="2">
        <v>0</v>
      </c>
      <c r="BF4863" s="2">
        <v>0</v>
      </c>
      <c r="BG4863" s="2">
        <v>0</v>
      </c>
      <c r="BH4863" s="2">
        <v>1</v>
      </c>
      <c r="BI4863" s="2">
        <v>2.8</v>
      </c>
      <c r="BJ4863" s="2">
        <v>4.5</v>
      </c>
      <c r="BK4863" s="2">
        <v>4.5</v>
      </c>
      <c r="BL4863" s="2">
        <v>93.25</v>
      </c>
      <c r="BM4863" s="2">
        <v>13.06</v>
      </c>
      <c r="BN4863" s="2">
        <v>106.31</v>
      </c>
      <c r="BO4863" s="2">
        <v>106.31</v>
      </c>
      <c r="BP4863" s="2"/>
      <c r="BQ4863" s="2" t="s">
        <v>108</v>
      </c>
      <c r="BR4863" s="2" t="s">
        <v>84</v>
      </c>
      <c r="BS4863" s="3">
        <v>42955</v>
      </c>
      <c r="BT4863" s="4">
        <v>0.4069444444444445</v>
      </c>
      <c r="BU4863" s="2" t="s">
        <v>236</v>
      </c>
      <c r="BV4863" s="2" t="s">
        <v>95</v>
      </c>
      <c r="BW4863" s="2"/>
      <c r="BX4863" s="2"/>
      <c r="BY4863" s="2">
        <v>22734</v>
      </c>
      <c r="BZ4863" s="2"/>
      <c r="CA4863" s="2" t="s">
        <v>112</v>
      </c>
      <c r="CB4863" s="2"/>
      <c r="CC4863" s="2" t="s">
        <v>106</v>
      </c>
      <c r="CD4863" s="2">
        <v>7405</v>
      </c>
      <c r="CE4863" s="2" t="s">
        <v>89</v>
      </c>
      <c r="CF4863" s="5">
        <v>42955</v>
      </c>
      <c r="CG4863" s="2"/>
      <c r="CH4863" s="2"/>
      <c r="CI4863" s="2">
        <v>1</v>
      </c>
      <c r="CJ4863" s="2">
        <v>1</v>
      </c>
      <c r="CK4863" s="2">
        <v>21</v>
      </c>
      <c r="CL4863" s="2" t="s">
        <v>86</v>
      </c>
      <c r="CM4863" s="2"/>
    </row>
    <row r="4864" spans="1:91">
      <c r="A4864" s="2" t="s">
        <v>71</v>
      </c>
      <c r="B4864" s="2" t="s">
        <v>72</v>
      </c>
      <c r="C4864" s="2" t="s">
        <v>73</v>
      </c>
      <c r="D4864" s="2"/>
      <c r="E4864" s="2" t="str">
        <f>"FES1162567529"</f>
        <v>FES1162567529</v>
      </c>
      <c r="F4864" s="3">
        <v>42954</v>
      </c>
      <c r="G4864" s="2">
        <v>201802</v>
      </c>
      <c r="H4864" s="2" t="s">
        <v>74</v>
      </c>
      <c r="I4864" s="2" t="s">
        <v>75</v>
      </c>
      <c r="J4864" s="2" t="s">
        <v>76</v>
      </c>
      <c r="K4864" s="2" t="s">
        <v>77</v>
      </c>
      <c r="L4864" s="2" t="s">
        <v>97</v>
      </c>
      <c r="M4864" s="2" t="s">
        <v>98</v>
      </c>
      <c r="N4864" s="2" t="s">
        <v>248</v>
      </c>
      <c r="O4864" s="2" t="s">
        <v>100</v>
      </c>
      <c r="P4864" s="2" t="str">
        <f>"2170578691                    "</f>
        <v xml:space="preserve">2170578691                    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5</v>
      </c>
      <c r="AN4864" s="2">
        <v>0</v>
      </c>
      <c r="AO4864" s="2">
        <v>0</v>
      </c>
      <c r="AP4864" s="2">
        <v>0</v>
      </c>
      <c r="AQ4864" s="2">
        <v>0</v>
      </c>
      <c r="AR4864" s="2">
        <v>0</v>
      </c>
      <c r="AS4864" s="2">
        <v>0</v>
      </c>
      <c r="AT4864" s="2">
        <v>0</v>
      </c>
      <c r="AU4864" s="2">
        <v>0</v>
      </c>
      <c r="AV4864" s="2">
        <v>0</v>
      </c>
      <c r="AW4864" s="2">
        <v>0</v>
      </c>
      <c r="AX4864" s="2">
        <v>0</v>
      </c>
      <c r="AY4864" s="2">
        <v>0</v>
      </c>
      <c r="AZ4864" s="2">
        <v>0</v>
      </c>
      <c r="BA4864" s="2">
        <v>0</v>
      </c>
      <c r="BB4864" s="2">
        <v>0</v>
      </c>
      <c r="BC4864" s="2">
        <v>0</v>
      </c>
      <c r="BD4864" s="2">
        <v>0</v>
      </c>
      <c r="BE4864" s="2">
        <v>0</v>
      </c>
      <c r="BF4864" s="2">
        <v>0</v>
      </c>
      <c r="BG4864" s="2">
        <v>0</v>
      </c>
      <c r="BH4864" s="2">
        <v>1</v>
      </c>
      <c r="BI4864" s="2">
        <v>2.2999999999999998</v>
      </c>
      <c r="BJ4864" s="2">
        <v>0.9</v>
      </c>
      <c r="BK4864" s="2">
        <v>2.5</v>
      </c>
      <c r="BL4864" s="2">
        <v>51.8</v>
      </c>
      <c r="BM4864" s="2">
        <v>7.25</v>
      </c>
      <c r="BN4864" s="2">
        <v>59.05</v>
      </c>
      <c r="BO4864" s="2">
        <v>59.05</v>
      </c>
      <c r="BP4864" s="2"/>
      <c r="BQ4864" s="2" t="s">
        <v>83</v>
      </c>
      <c r="BR4864" s="2" t="s">
        <v>84</v>
      </c>
      <c r="BS4864" s="3">
        <v>42955</v>
      </c>
      <c r="BT4864" s="4">
        <v>0.35416666666666669</v>
      </c>
      <c r="BU4864" s="2" t="s">
        <v>390</v>
      </c>
      <c r="BV4864" s="2" t="s">
        <v>95</v>
      </c>
      <c r="BW4864" s="2"/>
      <c r="BX4864" s="2"/>
      <c r="BY4864" s="2">
        <v>4573.13</v>
      </c>
      <c r="BZ4864" s="2"/>
      <c r="CA4864" s="2" t="s">
        <v>294</v>
      </c>
      <c r="CB4864" s="2"/>
      <c r="CC4864" s="2" t="s">
        <v>98</v>
      </c>
      <c r="CD4864" s="2">
        <v>6001</v>
      </c>
      <c r="CE4864" s="2" t="s">
        <v>89</v>
      </c>
      <c r="CF4864" s="5">
        <v>42957</v>
      </c>
      <c r="CG4864" s="2"/>
      <c r="CH4864" s="2"/>
      <c r="CI4864" s="2">
        <v>1</v>
      </c>
      <c r="CJ4864" s="2">
        <v>1</v>
      </c>
      <c r="CK4864" s="2">
        <v>21</v>
      </c>
      <c r="CL4864" s="2" t="s">
        <v>86</v>
      </c>
      <c r="CM4864" s="2"/>
    </row>
    <row r="4865" spans="1:91">
      <c r="A4865" s="2" t="s">
        <v>71</v>
      </c>
      <c r="B4865" s="2" t="s">
        <v>72</v>
      </c>
      <c r="C4865" s="2" t="s">
        <v>73</v>
      </c>
      <c r="D4865" s="2"/>
      <c r="E4865" s="2" t="str">
        <f>"FES1162567395"</f>
        <v>FES1162567395</v>
      </c>
      <c r="F4865" s="3">
        <v>42954</v>
      </c>
      <c r="G4865" s="2">
        <v>201802</v>
      </c>
      <c r="H4865" s="2" t="s">
        <v>74</v>
      </c>
      <c r="I4865" s="2" t="s">
        <v>75</v>
      </c>
      <c r="J4865" s="2" t="s">
        <v>76</v>
      </c>
      <c r="K4865" s="2" t="s">
        <v>77</v>
      </c>
      <c r="L4865" s="2" t="s">
        <v>105</v>
      </c>
      <c r="M4865" s="2" t="s">
        <v>106</v>
      </c>
      <c r="N4865" s="2" t="s">
        <v>1857</v>
      </c>
      <c r="O4865" s="2" t="s">
        <v>100</v>
      </c>
      <c r="P4865" s="2" t="str">
        <f>"2170582879                    "</f>
        <v xml:space="preserve">2170582879                    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4</v>
      </c>
      <c r="AN4865" s="2">
        <v>0</v>
      </c>
      <c r="AO4865" s="2">
        <v>0</v>
      </c>
      <c r="AP4865" s="2">
        <v>0</v>
      </c>
      <c r="AQ4865" s="2">
        <v>0</v>
      </c>
      <c r="AR4865" s="2">
        <v>0</v>
      </c>
      <c r="AS4865" s="2">
        <v>0</v>
      </c>
      <c r="AT4865" s="2">
        <v>0</v>
      </c>
      <c r="AU4865" s="2">
        <v>0</v>
      </c>
      <c r="AV4865" s="2">
        <v>0</v>
      </c>
      <c r="AW4865" s="2">
        <v>0</v>
      </c>
      <c r="AX4865" s="2">
        <v>0</v>
      </c>
      <c r="AY4865" s="2">
        <v>0</v>
      </c>
      <c r="AZ4865" s="2">
        <v>0</v>
      </c>
      <c r="BA4865" s="2">
        <v>0</v>
      </c>
      <c r="BB4865" s="2">
        <v>0</v>
      </c>
      <c r="BC4865" s="2">
        <v>0</v>
      </c>
      <c r="BD4865" s="2">
        <v>0</v>
      </c>
      <c r="BE4865" s="2">
        <v>0</v>
      </c>
      <c r="BF4865" s="2">
        <v>0</v>
      </c>
      <c r="BG4865" s="2">
        <v>0</v>
      </c>
      <c r="BH4865" s="2">
        <v>1</v>
      </c>
      <c r="BI4865" s="2">
        <v>1.3</v>
      </c>
      <c r="BJ4865" s="2">
        <v>0.9</v>
      </c>
      <c r="BK4865" s="2">
        <v>1.5</v>
      </c>
      <c r="BL4865" s="2">
        <v>41.44</v>
      </c>
      <c r="BM4865" s="2">
        <v>5.8</v>
      </c>
      <c r="BN4865" s="2">
        <v>47.24</v>
      </c>
      <c r="BO4865" s="2">
        <v>47.24</v>
      </c>
      <c r="BP4865" s="2"/>
      <c r="BQ4865" s="2" t="s">
        <v>83</v>
      </c>
      <c r="BR4865" s="2" t="s">
        <v>84</v>
      </c>
      <c r="BS4865" s="3">
        <v>42955</v>
      </c>
      <c r="BT4865" s="4">
        <v>0.4055555555555555</v>
      </c>
      <c r="BU4865" s="2" t="s">
        <v>3653</v>
      </c>
      <c r="BV4865" s="2" t="s">
        <v>95</v>
      </c>
      <c r="BW4865" s="2"/>
      <c r="BX4865" s="2"/>
      <c r="BY4865" s="2">
        <v>4464</v>
      </c>
      <c r="BZ4865" s="2"/>
      <c r="CA4865" s="2" t="s">
        <v>291</v>
      </c>
      <c r="CB4865" s="2"/>
      <c r="CC4865" s="2" t="s">
        <v>106</v>
      </c>
      <c r="CD4865" s="2">
        <v>7441</v>
      </c>
      <c r="CE4865" s="2" t="s">
        <v>89</v>
      </c>
      <c r="CF4865" s="5">
        <v>42957</v>
      </c>
      <c r="CG4865" s="2"/>
      <c r="CH4865" s="2"/>
      <c r="CI4865" s="2">
        <v>1</v>
      </c>
      <c r="CJ4865" s="2">
        <v>1</v>
      </c>
      <c r="CK4865" s="2">
        <v>21</v>
      </c>
      <c r="CL4865" s="2" t="s">
        <v>86</v>
      </c>
      <c r="CM4865" s="2"/>
    </row>
    <row r="4866" spans="1:91">
      <c r="A4866" s="2" t="s">
        <v>71</v>
      </c>
      <c r="B4866" s="2" t="s">
        <v>72</v>
      </c>
      <c r="C4866" s="2" t="s">
        <v>73</v>
      </c>
      <c r="D4866" s="2"/>
      <c r="E4866" s="2" t="str">
        <f>"FES1162567390"</f>
        <v>FES1162567390</v>
      </c>
      <c r="F4866" s="3">
        <v>42954</v>
      </c>
      <c r="G4866" s="2">
        <v>201802</v>
      </c>
      <c r="H4866" s="2" t="s">
        <v>74</v>
      </c>
      <c r="I4866" s="2" t="s">
        <v>75</v>
      </c>
      <c r="J4866" s="2" t="s">
        <v>76</v>
      </c>
      <c r="K4866" s="2" t="s">
        <v>77</v>
      </c>
      <c r="L4866" s="2" t="s">
        <v>144</v>
      </c>
      <c r="M4866" s="2" t="s">
        <v>145</v>
      </c>
      <c r="N4866" s="2" t="s">
        <v>1713</v>
      </c>
      <c r="O4866" s="2" t="s">
        <v>100</v>
      </c>
      <c r="P4866" s="2" t="str">
        <f>"2170583552                    "</f>
        <v xml:space="preserve">2170583552                    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2">
        <v>0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3.13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2">
        <v>0</v>
      </c>
      <c r="AT4866" s="2">
        <v>0</v>
      </c>
      <c r="AU4866" s="2">
        <v>0</v>
      </c>
      <c r="AV4866" s="2">
        <v>0</v>
      </c>
      <c r="AW4866" s="2">
        <v>0</v>
      </c>
      <c r="AX4866" s="2">
        <v>0</v>
      </c>
      <c r="AY4866" s="2">
        <v>0</v>
      </c>
      <c r="AZ4866" s="2">
        <v>0</v>
      </c>
      <c r="BA4866" s="2">
        <v>0</v>
      </c>
      <c r="BB4866" s="2">
        <v>0</v>
      </c>
      <c r="BC4866" s="2">
        <v>0</v>
      </c>
      <c r="BD4866" s="2">
        <v>0</v>
      </c>
      <c r="BE4866" s="2">
        <v>0</v>
      </c>
      <c r="BF4866" s="2">
        <v>0</v>
      </c>
      <c r="BG4866" s="2">
        <v>0</v>
      </c>
      <c r="BH4866" s="2">
        <v>1</v>
      </c>
      <c r="BI4866" s="2">
        <v>7.8</v>
      </c>
      <c r="BJ4866" s="2">
        <v>4</v>
      </c>
      <c r="BK4866" s="2">
        <v>8</v>
      </c>
      <c r="BL4866" s="2">
        <v>32.380000000000003</v>
      </c>
      <c r="BM4866" s="2">
        <v>4.53</v>
      </c>
      <c r="BN4866" s="2">
        <v>36.909999999999997</v>
      </c>
      <c r="BO4866" s="2">
        <v>36.909999999999997</v>
      </c>
      <c r="BP4866" s="2"/>
      <c r="BQ4866" s="2" t="s">
        <v>209</v>
      </c>
      <c r="BR4866" s="2" t="s">
        <v>84</v>
      </c>
      <c r="BS4866" s="3">
        <v>42955</v>
      </c>
      <c r="BT4866" s="4">
        <v>0.45833333333333331</v>
      </c>
      <c r="BU4866" s="2" t="s">
        <v>1494</v>
      </c>
      <c r="BV4866" s="2" t="s">
        <v>86</v>
      </c>
      <c r="BW4866" s="2" t="s">
        <v>110</v>
      </c>
      <c r="BX4866" s="2" t="s">
        <v>327</v>
      </c>
      <c r="BY4866" s="2">
        <v>20090.509999999998</v>
      </c>
      <c r="BZ4866" s="2"/>
      <c r="CA4866" s="2" t="s">
        <v>1714</v>
      </c>
      <c r="CB4866" s="2"/>
      <c r="CC4866" s="2" t="s">
        <v>145</v>
      </c>
      <c r="CD4866" s="2">
        <v>2090</v>
      </c>
      <c r="CE4866" s="2" t="s">
        <v>89</v>
      </c>
      <c r="CF4866" s="5">
        <v>42957</v>
      </c>
      <c r="CG4866" s="2"/>
      <c r="CH4866" s="2"/>
      <c r="CI4866" s="2">
        <v>1</v>
      </c>
      <c r="CJ4866" s="2">
        <v>1</v>
      </c>
      <c r="CK4866" s="2">
        <v>22</v>
      </c>
      <c r="CL4866" s="2" t="s">
        <v>86</v>
      </c>
      <c r="CM4866" s="2"/>
    </row>
    <row r="4867" spans="1:91">
      <c r="A4867" s="2" t="s">
        <v>71</v>
      </c>
      <c r="B4867" s="2" t="s">
        <v>72</v>
      </c>
      <c r="C4867" s="2" t="s">
        <v>73</v>
      </c>
      <c r="D4867" s="2"/>
      <c r="E4867" s="2" t="str">
        <f>"FES1162567522"</f>
        <v>FES1162567522</v>
      </c>
      <c r="F4867" s="3">
        <v>42954</v>
      </c>
      <c r="G4867" s="2">
        <v>201802</v>
      </c>
      <c r="H4867" s="2" t="s">
        <v>74</v>
      </c>
      <c r="I4867" s="2" t="s">
        <v>75</v>
      </c>
      <c r="J4867" s="2" t="s">
        <v>76</v>
      </c>
      <c r="K4867" s="2" t="s">
        <v>77</v>
      </c>
      <c r="L4867" s="2" t="s">
        <v>1663</v>
      </c>
      <c r="M4867" s="2" t="s">
        <v>1664</v>
      </c>
      <c r="N4867" s="2" t="s">
        <v>4248</v>
      </c>
      <c r="O4867" s="2" t="s">
        <v>100</v>
      </c>
      <c r="P4867" s="2" t="str">
        <f>"2170578176                    "</f>
        <v xml:space="preserve">2170578176                    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</v>
      </c>
      <c r="Y4867" s="2">
        <v>0</v>
      </c>
      <c r="Z4867" s="2">
        <v>0</v>
      </c>
      <c r="AA4867" s="2">
        <v>0</v>
      </c>
      <c r="AB4867" s="2">
        <v>0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18.010000000000002</v>
      </c>
      <c r="AN4867" s="2">
        <v>0</v>
      </c>
      <c r="AO4867" s="2">
        <v>0</v>
      </c>
      <c r="AP4867" s="2">
        <v>0</v>
      </c>
      <c r="AQ4867" s="2">
        <v>0</v>
      </c>
      <c r="AR4867" s="2">
        <v>0</v>
      </c>
      <c r="AS4867" s="2">
        <v>0</v>
      </c>
      <c r="AT4867" s="2">
        <v>0</v>
      </c>
      <c r="AU4867" s="2">
        <v>0</v>
      </c>
      <c r="AV4867" s="2">
        <v>0</v>
      </c>
      <c r="AW4867" s="2">
        <v>0</v>
      </c>
      <c r="AX4867" s="2">
        <v>0</v>
      </c>
      <c r="AY4867" s="2">
        <v>0</v>
      </c>
      <c r="AZ4867" s="2">
        <v>0</v>
      </c>
      <c r="BA4867" s="2">
        <v>0</v>
      </c>
      <c r="BB4867" s="2">
        <v>0</v>
      </c>
      <c r="BC4867" s="2">
        <v>0</v>
      </c>
      <c r="BD4867" s="2">
        <v>0</v>
      </c>
      <c r="BE4867" s="2">
        <v>0</v>
      </c>
      <c r="BF4867" s="2">
        <v>0</v>
      </c>
      <c r="BG4867" s="2">
        <v>0</v>
      </c>
      <c r="BH4867" s="2">
        <v>1</v>
      </c>
      <c r="BI4867" s="2">
        <v>5.0999999999999996</v>
      </c>
      <c r="BJ4867" s="2">
        <v>8.8000000000000007</v>
      </c>
      <c r="BK4867" s="2">
        <v>9</v>
      </c>
      <c r="BL4867" s="2">
        <v>186.49</v>
      </c>
      <c r="BM4867" s="2">
        <v>26.11</v>
      </c>
      <c r="BN4867" s="2">
        <v>212.6</v>
      </c>
      <c r="BO4867" s="2">
        <v>212.6</v>
      </c>
      <c r="BP4867" s="2"/>
      <c r="BQ4867" s="2" t="s">
        <v>209</v>
      </c>
      <c r="BR4867" s="2" t="s">
        <v>84</v>
      </c>
      <c r="BS4867" s="3">
        <v>42955</v>
      </c>
      <c r="BT4867" s="4">
        <v>0.59861111111111109</v>
      </c>
      <c r="BU4867" s="2" t="s">
        <v>4249</v>
      </c>
      <c r="BV4867" s="2" t="s">
        <v>95</v>
      </c>
      <c r="BW4867" s="2"/>
      <c r="BX4867" s="2"/>
      <c r="BY4867" s="2">
        <v>44159.81</v>
      </c>
      <c r="BZ4867" s="2"/>
      <c r="CA4867" s="2" t="s">
        <v>4250</v>
      </c>
      <c r="CB4867" s="2"/>
      <c r="CC4867" s="2" t="s">
        <v>1664</v>
      </c>
      <c r="CD4867" s="2">
        <v>3310</v>
      </c>
      <c r="CE4867" s="2" t="s">
        <v>89</v>
      </c>
      <c r="CF4867" s="5">
        <v>42959</v>
      </c>
      <c r="CG4867" s="2"/>
      <c r="CH4867" s="2"/>
      <c r="CI4867" s="2">
        <v>1</v>
      </c>
      <c r="CJ4867" s="2">
        <v>1</v>
      </c>
      <c r="CK4867" s="2">
        <v>21</v>
      </c>
      <c r="CL4867" s="2" t="s">
        <v>86</v>
      </c>
      <c r="CM4867" s="2"/>
    </row>
    <row r="4868" spans="1:91">
      <c r="A4868" s="2" t="s">
        <v>71</v>
      </c>
      <c r="B4868" s="2" t="s">
        <v>72</v>
      </c>
      <c r="C4868" s="2" t="s">
        <v>73</v>
      </c>
      <c r="D4868" s="2"/>
      <c r="E4868" s="2" t="str">
        <f>"FES1162567417"</f>
        <v>FES1162567417</v>
      </c>
      <c r="F4868" s="3">
        <v>42954</v>
      </c>
      <c r="G4868" s="2">
        <v>201802</v>
      </c>
      <c r="H4868" s="2" t="s">
        <v>74</v>
      </c>
      <c r="I4868" s="2" t="s">
        <v>75</v>
      </c>
      <c r="J4868" s="2" t="s">
        <v>76</v>
      </c>
      <c r="K4868" s="2" t="s">
        <v>77</v>
      </c>
      <c r="L4868" s="2" t="s">
        <v>221</v>
      </c>
      <c r="M4868" s="2" t="s">
        <v>222</v>
      </c>
      <c r="N4868" s="2" t="s">
        <v>223</v>
      </c>
      <c r="O4868" s="2" t="s">
        <v>100</v>
      </c>
      <c r="P4868" s="2" t="str">
        <f>"2170583572                    "</f>
        <v xml:space="preserve">2170583572                    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2">
        <v>0</v>
      </c>
      <c r="Z4868" s="2">
        <v>0</v>
      </c>
      <c r="AA4868" s="2">
        <v>0</v>
      </c>
      <c r="AB4868" s="2">
        <v>0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4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0</v>
      </c>
      <c r="AT4868" s="2">
        <v>0</v>
      </c>
      <c r="AU4868" s="2">
        <v>0</v>
      </c>
      <c r="AV4868" s="2">
        <v>0</v>
      </c>
      <c r="AW4868" s="2">
        <v>0</v>
      </c>
      <c r="AX4868" s="2">
        <v>0</v>
      </c>
      <c r="AY4868" s="2">
        <v>0</v>
      </c>
      <c r="AZ4868" s="2">
        <v>0</v>
      </c>
      <c r="BA4868" s="2">
        <v>0</v>
      </c>
      <c r="BB4868" s="2">
        <v>0</v>
      </c>
      <c r="BC4868" s="2">
        <v>0</v>
      </c>
      <c r="BD4868" s="2">
        <v>0</v>
      </c>
      <c r="BE4868" s="2">
        <v>0</v>
      </c>
      <c r="BF4868" s="2">
        <v>0</v>
      </c>
      <c r="BG4868" s="2">
        <v>0</v>
      </c>
      <c r="BH4868" s="2">
        <v>1</v>
      </c>
      <c r="BI4868" s="2">
        <v>1</v>
      </c>
      <c r="BJ4868" s="2">
        <v>0.2</v>
      </c>
      <c r="BK4868" s="2">
        <v>1</v>
      </c>
      <c r="BL4868" s="2">
        <v>41.44</v>
      </c>
      <c r="BM4868" s="2">
        <v>5.8</v>
      </c>
      <c r="BN4868" s="2">
        <v>47.24</v>
      </c>
      <c r="BO4868" s="2">
        <v>47.24</v>
      </c>
      <c r="BP4868" s="2"/>
      <c r="BQ4868" s="2" t="s">
        <v>4251</v>
      </c>
      <c r="BR4868" s="2" t="s">
        <v>84</v>
      </c>
      <c r="BS4868" s="3">
        <v>42955</v>
      </c>
      <c r="BT4868" s="4">
        <v>0.375</v>
      </c>
      <c r="BU4868" s="2" t="s">
        <v>3798</v>
      </c>
      <c r="BV4868" s="2" t="s">
        <v>95</v>
      </c>
      <c r="BW4868" s="2"/>
      <c r="BX4868" s="2"/>
      <c r="BY4868" s="2">
        <v>1200</v>
      </c>
      <c r="BZ4868" s="2" t="s">
        <v>27</v>
      </c>
      <c r="CA4868" s="2" t="s">
        <v>3640</v>
      </c>
      <c r="CB4868" s="2"/>
      <c r="CC4868" s="2" t="s">
        <v>222</v>
      </c>
      <c r="CD4868" s="2">
        <v>4300</v>
      </c>
      <c r="CE4868" s="2" t="s">
        <v>104</v>
      </c>
      <c r="CF4868" s="5">
        <v>42957</v>
      </c>
      <c r="CG4868" s="2"/>
      <c r="CH4868" s="2"/>
      <c r="CI4868" s="2">
        <v>1</v>
      </c>
      <c r="CJ4868" s="2">
        <v>1</v>
      </c>
      <c r="CK4868" s="2">
        <v>21</v>
      </c>
      <c r="CL4868" s="2" t="s">
        <v>86</v>
      </c>
      <c r="CM4868" s="2"/>
    </row>
    <row r="4869" spans="1:91">
      <c r="A4869" s="2" t="s">
        <v>71</v>
      </c>
      <c r="B4869" s="2" t="s">
        <v>72</v>
      </c>
      <c r="C4869" s="2" t="s">
        <v>73</v>
      </c>
      <c r="D4869" s="2"/>
      <c r="E4869" s="2" t="str">
        <f>"FES1162567401"</f>
        <v>FES1162567401</v>
      </c>
      <c r="F4869" s="3">
        <v>42954</v>
      </c>
      <c r="G4869" s="2">
        <v>201802</v>
      </c>
      <c r="H4869" s="2" t="s">
        <v>74</v>
      </c>
      <c r="I4869" s="2" t="s">
        <v>75</v>
      </c>
      <c r="J4869" s="2" t="s">
        <v>76</v>
      </c>
      <c r="K4869" s="2" t="s">
        <v>77</v>
      </c>
      <c r="L4869" s="2" t="s">
        <v>221</v>
      </c>
      <c r="M4869" s="2" t="s">
        <v>222</v>
      </c>
      <c r="N4869" s="2" t="s">
        <v>2293</v>
      </c>
      <c r="O4869" s="2" t="s">
        <v>100</v>
      </c>
      <c r="P4869" s="2" t="str">
        <f>"2170583305                    "</f>
        <v xml:space="preserve">2170583305                    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0</v>
      </c>
      <c r="Y4869" s="2">
        <v>0</v>
      </c>
      <c r="Z4869" s="2">
        <v>0</v>
      </c>
      <c r="AA4869" s="2">
        <v>0</v>
      </c>
      <c r="AB4869" s="2">
        <v>0</v>
      </c>
      <c r="AC4869" s="2">
        <v>0</v>
      </c>
      <c r="AD4869" s="2">
        <v>0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0</v>
      </c>
      <c r="AL4869" s="2">
        <v>0</v>
      </c>
      <c r="AM4869" s="2">
        <v>5</v>
      </c>
      <c r="AN4869" s="2">
        <v>0</v>
      </c>
      <c r="AO4869" s="2">
        <v>0</v>
      </c>
      <c r="AP4869" s="2">
        <v>0</v>
      </c>
      <c r="AQ4869" s="2">
        <v>0</v>
      </c>
      <c r="AR4869" s="2">
        <v>0</v>
      </c>
      <c r="AS4869" s="2">
        <v>0</v>
      </c>
      <c r="AT4869" s="2">
        <v>0</v>
      </c>
      <c r="AU4869" s="2">
        <v>0</v>
      </c>
      <c r="AV4869" s="2">
        <v>0</v>
      </c>
      <c r="AW4869" s="2">
        <v>0</v>
      </c>
      <c r="AX4869" s="2">
        <v>0</v>
      </c>
      <c r="AY4869" s="2">
        <v>0</v>
      </c>
      <c r="AZ4869" s="2">
        <v>0</v>
      </c>
      <c r="BA4869" s="2">
        <v>0</v>
      </c>
      <c r="BB4869" s="2">
        <v>0</v>
      </c>
      <c r="BC4869" s="2">
        <v>0</v>
      </c>
      <c r="BD4869" s="2">
        <v>0</v>
      </c>
      <c r="BE4869" s="2">
        <v>0</v>
      </c>
      <c r="BF4869" s="2">
        <v>0</v>
      </c>
      <c r="BG4869" s="2">
        <v>0</v>
      </c>
      <c r="BH4869" s="2">
        <v>1</v>
      </c>
      <c r="BI4869" s="2">
        <v>2.4</v>
      </c>
      <c r="BJ4869" s="2">
        <v>0.9</v>
      </c>
      <c r="BK4869" s="2">
        <v>2.5</v>
      </c>
      <c r="BL4869" s="2">
        <v>51.8</v>
      </c>
      <c r="BM4869" s="2">
        <v>7.25</v>
      </c>
      <c r="BN4869" s="2">
        <v>59.05</v>
      </c>
      <c r="BO4869" s="2">
        <v>59.05</v>
      </c>
      <c r="BP4869" s="2"/>
      <c r="BQ4869" s="2" t="s">
        <v>288</v>
      </c>
      <c r="BR4869" s="2" t="s">
        <v>84</v>
      </c>
      <c r="BS4869" s="3">
        <v>42962</v>
      </c>
      <c r="BT4869" s="4">
        <v>0.375</v>
      </c>
      <c r="BU4869" s="2" t="s">
        <v>4252</v>
      </c>
      <c r="BV4869" s="2" t="s">
        <v>86</v>
      </c>
      <c r="BW4869" s="2" t="s">
        <v>548</v>
      </c>
      <c r="BX4869" s="2" t="s">
        <v>337</v>
      </c>
      <c r="BY4869" s="2">
        <v>4746.1899999999996</v>
      </c>
      <c r="BZ4869" s="2"/>
      <c r="CA4869" s="2" t="s">
        <v>550</v>
      </c>
      <c r="CB4869" s="2"/>
      <c r="CC4869" s="2" t="s">
        <v>222</v>
      </c>
      <c r="CD4869" s="2">
        <v>4302</v>
      </c>
      <c r="CE4869" s="2" t="s">
        <v>89</v>
      </c>
      <c r="CF4869" s="5">
        <v>42971</v>
      </c>
      <c r="CG4869" s="2"/>
      <c r="CH4869" s="2"/>
      <c r="CI4869" s="2">
        <v>1</v>
      </c>
      <c r="CJ4869" s="2">
        <v>6</v>
      </c>
      <c r="CK4869" s="2">
        <v>21</v>
      </c>
      <c r="CL4869" s="2" t="s">
        <v>86</v>
      </c>
      <c r="CM4869" s="2"/>
    </row>
    <row r="4870" spans="1:91">
      <c r="A4870" s="2" t="s">
        <v>71</v>
      </c>
      <c r="B4870" s="2" t="s">
        <v>72</v>
      </c>
      <c r="C4870" s="2" t="s">
        <v>73</v>
      </c>
      <c r="D4870" s="2"/>
      <c r="E4870" s="2" t="str">
        <f>"FES1162567567"</f>
        <v>FES1162567567</v>
      </c>
      <c r="F4870" s="3">
        <v>42954</v>
      </c>
      <c r="G4870" s="2">
        <v>201802</v>
      </c>
      <c r="H4870" s="2" t="s">
        <v>74</v>
      </c>
      <c r="I4870" s="2" t="s">
        <v>75</v>
      </c>
      <c r="J4870" s="2" t="s">
        <v>76</v>
      </c>
      <c r="K4870" s="2" t="s">
        <v>77</v>
      </c>
      <c r="L4870" s="2" t="s">
        <v>97</v>
      </c>
      <c r="M4870" s="2" t="s">
        <v>98</v>
      </c>
      <c r="N4870" s="2" t="s">
        <v>1041</v>
      </c>
      <c r="O4870" s="2" t="s">
        <v>100</v>
      </c>
      <c r="P4870" s="2" t="str">
        <f>"2170583324                    "</f>
        <v xml:space="preserve">2170583324                    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2">
        <v>0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0</v>
      </c>
      <c r="AI4870" s="2">
        <v>0</v>
      </c>
      <c r="AJ4870" s="2">
        <v>0</v>
      </c>
      <c r="AK4870" s="2">
        <v>0</v>
      </c>
      <c r="AL4870" s="2">
        <v>0</v>
      </c>
      <c r="AM4870" s="2">
        <v>4</v>
      </c>
      <c r="AN4870" s="2">
        <v>0</v>
      </c>
      <c r="AO4870" s="2">
        <v>0</v>
      </c>
      <c r="AP4870" s="2">
        <v>0</v>
      </c>
      <c r="AQ4870" s="2">
        <v>0</v>
      </c>
      <c r="AR4870" s="2">
        <v>0</v>
      </c>
      <c r="AS4870" s="2">
        <v>0</v>
      </c>
      <c r="AT4870" s="2">
        <v>0</v>
      </c>
      <c r="AU4870" s="2">
        <v>0</v>
      </c>
      <c r="AV4870" s="2">
        <v>0</v>
      </c>
      <c r="AW4870" s="2">
        <v>0</v>
      </c>
      <c r="AX4870" s="2">
        <v>0</v>
      </c>
      <c r="AY4870" s="2">
        <v>0</v>
      </c>
      <c r="AZ4870" s="2">
        <v>0</v>
      </c>
      <c r="BA4870" s="2">
        <v>0</v>
      </c>
      <c r="BB4870" s="2">
        <v>0</v>
      </c>
      <c r="BC4870" s="2">
        <v>0</v>
      </c>
      <c r="BD4870" s="2">
        <v>0</v>
      </c>
      <c r="BE4870" s="2">
        <v>0</v>
      </c>
      <c r="BF4870" s="2">
        <v>0</v>
      </c>
      <c r="BG4870" s="2">
        <v>0</v>
      </c>
      <c r="BH4870" s="2">
        <v>1</v>
      </c>
      <c r="BI4870" s="2">
        <v>1</v>
      </c>
      <c r="BJ4870" s="2">
        <v>0.2</v>
      </c>
      <c r="BK4870" s="2">
        <v>1</v>
      </c>
      <c r="BL4870" s="2">
        <v>41.44</v>
      </c>
      <c r="BM4870" s="2">
        <v>5.8</v>
      </c>
      <c r="BN4870" s="2">
        <v>47.24</v>
      </c>
      <c r="BO4870" s="2">
        <v>47.24</v>
      </c>
      <c r="BP4870" s="2"/>
      <c r="BQ4870" s="2" t="s">
        <v>108</v>
      </c>
      <c r="BR4870" s="2" t="s">
        <v>84</v>
      </c>
      <c r="BS4870" s="3">
        <v>42955</v>
      </c>
      <c r="BT4870" s="4">
        <v>0.2986111111111111</v>
      </c>
      <c r="BU4870" s="2" t="s">
        <v>763</v>
      </c>
      <c r="BV4870" s="2" t="s">
        <v>95</v>
      </c>
      <c r="BW4870" s="2"/>
      <c r="BX4870" s="2"/>
      <c r="BY4870" s="2">
        <v>1200</v>
      </c>
      <c r="BZ4870" s="2"/>
      <c r="CA4870" s="2" t="s">
        <v>294</v>
      </c>
      <c r="CB4870" s="2"/>
      <c r="CC4870" s="2" t="s">
        <v>98</v>
      </c>
      <c r="CD4870" s="2">
        <v>6012</v>
      </c>
      <c r="CE4870" s="2" t="s">
        <v>104</v>
      </c>
      <c r="CF4870" s="5">
        <v>42957</v>
      </c>
      <c r="CG4870" s="2"/>
      <c r="CH4870" s="2"/>
      <c r="CI4870" s="2">
        <v>1</v>
      </c>
      <c r="CJ4870" s="2">
        <v>1</v>
      </c>
      <c r="CK4870" s="2">
        <v>21</v>
      </c>
      <c r="CL4870" s="2" t="s">
        <v>86</v>
      </c>
      <c r="CM4870" s="2"/>
    </row>
    <row r="4871" spans="1:91">
      <c r="A4871" s="2" t="s">
        <v>71</v>
      </c>
      <c r="B4871" s="2" t="s">
        <v>72</v>
      </c>
      <c r="C4871" s="2" t="s">
        <v>73</v>
      </c>
      <c r="D4871" s="2"/>
      <c r="E4871" s="2" t="str">
        <f>"FES1162567589"</f>
        <v>FES1162567589</v>
      </c>
      <c r="F4871" s="3">
        <v>42954</v>
      </c>
      <c r="G4871" s="2">
        <v>201802</v>
      </c>
      <c r="H4871" s="2" t="s">
        <v>74</v>
      </c>
      <c r="I4871" s="2" t="s">
        <v>75</v>
      </c>
      <c r="J4871" s="2" t="s">
        <v>76</v>
      </c>
      <c r="K4871" s="2" t="s">
        <v>77</v>
      </c>
      <c r="L4871" s="2" t="s">
        <v>144</v>
      </c>
      <c r="M4871" s="2" t="s">
        <v>145</v>
      </c>
      <c r="N4871" s="2" t="s">
        <v>146</v>
      </c>
      <c r="O4871" s="2" t="s">
        <v>100</v>
      </c>
      <c r="P4871" s="2" t="str">
        <f>"2170583739                    "</f>
        <v xml:space="preserve">2170583739                    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3.13</v>
      </c>
      <c r="AN4871" s="2">
        <v>0</v>
      </c>
      <c r="AO4871" s="2">
        <v>0</v>
      </c>
      <c r="AP4871" s="2">
        <v>0</v>
      </c>
      <c r="AQ4871" s="2">
        <v>0</v>
      </c>
      <c r="AR4871" s="2">
        <v>0</v>
      </c>
      <c r="AS4871" s="2">
        <v>0</v>
      </c>
      <c r="AT4871" s="2">
        <v>0</v>
      </c>
      <c r="AU4871" s="2">
        <v>0</v>
      </c>
      <c r="AV4871" s="2">
        <v>0</v>
      </c>
      <c r="AW4871" s="2">
        <v>0</v>
      </c>
      <c r="AX4871" s="2">
        <v>0</v>
      </c>
      <c r="AY4871" s="2">
        <v>0</v>
      </c>
      <c r="AZ4871" s="2">
        <v>0</v>
      </c>
      <c r="BA4871" s="2">
        <v>0</v>
      </c>
      <c r="BB4871" s="2">
        <v>0</v>
      </c>
      <c r="BC4871" s="2">
        <v>0</v>
      </c>
      <c r="BD4871" s="2">
        <v>0</v>
      </c>
      <c r="BE4871" s="2">
        <v>0</v>
      </c>
      <c r="BF4871" s="2">
        <v>0</v>
      </c>
      <c r="BG4871" s="2">
        <v>0</v>
      </c>
      <c r="BH4871" s="2">
        <v>1</v>
      </c>
      <c r="BI4871" s="2">
        <v>1</v>
      </c>
      <c r="BJ4871" s="2">
        <v>0.2</v>
      </c>
      <c r="BK4871" s="2">
        <v>1</v>
      </c>
      <c r="BL4871" s="2">
        <v>32.380000000000003</v>
      </c>
      <c r="BM4871" s="2">
        <v>4.53</v>
      </c>
      <c r="BN4871" s="2">
        <v>36.909999999999997</v>
      </c>
      <c r="BO4871" s="2">
        <v>36.909999999999997</v>
      </c>
      <c r="BP4871" s="2"/>
      <c r="BQ4871" s="2" t="s">
        <v>83</v>
      </c>
      <c r="BR4871" s="2" t="s">
        <v>84</v>
      </c>
      <c r="BS4871" s="3">
        <v>42955</v>
      </c>
      <c r="BT4871" s="4">
        <v>0.40347222222222223</v>
      </c>
      <c r="BU4871" s="2" t="s">
        <v>1458</v>
      </c>
      <c r="BV4871" s="2" t="s">
        <v>95</v>
      </c>
      <c r="BW4871" s="2"/>
      <c r="BX4871" s="2"/>
      <c r="BY4871" s="2">
        <v>1200</v>
      </c>
      <c r="BZ4871" s="2"/>
      <c r="CA4871" s="2" t="s">
        <v>729</v>
      </c>
      <c r="CB4871" s="2"/>
      <c r="CC4871" s="2" t="s">
        <v>145</v>
      </c>
      <c r="CD4871" s="2">
        <v>2094</v>
      </c>
      <c r="CE4871" s="2" t="s">
        <v>104</v>
      </c>
      <c r="CF4871" s="5">
        <v>42957</v>
      </c>
      <c r="CG4871" s="2"/>
      <c r="CH4871" s="2"/>
      <c r="CI4871" s="2">
        <v>1</v>
      </c>
      <c r="CJ4871" s="2">
        <v>1</v>
      </c>
      <c r="CK4871" s="2">
        <v>22</v>
      </c>
      <c r="CL4871" s="2" t="s">
        <v>86</v>
      </c>
      <c r="CM4871" s="2"/>
    </row>
    <row r="4872" spans="1:91">
      <c r="A4872" s="2" t="s">
        <v>71</v>
      </c>
      <c r="B4872" s="2" t="s">
        <v>72</v>
      </c>
      <c r="C4872" s="2" t="s">
        <v>73</v>
      </c>
      <c r="D4872" s="2"/>
      <c r="E4872" s="2" t="str">
        <f>"FES1162567396"</f>
        <v>FES1162567396</v>
      </c>
      <c r="F4872" s="3">
        <v>42954</v>
      </c>
      <c r="G4872" s="2">
        <v>201802</v>
      </c>
      <c r="H4872" s="2" t="s">
        <v>74</v>
      </c>
      <c r="I4872" s="2" t="s">
        <v>75</v>
      </c>
      <c r="J4872" s="2" t="s">
        <v>76</v>
      </c>
      <c r="K4872" s="2" t="s">
        <v>77</v>
      </c>
      <c r="L4872" s="2" t="s">
        <v>237</v>
      </c>
      <c r="M4872" s="2" t="s">
        <v>238</v>
      </c>
      <c r="N4872" s="2" t="s">
        <v>3938</v>
      </c>
      <c r="O4872" s="2" t="s">
        <v>100</v>
      </c>
      <c r="P4872" s="2" t="str">
        <f>"2170582924                    "</f>
        <v xml:space="preserve">2170582924                    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2">
        <v>0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0</v>
      </c>
      <c r="AM4872" s="2">
        <v>4</v>
      </c>
      <c r="AN4872" s="2">
        <v>0</v>
      </c>
      <c r="AO4872" s="2">
        <v>0</v>
      </c>
      <c r="AP4872" s="2">
        <v>0</v>
      </c>
      <c r="AQ4872" s="2">
        <v>0</v>
      </c>
      <c r="AR4872" s="2">
        <v>0</v>
      </c>
      <c r="AS4872" s="2">
        <v>0</v>
      </c>
      <c r="AT4872" s="2">
        <v>0</v>
      </c>
      <c r="AU4872" s="2">
        <v>0</v>
      </c>
      <c r="AV4872" s="2">
        <v>0</v>
      </c>
      <c r="AW4872" s="2">
        <v>0</v>
      </c>
      <c r="AX4872" s="2">
        <v>0</v>
      </c>
      <c r="AY4872" s="2">
        <v>0</v>
      </c>
      <c r="AZ4872" s="2">
        <v>0</v>
      </c>
      <c r="BA4872" s="2">
        <v>0</v>
      </c>
      <c r="BB4872" s="2">
        <v>0</v>
      </c>
      <c r="BC4872" s="2">
        <v>0</v>
      </c>
      <c r="BD4872" s="2">
        <v>0</v>
      </c>
      <c r="BE4872" s="2">
        <v>0</v>
      </c>
      <c r="BF4872" s="2">
        <v>0</v>
      </c>
      <c r="BG4872" s="2">
        <v>0</v>
      </c>
      <c r="BH4872" s="2">
        <v>1</v>
      </c>
      <c r="BI4872" s="2">
        <v>1</v>
      </c>
      <c r="BJ4872" s="2">
        <v>1.1000000000000001</v>
      </c>
      <c r="BK4872" s="2">
        <v>1.5</v>
      </c>
      <c r="BL4872" s="2">
        <v>41.44</v>
      </c>
      <c r="BM4872" s="2">
        <v>5.8</v>
      </c>
      <c r="BN4872" s="2">
        <v>47.24</v>
      </c>
      <c r="BO4872" s="2">
        <v>47.24</v>
      </c>
      <c r="BP4872" s="2"/>
      <c r="BQ4872" s="2" t="s">
        <v>83</v>
      </c>
      <c r="BR4872" s="2" t="s">
        <v>84</v>
      </c>
      <c r="BS4872" s="3">
        <v>42955</v>
      </c>
      <c r="BT4872" s="4">
        <v>0.42638888888888887</v>
      </c>
      <c r="BU4872" s="2" t="s">
        <v>1207</v>
      </c>
      <c r="BV4872" s="2" t="s">
        <v>95</v>
      </c>
      <c r="BW4872" s="2"/>
      <c r="BX4872" s="2"/>
      <c r="BY4872" s="2">
        <v>5444.35</v>
      </c>
      <c r="BZ4872" s="2"/>
      <c r="CA4872" s="2" t="s">
        <v>401</v>
      </c>
      <c r="CB4872" s="2"/>
      <c r="CC4872" s="2" t="s">
        <v>238</v>
      </c>
      <c r="CD4872" s="2">
        <v>3610</v>
      </c>
      <c r="CE4872" s="2" t="s">
        <v>89</v>
      </c>
      <c r="CF4872" s="5">
        <v>42957</v>
      </c>
      <c r="CG4872" s="2"/>
      <c r="CH4872" s="2"/>
      <c r="CI4872" s="2">
        <v>1</v>
      </c>
      <c r="CJ4872" s="2">
        <v>1</v>
      </c>
      <c r="CK4872" s="2">
        <v>21</v>
      </c>
      <c r="CL4872" s="2" t="s">
        <v>86</v>
      </c>
      <c r="CM4872" s="2"/>
    </row>
    <row r="4873" spans="1:91">
      <c r="A4873" s="2" t="s">
        <v>71</v>
      </c>
      <c r="B4873" s="2" t="s">
        <v>72</v>
      </c>
      <c r="C4873" s="2" t="s">
        <v>73</v>
      </c>
      <c r="D4873" s="2"/>
      <c r="E4873" s="2" t="str">
        <f>"FES1162567498"</f>
        <v>FES1162567498</v>
      </c>
      <c r="F4873" s="3">
        <v>42954</v>
      </c>
      <c r="G4873" s="2">
        <v>201802</v>
      </c>
      <c r="H4873" s="2" t="s">
        <v>74</v>
      </c>
      <c r="I4873" s="2" t="s">
        <v>75</v>
      </c>
      <c r="J4873" s="2" t="s">
        <v>76</v>
      </c>
      <c r="K4873" s="2" t="s">
        <v>77</v>
      </c>
      <c r="L4873" s="2" t="s">
        <v>237</v>
      </c>
      <c r="M4873" s="2" t="s">
        <v>238</v>
      </c>
      <c r="N4873" s="2" t="s">
        <v>239</v>
      </c>
      <c r="O4873" s="2" t="s">
        <v>100</v>
      </c>
      <c r="P4873" s="2" t="str">
        <f>"2170583668                    "</f>
        <v xml:space="preserve">2170583668                    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0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13.01</v>
      </c>
      <c r="AN4873" s="2">
        <v>0</v>
      </c>
      <c r="AO4873" s="2">
        <v>0</v>
      </c>
      <c r="AP4873" s="2">
        <v>0</v>
      </c>
      <c r="AQ4873" s="2">
        <v>0</v>
      </c>
      <c r="AR4873" s="2">
        <v>0</v>
      </c>
      <c r="AS4873" s="2">
        <v>0</v>
      </c>
      <c r="AT4873" s="2">
        <v>0</v>
      </c>
      <c r="AU4873" s="2">
        <v>0</v>
      </c>
      <c r="AV4873" s="2">
        <v>0</v>
      </c>
      <c r="AW4873" s="2">
        <v>0</v>
      </c>
      <c r="AX4873" s="2">
        <v>0</v>
      </c>
      <c r="AY4873" s="2">
        <v>0</v>
      </c>
      <c r="AZ4873" s="2">
        <v>0</v>
      </c>
      <c r="BA4873" s="2">
        <v>0</v>
      </c>
      <c r="BB4873" s="2">
        <v>0</v>
      </c>
      <c r="BC4873" s="2">
        <v>0</v>
      </c>
      <c r="BD4873" s="2">
        <v>0</v>
      </c>
      <c r="BE4873" s="2">
        <v>0</v>
      </c>
      <c r="BF4873" s="2">
        <v>0</v>
      </c>
      <c r="BG4873" s="2">
        <v>0</v>
      </c>
      <c r="BH4873" s="2">
        <v>1</v>
      </c>
      <c r="BI4873" s="2">
        <v>6.4</v>
      </c>
      <c r="BJ4873" s="2">
        <v>3.3</v>
      </c>
      <c r="BK4873" s="2">
        <v>6.5</v>
      </c>
      <c r="BL4873" s="2">
        <v>134.69</v>
      </c>
      <c r="BM4873" s="2">
        <v>18.86</v>
      </c>
      <c r="BN4873" s="2">
        <v>153.55000000000001</v>
      </c>
      <c r="BO4873" s="2">
        <v>153.55000000000001</v>
      </c>
      <c r="BP4873" s="2"/>
      <c r="BQ4873" s="2" t="s">
        <v>83</v>
      </c>
      <c r="BR4873" s="2" t="s">
        <v>84</v>
      </c>
      <c r="BS4873" s="3">
        <v>42955</v>
      </c>
      <c r="BT4873" s="4">
        <v>0.44236111111111115</v>
      </c>
      <c r="BU4873" s="2" t="s">
        <v>1605</v>
      </c>
      <c r="BV4873" s="2" t="s">
        <v>95</v>
      </c>
      <c r="BW4873" s="2"/>
      <c r="BX4873" s="2"/>
      <c r="BY4873" s="2">
        <v>16424.72</v>
      </c>
      <c r="BZ4873" s="2"/>
      <c r="CA4873" s="2" t="s">
        <v>672</v>
      </c>
      <c r="CB4873" s="2"/>
      <c r="CC4873" s="2" t="s">
        <v>238</v>
      </c>
      <c r="CD4873" s="2">
        <v>3610</v>
      </c>
      <c r="CE4873" s="2" t="s">
        <v>89</v>
      </c>
      <c r="CF4873" s="5">
        <v>42957</v>
      </c>
      <c r="CG4873" s="2"/>
      <c r="CH4873" s="2"/>
      <c r="CI4873" s="2">
        <v>1</v>
      </c>
      <c r="CJ4873" s="2">
        <v>1</v>
      </c>
      <c r="CK4873" s="2">
        <v>21</v>
      </c>
      <c r="CL4873" s="2" t="s">
        <v>86</v>
      </c>
      <c r="CM4873" s="2"/>
    </row>
    <row r="4874" spans="1:91">
      <c r="A4874" s="2" t="s">
        <v>71</v>
      </c>
      <c r="B4874" s="2" t="s">
        <v>72</v>
      </c>
      <c r="C4874" s="2" t="s">
        <v>73</v>
      </c>
      <c r="D4874" s="2"/>
      <c r="E4874" s="2" t="str">
        <f>"FES1162567382"</f>
        <v>FES1162567382</v>
      </c>
      <c r="F4874" s="3">
        <v>42954</v>
      </c>
      <c r="G4874" s="2">
        <v>201802</v>
      </c>
      <c r="H4874" s="2" t="s">
        <v>74</v>
      </c>
      <c r="I4874" s="2" t="s">
        <v>75</v>
      </c>
      <c r="J4874" s="2" t="s">
        <v>76</v>
      </c>
      <c r="K4874" s="2" t="s">
        <v>77</v>
      </c>
      <c r="L4874" s="2" t="s">
        <v>149</v>
      </c>
      <c r="M4874" s="2" t="s">
        <v>150</v>
      </c>
      <c r="N4874" s="2" t="s">
        <v>1592</v>
      </c>
      <c r="O4874" s="2" t="s">
        <v>100</v>
      </c>
      <c r="P4874" s="2" t="str">
        <f>"2170583543                    "</f>
        <v xml:space="preserve">2170583543                    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2">
        <v>0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5</v>
      </c>
      <c r="AN4874" s="2">
        <v>0</v>
      </c>
      <c r="AO4874" s="2">
        <v>0</v>
      </c>
      <c r="AP4874" s="2">
        <v>0</v>
      </c>
      <c r="AQ4874" s="2">
        <v>0</v>
      </c>
      <c r="AR4874" s="2">
        <v>0</v>
      </c>
      <c r="AS4874" s="2">
        <v>0</v>
      </c>
      <c r="AT4874" s="2">
        <v>0</v>
      </c>
      <c r="AU4874" s="2">
        <v>0</v>
      </c>
      <c r="AV4874" s="2">
        <v>0</v>
      </c>
      <c r="AW4874" s="2">
        <v>0</v>
      </c>
      <c r="AX4874" s="2">
        <v>0</v>
      </c>
      <c r="AY4874" s="2">
        <v>0</v>
      </c>
      <c r="AZ4874" s="2">
        <v>0</v>
      </c>
      <c r="BA4874" s="2">
        <v>0</v>
      </c>
      <c r="BB4874" s="2">
        <v>0</v>
      </c>
      <c r="BC4874" s="2">
        <v>0</v>
      </c>
      <c r="BD4874" s="2">
        <v>0</v>
      </c>
      <c r="BE4874" s="2">
        <v>0</v>
      </c>
      <c r="BF4874" s="2">
        <v>0</v>
      </c>
      <c r="BG4874" s="2">
        <v>0</v>
      </c>
      <c r="BH4874" s="2">
        <v>1</v>
      </c>
      <c r="BI4874" s="2">
        <v>2.2999999999999998</v>
      </c>
      <c r="BJ4874" s="2">
        <v>1.6</v>
      </c>
      <c r="BK4874" s="2">
        <v>2.5</v>
      </c>
      <c r="BL4874" s="2">
        <v>51.8</v>
      </c>
      <c r="BM4874" s="2">
        <v>7.25</v>
      </c>
      <c r="BN4874" s="2">
        <v>59.05</v>
      </c>
      <c r="BO4874" s="2">
        <v>59.05</v>
      </c>
      <c r="BP4874" s="2"/>
      <c r="BQ4874" s="2" t="s">
        <v>83</v>
      </c>
      <c r="BR4874" s="2" t="s">
        <v>84</v>
      </c>
      <c r="BS4874" s="3">
        <v>42955</v>
      </c>
      <c r="BT4874" s="4">
        <v>0.34722222222222227</v>
      </c>
      <c r="BU4874" s="2" t="s">
        <v>2033</v>
      </c>
      <c r="BV4874" s="2" t="s">
        <v>95</v>
      </c>
      <c r="BW4874" s="2"/>
      <c r="BX4874" s="2"/>
      <c r="BY4874" s="2">
        <v>7795.08</v>
      </c>
      <c r="BZ4874" s="2"/>
      <c r="CA4874" s="2" t="s">
        <v>1163</v>
      </c>
      <c r="CB4874" s="2"/>
      <c r="CC4874" s="2" t="s">
        <v>150</v>
      </c>
      <c r="CD4874" s="2">
        <v>4094</v>
      </c>
      <c r="CE4874" s="2" t="s">
        <v>89</v>
      </c>
      <c r="CF4874" s="5">
        <v>42957</v>
      </c>
      <c r="CG4874" s="2"/>
      <c r="CH4874" s="2"/>
      <c r="CI4874" s="2">
        <v>1</v>
      </c>
      <c r="CJ4874" s="2">
        <v>1</v>
      </c>
      <c r="CK4874" s="2">
        <v>21</v>
      </c>
      <c r="CL4874" s="2" t="s">
        <v>86</v>
      </c>
      <c r="CM4874" s="2"/>
    </row>
    <row r="4875" spans="1:91">
      <c r="A4875" s="2" t="s">
        <v>71</v>
      </c>
      <c r="B4875" s="2" t="s">
        <v>72</v>
      </c>
      <c r="C4875" s="2" t="s">
        <v>73</v>
      </c>
      <c r="D4875" s="2"/>
      <c r="E4875" s="2" t="str">
        <f>"FES1162567458"</f>
        <v>FES1162567458</v>
      </c>
      <c r="F4875" s="3">
        <v>42954</v>
      </c>
      <c r="G4875" s="2">
        <v>201802</v>
      </c>
      <c r="H4875" s="2" t="s">
        <v>74</v>
      </c>
      <c r="I4875" s="2" t="s">
        <v>75</v>
      </c>
      <c r="J4875" s="2" t="s">
        <v>76</v>
      </c>
      <c r="K4875" s="2" t="s">
        <v>77</v>
      </c>
      <c r="L4875" s="2" t="s">
        <v>604</v>
      </c>
      <c r="M4875" s="2" t="s">
        <v>605</v>
      </c>
      <c r="N4875" s="2" t="s">
        <v>391</v>
      </c>
      <c r="O4875" s="2" t="s">
        <v>100</v>
      </c>
      <c r="P4875" s="2" t="str">
        <f>"2170577300                    "</f>
        <v xml:space="preserve">2170577300                    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0</v>
      </c>
      <c r="Y4875" s="2">
        <v>0</v>
      </c>
      <c r="Z4875" s="2">
        <v>0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0</v>
      </c>
      <c r="AL4875" s="2">
        <v>0</v>
      </c>
      <c r="AM4875" s="2">
        <v>12.01</v>
      </c>
      <c r="AN4875" s="2">
        <v>0</v>
      </c>
      <c r="AO4875" s="2">
        <v>0</v>
      </c>
      <c r="AP4875" s="2">
        <v>0</v>
      </c>
      <c r="AQ4875" s="2">
        <v>0</v>
      </c>
      <c r="AR4875" s="2">
        <v>0</v>
      </c>
      <c r="AS4875" s="2">
        <v>0</v>
      </c>
      <c r="AT4875" s="2">
        <v>0</v>
      </c>
      <c r="AU4875" s="2">
        <v>0</v>
      </c>
      <c r="AV4875" s="2">
        <v>0</v>
      </c>
      <c r="AW4875" s="2">
        <v>0</v>
      </c>
      <c r="AX4875" s="2">
        <v>0</v>
      </c>
      <c r="AY4875" s="2">
        <v>0</v>
      </c>
      <c r="AZ4875" s="2">
        <v>0</v>
      </c>
      <c r="BA4875" s="2">
        <v>0</v>
      </c>
      <c r="BB4875" s="2">
        <v>0</v>
      </c>
      <c r="BC4875" s="2">
        <v>0</v>
      </c>
      <c r="BD4875" s="2">
        <v>0</v>
      </c>
      <c r="BE4875" s="2">
        <v>0</v>
      </c>
      <c r="BF4875" s="2">
        <v>0</v>
      </c>
      <c r="BG4875" s="2">
        <v>0</v>
      </c>
      <c r="BH4875" s="2">
        <v>1</v>
      </c>
      <c r="BI4875" s="2">
        <v>5.6</v>
      </c>
      <c r="BJ4875" s="2">
        <v>3.1</v>
      </c>
      <c r="BK4875" s="2">
        <v>6</v>
      </c>
      <c r="BL4875" s="2">
        <v>124.33</v>
      </c>
      <c r="BM4875" s="2">
        <v>17.41</v>
      </c>
      <c r="BN4875" s="2">
        <v>141.74</v>
      </c>
      <c r="BO4875" s="2">
        <v>141.74</v>
      </c>
      <c r="BP4875" s="2"/>
      <c r="BQ4875" s="2" t="s">
        <v>83</v>
      </c>
      <c r="BR4875" s="2" t="s">
        <v>84</v>
      </c>
      <c r="BS4875" s="3">
        <v>42955</v>
      </c>
      <c r="BT4875" s="4">
        <v>0.375</v>
      </c>
      <c r="BU4875" s="2" t="s">
        <v>1649</v>
      </c>
      <c r="BV4875" s="2" t="s">
        <v>95</v>
      </c>
      <c r="BW4875" s="2"/>
      <c r="BX4875" s="2"/>
      <c r="BY4875" s="2">
        <v>15572.77</v>
      </c>
      <c r="BZ4875" s="2"/>
      <c r="CA4875" s="2" t="s">
        <v>607</v>
      </c>
      <c r="CB4875" s="2"/>
      <c r="CC4875" s="2" t="s">
        <v>605</v>
      </c>
      <c r="CD4875" s="2">
        <v>4126</v>
      </c>
      <c r="CE4875" s="2" t="s">
        <v>89</v>
      </c>
      <c r="CF4875" s="5">
        <v>42957</v>
      </c>
      <c r="CG4875" s="2"/>
      <c r="CH4875" s="2"/>
      <c r="CI4875" s="2">
        <v>1</v>
      </c>
      <c r="CJ4875" s="2">
        <v>1</v>
      </c>
      <c r="CK4875" s="2">
        <v>21</v>
      </c>
      <c r="CL4875" s="2" t="s">
        <v>86</v>
      </c>
      <c r="CM4875" s="2"/>
    </row>
    <row r="4876" spans="1:91">
      <c r="A4876" s="2" t="s">
        <v>71</v>
      </c>
      <c r="B4876" s="2" t="s">
        <v>72</v>
      </c>
      <c r="C4876" s="2" t="s">
        <v>73</v>
      </c>
      <c r="D4876" s="2"/>
      <c r="E4876" s="2" t="str">
        <f>"FES1162567595"</f>
        <v>FES1162567595</v>
      </c>
      <c r="F4876" s="3">
        <v>42954</v>
      </c>
      <c r="G4876" s="2">
        <v>201802</v>
      </c>
      <c r="H4876" s="2" t="s">
        <v>74</v>
      </c>
      <c r="I4876" s="2" t="s">
        <v>75</v>
      </c>
      <c r="J4876" s="2" t="s">
        <v>76</v>
      </c>
      <c r="K4876" s="2" t="s">
        <v>77</v>
      </c>
      <c r="L4876" s="2" t="s">
        <v>149</v>
      </c>
      <c r="M4876" s="2" t="s">
        <v>150</v>
      </c>
      <c r="N4876" s="2" t="s">
        <v>472</v>
      </c>
      <c r="O4876" s="2" t="s">
        <v>100</v>
      </c>
      <c r="P4876" s="2" t="str">
        <f>"2170583187                    "</f>
        <v xml:space="preserve">2170583187                    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0</v>
      </c>
      <c r="Y4876" s="2">
        <v>0</v>
      </c>
      <c r="Z4876" s="2">
        <v>0</v>
      </c>
      <c r="AA4876" s="2">
        <v>0</v>
      </c>
      <c r="AB4876" s="2">
        <v>0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  <c r="AM4876" s="2">
        <v>4</v>
      </c>
      <c r="AN4876" s="2">
        <v>0</v>
      </c>
      <c r="AO4876" s="2">
        <v>0</v>
      </c>
      <c r="AP4876" s="2">
        <v>0</v>
      </c>
      <c r="AQ4876" s="2">
        <v>0</v>
      </c>
      <c r="AR4876" s="2">
        <v>0</v>
      </c>
      <c r="AS4876" s="2">
        <v>0</v>
      </c>
      <c r="AT4876" s="2">
        <v>0</v>
      </c>
      <c r="AU4876" s="2">
        <v>0</v>
      </c>
      <c r="AV4876" s="2">
        <v>0</v>
      </c>
      <c r="AW4876" s="2">
        <v>0</v>
      </c>
      <c r="AX4876" s="2">
        <v>0</v>
      </c>
      <c r="AY4876" s="2">
        <v>0</v>
      </c>
      <c r="AZ4876" s="2">
        <v>0</v>
      </c>
      <c r="BA4876" s="2">
        <v>0</v>
      </c>
      <c r="BB4876" s="2">
        <v>0</v>
      </c>
      <c r="BC4876" s="2">
        <v>0</v>
      </c>
      <c r="BD4876" s="2">
        <v>0</v>
      </c>
      <c r="BE4876" s="2">
        <v>0</v>
      </c>
      <c r="BF4876" s="2">
        <v>0</v>
      </c>
      <c r="BG4876" s="2">
        <v>0</v>
      </c>
      <c r="BH4876" s="2">
        <v>1</v>
      </c>
      <c r="BI4876" s="2">
        <v>1.2</v>
      </c>
      <c r="BJ4876" s="2">
        <v>1.2</v>
      </c>
      <c r="BK4876" s="2">
        <v>1.5</v>
      </c>
      <c r="BL4876" s="2">
        <v>41.44</v>
      </c>
      <c r="BM4876" s="2">
        <v>5.8</v>
      </c>
      <c r="BN4876" s="2">
        <v>47.24</v>
      </c>
      <c r="BO4876" s="2">
        <v>47.24</v>
      </c>
      <c r="BP4876" s="2"/>
      <c r="BQ4876" s="2" t="s">
        <v>83</v>
      </c>
      <c r="BR4876" s="2" t="s">
        <v>84</v>
      </c>
      <c r="BS4876" s="3">
        <v>42961</v>
      </c>
      <c r="BT4876" s="4">
        <v>0.375</v>
      </c>
      <c r="BU4876" s="2" t="s">
        <v>4253</v>
      </c>
      <c r="BV4876" s="2" t="s">
        <v>86</v>
      </c>
      <c r="BW4876" s="2" t="s">
        <v>548</v>
      </c>
      <c r="BX4876" s="2" t="s">
        <v>337</v>
      </c>
      <c r="BY4876" s="2">
        <v>5951.54</v>
      </c>
      <c r="BZ4876" s="2"/>
      <c r="CA4876" s="2" t="s">
        <v>550</v>
      </c>
      <c r="CB4876" s="2"/>
      <c r="CC4876" s="2" t="s">
        <v>150</v>
      </c>
      <c r="CD4876" s="2">
        <v>4052</v>
      </c>
      <c r="CE4876" s="2" t="s">
        <v>104</v>
      </c>
      <c r="CF4876" s="5">
        <v>42964</v>
      </c>
      <c r="CG4876" s="2"/>
      <c r="CH4876" s="2"/>
      <c r="CI4876" s="2">
        <v>1</v>
      </c>
      <c r="CJ4876" s="2">
        <v>5</v>
      </c>
      <c r="CK4876" s="2">
        <v>21</v>
      </c>
      <c r="CL4876" s="2" t="s">
        <v>86</v>
      </c>
      <c r="CM4876" s="2"/>
    </row>
    <row r="4877" spans="1:91">
      <c r="A4877" s="2" t="s">
        <v>71</v>
      </c>
      <c r="B4877" s="2" t="s">
        <v>72</v>
      </c>
      <c r="C4877" s="2" t="s">
        <v>73</v>
      </c>
      <c r="D4877" s="2"/>
      <c r="E4877" s="2" t="str">
        <f>"FES1162567445"</f>
        <v>FES1162567445</v>
      </c>
      <c r="F4877" s="3">
        <v>42954</v>
      </c>
      <c r="G4877" s="2">
        <v>201802</v>
      </c>
      <c r="H4877" s="2" t="s">
        <v>74</v>
      </c>
      <c r="I4877" s="2" t="s">
        <v>75</v>
      </c>
      <c r="J4877" s="2" t="s">
        <v>76</v>
      </c>
      <c r="K4877" s="2" t="s">
        <v>77</v>
      </c>
      <c r="L4877" s="2" t="s">
        <v>510</v>
      </c>
      <c r="M4877" s="2" t="s">
        <v>511</v>
      </c>
      <c r="N4877" s="2" t="s">
        <v>2102</v>
      </c>
      <c r="O4877" s="2" t="s">
        <v>100</v>
      </c>
      <c r="P4877" s="2" t="str">
        <f>"2170583604                    "</f>
        <v xml:space="preserve">2170583604                    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0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  <c r="AM4877" s="2">
        <v>16.010000000000002</v>
      </c>
      <c r="AN4877" s="2">
        <v>0</v>
      </c>
      <c r="AO4877" s="2">
        <v>0</v>
      </c>
      <c r="AP4877" s="2">
        <v>0</v>
      </c>
      <c r="AQ4877" s="2">
        <v>0</v>
      </c>
      <c r="AR4877" s="2">
        <v>0</v>
      </c>
      <c r="AS4877" s="2">
        <v>0</v>
      </c>
      <c r="AT4877" s="2">
        <v>0</v>
      </c>
      <c r="AU4877" s="2">
        <v>0</v>
      </c>
      <c r="AV4877" s="2">
        <v>0</v>
      </c>
      <c r="AW4877" s="2">
        <v>0</v>
      </c>
      <c r="AX4877" s="2">
        <v>0</v>
      </c>
      <c r="AY4877" s="2">
        <v>0</v>
      </c>
      <c r="AZ4877" s="2">
        <v>0</v>
      </c>
      <c r="BA4877" s="2">
        <v>0</v>
      </c>
      <c r="BB4877" s="2">
        <v>0</v>
      </c>
      <c r="BC4877" s="2">
        <v>0</v>
      </c>
      <c r="BD4877" s="2">
        <v>0</v>
      </c>
      <c r="BE4877" s="2">
        <v>0</v>
      </c>
      <c r="BF4877" s="2">
        <v>0</v>
      </c>
      <c r="BG4877" s="2">
        <v>0</v>
      </c>
      <c r="BH4877" s="2">
        <v>1</v>
      </c>
      <c r="BI4877" s="2">
        <v>7.8</v>
      </c>
      <c r="BJ4877" s="2">
        <v>3.3</v>
      </c>
      <c r="BK4877" s="2">
        <v>8</v>
      </c>
      <c r="BL4877" s="2">
        <v>165.77</v>
      </c>
      <c r="BM4877" s="2">
        <v>23.21</v>
      </c>
      <c r="BN4877" s="2">
        <v>188.98</v>
      </c>
      <c r="BO4877" s="2">
        <v>188.98</v>
      </c>
      <c r="BP4877" s="2"/>
      <c r="BQ4877" s="2" t="s">
        <v>83</v>
      </c>
      <c r="BR4877" s="2" t="s">
        <v>84</v>
      </c>
      <c r="BS4877" s="3">
        <v>42955</v>
      </c>
      <c r="BT4877" s="4">
        <v>0.31736111111111115</v>
      </c>
      <c r="BU4877" s="2" t="s">
        <v>4254</v>
      </c>
      <c r="BV4877" s="2" t="s">
        <v>95</v>
      </c>
      <c r="BW4877" s="2"/>
      <c r="BX4877" s="2"/>
      <c r="BY4877" s="2">
        <v>16323.91</v>
      </c>
      <c r="BZ4877" s="2"/>
      <c r="CA4877" s="2" t="s">
        <v>514</v>
      </c>
      <c r="CB4877" s="2"/>
      <c r="CC4877" s="2" t="s">
        <v>511</v>
      </c>
      <c r="CD4877" s="2">
        <v>6229</v>
      </c>
      <c r="CE4877" s="2" t="s">
        <v>89</v>
      </c>
      <c r="CF4877" s="5">
        <v>42957</v>
      </c>
      <c r="CG4877" s="2"/>
      <c r="CH4877" s="2"/>
      <c r="CI4877" s="2">
        <v>1</v>
      </c>
      <c r="CJ4877" s="2">
        <v>1</v>
      </c>
      <c r="CK4877" s="2">
        <v>21</v>
      </c>
      <c r="CL4877" s="2" t="s">
        <v>86</v>
      </c>
      <c r="CM4877" s="2"/>
    </row>
    <row r="4878" spans="1:91">
      <c r="A4878" s="2" t="s">
        <v>71</v>
      </c>
      <c r="B4878" s="2" t="s">
        <v>72</v>
      </c>
      <c r="C4878" s="2" t="s">
        <v>73</v>
      </c>
      <c r="D4878" s="2"/>
      <c r="E4878" s="2" t="str">
        <f>"FES1162567544"</f>
        <v>FES1162567544</v>
      </c>
      <c r="F4878" s="3">
        <v>42954</v>
      </c>
      <c r="G4878" s="2">
        <v>201802</v>
      </c>
      <c r="H4878" s="2" t="s">
        <v>74</v>
      </c>
      <c r="I4878" s="2" t="s">
        <v>75</v>
      </c>
      <c r="J4878" s="2" t="s">
        <v>76</v>
      </c>
      <c r="K4878" s="2" t="s">
        <v>77</v>
      </c>
      <c r="L4878" s="2" t="s">
        <v>237</v>
      </c>
      <c r="M4878" s="2" t="s">
        <v>238</v>
      </c>
      <c r="N4878" s="2" t="s">
        <v>769</v>
      </c>
      <c r="O4878" s="2" t="s">
        <v>100</v>
      </c>
      <c r="P4878" s="2" t="str">
        <f>"2170583692                    "</f>
        <v xml:space="preserve">2170583692                    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0</v>
      </c>
      <c r="Y4878" s="2">
        <v>0</v>
      </c>
      <c r="Z4878" s="2">
        <v>0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0</v>
      </c>
      <c r="AH4878" s="2">
        <v>0</v>
      </c>
      <c r="AI4878" s="2">
        <v>0</v>
      </c>
      <c r="AJ4878" s="2">
        <v>0</v>
      </c>
      <c r="AK4878" s="2">
        <v>0</v>
      </c>
      <c r="AL4878" s="2">
        <v>0</v>
      </c>
      <c r="AM4878" s="2">
        <v>4</v>
      </c>
      <c r="AN4878" s="2">
        <v>0</v>
      </c>
      <c r="AO4878" s="2">
        <v>0</v>
      </c>
      <c r="AP4878" s="2">
        <v>0</v>
      </c>
      <c r="AQ4878" s="2">
        <v>0</v>
      </c>
      <c r="AR4878" s="2">
        <v>0</v>
      </c>
      <c r="AS4878" s="2">
        <v>0</v>
      </c>
      <c r="AT4878" s="2">
        <v>0</v>
      </c>
      <c r="AU4878" s="2">
        <v>0</v>
      </c>
      <c r="AV4878" s="2">
        <v>0</v>
      </c>
      <c r="AW4878" s="2">
        <v>0</v>
      </c>
      <c r="AX4878" s="2">
        <v>0</v>
      </c>
      <c r="AY4878" s="2">
        <v>0</v>
      </c>
      <c r="AZ4878" s="2">
        <v>0</v>
      </c>
      <c r="BA4878" s="2">
        <v>0</v>
      </c>
      <c r="BB4878" s="2">
        <v>0</v>
      </c>
      <c r="BC4878" s="2">
        <v>0</v>
      </c>
      <c r="BD4878" s="2">
        <v>0</v>
      </c>
      <c r="BE4878" s="2">
        <v>0</v>
      </c>
      <c r="BF4878" s="2">
        <v>0</v>
      </c>
      <c r="BG4878" s="2">
        <v>0</v>
      </c>
      <c r="BH4878" s="2">
        <v>1</v>
      </c>
      <c r="BI4878" s="2">
        <v>1</v>
      </c>
      <c r="BJ4878" s="2">
        <v>0.2</v>
      </c>
      <c r="BK4878" s="2">
        <v>1</v>
      </c>
      <c r="BL4878" s="2">
        <v>41.44</v>
      </c>
      <c r="BM4878" s="2">
        <v>5.8</v>
      </c>
      <c r="BN4878" s="2">
        <v>47.24</v>
      </c>
      <c r="BO4878" s="2">
        <v>47.24</v>
      </c>
      <c r="BP4878" s="2"/>
      <c r="BQ4878" s="2"/>
      <c r="BR4878" s="2" t="s">
        <v>84</v>
      </c>
      <c r="BS4878" s="3">
        <v>42955</v>
      </c>
      <c r="BT4878" s="4">
        <v>0.40972222222222227</v>
      </c>
      <c r="BU4878" s="2" t="s">
        <v>3497</v>
      </c>
      <c r="BV4878" s="2" t="s">
        <v>95</v>
      </c>
      <c r="BW4878" s="2"/>
      <c r="BX4878" s="2"/>
      <c r="BY4878" s="2">
        <v>1200</v>
      </c>
      <c r="BZ4878" s="2"/>
      <c r="CA4878" s="2" t="s">
        <v>389</v>
      </c>
      <c r="CB4878" s="2"/>
      <c r="CC4878" s="2" t="s">
        <v>238</v>
      </c>
      <c r="CD4878" s="2">
        <v>3600</v>
      </c>
      <c r="CE4878" s="2" t="s">
        <v>104</v>
      </c>
      <c r="CF4878" s="5">
        <v>42957</v>
      </c>
      <c r="CG4878" s="2"/>
      <c r="CH4878" s="2"/>
      <c r="CI4878" s="2">
        <v>1</v>
      </c>
      <c r="CJ4878" s="2">
        <v>1</v>
      </c>
      <c r="CK4878" s="2">
        <v>21</v>
      </c>
      <c r="CL4878" s="2" t="s">
        <v>86</v>
      </c>
      <c r="CM4878" s="2"/>
    </row>
    <row r="4879" spans="1:91">
      <c r="A4879" s="2" t="s">
        <v>71</v>
      </c>
      <c r="B4879" s="2" t="s">
        <v>72</v>
      </c>
      <c r="C4879" s="2" t="s">
        <v>73</v>
      </c>
      <c r="D4879" s="2"/>
      <c r="E4879" s="2" t="str">
        <f>"FES1162567472"</f>
        <v>FES1162567472</v>
      </c>
      <c r="F4879" s="3">
        <v>42954</v>
      </c>
      <c r="G4879" s="2">
        <v>201802</v>
      </c>
      <c r="H4879" s="2" t="s">
        <v>74</v>
      </c>
      <c r="I4879" s="2" t="s">
        <v>75</v>
      </c>
      <c r="J4879" s="2" t="s">
        <v>76</v>
      </c>
      <c r="K4879" s="2" t="s">
        <v>77</v>
      </c>
      <c r="L4879" s="2" t="s">
        <v>149</v>
      </c>
      <c r="M4879" s="2" t="s">
        <v>150</v>
      </c>
      <c r="N4879" s="2" t="s">
        <v>3343</v>
      </c>
      <c r="O4879" s="2" t="s">
        <v>100</v>
      </c>
      <c r="P4879" s="2" t="str">
        <f>"2170583130                    "</f>
        <v xml:space="preserve">2170583130                    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2">
        <v>0</v>
      </c>
      <c r="Z4879" s="2">
        <v>0</v>
      </c>
      <c r="AA4879" s="2">
        <v>0</v>
      </c>
      <c r="AB4879" s="2">
        <v>0</v>
      </c>
      <c r="AC4879" s="2">
        <v>0</v>
      </c>
      <c r="AD4879" s="2">
        <v>0</v>
      </c>
      <c r="AE4879" s="2">
        <v>0</v>
      </c>
      <c r="AF4879" s="2">
        <v>0</v>
      </c>
      <c r="AG4879" s="2">
        <v>0</v>
      </c>
      <c r="AH4879" s="2">
        <v>0</v>
      </c>
      <c r="AI4879" s="2">
        <v>0</v>
      </c>
      <c r="AJ4879" s="2">
        <v>0</v>
      </c>
      <c r="AK4879" s="2">
        <v>0</v>
      </c>
      <c r="AL4879" s="2">
        <v>0</v>
      </c>
      <c r="AM4879" s="2">
        <v>6</v>
      </c>
      <c r="AN4879" s="2">
        <v>0</v>
      </c>
      <c r="AO4879" s="2">
        <v>0</v>
      </c>
      <c r="AP4879" s="2">
        <v>0</v>
      </c>
      <c r="AQ4879" s="2">
        <v>0</v>
      </c>
      <c r="AR4879" s="2">
        <v>0</v>
      </c>
      <c r="AS4879" s="2">
        <v>0</v>
      </c>
      <c r="AT4879" s="2">
        <v>0</v>
      </c>
      <c r="AU4879" s="2">
        <v>0</v>
      </c>
      <c r="AV4879" s="2">
        <v>0</v>
      </c>
      <c r="AW4879" s="2">
        <v>0</v>
      </c>
      <c r="AX4879" s="2">
        <v>0</v>
      </c>
      <c r="AY4879" s="2">
        <v>0</v>
      </c>
      <c r="AZ4879" s="2">
        <v>0</v>
      </c>
      <c r="BA4879" s="2">
        <v>0</v>
      </c>
      <c r="BB4879" s="2">
        <v>0</v>
      </c>
      <c r="BC4879" s="2">
        <v>0</v>
      </c>
      <c r="BD4879" s="2">
        <v>0</v>
      </c>
      <c r="BE4879" s="2">
        <v>0</v>
      </c>
      <c r="BF4879" s="2">
        <v>0</v>
      </c>
      <c r="BG4879" s="2">
        <v>0</v>
      </c>
      <c r="BH4879" s="2">
        <v>1</v>
      </c>
      <c r="BI4879" s="2">
        <v>2.6</v>
      </c>
      <c r="BJ4879" s="2">
        <v>1</v>
      </c>
      <c r="BK4879" s="2">
        <v>3</v>
      </c>
      <c r="BL4879" s="2">
        <v>62.16</v>
      </c>
      <c r="BM4879" s="2">
        <v>8.6999999999999993</v>
      </c>
      <c r="BN4879" s="2">
        <v>70.86</v>
      </c>
      <c r="BO4879" s="2">
        <v>70.86</v>
      </c>
      <c r="BP4879" s="2"/>
      <c r="BQ4879" s="2" t="s">
        <v>83</v>
      </c>
      <c r="BR4879" s="2" t="s">
        <v>84</v>
      </c>
      <c r="BS4879" s="3">
        <v>42955</v>
      </c>
      <c r="BT4879" s="4">
        <v>0.39930555555555558</v>
      </c>
      <c r="BU4879" s="2" t="s">
        <v>4217</v>
      </c>
      <c r="BV4879" s="2" t="s">
        <v>95</v>
      </c>
      <c r="BW4879" s="2"/>
      <c r="BX4879" s="2"/>
      <c r="BY4879" s="2">
        <v>5173.88</v>
      </c>
      <c r="BZ4879" s="2"/>
      <c r="CA4879" s="2" t="s">
        <v>682</v>
      </c>
      <c r="CB4879" s="2"/>
      <c r="CC4879" s="2" t="s">
        <v>150</v>
      </c>
      <c r="CD4879" s="2">
        <v>4001</v>
      </c>
      <c r="CE4879" s="2" t="s">
        <v>89</v>
      </c>
      <c r="CF4879" s="5">
        <v>42957</v>
      </c>
      <c r="CG4879" s="2"/>
      <c r="CH4879" s="2"/>
      <c r="CI4879" s="2">
        <v>1</v>
      </c>
      <c r="CJ4879" s="2">
        <v>1</v>
      </c>
      <c r="CK4879" s="2">
        <v>21</v>
      </c>
      <c r="CL4879" s="2" t="s">
        <v>86</v>
      </c>
      <c r="CM4879" s="2"/>
    </row>
    <row r="4880" spans="1:91">
      <c r="A4880" s="2" t="s">
        <v>71</v>
      </c>
      <c r="B4880" s="2" t="s">
        <v>72</v>
      </c>
      <c r="C4880" s="2" t="s">
        <v>73</v>
      </c>
      <c r="D4880" s="2"/>
      <c r="E4880" s="2" t="str">
        <f>"FES1162567479"</f>
        <v>FES1162567479</v>
      </c>
      <c r="F4880" s="3">
        <v>42954</v>
      </c>
      <c r="G4880" s="2">
        <v>201802</v>
      </c>
      <c r="H4880" s="2" t="s">
        <v>74</v>
      </c>
      <c r="I4880" s="2" t="s">
        <v>75</v>
      </c>
      <c r="J4880" s="2" t="s">
        <v>76</v>
      </c>
      <c r="K4880" s="2" t="s">
        <v>77</v>
      </c>
      <c r="L4880" s="2" t="s">
        <v>321</v>
      </c>
      <c r="M4880" s="2" t="s">
        <v>322</v>
      </c>
      <c r="N4880" s="2" t="s">
        <v>323</v>
      </c>
      <c r="O4880" s="2" t="s">
        <v>100</v>
      </c>
      <c r="P4880" s="2" t="str">
        <f>"2170583437                    "</f>
        <v xml:space="preserve">2170583437                    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0</v>
      </c>
      <c r="Y4880" s="2">
        <v>0</v>
      </c>
      <c r="Z4880" s="2">
        <v>0</v>
      </c>
      <c r="AA4880" s="2">
        <v>0</v>
      </c>
      <c r="AB4880" s="2">
        <v>0</v>
      </c>
      <c r="AC4880" s="2">
        <v>0</v>
      </c>
      <c r="AD4880" s="2">
        <v>0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0</v>
      </c>
      <c r="AL4880" s="2">
        <v>0</v>
      </c>
      <c r="AM4880" s="2">
        <v>4</v>
      </c>
      <c r="AN4880" s="2">
        <v>0</v>
      </c>
      <c r="AO4880" s="2">
        <v>0</v>
      </c>
      <c r="AP4880" s="2">
        <v>0</v>
      </c>
      <c r="AQ4880" s="2">
        <v>0</v>
      </c>
      <c r="AR4880" s="2">
        <v>0</v>
      </c>
      <c r="AS4880" s="2">
        <v>0</v>
      </c>
      <c r="AT4880" s="2">
        <v>0</v>
      </c>
      <c r="AU4880" s="2">
        <v>0</v>
      </c>
      <c r="AV4880" s="2">
        <v>0</v>
      </c>
      <c r="AW4880" s="2">
        <v>0</v>
      </c>
      <c r="AX4880" s="2">
        <v>0</v>
      </c>
      <c r="AY4880" s="2">
        <v>0</v>
      </c>
      <c r="AZ4880" s="2">
        <v>0</v>
      </c>
      <c r="BA4880" s="2">
        <v>0</v>
      </c>
      <c r="BB4880" s="2">
        <v>0</v>
      </c>
      <c r="BC4880" s="2">
        <v>0</v>
      </c>
      <c r="BD4880" s="2">
        <v>0</v>
      </c>
      <c r="BE4880" s="2">
        <v>0</v>
      </c>
      <c r="BF4880" s="2">
        <v>0</v>
      </c>
      <c r="BG4880" s="2">
        <v>0</v>
      </c>
      <c r="BH4880" s="2">
        <v>1</v>
      </c>
      <c r="BI4880" s="2">
        <v>1.8</v>
      </c>
      <c r="BJ4880" s="2">
        <v>1.5</v>
      </c>
      <c r="BK4880" s="2">
        <v>2</v>
      </c>
      <c r="BL4880" s="2">
        <v>41.44</v>
      </c>
      <c r="BM4880" s="2">
        <v>5.8</v>
      </c>
      <c r="BN4880" s="2">
        <v>47.24</v>
      </c>
      <c r="BO4880" s="2">
        <v>47.24</v>
      </c>
      <c r="BP4880" s="2"/>
      <c r="BQ4880" s="2" t="s">
        <v>83</v>
      </c>
      <c r="BR4880" s="2" t="s">
        <v>84</v>
      </c>
      <c r="BS4880" s="3">
        <v>42955</v>
      </c>
      <c r="BT4880" s="4">
        <v>0.41041666666666665</v>
      </c>
      <c r="BU4880" s="2" t="s">
        <v>324</v>
      </c>
      <c r="BV4880" s="2" t="s">
        <v>95</v>
      </c>
      <c r="BW4880" s="2"/>
      <c r="BX4880" s="2"/>
      <c r="BY4880" s="2">
        <v>7310.41</v>
      </c>
      <c r="BZ4880" s="2"/>
      <c r="CA4880" s="2" t="s">
        <v>103</v>
      </c>
      <c r="CB4880" s="2"/>
      <c r="CC4880" s="2" t="s">
        <v>322</v>
      </c>
      <c r="CD4880" s="2">
        <v>6220</v>
      </c>
      <c r="CE4880" s="2" t="s">
        <v>89</v>
      </c>
      <c r="CF4880" s="5">
        <v>42957</v>
      </c>
      <c r="CG4880" s="2"/>
      <c r="CH4880" s="2"/>
      <c r="CI4880" s="2">
        <v>1</v>
      </c>
      <c r="CJ4880" s="2">
        <v>1</v>
      </c>
      <c r="CK4880" s="2">
        <v>21</v>
      </c>
      <c r="CL4880" s="2" t="s">
        <v>86</v>
      </c>
      <c r="CM4880" s="2"/>
    </row>
    <row r="4881" spans="1:91">
      <c r="A4881" s="2" t="s">
        <v>71</v>
      </c>
      <c r="B4881" s="2" t="s">
        <v>72</v>
      </c>
      <c r="C4881" s="2" t="s">
        <v>73</v>
      </c>
      <c r="D4881" s="2"/>
      <c r="E4881" s="2" t="str">
        <f>"FES1162567571"</f>
        <v>FES1162567571</v>
      </c>
      <c r="F4881" s="3">
        <v>42954</v>
      </c>
      <c r="G4881" s="2">
        <v>201802</v>
      </c>
      <c r="H4881" s="2" t="s">
        <v>74</v>
      </c>
      <c r="I4881" s="2" t="s">
        <v>75</v>
      </c>
      <c r="J4881" s="2" t="s">
        <v>76</v>
      </c>
      <c r="K4881" s="2" t="s">
        <v>77</v>
      </c>
      <c r="L4881" s="2" t="s">
        <v>74</v>
      </c>
      <c r="M4881" s="2" t="s">
        <v>75</v>
      </c>
      <c r="N4881" s="2" t="s">
        <v>1446</v>
      </c>
      <c r="O4881" s="2" t="s">
        <v>100</v>
      </c>
      <c r="P4881" s="2" t="str">
        <f>"2170583715                    "</f>
        <v xml:space="preserve">2170583715                    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0</v>
      </c>
      <c r="Y4881" s="2">
        <v>0</v>
      </c>
      <c r="Z4881" s="2">
        <v>0</v>
      </c>
      <c r="AA4881" s="2">
        <v>0</v>
      </c>
      <c r="AB4881" s="2">
        <v>0</v>
      </c>
      <c r="AC4881" s="2">
        <v>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3.13</v>
      </c>
      <c r="AN4881" s="2">
        <v>0</v>
      </c>
      <c r="AO4881" s="2">
        <v>0</v>
      </c>
      <c r="AP4881" s="2">
        <v>0</v>
      </c>
      <c r="AQ4881" s="2">
        <v>0</v>
      </c>
      <c r="AR4881" s="2">
        <v>0</v>
      </c>
      <c r="AS4881" s="2">
        <v>0</v>
      </c>
      <c r="AT4881" s="2">
        <v>0</v>
      </c>
      <c r="AU4881" s="2">
        <v>0</v>
      </c>
      <c r="AV4881" s="2">
        <v>0</v>
      </c>
      <c r="AW4881" s="2">
        <v>0</v>
      </c>
      <c r="AX4881" s="2">
        <v>0</v>
      </c>
      <c r="AY4881" s="2">
        <v>0</v>
      </c>
      <c r="AZ4881" s="2">
        <v>0</v>
      </c>
      <c r="BA4881" s="2">
        <v>0</v>
      </c>
      <c r="BB4881" s="2">
        <v>0</v>
      </c>
      <c r="BC4881" s="2">
        <v>0</v>
      </c>
      <c r="BD4881" s="2">
        <v>0</v>
      </c>
      <c r="BE4881" s="2">
        <v>0</v>
      </c>
      <c r="BF4881" s="2">
        <v>0</v>
      </c>
      <c r="BG4881" s="2">
        <v>0</v>
      </c>
      <c r="BH4881" s="2">
        <v>1</v>
      </c>
      <c r="BI4881" s="2">
        <v>3.6</v>
      </c>
      <c r="BJ4881" s="2">
        <v>5.6</v>
      </c>
      <c r="BK4881" s="2">
        <v>6</v>
      </c>
      <c r="BL4881" s="2">
        <v>32.380000000000003</v>
      </c>
      <c r="BM4881" s="2">
        <v>4.53</v>
      </c>
      <c r="BN4881" s="2">
        <v>36.909999999999997</v>
      </c>
      <c r="BO4881" s="2">
        <v>36.909999999999997</v>
      </c>
      <c r="BP4881" s="2"/>
      <c r="BQ4881" s="2" t="s">
        <v>4255</v>
      </c>
      <c r="BR4881" s="2" t="s">
        <v>84</v>
      </c>
      <c r="BS4881" s="3">
        <v>42955</v>
      </c>
      <c r="BT4881" s="4">
        <v>0.34236111111111112</v>
      </c>
      <c r="BU4881" s="2" t="s">
        <v>4256</v>
      </c>
      <c r="BV4881" s="2" t="s">
        <v>95</v>
      </c>
      <c r="BW4881" s="2"/>
      <c r="BX4881" s="2"/>
      <c r="BY4881" s="2">
        <v>28014.080000000002</v>
      </c>
      <c r="BZ4881" s="2"/>
      <c r="CA4881" s="2" t="s">
        <v>1448</v>
      </c>
      <c r="CB4881" s="2"/>
      <c r="CC4881" s="2" t="s">
        <v>75</v>
      </c>
      <c r="CD4881" s="2">
        <v>1600</v>
      </c>
      <c r="CE4881" s="2" t="s">
        <v>4257</v>
      </c>
      <c r="CF4881" s="5">
        <v>42957</v>
      </c>
      <c r="CG4881" s="2"/>
      <c r="CH4881" s="2"/>
      <c r="CI4881" s="2">
        <v>1</v>
      </c>
      <c r="CJ4881" s="2">
        <v>1</v>
      </c>
      <c r="CK4881" s="2">
        <v>22</v>
      </c>
      <c r="CL4881" s="2" t="s">
        <v>86</v>
      </c>
      <c r="CM4881" s="2"/>
    </row>
    <row r="4882" spans="1:91">
      <c r="A4882" s="2" t="s">
        <v>71</v>
      </c>
      <c r="B4882" s="2" t="s">
        <v>72</v>
      </c>
      <c r="C4882" s="2" t="s">
        <v>73</v>
      </c>
      <c r="D4882" s="2"/>
      <c r="E4882" s="2" t="str">
        <f>"FES1162567493"</f>
        <v>FES1162567493</v>
      </c>
      <c r="F4882" s="3">
        <v>42954</v>
      </c>
      <c r="G4882" s="2">
        <v>201802</v>
      </c>
      <c r="H4882" s="2" t="s">
        <v>74</v>
      </c>
      <c r="I4882" s="2" t="s">
        <v>75</v>
      </c>
      <c r="J4882" s="2" t="s">
        <v>76</v>
      </c>
      <c r="K4882" s="2" t="s">
        <v>77</v>
      </c>
      <c r="L4882" s="2" t="s">
        <v>97</v>
      </c>
      <c r="M4882" s="2" t="s">
        <v>98</v>
      </c>
      <c r="N4882" s="2" t="s">
        <v>500</v>
      </c>
      <c r="O4882" s="2" t="s">
        <v>100</v>
      </c>
      <c r="P4882" s="2" t="str">
        <f>"2170583662                    "</f>
        <v xml:space="preserve">2170583662                    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0</v>
      </c>
      <c r="Y4882" s="2">
        <v>0</v>
      </c>
      <c r="Z4882" s="2">
        <v>0</v>
      </c>
      <c r="AA4882" s="2">
        <v>0</v>
      </c>
      <c r="AB4882" s="2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>
        <v>0</v>
      </c>
      <c r="AL4882" s="2">
        <v>0</v>
      </c>
      <c r="AM4882" s="2">
        <v>8</v>
      </c>
      <c r="AN4882" s="2">
        <v>0</v>
      </c>
      <c r="AO4882" s="2">
        <v>0</v>
      </c>
      <c r="AP4882" s="2">
        <v>0</v>
      </c>
      <c r="AQ4882" s="2">
        <v>0</v>
      </c>
      <c r="AR4882" s="2">
        <v>0</v>
      </c>
      <c r="AS4882" s="2">
        <v>0</v>
      </c>
      <c r="AT4882" s="2">
        <v>0</v>
      </c>
      <c r="AU4882" s="2">
        <v>0</v>
      </c>
      <c r="AV4882" s="2">
        <v>0</v>
      </c>
      <c r="AW4882" s="2">
        <v>0</v>
      </c>
      <c r="AX4882" s="2">
        <v>0</v>
      </c>
      <c r="AY4882" s="2">
        <v>0</v>
      </c>
      <c r="AZ4882" s="2">
        <v>0</v>
      </c>
      <c r="BA4882" s="2">
        <v>0</v>
      </c>
      <c r="BB4882" s="2">
        <v>0</v>
      </c>
      <c r="BC4882" s="2">
        <v>0</v>
      </c>
      <c r="BD4882" s="2">
        <v>0</v>
      </c>
      <c r="BE4882" s="2">
        <v>0</v>
      </c>
      <c r="BF4882" s="2">
        <v>0</v>
      </c>
      <c r="BG4882" s="2">
        <v>0</v>
      </c>
      <c r="BH4882" s="2">
        <v>1</v>
      </c>
      <c r="BI4882" s="2">
        <v>1.5</v>
      </c>
      <c r="BJ4882" s="2">
        <v>3.7</v>
      </c>
      <c r="BK4882" s="2">
        <v>4</v>
      </c>
      <c r="BL4882" s="2">
        <v>82.88</v>
      </c>
      <c r="BM4882" s="2">
        <v>11.6</v>
      </c>
      <c r="BN4882" s="2">
        <v>94.48</v>
      </c>
      <c r="BO4882" s="2">
        <v>94.48</v>
      </c>
      <c r="BP4882" s="2"/>
      <c r="BQ4882" s="2" t="s">
        <v>108</v>
      </c>
      <c r="BR4882" s="2" t="s">
        <v>84</v>
      </c>
      <c r="BS4882" s="3">
        <v>42955</v>
      </c>
      <c r="BT4882" s="4">
        <v>0.37361111111111112</v>
      </c>
      <c r="BU4882" s="2" t="s">
        <v>501</v>
      </c>
      <c r="BV4882" s="2" t="s">
        <v>95</v>
      </c>
      <c r="BW4882" s="2"/>
      <c r="BX4882" s="2"/>
      <c r="BY4882" s="2">
        <v>18468.36</v>
      </c>
      <c r="BZ4882" s="2"/>
      <c r="CA4882" s="2" t="s">
        <v>294</v>
      </c>
      <c r="CB4882" s="2"/>
      <c r="CC4882" s="2" t="s">
        <v>98</v>
      </c>
      <c r="CD4882" s="2">
        <v>6001</v>
      </c>
      <c r="CE4882" s="2" t="s">
        <v>135</v>
      </c>
      <c r="CF4882" s="5">
        <v>42957</v>
      </c>
      <c r="CG4882" s="2"/>
      <c r="CH4882" s="2"/>
      <c r="CI4882" s="2">
        <v>1</v>
      </c>
      <c r="CJ4882" s="2">
        <v>1</v>
      </c>
      <c r="CK4882" s="2">
        <v>21</v>
      </c>
      <c r="CL4882" s="2" t="s">
        <v>86</v>
      </c>
      <c r="CM4882" s="2"/>
    </row>
    <row r="4883" spans="1:91">
      <c r="A4883" s="2" t="s">
        <v>71</v>
      </c>
      <c r="B4883" s="2" t="s">
        <v>72</v>
      </c>
      <c r="C4883" s="2" t="s">
        <v>73</v>
      </c>
      <c r="D4883" s="2"/>
      <c r="E4883" s="2" t="str">
        <f>"FES1162567576"</f>
        <v>FES1162567576</v>
      </c>
      <c r="F4883" s="3">
        <v>42954</v>
      </c>
      <c r="G4883" s="2">
        <v>201802</v>
      </c>
      <c r="H4883" s="2" t="s">
        <v>74</v>
      </c>
      <c r="I4883" s="2" t="s">
        <v>75</v>
      </c>
      <c r="J4883" s="2" t="s">
        <v>76</v>
      </c>
      <c r="K4883" s="2" t="s">
        <v>77</v>
      </c>
      <c r="L4883" s="2" t="s">
        <v>539</v>
      </c>
      <c r="M4883" s="2" t="s">
        <v>540</v>
      </c>
      <c r="N4883" s="2" t="s">
        <v>541</v>
      </c>
      <c r="O4883" s="2" t="s">
        <v>100</v>
      </c>
      <c r="P4883" s="2" t="str">
        <f>"2170583721                    "</f>
        <v xml:space="preserve">2170583721                    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0</v>
      </c>
      <c r="Y4883" s="2">
        <v>0</v>
      </c>
      <c r="Z4883" s="2">
        <v>0</v>
      </c>
      <c r="AA4883" s="2">
        <v>0</v>
      </c>
      <c r="AB4883" s="2">
        <v>0</v>
      </c>
      <c r="AC4883" s="2">
        <v>0</v>
      </c>
      <c r="AD4883" s="2">
        <v>0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>
        <v>0</v>
      </c>
      <c r="AL4883" s="2">
        <v>0</v>
      </c>
      <c r="AM4883" s="2">
        <v>3.13</v>
      </c>
      <c r="AN4883" s="2">
        <v>0</v>
      </c>
      <c r="AO4883" s="2">
        <v>0</v>
      </c>
      <c r="AP4883" s="2">
        <v>0</v>
      </c>
      <c r="AQ4883" s="2">
        <v>0</v>
      </c>
      <c r="AR4883" s="2">
        <v>0</v>
      </c>
      <c r="AS4883" s="2">
        <v>0</v>
      </c>
      <c r="AT4883" s="2">
        <v>0</v>
      </c>
      <c r="AU4883" s="2">
        <v>0</v>
      </c>
      <c r="AV4883" s="2">
        <v>0</v>
      </c>
      <c r="AW4883" s="2">
        <v>0</v>
      </c>
      <c r="AX4883" s="2">
        <v>0</v>
      </c>
      <c r="AY4883" s="2">
        <v>0</v>
      </c>
      <c r="AZ4883" s="2">
        <v>0</v>
      </c>
      <c r="BA4883" s="2">
        <v>0</v>
      </c>
      <c r="BB4883" s="2">
        <v>0</v>
      </c>
      <c r="BC4883" s="2">
        <v>0</v>
      </c>
      <c r="BD4883" s="2">
        <v>0</v>
      </c>
      <c r="BE4883" s="2">
        <v>0</v>
      </c>
      <c r="BF4883" s="2">
        <v>0</v>
      </c>
      <c r="BG4883" s="2">
        <v>0</v>
      </c>
      <c r="BH4883" s="2">
        <v>1</v>
      </c>
      <c r="BI4883" s="2">
        <v>2.2000000000000002</v>
      </c>
      <c r="BJ4883" s="2">
        <v>1.7</v>
      </c>
      <c r="BK4883" s="2">
        <v>3</v>
      </c>
      <c r="BL4883" s="2">
        <v>32.380000000000003</v>
      </c>
      <c r="BM4883" s="2">
        <v>4.53</v>
      </c>
      <c r="BN4883" s="2">
        <v>36.909999999999997</v>
      </c>
      <c r="BO4883" s="2">
        <v>36.909999999999997</v>
      </c>
      <c r="BP4883" s="2"/>
      <c r="BQ4883" s="2" t="s">
        <v>542</v>
      </c>
      <c r="BR4883" s="2" t="s">
        <v>84</v>
      </c>
      <c r="BS4883" s="3">
        <v>42955</v>
      </c>
      <c r="BT4883" s="4">
        <v>0.38541666666666669</v>
      </c>
      <c r="BU4883" s="2" t="s">
        <v>4258</v>
      </c>
      <c r="BV4883" s="2" t="s">
        <v>95</v>
      </c>
      <c r="BW4883" s="2"/>
      <c r="BX4883" s="2"/>
      <c r="BY4883" s="2">
        <v>8686.6299999999992</v>
      </c>
      <c r="BZ4883" s="2"/>
      <c r="CA4883" s="2" t="s">
        <v>722</v>
      </c>
      <c r="CB4883" s="2"/>
      <c r="CC4883" s="2" t="s">
        <v>540</v>
      </c>
      <c r="CD4883" s="2">
        <v>2162</v>
      </c>
      <c r="CE4883" s="2" t="s">
        <v>104</v>
      </c>
      <c r="CF4883" s="5">
        <v>42957</v>
      </c>
      <c r="CG4883" s="2"/>
      <c r="CH4883" s="2"/>
      <c r="CI4883" s="2">
        <v>1</v>
      </c>
      <c r="CJ4883" s="2">
        <v>1</v>
      </c>
      <c r="CK4883" s="2">
        <v>22</v>
      </c>
      <c r="CL4883" s="2" t="s">
        <v>86</v>
      </c>
      <c r="CM4883" s="2"/>
    </row>
    <row r="4884" spans="1:91">
      <c r="A4884" s="2" t="s">
        <v>71</v>
      </c>
      <c r="B4884" s="2" t="s">
        <v>72</v>
      </c>
      <c r="C4884" s="2" t="s">
        <v>73</v>
      </c>
      <c r="D4884" s="2"/>
      <c r="E4884" s="2" t="str">
        <f>"FES1162567515"</f>
        <v>FES1162567515</v>
      </c>
      <c r="F4884" s="3">
        <v>42954</v>
      </c>
      <c r="G4884" s="2">
        <v>201802</v>
      </c>
      <c r="H4884" s="2" t="s">
        <v>74</v>
      </c>
      <c r="I4884" s="2" t="s">
        <v>75</v>
      </c>
      <c r="J4884" s="2" t="s">
        <v>76</v>
      </c>
      <c r="K4884" s="2" t="s">
        <v>77</v>
      </c>
      <c r="L4884" s="2" t="s">
        <v>510</v>
      </c>
      <c r="M4884" s="2" t="s">
        <v>511</v>
      </c>
      <c r="N4884" s="2" t="s">
        <v>3899</v>
      </c>
      <c r="O4884" s="2" t="s">
        <v>100</v>
      </c>
      <c r="P4884" s="2" t="str">
        <f>"2170583577                    "</f>
        <v xml:space="preserve">2170583577                    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2">
        <v>0</v>
      </c>
      <c r="Z4884" s="2">
        <v>0</v>
      </c>
      <c r="AA4884" s="2">
        <v>0</v>
      </c>
      <c r="AB4884" s="2">
        <v>0</v>
      </c>
      <c r="AC4884" s="2">
        <v>0</v>
      </c>
      <c r="AD4884" s="2">
        <v>0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0</v>
      </c>
      <c r="AK4884" s="2">
        <v>0</v>
      </c>
      <c r="AL4884" s="2">
        <v>0</v>
      </c>
      <c r="AM4884" s="2">
        <v>26.02</v>
      </c>
      <c r="AN4884" s="2">
        <v>0</v>
      </c>
      <c r="AO4884" s="2">
        <v>0</v>
      </c>
      <c r="AP4884" s="2">
        <v>0</v>
      </c>
      <c r="AQ4884" s="2">
        <v>0</v>
      </c>
      <c r="AR4884" s="2">
        <v>0</v>
      </c>
      <c r="AS4884" s="2">
        <v>0</v>
      </c>
      <c r="AT4884" s="2">
        <v>0</v>
      </c>
      <c r="AU4884" s="2">
        <v>0</v>
      </c>
      <c r="AV4884" s="2">
        <v>0</v>
      </c>
      <c r="AW4884" s="2">
        <v>0</v>
      </c>
      <c r="AX4884" s="2">
        <v>0</v>
      </c>
      <c r="AY4884" s="2">
        <v>0</v>
      </c>
      <c r="AZ4884" s="2">
        <v>0</v>
      </c>
      <c r="BA4884" s="2">
        <v>0</v>
      </c>
      <c r="BB4884" s="2">
        <v>0</v>
      </c>
      <c r="BC4884" s="2">
        <v>0</v>
      </c>
      <c r="BD4884" s="2">
        <v>0</v>
      </c>
      <c r="BE4884" s="2">
        <v>0</v>
      </c>
      <c r="BF4884" s="2">
        <v>0</v>
      </c>
      <c r="BG4884" s="2">
        <v>0</v>
      </c>
      <c r="BH4884" s="2">
        <v>1</v>
      </c>
      <c r="BI4884" s="2">
        <v>12.8</v>
      </c>
      <c r="BJ4884" s="2">
        <v>9</v>
      </c>
      <c r="BK4884" s="2">
        <v>13</v>
      </c>
      <c r="BL4884" s="2">
        <v>269.38</v>
      </c>
      <c r="BM4884" s="2">
        <v>37.71</v>
      </c>
      <c r="BN4884" s="2">
        <v>307.08999999999997</v>
      </c>
      <c r="BO4884" s="2">
        <v>307.08999999999997</v>
      </c>
      <c r="BP4884" s="2"/>
      <c r="BQ4884" s="2" t="s">
        <v>227</v>
      </c>
      <c r="BR4884" s="2" t="s">
        <v>84</v>
      </c>
      <c r="BS4884" s="3">
        <v>42955</v>
      </c>
      <c r="BT4884" s="4">
        <v>0.35347222222222219</v>
      </c>
      <c r="BU4884" s="2" t="s">
        <v>2574</v>
      </c>
      <c r="BV4884" s="2" t="s">
        <v>95</v>
      </c>
      <c r="BW4884" s="2"/>
      <c r="BX4884" s="2"/>
      <c r="BY4884" s="2">
        <v>44833.43</v>
      </c>
      <c r="BZ4884" s="2"/>
      <c r="CA4884" s="2" t="s">
        <v>514</v>
      </c>
      <c r="CB4884" s="2"/>
      <c r="CC4884" s="2" t="s">
        <v>511</v>
      </c>
      <c r="CD4884" s="2">
        <v>6229</v>
      </c>
      <c r="CE4884" s="2" t="s">
        <v>89</v>
      </c>
      <c r="CF4884" s="5">
        <v>42957</v>
      </c>
      <c r="CG4884" s="2"/>
      <c r="CH4884" s="2"/>
      <c r="CI4884" s="2">
        <v>1</v>
      </c>
      <c r="CJ4884" s="2">
        <v>1</v>
      </c>
      <c r="CK4884" s="2">
        <v>21</v>
      </c>
      <c r="CL4884" s="2" t="s">
        <v>86</v>
      </c>
      <c r="CM4884" s="2"/>
    </row>
    <row r="4885" spans="1:91">
      <c r="A4885" s="2" t="s">
        <v>71</v>
      </c>
      <c r="B4885" s="2" t="s">
        <v>72</v>
      </c>
      <c r="C4885" s="2" t="s">
        <v>73</v>
      </c>
      <c r="D4885" s="2"/>
      <c r="E4885" s="2" t="str">
        <f>"FES1162567562"</f>
        <v>FES1162567562</v>
      </c>
      <c r="F4885" s="3">
        <v>42954</v>
      </c>
      <c r="G4885" s="2">
        <v>201802</v>
      </c>
      <c r="H4885" s="2" t="s">
        <v>74</v>
      </c>
      <c r="I4885" s="2" t="s">
        <v>75</v>
      </c>
      <c r="J4885" s="2" t="s">
        <v>76</v>
      </c>
      <c r="K4885" s="2" t="s">
        <v>77</v>
      </c>
      <c r="L4885" s="2" t="s">
        <v>149</v>
      </c>
      <c r="M4885" s="2" t="s">
        <v>150</v>
      </c>
      <c r="N4885" s="2" t="s">
        <v>2031</v>
      </c>
      <c r="O4885" s="2" t="s">
        <v>100</v>
      </c>
      <c r="P4885" s="2" t="str">
        <f>"2170583712                    "</f>
        <v xml:space="preserve">2170583712                    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0</v>
      </c>
      <c r="Y4885" s="2">
        <v>0</v>
      </c>
      <c r="Z4885" s="2">
        <v>0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>
        <v>0</v>
      </c>
      <c r="AL4885" s="2">
        <v>0</v>
      </c>
      <c r="AM4885" s="2">
        <v>6</v>
      </c>
      <c r="AN4885" s="2">
        <v>0</v>
      </c>
      <c r="AO4885" s="2">
        <v>0</v>
      </c>
      <c r="AP4885" s="2">
        <v>0</v>
      </c>
      <c r="AQ4885" s="2">
        <v>0</v>
      </c>
      <c r="AR4885" s="2">
        <v>0</v>
      </c>
      <c r="AS4885" s="2">
        <v>0</v>
      </c>
      <c r="AT4885" s="2">
        <v>0</v>
      </c>
      <c r="AU4885" s="2">
        <v>0</v>
      </c>
      <c r="AV4885" s="2">
        <v>0</v>
      </c>
      <c r="AW4885" s="2">
        <v>0</v>
      </c>
      <c r="AX4885" s="2">
        <v>0</v>
      </c>
      <c r="AY4885" s="2">
        <v>0</v>
      </c>
      <c r="AZ4885" s="2">
        <v>0</v>
      </c>
      <c r="BA4885" s="2">
        <v>0</v>
      </c>
      <c r="BB4885" s="2">
        <v>0</v>
      </c>
      <c r="BC4885" s="2">
        <v>0</v>
      </c>
      <c r="BD4885" s="2">
        <v>0</v>
      </c>
      <c r="BE4885" s="2">
        <v>0</v>
      </c>
      <c r="BF4885" s="2">
        <v>0</v>
      </c>
      <c r="BG4885" s="2">
        <v>0</v>
      </c>
      <c r="BH4885" s="2">
        <v>1</v>
      </c>
      <c r="BI4885" s="2">
        <v>1.9</v>
      </c>
      <c r="BJ4885" s="2">
        <v>3</v>
      </c>
      <c r="BK4885" s="2">
        <v>3</v>
      </c>
      <c r="BL4885" s="2">
        <v>62.16</v>
      </c>
      <c r="BM4885" s="2">
        <v>8.6999999999999993</v>
      </c>
      <c r="BN4885" s="2">
        <v>70.86</v>
      </c>
      <c r="BO4885" s="2">
        <v>70.86</v>
      </c>
      <c r="BP4885" s="2"/>
      <c r="BQ4885" s="2" t="s">
        <v>83</v>
      </c>
      <c r="BR4885" s="2" t="s">
        <v>84</v>
      </c>
      <c r="BS4885" s="3">
        <v>42955</v>
      </c>
      <c r="BT4885" s="4">
        <v>0.34027777777777773</v>
      </c>
      <c r="BU4885" s="2" t="s">
        <v>2032</v>
      </c>
      <c r="BV4885" s="2" t="s">
        <v>95</v>
      </c>
      <c r="BW4885" s="2"/>
      <c r="BX4885" s="2"/>
      <c r="BY4885" s="2">
        <v>15156.22</v>
      </c>
      <c r="BZ4885" s="2"/>
      <c r="CA4885" s="2" t="s">
        <v>235</v>
      </c>
      <c r="CB4885" s="2"/>
      <c r="CC4885" s="2" t="s">
        <v>150</v>
      </c>
      <c r="CD4885" s="2">
        <v>4052</v>
      </c>
      <c r="CE4885" s="2" t="s">
        <v>135</v>
      </c>
      <c r="CF4885" s="5">
        <v>42957</v>
      </c>
      <c r="CG4885" s="2"/>
      <c r="CH4885" s="2"/>
      <c r="CI4885" s="2">
        <v>1</v>
      </c>
      <c r="CJ4885" s="2">
        <v>1</v>
      </c>
      <c r="CK4885" s="2">
        <v>21</v>
      </c>
      <c r="CL4885" s="2" t="s">
        <v>86</v>
      </c>
      <c r="CM4885" s="2"/>
    </row>
    <row r="4886" spans="1:91">
      <c r="A4886" s="2" t="s">
        <v>71</v>
      </c>
      <c r="B4886" s="2" t="s">
        <v>72</v>
      </c>
      <c r="C4886" s="2" t="s">
        <v>73</v>
      </c>
      <c r="D4886" s="2"/>
      <c r="E4886" s="2" t="str">
        <f>"FES1162567450"</f>
        <v>FES1162567450</v>
      </c>
      <c r="F4886" s="3">
        <v>42954</v>
      </c>
      <c r="G4886" s="2">
        <v>201802</v>
      </c>
      <c r="H4886" s="2" t="s">
        <v>74</v>
      </c>
      <c r="I4886" s="2" t="s">
        <v>75</v>
      </c>
      <c r="J4886" s="2" t="s">
        <v>76</v>
      </c>
      <c r="K4886" s="2" t="s">
        <v>77</v>
      </c>
      <c r="L4886" s="2" t="s">
        <v>237</v>
      </c>
      <c r="M4886" s="2" t="s">
        <v>238</v>
      </c>
      <c r="N4886" s="2" t="s">
        <v>837</v>
      </c>
      <c r="O4886" s="2" t="s">
        <v>100</v>
      </c>
      <c r="P4886" s="2" t="str">
        <f>"2170583608                    "</f>
        <v xml:space="preserve">2170583608                    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0</v>
      </c>
      <c r="Y4886" s="2">
        <v>0</v>
      </c>
      <c r="Z4886" s="2">
        <v>0</v>
      </c>
      <c r="AA4886" s="2">
        <v>0</v>
      </c>
      <c r="AB4886" s="2">
        <v>0</v>
      </c>
      <c r="AC4886" s="2">
        <v>0</v>
      </c>
      <c r="AD4886" s="2">
        <v>0</v>
      </c>
      <c r="AE4886" s="2">
        <v>0</v>
      </c>
      <c r="AF4886" s="2">
        <v>0</v>
      </c>
      <c r="AG4886" s="2">
        <v>0</v>
      </c>
      <c r="AH4886" s="2">
        <v>0</v>
      </c>
      <c r="AI4886" s="2">
        <v>0</v>
      </c>
      <c r="AJ4886" s="2">
        <v>0</v>
      </c>
      <c r="AK4886" s="2">
        <v>0</v>
      </c>
      <c r="AL4886" s="2">
        <v>0</v>
      </c>
      <c r="AM4886" s="2">
        <v>10.01</v>
      </c>
      <c r="AN4886" s="2">
        <v>0</v>
      </c>
      <c r="AO4886" s="2">
        <v>0</v>
      </c>
      <c r="AP4886" s="2">
        <v>0</v>
      </c>
      <c r="AQ4886" s="2">
        <v>0</v>
      </c>
      <c r="AR4886" s="2">
        <v>0</v>
      </c>
      <c r="AS4886" s="2">
        <v>0</v>
      </c>
      <c r="AT4886" s="2">
        <v>0</v>
      </c>
      <c r="AU4886" s="2">
        <v>0</v>
      </c>
      <c r="AV4886" s="2">
        <v>0</v>
      </c>
      <c r="AW4886" s="2">
        <v>0</v>
      </c>
      <c r="AX4886" s="2">
        <v>0</v>
      </c>
      <c r="AY4886" s="2">
        <v>0</v>
      </c>
      <c r="AZ4886" s="2">
        <v>0</v>
      </c>
      <c r="BA4886" s="2">
        <v>0</v>
      </c>
      <c r="BB4886" s="2">
        <v>0</v>
      </c>
      <c r="BC4886" s="2">
        <v>0</v>
      </c>
      <c r="BD4886" s="2">
        <v>0</v>
      </c>
      <c r="BE4886" s="2">
        <v>0</v>
      </c>
      <c r="BF4886" s="2">
        <v>0</v>
      </c>
      <c r="BG4886" s="2">
        <v>0</v>
      </c>
      <c r="BH4886" s="2">
        <v>1</v>
      </c>
      <c r="BI4886" s="2">
        <v>4.9000000000000004</v>
      </c>
      <c r="BJ4886" s="2">
        <v>2.2000000000000002</v>
      </c>
      <c r="BK4886" s="2">
        <v>5</v>
      </c>
      <c r="BL4886" s="2">
        <v>103.61</v>
      </c>
      <c r="BM4886" s="2">
        <v>14.51</v>
      </c>
      <c r="BN4886" s="2">
        <v>118.12</v>
      </c>
      <c r="BO4886" s="2">
        <v>118.12</v>
      </c>
      <c r="BP4886" s="2"/>
      <c r="BQ4886" s="2" t="s">
        <v>1527</v>
      </c>
      <c r="BR4886" s="2" t="s">
        <v>84</v>
      </c>
      <c r="BS4886" s="3">
        <v>42955</v>
      </c>
      <c r="BT4886" s="4">
        <v>0.38055555555555554</v>
      </c>
      <c r="BU4886" s="2" t="s">
        <v>3162</v>
      </c>
      <c r="BV4886" s="2" t="s">
        <v>95</v>
      </c>
      <c r="BW4886" s="2"/>
      <c r="BX4886" s="2"/>
      <c r="BY4886" s="2">
        <v>11129.58</v>
      </c>
      <c r="BZ4886" s="2"/>
      <c r="CA4886" s="2" t="s">
        <v>839</v>
      </c>
      <c r="CB4886" s="2"/>
      <c r="CC4886" s="2" t="s">
        <v>238</v>
      </c>
      <c r="CD4886" s="2">
        <v>4037</v>
      </c>
      <c r="CE4886" s="2" t="s">
        <v>89</v>
      </c>
      <c r="CF4886" s="5">
        <v>42957</v>
      </c>
      <c r="CG4886" s="2"/>
      <c r="CH4886" s="2"/>
      <c r="CI4886" s="2">
        <v>1</v>
      </c>
      <c r="CJ4886" s="2">
        <v>1</v>
      </c>
      <c r="CK4886" s="2">
        <v>21</v>
      </c>
      <c r="CL4886" s="2" t="s">
        <v>86</v>
      </c>
      <c r="CM4886" s="2"/>
    </row>
    <row r="4887" spans="1:91">
      <c r="A4887" s="2" t="s">
        <v>71</v>
      </c>
      <c r="B4887" s="2" t="s">
        <v>72</v>
      </c>
      <c r="C4887" s="2" t="s">
        <v>73</v>
      </c>
      <c r="D4887" s="2"/>
      <c r="E4887" s="2" t="str">
        <f>"FES1162567540"</f>
        <v>FES1162567540</v>
      </c>
      <c r="F4887" s="3">
        <v>42954</v>
      </c>
      <c r="G4887" s="2">
        <v>201802</v>
      </c>
      <c r="H4887" s="2" t="s">
        <v>74</v>
      </c>
      <c r="I4887" s="2" t="s">
        <v>75</v>
      </c>
      <c r="J4887" s="2" t="s">
        <v>76</v>
      </c>
      <c r="K4887" s="2" t="s">
        <v>77</v>
      </c>
      <c r="L4887" s="2" t="s">
        <v>97</v>
      </c>
      <c r="M4887" s="2" t="s">
        <v>98</v>
      </c>
      <c r="N4887" s="2" t="s">
        <v>4259</v>
      </c>
      <c r="O4887" s="2" t="s">
        <v>100</v>
      </c>
      <c r="P4887" s="2" t="str">
        <f>"2170578033                    "</f>
        <v xml:space="preserve">2170578033                    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0</v>
      </c>
      <c r="Y4887" s="2">
        <v>0</v>
      </c>
      <c r="Z4887" s="2">
        <v>0</v>
      </c>
      <c r="AA4887" s="2">
        <v>0</v>
      </c>
      <c r="AB4887" s="2">
        <v>0</v>
      </c>
      <c r="AC4887" s="2">
        <v>0</v>
      </c>
      <c r="AD4887" s="2">
        <v>0</v>
      </c>
      <c r="AE4887" s="2">
        <v>0</v>
      </c>
      <c r="AF4887" s="2">
        <v>0</v>
      </c>
      <c r="AG4887" s="2">
        <v>0</v>
      </c>
      <c r="AH4887" s="2">
        <v>0</v>
      </c>
      <c r="AI4887" s="2">
        <v>0</v>
      </c>
      <c r="AJ4887" s="2">
        <v>0</v>
      </c>
      <c r="AK4887" s="2">
        <v>0</v>
      </c>
      <c r="AL4887" s="2">
        <v>0</v>
      </c>
      <c r="AM4887" s="2">
        <v>7</v>
      </c>
      <c r="AN4887" s="2">
        <v>0</v>
      </c>
      <c r="AO4887" s="2">
        <v>0</v>
      </c>
      <c r="AP4887" s="2">
        <v>0</v>
      </c>
      <c r="AQ4887" s="2">
        <v>0</v>
      </c>
      <c r="AR4887" s="2">
        <v>0</v>
      </c>
      <c r="AS4887" s="2">
        <v>0</v>
      </c>
      <c r="AT4887" s="2">
        <v>0</v>
      </c>
      <c r="AU4887" s="2">
        <v>0</v>
      </c>
      <c r="AV4887" s="2">
        <v>0</v>
      </c>
      <c r="AW4887" s="2">
        <v>0</v>
      </c>
      <c r="AX4887" s="2">
        <v>0</v>
      </c>
      <c r="AY4887" s="2">
        <v>0</v>
      </c>
      <c r="AZ4887" s="2">
        <v>0</v>
      </c>
      <c r="BA4887" s="2">
        <v>0</v>
      </c>
      <c r="BB4887" s="2">
        <v>0</v>
      </c>
      <c r="BC4887" s="2">
        <v>0</v>
      </c>
      <c r="BD4887" s="2">
        <v>0</v>
      </c>
      <c r="BE4887" s="2">
        <v>0</v>
      </c>
      <c r="BF4887" s="2">
        <v>0</v>
      </c>
      <c r="BG4887" s="2">
        <v>0</v>
      </c>
      <c r="BH4887" s="2">
        <v>1</v>
      </c>
      <c r="BI4887" s="2">
        <v>3.1</v>
      </c>
      <c r="BJ4887" s="2">
        <v>2.9</v>
      </c>
      <c r="BK4887" s="2">
        <v>3.5</v>
      </c>
      <c r="BL4887" s="2">
        <v>72.52</v>
      </c>
      <c r="BM4887" s="2">
        <v>10.15</v>
      </c>
      <c r="BN4887" s="2">
        <v>82.67</v>
      </c>
      <c r="BO4887" s="2">
        <v>82.67</v>
      </c>
      <c r="BP4887" s="2"/>
      <c r="BQ4887" s="2"/>
      <c r="BR4887" s="2" t="s">
        <v>84</v>
      </c>
      <c r="BS4887" s="3">
        <v>42955</v>
      </c>
      <c r="BT4887" s="4">
        <v>0.55208333333333337</v>
      </c>
      <c r="BU4887" s="2" t="s">
        <v>4260</v>
      </c>
      <c r="BV4887" s="2" t="s">
        <v>86</v>
      </c>
      <c r="BW4887" s="2"/>
      <c r="BX4887" s="2"/>
      <c r="BY4887" s="2">
        <v>14589.06</v>
      </c>
      <c r="BZ4887" s="2"/>
      <c r="CA4887" s="2" t="s">
        <v>4261</v>
      </c>
      <c r="CB4887" s="2"/>
      <c r="CC4887" s="2" t="s">
        <v>98</v>
      </c>
      <c r="CD4887" s="2">
        <v>6000</v>
      </c>
      <c r="CE4887" s="2" t="s">
        <v>4262</v>
      </c>
      <c r="CF4887" s="5">
        <v>42957</v>
      </c>
      <c r="CG4887" s="2"/>
      <c r="CH4887" s="2"/>
      <c r="CI4887" s="2">
        <v>1</v>
      </c>
      <c r="CJ4887" s="2">
        <v>1</v>
      </c>
      <c r="CK4887" s="2">
        <v>21</v>
      </c>
      <c r="CL4887" s="2" t="s">
        <v>86</v>
      </c>
      <c r="CM4887" s="2"/>
    </row>
    <row r="4888" spans="1:91">
      <c r="A4888" s="2" t="s">
        <v>71</v>
      </c>
      <c r="B4888" s="2" t="s">
        <v>72</v>
      </c>
      <c r="C4888" s="2" t="s">
        <v>73</v>
      </c>
      <c r="D4888" s="2"/>
      <c r="E4888" s="2" t="str">
        <f>"FES1162567525"</f>
        <v>FES1162567525</v>
      </c>
      <c r="F4888" s="3">
        <v>42954</v>
      </c>
      <c r="G4888" s="2">
        <v>201802</v>
      </c>
      <c r="H4888" s="2" t="s">
        <v>74</v>
      </c>
      <c r="I4888" s="2" t="s">
        <v>75</v>
      </c>
      <c r="J4888" s="2" t="s">
        <v>76</v>
      </c>
      <c r="K4888" s="2" t="s">
        <v>77</v>
      </c>
      <c r="L4888" s="2" t="s">
        <v>105</v>
      </c>
      <c r="M4888" s="2" t="s">
        <v>106</v>
      </c>
      <c r="N4888" s="2" t="s">
        <v>1491</v>
      </c>
      <c r="O4888" s="2" t="s">
        <v>100</v>
      </c>
      <c r="P4888" s="2" t="str">
        <f>"2170573049                    "</f>
        <v xml:space="preserve">2170573049                    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0</v>
      </c>
      <c r="Y4888" s="2">
        <v>0</v>
      </c>
      <c r="Z4888" s="2">
        <v>0</v>
      </c>
      <c r="AA4888" s="2">
        <v>0</v>
      </c>
      <c r="AB4888" s="2">
        <v>0</v>
      </c>
      <c r="AC4888" s="2">
        <v>0</v>
      </c>
      <c r="AD4888" s="2">
        <v>0</v>
      </c>
      <c r="AE4888" s="2">
        <v>0</v>
      </c>
      <c r="AF4888" s="2">
        <v>0</v>
      </c>
      <c r="AG4888" s="2">
        <v>0</v>
      </c>
      <c r="AH4888" s="2">
        <v>0</v>
      </c>
      <c r="AI4888" s="2">
        <v>0</v>
      </c>
      <c r="AJ4888" s="2">
        <v>0</v>
      </c>
      <c r="AK4888" s="2">
        <v>0</v>
      </c>
      <c r="AL4888" s="2">
        <v>0</v>
      </c>
      <c r="AM4888" s="2">
        <v>8</v>
      </c>
      <c r="AN4888" s="2">
        <v>0</v>
      </c>
      <c r="AO4888" s="2">
        <v>0</v>
      </c>
      <c r="AP4888" s="2">
        <v>0</v>
      </c>
      <c r="AQ4888" s="2">
        <v>0</v>
      </c>
      <c r="AR4888" s="2">
        <v>0</v>
      </c>
      <c r="AS4888" s="2">
        <v>0</v>
      </c>
      <c r="AT4888" s="2">
        <v>0</v>
      </c>
      <c r="AU4888" s="2">
        <v>0</v>
      </c>
      <c r="AV4888" s="2">
        <v>0</v>
      </c>
      <c r="AW4888" s="2">
        <v>0</v>
      </c>
      <c r="AX4888" s="2">
        <v>0</v>
      </c>
      <c r="AY4888" s="2">
        <v>0</v>
      </c>
      <c r="AZ4888" s="2">
        <v>0</v>
      </c>
      <c r="BA4888" s="2">
        <v>0</v>
      </c>
      <c r="BB4888" s="2">
        <v>0</v>
      </c>
      <c r="BC4888" s="2">
        <v>0</v>
      </c>
      <c r="BD4888" s="2">
        <v>0</v>
      </c>
      <c r="BE4888" s="2">
        <v>0</v>
      </c>
      <c r="BF4888" s="2">
        <v>0</v>
      </c>
      <c r="BG4888" s="2">
        <v>0</v>
      </c>
      <c r="BH4888" s="2">
        <v>1</v>
      </c>
      <c r="BI4888" s="2">
        <v>3.7</v>
      </c>
      <c r="BJ4888" s="2">
        <v>3.3</v>
      </c>
      <c r="BK4888" s="2">
        <v>4</v>
      </c>
      <c r="BL4888" s="2">
        <v>82.88</v>
      </c>
      <c r="BM4888" s="2">
        <v>11.6</v>
      </c>
      <c r="BN4888" s="2">
        <v>94.48</v>
      </c>
      <c r="BO4888" s="2">
        <v>94.48</v>
      </c>
      <c r="BP4888" s="2"/>
      <c r="BQ4888" s="2" t="s">
        <v>1492</v>
      </c>
      <c r="BR4888" s="2" t="s">
        <v>84</v>
      </c>
      <c r="BS4888" s="3">
        <v>42955</v>
      </c>
      <c r="BT4888" s="4">
        <v>0.37777777777777777</v>
      </c>
      <c r="BU4888" s="2" t="s">
        <v>1074</v>
      </c>
      <c r="BV4888" s="2" t="s">
        <v>95</v>
      </c>
      <c r="BW4888" s="2"/>
      <c r="BX4888" s="2"/>
      <c r="BY4888" s="2">
        <v>16694.5</v>
      </c>
      <c r="BZ4888" s="2"/>
      <c r="CA4888" s="2" t="s">
        <v>654</v>
      </c>
      <c r="CB4888" s="2"/>
      <c r="CC4888" s="2" t="s">
        <v>106</v>
      </c>
      <c r="CD4888" s="2">
        <v>7490</v>
      </c>
      <c r="CE4888" s="2" t="s">
        <v>89</v>
      </c>
      <c r="CF4888" s="5">
        <v>42957</v>
      </c>
      <c r="CG4888" s="2"/>
      <c r="CH4888" s="2"/>
      <c r="CI4888" s="2">
        <v>1</v>
      </c>
      <c r="CJ4888" s="2">
        <v>1</v>
      </c>
      <c r="CK4888" s="2">
        <v>21</v>
      </c>
      <c r="CL4888" s="2" t="s">
        <v>86</v>
      </c>
      <c r="CM4888" s="2"/>
    </row>
    <row r="4889" spans="1:91">
      <c r="A4889" s="2" t="s">
        <v>71</v>
      </c>
      <c r="B4889" s="2" t="s">
        <v>72</v>
      </c>
      <c r="C4889" s="2" t="s">
        <v>73</v>
      </c>
      <c r="D4889" s="2"/>
      <c r="E4889" s="2" t="str">
        <f>"FES1162567585"</f>
        <v>FES1162567585</v>
      </c>
      <c r="F4889" s="3">
        <v>42954</v>
      </c>
      <c r="G4889" s="2">
        <v>201802</v>
      </c>
      <c r="H4889" s="2" t="s">
        <v>74</v>
      </c>
      <c r="I4889" s="2" t="s">
        <v>75</v>
      </c>
      <c r="J4889" s="2" t="s">
        <v>76</v>
      </c>
      <c r="K4889" s="2" t="s">
        <v>77</v>
      </c>
      <c r="L4889" s="2" t="s">
        <v>97</v>
      </c>
      <c r="M4889" s="2" t="s">
        <v>98</v>
      </c>
      <c r="N4889" s="2" t="s">
        <v>214</v>
      </c>
      <c r="O4889" s="2" t="s">
        <v>100</v>
      </c>
      <c r="P4889" s="2" t="str">
        <f>"2170583730                    "</f>
        <v xml:space="preserve">2170583730                    </v>
      </c>
      <c r="Q4889" s="2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2">
        <v>0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0</v>
      </c>
      <c r="AH4889" s="2">
        <v>0</v>
      </c>
      <c r="AI4889" s="2">
        <v>0</v>
      </c>
      <c r="AJ4889" s="2">
        <v>0</v>
      </c>
      <c r="AK4889" s="2">
        <v>0</v>
      </c>
      <c r="AL4889" s="2">
        <v>0</v>
      </c>
      <c r="AM4889" s="2">
        <v>4</v>
      </c>
      <c r="AN4889" s="2">
        <v>0</v>
      </c>
      <c r="AO4889" s="2">
        <v>0</v>
      </c>
      <c r="AP4889" s="2">
        <v>0</v>
      </c>
      <c r="AQ4889" s="2">
        <v>0</v>
      </c>
      <c r="AR4889" s="2">
        <v>0</v>
      </c>
      <c r="AS4889" s="2">
        <v>0</v>
      </c>
      <c r="AT4889" s="2">
        <v>0</v>
      </c>
      <c r="AU4889" s="2">
        <v>0</v>
      </c>
      <c r="AV4889" s="2">
        <v>0</v>
      </c>
      <c r="AW4889" s="2">
        <v>0</v>
      </c>
      <c r="AX4889" s="2">
        <v>0</v>
      </c>
      <c r="AY4889" s="2">
        <v>0</v>
      </c>
      <c r="AZ4889" s="2">
        <v>0</v>
      </c>
      <c r="BA4889" s="2">
        <v>0</v>
      </c>
      <c r="BB4889" s="2">
        <v>0</v>
      </c>
      <c r="BC4889" s="2">
        <v>0</v>
      </c>
      <c r="BD4889" s="2">
        <v>0</v>
      </c>
      <c r="BE4889" s="2">
        <v>0</v>
      </c>
      <c r="BF4889" s="2">
        <v>0</v>
      </c>
      <c r="BG4889" s="2">
        <v>0</v>
      </c>
      <c r="BH4889" s="2">
        <v>1</v>
      </c>
      <c r="BI4889" s="2">
        <v>0.8</v>
      </c>
      <c r="BJ4889" s="2">
        <v>1.9</v>
      </c>
      <c r="BK4889" s="2">
        <v>2</v>
      </c>
      <c r="BL4889" s="2">
        <v>41.44</v>
      </c>
      <c r="BM4889" s="2">
        <v>5.8</v>
      </c>
      <c r="BN4889" s="2">
        <v>47.24</v>
      </c>
      <c r="BO4889" s="2">
        <v>47.24</v>
      </c>
      <c r="BP4889" s="2"/>
      <c r="BQ4889" s="2" t="s">
        <v>108</v>
      </c>
      <c r="BR4889" s="2" t="s">
        <v>84</v>
      </c>
      <c r="BS4889" s="3">
        <v>42955</v>
      </c>
      <c r="BT4889" s="4">
        <v>0.31319444444444444</v>
      </c>
      <c r="BU4889" s="2" t="s">
        <v>1131</v>
      </c>
      <c r="BV4889" s="2" t="s">
        <v>95</v>
      </c>
      <c r="BW4889" s="2"/>
      <c r="BX4889" s="2"/>
      <c r="BY4889" s="2">
        <v>9264.7800000000007</v>
      </c>
      <c r="BZ4889" s="2"/>
      <c r="CA4889" s="2" t="s">
        <v>213</v>
      </c>
      <c r="CB4889" s="2"/>
      <c r="CC4889" s="2" t="s">
        <v>98</v>
      </c>
      <c r="CD4889" s="2">
        <v>6001</v>
      </c>
      <c r="CE4889" s="2" t="s">
        <v>89</v>
      </c>
      <c r="CF4889" s="5">
        <v>42957</v>
      </c>
      <c r="CG4889" s="2"/>
      <c r="CH4889" s="2"/>
      <c r="CI4889" s="2">
        <v>1</v>
      </c>
      <c r="CJ4889" s="2">
        <v>1</v>
      </c>
      <c r="CK4889" s="2">
        <v>21</v>
      </c>
      <c r="CL4889" s="2" t="s">
        <v>86</v>
      </c>
      <c r="CM4889" s="2"/>
    </row>
    <row r="4890" spans="1:91">
      <c r="A4890" s="2" t="s">
        <v>71</v>
      </c>
      <c r="B4890" s="2" t="s">
        <v>72</v>
      </c>
      <c r="C4890" s="2" t="s">
        <v>73</v>
      </c>
      <c r="D4890" s="2"/>
      <c r="E4890" s="2" t="str">
        <f>"FES1162567527"</f>
        <v>FES1162567527</v>
      </c>
      <c r="F4890" s="3">
        <v>42954</v>
      </c>
      <c r="G4890" s="2">
        <v>201802</v>
      </c>
      <c r="H4890" s="2" t="s">
        <v>74</v>
      </c>
      <c r="I4890" s="2" t="s">
        <v>75</v>
      </c>
      <c r="J4890" s="2" t="s">
        <v>76</v>
      </c>
      <c r="K4890" s="2" t="s">
        <v>77</v>
      </c>
      <c r="L4890" s="2" t="s">
        <v>417</v>
      </c>
      <c r="M4890" s="2" t="s">
        <v>417</v>
      </c>
      <c r="N4890" s="2" t="s">
        <v>475</v>
      </c>
      <c r="O4890" s="2" t="s">
        <v>100</v>
      </c>
      <c r="P4890" s="2" t="str">
        <f>"2170578892                    "</f>
        <v xml:space="preserve">2170578892                    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0</v>
      </c>
      <c r="Y4890" s="2">
        <v>0</v>
      </c>
      <c r="Z4890" s="2">
        <v>0</v>
      </c>
      <c r="AA4890" s="2">
        <v>0</v>
      </c>
      <c r="AB4890" s="2">
        <v>0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  <c r="AM4890" s="2">
        <v>15.01</v>
      </c>
      <c r="AN4890" s="2">
        <v>0</v>
      </c>
      <c r="AO4890" s="2">
        <v>0</v>
      </c>
      <c r="AP4890" s="2">
        <v>0</v>
      </c>
      <c r="AQ4890" s="2">
        <v>0</v>
      </c>
      <c r="AR4890" s="2">
        <v>0</v>
      </c>
      <c r="AS4890" s="2">
        <v>0</v>
      </c>
      <c r="AT4890" s="2">
        <v>0</v>
      </c>
      <c r="AU4890" s="2">
        <v>0</v>
      </c>
      <c r="AV4890" s="2">
        <v>0</v>
      </c>
      <c r="AW4890" s="2">
        <v>0</v>
      </c>
      <c r="AX4890" s="2">
        <v>0</v>
      </c>
      <c r="AY4890" s="2">
        <v>0</v>
      </c>
      <c r="AZ4890" s="2">
        <v>0</v>
      </c>
      <c r="BA4890" s="2">
        <v>0</v>
      </c>
      <c r="BB4890" s="2">
        <v>0</v>
      </c>
      <c r="BC4890" s="2">
        <v>0</v>
      </c>
      <c r="BD4890" s="2">
        <v>0</v>
      </c>
      <c r="BE4890" s="2">
        <v>0</v>
      </c>
      <c r="BF4890" s="2">
        <v>0</v>
      </c>
      <c r="BG4890" s="2">
        <v>0</v>
      </c>
      <c r="BH4890" s="2">
        <v>2</v>
      </c>
      <c r="BI4890" s="2">
        <v>7.2</v>
      </c>
      <c r="BJ4890" s="2">
        <v>5.7</v>
      </c>
      <c r="BK4890" s="2">
        <v>7.5</v>
      </c>
      <c r="BL4890" s="2">
        <v>155.41</v>
      </c>
      <c r="BM4890" s="2">
        <v>21.76</v>
      </c>
      <c r="BN4890" s="2">
        <v>177.17</v>
      </c>
      <c r="BO4890" s="2">
        <v>177.17</v>
      </c>
      <c r="BP4890" s="2"/>
      <c r="BQ4890" s="2" t="s">
        <v>108</v>
      </c>
      <c r="BR4890" s="2" t="s">
        <v>84</v>
      </c>
      <c r="BS4890" s="3">
        <v>42955</v>
      </c>
      <c r="BT4890" s="4">
        <v>0.50902777777777775</v>
      </c>
      <c r="BU4890" s="2" t="s">
        <v>509</v>
      </c>
      <c r="BV4890" s="2" t="s">
        <v>95</v>
      </c>
      <c r="BW4890" s="2"/>
      <c r="BX4890" s="2"/>
      <c r="BY4890" s="2">
        <v>28310.48</v>
      </c>
      <c r="BZ4890" s="2"/>
      <c r="CA4890" s="2" t="s">
        <v>460</v>
      </c>
      <c r="CB4890" s="2"/>
      <c r="CC4890" s="2" t="s">
        <v>417</v>
      </c>
      <c r="CD4890" s="2">
        <v>7646</v>
      </c>
      <c r="CE4890" s="2" t="s">
        <v>4263</v>
      </c>
      <c r="CF4890" s="5">
        <v>42955</v>
      </c>
      <c r="CG4890" s="2"/>
      <c r="CH4890" s="2"/>
      <c r="CI4890" s="2">
        <v>1</v>
      </c>
      <c r="CJ4890" s="2">
        <v>1</v>
      </c>
      <c r="CK4890" s="2">
        <v>21</v>
      </c>
      <c r="CL4890" s="2" t="s">
        <v>86</v>
      </c>
      <c r="CM4890" s="2"/>
    </row>
    <row r="4891" spans="1:91">
      <c r="A4891" s="2" t="s">
        <v>71</v>
      </c>
      <c r="B4891" s="2" t="s">
        <v>72</v>
      </c>
      <c r="C4891" s="2" t="s">
        <v>73</v>
      </c>
      <c r="D4891" s="2"/>
      <c r="E4891" s="2" t="str">
        <f>"FES1162567555"</f>
        <v>FES1162567555</v>
      </c>
      <c r="F4891" s="3">
        <v>42954</v>
      </c>
      <c r="G4891" s="2">
        <v>201802</v>
      </c>
      <c r="H4891" s="2" t="s">
        <v>74</v>
      </c>
      <c r="I4891" s="2" t="s">
        <v>75</v>
      </c>
      <c r="J4891" s="2" t="s">
        <v>76</v>
      </c>
      <c r="K4891" s="2" t="s">
        <v>77</v>
      </c>
      <c r="L4891" s="2" t="s">
        <v>723</v>
      </c>
      <c r="M4891" s="2" t="s">
        <v>724</v>
      </c>
      <c r="N4891" s="2" t="s">
        <v>2327</v>
      </c>
      <c r="O4891" s="2" t="s">
        <v>100</v>
      </c>
      <c r="P4891" s="2" t="str">
        <f>"2170583702                    "</f>
        <v xml:space="preserve">2170583702                    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0</v>
      </c>
      <c r="Y4891" s="2">
        <v>0</v>
      </c>
      <c r="Z4891" s="2">
        <v>0</v>
      </c>
      <c r="AA4891" s="2">
        <v>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  <c r="AM4891" s="2">
        <v>5.63</v>
      </c>
      <c r="AN4891" s="2">
        <v>0</v>
      </c>
      <c r="AO4891" s="2">
        <v>0</v>
      </c>
      <c r="AP4891" s="2">
        <v>0</v>
      </c>
      <c r="AQ4891" s="2">
        <v>0</v>
      </c>
      <c r="AR4891" s="2">
        <v>0</v>
      </c>
      <c r="AS4891" s="2">
        <v>0</v>
      </c>
      <c r="AT4891" s="2">
        <v>0</v>
      </c>
      <c r="AU4891" s="2">
        <v>0</v>
      </c>
      <c r="AV4891" s="2">
        <v>0</v>
      </c>
      <c r="AW4891" s="2">
        <v>0</v>
      </c>
      <c r="AX4891" s="2">
        <v>0</v>
      </c>
      <c r="AY4891" s="2">
        <v>0</v>
      </c>
      <c r="AZ4891" s="2">
        <v>0</v>
      </c>
      <c r="BA4891" s="2">
        <v>0</v>
      </c>
      <c r="BB4891" s="2">
        <v>0</v>
      </c>
      <c r="BC4891" s="2">
        <v>0</v>
      </c>
      <c r="BD4891" s="2">
        <v>0</v>
      </c>
      <c r="BE4891" s="2">
        <v>0</v>
      </c>
      <c r="BF4891" s="2">
        <v>0</v>
      </c>
      <c r="BG4891" s="2">
        <v>0</v>
      </c>
      <c r="BH4891" s="2">
        <v>1</v>
      </c>
      <c r="BI4891" s="2">
        <v>1</v>
      </c>
      <c r="BJ4891" s="2">
        <v>1</v>
      </c>
      <c r="BK4891" s="2">
        <v>1</v>
      </c>
      <c r="BL4891" s="2">
        <v>58.28</v>
      </c>
      <c r="BM4891" s="2">
        <v>8.16</v>
      </c>
      <c r="BN4891" s="2">
        <v>66.44</v>
      </c>
      <c r="BO4891" s="2">
        <v>66.44</v>
      </c>
      <c r="BP4891" s="2"/>
      <c r="BQ4891" s="2" t="s">
        <v>108</v>
      </c>
      <c r="BR4891" s="2" t="s">
        <v>84</v>
      </c>
      <c r="BS4891" s="3">
        <v>42955</v>
      </c>
      <c r="BT4891" s="4">
        <v>0.47152777777777777</v>
      </c>
      <c r="BU4891" s="2" t="s">
        <v>3063</v>
      </c>
      <c r="BV4891" s="2" t="s">
        <v>95</v>
      </c>
      <c r="BW4891" s="2"/>
      <c r="BX4891" s="2"/>
      <c r="BY4891" s="2">
        <v>5144.83</v>
      </c>
      <c r="BZ4891" s="2"/>
      <c r="CA4891" s="2" t="s">
        <v>4264</v>
      </c>
      <c r="CB4891" s="2"/>
      <c r="CC4891" s="2" t="s">
        <v>724</v>
      </c>
      <c r="CD4891" s="2">
        <v>1739</v>
      </c>
      <c r="CE4891" s="2" t="s">
        <v>104</v>
      </c>
      <c r="CF4891" s="5">
        <v>42957</v>
      </c>
      <c r="CG4891" s="2"/>
      <c r="CH4891" s="2"/>
      <c r="CI4891" s="2">
        <v>1</v>
      </c>
      <c r="CJ4891" s="2">
        <v>1</v>
      </c>
      <c r="CK4891" s="2">
        <v>24</v>
      </c>
      <c r="CL4891" s="2" t="s">
        <v>86</v>
      </c>
      <c r="CM4891" s="2"/>
    </row>
    <row r="4892" spans="1:91">
      <c r="A4892" s="2" t="s">
        <v>71</v>
      </c>
      <c r="B4892" s="2" t="s">
        <v>72</v>
      </c>
      <c r="C4892" s="2" t="s">
        <v>73</v>
      </c>
      <c r="D4892" s="2"/>
      <c r="E4892" s="2" t="str">
        <f>"FES1162567513"</f>
        <v>FES1162567513</v>
      </c>
      <c r="F4892" s="3">
        <v>42954</v>
      </c>
      <c r="G4892" s="2">
        <v>201802</v>
      </c>
      <c r="H4892" s="2" t="s">
        <v>74</v>
      </c>
      <c r="I4892" s="2" t="s">
        <v>75</v>
      </c>
      <c r="J4892" s="2" t="s">
        <v>76</v>
      </c>
      <c r="K4892" s="2" t="s">
        <v>77</v>
      </c>
      <c r="L4892" s="2" t="s">
        <v>105</v>
      </c>
      <c r="M4892" s="2" t="s">
        <v>106</v>
      </c>
      <c r="N4892" s="2" t="s">
        <v>4265</v>
      </c>
      <c r="O4892" s="2" t="s">
        <v>100</v>
      </c>
      <c r="P4892" s="2" t="str">
        <f>"2170579703                    "</f>
        <v xml:space="preserve">2170579703                    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2">
        <v>0</v>
      </c>
      <c r="Z4892" s="2">
        <v>0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6</v>
      </c>
      <c r="AN4892" s="2">
        <v>0</v>
      </c>
      <c r="AO4892" s="2">
        <v>0</v>
      </c>
      <c r="AP4892" s="2">
        <v>0</v>
      </c>
      <c r="AQ4892" s="2">
        <v>0</v>
      </c>
      <c r="AR4892" s="2">
        <v>0</v>
      </c>
      <c r="AS4892" s="2">
        <v>0</v>
      </c>
      <c r="AT4892" s="2">
        <v>0</v>
      </c>
      <c r="AU4892" s="2">
        <v>0</v>
      </c>
      <c r="AV4892" s="2">
        <v>0</v>
      </c>
      <c r="AW4892" s="2">
        <v>0</v>
      </c>
      <c r="AX4892" s="2">
        <v>0</v>
      </c>
      <c r="AY4892" s="2">
        <v>0</v>
      </c>
      <c r="AZ4892" s="2">
        <v>0</v>
      </c>
      <c r="BA4892" s="2">
        <v>0</v>
      </c>
      <c r="BB4892" s="2">
        <v>0</v>
      </c>
      <c r="BC4892" s="2">
        <v>0</v>
      </c>
      <c r="BD4892" s="2">
        <v>0</v>
      </c>
      <c r="BE4892" s="2">
        <v>0</v>
      </c>
      <c r="BF4892" s="2">
        <v>0</v>
      </c>
      <c r="BG4892" s="2">
        <v>0</v>
      </c>
      <c r="BH4892" s="2">
        <v>1</v>
      </c>
      <c r="BI4892" s="2">
        <v>1.8</v>
      </c>
      <c r="BJ4892" s="2">
        <v>2.9</v>
      </c>
      <c r="BK4892" s="2">
        <v>3</v>
      </c>
      <c r="BL4892" s="2">
        <v>62.16</v>
      </c>
      <c r="BM4892" s="2">
        <v>8.6999999999999993</v>
      </c>
      <c r="BN4892" s="2">
        <v>70.86</v>
      </c>
      <c r="BO4892" s="2">
        <v>70.86</v>
      </c>
      <c r="BP4892" s="2"/>
      <c r="BQ4892" s="2" t="s">
        <v>288</v>
      </c>
      <c r="BR4892" s="2" t="s">
        <v>84</v>
      </c>
      <c r="BS4892" s="3">
        <v>42955</v>
      </c>
      <c r="BT4892" s="4">
        <v>0.35833333333333334</v>
      </c>
      <c r="BU4892" s="2" t="s">
        <v>4266</v>
      </c>
      <c r="BV4892" s="2" t="s">
        <v>95</v>
      </c>
      <c r="BW4892" s="2"/>
      <c r="BX4892" s="2"/>
      <c r="BY4892" s="2">
        <v>14397.75</v>
      </c>
      <c r="BZ4892" s="2"/>
      <c r="CA4892" s="2" t="s">
        <v>869</v>
      </c>
      <c r="CB4892" s="2"/>
      <c r="CC4892" s="2" t="s">
        <v>106</v>
      </c>
      <c r="CD4892" s="2">
        <v>7460</v>
      </c>
      <c r="CE4892" s="2" t="s">
        <v>89</v>
      </c>
      <c r="CF4892" s="5">
        <v>42957</v>
      </c>
      <c r="CG4892" s="2"/>
      <c r="CH4892" s="2"/>
      <c r="CI4892" s="2">
        <v>1</v>
      </c>
      <c r="CJ4892" s="2">
        <v>1</v>
      </c>
      <c r="CK4892" s="2">
        <v>21</v>
      </c>
      <c r="CL4892" s="2" t="s">
        <v>86</v>
      </c>
      <c r="CM4892" s="2"/>
    </row>
    <row r="4893" spans="1:91">
      <c r="A4893" s="2" t="s">
        <v>71</v>
      </c>
      <c r="B4893" s="2" t="s">
        <v>72</v>
      </c>
      <c r="C4893" s="2" t="s">
        <v>73</v>
      </c>
      <c r="D4893" s="2"/>
      <c r="E4893" s="2" t="str">
        <f>"FES1162567558"</f>
        <v>FES1162567558</v>
      </c>
      <c r="F4893" s="3">
        <v>42954</v>
      </c>
      <c r="G4893" s="2">
        <v>201802</v>
      </c>
      <c r="H4893" s="2" t="s">
        <v>74</v>
      </c>
      <c r="I4893" s="2" t="s">
        <v>75</v>
      </c>
      <c r="J4893" s="2" t="s">
        <v>76</v>
      </c>
      <c r="K4893" s="2" t="s">
        <v>77</v>
      </c>
      <c r="L4893" s="2" t="s">
        <v>74</v>
      </c>
      <c r="M4893" s="2" t="s">
        <v>75</v>
      </c>
      <c r="N4893" s="2" t="s">
        <v>1815</v>
      </c>
      <c r="O4893" s="2" t="s">
        <v>100</v>
      </c>
      <c r="P4893" s="2" t="str">
        <f>"2170583706                    "</f>
        <v xml:space="preserve">2170583706                    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0</v>
      </c>
      <c r="Y4893" s="2">
        <v>0</v>
      </c>
      <c r="Z4893" s="2">
        <v>0</v>
      </c>
      <c r="AA4893" s="2">
        <v>0</v>
      </c>
      <c r="AB4893" s="2">
        <v>0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0</v>
      </c>
      <c r="AI4893" s="2">
        <v>0</v>
      </c>
      <c r="AJ4893" s="2">
        <v>0</v>
      </c>
      <c r="AK4893" s="2">
        <v>0</v>
      </c>
      <c r="AL4893" s="2">
        <v>0</v>
      </c>
      <c r="AM4893" s="2">
        <v>3.13</v>
      </c>
      <c r="AN4893" s="2">
        <v>0</v>
      </c>
      <c r="AO4893" s="2">
        <v>0</v>
      </c>
      <c r="AP4893" s="2">
        <v>0</v>
      </c>
      <c r="AQ4893" s="2">
        <v>0</v>
      </c>
      <c r="AR4893" s="2">
        <v>0</v>
      </c>
      <c r="AS4893" s="2">
        <v>0</v>
      </c>
      <c r="AT4893" s="2">
        <v>0</v>
      </c>
      <c r="AU4893" s="2">
        <v>0</v>
      </c>
      <c r="AV4893" s="2">
        <v>0</v>
      </c>
      <c r="AW4893" s="2">
        <v>0</v>
      </c>
      <c r="AX4893" s="2">
        <v>0</v>
      </c>
      <c r="AY4893" s="2">
        <v>0</v>
      </c>
      <c r="AZ4893" s="2">
        <v>0</v>
      </c>
      <c r="BA4893" s="2">
        <v>0</v>
      </c>
      <c r="BB4893" s="2">
        <v>0</v>
      </c>
      <c r="BC4893" s="2">
        <v>0</v>
      </c>
      <c r="BD4893" s="2">
        <v>0</v>
      </c>
      <c r="BE4893" s="2">
        <v>0</v>
      </c>
      <c r="BF4893" s="2">
        <v>0</v>
      </c>
      <c r="BG4893" s="2">
        <v>0</v>
      </c>
      <c r="BH4893" s="2">
        <v>1</v>
      </c>
      <c r="BI4893" s="2">
        <v>0.7</v>
      </c>
      <c r="BJ4893" s="2">
        <v>2.5</v>
      </c>
      <c r="BK4893" s="2">
        <v>3</v>
      </c>
      <c r="BL4893" s="2">
        <v>32.380000000000003</v>
      </c>
      <c r="BM4893" s="2">
        <v>4.53</v>
      </c>
      <c r="BN4893" s="2">
        <v>36.909999999999997</v>
      </c>
      <c r="BO4893" s="2">
        <v>36.909999999999997</v>
      </c>
      <c r="BP4893" s="2"/>
      <c r="BQ4893" s="2" t="s">
        <v>3896</v>
      </c>
      <c r="BR4893" s="2" t="s">
        <v>84</v>
      </c>
      <c r="BS4893" s="3">
        <v>42955</v>
      </c>
      <c r="BT4893" s="4">
        <v>0.34583333333333338</v>
      </c>
      <c r="BU4893" s="2" t="s">
        <v>2186</v>
      </c>
      <c r="BV4893" s="2" t="s">
        <v>95</v>
      </c>
      <c r="BW4893" s="2"/>
      <c r="BX4893" s="2"/>
      <c r="BY4893" s="2">
        <v>12705</v>
      </c>
      <c r="BZ4893" s="2"/>
      <c r="CA4893" s="2" t="s">
        <v>953</v>
      </c>
      <c r="CB4893" s="2"/>
      <c r="CC4893" s="2" t="s">
        <v>75</v>
      </c>
      <c r="CD4893" s="2">
        <v>1601</v>
      </c>
      <c r="CE4893" s="2" t="s">
        <v>104</v>
      </c>
      <c r="CF4893" s="5">
        <v>42957</v>
      </c>
      <c r="CG4893" s="2"/>
      <c r="CH4893" s="2"/>
      <c r="CI4893" s="2">
        <v>1</v>
      </c>
      <c r="CJ4893" s="2">
        <v>1</v>
      </c>
      <c r="CK4893" s="2">
        <v>22</v>
      </c>
      <c r="CL4893" s="2" t="s">
        <v>86</v>
      </c>
      <c r="CM4893" s="2"/>
    </row>
    <row r="4894" spans="1:91">
      <c r="A4894" s="2" t="s">
        <v>71</v>
      </c>
      <c r="B4894" s="2" t="s">
        <v>72</v>
      </c>
      <c r="C4894" s="2" t="s">
        <v>73</v>
      </c>
      <c r="D4894" s="2"/>
      <c r="E4894" s="2" t="str">
        <f>"FES1162567573"</f>
        <v>FES1162567573</v>
      </c>
      <c r="F4894" s="3">
        <v>42954</v>
      </c>
      <c r="G4894" s="2">
        <v>201802</v>
      </c>
      <c r="H4894" s="2" t="s">
        <v>74</v>
      </c>
      <c r="I4894" s="2" t="s">
        <v>75</v>
      </c>
      <c r="J4894" s="2" t="s">
        <v>76</v>
      </c>
      <c r="K4894" s="2" t="s">
        <v>77</v>
      </c>
      <c r="L4894" s="2" t="s">
        <v>221</v>
      </c>
      <c r="M4894" s="2" t="s">
        <v>222</v>
      </c>
      <c r="N4894" s="2" t="s">
        <v>1275</v>
      </c>
      <c r="O4894" s="2" t="s">
        <v>100</v>
      </c>
      <c r="P4894" s="2" t="str">
        <f>"2170583717                    "</f>
        <v xml:space="preserve">2170583717                    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0</v>
      </c>
      <c r="Y4894" s="2">
        <v>0</v>
      </c>
      <c r="Z4894" s="2">
        <v>0</v>
      </c>
      <c r="AA4894" s="2">
        <v>0</v>
      </c>
      <c r="AB4894" s="2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0</v>
      </c>
      <c r="AL4894" s="2">
        <v>0</v>
      </c>
      <c r="AM4894" s="2">
        <v>4</v>
      </c>
      <c r="AN4894" s="2">
        <v>0</v>
      </c>
      <c r="AO4894" s="2">
        <v>0</v>
      </c>
      <c r="AP4894" s="2">
        <v>0</v>
      </c>
      <c r="AQ4894" s="2">
        <v>0</v>
      </c>
      <c r="AR4894" s="2">
        <v>0</v>
      </c>
      <c r="AS4894" s="2">
        <v>0</v>
      </c>
      <c r="AT4894" s="2">
        <v>0</v>
      </c>
      <c r="AU4894" s="2">
        <v>0</v>
      </c>
      <c r="AV4894" s="2">
        <v>0</v>
      </c>
      <c r="AW4894" s="2">
        <v>0</v>
      </c>
      <c r="AX4894" s="2">
        <v>0</v>
      </c>
      <c r="AY4894" s="2">
        <v>0</v>
      </c>
      <c r="AZ4894" s="2">
        <v>0</v>
      </c>
      <c r="BA4894" s="2">
        <v>0</v>
      </c>
      <c r="BB4894" s="2">
        <v>0</v>
      </c>
      <c r="BC4894" s="2">
        <v>0</v>
      </c>
      <c r="BD4894" s="2">
        <v>0</v>
      </c>
      <c r="BE4894" s="2">
        <v>0</v>
      </c>
      <c r="BF4894" s="2">
        <v>0</v>
      </c>
      <c r="BG4894" s="2">
        <v>0</v>
      </c>
      <c r="BH4894" s="2">
        <v>1</v>
      </c>
      <c r="BI4894" s="2">
        <v>1</v>
      </c>
      <c r="BJ4894" s="2">
        <v>0.2</v>
      </c>
      <c r="BK4894" s="2">
        <v>1</v>
      </c>
      <c r="BL4894" s="2">
        <v>41.44</v>
      </c>
      <c r="BM4894" s="2">
        <v>5.8</v>
      </c>
      <c r="BN4894" s="2">
        <v>47.24</v>
      </c>
      <c r="BO4894" s="2">
        <v>47.24</v>
      </c>
      <c r="BP4894" s="2"/>
      <c r="BQ4894" s="2" t="s">
        <v>1534</v>
      </c>
      <c r="BR4894" s="2" t="s">
        <v>84</v>
      </c>
      <c r="BS4894" s="3">
        <v>42955</v>
      </c>
      <c r="BT4894" s="4">
        <v>0.39930555555555558</v>
      </c>
      <c r="BU4894" s="2" t="s">
        <v>2659</v>
      </c>
      <c r="BV4894" s="2" t="s">
        <v>95</v>
      </c>
      <c r="BW4894" s="2"/>
      <c r="BX4894" s="2"/>
      <c r="BY4894" s="2">
        <v>1200</v>
      </c>
      <c r="BZ4894" s="2"/>
      <c r="CA4894" s="2" t="s">
        <v>1536</v>
      </c>
      <c r="CB4894" s="2"/>
      <c r="CC4894" s="2" t="s">
        <v>222</v>
      </c>
      <c r="CD4894" s="2">
        <v>4300</v>
      </c>
      <c r="CE4894" s="2" t="s">
        <v>104</v>
      </c>
      <c r="CF4894" s="5">
        <v>42957</v>
      </c>
      <c r="CG4894" s="2"/>
      <c r="CH4894" s="2"/>
      <c r="CI4894" s="2">
        <v>1</v>
      </c>
      <c r="CJ4894" s="2">
        <v>1</v>
      </c>
      <c r="CK4894" s="2">
        <v>21</v>
      </c>
      <c r="CL4894" s="2" t="s">
        <v>86</v>
      </c>
      <c r="CM4894" s="2"/>
    </row>
    <row r="4895" spans="1:91">
      <c r="A4895" s="2" t="s">
        <v>71</v>
      </c>
      <c r="B4895" s="2" t="s">
        <v>72</v>
      </c>
      <c r="C4895" s="2" t="s">
        <v>73</v>
      </c>
      <c r="D4895" s="2"/>
      <c r="E4895" s="2" t="str">
        <f>"FES1162567380"</f>
        <v>FES1162567380</v>
      </c>
      <c r="F4895" s="3">
        <v>42954</v>
      </c>
      <c r="G4895" s="2">
        <v>201802</v>
      </c>
      <c r="H4895" s="2" t="s">
        <v>74</v>
      </c>
      <c r="I4895" s="2" t="s">
        <v>75</v>
      </c>
      <c r="J4895" s="2" t="s">
        <v>76</v>
      </c>
      <c r="K4895" s="2" t="s">
        <v>77</v>
      </c>
      <c r="L4895" s="2" t="s">
        <v>343</v>
      </c>
      <c r="M4895" s="2" t="s">
        <v>344</v>
      </c>
      <c r="N4895" s="2" t="s">
        <v>1818</v>
      </c>
      <c r="O4895" s="2" t="s">
        <v>100</v>
      </c>
      <c r="P4895" s="2" t="str">
        <f>"2170583541                    "</f>
        <v xml:space="preserve">2170583541                    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2">
        <v>0</v>
      </c>
      <c r="Z4895" s="2">
        <v>0</v>
      </c>
      <c r="AA4895" s="2">
        <v>0</v>
      </c>
      <c r="AB4895" s="2">
        <v>0</v>
      </c>
      <c r="AC4895" s="2">
        <v>0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0</v>
      </c>
      <c r="AL4895" s="2">
        <v>0</v>
      </c>
      <c r="AM4895" s="2">
        <v>5</v>
      </c>
      <c r="AN4895" s="2">
        <v>0</v>
      </c>
      <c r="AO4895" s="2">
        <v>0</v>
      </c>
      <c r="AP4895" s="2">
        <v>0</v>
      </c>
      <c r="AQ4895" s="2">
        <v>0</v>
      </c>
      <c r="AR4895" s="2">
        <v>0</v>
      </c>
      <c r="AS4895" s="2">
        <v>0</v>
      </c>
      <c r="AT4895" s="2">
        <v>0</v>
      </c>
      <c r="AU4895" s="2">
        <v>0</v>
      </c>
      <c r="AV4895" s="2">
        <v>0</v>
      </c>
      <c r="AW4895" s="2">
        <v>0</v>
      </c>
      <c r="AX4895" s="2">
        <v>0</v>
      </c>
      <c r="AY4895" s="2">
        <v>0</v>
      </c>
      <c r="AZ4895" s="2">
        <v>0</v>
      </c>
      <c r="BA4895" s="2">
        <v>0</v>
      </c>
      <c r="BB4895" s="2">
        <v>0</v>
      </c>
      <c r="BC4895" s="2">
        <v>0</v>
      </c>
      <c r="BD4895" s="2">
        <v>0</v>
      </c>
      <c r="BE4895" s="2">
        <v>0</v>
      </c>
      <c r="BF4895" s="2">
        <v>0</v>
      </c>
      <c r="BG4895" s="2">
        <v>0</v>
      </c>
      <c r="BH4895" s="2">
        <v>1</v>
      </c>
      <c r="BI4895" s="2">
        <v>1.5</v>
      </c>
      <c r="BJ4895" s="2">
        <v>2.4</v>
      </c>
      <c r="BK4895" s="2">
        <v>2.5</v>
      </c>
      <c r="BL4895" s="2">
        <v>51.8</v>
      </c>
      <c r="BM4895" s="2">
        <v>7.25</v>
      </c>
      <c r="BN4895" s="2">
        <v>59.05</v>
      </c>
      <c r="BO4895" s="2">
        <v>59.05</v>
      </c>
      <c r="BP4895" s="2"/>
      <c r="BQ4895" s="2" t="s">
        <v>83</v>
      </c>
      <c r="BR4895" s="2" t="s">
        <v>84</v>
      </c>
      <c r="BS4895" s="3">
        <v>42955</v>
      </c>
      <c r="BT4895" s="4">
        <v>0.40763888888888888</v>
      </c>
      <c r="BU4895" s="2" t="s">
        <v>4267</v>
      </c>
      <c r="BV4895" s="2" t="s">
        <v>95</v>
      </c>
      <c r="BW4895" s="2"/>
      <c r="BX4895" s="2"/>
      <c r="BY4895" s="2">
        <v>11751.17</v>
      </c>
      <c r="BZ4895" s="2"/>
      <c r="CA4895" s="2" t="s">
        <v>347</v>
      </c>
      <c r="CB4895" s="2"/>
      <c r="CC4895" s="2" t="s">
        <v>344</v>
      </c>
      <c r="CD4895" s="2">
        <v>4113</v>
      </c>
      <c r="CE4895" s="2" t="s">
        <v>89</v>
      </c>
      <c r="CF4895" s="5">
        <v>42957</v>
      </c>
      <c r="CG4895" s="2"/>
      <c r="CH4895" s="2"/>
      <c r="CI4895" s="2">
        <v>1</v>
      </c>
      <c r="CJ4895" s="2">
        <v>1</v>
      </c>
      <c r="CK4895" s="2">
        <v>21</v>
      </c>
      <c r="CL4895" s="2" t="s">
        <v>86</v>
      </c>
      <c r="CM4895" s="2"/>
    </row>
    <row r="4896" spans="1:91">
      <c r="A4896" s="2" t="s">
        <v>71</v>
      </c>
      <c r="B4896" s="2" t="s">
        <v>72</v>
      </c>
      <c r="C4896" s="2" t="s">
        <v>73</v>
      </c>
      <c r="D4896" s="2"/>
      <c r="E4896" s="2" t="str">
        <f>"FES1162567467"</f>
        <v>FES1162567467</v>
      </c>
      <c r="F4896" s="3">
        <v>42954</v>
      </c>
      <c r="G4896" s="2">
        <v>201802</v>
      </c>
      <c r="H4896" s="2" t="s">
        <v>74</v>
      </c>
      <c r="I4896" s="2" t="s">
        <v>75</v>
      </c>
      <c r="J4896" s="2" t="s">
        <v>76</v>
      </c>
      <c r="K4896" s="2" t="s">
        <v>77</v>
      </c>
      <c r="L4896" s="2" t="s">
        <v>105</v>
      </c>
      <c r="M4896" s="2" t="s">
        <v>106</v>
      </c>
      <c r="N4896" s="2" t="s">
        <v>287</v>
      </c>
      <c r="O4896" s="2" t="s">
        <v>100</v>
      </c>
      <c r="P4896" s="2" t="str">
        <f>"2170583628                    "</f>
        <v xml:space="preserve">2170583628                    </v>
      </c>
      <c r="Q4896" s="2">
        <v>0</v>
      </c>
      <c r="R4896" s="2">
        <v>0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0</v>
      </c>
      <c r="Y4896" s="2">
        <v>0</v>
      </c>
      <c r="Z4896" s="2">
        <v>0</v>
      </c>
      <c r="AA4896" s="2">
        <v>0</v>
      </c>
      <c r="AB4896" s="2">
        <v>0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  <c r="AM4896" s="2">
        <v>23.01</v>
      </c>
      <c r="AN4896" s="2">
        <v>0</v>
      </c>
      <c r="AO4896" s="2">
        <v>0</v>
      </c>
      <c r="AP4896" s="2">
        <v>0</v>
      </c>
      <c r="AQ4896" s="2">
        <v>0</v>
      </c>
      <c r="AR4896" s="2">
        <v>0</v>
      </c>
      <c r="AS4896" s="2">
        <v>0</v>
      </c>
      <c r="AT4896" s="2">
        <v>0</v>
      </c>
      <c r="AU4896" s="2">
        <v>0</v>
      </c>
      <c r="AV4896" s="2">
        <v>0</v>
      </c>
      <c r="AW4896" s="2">
        <v>0</v>
      </c>
      <c r="AX4896" s="2">
        <v>0</v>
      </c>
      <c r="AY4896" s="2">
        <v>0</v>
      </c>
      <c r="AZ4896" s="2">
        <v>0</v>
      </c>
      <c r="BA4896" s="2">
        <v>0</v>
      </c>
      <c r="BB4896" s="2">
        <v>0</v>
      </c>
      <c r="BC4896" s="2">
        <v>0</v>
      </c>
      <c r="BD4896" s="2">
        <v>0</v>
      </c>
      <c r="BE4896" s="2">
        <v>0</v>
      </c>
      <c r="BF4896" s="2">
        <v>0</v>
      </c>
      <c r="BG4896" s="2">
        <v>0</v>
      </c>
      <c r="BH4896" s="2">
        <v>3</v>
      </c>
      <c r="BI4896" s="2">
        <v>11.2</v>
      </c>
      <c r="BJ4896" s="2">
        <v>4.2</v>
      </c>
      <c r="BK4896" s="2">
        <v>11.5</v>
      </c>
      <c r="BL4896" s="2">
        <v>238.29</v>
      </c>
      <c r="BM4896" s="2">
        <v>33.36</v>
      </c>
      <c r="BN4896" s="2">
        <v>271.64999999999998</v>
      </c>
      <c r="BO4896" s="2">
        <v>271.64999999999998</v>
      </c>
      <c r="BP4896" s="2"/>
      <c r="BQ4896" s="2" t="s">
        <v>4039</v>
      </c>
      <c r="BR4896" s="2" t="s">
        <v>84</v>
      </c>
      <c r="BS4896" s="3">
        <v>42955</v>
      </c>
      <c r="BT4896" s="4">
        <v>0.43333333333333335</v>
      </c>
      <c r="BU4896" s="2" t="s">
        <v>4268</v>
      </c>
      <c r="BV4896" s="2" t="s">
        <v>95</v>
      </c>
      <c r="BW4896" s="2"/>
      <c r="BX4896" s="2"/>
      <c r="BY4896" s="2">
        <v>20793.89</v>
      </c>
      <c r="BZ4896" s="2"/>
      <c r="CA4896" s="2" t="s">
        <v>291</v>
      </c>
      <c r="CB4896" s="2"/>
      <c r="CC4896" s="2" t="s">
        <v>106</v>
      </c>
      <c r="CD4896" s="2">
        <v>7441</v>
      </c>
      <c r="CE4896" s="2" t="s">
        <v>89</v>
      </c>
      <c r="CF4896" s="5">
        <v>42957</v>
      </c>
      <c r="CG4896" s="2"/>
      <c r="CH4896" s="2"/>
      <c r="CI4896" s="2">
        <v>1</v>
      </c>
      <c r="CJ4896" s="2">
        <v>1</v>
      </c>
      <c r="CK4896" s="2">
        <v>21</v>
      </c>
      <c r="CL4896" s="2" t="s">
        <v>86</v>
      </c>
      <c r="CM4896" s="2"/>
    </row>
    <row r="4897" spans="1:91">
      <c r="A4897" s="2" t="s">
        <v>71</v>
      </c>
      <c r="B4897" s="2" t="s">
        <v>72</v>
      </c>
      <c r="C4897" s="2" t="s">
        <v>73</v>
      </c>
      <c r="D4897" s="2"/>
      <c r="E4897" s="2" t="str">
        <f>"FES1162567604"</f>
        <v>FES1162567604</v>
      </c>
      <c r="F4897" s="3">
        <v>42954</v>
      </c>
      <c r="G4897" s="2">
        <v>201802</v>
      </c>
      <c r="H4897" s="2" t="s">
        <v>74</v>
      </c>
      <c r="I4897" s="2" t="s">
        <v>75</v>
      </c>
      <c r="J4897" s="2" t="s">
        <v>76</v>
      </c>
      <c r="K4897" s="2" t="s">
        <v>77</v>
      </c>
      <c r="L4897" s="2" t="s">
        <v>1202</v>
      </c>
      <c r="M4897" s="2" t="s">
        <v>1203</v>
      </c>
      <c r="N4897" s="2" t="s">
        <v>4269</v>
      </c>
      <c r="O4897" s="2" t="s">
        <v>100</v>
      </c>
      <c r="P4897" s="2" t="str">
        <f>"2170583752                    "</f>
        <v xml:space="preserve">2170583752                    </v>
      </c>
      <c r="Q4897" s="2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0</v>
      </c>
      <c r="W4897" s="2">
        <v>0</v>
      </c>
      <c r="X4897" s="2">
        <v>0</v>
      </c>
      <c r="Y4897" s="2">
        <v>0</v>
      </c>
      <c r="Z4897" s="2">
        <v>0</v>
      </c>
      <c r="AA4897" s="2">
        <v>0</v>
      </c>
      <c r="AB4897" s="2">
        <v>0</v>
      </c>
      <c r="AC4897" s="2">
        <v>0</v>
      </c>
      <c r="AD4897" s="2">
        <v>0</v>
      </c>
      <c r="AE4897" s="2">
        <v>0</v>
      </c>
      <c r="AF4897" s="2">
        <v>0</v>
      </c>
      <c r="AG4897" s="2">
        <v>0</v>
      </c>
      <c r="AH4897" s="2">
        <v>0</v>
      </c>
      <c r="AI4897" s="2">
        <v>0</v>
      </c>
      <c r="AJ4897" s="2">
        <v>0</v>
      </c>
      <c r="AK4897" s="2">
        <v>0</v>
      </c>
      <c r="AL4897" s="2">
        <v>0</v>
      </c>
      <c r="AM4897" s="2">
        <v>3.13</v>
      </c>
      <c r="AN4897" s="2">
        <v>0</v>
      </c>
      <c r="AO4897" s="2">
        <v>0</v>
      </c>
      <c r="AP4897" s="2">
        <v>0</v>
      </c>
      <c r="AQ4897" s="2">
        <v>0</v>
      </c>
      <c r="AR4897" s="2">
        <v>0</v>
      </c>
      <c r="AS4897" s="2">
        <v>0</v>
      </c>
      <c r="AT4897" s="2">
        <v>0</v>
      </c>
      <c r="AU4897" s="2">
        <v>0</v>
      </c>
      <c r="AV4897" s="2">
        <v>0</v>
      </c>
      <c r="AW4897" s="2">
        <v>0</v>
      </c>
      <c r="AX4897" s="2">
        <v>0</v>
      </c>
      <c r="AY4897" s="2">
        <v>0</v>
      </c>
      <c r="AZ4897" s="2">
        <v>0</v>
      </c>
      <c r="BA4897" s="2">
        <v>0</v>
      </c>
      <c r="BB4897" s="2">
        <v>0</v>
      </c>
      <c r="BC4897" s="2">
        <v>0</v>
      </c>
      <c r="BD4897" s="2">
        <v>0</v>
      </c>
      <c r="BE4897" s="2">
        <v>0</v>
      </c>
      <c r="BF4897" s="2">
        <v>0</v>
      </c>
      <c r="BG4897" s="2">
        <v>0</v>
      </c>
      <c r="BH4897" s="2">
        <v>1</v>
      </c>
      <c r="BI4897" s="2">
        <v>1.8</v>
      </c>
      <c r="BJ4897" s="2">
        <v>1.7</v>
      </c>
      <c r="BK4897" s="2">
        <v>2</v>
      </c>
      <c r="BL4897" s="2">
        <v>32.380000000000003</v>
      </c>
      <c r="BM4897" s="2">
        <v>4.53</v>
      </c>
      <c r="BN4897" s="2">
        <v>36.909999999999997</v>
      </c>
      <c r="BO4897" s="2">
        <v>36.909999999999997</v>
      </c>
      <c r="BP4897" s="2"/>
      <c r="BQ4897" s="2" t="s">
        <v>288</v>
      </c>
      <c r="BR4897" s="2" t="s">
        <v>84</v>
      </c>
      <c r="BS4897" s="3">
        <v>42955</v>
      </c>
      <c r="BT4897" s="4">
        <v>0.4993055555555555</v>
      </c>
      <c r="BU4897" s="2" t="s">
        <v>1378</v>
      </c>
      <c r="BV4897" s="2" t="s">
        <v>86</v>
      </c>
      <c r="BW4897" s="2" t="s">
        <v>110</v>
      </c>
      <c r="BX4897" s="2" t="s">
        <v>1150</v>
      </c>
      <c r="BY4897" s="2">
        <v>8279.91</v>
      </c>
      <c r="BZ4897" s="2"/>
      <c r="CA4897" s="2"/>
      <c r="CB4897" s="2"/>
      <c r="CC4897" s="2" t="s">
        <v>1203</v>
      </c>
      <c r="CD4897" s="2">
        <v>1508</v>
      </c>
      <c r="CE4897" s="2" t="s">
        <v>89</v>
      </c>
      <c r="CF4897" s="5">
        <v>42957</v>
      </c>
      <c r="CG4897" s="2"/>
      <c r="CH4897" s="2"/>
      <c r="CI4897" s="2">
        <v>1</v>
      </c>
      <c r="CJ4897" s="2">
        <v>1</v>
      </c>
      <c r="CK4897" s="2">
        <v>22</v>
      </c>
      <c r="CL4897" s="2" t="s">
        <v>86</v>
      </c>
      <c r="CM4897" s="2"/>
    </row>
    <row r="4898" spans="1:91">
      <c r="A4898" s="2" t="s">
        <v>71</v>
      </c>
      <c r="B4898" s="2" t="s">
        <v>72</v>
      </c>
      <c r="C4898" s="2" t="s">
        <v>73</v>
      </c>
      <c r="D4898" s="2"/>
      <c r="E4898" s="2" t="str">
        <f>"FES1162567503"</f>
        <v>FES1162567503</v>
      </c>
      <c r="F4898" s="3">
        <v>42954</v>
      </c>
      <c r="G4898" s="2">
        <v>201802</v>
      </c>
      <c r="H4898" s="2" t="s">
        <v>74</v>
      </c>
      <c r="I4898" s="2" t="s">
        <v>75</v>
      </c>
      <c r="J4898" s="2" t="s">
        <v>76</v>
      </c>
      <c r="K4898" s="2" t="s">
        <v>77</v>
      </c>
      <c r="L4898" s="2" t="s">
        <v>97</v>
      </c>
      <c r="M4898" s="2" t="s">
        <v>98</v>
      </c>
      <c r="N4898" s="2" t="s">
        <v>248</v>
      </c>
      <c r="O4898" s="2" t="s">
        <v>100</v>
      </c>
      <c r="P4898" s="2" t="str">
        <f>"2170575087                    "</f>
        <v xml:space="preserve">2170575087                    </v>
      </c>
      <c r="Q4898" s="2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0</v>
      </c>
      <c r="Y4898" s="2">
        <v>0</v>
      </c>
      <c r="Z4898" s="2">
        <v>0</v>
      </c>
      <c r="AA4898" s="2">
        <v>0</v>
      </c>
      <c r="AB4898" s="2">
        <v>0</v>
      </c>
      <c r="AC4898" s="2">
        <v>0</v>
      </c>
      <c r="AD4898" s="2">
        <v>0</v>
      </c>
      <c r="AE4898" s="2">
        <v>0</v>
      </c>
      <c r="AF4898" s="2">
        <v>0</v>
      </c>
      <c r="AG4898" s="2">
        <v>0</v>
      </c>
      <c r="AH4898" s="2">
        <v>0</v>
      </c>
      <c r="AI4898" s="2">
        <v>0</v>
      </c>
      <c r="AJ4898" s="2">
        <v>0</v>
      </c>
      <c r="AK4898" s="2">
        <v>0</v>
      </c>
      <c r="AL4898" s="2">
        <v>0</v>
      </c>
      <c r="AM4898" s="2">
        <v>7</v>
      </c>
      <c r="AN4898" s="2">
        <v>0</v>
      </c>
      <c r="AO4898" s="2">
        <v>0</v>
      </c>
      <c r="AP4898" s="2">
        <v>0</v>
      </c>
      <c r="AQ4898" s="2">
        <v>0</v>
      </c>
      <c r="AR4898" s="2">
        <v>0</v>
      </c>
      <c r="AS4898" s="2">
        <v>0</v>
      </c>
      <c r="AT4898" s="2">
        <v>0</v>
      </c>
      <c r="AU4898" s="2">
        <v>0</v>
      </c>
      <c r="AV4898" s="2">
        <v>0</v>
      </c>
      <c r="AW4898" s="2">
        <v>0</v>
      </c>
      <c r="AX4898" s="2">
        <v>0</v>
      </c>
      <c r="AY4898" s="2">
        <v>0</v>
      </c>
      <c r="AZ4898" s="2">
        <v>0</v>
      </c>
      <c r="BA4898" s="2">
        <v>0</v>
      </c>
      <c r="BB4898" s="2">
        <v>0</v>
      </c>
      <c r="BC4898" s="2">
        <v>0</v>
      </c>
      <c r="BD4898" s="2">
        <v>0</v>
      </c>
      <c r="BE4898" s="2">
        <v>0</v>
      </c>
      <c r="BF4898" s="2">
        <v>0</v>
      </c>
      <c r="BG4898" s="2">
        <v>0</v>
      </c>
      <c r="BH4898" s="2">
        <v>1</v>
      </c>
      <c r="BI4898" s="2">
        <v>3.3</v>
      </c>
      <c r="BJ4898" s="2">
        <v>2.9</v>
      </c>
      <c r="BK4898" s="2">
        <v>3.5</v>
      </c>
      <c r="BL4898" s="2">
        <v>72.52</v>
      </c>
      <c r="BM4898" s="2">
        <v>10.15</v>
      </c>
      <c r="BN4898" s="2">
        <v>82.67</v>
      </c>
      <c r="BO4898" s="2">
        <v>82.67</v>
      </c>
      <c r="BP4898" s="2"/>
      <c r="BQ4898" s="2" t="s">
        <v>83</v>
      </c>
      <c r="BR4898" s="2" t="s">
        <v>84</v>
      </c>
      <c r="BS4898" s="3">
        <v>42955</v>
      </c>
      <c r="BT4898" s="4">
        <v>0.35416666666666669</v>
      </c>
      <c r="BU4898" s="2" t="s">
        <v>390</v>
      </c>
      <c r="BV4898" s="2" t="s">
        <v>95</v>
      </c>
      <c r="BW4898" s="2"/>
      <c r="BX4898" s="2"/>
      <c r="BY4898" s="2">
        <v>14351.55</v>
      </c>
      <c r="BZ4898" s="2"/>
      <c r="CA4898" s="2" t="s">
        <v>294</v>
      </c>
      <c r="CB4898" s="2"/>
      <c r="CC4898" s="2" t="s">
        <v>98</v>
      </c>
      <c r="CD4898" s="2">
        <v>6001</v>
      </c>
      <c r="CE4898" s="2" t="s">
        <v>89</v>
      </c>
      <c r="CF4898" s="5">
        <v>42957</v>
      </c>
      <c r="CG4898" s="2"/>
      <c r="CH4898" s="2"/>
      <c r="CI4898" s="2">
        <v>1</v>
      </c>
      <c r="CJ4898" s="2">
        <v>1</v>
      </c>
      <c r="CK4898" s="2">
        <v>21</v>
      </c>
      <c r="CL4898" s="2" t="s">
        <v>86</v>
      </c>
      <c r="CM4898" s="2"/>
    </row>
    <row r="4899" spans="1:91">
      <c r="A4899" s="2" t="s">
        <v>71</v>
      </c>
      <c r="B4899" s="2" t="s">
        <v>72</v>
      </c>
      <c r="C4899" s="2" t="s">
        <v>73</v>
      </c>
      <c r="D4899" s="2"/>
      <c r="E4899" s="2" t="str">
        <f>"FES1162567495"</f>
        <v>FES1162567495</v>
      </c>
      <c r="F4899" s="3">
        <v>42954</v>
      </c>
      <c r="G4899" s="2">
        <v>201802</v>
      </c>
      <c r="H4899" s="2" t="s">
        <v>74</v>
      </c>
      <c r="I4899" s="2" t="s">
        <v>75</v>
      </c>
      <c r="J4899" s="2" t="s">
        <v>76</v>
      </c>
      <c r="K4899" s="2" t="s">
        <v>77</v>
      </c>
      <c r="L4899" s="2" t="s">
        <v>321</v>
      </c>
      <c r="M4899" s="2" t="s">
        <v>322</v>
      </c>
      <c r="N4899" s="2" t="s">
        <v>323</v>
      </c>
      <c r="O4899" s="2" t="s">
        <v>100</v>
      </c>
      <c r="P4899" s="2" t="str">
        <f>"2170583664                    "</f>
        <v xml:space="preserve">2170583664                    </v>
      </c>
      <c r="Q4899" s="2">
        <v>0</v>
      </c>
      <c r="R4899" s="2">
        <v>0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0</v>
      </c>
      <c r="Y4899" s="2">
        <v>0</v>
      </c>
      <c r="Z4899" s="2">
        <v>0</v>
      </c>
      <c r="AA4899" s="2">
        <v>0</v>
      </c>
      <c r="AB4899" s="2">
        <v>0</v>
      </c>
      <c r="AC4899" s="2">
        <v>0</v>
      </c>
      <c r="AD4899" s="2">
        <v>0</v>
      </c>
      <c r="AE4899" s="2">
        <v>0</v>
      </c>
      <c r="AF4899" s="2">
        <v>0</v>
      </c>
      <c r="AG4899" s="2">
        <v>0</v>
      </c>
      <c r="AH4899" s="2">
        <v>0</v>
      </c>
      <c r="AI4899" s="2">
        <v>0</v>
      </c>
      <c r="AJ4899" s="2">
        <v>0</v>
      </c>
      <c r="AK4899" s="2">
        <v>0</v>
      </c>
      <c r="AL4899" s="2">
        <v>0</v>
      </c>
      <c r="AM4899" s="2">
        <v>8</v>
      </c>
      <c r="AN4899" s="2">
        <v>0</v>
      </c>
      <c r="AO4899" s="2">
        <v>0</v>
      </c>
      <c r="AP4899" s="2">
        <v>0</v>
      </c>
      <c r="AQ4899" s="2">
        <v>0</v>
      </c>
      <c r="AR4899" s="2">
        <v>0</v>
      </c>
      <c r="AS4899" s="2">
        <v>0</v>
      </c>
      <c r="AT4899" s="2">
        <v>0</v>
      </c>
      <c r="AU4899" s="2">
        <v>0</v>
      </c>
      <c r="AV4899" s="2">
        <v>0</v>
      </c>
      <c r="AW4899" s="2">
        <v>0</v>
      </c>
      <c r="AX4899" s="2">
        <v>0</v>
      </c>
      <c r="AY4899" s="2">
        <v>0</v>
      </c>
      <c r="AZ4899" s="2">
        <v>0</v>
      </c>
      <c r="BA4899" s="2">
        <v>0</v>
      </c>
      <c r="BB4899" s="2">
        <v>0</v>
      </c>
      <c r="BC4899" s="2">
        <v>0</v>
      </c>
      <c r="BD4899" s="2">
        <v>0</v>
      </c>
      <c r="BE4899" s="2">
        <v>0</v>
      </c>
      <c r="BF4899" s="2">
        <v>0</v>
      </c>
      <c r="BG4899" s="2">
        <v>0</v>
      </c>
      <c r="BH4899" s="2">
        <v>1</v>
      </c>
      <c r="BI4899" s="2">
        <v>3.6</v>
      </c>
      <c r="BJ4899" s="2">
        <v>1.7</v>
      </c>
      <c r="BK4899" s="2">
        <v>4</v>
      </c>
      <c r="BL4899" s="2">
        <v>82.88</v>
      </c>
      <c r="BM4899" s="2">
        <v>11.6</v>
      </c>
      <c r="BN4899" s="2">
        <v>94.48</v>
      </c>
      <c r="BO4899" s="2">
        <v>94.48</v>
      </c>
      <c r="BP4899" s="2"/>
      <c r="BQ4899" s="2" t="s">
        <v>83</v>
      </c>
      <c r="BR4899" s="2" t="s">
        <v>84</v>
      </c>
      <c r="BS4899" s="3">
        <v>42955</v>
      </c>
      <c r="BT4899" s="4">
        <v>0.41041666666666665</v>
      </c>
      <c r="BU4899" s="2" t="s">
        <v>324</v>
      </c>
      <c r="BV4899" s="2" t="s">
        <v>95</v>
      </c>
      <c r="BW4899" s="2"/>
      <c r="BX4899" s="2"/>
      <c r="BY4899" s="2">
        <v>8653.73</v>
      </c>
      <c r="BZ4899" s="2"/>
      <c r="CA4899" s="2" t="s">
        <v>103</v>
      </c>
      <c r="CB4899" s="2"/>
      <c r="CC4899" s="2" t="s">
        <v>322</v>
      </c>
      <c r="CD4899" s="2">
        <v>6220</v>
      </c>
      <c r="CE4899" s="2" t="s">
        <v>89</v>
      </c>
      <c r="CF4899" s="5">
        <v>42957</v>
      </c>
      <c r="CG4899" s="2"/>
      <c r="CH4899" s="2"/>
      <c r="CI4899" s="2">
        <v>1</v>
      </c>
      <c r="CJ4899" s="2">
        <v>1</v>
      </c>
      <c r="CK4899" s="2">
        <v>21</v>
      </c>
      <c r="CL4899" s="2" t="s">
        <v>86</v>
      </c>
      <c r="CM4899" s="2"/>
    </row>
    <row r="4900" spans="1:91">
      <c r="A4900" s="2" t="s">
        <v>71</v>
      </c>
      <c r="B4900" s="2" t="s">
        <v>72</v>
      </c>
      <c r="C4900" s="2" t="s">
        <v>73</v>
      </c>
      <c r="D4900" s="2"/>
      <c r="E4900" s="2" t="str">
        <f>"FES1162567397"</f>
        <v>FES1162567397</v>
      </c>
      <c r="F4900" s="3">
        <v>42954</v>
      </c>
      <c r="G4900" s="2">
        <v>201802</v>
      </c>
      <c r="H4900" s="2" t="s">
        <v>74</v>
      </c>
      <c r="I4900" s="2" t="s">
        <v>75</v>
      </c>
      <c r="J4900" s="2" t="s">
        <v>76</v>
      </c>
      <c r="K4900" s="2" t="s">
        <v>77</v>
      </c>
      <c r="L4900" s="2" t="s">
        <v>417</v>
      </c>
      <c r="M4900" s="2" t="s">
        <v>417</v>
      </c>
      <c r="N4900" s="2" t="s">
        <v>1414</v>
      </c>
      <c r="O4900" s="2" t="s">
        <v>100</v>
      </c>
      <c r="P4900" s="2" t="str">
        <f>"2170582928                    "</f>
        <v xml:space="preserve">2170582928                    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0</v>
      </c>
      <c r="Y4900" s="2">
        <v>0</v>
      </c>
      <c r="Z4900" s="2">
        <v>0</v>
      </c>
      <c r="AA4900" s="2">
        <v>0</v>
      </c>
      <c r="AB4900" s="2">
        <v>0</v>
      </c>
      <c r="AC4900" s="2">
        <v>0</v>
      </c>
      <c r="AD4900" s="2">
        <v>0</v>
      </c>
      <c r="AE4900" s="2">
        <v>0</v>
      </c>
      <c r="AF4900" s="2">
        <v>0</v>
      </c>
      <c r="AG4900" s="2">
        <v>0</v>
      </c>
      <c r="AH4900" s="2">
        <v>0</v>
      </c>
      <c r="AI4900" s="2">
        <v>0</v>
      </c>
      <c r="AJ4900" s="2">
        <v>0</v>
      </c>
      <c r="AK4900" s="2">
        <v>0</v>
      </c>
      <c r="AL4900" s="2">
        <v>0</v>
      </c>
      <c r="AM4900" s="2">
        <v>18.010000000000002</v>
      </c>
      <c r="AN4900" s="2">
        <v>0</v>
      </c>
      <c r="AO4900" s="2">
        <v>0</v>
      </c>
      <c r="AP4900" s="2">
        <v>0</v>
      </c>
      <c r="AQ4900" s="2">
        <v>0</v>
      </c>
      <c r="AR4900" s="2">
        <v>0</v>
      </c>
      <c r="AS4900" s="2">
        <v>0</v>
      </c>
      <c r="AT4900" s="2">
        <v>0</v>
      </c>
      <c r="AU4900" s="2">
        <v>0</v>
      </c>
      <c r="AV4900" s="2">
        <v>0</v>
      </c>
      <c r="AW4900" s="2">
        <v>0</v>
      </c>
      <c r="AX4900" s="2">
        <v>0</v>
      </c>
      <c r="AY4900" s="2">
        <v>0</v>
      </c>
      <c r="AZ4900" s="2">
        <v>0</v>
      </c>
      <c r="BA4900" s="2">
        <v>0</v>
      </c>
      <c r="BB4900" s="2">
        <v>0</v>
      </c>
      <c r="BC4900" s="2">
        <v>0</v>
      </c>
      <c r="BD4900" s="2">
        <v>0</v>
      </c>
      <c r="BE4900" s="2">
        <v>0</v>
      </c>
      <c r="BF4900" s="2">
        <v>0</v>
      </c>
      <c r="BG4900" s="2">
        <v>0</v>
      </c>
      <c r="BH4900" s="2">
        <v>1</v>
      </c>
      <c r="BI4900" s="2">
        <v>8.6</v>
      </c>
      <c r="BJ4900" s="2">
        <v>3.4</v>
      </c>
      <c r="BK4900" s="2">
        <v>9</v>
      </c>
      <c r="BL4900" s="2">
        <v>186.49</v>
      </c>
      <c r="BM4900" s="2">
        <v>26.11</v>
      </c>
      <c r="BN4900" s="2">
        <v>212.6</v>
      </c>
      <c r="BO4900" s="2">
        <v>212.6</v>
      </c>
      <c r="BP4900" s="2"/>
      <c r="BQ4900" s="2" t="s">
        <v>108</v>
      </c>
      <c r="BR4900" s="2" t="s">
        <v>84</v>
      </c>
      <c r="BS4900" s="3">
        <v>42955</v>
      </c>
      <c r="BT4900" s="4">
        <v>0.51736111111111105</v>
      </c>
      <c r="BU4900" s="2" t="s">
        <v>699</v>
      </c>
      <c r="BV4900" s="2" t="s">
        <v>95</v>
      </c>
      <c r="BW4900" s="2"/>
      <c r="BX4900" s="2"/>
      <c r="BY4900" s="2">
        <v>17197.47</v>
      </c>
      <c r="BZ4900" s="2"/>
      <c r="CA4900" s="2" t="s">
        <v>460</v>
      </c>
      <c r="CB4900" s="2"/>
      <c r="CC4900" s="2" t="s">
        <v>417</v>
      </c>
      <c r="CD4900" s="2">
        <v>7646</v>
      </c>
      <c r="CE4900" s="2" t="s">
        <v>89</v>
      </c>
      <c r="CF4900" s="5">
        <v>42955</v>
      </c>
      <c r="CG4900" s="2"/>
      <c r="CH4900" s="2"/>
      <c r="CI4900" s="2">
        <v>1</v>
      </c>
      <c r="CJ4900" s="2">
        <v>1</v>
      </c>
      <c r="CK4900" s="2">
        <v>21</v>
      </c>
      <c r="CL4900" s="2" t="s">
        <v>86</v>
      </c>
      <c r="CM4900" s="2"/>
    </row>
    <row r="4901" spans="1:91">
      <c r="A4901" s="2" t="s">
        <v>71</v>
      </c>
      <c r="B4901" s="2" t="s">
        <v>72</v>
      </c>
      <c r="C4901" s="2" t="s">
        <v>73</v>
      </c>
      <c r="D4901" s="2"/>
      <c r="E4901" s="2" t="str">
        <f>"FES1162567596"</f>
        <v>FES1162567596</v>
      </c>
      <c r="F4901" s="3">
        <v>42954</v>
      </c>
      <c r="G4901" s="2">
        <v>201802</v>
      </c>
      <c r="H4901" s="2" t="s">
        <v>74</v>
      </c>
      <c r="I4901" s="2" t="s">
        <v>75</v>
      </c>
      <c r="J4901" s="2" t="s">
        <v>76</v>
      </c>
      <c r="K4901" s="2" t="s">
        <v>77</v>
      </c>
      <c r="L4901" s="2" t="s">
        <v>144</v>
      </c>
      <c r="M4901" s="2" t="s">
        <v>145</v>
      </c>
      <c r="N4901" s="2" t="s">
        <v>295</v>
      </c>
      <c r="O4901" s="2" t="s">
        <v>100</v>
      </c>
      <c r="P4901" s="2" t="str">
        <f>"2170582797                    "</f>
        <v xml:space="preserve">2170582797                    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>
        <v>0</v>
      </c>
      <c r="Y4901" s="2">
        <v>0</v>
      </c>
      <c r="Z4901" s="2">
        <v>0</v>
      </c>
      <c r="AA4901" s="2">
        <v>0</v>
      </c>
      <c r="AB4901" s="2">
        <v>0</v>
      </c>
      <c r="AC4901" s="2">
        <v>0</v>
      </c>
      <c r="AD4901" s="2">
        <v>0</v>
      </c>
      <c r="AE4901" s="2">
        <v>0</v>
      </c>
      <c r="AF4901" s="2">
        <v>0</v>
      </c>
      <c r="AG4901" s="2">
        <v>0</v>
      </c>
      <c r="AH4901" s="2">
        <v>0</v>
      </c>
      <c r="AI4901" s="2">
        <v>0</v>
      </c>
      <c r="AJ4901" s="2">
        <v>0</v>
      </c>
      <c r="AK4901" s="2">
        <v>0</v>
      </c>
      <c r="AL4901" s="2">
        <v>0</v>
      </c>
      <c r="AM4901" s="2">
        <v>3.13</v>
      </c>
      <c r="AN4901" s="2">
        <v>0</v>
      </c>
      <c r="AO4901" s="2">
        <v>0</v>
      </c>
      <c r="AP4901" s="2">
        <v>0</v>
      </c>
      <c r="AQ4901" s="2">
        <v>0</v>
      </c>
      <c r="AR4901" s="2">
        <v>0</v>
      </c>
      <c r="AS4901" s="2">
        <v>0</v>
      </c>
      <c r="AT4901" s="2">
        <v>0</v>
      </c>
      <c r="AU4901" s="2">
        <v>0</v>
      </c>
      <c r="AV4901" s="2">
        <v>0</v>
      </c>
      <c r="AW4901" s="2">
        <v>0</v>
      </c>
      <c r="AX4901" s="2">
        <v>0</v>
      </c>
      <c r="AY4901" s="2">
        <v>0</v>
      </c>
      <c r="AZ4901" s="2">
        <v>0</v>
      </c>
      <c r="BA4901" s="2">
        <v>0</v>
      </c>
      <c r="BB4901" s="2">
        <v>0</v>
      </c>
      <c r="BC4901" s="2">
        <v>0</v>
      </c>
      <c r="BD4901" s="2">
        <v>0</v>
      </c>
      <c r="BE4901" s="2">
        <v>0</v>
      </c>
      <c r="BF4901" s="2">
        <v>0</v>
      </c>
      <c r="BG4901" s="2">
        <v>0</v>
      </c>
      <c r="BH4901" s="2">
        <v>1</v>
      </c>
      <c r="BI4901" s="2">
        <v>2.2000000000000002</v>
      </c>
      <c r="BJ4901" s="2">
        <v>2.2999999999999998</v>
      </c>
      <c r="BK4901" s="2">
        <v>3</v>
      </c>
      <c r="BL4901" s="2">
        <v>32.380000000000003</v>
      </c>
      <c r="BM4901" s="2">
        <v>4.53</v>
      </c>
      <c r="BN4901" s="2">
        <v>36.909999999999997</v>
      </c>
      <c r="BO4901" s="2">
        <v>36.909999999999997</v>
      </c>
      <c r="BP4901" s="2"/>
      <c r="BQ4901" s="2" t="s">
        <v>296</v>
      </c>
      <c r="BR4901" s="2" t="s">
        <v>84</v>
      </c>
      <c r="BS4901" s="3">
        <v>42955</v>
      </c>
      <c r="BT4901" s="4">
        <v>0.35486111111111113</v>
      </c>
      <c r="BU4901" s="2" t="s">
        <v>3551</v>
      </c>
      <c r="BV4901" s="2" t="s">
        <v>95</v>
      </c>
      <c r="BW4901" s="2"/>
      <c r="BX4901" s="2"/>
      <c r="BY4901" s="2">
        <v>11738.16</v>
      </c>
      <c r="BZ4901" s="2"/>
      <c r="CA4901" s="2" t="s">
        <v>1355</v>
      </c>
      <c r="CB4901" s="2"/>
      <c r="CC4901" s="2" t="s">
        <v>145</v>
      </c>
      <c r="CD4901" s="2">
        <v>2013</v>
      </c>
      <c r="CE4901" s="2" t="s">
        <v>89</v>
      </c>
      <c r="CF4901" s="5">
        <v>42957</v>
      </c>
      <c r="CG4901" s="2"/>
      <c r="CH4901" s="2"/>
      <c r="CI4901" s="2">
        <v>1</v>
      </c>
      <c r="CJ4901" s="2">
        <v>1</v>
      </c>
      <c r="CK4901" s="2">
        <v>22</v>
      </c>
      <c r="CL4901" s="2" t="s">
        <v>86</v>
      </c>
      <c r="CM4901" s="2"/>
    </row>
    <row r="4902" spans="1:91">
      <c r="A4902" s="2" t="s">
        <v>71</v>
      </c>
      <c r="B4902" s="2" t="s">
        <v>72</v>
      </c>
      <c r="C4902" s="2" t="s">
        <v>73</v>
      </c>
      <c r="D4902" s="2"/>
      <c r="E4902" s="2" t="str">
        <f>"FES1162567538"</f>
        <v>FES1162567538</v>
      </c>
      <c r="F4902" s="3">
        <v>42954</v>
      </c>
      <c r="G4902" s="2">
        <v>201802</v>
      </c>
      <c r="H4902" s="2" t="s">
        <v>74</v>
      </c>
      <c r="I4902" s="2" t="s">
        <v>75</v>
      </c>
      <c r="J4902" s="2" t="s">
        <v>76</v>
      </c>
      <c r="K4902" s="2" t="s">
        <v>77</v>
      </c>
      <c r="L4902" s="2" t="s">
        <v>105</v>
      </c>
      <c r="M4902" s="2" t="s">
        <v>106</v>
      </c>
      <c r="N4902" s="2" t="s">
        <v>2094</v>
      </c>
      <c r="O4902" s="2" t="s">
        <v>100</v>
      </c>
      <c r="P4902" s="2" t="str">
        <f>"2170579048                    "</f>
        <v xml:space="preserve">2170579048                    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0</v>
      </c>
      <c r="Y4902" s="2">
        <v>0</v>
      </c>
      <c r="Z4902" s="2">
        <v>0</v>
      </c>
      <c r="AA4902" s="2">
        <v>0</v>
      </c>
      <c r="AB4902" s="2">
        <v>0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0</v>
      </c>
      <c r="AM4902" s="2">
        <v>4</v>
      </c>
      <c r="AN4902" s="2">
        <v>0</v>
      </c>
      <c r="AO4902" s="2">
        <v>0</v>
      </c>
      <c r="AP4902" s="2">
        <v>0</v>
      </c>
      <c r="AQ4902" s="2">
        <v>0</v>
      </c>
      <c r="AR4902" s="2">
        <v>0</v>
      </c>
      <c r="AS4902" s="2">
        <v>0</v>
      </c>
      <c r="AT4902" s="2">
        <v>0</v>
      </c>
      <c r="AU4902" s="2">
        <v>0</v>
      </c>
      <c r="AV4902" s="2">
        <v>0</v>
      </c>
      <c r="AW4902" s="2">
        <v>0</v>
      </c>
      <c r="AX4902" s="2">
        <v>0</v>
      </c>
      <c r="AY4902" s="2">
        <v>0</v>
      </c>
      <c r="AZ4902" s="2">
        <v>0</v>
      </c>
      <c r="BA4902" s="2">
        <v>0</v>
      </c>
      <c r="BB4902" s="2">
        <v>0</v>
      </c>
      <c r="BC4902" s="2">
        <v>0</v>
      </c>
      <c r="BD4902" s="2">
        <v>0</v>
      </c>
      <c r="BE4902" s="2">
        <v>0</v>
      </c>
      <c r="BF4902" s="2">
        <v>0</v>
      </c>
      <c r="BG4902" s="2">
        <v>0</v>
      </c>
      <c r="BH4902" s="2">
        <v>1</v>
      </c>
      <c r="BI4902" s="2">
        <v>0.3</v>
      </c>
      <c r="BJ4902" s="2">
        <v>1.3</v>
      </c>
      <c r="BK4902" s="2">
        <v>1.5</v>
      </c>
      <c r="BL4902" s="2">
        <v>41.44</v>
      </c>
      <c r="BM4902" s="2">
        <v>5.8</v>
      </c>
      <c r="BN4902" s="2">
        <v>47.24</v>
      </c>
      <c r="BO4902" s="2">
        <v>47.24</v>
      </c>
      <c r="BP4902" s="2"/>
      <c r="BQ4902" s="2" t="s">
        <v>83</v>
      </c>
      <c r="BR4902" s="2" t="s">
        <v>84</v>
      </c>
      <c r="BS4902" s="3">
        <v>42955</v>
      </c>
      <c r="BT4902" s="4">
        <v>0.50069444444444444</v>
      </c>
      <c r="BU4902" s="2" t="s">
        <v>2095</v>
      </c>
      <c r="BV4902" s="2" t="s">
        <v>86</v>
      </c>
      <c r="BW4902" s="2" t="s">
        <v>124</v>
      </c>
      <c r="BX4902" s="2" t="s">
        <v>116</v>
      </c>
      <c r="BY4902" s="2">
        <v>6497.28</v>
      </c>
      <c r="BZ4902" s="2"/>
      <c r="CA4902" s="2" t="s">
        <v>117</v>
      </c>
      <c r="CB4902" s="2"/>
      <c r="CC4902" s="2" t="s">
        <v>106</v>
      </c>
      <c r="CD4902" s="2">
        <v>7405</v>
      </c>
      <c r="CE4902" s="2" t="s">
        <v>996</v>
      </c>
      <c r="CF4902" s="5">
        <v>42957</v>
      </c>
      <c r="CG4902" s="2"/>
      <c r="CH4902" s="2"/>
      <c r="CI4902" s="2">
        <v>1</v>
      </c>
      <c r="CJ4902" s="2">
        <v>1</v>
      </c>
      <c r="CK4902" s="2">
        <v>21</v>
      </c>
      <c r="CL4902" s="2" t="s">
        <v>86</v>
      </c>
      <c r="CM4902" s="2"/>
    </row>
    <row r="4903" spans="1:91">
      <c r="A4903" s="2" t="s">
        <v>71</v>
      </c>
      <c r="B4903" s="2" t="s">
        <v>72</v>
      </c>
      <c r="C4903" s="2" t="s">
        <v>73</v>
      </c>
      <c r="D4903" s="2"/>
      <c r="E4903" s="2" t="str">
        <f>"FES1162567531"</f>
        <v>FES1162567531</v>
      </c>
      <c r="F4903" s="3">
        <v>42954</v>
      </c>
      <c r="G4903" s="2">
        <v>201802</v>
      </c>
      <c r="H4903" s="2" t="s">
        <v>74</v>
      </c>
      <c r="I4903" s="2" t="s">
        <v>75</v>
      </c>
      <c r="J4903" s="2" t="s">
        <v>76</v>
      </c>
      <c r="K4903" s="2" t="s">
        <v>77</v>
      </c>
      <c r="L4903" s="2" t="s">
        <v>105</v>
      </c>
      <c r="M4903" s="2" t="s">
        <v>106</v>
      </c>
      <c r="N4903" s="2" t="s">
        <v>705</v>
      </c>
      <c r="O4903" s="2" t="s">
        <v>100</v>
      </c>
      <c r="P4903" s="2" t="str">
        <f>"2170583684                    "</f>
        <v xml:space="preserve">2170583684                    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0</v>
      </c>
      <c r="Y4903" s="2">
        <v>0</v>
      </c>
      <c r="Z4903" s="2">
        <v>0</v>
      </c>
      <c r="AA4903" s="2">
        <v>0</v>
      </c>
      <c r="AB4903" s="2">
        <v>0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2">
        <v>0</v>
      </c>
      <c r="AI4903" s="2">
        <v>0</v>
      </c>
      <c r="AJ4903" s="2">
        <v>0</v>
      </c>
      <c r="AK4903" s="2">
        <v>0</v>
      </c>
      <c r="AL4903" s="2">
        <v>0</v>
      </c>
      <c r="AM4903" s="2">
        <v>4</v>
      </c>
      <c r="AN4903" s="2">
        <v>0</v>
      </c>
      <c r="AO4903" s="2">
        <v>0</v>
      </c>
      <c r="AP4903" s="2">
        <v>0</v>
      </c>
      <c r="AQ4903" s="2">
        <v>0</v>
      </c>
      <c r="AR4903" s="2">
        <v>0</v>
      </c>
      <c r="AS4903" s="2">
        <v>0</v>
      </c>
      <c r="AT4903" s="2">
        <v>0</v>
      </c>
      <c r="AU4903" s="2">
        <v>0</v>
      </c>
      <c r="AV4903" s="2">
        <v>0</v>
      </c>
      <c r="AW4903" s="2">
        <v>0</v>
      </c>
      <c r="AX4903" s="2">
        <v>0</v>
      </c>
      <c r="AY4903" s="2">
        <v>0</v>
      </c>
      <c r="AZ4903" s="2">
        <v>0</v>
      </c>
      <c r="BA4903" s="2">
        <v>0</v>
      </c>
      <c r="BB4903" s="2">
        <v>0</v>
      </c>
      <c r="BC4903" s="2">
        <v>0</v>
      </c>
      <c r="BD4903" s="2">
        <v>0</v>
      </c>
      <c r="BE4903" s="2">
        <v>0</v>
      </c>
      <c r="BF4903" s="2">
        <v>0</v>
      </c>
      <c r="BG4903" s="2">
        <v>0</v>
      </c>
      <c r="BH4903" s="2">
        <v>1</v>
      </c>
      <c r="BI4903" s="2">
        <v>1.8</v>
      </c>
      <c r="BJ4903" s="2">
        <v>1</v>
      </c>
      <c r="BK4903" s="2">
        <v>2</v>
      </c>
      <c r="BL4903" s="2">
        <v>41.44</v>
      </c>
      <c r="BM4903" s="2">
        <v>5.8</v>
      </c>
      <c r="BN4903" s="2">
        <v>47.24</v>
      </c>
      <c r="BO4903" s="2">
        <v>47.24</v>
      </c>
      <c r="BP4903" s="2"/>
      <c r="BQ4903" s="2" t="s">
        <v>108</v>
      </c>
      <c r="BR4903" s="2" t="s">
        <v>84</v>
      </c>
      <c r="BS4903" s="3">
        <v>42955</v>
      </c>
      <c r="BT4903" s="4">
        <v>0.36388888888888887</v>
      </c>
      <c r="BU4903" s="2" t="s">
        <v>706</v>
      </c>
      <c r="BV4903" s="2" t="s">
        <v>95</v>
      </c>
      <c r="BW4903" s="2"/>
      <c r="BX4903" s="2"/>
      <c r="BY4903" s="2">
        <v>5099.1400000000003</v>
      </c>
      <c r="BZ4903" s="2"/>
      <c r="CA4903" s="2" t="s">
        <v>291</v>
      </c>
      <c r="CB4903" s="2"/>
      <c r="CC4903" s="2" t="s">
        <v>106</v>
      </c>
      <c r="CD4903" s="2">
        <v>7441</v>
      </c>
      <c r="CE4903" s="2" t="s">
        <v>89</v>
      </c>
      <c r="CF4903" s="5">
        <v>42957</v>
      </c>
      <c r="CG4903" s="2"/>
      <c r="CH4903" s="2"/>
      <c r="CI4903" s="2">
        <v>1</v>
      </c>
      <c r="CJ4903" s="2">
        <v>1</v>
      </c>
      <c r="CK4903" s="2">
        <v>21</v>
      </c>
      <c r="CL4903" s="2" t="s">
        <v>86</v>
      </c>
      <c r="CM4903" s="2"/>
    </row>
    <row r="4904" spans="1:91">
      <c r="A4904" s="2" t="s">
        <v>71</v>
      </c>
      <c r="B4904" s="2" t="s">
        <v>72</v>
      </c>
      <c r="C4904" s="2" t="s">
        <v>73</v>
      </c>
      <c r="D4904" s="2"/>
      <c r="E4904" s="2" t="str">
        <f>"FES1162567542"</f>
        <v>FES1162567542</v>
      </c>
      <c r="F4904" s="3">
        <v>42954</v>
      </c>
      <c r="G4904" s="2">
        <v>201802</v>
      </c>
      <c r="H4904" s="2" t="s">
        <v>74</v>
      </c>
      <c r="I4904" s="2" t="s">
        <v>75</v>
      </c>
      <c r="J4904" s="2" t="s">
        <v>76</v>
      </c>
      <c r="K4904" s="2" t="s">
        <v>77</v>
      </c>
      <c r="L4904" s="2" t="s">
        <v>353</v>
      </c>
      <c r="M4904" s="2" t="s">
        <v>354</v>
      </c>
      <c r="N4904" s="2" t="s">
        <v>1597</v>
      </c>
      <c r="O4904" s="2" t="s">
        <v>100</v>
      </c>
      <c r="P4904" s="2" t="str">
        <f>"2170583688                    "</f>
        <v xml:space="preserve">2170583688                    </v>
      </c>
      <c r="Q4904" s="2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2">
        <v>0</v>
      </c>
      <c r="Z4904" s="2">
        <v>0</v>
      </c>
      <c r="AA4904" s="2">
        <v>0</v>
      </c>
      <c r="AB4904" s="2">
        <v>0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2">
        <v>0</v>
      </c>
      <c r="AI4904" s="2">
        <v>0</v>
      </c>
      <c r="AJ4904" s="2">
        <v>0</v>
      </c>
      <c r="AK4904" s="2">
        <v>0</v>
      </c>
      <c r="AL4904" s="2">
        <v>0</v>
      </c>
      <c r="AM4904" s="2">
        <v>6</v>
      </c>
      <c r="AN4904" s="2">
        <v>0</v>
      </c>
      <c r="AO4904" s="2">
        <v>0</v>
      </c>
      <c r="AP4904" s="2">
        <v>0</v>
      </c>
      <c r="AQ4904" s="2">
        <v>0</v>
      </c>
      <c r="AR4904" s="2">
        <v>0</v>
      </c>
      <c r="AS4904" s="2">
        <v>0</v>
      </c>
      <c r="AT4904" s="2">
        <v>0</v>
      </c>
      <c r="AU4904" s="2">
        <v>0</v>
      </c>
      <c r="AV4904" s="2">
        <v>0</v>
      </c>
      <c r="AW4904" s="2">
        <v>0</v>
      </c>
      <c r="AX4904" s="2">
        <v>0</v>
      </c>
      <c r="AY4904" s="2">
        <v>0</v>
      </c>
      <c r="AZ4904" s="2">
        <v>0</v>
      </c>
      <c r="BA4904" s="2">
        <v>0</v>
      </c>
      <c r="BB4904" s="2">
        <v>0</v>
      </c>
      <c r="BC4904" s="2">
        <v>0</v>
      </c>
      <c r="BD4904" s="2">
        <v>0</v>
      </c>
      <c r="BE4904" s="2">
        <v>0</v>
      </c>
      <c r="BF4904" s="2">
        <v>0</v>
      </c>
      <c r="BG4904" s="2">
        <v>0</v>
      </c>
      <c r="BH4904" s="2">
        <v>1</v>
      </c>
      <c r="BI4904" s="2">
        <v>1</v>
      </c>
      <c r="BJ4904" s="2">
        <v>2.9</v>
      </c>
      <c r="BK4904" s="2">
        <v>3</v>
      </c>
      <c r="BL4904" s="2">
        <v>62.16</v>
      </c>
      <c r="BM4904" s="2">
        <v>8.6999999999999993</v>
      </c>
      <c r="BN4904" s="2">
        <v>70.86</v>
      </c>
      <c r="BO4904" s="2">
        <v>70.86</v>
      </c>
      <c r="BP4904" s="2"/>
      <c r="BQ4904" s="2" t="s">
        <v>1598</v>
      </c>
      <c r="BR4904" s="2" t="s">
        <v>84</v>
      </c>
      <c r="BS4904" s="3">
        <v>42955</v>
      </c>
      <c r="BT4904" s="4">
        <v>0.4375</v>
      </c>
      <c r="BU4904" s="2" t="s">
        <v>4270</v>
      </c>
      <c r="BV4904" s="2" t="s">
        <v>95</v>
      </c>
      <c r="BW4904" s="2"/>
      <c r="BX4904" s="2"/>
      <c r="BY4904" s="2">
        <v>14435.58</v>
      </c>
      <c r="BZ4904" s="2"/>
      <c r="CA4904" s="2"/>
      <c r="CB4904" s="2"/>
      <c r="CC4904" s="2" t="s">
        <v>354</v>
      </c>
      <c r="CD4904" s="2">
        <v>3699</v>
      </c>
      <c r="CE4904" s="2" t="s">
        <v>89</v>
      </c>
      <c r="CF4904" s="5">
        <v>42959</v>
      </c>
      <c r="CG4904" s="2"/>
      <c r="CH4904" s="2"/>
      <c r="CI4904" s="2">
        <v>1</v>
      </c>
      <c r="CJ4904" s="2">
        <v>1</v>
      </c>
      <c r="CK4904" s="2">
        <v>21</v>
      </c>
      <c r="CL4904" s="2" t="s">
        <v>86</v>
      </c>
      <c r="CM4904" s="2"/>
    </row>
    <row r="4905" spans="1:91">
      <c r="A4905" s="2" t="s">
        <v>71</v>
      </c>
      <c r="B4905" s="2" t="s">
        <v>72</v>
      </c>
      <c r="C4905" s="2" t="s">
        <v>73</v>
      </c>
      <c r="D4905" s="2"/>
      <c r="E4905" s="2" t="str">
        <f>"FES1162567537"</f>
        <v>FES1162567537</v>
      </c>
      <c r="F4905" s="3">
        <v>42954</v>
      </c>
      <c r="G4905" s="2">
        <v>201802</v>
      </c>
      <c r="H4905" s="2" t="s">
        <v>74</v>
      </c>
      <c r="I4905" s="2" t="s">
        <v>75</v>
      </c>
      <c r="J4905" s="2" t="s">
        <v>76</v>
      </c>
      <c r="K4905" s="2" t="s">
        <v>77</v>
      </c>
      <c r="L4905" s="2" t="s">
        <v>201</v>
      </c>
      <c r="M4905" s="2" t="s">
        <v>202</v>
      </c>
      <c r="N4905" s="2" t="s">
        <v>409</v>
      </c>
      <c r="O4905" s="2" t="s">
        <v>100</v>
      </c>
      <c r="P4905" s="2" t="str">
        <f>"2170581217                    "</f>
        <v xml:space="preserve">2170581217                    </v>
      </c>
      <c r="Q4905" s="2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0</v>
      </c>
      <c r="Y4905" s="2">
        <v>0</v>
      </c>
      <c r="Z4905" s="2">
        <v>0</v>
      </c>
      <c r="AA4905" s="2">
        <v>0</v>
      </c>
      <c r="AB4905" s="2">
        <v>0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0</v>
      </c>
      <c r="AI4905" s="2">
        <v>0</v>
      </c>
      <c r="AJ4905" s="2">
        <v>0</v>
      </c>
      <c r="AK4905" s="2">
        <v>0</v>
      </c>
      <c r="AL4905" s="2">
        <v>0</v>
      </c>
      <c r="AM4905" s="2">
        <v>14.01</v>
      </c>
      <c r="AN4905" s="2">
        <v>0</v>
      </c>
      <c r="AO4905" s="2">
        <v>0</v>
      </c>
      <c r="AP4905" s="2">
        <v>0</v>
      </c>
      <c r="AQ4905" s="2">
        <v>0</v>
      </c>
      <c r="AR4905" s="2">
        <v>0</v>
      </c>
      <c r="AS4905" s="2">
        <v>0</v>
      </c>
      <c r="AT4905" s="2">
        <v>0</v>
      </c>
      <c r="AU4905" s="2">
        <v>0</v>
      </c>
      <c r="AV4905" s="2">
        <v>0</v>
      </c>
      <c r="AW4905" s="2">
        <v>0</v>
      </c>
      <c r="AX4905" s="2">
        <v>0</v>
      </c>
      <c r="AY4905" s="2">
        <v>0</v>
      </c>
      <c r="AZ4905" s="2">
        <v>0</v>
      </c>
      <c r="BA4905" s="2">
        <v>0</v>
      </c>
      <c r="BB4905" s="2">
        <v>0</v>
      </c>
      <c r="BC4905" s="2">
        <v>0</v>
      </c>
      <c r="BD4905" s="2">
        <v>0</v>
      </c>
      <c r="BE4905" s="2">
        <v>0</v>
      </c>
      <c r="BF4905" s="2">
        <v>0</v>
      </c>
      <c r="BG4905" s="2">
        <v>0</v>
      </c>
      <c r="BH4905" s="2">
        <v>2</v>
      </c>
      <c r="BI4905" s="2">
        <v>3.7</v>
      </c>
      <c r="BJ4905" s="2">
        <v>7</v>
      </c>
      <c r="BK4905" s="2">
        <v>7</v>
      </c>
      <c r="BL4905" s="2">
        <v>145.05000000000001</v>
      </c>
      <c r="BM4905" s="2">
        <v>20.309999999999999</v>
      </c>
      <c r="BN4905" s="2">
        <v>165.36</v>
      </c>
      <c r="BO4905" s="2">
        <v>165.36</v>
      </c>
      <c r="BP4905" s="2"/>
      <c r="BQ4905" s="2" t="s">
        <v>83</v>
      </c>
      <c r="BR4905" s="2" t="s">
        <v>84</v>
      </c>
      <c r="BS4905" s="3">
        <v>42955</v>
      </c>
      <c r="BT4905" s="4">
        <v>0.37291666666666662</v>
      </c>
      <c r="BU4905" s="2" t="s">
        <v>4271</v>
      </c>
      <c r="BV4905" s="2" t="s">
        <v>95</v>
      </c>
      <c r="BW4905" s="2"/>
      <c r="BX4905" s="2"/>
      <c r="BY4905" s="2">
        <v>34754.449999999997</v>
      </c>
      <c r="BZ4905" s="2"/>
      <c r="CA4905" s="2" t="s">
        <v>411</v>
      </c>
      <c r="CB4905" s="2"/>
      <c r="CC4905" s="2" t="s">
        <v>202</v>
      </c>
      <c r="CD4905" s="2">
        <v>7130</v>
      </c>
      <c r="CE4905" s="2" t="s">
        <v>89</v>
      </c>
      <c r="CF4905" s="5">
        <v>42957</v>
      </c>
      <c r="CG4905" s="2"/>
      <c r="CH4905" s="2"/>
      <c r="CI4905" s="2">
        <v>1</v>
      </c>
      <c r="CJ4905" s="2">
        <v>1</v>
      </c>
      <c r="CK4905" s="2">
        <v>21</v>
      </c>
      <c r="CL4905" s="2" t="s">
        <v>86</v>
      </c>
      <c r="CM4905" s="2"/>
    </row>
    <row r="4906" spans="1:91">
      <c r="A4906" s="2" t="s">
        <v>71</v>
      </c>
      <c r="B4906" s="2" t="s">
        <v>72</v>
      </c>
      <c r="C4906" s="2" t="s">
        <v>73</v>
      </c>
      <c r="D4906" s="2"/>
      <c r="E4906" s="2" t="str">
        <f>"FES1162567569"</f>
        <v>FES1162567569</v>
      </c>
      <c r="F4906" s="3">
        <v>42954</v>
      </c>
      <c r="G4906" s="2">
        <v>201802</v>
      </c>
      <c r="H4906" s="2" t="s">
        <v>74</v>
      </c>
      <c r="I4906" s="2" t="s">
        <v>75</v>
      </c>
      <c r="J4906" s="2" t="s">
        <v>76</v>
      </c>
      <c r="K4906" s="2" t="s">
        <v>77</v>
      </c>
      <c r="L4906" s="2" t="s">
        <v>74</v>
      </c>
      <c r="M4906" s="2" t="s">
        <v>75</v>
      </c>
      <c r="N4906" s="2" t="s">
        <v>4228</v>
      </c>
      <c r="O4906" s="2" t="s">
        <v>100</v>
      </c>
      <c r="P4906" s="2" t="str">
        <f>"2170583481                    "</f>
        <v xml:space="preserve">2170583481                    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0</v>
      </c>
      <c r="Y4906" s="2">
        <v>0</v>
      </c>
      <c r="Z4906" s="2">
        <v>0</v>
      </c>
      <c r="AA4906" s="2">
        <v>0</v>
      </c>
      <c r="AB4906" s="2">
        <v>0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  <c r="AM4906" s="2">
        <v>3.13</v>
      </c>
      <c r="AN4906" s="2">
        <v>0</v>
      </c>
      <c r="AO4906" s="2">
        <v>0</v>
      </c>
      <c r="AP4906" s="2">
        <v>0</v>
      </c>
      <c r="AQ4906" s="2">
        <v>0</v>
      </c>
      <c r="AR4906" s="2">
        <v>0</v>
      </c>
      <c r="AS4906" s="2">
        <v>0</v>
      </c>
      <c r="AT4906" s="2">
        <v>0</v>
      </c>
      <c r="AU4906" s="2">
        <v>0</v>
      </c>
      <c r="AV4906" s="2">
        <v>0</v>
      </c>
      <c r="AW4906" s="2">
        <v>0</v>
      </c>
      <c r="AX4906" s="2">
        <v>0</v>
      </c>
      <c r="AY4906" s="2">
        <v>0</v>
      </c>
      <c r="AZ4906" s="2">
        <v>0</v>
      </c>
      <c r="BA4906" s="2">
        <v>0</v>
      </c>
      <c r="BB4906" s="2">
        <v>0</v>
      </c>
      <c r="BC4906" s="2">
        <v>0</v>
      </c>
      <c r="BD4906" s="2">
        <v>0</v>
      </c>
      <c r="BE4906" s="2">
        <v>0</v>
      </c>
      <c r="BF4906" s="2">
        <v>0</v>
      </c>
      <c r="BG4906" s="2">
        <v>0</v>
      </c>
      <c r="BH4906" s="2">
        <v>1</v>
      </c>
      <c r="BI4906" s="2">
        <v>1.2</v>
      </c>
      <c r="BJ4906" s="2">
        <v>1.9</v>
      </c>
      <c r="BK4906" s="2">
        <v>2</v>
      </c>
      <c r="BL4906" s="2">
        <v>32.380000000000003</v>
      </c>
      <c r="BM4906" s="2">
        <v>4.53</v>
      </c>
      <c r="BN4906" s="2">
        <v>36.909999999999997</v>
      </c>
      <c r="BO4906" s="2">
        <v>36.909999999999997</v>
      </c>
      <c r="BP4906" s="2"/>
      <c r="BQ4906" s="2" t="s">
        <v>83</v>
      </c>
      <c r="BR4906" s="2" t="s">
        <v>84</v>
      </c>
      <c r="BS4906" s="3">
        <v>42955</v>
      </c>
      <c r="BT4906" s="4">
        <v>0.29166666666666669</v>
      </c>
      <c r="BU4906" s="2" t="s">
        <v>4272</v>
      </c>
      <c r="BV4906" s="2" t="s">
        <v>95</v>
      </c>
      <c r="BW4906" s="2"/>
      <c r="BX4906" s="2"/>
      <c r="BY4906" s="2">
        <v>9591.1200000000008</v>
      </c>
      <c r="BZ4906" s="2"/>
      <c r="CA4906" s="2" t="s">
        <v>331</v>
      </c>
      <c r="CB4906" s="2"/>
      <c r="CC4906" s="2" t="s">
        <v>75</v>
      </c>
      <c r="CD4906" s="2">
        <v>1624</v>
      </c>
      <c r="CE4906" s="2" t="s">
        <v>104</v>
      </c>
      <c r="CF4906" s="5">
        <v>42957</v>
      </c>
      <c r="CG4906" s="2"/>
      <c r="CH4906" s="2"/>
      <c r="CI4906" s="2">
        <v>1</v>
      </c>
      <c r="CJ4906" s="2">
        <v>1</v>
      </c>
      <c r="CK4906" s="2">
        <v>22</v>
      </c>
      <c r="CL4906" s="2" t="s">
        <v>86</v>
      </c>
      <c r="CM4906" s="2"/>
    </row>
    <row r="4907" spans="1:91">
      <c r="A4907" s="2" t="s">
        <v>71</v>
      </c>
      <c r="B4907" s="2" t="s">
        <v>72</v>
      </c>
      <c r="C4907" s="2" t="s">
        <v>73</v>
      </c>
      <c r="D4907" s="2"/>
      <c r="E4907" s="2" t="str">
        <f>"FES1162567612"</f>
        <v>FES1162567612</v>
      </c>
      <c r="F4907" s="3">
        <v>42954</v>
      </c>
      <c r="G4907" s="2">
        <v>201802</v>
      </c>
      <c r="H4907" s="2" t="s">
        <v>74</v>
      </c>
      <c r="I4907" s="2" t="s">
        <v>75</v>
      </c>
      <c r="J4907" s="2" t="s">
        <v>76</v>
      </c>
      <c r="K4907" s="2" t="s">
        <v>77</v>
      </c>
      <c r="L4907" s="2" t="s">
        <v>97</v>
      </c>
      <c r="M4907" s="2" t="s">
        <v>98</v>
      </c>
      <c r="N4907" s="2" t="s">
        <v>99</v>
      </c>
      <c r="O4907" s="2" t="s">
        <v>100</v>
      </c>
      <c r="P4907" s="2" t="str">
        <f>"2170583757                    "</f>
        <v xml:space="preserve">2170583757                    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0</v>
      </c>
      <c r="Y4907" s="2">
        <v>0</v>
      </c>
      <c r="Z4907" s="2">
        <v>0</v>
      </c>
      <c r="AA4907" s="2">
        <v>0</v>
      </c>
      <c r="AB4907" s="2">
        <v>0</v>
      </c>
      <c r="AC4907" s="2">
        <v>0</v>
      </c>
      <c r="AD4907" s="2">
        <v>0</v>
      </c>
      <c r="AE4907" s="2">
        <v>0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  <c r="AM4907" s="2">
        <v>6</v>
      </c>
      <c r="AN4907" s="2">
        <v>0</v>
      </c>
      <c r="AO4907" s="2">
        <v>0</v>
      </c>
      <c r="AP4907" s="2">
        <v>0</v>
      </c>
      <c r="AQ4907" s="2">
        <v>0</v>
      </c>
      <c r="AR4907" s="2">
        <v>0</v>
      </c>
      <c r="AS4907" s="2">
        <v>0</v>
      </c>
      <c r="AT4907" s="2">
        <v>0</v>
      </c>
      <c r="AU4907" s="2">
        <v>0</v>
      </c>
      <c r="AV4907" s="2">
        <v>0</v>
      </c>
      <c r="AW4907" s="2">
        <v>0</v>
      </c>
      <c r="AX4907" s="2">
        <v>0</v>
      </c>
      <c r="AY4907" s="2">
        <v>0</v>
      </c>
      <c r="AZ4907" s="2">
        <v>0</v>
      </c>
      <c r="BA4907" s="2">
        <v>0</v>
      </c>
      <c r="BB4907" s="2">
        <v>0</v>
      </c>
      <c r="BC4907" s="2">
        <v>0</v>
      </c>
      <c r="BD4907" s="2">
        <v>0</v>
      </c>
      <c r="BE4907" s="2">
        <v>0</v>
      </c>
      <c r="BF4907" s="2">
        <v>0</v>
      </c>
      <c r="BG4907" s="2">
        <v>0</v>
      </c>
      <c r="BH4907" s="2">
        <v>1</v>
      </c>
      <c r="BI4907" s="2">
        <v>0.9</v>
      </c>
      <c r="BJ4907" s="2">
        <v>3</v>
      </c>
      <c r="BK4907" s="2">
        <v>3</v>
      </c>
      <c r="BL4907" s="2">
        <v>62.16</v>
      </c>
      <c r="BM4907" s="2">
        <v>8.6999999999999993</v>
      </c>
      <c r="BN4907" s="2">
        <v>70.86</v>
      </c>
      <c r="BO4907" s="2">
        <v>70.86</v>
      </c>
      <c r="BP4907" s="2"/>
      <c r="BQ4907" s="2" t="s">
        <v>83</v>
      </c>
      <c r="BR4907" s="2" t="s">
        <v>84</v>
      </c>
      <c r="BS4907" s="3">
        <v>42955</v>
      </c>
      <c r="BT4907" s="4">
        <v>0.31388888888888888</v>
      </c>
      <c r="BU4907" s="2" t="s">
        <v>4273</v>
      </c>
      <c r="BV4907" s="2" t="s">
        <v>95</v>
      </c>
      <c r="BW4907" s="2"/>
      <c r="BX4907" s="2"/>
      <c r="BY4907" s="2">
        <v>14807.52</v>
      </c>
      <c r="BZ4907" s="2"/>
      <c r="CA4907" s="2" t="s">
        <v>103</v>
      </c>
      <c r="CB4907" s="2"/>
      <c r="CC4907" s="2" t="s">
        <v>98</v>
      </c>
      <c r="CD4907" s="2">
        <v>6210</v>
      </c>
      <c r="CE4907" s="2" t="s">
        <v>104</v>
      </c>
      <c r="CF4907" s="5">
        <v>42957</v>
      </c>
      <c r="CG4907" s="2"/>
      <c r="CH4907" s="2"/>
      <c r="CI4907" s="2">
        <v>1</v>
      </c>
      <c r="CJ4907" s="2">
        <v>1</v>
      </c>
      <c r="CK4907" s="2">
        <v>21</v>
      </c>
      <c r="CL4907" s="2" t="s">
        <v>86</v>
      </c>
      <c r="CM4907" s="2"/>
    </row>
    <row r="4908" spans="1:91">
      <c r="A4908" s="2" t="s">
        <v>71</v>
      </c>
      <c r="B4908" s="2" t="s">
        <v>72</v>
      </c>
      <c r="C4908" s="2" t="s">
        <v>73</v>
      </c>
      <c r="D4908" s="2"/>
      <c r="E4908" s="2" t="str">
        <f>"FES1162567507"</f>
        <v>FES1162567507</v>
      </c>
      <c r="F4908" s="3">
        <v>42954</v>
      </c>
      <c r="G4908" s="2">
        <v>201802</v>
      </c>
      <c r="H4908" s="2" t="s">
        <v>74</v>
      </c>
      <c r="I4908" s="2" t="s">
        <v>75</v>
      </c>
      <c r="J4908" s="2" t="s">
        <v>76</v>
      </c>
      <c r="K4908" s="2" t="s">
        <v>77</v>
      </c>
      <c r="L4908" s="2" t="s">
        <v>201</v>
      </c>
      <c r="M4908" s="2" t="s">
        <v>202</v>
      </c>
      <c r="N4908" s="2" t="s">
        <v>409</v>
      </c>
      <c r="O4908" s="2" t="s">
        <v>100</v>
      </c>
      <c r="P4908" s="2" t="str">
        <f>"2170573678                    "</f>
        <v xml:space="preserve">2170573678                    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2">
        <v>0</v>
      </c>
      <c r="Z4908" s="2">
        <v>0</v>
      </c>
      <c r="AA4908" s="2">
        <v>0</v>
      </c>
      <c r="AB4908" s="2">
        <v>0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0</v>
      </c>
      <c r="AI4908" s="2">
        <v>0</v>
      </c>
      <c r="AJ4908" s="2">
        <v>0</v>
      </c>
      <c r="AK4908" s="2">
        <v>0</v>
      </c>
      <c r="AL4908" s="2">
        <v>0</v>
      </c>
      <c r="AM4908" s="2">
        <v>21.01</v>
      </c>
      <c r="AN4908" s="2">
        <v>0</v>
      </c>
      <c r="AO4908" s="2">
        <v>0</v>
      </c>
      <c r="AP4908" s="2">
        <v>0</v>
      </c>
      <c r="AQ4908" s="2">
        <v>0</v>
      </c>
      <c r="AR4908" s="2">
        <v>0</v>
      </c>
      <c r="AS4908" s="2">
        <v>0</v>
      </c>
      <c r="AT4908" s="2">
        <v>0</v>
      </c>
      <c r="AU4908" s="2">
        <v>0</v>
      </c>
      <c r="AV4908" s="2">
        <v>0</v>
      </c>
      <c r="AW4908" s="2">
        <v>0</v>
      </c>
      <c r="AX4908" s="2">
        <v>0</v>
      </c>
      <c r="AY4908" s="2">
        <v>0</v>
      </c>
      <c r="AZ4908" s="2">
        <v>0</v>
      </c>
      <c r="BA4908" s="2">
        <v>0</v>
      </c>
      <c r="BB4908" s="2">
        <v>0</v>
      </c>
      <c r="BC4908" s="2">
        <v>0</v>
      </c>
      <c r="BD4908" s="2">
        <v>0</v>
      </c>
      <c r="BE4908" s="2">
        <v>0</v>
      </c>
      <c r="BF4908" s="2">
        <v>0</v>
      </c>
      <c r="BG4908" s="2">
        <v>0</v>
      </c>
      <c r="BH4908" s="2">
        <v>1</v>
      </c>
      <c r="BI4908" s="2">
        <v>6.5</v>
      </c>
      <c r="BJ4908" s="2">
        <v>10.3</v>
      </c>
      <c r="BK4908" s="2">
        <v>10.5</v>
      </c>
      <c r="BL4908" s="2">
        <v>217.57</v>
      </c>
      <c r="BM4908" s="2">
        <v>30.46</v>
      </c>
      <c r="BN4908" s="2">
        <v>248.03</v>
      </c>
      <c r="BO4908" s="2">
        <v>248.03</v>
      </c>
      <c r="BP4908" s="2"/>
      <c r="BQ4908" s="2" t="s">
        <v>83</v>
      </c>
      <c r="BR4908" s="2" t="s">
        <v>84</v>
      </c>
      <c r="BS4908" s="3">
        <v>42955</v>
      </c>
      <c r="BT4908" s="4">
        <v>0.37222222222222223</v>
      </c>
      <c r="BU4908" s="2" t="s">
        <v>4271</v>
      </c>
      <c r="BV4908" s="2" t="s">
        <v>95</v>
      </c>
      <c r="BW4908" s="2"/>
      <c r="BX4908" s="2"/>
      <c r="BY4908" s="2">
        <v>51444.800000000003</v>
      </c>
      <c r="BZ4908" s="2"/>
      <c r="CA4908" s="2" t="s">
        <v>411</v>
      </c>
      <c r="CB4908" s="2"/>
      <c r="CC4908" s="2" t="s">
        <v>202</v>
      </c>
      <c r="CD4908" s="2">
        <v>7130</v>
      </c>
      <c r="CE4908" s="2" t="s">
        <v>89</v>
      </c>
      <c r="CF4908" s="5">
        <v>42957</v>
      </c>
      <c r="CG4908" s="2"/>
      <c r="CH4908" s="2"/>
      <c r="CI4908" s="2">
        <v>1</v>
      </c>
      <c r="CJ4908" s="2">
        <v>1</v>
      </c>
      <c r="CK4908" s="2">
        <v>21</v>
      </c>
      <c r="CL4908" s="2" t="s">
        <v>86</v>
      </c>
      <c r="CM4908" s="2"/>
    </row>
    <row r="4909" spans="1:91">
      <c r="A4909" s="2" t="s">
        <v>71</v>
      </c>
      <c r="B4909" s="2" t="s">
        <v>72</v>
      </c>
      <c r="C4909" s="2" t="s">
        <v>73</v>
      </c>
      <c r="D4909" s="2"/>
      <c r="E4909" s="2" t="str">
        <f>"FES1162567575"</f>
        <v>FES1162567575</v>
      </c>
      <c r="F4909" s="3">
        <v>42954</v>
      </c>
      <c r="G4909" s="2">
        <v>201802</v>
      </c>
      <c r="H4909" s="2" t="s">
        <v>74</v>
      </c>
      <c r="I4909" s="2" t="s">
        <v>75</v>
      </c>
      <c r="J4909" s="2" t="s">
        <v>76</v>
      </c>
      <c r="K4909" s="2" t="s">
        <v>77</v>
      </c>
      <c r="L4909" s="2" t="s">
        <v>339</v>
      </c>
      <c r="M4909" s="2" t="s">
        <v>340</v>
      </c>
      <c r="N4909" s="2" t="s">
        <v>1341</v>
      </c>
      <c r="O4909" s="2" t="s">
        <v>100</v>
      </c>
      <c r="P4909" s="2" t="str">
        <f>"2170583720                    "</f>
        <v xml:space="preserve">2170583720                    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0</v>
      </c>
      <c r="Y4909" s="2">
        <v>0</v>
      </c>
      <c r="Z4909" s="2">
        <v>0</v>
      </c>
      <c r="AA4909" s="2">
        <v>0</v>
      </c>
      <c r="AB4909" s="2">
        <v>0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0</v>
      </c>
      <c r="AL4909" s="2">
        <v>0</v>
      </c>
      <c r="AM4909" s="2">
        <v>4</v>
      </c>
      <c r="AN4909" s="2">
        <v>0</v>
      </c>
      <c r="AO4909" s="2">
        <v>0</v>
      </c>
      <c r="AP4909" s="2">
        <v>0</v>
      </c>
      <c r="AQ4909" s="2">
        <v>0</v>
      </c>
      <c r="AR4909" s="2">
        <v>0</v>
      </c>
      <c r="AS4909" s="2">
        <v>0</v>
      </c>
      <c r="AT4909" s="2">
        <v>0</v>
      </c>
      <c r="AU4909" s="2">
        <v>0</v>
      </c>
      <c r="AV4909" s="2">
        <v>0</v>
      </c>
      <c r="AW4909" s="2">
        <v>0</v>
      </c>
      <c r="AX4909" s="2">
        <v>0</v>
      </c>
      <c r="AY4909" s="2">
        <v>0</v>
      </c>
      <c r="AZ4909" s="2">
        <v>0</v>
      </c>
      <c r="BA4909" s="2">
        <v>0</v>
      </c>
      <c r="BB4909" s="2">
        <v>0</v>
      </c>
      <c r="BC4909" s="2">
        <v>0</v>
      </c>
      <c r="BD4909" s="2">
        <v>0</v>
      </c>
      <c r="BE4909" s="2">
        <v>0</v>
      </c>
      <c r="BF4909" s="2">
        <v>0</v>
      </c>
      <c r="BG4909" s="2">
        <v>0</v>
      </c>
      <c r="BH4909" s="2">
        <v>1</v>
      </c>
      <c r="BI4909" s="2">
        <v>0.6</v>
      </c>
      <c r="BJ4909" s="2">
        <v>1</v>
      </c>
      <c r="BK4909" s="2">
        <v>1</v>
      </c>
      <c r="BL4909" s="2">
        <v>41.44</v>
      </c>
      <c r="BM4909" s="2">
        <v>5.8</v>
      </c>
      <c r="BN4909" s="2">
        <v>47.24</v>
      </c>
      <c r="BO4909" s="2">
        <v>47.24</v>
      </c>
      <c r="BP4909" s="2"/>
      <c r="BQ4909" s="2" t="s">
        <v>4030</v>
      </c>
      <c r="BR4909" s="2" t="s">
        <v>84</v>
      </c>
      <c r="BS4909" s="3">
        <v>42955</v>
      </c>
      <c r="BT4909" s="4">
        <v>0.54166666666666663</v>
      </c>
      <c r="BU4909" s="2" t="s">
        <v>3085</v>
      </c>
      <c r="BV4909" s="2" t="s">
        <v>86</v>
      </c>
      <c r="BW4909" s="2"/>
      <c r="BX4909" s="2"/>
      <c r="BY4909" s="2">
        <v>5100.58</v>
      </c>
      <c r="BZ4909" s="2"/>
      <c r="CA4909" s="2"/>
      <c r="CB4909" s="2"/>
      <c r="CC4909" s="2" t="s">
        <v>340</v>
      </c>
      <c r="CD4909" s="2">
        <v>1947</v>
      </c>
      <c r="CE4909" s="2" t="s">
        <v>104</v>
      </c>
      <c r="CF4909" s="5">
        <v>42957</v>
      </c>
      <c r="CG4909" s="2"/>
      <c r="CH4909" s="2"/>
      <c r="CI4909" s="2">
        <v>1</v>
      </c>
      <c r="CJ4909" s="2">
        <v>1</v>
      </c>
      <c r="CK4909" s="2">
        <v>21</v>
      </c>
      <c r="CL4909" s="2" t="s">
        <v>86</v>
      </c>
      <c r="CM4909" s="2"/>
    </row>
    <row r="4910" spans="1:91">
      <c r="A4910" s="2" t="s">
        <v>71</v>
      </c>
      <c r="B4910" s="2" t="s">
        <v>72</v>
      </c>
      <c r="C4910" s="2" t="s">
        <v>73</v>
      </c>
      <c r="D4910" s="2"/>
      <c r="E4910" s="2" t="str">
        <f>"FES1162567514"</f>
        <v>FES1162567514</v>
      </c>
      <c r="F4910" s="3">
        <v>42954</v>
      </c>
      <c r="G4910" s="2">
        <v>201802</v>
      </c>
      <c r="H4910" s="2" t="s">
        <v>74</v>
      </c>
      <c r="I4910" s="2" t="s">
        <v>75</v>
      </c>
      <c r="J4910" s="2" t="s">
        <v>76</v>
      </c>
      <c r="K4910" s="2" t="s">
        <v>77</v>
      </c>
      <c r="L4910" s="2" t="s">
        <v>144</v>
      </c>
      <c r="M4910" s="2" t="s">
        <v>145</v>
      </c>
      <c r="N4910" s="2" t="s">
        <v>146</v>
      </c>
      <c r="O4910" s="2" t="s">
        <v>100</v>
      </c>
      <c r="P4910" s="2" t="str">
        <f>"2170580537                    "</f>
        <v xml:space="preserve">2170580537                    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0</v>
      </c>
      <c r="Y4910" s="2">
        <v>0</v>
      </c>
      <c r="Z4910" s="2">
        <v>0</v>
      </c>
      <c r="AA4910" s="2">
        <v>0</v>
      </c>
      <c r="AB4910" s="2">
        <v>0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3.13</v>
      </c>
      <c r="AN4910" s="2">
        <v>0</v>
      </c>
      <c r="AO4910" s="2">
        <v>0</v>
      </c>
      <c r="AP4910" s="2">
        <v>0</v>
      </c>
      <c r="AQ4910" s="2">
        <v>0</v>
      </c>
      <c r="AR4910" s="2">
        <v>0</v>
      </c>
      <c r="AS4910" s="2">
        <v>0</v>
      </c>
      <c r="AT4910" s="2">
        <v>0</v>
      </c>
      <c r="AU4910" s="2">
        <v>0</v>
      </c>
      <c r="AV4910" s="2">
        <v>0</v>
      </c>
      <c r="AW4910" s="2">
        <v>0</v>
      </c>
      <c r="AX4910" s="2">
        <v>0</v>
      </c>
      <c r="AY4910" s="2">
        <v>0</v>
      </c>
      <c r="AZ4910" s="2">
        <v>0</v>
      </c>
      <c r="BA4910" s="2">
        <v>0</v>
      </c>
      <c r="BB4910" s="2">
        <v>0</v>
      </c>
      <c r="BC4910" s="2">
        <v>0</v>
      </c>
      <c r="BD4910" s="2">
        <v>0</v>
      </c>
      <c r="BE4910" s="2">
        <v>0</v>
      </c>
      <c r="BF4910" s="2">
        <v>0</v>
      </c>
      <c r="BG4910" s="2">
        <v>0</v>
      </c>
      <c r="BH4910" s="2">
        <v>1</v>
      </c>
      <c r="BI4910" s="2">
        <v>2.9</v>
      </c>
      <c r="BJ4910" s="2">
        <v>2.9</v>
      </c>
      <c r="BK4910" s="2">
        <v>3</v>
      </c>
      <c r="BL4910" s="2">
        <v>32.380000000000003</v>
      </c>
      <c r="BM4910" s="2">
        <v>4.53</v>
      </c>
      <c r="BN4910" s="2">
        <v>36.909999999999997</v>
      </c>
      <c r="BO4910" s="2">
        <v>36.909999999999997</v>
      </c>
      <c r="BP4910" s="2"/>
      <c r="BQ4910" s="2" t="s">
        <v>83</v>
      </c>
      <c r="BR4910" s="2" t="s">
        <v>84</v>
      </c>
      <c r="BS4910" s="3">
        <v>42955</v>
      </c>
      <c r="BT4910" s="4">
        <v>0.40416666666666662</v>
      </c>
      <c r="BU4910" s="2" t="s">
        <v>1458</v>
      </c>
      <c r="BV4910" s="2" t="s">
        <v>95</v>
      </c>
      <c r="BW4910" s="2"/>
      <c r="BX4910" s="2"/>
      <c r="BY4910" s="2">
        <v>14469.69</v>
      </c>
      <c r="BZ4910" s="2"/>
      <c r="CA4910" s="2" t="s">
        <v>729</v>
      </c>
      <c r="CB4910" s="2"/>
      <c r="CC4910" s="2" t="s">
        <v>145</v>
      </c>
      <c r="CD4910" s="2">
        <v>2094</v>
      </c>
      <c r="CE4910" s="2" t="s">
        <v>89</v>
      </c>
      <c r="CF4910" s="5">
        <v>42957</v>
      </c>
      <c r="CG4910" s="2"/>
      <c r="CH4910" s="2"/>
      <c r="CI4910" s="2">
        <v>1</v>
      </c>
      <c r="CJ4910" s="2">
        <v>1</v>
      </c>
      <c r="CK4910" s="2">
        <v>22</v>
      </c>
      <c r="CL4910" s="2" t="s">
        <v>86</v>
      </c>
      <c r="CM4910" s="2"/>
    </row>
    <row r="4911" spans="1:91">
      <c r="A4911" s="2" t="s">
        <v>71</v>
      </c>
      <c r="B4911" s="2" t="s">
        <v>72</v>
      </c>
      <c r="C4911" s="2" t="s">
        <v>73</v>
      </c>
      <c r="D4911" s="2"/>
      <c r="E4911" s="2" t="str">
        <f>"FES1162567511"</f>
        <v>FES1162567511</v>
      </c>
      <c r="F4911" s="3">
        <v>42954</v>
      </c>
      <c r="G4911" s="2">
        <v>201802</v>
      </c>
      <c r="H4911" s="2" t="s">
        <v>74</v>
      </c>
      <c r="I4911" s="2" t="s">
        <v>75</v>
      </c>
      <c r="J4911" s="2" t="s">
        <v>76</v>
      </c>
      <c r="K4911" s="2" t="s">
        <v>77</v>
      </c>
      <c r="L4911" s="2" t="s">
        <v>237</v>
      </c>
      <c r="M4911" s="2" t="s">
        <v>238</v>
      </c>
      <c r="N4911" s="2" t="s">
        <v>4274</v>
      </c>
      <c r="O4911" s="2" t="s">
        <v>100</v>
      </c>
      <c r="P4911" s="2" t="str">
        <f>"2170579565                    "</f>
        <v xml:space="preserve">2170579565                    </v>
      </c>
      <c r="Q4911" s="2">
        <v>0</v>
      </c>
      <c r="R4911" s="2">
        <v>0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0</v>
      </c>
      <c r="Y4911" s="2">
        <v>0</v>
      </c>
      <c r="Z4911" s="2">
        <v>0</v>
      </c>
      <c r="AA4911" s="2">
        <v>0</v>
      </c>
      <c r="AB4911" s="2">
        <v>0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0</v>
      </c>
      <c r="AI4911" s="2">
        <v>0</v>
      </c>
      <c r="AJ4911" s="2">
        <v>0</v>
      </c>
      <c r="AK4911" s="2">
        <v>0</v>
      </c>
      <c r="AL4911" s="2">
        <v>0</v>
      </c>
      <c r="AM4911" s="2">
        <v>37.020000000000003</v>
      </c>
      <c r="AN4911" s="2">
        <v>0</v>
      </c>
      <c r="AO4911" s="2">
        <v>0</v>
      </c>
      <c r="AP4911" s="2">
        <v>0</v>
      </c>
      <c r="AQ4911" s="2">
        <v>0</v>
      </c>
      <c r="AR4911" s="2">
        <v>0</v>
      </c>
      <c r="AS4911" s="2">
        <v>0</v>
      </c>
      <c r="AT4911" s="2">
        <v>0</v>
      </c>
      <c r="AU4911" s="2">
        <v>0</v>
      </c>
      <c r="AV4911" s="2">
        <v>0</v>
      </c>
      <c r="AW4911" s="2">
        <v>0</v>
      </c>
      <c r="AX4911" s="2">
        <v>0</v>
      </c>
      <c r="AY4911" s="2">
        <v>0</v>
      </c>
      <c r="AZ4911" s="2">
        <v>0</v>
      </c>
      <c r="BA4911" s="2">
        <v>0</v>
      </c>
      <c r="BB4911" s="2">
        <v>0</v>
      </c>
      <c r="BC4911" s="2">
        <v>0</v>
      </c>
      <c r="BD4911" s="2">
        <v>0</v>
      </c>
      <c r="BE4911" s="2">
        <v>0</v>
      </c>
      <c r="BF4911" s="2">
        <v>0</v>
      </c>
      <c r="BG4911" s="2">
        <v>0</v>
      </c>
      <c r="BH4911" s="2">
        <v>2</v>
      </c>
      <c r="BI4911" s="2">
        <v>9.8000000000000007</v>
      </c>
      <c r="BJ4911" s="2">
        <v>18.5</v>
      </c>
      <c r="BK4911" s="2">
        <v>18.5</v>
      </c>
      <c r="BL4911" s="2">
        <v>383.34</v>
      </c>
      <c r="BM4911" s="2">
        <v>53.67</v>
      </c>
      <c r="BN4911" s="2">
        <v>437.01</v>
      </c>
      <c r="BO4911" s="2">
        <v>437.01</v>
      </c>
      <c r="BP4911" s="2"/>
      <c r="BQ4911" s="2"/>
      <c r="BR4911" s="2" t="s">
        <v>84</v>
      </c>
      <c r="BS4911" s="3">
        <v>42955</v>
      </c>
      <c r="BT4911" s="4">
        <v>0.4069444444444445</v>
      </c>
      <c r="BU4911" s="2" t="s">
        <v>4275</v>
      </c>
      <c r="BV4911" s="2" t="s">
        <v>95</v>
      </c>
      <c r="BW4911" s="2"/>
      <c r="BX4911" s="2"/>
      <c r="BY4911" s="2">
        <v>92645</v>
      </c>
      <c r="BZ4911" s="2"/>
      <c r="CA4911" s="2" t="s">
        <v>389</v>
      </c>
      <c r="CB4911" s="2"/>
      <c r="CC4911" s="2" t="s">
        <v>238</v>
      </c>
      <c r="CD4911" s="2">
        <v>3610</v>
      </c>
      <c r="CE4911" s="2" t="s">
        <v>104</v>
      </c>
      <c r="CF4911" s="5">
        <v>42957</v>
      </c>
      <c r="CG4911" s="2"/>
      <c r="CH4911" s="2"/>
      <c r="CI4911" s="2">
        <v>1</v>
      </c>
      <c r="CJ4911" s="2">
        <v>1</v>
      </c>
      <c r="CK4911" s="2">
        <v>21</v>
      </c>
      <c r="CL4911" s="2" t="s">
        <v>86</v>
      </c>
      <c r="CM4911" s="2"/>
    </row>
    <row r="4912" spans="1:91">
      <c r="A4912" s="2" t="s">
        <v>71</v>
      </c>
      <c r="B4912" s="2" t="s">
        <v>72</v>
      </c>
      <c r="C4912" s="2" t="s">
        <v>73</v>
      </c>
      <c r="D4912" s="2"/>
      <c r="E4912" s="2" t="str">
        <f>"FES1162567506"</f>
        <v>FES1162567506</v>
      </c>
      <c r="F4912" s="3">
        <v>42954</v>
      </c>
      <c r="G4912" s="2">
        <v>201802</v>
      </c>
      <c r="H4912" s="2" t="s">
        <v>74</v>
      </c>
      <c r="I4912" s="2" t="s">
        <v>75</v>
      </c>
      <c r="J4912" s="2" t="s">
        <v>76</v>
      </c>
      <c r="K4912" s="2" t="s">
        <v>77</v>
      </c>
      <c r="L4912" s="2" t="s">
        <v>321</v>
      </c>
      <c r="M4912" s="2" t="s">
        <v>322</v>
      </c>
      <c r="N4912" s="2" t="s">
        <v>323</v>
      </c>
      <c r="O4912" s="2" t="s">
        <v>100</v>
      </c>
      <c r="P4912" s="2" t="str">
        <f>"2170572386                    "</f>
        <v xml:space="preserve">2170572386                    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0</v>
      </c>
      <c r="Y4912" s="2">
        <v>0</v>
      </c>
      <c r="Z4912" s="2">
        <v>0</v>
      </c>
      <c r="AA4912" s="2">
        <v>0</v>
      </c>
      <c r="AB4912" s="2">
        <v>0</v>
      </c>
      <c r="AC4912" s="2">
        <v>0</v>
      </c>
      <c r="AD4912" s="2">
        <v>0</v>
      </c>
      <c r="AE4912" s="2">
        <v>0</v>
      </c>
      <c r="AF4912" s="2">
        <v>0</v>
      </c>
      <c r="AG4912" s="2">
        <v>0</v>
      </c>
      <c r="AH4912" s="2">
        <v>0</v>
      </c>
      <c r="AI4912" s="2">
        <v>0</v>
      </c>
      <c r="AJ4912" s="2">
        <v>0</v>
      </c>
      <c r="AK4912" s="2">
        <v>0</v>
      </c>
      <c r="AL4912" s="2">
        <v>0</v>
      </c>
      <c r="AM4912" s="2">
        <v>18.010000000000002</v>
      </c>
      <c r="AN4912" s="2">
        <v>0</v>
      </c>
      <c r="AO4912" s="2">
        <v>0</v>
      </c>
      <c r="AP4912" s="2">
        <v>0</v>
      </c>
      <c r="AQ4912" s="2">
        <v>0</v>
      </c>
      <c r="AR4912" s="2">
        <v>0</v>
      </c>
      <c r="AS4912" s="2">
        <v>0</v>
      </c>
      <c r="AT4912" s="2">
        <v>0</v>
      </c>
      <c r="AU4912" s="2">
        <v>0</v>
      </c>
      <c r="AV4912" s="2">
        <v>0</v>
      </c>
      <c r="AW4912" s="2">
        <v>0</v>
      </c>
      <c r="AX4912" s="2">
        <v>0</v>
      </c>
      <c r="AY4912" s="2">
        <v>0</v>
      </c>
      <c r="AZ4912" s="2">
        <v>0</v>
      </c>
      <c r="BA4912" s="2">
        <v>0</v>
      </c>
      <c r="BB4912" s="2">
        <v>0</v>
      </c>
      <c r="BC4912" s="2">
        <v>0</v>
      </c>
      <c r="BD4912" s="2">
        <v>0</v>
      </c>
      <c r="BE4912" s="2">
        <v>0</v>
      </c>
      <c r="BF4912" s="2">
        <v>0</v>
      </c>
      <c r="BG4912" s="2">
        <v>0</v>
      </c>
      <c r="BH4912" s="2">
        <v>1</v>
      </c>
      <c r="BI4912" s="2">
        <v>8</v>
      </c>
      <c r="BJ4912" s="2">
        <v>9</v>
      </c>
      <c r="BK4912" s="2">
        <v>9</v>
      </c>
      <c r="BL4912" s="2">
        <v>186.49</v>
      </c>
      <c r="BM4912" s="2">
        <v>26.11</v>
      </c>
      <c r="BN4912" s="2">
        <v>212.6</v>
      </c>
      <c r="BO4912" s="2">
        <v>212.6</v>
      </c>
      <c r="BP4912" s="2"/>
      <c r="BQ4912" s="2" t="s">
        <v>83</v>
      </c>
      <c r="BR4912" s="2" t="s">
        <v>84</v>
      </c>
      <c r="BS4912" s="3">
        <v>42955</v>
      </c>
      <c r="BT4912" s="4">
        <v>0.375</v>
      </c>
      <c r="BU4912" s="2" t="s">
        <v>324</v>
      </c>
      <c r="BV4912" s="2" t="s">
        <v>95</v>
      </c>
      <c r="BW4912" s="2"/>
      <c r="BX4912" s="2"/>
      <c r="BY4912" s="2">
        <v>45176.2</v>
      </c>
      <c r="BZ4912" s="2"/>
      <c r="CA4912" s="2" t="s">
        <v>103</v>
      </c>
      <c r="CB4912" s="2"/>
      <c r="CC4912" s="2" t="s">
        <v>322</v>
      </c>
      <c r="CD4912" s="2">
        <v>6220</v>
      </c>
      <c r="CE4912" s="2" t="s">
        <v>89</v>
      </c>
      <c r="CF4912" s="5">
        <v>42957</v>
      </c>
      <c r="CG4912" s="2"/>
      <c r="CH4912" s="2"/>
      <c r="CI4912" s="2">
        <v>1</v>
      </c>
      <c r="CJ4912" s="2">
        <v>1</v>
      </c>
      <c r="CK4912" s="2">
        <v>21</v>
      </c>
      <c r="CL4912" s="2" t="s">
        <v>86</v>
      </c>
      <c r="CM4912" s="2"/>
    </row>
    <row r="4913" spans="1:91">
      <c r="A4913" s="2" t="s">
        <v>71</v>
      </c>
      <c r="B4913" s="2" t="s">
        <v>72</v>
      </c>
      <c r="C4913" s="2" t="s">
        <v>73</v>
      </c>
      <c r="D4913" s="2"/>
      <c r="E4913" s="2" t="str">
        <f>"FES1162567606"</f>
        <v>FES1162567606</v>
      </c>
      <c r="F4913" s="3">
        <v>42954</v>
      </c>
      <c r="G4913" s="2">
        <v>201802</v>
      </c>
      <c r="H4913" s="2" t="s">
        <v>74</v>
      </c>
      <c r="I4913" s="2" t="s">
        <v>75</v>
      </c>
      <c r="J4913" s="2" t="s">
        <v>76</v>
      </c>
      <c r="K4913" s="2" t="s">
        <v>77</v>
      </c>
      <c r="L4913" s="2" t="s">
        <v>362</v>
      </c>
      <c r="M4913" s="2" t="s">
        <v>363</v>
      </c>
      <c r="N4913" s="2" t="s">
        <v>1944</v>
      </c>
      <c r="O4913" s="2" t="s">
        <v>100</v>
      </c>
      <c r="P4913" s="2" t="str">
        <f>"2170583667                    "</f>
        <v xml:space="preserve">2170583667                    </v>
      </c>
      <c r="Q4913" s="2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0</v>
      </c>
      <c r="Y4913" s="2">
        <v>0</v>
      </c>
      <c r="Z4913" s="2">
        <v>0</v>
      </c>
      <c r="AA4913" s="2">
        <v>0</v>
      </c>
      <c r="AB4913" s="2">
        <v>0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0</v>
      </c>
      <c r="AI4913" s="2">
        <v>0</v>
      </c>
      <c r="AJ4913" s="2">
        <v>0</v>
      </c>
      <c r="AK4913" s="2">
        <v>0</v>
      </c>
      <c r="AL4913" s="2">
        <v>0</v>
      </c>
      <c r="AM4913" s="2">
        <v>4</v>
      </c>
      <c r="AN4913" s="2">
        <v>0</v>
      </c>
      <c r="AO4913" s="2">
        <v>0</v>
      </c>
      <c r="AP4913" s="2">
        <v>0</v>
      </c>
      <c r="AQ4913" s="2">
        <v>0</v>
      </c>
      <c r="AR4913" s="2">
        <v>0</v>
      </c>
      <c r="AS4913" s="2">
        <v>0</v>
      </c>
      <c r="AT4913" s="2">
        <v>0</v>
      </c>
      <c r="AU4913" s="2">
        <v>0</v>
      </c>
      <c r="AV4913" s="2">
        <v>0</v>
      </c>
      <c r="AW4913" s="2">
        <v>0</v>
      </c>
      <c r="AX4913" s="2">
        <v>0</v>
      </c>
      <c r="AY4913" s="2">
        <v>0</v>
      </c>
      <c r="AZ4913" s="2">
        <v>0</v>
      </c>
      <c r="BA4913" s="2">
        <v>0</v>
      </c>
      <c r="BB4913" s="2">
        <v>0</v>
      </c>
      <c r="BC4913" s="2">
        <v>0</v>
      </c>
      <c r="BD4913" s="2">
        <v>0</v>
      </c>
      <c r="BE4913" s="2">
        <v>0</v>
      </c>
      <c r="BF4913" s="2">
        <v>0</v>
      </c>
      <c r="BG4913" s="2">
        <v>0</v>
      </c>
      <c r="BH4913" s="2">
        <v>1</v>
      </c>
      <c r="BI4913" s="2">
        <v>1</v>
      </c>
      <c r="BJ4913" s="2">
        <v>0.2</v>
      </c>
      <c r="BK4913" s="2">
        <v>1</v>
      </c>
      <c r="BL4913" s="2">
        <v>41.44</v>
      </c>
      <c r="BM4913" s="2">
        <v>5.8</v>
      </c>
      <c r="BN4913" s="2">
        <v>47.24</v>
      </c>
      <c r="BO4913" s="2">
        <v>47.24</v>
      </c>
      <c r="BP4913" s="2"/>
      <c r="BQ4913" s="2" t="s">
        <v>288</v>
      </c>
      <c r="BR4913" s="2" t="s">
        <v>84</v>
      </c>
      <c r="BS4913" s="3">
        <v>42955</v>
      </c>
      <c r="BT4913" s="4">
        <v>0.42708333333333331</v>
      </c>
      <c r="BU4913" s="2" t="s">
        <v>4276</v>
      </c>
      <c r="BV4913" s="2" t="s">
        <v>95</v>
      </c>
      <c r="BW4913" s="2"/>
      <c r="BX4913" s="2"/>
      <c r="BY4913" s="2">
        <v>1200</v>
      </c>
      <c r="BZ4913" s="2"/>
      <c r="CA4913" s="2" t="s">
        <v>148</v>
      </c>
      <c r="CB4913" s="2"/>
      <c r="CC4913" s="2" t="s">
        <v>363</v>
      </c>
      <c r="CD4913" s="2">
        <v>3201</v>
      </c>
      <c r="CE4913" s="2" t="s">
        <v>104</v>
      </c>
      <c r="CF4913" s="5">
        <v>42959</v>
      </c>
      <c r="CG4913" s="2"/>
      <c r="CH4913" s="2"/>
      <c r="CI4913" s="2">
        <v>1</v>
      </c>
      <c r="CJ4913" s="2">
        <v>1</v>
      </c>
      <c r="CK4913" s="2">
        <v>21</v>
      </c>
      <c r="CL4913" s="2" t="s">
        <v>86</v>
      </c>
      <c r="CM4913" s="2"/>
    </row>
    <row r="4914" spans="1:91">
      <c r="A4914" s="2" t="s">
        <v>71</v>
      </c>
      <c r="B4914" s="2" t="s">
        <v>72</v>
      </c>
      <c r="C4914" s="2" t="s">
        <v>73</v>
      </c>
      <c r="D4914" s="2"/>
      <c r="E4914" s="2" t="str">
        <f>"FES1162567541"</f>
        <v>FES1162567541</v>
      </c>
      <c r="F4914" s="3">
        <v>42954</v>
      </c>
      <c r="G4914" s="2">
        <v>201802</v>
      </c>
      <c r="H4914" s="2" t="s">
        <v>74</v>
      </c>
      <c r="I4914" s="2" t="s">
        <v>75</v>
      </c>
      <c r="J4914" s="2" t="s">
        <v>76</v>
      </c>
      <c r="K4914" s="2" t="s">
        <v>77</v>
      </c>
      <c r="L4914" s="2" t="s">
        <v>97</v>
      </c>
      <c r="M4914" s="2" t="s">
        <v>98</v>
      </c>
      <c r="N4914" s="2" t="s">
        <v>3269</v>
      </c>
      <c r="O4914" s="2" t="s">
        <v>100</v>
      </c>
      <c r="P4914" s="2" t="str">
        <f>"2170576203                    "</f>
        <v xml:space="preserve">2170576203                    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0</v>
      </c>
      <c r="Y4914" s="2">
        <v>0</v>
      </c>
      <c r="Z4914" s="2">
        <v>0</v>
      </c>
      <c r="AA4914" s="2">
        <v>0</v>
      </c>
      <c r="AB4914" s="2">
        <v>0</v>
      </c>
      <c r="AC4914" s="2">
        <v>0</v>
      </c>
      <c r="AD4914" s="2">
        <v>0</v>
      </c>
      <c r="AE4914" s="2">
        <v>0</v>
      </c>
      <c r="AF4914" s="2">
        <v>0</v>
      </c>
      <c r="AG4914" s="2">
        <v>0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  <c r="AM4914" s="2">
        <v>7</v>
      </c>
      <c r="AN4914" s="2">
        <v>0</v>
      </c>
      <c r="AO4914" s="2">
        <v>0</v>
      </c>
      <c r="AP4914" s="2">
        <v>0</v>
      </c>
      <c r="AQ4914" s="2">
        <v>0</v>
      </c>
      <c r="AR4914" s="2">
        <v>0</v>
      </c>
      <c r="AS4914" s="2">
        <v>0</v>
      </c>
      <c r="AT4914" s="2">
        <v>0</v>
      </c>
      <c r="AU4914" s="2">
        <v>0</v>
      </c>
      <c r="AV4914" s="2">
        <v>0</v>
      </c>
      <c r="AW4914" s="2">
        <v>0</v>
      </c>
      <c r="AX4914" s="2">
        <v>0</v>
      </c>
      <c r="AY4914" s="2">
        <v>0</v>
      </c>
      <c r="AZ4914" s="2">
        <v>0</v>
      </c>
      <c r="BA4914" s="2">
        <v>0</v>
      </c>
      <c r="BB4914" s="2">
        <v>0</v>
      </c>
      <c r="BC4914" s="2">
        <v>0</v>
      </c>
      <c r="BD4914" s="2">
        <v>0</v>
      </c>
      <c r="BE4914" s="2">
        <v>0</v>
      </c>
      <c r="BF4914" s="2">
        <v>0</v>
      </c>
      <c r="BG4914" s="2">
        <v>0</v>
      </c>
      <c r="BH4914" s="2">
        <v>1</v>
      </c>
      <c r="BI4914" s="2">
        <v>3.2</v>
      </c>
      <c r="BJ4914" s="2">
        <v>2.8</v>
      </c>
      <c r="BK4914" s="2">
        <v>3.5</v>
      </c>
      <c r="BL4914" s="2">
        <v>72.52</v>
      </c>
      <c r="BM4914" s="2">
        <v>10.15</v>
      </c>
      <c r="BN4914" s="2">
        <v>82.67</v>
      </c>
      <c r="BO4914" s="2">
        <v>82.67</v>
      </c>
      <c r="BP4914" s="2"/>
      <c r="BQ4914" s="2" t="s">
        <v>83</v>
      </c>
      <c r="BR4914" s="2" t="s">
        <v>84</v>
      </c>
      <c r="BS4914" s="3">
        <v>42955</v>
      </c>
      <c r="BT4914" s="4">
        <v>0.41666666666666669</v>
      </c>
      <c r="BU4914" s="2" t="s">
        <v>230</v>
      </c>
      <c r="BV4914" s="2" t="s">
        <v>95</v>
      </c>
      <c r="BW4914" s="2"/>
      <c r="BX4914" s="2"/>
      <c r="BY4914" s="2">
        <v>14193.14</v>
      </c>
      <c r="BZ4914" s="2"/>
      <c r="CA4914" s="2" t="s">
        <v>103</v>
      </c>
      <c r="CB4914" s="2"/>
      <c r="CC4914" s="2" t="s">
        <v>98</v>
      </c>
      <c r="CD4914" s="2">
        <v>6001</v>
      </c>
      <c r="CE4914" s="2" t="s">
        <v>89</v>
      </c>
      <c r="CF4914" s="5">
        <v>42957</v>
      </c>
      <c r="CG4914" s="2"/>
      <c r="CH4914" s="2"/>
      <c r="CI4914" s="2">
        <v>1</v>
      </c>
      <c r="CJ4914" s="2">
        <v>1</v>
      </c>
      <c r="CK4914" s="2">
        <v>21</v>
      </c>
      <c r="CL4914" s="2" t="s">
        <v>86</v>
      </c>
      <c r="CM4914" s="2"/>
    </row>
    <row r="4915" spans="1:91">
      <c r="A4915" s="2" t="s">
        <v>71</v>
      </c>
      <c r="B4915" s="2" t="s">
        <v>72</v>
      </c>
      <c r="C4915" s="2" t="s">
        <v>73</v>
      </c>
      <c r="D4915" s="2"/>
      <c r="E4915" s="2" t="str">
        <f>"FES1162567521"</f>
        <v>FES1162567521</v>
      </c>
      <c r="F4915" s="3">
        <v>42954</v>
      </c>
      <c r="G4915" s="2">
        <v>201802</v>
      </c>
      <c r="H4915" s="2" t="s">
        <v>74</v>
      </c>
      <c r="I4915" s="2" t="s">
        <v>75</v>
      </c>
      <c r="J4915" s="2" t="s">
        <v>76</v>
      </c>
      <c r="K4915" s="2" t="s">
        <v>77</v>
      </c>
      <c r="L4915" s="2" t="s">
        <v>97</v>
      </c>
      <c r="M4915" s="2" t="s">
        <v>98</v>
      </c>
      <c r="N4915" s="2" t="s">
        <v>248</v>
      </c>
      <c r="O4915" s="2" t="s">
        <v>100</v>
      </c>
      <c r="P4915" s="2" t="str">
        <f>"2170575504                    "</f>
        <v xml:space="preserve">2170575504                    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0</v>
      </c>
      <c r="Y4915" s="2">
        <v>0</v>
      </c>
      <c r="Z4915" s="2">
        <v>0</v>
      </c>
      <c r="AA4915" s="2">
        <v>0</v>
      </c>
      <c r="AB4915" s="2">
        <v>0</v>
      </c>
      <c r="AC4915" s="2">
        <v>0</v>
      </c>
      <c r="AD4915" s="2">
        <v>0</v>
      </c>
      <c r="AE4915" s="2">
        <v>0</v>
      </c>
      <c r="AF4915" s="2">
        <v>0</v>
      </c>
      <c r="AG4915" s="2">
        <v>0</v>
      </c>
      <c r="AH4915" s="2">
        <v>0</v>
      </c>
      <c r="AI4915" s="2">
        <v>0</v>
      </c>
      <c r="AJ4915" s="2">
        <v>0</v>
      </c>
      <c r="AK4915" s="2">
        <v>0</v>
      </c>
      <c r="AL4915" s="2">
        <v>0</v>
      </c>
      <c r="AM4915" s="2">
        <v>7</v>
      </c>
      <c r="AN4915" s="2">
        <v>0</v>
      </c>
      <c r="AO4915" s="2">
        <v>0</v>
      </c>
      <c r="AP4915" s="2">
        <v>0</v>
      </c>
      <c r="AQ4915" s="2">
        <v>0</v>
      </c>
      <c r="AR4915" s="2">
        <v>0</v>
      </c>
      <c r="AS4915" s="2">
        <v>0</v>
      </c>
      <c r="AT4915" s="2">
        <v>0</v>
      </c>
      <c r="AU4915" s="2">
        <v>0</v>
      </c>
      <c r="AV4915" s="2">
        <v>0</v>
      </c>
      <c r="AW4915" s="2">
        <v>0</v>
      </c>
      <c r="AX4915" s="2">
        <v>0</v>
      </c>
      <c r="AY4915" s="2">
        <v>0</v>
      </c>
      <c r="AZ4915" s="2">
        <v>0</v>
      </c>
      <c r="BA4915" s="2">
        <v>0</v>
      </c>
      <c r="BB4915" s="2">
        <v>0</v>
      </c>
      <c r="BC4915" s="2">
        <v>0</v>
      </c>
      <c r="BD4915" s="2">
        <v>0</v>
      </c>
      <c r="BE4915" s="2">
        <v>0</v>
      </c>
      <c r="BF4915" s="2">
        <v>0</v>
      </c>
      <c r="BG4915" s="2">
        <v>0</v>
      </c>
      <c r="BH4915" s="2">
        <v>1</v>
      </c>
      <c r="BI4915" s="2">
        <v>3.1</v>
      </c>
      <c r="BJ4915" s="2">
        <v>2.9</v>
      </c>
      <c r="BK4915" s="2">
        <v>3.5</v>
      </c>
      <c r="BL4915" s="2">
        <v>72.52</v>
      </c>
      <c r="BM4915" s="2">
        <v>10.15</v>
      </c>
      <c r="BN4915" s="2">
        <v>82.67</v>
      </c>
      <c r="BO4915" s="2">
        <v>82.67</v>
      </c>
      <c r="BP4915" s="2"/>
      <c r="BQ4915" s="2" t="s">
        <v>83</v>
      </c>
      <c r="BR4915" s="2" t="s">
        <v>84</v>
      </c>
      <c r="BS4915" s="3">
        <v>42955</v>
      </c>
      <c r="BT4915" s="4">
        <v>0.35416666666666669</v>
      </c>
      <c r="BU4915" s="2" t="s">
        <v>390</v>
      </c>
      <c r="BV4915" s="2" t="s">
        <v>95</v>
      </c>
      <c r="BW4915" s="2"/>
      <c r="BX4915" s="2"/>
      <c r="BY4915" s="2">
        <v>14442.85</v>
      </c>
      <c r="BZ4915" s="2"/>
      <c r="CA4915" s="2" t="s">
        <v>294</v>
      </c>
      <c r="CB4915" s="2"/>
      <c r="CC4915" s="2" t="s">
        <v>98</v>
      </c>
      <c r="CD4915" s="2">
        <v>6001</v>
      </c>
      <c r="CE4915" s="2" t="s">
        <v>89</v>
      </c>
      <c r="CF4915" s="5">
        <v>42957</v>
      </c>
      <c r="CG4915" s="2"/>
      <c r="CH4915" s="2"/>
      <c r="CI4915" s="2">
        <v>1</v>
      </c>
      <c r="CJ4915" s="2">
        <v>1</v>
      </c>
      <c r="CK4915" s="2">
        <v>21</v>
      </c>
      <c r="CL4915" s="2" t="s">
        <v>86</v>
      </c>
      <c r="CM4915" s="2"/>
    </row>
    <row r="4916" spans="1:91">
      <c r="A4916" s="2" t="s">
        <v>71</v>
      </c>
      <c r="B4916" s="2" t="s">
        <v>72</v>
      </c>
      <c r="C4916" s="2" t="s">
        <v>73</v>
      </c>
      <c r="D4916" s="2"/>
      <c r="E4916" s="2" t="str">
        <f>"FES1162567590"</f>
        <v>FES1162567590</v>
      </c>
      <c r="F4916" s="3">
        <v>42954</v>
      </c>
      <c r="G4916" s="2">
        <v>201802</v>
      </c>
      <c r="H4916" s="2" t="s">
        <v>74</v>
      </c>
      <c r="I4916" s="2" t="s">
        <v>75</v>
      </c>
      <c r="J4916" s="2" t="s">
        <v>76</v>
      </c>
      <c r="K4916" s="2" t="s">
        <v>77</v>
      </c>
      <c r="L4916" s="2" t="s">
        <v>206</v>
      </c>
      <c r="M4916" s="2" t="s">
        <v>207</v>
      </c>
      <c r="N4916" s="2" t="s">
        <v>262</v>
      </c>
      <c r="O4916" s="2" t="s">
        <v>100</v>
      </c>
      <c r="P4916" s="2" t="str">
        <f>"2170583740                    "</f>
        <v xml:space="preserve">2170583740                    </v>
      </c>
      <c r="Q4916" s="2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0</v>
      </c>
      <c r="Y4916" s="2">
        <v>0</v>
      </c>
      <c r="Z4916" s="2">
        <v>0</v>
      </c>
      <c r="AA4916" s="2">
        <v>0</v>
      </c>
      <c r="AB4916" s="2">
        <v>0</v>
      </c>
      <c r="AC4916" s="2">
        <v>0</v>
      </c>
      <c r="AD4916" s="2">
        <v>0</v>
      </c>
      <c r="AE4916" s="2">
        <v>0</v>
      </c>
      <c r="AF4916" s="2">
        <v>0</v>
      </c>
      <c r="AG4916" s="2">
        <v>0</v>
      </c>
      <c r="AH4916" s="2">
        <v>0</v>
      </c>
      <c r="AI4916" s="2">
        <v>0</v>
      </c>
      <c r="AJ4916" s="2">
        <v>0</v>
      </c>
      <c r="AK4916" s="2">
        <v>0</v>
      </c>
      <c r="AL4916" s="2">
        <v>0</v>
      </c>
      <c r="AM4916" s="2">
        <v>5.63</v>
      </c>
      <c r="AN4916" s="2">
        <v>0</v>
      </c>
      <c r="AO4916" s="2">
        <v>0</v>
      </c>
      <c r="AP4916" s="2">
        <v>0</v>
      </c>
      <c r="AQ4916" s="2">
        <v>0</v>
      </c>
      <c r="AR4916" s="2">
        <v>0</v>
      </c>
      <c r="AS4916" s="2">
        <v>0</v>
      </c>
      <c r="AT4916" s="2">
        <v>0</v>
      </c>
      <c r="AU4916" s="2">
        <v>0</v>
      </c>
      <c r="AV4916" s="2">
        <v>0</v>
      </c>
      <c r="AW4916" s="2">
        <v>0</v>
      </c>
      <c r="AX4916" s="2">
        <v>0</v>
      </c>
      <c r="AY4916" s="2">
        <v>0</v>
      </c>
      <c r="AZ4916" s="2">
        <v>0</v>
      </c>
      <c r="BA4916" s="2">
        <v>0</v>
      </c>
      <c r="BB4916" s="2">
        <v>0</v>
      </c>
      <c r="BC4916" s="2">
        <v>0</v>
      </c>
      <c r="BD4916" s="2">
        <v>0</v>
      </c>
      <c r="BE4916" s="2">
        <v>0</v>
      </c>
      <c r="BF4916" s="2">
        <v>0</v>
      </c>
      <c r="BG4916" s="2">
        <v>0</v>
      </c>
      <c r="BH4916" s="2">
        <v>1</v>
      </c>
      <c r="BI4916" s="2">
        <v>1</v>
      </c>
      <c r="BJ4916" s="2">
        <v>2</v>
      </c>
      <c r="BK4916" s="2">
        <v>2</v>
      </c>
      <c r="BL4916" s="2">
        <v>58.28</v>
      </c>
      <c r="BM4916" s="2">
        <v>8.16</v>
      </c>
      <c r="BN4916" s="2">
        <v>66.44</v>
      </c>
      <c r="BO4916" s="2">
        <v>66.44</v>
      </c>
      <c r="BP4916" s="2"/>
      <c r="BQ4916" s="2" t="s">
        <v>83</v>
      </c>
      <c r="BR4916" s="2" t="s">
        <v>84</v>
      </c>
      <c r="BS4916" s="3">
        <v>42955</v>
      </c>
      <c r="BT4916" s="4">
        <v>0.56527777777777777</v>
      </c>
      <c r="BU4916" s="2" t="s">
        <v>975</v>
      </c>
      <c r="BV4916" s="2" t="s">
        <v>95</v>
      </c>
      <c r="BW4916" s="2"/>
      <c r="BX4916" s="2"/>
      <c r="BY4916" s="2">
        <v>9838.75</v>
      </c>
      <c r="BZ4916" s="2"/>
      <c r="CA4916" s="2" t="s">
        <v>640</v>
      </c>
      <c r="CB4916" s="2"/>
      <c r="CC4916" s="2" t="s">
        <v>207</v>
      </c>
      <c r="CD4916" s="2">
        <v>250</v>
      </c>
      <c r="CE4916" s="2" t="s">
        <v>104</v>
      </c>
      <c r="CF4916" s="5">
        <v>42958</v>
      </c>
      <c r="CG4916" s="2"/>
      <c r="CH4916" s="2"/>
      <c r="CI4916" s="2">
        <v>1</v>
      </c>
      <c r="CJ4916" s="2">
        <v>1</v>
      </c>
      <c r="CK4916" s="2">
        <v>24</v>
      </c>
      <c r="CL4916" s="2" t="s">
        <v>86</v>
      </c>
      <c r="CM4916" s="2"/>
    </row>
    <row r="4917" spans="1:91">
      <c r="A4917" s="2" t="s">
        <v>71</v>
      </c>
      <c r="B4917" s="2" t="s">
        <v>72</v>
      </c>
      <c r="C4917" s="2" t="s">
        <v>73</v>
      </c>
      <c r="D4917" s="2"/>
      <c r="E4917" s="2" t="str">
        <f>"FES1162567496"</f>
        <v>FES1162567496</v>
      </c>
      <c r="F4917" s="3">
        <v>42954</v>
      </c>
      <c r="G4917" s="2">
        <v>201802</v>
      </c>
      <c r="H4917" s="2" t="s">
        <v>74</v>
      </c>
      <c r="I4917" s="2" t="s">
        <v>75</v>
      </c>
      <c r="J4917" s="2" t="s">
        <v>76</v>
      </c>
      <c r="K4917" s="2" t="s">
        <v>77</v>
      </c>
      <c r="L4917" s="2" t="s">
        <v>105</v>
      </c>
      <c r="M4917" s="2" t="s">
        <v>106</v>
      </c>
      <c r="N4917" s="2" t="s">
        <v>486</v>
      </c>
      <c r="O4917" s="2" t="s">
        <v>100</v>
      </c>
      <c r="P4917" s="2" t="str">
        <f>"2170583665                    "</f>
        <v xml:space="preserve">2170583665                    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0</v>
      </c>
      <c r="Y4917" s="2">
        <v>0</v>
      </c>
      <c r="Z4917" s="2">
        <v>0</v>
      </c>
      <c r="AA4917" s="2">
        <v>0</v>
      </c>
      <c r="AB4917" s="2">
        <v>0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0</v>
      </c>
      <c r="AI4917" s="2">
        <v>0</v>
      </c>
      <c r="AJ4917" s="2">
        <v>0</v>
      </c>
      <c r="AK4917" s="2">
        <v>0</v>
      </c>
      <c r="AL4917" s="2">
        <v>0</v>
      </c>
      <c r="AM4917" s="2">
        <v>4</v>
      </c>
      <c r="AN4917" s="2">
        <v>0</v>
      </c>
      <c r="AO4917" s="2">
        <v>0</v>
      </c>
      <c r="AP4917" s="2">
        <v>0</v>
      </c>
      <c r="AQ4917" s="2">
        <v>0</v>
      </c>
      <c r="AR4917" s="2">
        <v>0</v>
      </c>
      <c r="AS4917" s="2">
        <v>0</v>
      </c>
      <c r="AT4917" s="2">
        <v>0</v>
      </c>
      <c r="AU4917" s="2">
        <v>0</v>
      </c>
      <c r="AV4917" s="2">
        <v>0</v>
      </c>
      <c r="AW4917" s="2">
        <v>0</v>
      </c>
      <c r="AX4917" s="2">
        <v>0</v>
      </c>
      <c r="AY4917" s="2">
        <v>0</v>
      </c>
      <c r="AZ4917" s="2">
        <v>0</v>
      </c>
      <c r="BA4917" s="2">
        <v>0</v>
      </c>
      <c r="BB4917" s="2">
        <v>0</v>
      </c>
      <c r="BC4917" s="2">
        <v>0</v>
      </c>
      <c r="BD4917" s="2">
        <v>0</v>
      </c>
      <c r="BE4917" s="2">
        <v>0</v>
      </c>
      <c r="BF4917" s="2">
        <v>0</v>
      </c>
      <c r="BG4917" s="2">
        <v>0</v>
      </c>
      <c r="BH4917" s="2">
        <v>1</v>
      </c>
      <c r="BI4917" s="2">
        <v>0.6</v>
      </c>
      <c r="BJ4917" s="2">
        <v>1.1000000000000001</v>
      </c>
      <c r="BK4917" s="2">
        <v>1.5</v>
      </c>
      <c r="BL4917" s="2">
        <v>41.44</v>
      </c>
      <c r="BM4917" s="2">
        <v>5.8</v>
      </c>
      <c r="BN4917" s="2">
        <v>47.24</v>
      </c>
      <c r="BO4917" s="2">
        <v>47.24</v>
      </c>
      <c r="BP4917" s="2"/>
      <c r="BQ4917" s="2" t="s">
        <v>365</v>
      </c>
      <c r="BR4917" s="2" t="s">
        <v>84</v>
      </c>
      <c r="BS4917" s="3">
        <v>42955</v>
      </c>
      <c r="BT4917" s="4">
        <v>0.44722222222222219</v>
      </c>
      <c r="BU4917" s="2" t="s">
        <v>487</v>
      </c>
      <c r="BV4917" s="2" t="s">
        <v>95</v>
      </c>
      <c r="BW4917" s="2"/>
      <c r="BX4917" s="2"/>
      <c r="BY4917" s="2">
        <v>5287.81</v>
      </c>
      <c r="BZ4917" s="2"/>
      <c r="CA4917" s="2" t="s">
        <v>291</v>
      </c>
      <c r="CB4917" s="2"/>
      <c r="CC4917" s="2" t="s">
        <v>106</v>
      </c>
      <c r="CD4917" s="2">
        <v>7441</v>
      </c>
      <c r="CE4917" s="2" t="s">
        <v>89</v>
      </c>
      <c r="CF4917" s="5">
        <v>42957</v>
      </c>
      <c r="CG4917" s="2"/>
      <c r="CH4917" s="2"/>
      <c r="CI4917" s="2">
        <v>1</v>
      </c>
      <c r="CJ4917" s="2">
        <v>1</v>
      </c>
      <c r="CK4917" s="2">
        <v>21</v>
      </c>
      <c r="CL4917" s="2" t="s">
        <v>86</v>
      </c>
      <c r="CM4917" s="2"/>
    </row>
    <row r="4918" spans="1:91">
      <c r="A4918" s="2" t="s">
        <v>71</v>
      </c>
      <c r="B4918" s="2" t="s">
        <v>72</v>
      </c>
      <c r="C4918" s="2" t="s">
        <v>73</v>
      </c>
      <c r="D4918" s="2"/>
      <c r="E4918" s="2" t="str">
        <f>"FES1162567582"</f>
        <v>FES1162567582</v>
      </c>
      <c r="F4918" s="3">
        <v>42954</v>
      </c>
      <c r="G4918" s="2">
        <v>201802</v>
      </c>
      <c r="H4918" s="2" t="s">
        <v>74</v>
      </c>
      <c r="I4918" s="2" t="s">
        <v>75</v>
      </c>
      <c r="J4918" s="2" t="s">
        <v>76</v>
      </c>
      <c r="K4918" s="2" t="s">
        <v>77</v>
      </c>
      <c r="L4918" s="2" t="s">
        <v>144</v>
      </c>
      <c r="M4918" s="2" t="s">
        <v>145</v>
      </c>
      <c r="N4918" s="2" t="s">
        <v>146</v>
      </c>
      <c r="O4918" s="2" t="s">
        <v>100</v>
      </c>
      <c r="P4918" s="2" t="str">
        <f>"2170583725                    "</f>
        <v xml:space="preserve">2170583725                    </v>
      </c>
      <c r="Q4918" s="2">
        <v>0</v>
      </c>
      <c r="R4918" s="2">
        <v>0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0</v>
      </c>
      <c r="Y4918" s="2">
        <v>0</v>
      </c>
      <c r="Z4918" s="2">
        <v>0</v>
      </c>
      <c r="AA4918" s="2">
        <v>0</v>
      </c>
      <c r="AB4918" s="2">
        <v>0</v>
      </c>
      <c r="AC4918" s="2">
        <v>0</v>
      </c>
      <c r="AD4918" s="2">
        <v>0</v>
      </c>
      <c r="AE4918" s="2">
        <v>0</v>
      </c>
      <c r="AF4918" s="2">
        <v>0</v>
      </c>
      <c r="AG4918" s="2">
        <v>0</v>
      </c>
      <c r="AH4918" s="2">
        <v>0</v>
      </c>
      <c r="AI4918" s="2">
        <v>0</v>
      </c>
      <c r="AJ4918" s="2">
        <v>0</v>
      </c>
      <c r="AK4918" s="2">
        <v>0</v>
      </c>
      <c r="AL4918" s="2">
        <v>0</v>
      </c>
      <c r="AM4918" s="2">
        <v>3.13</v>
      </c>
      <c r="AN4918" s="2">
        <v>0</v>
      </c>
      <c r="AO4918" s="2">
        <v>0</v>
      </c>
      <c r="AP4918" s="2">
        <v>0</v>
      </c>
      <c r="AQ4918" s="2">
        <v>0</v>
      </c>
      <c r="AR4918" s="2">
        <v>0</v>
      </c>
      <c r="AS4918" s="2">
        <v>0</v>
      </c>
      <c r="AT4918" s="2">
        <v>0</v>
      </c>
      <c r="AU4918" s="2">
        <v>0</v>
      </c>
      <c r="AV4918" s="2">
        <v>0</v>
      </c>
      <c r="AW4918" s="2">
        <v>0</v>
      </c>
      <c r="AX4918" s="2">
        <v>0</v>
      </c>
      <c r="AY4918" s="2">
        <v>0</v>
      </c>
      <c r="AZ4918" s="2">
        <v>0</v>
      </c>
      <c r="BA4918" s="2">
        <v>0</v>
      </c>
      <c r="BB4918" s="2">
        <v>0</v>
      </c>
      <c r="BC4918" s="2">
        <v>0</v>
      </c>
      <c r="BD4918" s="2">
        <v>0</v>
      </c>
      <c r="BE4918" s="2">
        <v>0</v>
      </c>
      <c r="BF4918" s="2">
        <v>0</v>
      </c>
      <c r="BG4918" s="2">
        <v>0</v>
      </c>
      <c r="BH4918" s="2">
        <v>1</v>
      </c>
      <c r="BI4918" s="2">
        <v>4.0999999999999996</v>
      </c>
      <c r="BJ4918" s="2">
        <v>3.8</v>
      </c>
      <c r="BK4918" s="2">
        <v>5</v>
      </c>
      <c r="BL4918" s="2">
        <v>32.380000000000003</v>
      </c>
      <c r="BM4918" s="2">
        <v>4.53</v>
      </c>
      <c r="BN4918" s="2">
        <v>36.909999999999997</v>
      </c>
      <c r="BO4918" s="2">
        <v>36.909999999999997</v>
      </c>
      <c r="BP4918" s="2"/>
      <c r="BQ4918" s="2" t="s">
        <v>83</v>
      </c>
      <c r="BR4918" s="2" t="s">
        <v>84</v>
      </c>
      <c r="BS4918" s="3">
        <v>42955</v>
      </c>
      <c r="BT4918" s="4">
        <v>0.40208333333333335</v>
      </c>
      <c r="BU4918" s="2" t="s">
        <v>4277</v>
      </c>
      <c r="BV4918" s="2" t="s">
        <v>95</v>
      </c>
      <c r="BW4918" s="2"/>
      <c r="BX4918" s="2"/>
      <c r="BY4918" s="2">
        <v>18784.16</v>
      </c>
      <c r="BZ4918" s="2"/>
      <c r="CA4918" s="2" t="s">
        <v>729</v>
      </c>
      <c r="CB4918" s="2"/>
      <c r="CC4918" s="2" t="s">
        <v>145</v>
      </c>
      <c r="CD4918" s="2">
        <v>2094</v>
      </c>
      <c r="CE4918" s="2" t="s">
        <v>89</v>
      </c>
      <c r="CF4918" s="5">
        <v>42957</v>
      </c>
      <c r="CG4918" s="2"/>
      <c r="CH4918" s="2"/>
      <c r="CI4918" s="2">
        <v>1</v>
      </c>
      <c r="CJ4918" s="2">
        <v>1</v>
      </c>
      <c r="CK4918" s="2">
        <v>22</v>
      </c>
      <c r="CL4918" s="2" t="s">
        <v>86</v>
      </c>
      <c r="CM4918" s="2"/>
    </row>
    <row r="4919" spans="1:91">
      <c r="A4919" s="2" t="s">
        <v>71</v>
      </c>
      <c r="B4919" s="2" t="s">
        <v>72</v>
      </c>
      <c r="C4919" s="2" t="s">
        <v>73</v>
      </c>
      <c r="D4919" s="2"/>
      <c r="E4919" s="2" t="str">
        <f>"FES1162567393"</f>
        <v>FES1162567393</v>
      </c>
      <c r="F4919" s="3">
        <v>42954</v>
      </c>
      <c r="G4919" s="2">
        <v>201802</v>
      </c>
      <c r="H4919" s="2" t="s">
        <v>74</v>
      </c>
      <c r="I4919" s="2" t="s">
        <v>75</v>
      </c>
      <c r="J4919" s="2" t="s">
        <v>76</v>
      </c>
      <c r="K4919" s="2" t="s">
        <v>77</v>
      </c>
      <c r="L4919" s="2" t="s">
        <v>321</v>
      </c>
      <c r="M4919" s="2" t="s">
        <v>322</v>
      </c>
      <c r="N4919" s="2" t="s">
        <v>323</v>
      </c>
      <c r="O4919" s="2" t="s">
        <v>100</v>
      </c>
      <c r="P4919" s="2" t="str">
        <f>"2170582860                    "</f>
        <v xml:space="preserve">2170582860                    </v>
      </c>
      <c r="Q4919" s="2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0</v>
      </c>
      <c r="Y4919" s="2">
        <v>0</v>
      </c>
      <c r="Z4919" s="2">
        <v>0</v>
      </c>
      <c r="AA4919" s="2">
        <v>0</v>
      </c>
      <c r="AB4919" s="2">
        <v>0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2">
        <v>0</v>
      </c>
      <c r="AI4919" s="2">
        <v>0</v>
      </c>
      <c r="AJ4919" s="2">
        <v>0</v>
      </c>
      <c r="AK4919" s="2">
        <v>0</v>
      </c>
      <c r="AL4919" s="2">
        <v>0</v>
      </c>
      <c r="AM4919" s="2">
        <v>8</v>
      </c>
      <c r="AN4919" s="2">
        <v>0</v>
      </c>
      <c r="AO4919" s="2">
        <v>0</v>
      </c>
      <c r="AP4919" s="2">
        <v>0</v>
      </c>
      <c r="AQ4919" s="2">
        <v>0</v>
      </c>
      <c r="AR4919" s="2">
        <v>0</v>
      </c>
      <c r="AS4919" s="2">
        <v>0</v>
      </c>
      <c r="AT4919" s="2">
        <v>0</v>
      </c>
      <c r="AU4919" s="2">
        <v>0</v>
      </c>
      <c r="AV4919" s="2">
        <v>0</v>
      </c>
      <c r="AW4919" s="2">
        <v>0</v>
      </c>
      <c r="AX4919" s="2">
        <v>0</v>
      </c>
      <c r="AY4919" s="2">
        <v>0</v>
      </c>
      <c r="AZ4919" s="2">
        <v>0</v>
      </c>
      <c r="BA4919" s="2">
        <v>0</v>
      </c>
      <c r="BB4919" s="2">
        <v>0</v>
      </c>
      <c r="BC4919" s="2">
        <v>0</v>
      </c>
      <c r="BD4919" s="2">
        <v>0</v>
      </c>
      <c r="BE4919" s="2">
        <v>0</v>
      </c>
      <c r="BF4919" s="2">
        <v>0</v>
      </c>
      <c r="BG4919" s="2">
        <v>0</v>
      </c>
      <c r="BH4919" s="2">
        <v>1</v>
      </c>
      <c r="BI4919" s="2">
        <v>3.7</v>
      </c>
      <c r="BJ4919" s="2">
        <v>3.4</v>
      </c>
      <c r="BK4919" s="2">
        <v>4</v>
      </c>
      <c r="BL4919" s="2">
        <v>82.88</v>
      </c>
      <c r="BM4919" s="2">
        <v>11.6</v>
      </c>
      <c r="BN4919" s="2">
        <v>94.48</v>
      </c>
      <c r="BO4919" s="2">
        <v>94.48</v>
      </c>
      <c r="BP4919" s="2"/>
      <c r="BQ4919" s="2" t="s">
        <v>83</v>
      </c>
      <c r="BR4919" s="2" t="s">
        <v>84</v>
      </c>
      <c r="BS4919" s="3">
        <v>42955</v>
      </c>
      <c r="BT4919" s="4">
        <v>0.375</v>
      </c>
      <c r="BU4919" s="2" t="s">
        <v>324</v>
      </c>
      <c r="BV4919" s="2" t="s">
        <v>95</v>
      </c>
      <c r="BW4919" s="2"/>
      <c r="BX4919" s="2"/>
      <c r="BY4919" s="2">
        <v>17141.099999999999</v>
      </c>
      <c r="BZ4919" s="2"/>
      <c r="CA4919" s="2" t="s">
        <v>103</v>
      </c>
      <c r="CB4919" s="2"/>
      <c r="CC4919" s="2" t="s">
        <v>322</v>
      </c>
      <c r="CD4919" s="2">
        <v>6220</v>
      </c>
      <c r="CE4919" s="2" t="s">
        <v>89</v>
      </c>
      <c r="CF4919" s="5">
        <v>42957</v>
      </c>
      <c r="CG4919" s="2"/>
      <c r="CH4919" s="2"/>
      <c r="CI4919" s="2">
        <v>1</v>
      </c>
      <c r="CJ4919" s="2">
        <v>1</v>
      </c>
      <c r="CK4919" s="2">
        <v>21</v>
      </c>
      <c r="CL4919" s="2" t="s">
        <v>86</v>
      </c>
      <c r="CM4919" s="2"/>
    </row>
    <row r="4920" spans="1:91">
      <c r="A4920" s="2" t="s">
        <v>71</v>
      </c>
      <c r="B4920" s="2" t="s">
        <v>72</v>
      </c>
      <c r="C4920" s="2" t="s">
        <v>73</v>
      </c>
      <c r="D4920" s="2"/>
      <c r="E4920" s="2" t="str">
        <f>"FES1162567591"</f>
        <v>FES1162567591</v>
      </c>
      <c r="F4920" s="3">
        <v>42954</v>
      </c>
      <c r="G4920" s="2">
        <v>201802</v>
      </c>
      <c r="H4920" s="2" t="s">
        <v>74</v>
      </c>
      <c r="I4920" s="2" t="s">
        <v>75</v>
      </c>
      <c r="J4920" s="2" t="s">
        <v>76</v>
      </c>
      <c r="K4920" s="2" t="s">
        <v>77</v>
      </c>
      <c r="L4920" s="2" t="s">
        <v>741</v>
      </c>
      <c r="M4920" s="2" t="s">
        <v>742</v>
      </c>
      <c r="N4920" s="2" t="s">
        <v>743</v>
      </c>
      <c r="O4920" s="2" t="s">
        <v>100</v>
      </c>
      <c r="P4920" s="2" t="str">
        <f>"2170583744                    "</f>
        <v xml:space="preserve">2170583744                    </v>
      </c>
      <c r="Q4920" s="2">
        <v>0</v>
      </c>
      <c r="R4920" s="2">
        <v>0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0</v>
      </c>
      <c r="Y4920" s="2">
        <v>0</v>
      </c>
      <c r="Z4920" s="2">
        <v>0</v>
      </c>
      <c r="AA4920" s="2">
        <v>0</v>
      </c>
      <c r="AB4920" s="2">
        <v>0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2">
        <v>0</v>
      </c>
      <c r="AI4920" s="2">
        <v>0</v>
      </c>
      <c r="AJ4920" s="2">
        <v>0</v>
      </c>
      <c r="AK4920" s="2">
        <v>0</v>
      </c>
      <c r="AL4920" s="2">
        <v>0</v>
      </c>
      <c r="AM4920" s="2">
        <v>7.75</v>
      </c>
      <c r="AN4920" s="2">
        <v>0</v>
      </c>
      <c r="AO4920" s="2">
        <v>0</v>
      </c>
      <c r="AP4920" s="2">
        <v>0</v>
      </c>
      <c r="AQ4920" s="2">
        <v>0</v>
      </c>
      <c r="AR4920" s="2">
        <v>0</v>
      </c>
      <c r="AS4920" s="2">
        <v>0</v>
      </c>
      <c r="AT4920" s="2">
        <v>0</v>
      </c>
      <c r="AU4920" s="2">
        <v>0</v>
      </c>
      <c r="AV4920" s="2">
        <v>0</v>
      </c>
      <c r="AW4920" s="2">
        <v>0</v>
      </c>
      <c r="AX4920" s="2">
        <v>0</v>
      </c>
      <c r="AY4920" s="2">
        <v>0</v>
      </c>
      <c r="AZ4920" s="2">
        <v>0</v>
      </c>
      <c r="BA4920" s="2">
        <v>0</v>
      </c>
      <c r="BB4920" s="2">
        <v>0</v>
      </c>
      <c r="BC4920" s="2">
        <v>0</v>
      </c>
      <c r="BD4920" s="2">
        <v>0</v>
      </c>
      <c r="BE4920" s="2">
        <v>0</v>
      </c>
      <c r="BF4920" s="2">
        <v>0</v>
      </c>
      <c r="BG4920" s="2">
        <v>0</v>
      </c>
      <c r="BH4920" s="2">
        <v>1</v>
      </c>
      <c r="BI4920" s="2">
        <v>1</v>
      </c>
      <c r="BJ4920" s="2">
        <v>0.2</v>
      </c>
      <c r="BK4920" s="2">
        <v>1</v>
      </c>
      <c r="BL4920" s="2">
        <v>80.290000000000006</v>
      </c>
      <c r="BM4920" s="2">
        <v>11.24</v>
      </c>
      <c r="BN4920" s="2">
        <v>91.53</v>
      </c>
      <c r="BO4920" s="2">
        <v>91.53</v>
      </c>
      <c r="BP4920" s="2"/>
      <c r="BQ4920" s="2" t="s">
        <v>288</v>
      </c>
      <c r="BR4920" s="2" t="s">
        <v>84</v>
      </c>
      <c r="BS4920" s="3">
        <v>42955</v>
      </c>
      <c r="BT4920" s="4">
        <v>0.58750000000000002</v>
      </c>
      <c r="BU4920" s="2" t="s">
        <v>4278</v>
      </c>
      <c r="BV4920" s="2" t="s">
        <v>95</v>
      </c>
      <c r="BW4920" s="2"/>
      <c r="BX4920" s="2"/>
      <c r="BY4920" s="2">
        <v>1200</v>
      </c>
      <c r="BZ4920" s="2"/>
      <c r="CA4920" s="2" t="s">
        <v>2088</v>
      </c>
      <c r="CB4920" s="2"/>
      <c r="CC4920" s="2" t="s">
        <v>742</v>
      </c>
      <c r="CD4920" s="2">
        <v>6300</v>
      </c>
      <c r="CE4920" s="2" t="s">
        <v>104</v>
      </c>
      <c r="CF4920" s="5">
        <v>42957</v>
      </c>
      <c r="CG4920" s="2"/>
      <c r="CH4920" s="2"/>
      <c r="CI4920" s="2">
        <v>3</v>
      </c>
      <c r="CJ4920" s="2">
        <v>1</v>
      </c>
      <c r="CK4920" s="2">
        <v>23</v>
      </c>
      <c r="CL4920" s="2" t="s">
        <v>86</v>
      </c>
      <c r="CM4920" s="2"/>
    </row>
    <row r="4921" spans="1:91">
      <c r="A4921" s="2" t="s">
        <v>71</v>
      </c>
      <c r="B4921" s="2" t="s">
        <v>72</v>
      </c>
      <c r="C4921" s="2" t="s">
        <v>73</v>
      </c>
      <c r="D4921" s="2"/>
      <c r="E4921" s="2" t="str">
        <f>"FES1162567504"</f>
        <v>FES1162567504</v>
      </c>
      <c r="F4921" s="3">
        <v>42954</v>
      </c>
      <c r="G4921" s="2">
        <v>201802</v>
      </c>
      <c r="H4921" s="2" t="s">
        <v>74</v>
      </c>
      <c r="I4921" s="2" t="s">
        <v>75</v>
      </c>
      <c r="J4921" s="2" t="s">
        <v>76</v>
      </c>
      <c r="K4921" s="2" t="s">
        <v>77</v>
      </c>
      <c r="L4921" s="2" t="s">
        <v>510</v>
      </c>
      <c r="M4921" s="2" t="s">
        <v>511</v>
      </c>
      <c r="N4921" s="2" t="s">
        <v>2112</v>
      </c>
      <c r="O4921" s="2" t="s">
        <v>358</v>
      </c>
      <c r="P4921" s="2" t="str">
        <f>"2170574772                    "</f>
        <v xml:space="preserve">2170574772                    </v>
      </c>
      <c r="Q4921" s="2">
        <v>0</v>
      </c>
      <c r="R4921" s="2">
        <v>0</v>
      </c>
      <c r="S4921" s="2">
        <v>0</v>
      </c>
      <c r="T4921" s="2">
        <v>0</v>
      </c>
      <c r="U4921" s="2">
        <v>0</v>
      </c>
      <c r="V4921" s="2">
        <v>0</v>
      </c>
      <c r="W4921" s="2">
        <v>0</v>
      </c>
      <c r="X4921" s="2">
        <v>0</v>
      </c>
      <c r="Y4921" s="2">
        <v>0</v>
      </c>
      <c r="Z4921" s="2">
        <v>0</v>
      </c>
      <c r="AA4921" s="2">
        <v>0</v>
      </c>
      <c r="AB4921" s="2">
        <v>0</v>
      </c>
      <c r="AC4921" s="2">
        <v>0</v>
      </c>
      <c r="AD4921" s="2">
        <v>0</v>
      </c>
      <c r="AE4921" s="2">
        <v>0</v>
      </c>
      <c r="AF4921" s="2">
        <v>0</v>
      </c>
      <c r="AG4921" s="2">
        <v>0</v>
      </c>
      <c r="AH4921" s="2">
        <v>0</v>
      </c>
      <c r="AI4921" s="2">
        <v>0</v>
      </c>
      <c r="AJ4921" s="2">
        <v>0</v>
      </c>
      <c r="AK4921" s="2">
        <v>0</v>
      </c>
      <c r="AL4921" s="2">
        <v>0</v>
      </c>
      <c r="AM4921" s="2">
        <v>30.02</v>
      </c>
      <c r="AN4921" s="2">
        <v>0</v>
      </c>
      <c r="AO4921" s="2">
        <v>0</v>
      </c>
      <c r="AP4921" s="2">
        <v>0</v>
      </c>
      <c r="AQ4921" s="2">
        <v>0</v>
      </c>
      <c r="AR4921" s="2">
        <v>0</v>
      </c>
      <c r="AS4921" s="2">
        <v>0</v>
      </c>
      <c r="AT4921" s="2">
        <v>0</v>
      </c>
      <c r="AU4921" s="2">
        <v>0</v>
      </c>
      <c r="AV4921" s="2">
        <v>0</v>
      </c>
      <c r="AW4921" s="2">
        <v>0</v>
      </c>
      <c r="AX4921" s="2">
        <v>0</v>
      </c>
      <c r="AY4921" s="2">
        <v>0</v>
      </c>
      <c r="AZ4921" s="2">
        <v>0</v>
      </c>
      <c r="BA4921" s="2">
        <v>0</v>
      </c>
      <c r="BB4921" s="2">
        <v>0</v>
      </c>
      <c r="BC4921" s="2">
        <v>0</v>
      </c>
      <c r="BD4921" s="2">
        <v>0</v>
      </c>
      <c r="BE4921" s="2">
        <v>0</v>
      </c>
      <c r="BF4921" s="2">
        <v>0</v>
      </c>
      <c r="BG4921" s="2">
        <v>0</v>
      </c>
      <c r="BH4921" s="2">
        <v>1</v>
      </c>
      <c r="BI4921" s="2">
        <v>15.1</v>
      </c>
      <c r="BJ4921" s="2">
        <v>12</v>
      </c>
      <c r="BK4921" s="2">
        <v>16</v>
      </c>
      <c r="BL4921" s="2">
        <v>310.82</v>
      </c>
      <c r="BM4921" s="2">
        <v>43.51</v>
      </c>
      <c r="BN4921" s="2">
        <v>354.33</v>
      </c>
      <c r="BO4921" s="2">
        <v>354.33</v>
      </c>
      <c r="BP4921" s="2"/>
      <c r="BQ4921" s="2" t="s">
        <v>108</v>
      </c>
      <c r="BR4921" s="2" t="s">
        <v>84</v>
      </c>
      <c r="BS4921" s="3">
        <v>42955</v>
      </c>
      <c r="BT4921" s="4">
        <v>0.38680555555555557</v>
      </c>
      <c r="BU4921" s="2" t="s">
        <v>4279</v>
      </c>
      <c r="BV4921" s="2" t="s">
        <v>95</v>
      </c>
      <c r="BW4921" s="2"/>
      <c r="BX4921" s="2"/>
      <c r="BY4921" s="2">
        <v>59974</v>
      </c>
      <c r="BZ4921" s="2"/>
      <c r="CA4921" s="2" t="s">
        <v>514</v>
      </c>
      <c r="CB4921" s="2"/>
      <c r="CC4921" s="2" t="s">
        <v>511</v>
      </c>
      <c r="CD4921" s="2">
        <v>6230</v>
      </c>
      <c r="CE4921" s="2" t="s">
        <v>89</v>
      </c>
      <c r="CF4921" s="5">
        <v>42957</v>
      </c>
      <c r="CG4921" s="2"/>
      <c r="CH4921" s="2"/>
      <c r="CI4921" s="2">
        <v>1</v>
      </c>
      <c r="CJ4921" s="2">
        <v>1</v>
      </c>
      <c r="CK4921" s="2">
        <v>31</v>
      </c>
      <c r="CL4921" s="2" t="s">
        <v>86</v>
      </c>
      <c r="CM4921" s="2"/>
    </row>
    <row r="4922" spans="1:91">
      <c r="A4922" s="2" t="s">
        <v>71</v>
      </c>
      <c r="B4922" s="2" t="s">
        <v>72</v>
      </c>
      <c r="C4922" s="2" t="s">
        <v>73</v>
      </c>
      <c r="D4922" s="2"/>
      <c r="E4922" s="2" t="str">
        <f>"FES1162567263"</f>
        <v>FES1162567263</v>
      </c>
      <c r="F4922" s="3">
        <v>42954</v>
      </c>
      <c r="G4922" s="2">
        <v>201802</v>
      </c>
      <c r="H4922" s="2" t="s">
        <v>74</v>
      </c>
      <c r="I4922" s="2" t="s">
        <v>75</v>
      </c>
      <c r="J4922" s="2" t="s">
        <v>76</v>
      </c>
      <c r="K4922" s="2" t="s">
        <v>77</v>
      </c>
      <c r="L4922" s="2" t="s">
        <v>105</v>
      </c>
      <c r="M4922" s="2" t="s">
        <v>106</v>
      </c>
      <c r="N4922" s="2" t="s">
        <v>1143</v>
      </c>
      <c r="O4922" s="2" t="s">
        <v>100</v>
      </c>
      <c r="P4922" s="2" t="str">
        <f>"2170583417                    "</f>
        <v xml:space="preserve">2170583417                    </v>
      </c>
      <c r="Q4922" s="2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0</v>
      </c>
      <c r="Y4922" s="2">
        <v>0</v>
      </c>
      <c r="Z4922" s="2">
        <v>0</v>
      </c>
      <c r="AA4922" s="2">
        <v>0</v>
      </c>
      <c r="AB4922" s="2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0</v>
      </c>
      <c r="AH4922" s="2">
        <v>0</v>
      </c>
      <c r="AI4922" s="2">
        <v>0</v>
      </c>
      <c r="AJ4922" s="2">
        <v>0</v>
      </c>
      <c r="AK4922" s="2">
        <v>0</v>
      </c>
      <c r="AL4922" s="2">
        <v>0</v>
      </c>
      <c r="AM4922" s="2">
        <v>12.01</v>
      </c>
      <c r="AN4922" s="2">
        <v>0</v>
      </c>
      <c r="AO4922" s="2">
        <v>0</v>
      </c>
      <c r="AP4922" s="2">
        <v>0</v>
      </c>
      <c r="AQ4922" s="2">
        <v>0</v>
      </c>
      <c r="AR4922" s="2">
        <v>0</v>
      </c>
      <c r="AS4922" s="2">
        <v>0</v>
      </c>
      <c r="AT4922" s="2">
        <v>0</v>
      </c>
      <c r="AU4922" s="2">
        <v>0</v>
      </c>
      <c r="AV4922" s="2">
        <v>0</v>
      </c>
      <c r="AW4922" s="2">
        <v>0</v>
      </c>
      <c r="AX4922" s="2">
        <v>0</v>
      </c>
      <c r="AY4922" s="2">
        <v>0</v>
      </c>
      <c r="AZ4922" s="2">
        <v>0</v>
      </c>
      <c r="BA4922" s="2">
        <v>0</v>
      </c>
      <c r="BB4922" s="2">
        <v>0</v>
      </c>
      <c r="BC4922" s="2">
        <v>0</v>
      </c>
      <c r="BD4922" s="2">
        <v>0</v>
      </c>
      <c r="BE4922" s="2">
        <v>0</v>
      </c>
      <c r="BF4922" s="2">
        <v>0</v>
      </c>
      <c r="BG4922" s="2">
        <v>0</v>
      </c>
      <c r="BH4922" s="2">
        <v>1</v>
      </c>
      <c r="BI4922" s="2">
        <v>3.6</v>
      </c>
      <c r="BJ4922" s="2">
        <v>5.6</v>
      </c>
      <c r="BK4922" s="2">
        <v>6</v>
      </c>
      <c r="BL4922" s="2">
        <v>124.33</v>
      </c>
      <c r="BM4922" s="2">
        <v>17.41</v>
      </c>
      <c r="BN4922" s="2">
        <v>141.74</v>
      </c>
      <c r="BO4922" s="2">
        <v>141.74</v>
      </c>
      <c r="BP4922" s="2"/>
      <c r="BQ4922" s="2" t="s">
        <v>108</v>
      </c>
      <c r="BR4922" s="2" t="s">
        <v>84</v>
      </c>
      <c r="BS4922" s="3">
        <v>42955</v>
      </c>
      <c r="BT4922" s="4">
        <v>0.47291666666666665</v>
      </c>
      <c r="BU4922" s="2" t="s">
        <v>1144</v>
      </c>
      <c r="BV4922" s="2" t="s">
        <v>86</v>
      </c>
      <c r="BW4922" s="2" t="s">
        <v>110</v>
      </c>
      <c r="BX4922" s="2" t="s">
        <v>111</v>
      </c>
      <c r="BY4922" s="2">
        <v>27868.75</v>
      </c>
      <c r="BZ4922" s="2"/>
      <c r="CA4922" s="2" t="s">
        <v>643</v>
      </c>
      <c r="CB4922" s="2"/>
      <c r="CC4922" s="2" t="s">
        <v>106</v>
      </c>
      <c r="CD4922" s="2">
        <v>7925</v>
      </c>
      <c r="CE4922" s="2" t="s">
        <v>89</v>
      </c>
      <c r="CF4922" s="5">
        <v>42957</v>
      </c>
      <c r="CG4922" s="2"/>
      <c r="CH4922" s="2"/>
      <c r="CI4922" s="2">
        <v>1</v>
      </c>
      <c r="CJ4922" s="2">
        <v>1</v>
      </c>
      <c r="CK4922" s="2">
        <v>21</v>
      </c>
      <c r="CL4922" s="2" t="s">
        <v>86</v>
      </c>
      <c r="CM4922" s="2"/>
    </row>
    <row r="4923" spans="1:91">
      <c r="A4923" s="2" t="s">
        <v>71</v>
      </c>
      <c r="B4923" s="2" t="s">
        <v>72</v>
      </c>
      <c r="C4923" s="2" t="s">
        <v>73</v>
      </c>
      <c r="D4923" s="2"/>
      <c r="E4923" s="2" t="str">
        <f>"FES1162567578"</f>
        <v>FES1162567578</v>
      </c>
      <c r="F4923" s="3">
        <v>42954</v>
      </c>
      <c r="G4923" s="2">
        <v>201802</v>
      </c>
      <c r="H4923" s="2" t="s">
        <v>74</v>
      </c>
      <c r="I4923" s="2" t="s">
        <v>75</v>
      </c>
      <c r="J4923" s="2" t="s">
        <v>76</v>
      </c>
      <c r="K4923" s="2" t="s">
        <v>77</v>
      </c>
      <c r="L4923" s="2" t="s">
        <v>144</v>
      </c>
      <c r="M4923" s="2" t="s">
        <v>145</v>
      </c>
      <c r="N4923" s="2" t="s">
        <v>146</v>
      </c>
      <c r="O4923" s="2" t="s">
        <v>100</v>
      </c>
      <c r="P4923" s="2" t="str">
        <f>"2170583724                    "</f>
        <v xml:space="preserve">2170583724                    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0</v>
      </c>
      <c r="Y4923" s="2">
        <v>0</v>
      </c>
      <c r="Z4923" s="2">
        <v>0</v>
      </c>
      <c r="AA4923" s="2">
        <v>0</v>
      </c>
      <c r="AB4923" s="2">
        <v>0</v>
      </c>
      <c r="AC4923" s="2">
        <v>0</v>
      </c>
      <c r="AD4923" s="2">
        <v>0</v>
      </c>
      <c r="AE4923" s="2">
        <v>0</v>
      </c>
      <c r="AF4923" s="2">
        <v>0</v>
      </c>
      <c r="AG4923" s="2">
        <v>0</v>
      </c>
      <c r="AH4923" s="2">
        <v>0</v>
      </c>
      <c r="AI4923" s="2">
        <v>0</v>
      </c>
      <c r="AJ4923" s="2">
        <v>0</v>
      </c>
      <c r="AK4923" s="2">
        <v>0</v>
      </c>
      <c r="AL4923" s="2">
        <v>0</v>
      </c>
      <c r="AM4923" s="2">
        <v>3.13</v>
      </c>
      <c r="AN4923" s="2">
        <v>0</v>
      </c>
      <c r="AO4923" s="2">
        <v>0</v>
      </c>
      <c r="AP4923" s="2">
        <v>0</v>
      </c>
      <c r="AQ4923" s="2">
        <v>0</v>
      </c>
      <c r="AR4923" s="2">
        <v>0</v>
      </c>
      <c r="AS4923" s="2">
        <v>0</v>
      </c>
      <c r="AT4923" s="2">
        <v>0</v>
      </c>
      <c r="AU4923" s="2">
        <v>0</v>
      </c>
      <c r="AV4923" s="2">
        <v>0</v>
      </c>
      <c r="AW4923" s="2">
        <v>0</v>
      </c>
      <c r="AX4923" s="2">
        <v>0</v>
      </c>
      <c r="AY4923" s="2">
        <v>0</v>
      </c>
      <c r="AZ4923" s="2">
        <v>0</v>
      </c>
      <c r="BA4923" s="2">
        <v>0</v>
      </c>
      <c r="BB4923" s="2">
        <v>0</v>
      </c>
      <c r="BC4923" s="2">
        <v>0</v>
      </c>
      <c r="BD4923" s="2">
        <v>0</v>
      </c>
      <c r="BE4923" s="2">
        <v>0</v>
      </c>
      <c r="BF4923" s="2">
        <v>0</v>
      </c>
      <c r="BG4923" s="2">
        <v>0</v>
      </c>
      <c r="BH4923" s="2">
        <v>1</v>
      </c>
      <c r="BI4923" s="2">
        <v>7.6</v>
      </c>
      <c r="BJ4923" s="2">
        <v>3.4</v>
      </c>
      <c r="BK4923" s="2">
        <v>8</v>
      </c>
      <c r="BL4923" s="2">
        <v>32.380000000000003</v>
      </c>
      <c r="BM4923" s="2">
        <v>4.53</v>
      </c>
      <c r="BN4923" s="2">
        <v>36.909999999999997</v>
      </c>
      <c r="BO4923" s="2">
        <v>36.909999999999997</v>
      </c>
      <c r="BP4923" s="2"/>
      <c r="BQ4923" s="2" t="s">
        <v>83</v>
      </c>
      <c r="BR4923" s="2" t="s">
        <v>84</v>
      </c>
      <c r="BS4923" s="3">
        <v>42955</v>
      </c>
      <c r="BT4923" s="4">
        <v>0.39652777777777781</v>
      </c>
      <c r="BU4923" s="2" t="s">
        <v>4277</v>
      </c>
      <c r="BV4923" s="2" t="s">
        <v>95</v>
      </c>
      <c r="BW4923" s="2"/>
      <c r="BX4923" s="2"/>
      <c r="BY4923" s="2">
        <v>17094</v>
      </c>
      <c r="BZ4923" s="2"/>
      <c r="CA4923" s="2" t="s">
        <v>729</v>
      </c>
      <c r="CB4923" s="2"/>
      <c r="CC4923" s="2" t="s">
        <v>145</v>
      </c>
      <c r="CD4923" s="2">
        <v>2094</v>
      </c>
      <c r="CE4923" s="2" t="s">
        <v>89</v>
      </c>
      <c r="CF4923" s="5">
        <v>42957</v>
      </c>
      <c r="CG4923" s="2"/>
      <c r="CH4923" s="2"/>
      <c r="CI4923" s="2">
        <v>1</v>
      </c>
      <c r="CJ4923" s="2">
        <v>1</v>
      </c>
      <c r="CK4923" s="2">
        <v>22</v>
      </c>
      <c r="CL4923" s="2" t="s">
        <v>86</v>
      </c>
      <c r="CM4923" s="2"/>
    </row>
    <row r="4924" spans="1:91">
      <c r="A4924" s="2" t="s">
        <v>71</v>
      </c>
      <c r="B4924" s="2" t="s">
        <v>72</v>
      </c>
      <c r="C4924" s="2" t="s">
        <v>73</v>
      </c>
      <c r="D4924" s="2"/>
      <c r="E4924" s="2" t="str">
        <f>"FES1162567608"</f>
        <v>FES1162567608</v>
      </c>
      <c r="F4924" s="3">
        <v>42954</v>
      </c>
      <c r="G4924" s="2">
        <v>201802</v>
      </c>
      <c r="H4924" s="2" t="s">
        <v>74</v>
      </c>
      <c r="I4924" s="2" t="s">
        <v>75</v>
      </c>
      <c r="J4924" s="2" t="s">
        <v>76</v>
      </c>
      <c r="K4924" s="2" t="s">
        <v>77</v>
      </c>
      <c r="L4924" s="2" t="s">
        <v>268</v>
      </c>
      <c r="M4924" s="2" t="s">
        <v>269</v>
      </c>
      <c r="N4924" s="2" t="s">
        <v>270</v>
      </c>
      <c r="O4924" s="2" t="s">
        <v>100</v>
      </c>
      <c r="P4924" s="2" t="str">
        <f>"2170583595                    "</f>
        <v xml:space="preserve">2170583595                    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0</v>
      </c>
      <c r="Y4924" s="2">
        <v>0</v>
      </c>
      <c r="Z4924" s="2">
        <v>0</v>
      </c>
      <c r="AA4924" s="2">
        <v>0</v>
      </c>
      <c r="AB4924" s="2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0</v>
      </c>
      <c r="AH4924" s="2">
        <v>0</v>
      </c>
      <c r="AI4924" s="2">
        <v>0</v>
      </c>
      <c r="AJ4924" s="2">
        <v>0</v>
      </c>
      <c r="AK4924" s="2">
        <v>0</v>
      </c>
      <c r="AL4924" s="2">
        <v>0</v>
      </c>
      <c r="AM4924" s="2">
        <v>4</v>
      </c>
      <c r="AN4924" s="2">
        <v>0</v>
      </c>
      <c r="AO4924" s="2">
        <v>0</v>
      </c>
      <c r="AP4924" s="2">
        <v>0</v>
      </c>
      <c r="AQ4924" s="2">
        <v>0</v>
      </c>
      <c r="AR4924" s="2">
        <v>0</v>
      </c>
      <c r="AS4924" s="2">
        <v>0</v>
      </c>
      <c r="AT4924" s="2">
        <v>0</v>
      </c>
      <c r="AU4924" s="2">
        <v>0</v>
      </c>
      <c r="AV4924" s="2">
        <v>0</v>
      </c>
      <c r="AW4924" s="2">
        <v>0</v>
      </c>
      <c r="AX4924" s="2">
        <v>0</v>
      </c>
      <c r="AY4924" s="2">
        <v>0</v>
      </c>
      <c r="AZ4924" s="2">
        <v>0</v>
      </c>
      <c r="BA4924" s="2">
        <v>0</v>
      </c>
      <c r="BB4924" s="2">
        <v>0</v>
      </c>
      <c r="BC4924" s="2">
        <v>0</v>
      </c>
      <c r="BD4924" s="2">
        <v>0</v>
      </c>
      <c r="BE4924" s="2">
        <v>0</v>
      </c>
      <c r="BF4924" s="2">
        <v>0</v>
      </c>
      <c r="BG4924" s="2">
        <v>0</v>
      </c>
      <c r="BH4924" s="2">
        <v>1</v>
      </c>
      <c r="BI4924" s="2">
        <v>1.5</v>
      </c>
      <c r="BJ4924" s="2">
        <v>1.9</v>
      </c>
      <c r="BK4924" s="2">
        <v>2</v>
      </c>
      <c r="BL4924" s="2">
        <v>41.44</v>
      </c>
      <c r="BM4924" s="2">
        <v>5.8</v>
      </c>
      <c r="BN4924" s="2">
        <v>47.24</v>
      </c>
      <c r="BO4924" s="2">
        <v>47.24</v>
      </c>
      <c r="BP4924" s="2"/>
      <c r="BQ4924" s="2" t="s">
        <v>2445</v>
      </c>
      <c r="BR4924" s="2" t="s">
        <v>84</v>
      </c>
      <c r="BS4924" s="3">
        <v>42955</v>
      </c>
      <c r="BT4924" s="4">
        <v>0.41666666666666669</v>
      </c>
      <c r="BU4924" s="2" t="s">
        <v>271</v>
      </c>
      <c r="BV4924" s="2" t="s">
        <v>95</v>
      </c>
      <c r="BW4924" s="2"/>
      <c r="BX4924" s="2"/>
      <c r="BY4924" s="2">
        <v>9336</v>
      </c>
      <c r="BZ4924" s="2"/>
      <c r="CA4924" s="2" t="s">
        <v>272</v>
      </c>
      <c r="CB4924" s="2"/>
      <c r="CC4924" s="2" t="s">
        <v>269</v>
      </c>
      <c r="CD4924" s="2">
        <v>200</v>
      </c>
      <c r="CE4924" s="2" t="s">
        <v>104</v>
      </c>
      <c r="CF4924" s="5">
        <v>42957</v>
      </c>
      <c r="CG4924" s="2"/>
      <c r="CH4924" s="2"/>
      <c r="CI4924" s="2">
        <v>1</v>
      </c>
      <c r="CJ4924" s="2">
        <v>1</v>
      </c>
      <c r="CK4924" s="2">
        <v>21</v>
      </c>
      <c r="CL4924" s="2" t="s">
        <v>86</v>
      </c>
      <c r="CM4924" s="2"/>
    </row>
    <row r="4925" spans="1:91">
      <c r="A4925" s="2" t="s">
        <v>71</v>
      </c>
      <c r="B4925" s="2" t="s">
        <v>72</v>
      </c>
      <c r="C4925" s="2" t="s">
        <v>73</v>
      </c>
      <c r="D4925" s="2"/>
      <c r="E4925" s="2" t="str">
        <f>"FES1162567477"</f>
        <v>FES1162567477</v>
      </c>
      <c r="F4925" s="3">
        <v>42954</v>
      </c>
      <c r="G4925" s="2">
        <v>201802</v>
      </c>
      <c r="H4925" s="2" t="s">
        <v>74</v>
      </c>
      <c r="I4925" s="2" t="s">
        <v>75</v>
      </c>
      <c r="J4925" s="2" t="s">
        <v>76</v>
      </c>
      <c r="K4925" s="2" t="s">
        <v>77</v>
      </c>
      <c r="L4925" s="2" t="s">
        <v>237</v>
      </c>
      <c r="M4925" s="2" t="s">
        <v>238</v>
      </c>
      <c r="N4925" s="2" t="s">
        <v>673</v>
      </c>
      <c r="O4925" s="2" t="s">
        <v>100</v>
      </c>
      <c r="P4925" s="2" t="str">
        <f>"2170583637                    "</f>
        <v xml:space="preserve">2170583637                    </v>
      </c>
      <c r="Q4925" s="2">
        <v>0</v>
      </c>
      <c r="R4925" s="2">
        <v>0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>
        <v>0</v>
      </c>
      <c r="Y4925" s="2">
        <v>0</v>
      </c>
      <c r="Z4925" s="2">
        <v>0</v>
      </c>
      <c r="AA4925" s="2">
        <v>0</v>
      </c>
      <c r="AB4925" s="2">
        <v>0</v>
      </c>
      <c r="AC4925" s="2">
        <v>0</v>
      </c>
      <c r="AD4925" s="2">
        <v>0</v>
      </c>
      <c r="AE4925" s="2">
        <v>0</v>
      </c>
      <c r="AF4925" s="2">
        <v>0</v>
      </c>
      <c r="AG4925" s="2">
        <v>0</v>
      </c>
      <c r="AH4925" s="2">
        <v>0</v>
      </c>
      <c r="AI4925" s="2">
        <v>0</v>
      </c>
      <c r="AJ4925" s="2">
        <v>0</v>
      </c>
      <c r="AK4925" s="2">
        <v>0</v>
      </c>
      <c r="AL4925" s="2">
        <v>0</v>
      </c>
      <c r="AM4925" s="2">
        <v>35.020000000000003</v>
      </c>
      <c r="AN4925" s="2">
        <v>0</v>
      </c>
      <c r="AO4925" s="2">
        <v>0</v>
      </c>
      <c r="AP4925" s="2">
        <v>0</v>
      </c>
      <c r="AQ4925" s="2">
        <v>0</v>
      </c>
      <c r="AR4925" s="2">
        <v>0</v>
      </c>
      <c r="AS4925" s="2">
        <v>0</v>
      </c>
      <c r="AT4925" s="2">
        <v>0</v>
      </c>
      <c r="AU4925" s="2">
        <v>0</v>
      </c>
      <c r="AV4925" s="2">
        <v>0</v>
      </c>
      <c r="AW4925" s="2">
        <v>0</v>
      </c>
      <c r="AX4925" s="2">
        <v>0</v>
      </c>
      <c r="AY4925" s="2">
        <v>0</v>
      </c>
      <c r="AZ4925" s="2">
        <v>0</v>
      </c>
      <c r="BA4925" s="2">
        <v>0</v>
      </c>
      <c r="BB4925" s="2">
        <v>0</v>
      </c>
      <c r="BC4925" s="2">
        <v>0</v>
      </c>
      <c r="BD4925" s="2">
        <v>0</v>
      </c>
      <c r="BE4925" s="2">
        <v>0</v>
      </c>
      <c r="BF4925" s="2">
        <v>0</v>
      </c>
      <c r="BG4925" s="2">
        <v>0</v>
      </c>
      <c r="BH4925" s="2">
        <v>1</v>
      </c>
      <c r="BI4925" s="2">
        <v>6.4</v>
      </c>
      <c r="BJ4925" s="2">
        <v>17.5</v>
      </c>
      <c r="BK4925" s="2">
        <v>17.5</v>
      </c>
      <c r="BL4925" s="2">
        <v>362.62</v>
      </c>
      <c r="BM4925" s="2">
        <v>50.77</v>
      </c>
      <c r="BN4925" s="2">
        <v>413.39</v>
      </c>
      <c r="BO4925" s="2">
        <v>413.39</v>
      </c>
      <c r="BP4925" s="2"/>
      <c r="BQ4925" s="2" t="s">
        <v>83</v>
      </c>
      <c r="BR4925" s="2" t="s">
        <v>84</v>
      </c>
      <c r="BS4925" s="3">
        <v>42955</v>
      </c>
      <c r="BT4925" s="4">
        <v>0.40069444444444446</v>
      </c>
      <c r="BU4925" s="2" t="s">
        <v>4280</v>
      </c>
      <c r="BV4925" s="2" t="s">
        <v>95</v>
      </c>
      <c r="BW4925" s="2"/>
      <c r="BX4925" s="2"/>
      <c r="BY4925" s="2">
        <v>87397.29</v>
      </c>
      <c r="BZ4925" s="2"/>
      <c r="CA4925" s="2" t="s">
        <v>401</v>
      </c>
      <c r="CB4925" s="2"/>
      <c r="CC4925" s="2" t="s">
        <v>238</v>
      </c>
      <c r="CD4925" s="2">
        <v>3610</v>
      </c>
      <c r="CE4925" s="2" t="s">
        <v>89</v>
      </c>
      <c r="CF4925" s="5">
        <v>42957</v>
      </c>
      <c r="CG4925" s="2"/>
      <c r="CH4925" s="2"/>
      <c r="CI4925" s="2">
        <v>1</v>
      </c>
      <c r="CJ4925" s="2">
        <v>1</v>
      </c>
      <c r="CK4925" s="2">
        <v>21</v>
      </c>
      <c r="CL4925" s="2" t="s">
        <v>86</v>
      </c>
      <c r="CM4925" s="2"/>
    </row>
    <row r="4926" spans="1:91">
      <c r="A4926" s="2" t="s">
        <v>71</v>
      </c>
      <c r="B4926" s="2" t="s">
        <v>72</v>
      </c>
      <c r="C4926" s="2" t="s">
        <v>73</v>
      </c>
      <c r="D4926" s="2"/>
      <c r="E4926" s="2" t="str">
        <f>"FES1162567577"</f>
        <v>FES1162567577</v>
      </c>
      <c r="F4926" s="3">
        <v>42954</v>
      </c>
      <c r="G4926" s="2">
        <v>201802</v>
      </c>
      <c r="H4926" s="2" t="s">
        <v>74</v>
      </c>
      <c r="I4926" s="2" t="s">
        <v>75</v>
      </c>
      <c r="J4926" s="2" t="s">
        <v>76</v>
      </c>
      <c r="K4926" s="2" t="s">
        <v>77</v>
      </c>
      <c r="L4926" s="2" t="s">
        <v>841</v>
      </c>
      <c r="M4926" s="2" t="s">
        <v>842</v>
      </c>
      <c r="N4926" s="2" t="s">
        <v>843</v>
      </c>
      <c r="O4926" s="2" t="s">
        <v>100</v>
      </c>
      <c r="P4926" s="2" t="str">
        <f>"2170583722                    "</f>
        <v xml:space="preserve">2170583722                    </v>
      </c>
      <c r="Q4926" s="2">
        <v>0</v>
      </c>
      <c r="R4926" s="2">
        <v>0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0</v>
      </c>
      <c r="Y4926" s="2">
        <v>0</v>
      </c>
      <c r="Z4926" s="2">
        <v>0</v>
      </c>
      <c r="AA4926" s="2">
        <v>0</v>
      </c>
      <c r="AB4926" s="2">
        <v>0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0</v>
      </c>
      <c r="AK4926" s="2">
        <v>0</v>
      </c>
      <c r="AL4926" s="2">
        <v>0</v>
      </c>
      <c r="AM4926" s="2">
        <v>9.51</v>
      </c>
      <c r="AN4926" s="2">
        <v>0</v>
      </c>
      <c r="AO4926" s="2">
        <v>0</v>
      </c>
      <c r="AP4926" s="2">
        <v>0</v>
      </c>
      <c r="AQ4926" s="2">
        <v>0</v>
      </c>
      <c r="AR4926" s="2">
        <v>0</v>
      </c>
      <c r="AS4926" s="2">
        <v>0</v>
      </c>
      <c r="AT4926" s="2">
        <v>0</v>
      </c>
      <c r="AU4926" s="2">
        <v>0</v>
      </c>
      <c r="AV4926" s="2">
        <v>0</v>
      </c>
      <c r="AW4926" s="2">
        <v>0</v>
      </c>
      <c r="AX4926" s="2">
        <v>0</v>
      </c>
      <c r="AY4926" s="2">
        <v>0</v>
      </c>
      <c r="AZ4926" s="2">
        <v>0</v>
      </c>
      <c r="BA4926" s="2">
        <v>0</v>
      </c>
      <c r="BB4926" s="2">
        <v>0</v>
      </c>
      <c r="BC4926" s="2">
        <v>0</v>
      </c>
      <c r="BD4926" s="2">
        <v>0</v>
      </c>
      <c r="BE4926" s="2">
        <v>0</v>
      </c>
      <c r="BF4926" s="2">
        <v>0</v>
      </c>
      <c r="BG4926" s="2">
        <v>0</v>
      </c>
      <c r="BH4926" s="2">
        <v>1</v>
      </c>
      <c r="BI4926" s="2">
        <v>1.2</v>
      </c>
      <c r="BJ4926" s="2">
        <v>2.5</v>
      </c>
      <c r="BK4926" s="2">
        <v>2.5</v>
      </c>
      <c r="BL4926" s="2">
        <v>98.43</v>
      </c>
      <c r="BM4926" s="2">
        <v>13.78</v>
      </c>
      <c r="BN4926" s="2">
        <v>112.21</v>
      </c>
      <c r="BO4926" s="2">
        <v>112.21</v>
      </c>
      <c r="BP4926" s="2"/>
      <c r="BQ4926" s="2" t="s">
        <v>83</v>
      </c>
      <c r="BR4926" s="2" t="s">
        <v>84</v>
      </c>
      <c r="BS4926" s="3">
        <v>42955</v>
      </c>
      <c r="BT4926" s="4">
        <v>0.41666666666666669</v>
      </c>
      <c r="BU4926" s="2" t="s">
        <v>2438</v>
      </c>
      <c r="BV4926" s="2" t="s">
        <v>95</v>
      </c>
      <c r="BW4926" s="2"/>
      <c r="BX4926" s="2"/>
      <c r="BY4926" s="2">
        <v>12362.33</v>
      </c>
      <c r="BZ4926" s="2"/>
      <c r="CA4926" s="2"/>
      <c r="CB4926" s="2"/>
      <c r="CC4926" s="2" t="s">
        <v>842</v>
      </c>
      <c r="CD4926" s="2">
        <v>3370</v>
      </c>
      <c r="CE4926" s="2" t="s">
        <v>104</v>
      </c>
      <c r="CF4926" s="5">
        <v>42959</v>
      </c>
      <c r="CG4926" s="2"/>
      <c r="CH4926" s="2"/>
      <c r="CI4926" s="2">
        <v>3</v>
      </c>
      <c r="CJ4926" s="2">
        <v>1</v>
      </c>
      <c r="CK4926" s="2">
        <v>23</v>
      </c>
      <c r="CL4926" s="2" t="s">
        <v>86</v>
      </c>
      <c r="CM4926" s="2"/>
    </row>
    <row r="4927" spans="1:91">
      <c r="A4927" s="2" t="s">
        <v>71</v>
      </c>
      <c r="B4927" s="2" t="s">
        <v>72</v>
      </c>
      <c r="C4927" s="2" t="s">
        <v>73</v>
      </c>
      <c r="D4927" s="2"/>
      <c r="E4927" s="2" t="str">
        <f>"FES1162567358"</f>
        <v>FES1162567358</v>
      </c>
      <c r="F4927" s="3">
        <v>42954</v>
      </c>
      <c r="G4927" s="2">
        <v>201802</v>
      </c>
      <c r="H4927" s="2" t="s">
        <v>74</v>
      </c>
      <c r="I4927" s="2" t="s">
        <v>75</v>
      </c>
      <c r="J4927" s="2" t="s">
        <v>76</v>
      </c>
      <c r="K4927" s="2" t="s">
        <v>77</v>
      </c>
      <c r="L4927" s="2" t="s">
        <v>268</v>
      </c>
      <c r="M4927" s="2" t="s">
        <v>269</v>
      </c>
      <c r="N4927" s="2" t="s">
        <v>493</v>
      </c>
      <c r="O4927" s="2" t="s">
        <v>100</v>
      </c>
      <c r="P4927" s="2" t="str">
        <f>"2170583523                    "</f>
        <v xml:space="preserve">2170583523                    </v>
      </c>
      <c r="Q4927" s="2">
        <v>0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0</v>
      </c>
      <c r="Y4927" s="2">
        <v>0</v>
      </c>
      <c r="Z4927" s="2">
        <v>0</v>
      </c>
      <c r="AA4927" s="2">
        <v>0</v>
      </c>
      <c r="AB4927" s="2">
        <v>0</v>
      </c>
      <c r="AC4927" s="2">
        <v>0</v>
      </c>
      <c r="AD4927" s="2">
        <v>0</v>
      </c>
      <c r="AE4927" s="2">
        <v>0</v>
      </c>
      <c r="AF4927" s="2">
        <v>0</v>
      </c>
      <c r="AG4927" s="2">
        <v>0</v>
      </c>
      <c r="AH4927" s="2">
        <v>0</v>
      </c>
      <c r="AI4927" s="2">
        <v>0</v>
      </c>
      <c r="AJ4927" s="2">
        <v>0</v>
      </c>
      <c r="AK4927" s="2">
        <v>0</v>
      </c>
      <c r="AL4927" s="2">
        <v>0</v>
      </c>
      <c r="AM4927" s="2">
        <v>6</v>
      </c>
      <c r="AN4927" s="2">
        <v>0</v>
      </c>
      <c r="AO4927" s="2">
        <v>0</v>
      </c>
      <c r="AP4927" s="2">
        <v>0</v>
      </c>
      <c r="AQ4927" s="2">
        <v>0</v>
      </c>
      <c r="AR4927" s="2">
        <v>0</v>
      </c>
      <c r="AS4927" s="2">
        <v>0</v>
      </c>
      <c r="AT4927" s="2">
        <v>0</v>
      </c>
      <c r="AU4927" s="2">
        <v>0</v>
      </c>
      <c r="AV4927" s="2">
        <v>0</v>
      </c>
      <c r="AW4927" s="2">
        <v>0</v>
      </c>
      <c r="AX4927" s="2">
        <v>0</v>
      </c>
      <c r="AY4927" s="2">
        <v>0</v>
      </c>
      <c r="AZ4927" s="2">
        <v>0</v>
      </c>
      <c r="BA4927" s="2">
        <v>0</v>
      </c>
      <c r="BB4927" s="2">
        <v>0</v>
      </c>
      <c r="BC4927" s="2">
        <v>0</v>
      </c>
      <c r="BD4927" s="2">
        <v>0</v>
      </c>
      <c r="BE4927" s="2">
        <v>0</v>
      </c>
      <c r="BF4927" s="2">
        <v>0</v>
      </c>
      <c r="BG4927" s="2">
        <v>0</v>
      </c>
      <c r="BH4927" s="2">
        <v>1</v>
      </c>
      <c r="BI4927" s="2">
        <v>2.8</v>
      </c>
      <c r="BJ4927" s="2">
        <v>1.6</v>
      </c>
      <c r="BK4927" s="2">
        <v>3</v>
      </c>
      <c r="BL4927" s="2">
        <v>62.16</v>
      </c>
      <c r="BM4927" s="2">
        <v>8.6999999999999993</v>
      </c>
      <c r="BN4927" s="2">
        <v>70.86</v>
      </c>
      <c r="BO4927" s="2">
        <v>70.86</v>
      </c>
      <c r="BP4927" s="2"/>
      <c r="BQ4927" s="2" t="s">
        <v>494</v>
      </c>
      <c r="BR4927" s="2" t="s">
        <v>84</v>
      </c>
      <c r="BS4927" s="3">
        <v>42955</v>
      </c>
      <c r="BT4927" s="4">
        <v>0.44791666666666669</v>
      </c>
      <c r="BU4927" s="2" t="s">
        <v>495</v>
      </c>
      <c r="BV4927" s="2" t="s">
        <v>95</v>
      </c>
      <c r="BW4927" s="2"/>
      <c r="BX4927" s="2"/>
      <c r="BY4927" s="2">
        <v>8073.22</v>
      </c>
      <c r="BZ4927" s="2"/>
      <c r="CA4927" s="2" t="s">
        <v>272</v>
      </c>
      <c r="CB4927" s="2"/>
      <c r="CC4927" s="2" t="s">
        <v>269</v>
      </c>
      <c r="CD4927" s="2">
        <v>200</v>
      </c>
      <c r="CE4927" s="2" t="s">
        <v>89</v>
      </c>
      <c r="CF4927" s="5">
        <v>42957</v>
      </c>
      <c r="CG4927" s="2"/>
      <c r="CH4927" s="2"/>
      <c r="CI4927" s="2">
        <v>1</v>
      </c>
      <c r="CJ4927" s="2">
        <v>1</v>
      </c>
      <c r="CK4927" s="2">
        <v>21</v>
      </c>
      <c r="CL4927" s="2" t="s">
        <v>86</v>
      </c>
      <c r="CM4927" s="2"/>
    </row>
    <row r="4928" spans="1:91">
      <c r="A4928" s="2" t="s">
        <v>71</v>
      </c>
      <c r="B4928" s="2" t="s">
        <v>72</v>
      </c>
      <c r="C4928" s="2" t="s">
        <v>73</v>
      </c>
      <c r="D4928" s="2"/>
      <c r="E4928" s="2" t="str">
        <f>"FES1162567469"</f>
        <v>FES1162567469</v>
      </c>
      <c r="F4928" s="3">
        <v>42954</v>
      </c>
      <c r="G4928" s="2">
        <v>201802</v>
      </c>
      <c r="H4928" s="2" t="s">
        <v>74</v>
      </c>
      <c r="I4928" s="2" t="s">
        <v>75</v>
      </c>
      <c r="J4928" s="2" t="s">
        <v>76</v>
      </c>
      <c r="K4928" s="2" t="s">
        <v>77</v>
      </c>
      <c r="L4928" s="2" t="s">
        <v>237</v>
      </c>
      <c r="M4928" s="2" t="s">
        <v>238</v>
      </c>
      <c r="N4928" s="2" t="s">
        <v>669</v>
      </c>
      <c r="O4928" s="2" t="s">
        <v>358</v>
      </c>
      <c r="P4928" s="2" t="str">
        <f>"21700583631                   "</f>
        <v xml:space="preserve">21700583631                   </v>
      </c>
      <c r="Q4928" s="2">
        <v>0</v>
      </c>
      <c r="R4928" s="2">
        <v>0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0</v>
      </c>
      <c r="Y4928" s="2">
        <v>0</v>
      </c>
      <c r="Z4928" s="2">
        <v>0</v>
      </c>
      <c r="AA4928" s="2">
        <v>0</v>
      </c>
      <c r="AB4928" s="2">
        <v>0</v>
      </c>
      <c r="AC4928" s="2">
        <v>0</v>
      </c>
      <c r="AD4928" s="2">
        <v>0</v>
      </c>
      <c r="AE4928" s="2">
        <v>0</v>
      </c>
      <c r="AF4928" s="2">
        <v>0</v>
      </c>
      <c r="AG4928" s="2">
        <v>0</v>
      </c>
      <c r="AH4928" s="2">
        <v>0</v>
      </c>
      <c r="AI4928" s="2">
        <v>0</v>
      </c>
      <c r="AJ4928" s="2">
        <v>0</v>
      </c>
      <c r="AK4928" s="2">
        <v>0</v>
      </c>
      <c r="AL4928" s="2">
        <v>0</v>
      </c>
      <c r="AM4928" s="2">
        <v>31.89</v>
      </c>
      <c r="AN4928" s="2">
        <v>0</v>
      </c>
      <c r="AO4928" s="2">
        <v>0</v>
      </c>
      <c r="AP4928" s="2">
        <v>0</v>
      </c>
      <c r="AQ4928" s="2">
        <v>0</v>
      </c>
      <c r="AR4928" s="2">
        <v>0</v>
      </c>
      <c r="AS4928" s="2">
        <v>0</v>
      </c>
      <c r="AT4928" s="2">
        <v>0</v>
      </c>
      <c r="AU4928" s="2">
        <v>0</v>
      </c>
      <c r="AV4928" s="2">
        <v>0</v>
      </c>
      <c r="AW4928" s="2">
        <v>0</v>
      </c>
      <c r="AX4928" s="2">
        <v>0</v>
      </c>
      <c r="AY4928" s="2">
        <v>0</v>
      </c>
      <c r="AZ4928" s="2">
        <v>0</v>
      </c>
      <c r="BA4928" s="2">
        <v>0</v>
      </c>
      <c r="BB4928" s="2">
        <v>0</v>
      </c>
      <c r="BC4928" s="2">
        <v>0</v>
      </c>
      <c r="BD4928" s="2">
        <v>0</v>
      </c>
      <c r="BE4928" s="2">
        <v>0</v>
      </c>
      <c r="BF4928" s="2">
        <v>0</v>
      </c>
      <c r="BG4928" s="2">
        <v>0</v>
      </c>
      <c r="BH4928" s="2">
        <v>1</v>
      </c>
      <c r="BI4928" s="2">
        <v>16.399999999999999</v>
      </c>
      <c r="BJ4928" s="2">
        <v>4.9000000000000004</v>
      </c>
      <c r="BK4928" s="2">
        <v>17</v>
      </c>
      <c r="BL4928" s="2">
        <v>330.24</v>
      </c>
      <c r="BM4928" s="2">
        <v>46.23</v>
      </c>
      <c r="BN4928" s="2">
        <v>376.47</v>
      </c>
      <c r="BO4928" s="2">
        <v>376.47</v>
      </c>
      <c r="BP4928" s="2"/>
      <c r="BQ4928" s="2" t="s">
        <v>209</v>
      </c>
      <c r="BR4928" s="2" t="s">
        <v>84</v>
      </c>
      <c r="BS4928" s="3">
        <v>42955</v>
      </c>
      <c r="BT4928" s="4">
        <v>0.3833333333333333</v>
      </c>
      <c r="BU4928" s="2" t="s">
        <v>671</v>
      </c>
      <c r="BV4928" s="2" t="s">
        <v>95</v>
      </c>
      <c r="BW4928" s="2"/>
      <c r="BX4928" s="2"/>
      <c r="BY4928" s="2">
        <v>24744.080000000002</v>
      </c>
      <c r="BZ4928" s="2"/>
      <c r="CA4928" s="2" t="s">
        <v>672</v>
      </c>
      <c r="CB4928" s="2"/>
      <c r="CC4928" s="2" t="s">
        <v>238</v>
      </c>
      <c r="CD4928" s="2">
        <v>3610</v>
      </c>
      <c r="CE4928" s="2" t="s">
        <v>89</v>
      </c>
      <c r="CF4928" s="5">
        <v>42957</v>
      </c>
      <c r="CG4928" s="2"/>
      <c r="CH4928" s="2"/>
      <c r="CI4928" s="2">
        <v>1</v>
      </c>
      <c r="CJ4928" s="2">
        <v>1</v>
      </c>
      <c r="CK4928" s="2">
        <v>31</v>
      </c>
      <c r="CL4928" s="2" t="s">
        <v>86</v>
      </c>
      <c r="CM4928" s="2"/>
    </row>
    <row r="4929" spans="1:91">
      <c r="A4929" s="2" t="s">
        <v>71</v>
      </c>
      <c r="B4929" s="2" t="s">
        <v>72</v>
      </c>
      <c r="C4929" s="2" t="s">
        <v>73</v>
      </c>
      <c r="D4929" s="2"/>
      <c r="E4929" s="2" t="str">
        <f>"FES1162567425"</f>
        <v>FES1162567425</v>
      </c>
      <c r="F4929" s="3">
        <v>42954</v>
      </c>
      <c r="G4929" s="2">
        <v>201802</v>
      </c>
      <c r="H4929" s="2" t="s">
        <v>74</v>
      </c>
      <c r="I4929" s="2" t="s">
        <v>75</v>
      </c>
      <c r="J4929" s="2" t="s">
        <v>76</v>
      </c>
      <c r="K4929" s="2" t="s">
        <v>77</v>
      </c>
      <c r="L4929" s="2" t="s">
        <v>97</v>
      </c>
      <c r="M4929" s="2" t="s">
        <v>98</v>
      </c>
      <c r="N4929" s="2" t="s">
        <v>214</v>
      </c>
      <c r="O4929" s="2" t="s">
        <v>100</v>
      </c>
      <c r="P4929" s="2" t="str">
        <f>"2170583581                    "</f>
        <v xml:space="preserve">2170583581                    </v>
      </c>
      <c r="Q4929" s="2">
        <v>0</v>
      </c>
      <c r="R4929" s="2">
        <v>0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0</v>
      </c>
      <c r="Y4929" s="2">
        <v>0</v>
      </c>
      <c r="Z4929" s="2">
        <v>0</v>
      </c>
      <c r="AA4929" s="2">
        <v>0</v>
      </c>
      <c r="AB4929" s="2">
        <v>0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2">
        <v>0</v>
      </c>
      <c r="AI4929" s="2">
        <v>0</v>
      </c>
      <c r="AJ4929" s="2">
        <v>0</v>
      </c>
      <c r="AK4929" s="2">
        <v>0</v>
      </c>
      <c r="AL4929" s="2">
        <v>0</v>
      </c>
      <c r="AM4929" s="2">
        <v>7</v>
      </c>
      <c r="AN4929" s="2">
        <v>0</v>
      </c>
      <c r="AO4929" s="2">
        <v>0</v>
      </c>
      <c r="AP4929" s="2">
        <v>0</v>
      </c>
      <c r="AQ4929" s="2">
        <v>0</v>
      </c>
      <c r="AR4929" s="2">
        <v>0</v>
      </c>
      <c r="AS4929" s="2">
        <v>0</v>
      </c>
      <c r="AT4929" s="2">
        <v>0</v>
      </c>
      <c r="AU4929" s="2">
        <v>0</v>
      </c>
      <c r="AV4929" s="2">
        <v>0</v>
      </c>
      <c r="AW4929" s="2">
        <v>0</v>
      </c>
      <c r="AX4929" s="2">
        <v>0</v>
      </c>
      <c r="AY4929" s="2">
        <v>0</v>
      </c>
      <c r="AZ4929" s="2">
        <v>0</v>
      </c>
      <c r="BA4929" s="2">
        <v>0</v>
      </c>
      <c r="BB4929" s="2">
        <v>0</v>
      </c>
      <c r="BC4929" s="2">
        <v>0</v>
      </c>
      <c r="BD4929" s="2">
        <v>0</v>
      </c>
      <c r="BE4929" s="2">
        <v>0</v>
      </c>
      <c r="BF4929" s="2">
        <v>0</v>
      </c>
      <c r="BG4929" s="2">
        <v>0</v>
      </c>
      <c r="BH4929" s="2">
        <v>1</v>
      </c>
      <c r="BI4929" s="2">
        <v>1.9</v>
      </c>
      <c r="BJ4929" s="2">
        <v>3.5</v>
      </c>
      <c r="BK4929" s="2">
        <v>3.5</v>
      </c>
      <c r="BL4929" s="2">
        <v>72.52</v>
      </c>
      <c r="BM4929" s="2">
        <v>10.15</v>
      </c>
      <c r="BN4929" s="2">
        <v>82.67</v>
      </c>
      <c r="BO4929" s="2">
        <v>82.67</v>
      </c>
      <c r="BP4929" s="2"/>
      <c r="BQ4929" s="2" t="s">
        <v>108</v>
      </c>
      <c r="BR4929" s="2" t="s">
        <v>84</v>
      </c>
      <c r="BS4929" s="3">
        <v>42955</v>
      </c>
      <c r="BT4929" s="4">
        <v>0.3125</v>
      </c>
      <c r="BU4929" s="2" t="s">
        <v>1131</v>
      </c>
      <c r="BV4929" s="2" t="s">
        <v>95</v>
      </c>
      <c r="BW4929" s="2"/>
      <c r="BX4929" s="2"/>
      <c r="BY4929" s="2">
        <v>17729.28</v>
      </c>
      <c r="BZ4929" s="2"/>
      <c r="CA4929" s="2" t="s">
        <v>213</v>
      </c>
      <c r="CB4929" s="2"/>
      <c r="CC4929" s="2" t="s">
        <v>98</v>
      </c>
      <c r="CD4929" s="2">
        <v>6001</v>
      </c>
      <c r="CE4929" s="2" t="s">
        <v>89</v>
      </c>
      <c r="CF4929" s="5">
        <v>42957</v>
      </c>
      <c r="CG4929" s="2"/>
      <c r="CH4929" s="2"/>
      <c r="CI4929" s="2">
        <v>1</v>
      </c>
      <c r="CJ4929" s="2">
        <v>1</v>
      </c>
      <c r="CK4929" s="2">
        <v>21</v>
      </c>
      <c r="CL4929" s="2" t="s">
        <v>86</v>
      </c>
      <c r="CM4929" s="2"/>
    </row>
    <row r="4930" spans="1:91">
      <c r="A4930" s="2" t="s">
        <v>71</v>
      </c>
      <c r="B4930" s="2" t="s">
        <v>72</v>
      </c>
      <c r="C4930" s="2" t="s">
        <v>73</v>
      </c>
      <c r="D4930" s="2"/>
      <c r="E4930" s="2" t="str">
        <f>"FES1162567392"</f>
        <v>FES1162567392</v>
      </c>
      <c r="F4930" s="3">
        <v>42954</v>
      </c>
      <c r="G4930" s="2">
        <v>201802</v>
      </c>
      <c r="H4930" s="2" t="s">
        <v>74</v>
      </c>
      <c r="I4930" s="2" t="s">
        <v>75</v>
      </c>
      <c r="J4930" s="2" t="s">
        <v>76</v>
      </c>
      <c r="K4930" s="2" t="s">
        <v>77</v>
      </c>
      <c r="L4930" s="2" t="s">
        <v>321</v>
      </c>
      <c r="M4930" s="2" t="s">
        <v>322</v>
      </c>
      <c r="N4930" s="2" t="s">
        <v>323</v>
      </c>
      <c r="O4930" s="2" t="s">
        <v>100</v>
      </c>
      <c r="P4930" s="2" t="str">
        <f>"2170582535                    "</f>
        <v xml:space="preserve">2170582535                    </v>
      </c>
      <c r="Q4930" s="2">
        <v>0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0</v>
      </c>
      <c r="Y4930" s="2">
        <v>0</v>
      </c>
      <c r="Z4930" s="2">
        <v>0</v>
      </c>
      <c r="AA4930" s="2">
        <v>0</v>
      </c>
      <c r="AB4930" s="2">
        <v>0</v>
      </c>
      <c r="AC4930" s="2">
        <v>0</v>
      </c>
      <c r="AD4930" s="2">
        <v>0</v>
      </c>
      <c r="AE4930" s="2">
        <v>0</v>
      </c>
      <c r="AF4930" s="2">
        <v>0</v>
      </c>
      <c r="AG4930" s="2">
        <v>0</v>
      </c>
      <c r="AH4930" s="2">
        <v>0</v>
      </c>
      <c r="AI4930" s="2">
        <v>0</v>
      </c>
      <c r="AJ4930" s="2">
        <v>0</v>
      </c>
      <c r="AK4930" s="2">
        <v>0</v>
      </c>
      <c r="AL4930" s="2">
        <v>0</v>
      </c>
      <c r="AM4930" s="2">
        <v>4</v>
      </c>
      <c r="AN4930" s="2">
        <v>0</v>
      </c>
      <c r="AO4930" s="2">
        <v>0</v>
      </c>
      <c r="AP4930" s="2">
        <v>0</v>
      </c>
      <c r="AQ4930" s="2">
        <v>0</v>
      </c>
      <c r="AR4930" s="2">
        <v>0</v>
      </c>
      <c r="AS4930" s="2">
        <v>0</v>
      </c>
      <c r="AT4930" s="2">
        <v>0</v>
      </c>
      <c r="AU4930" s="2">
        <v>0</v>
      </c>
      <c r="AV4930" s="2">
        <v>0</v>
      </c>
      <c r="AW4930" s="2">
        <v>0</v>
      </c>
      <c r="AX4930" s="2">
        <v>0</v>
      </c>
      <c r="AY4930" s="2">
        <v>0</v>
      </c>
      <c r="AZ4930" s="2">
        <v>0</v>
      </c>
      <c r="BA4930" s="2">
        <v>0</v>
      </c>
      <c r="BB4930" s="2">
        <v>0</v>
      </c>
      <c r="BC4930" s="2">
        <v>0</v>
      </c>
      <c r="BD4930" s="2">
        <v>0</v>
      </c>
      <c r="BE4930" s="2">
        <v>0</v>
      </c>
      <c r="BF4930" s="2">
        <v>0</v>
      </c>
      <c r="BG4930" s="2">
        <v>0</v>
      </c>
      <c r="BH4930" s="2">
        <v>1</v>
      </c>
      <c r="BI4930" s="2">
        <v>1.9</v>
      </c>
      <c r="BJ4930" s="2">
        <v>1.8</v>
      </c>
      <c r="BK4930" s="2">
        <v>2</v>
      </c>
      <c r="BL4930" s="2">
        <v>41.44</v>
      </c>
      <c r="BM4930" s="2">
        <v>5.8</v>
      </c>
      <c r="BN4930" s="2">
        <v>47.24</v>
      </c>
      <c r="BO4930" s="2">
        <v>47.24</v>
      </c>
      <c r="BP4930" s="2"/>
      <c r="BQ4930" s="2" t="s">
        <v>83</v>
      </c>
      <c r="BR4930" s="2" t="s">
        <v>84</v>
      </c>
      <c r="BS4930" s="3">
        <v>42955</v>
      </c>
      <c r="BT4930" s="4">
        <v>0.375</v>
      </c>
      <c r="BU4930" s="2" t="s">
        <v>324</v>
      </c>
      <c r="BV4930" s="2" t="s">
        <v>95</v>
      </c>
      <c r="BW4930" s="2"/>
      <c r="BX4930" s="2"/>
      <c r="BY4930" s="2">
        <v>8756.59</v>
      </c>
      <c r="BZ4930" s="2"/>
      <c r="CA4930" s="2" t="s">
        <v>103</v>
      </c>
      <c r="CB4930" s="2"/>
      <c r="CC4930" s="2" t="s">
        <v>322</v>
      </c>
      <c r="CD4930" s="2">
        <v>6220</v>
      </c>
      <c r="CE4930" s="2" t="s">
        <v>89</v>
      </c>
      <c r="CF4930" s="5">
        <v>42957</v>
      </c>
      <c r="CG4930" s="2"/>
      <c r="CH4930" s="2"/>
      <c r="CI4930" s="2">
        <v>1</v>
      </c>
      <c r="CJ4930" s="2">
        <v>1</v>
      </c>
      <c r="CK4930" s="2">
        <v>21</v>
      </c>
      <c r="CL4930" s="2" t="s">
        <v>86</v>
      </c>
      <c r="CM4930" s="2"/>
    </row>
    <row r="4931" spans="1:91">
      <c r="A4931" s="2" t="s">
        <v>71</v>
      </c>
      <c r="B4931" s="2" t="s">
        <v>72</v>
      </c>
      <c r="C4931" s="2" t="s">
        <v>73</v>
      </c>
      <c r="D4931" s="2"/>
      <c r="E4931" s="2" t="str">
        <f>"FES1162567400"</f>
        <v>FES1162567400</v>
      </c>
      <c r="F4931" s="3">
        <v>42954</v>
      </c>
      <c r="G4931" s="2">
        <v>201802</v>
      </c>
      <c r="H4931" s="2" t="s">
        <v>74</v>
      </c>
      <c r="I4931" s="2" t="s">
        <v>75</v>
      </c>
      <c r="J4931" s="2" t="s">
        <v>76</v>
      </c>
      <c r="K4931" s="2" t="s">
        <v>77</v>
      </c>
      <c r="L4931" s="2" t="s">
        <v>97</v>
      </c>
      <c r="M4931" s="2" t="s">
        <v>98</v>
      </c>
      <c r="N4931" s="2" t="s">
        <v>2022</v>
      </c>
      <c r="O4931" s="2" t="s">
        <v>100</v>
      </c>
      <c r="P4931" s="2" t="str">
        <f>"2170583287                    "</f>
        <v xml:space="preserve">2170583287                    </v>
      </c>
      <c r="Q4931" s="2">
        <v>0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0</v>
      </c>
      <c r="Y4931" s="2">
        <v>0</v>
      </c>
      <c r="Z4931" s="2">
        <v>0</v>
      </c>
      <c r="AA4931" s="2">
        <v>0</v>
      </c>
      <c r="AB4931" s="2">
        <v>0</v>
      </c>
      <c r="AC4931" s="2">
        <v>0</v>
      </c>
      <c r="AD4931" s="2">
        <v>0</v>
      </c>
      <c r="AE4931" s="2">
        <v>0</v>
      </c>
      <c r="AF4931" s="2">
        <v>0</v>
      </c>
      <c r="AG4931" s="2">
        <v>0</v>
      </c>
      <c r="AH4931" s="2">
        <v>0</v>
      </c>
      <c r="AI4931" s="2">
        <v>0</v>
      </c>
      <c r="AJ4931" s="2">
        <v>0</v>
      </c>
      <c r="AK4931" s="2">
        <v>0</v>
      </c>
      <c r="AL4931" s="2">
        <v>0</v>
      </c>
      <c r="AM4931" s="2">
        <v>7</v>
      </c>
      <c r="AN4931" s="2">
        <v>0</v>
      </c>
      <c r="AO4931" s="2">
        <v>0</v>
      </c>
      <c r="AP4931" s="2">
        <v>0</v>
      </c>
      <c r="AQ4931" s="2">
        <v>0</v>
      </c>
      <c r="AR4931" s="2">
        <v>0</v>
      </c>
      <c r="AS4931" s="2">
        <v>0</v>
      </c>
      <c r="AT4931" s="2">
        <v>0</v>
      </c>
      <c r="AU4931" s="2">
        <v>0</v>
      </c>
      <c r="AV4931" s="2">
        <v>0</v>
      </c>
      <c r="AW4931" s="2">
        <v>0</v>
      </c>
      <c r="AX4931" s="2">
        <v>0</v>
      </c>
      <c r="AY4931" s="2">
        <v>0</v>
      </c>
      <c r="AZ4931" s="2">
        <v>0</v>
      </c>
      <c r="BA4931" s="2">
        <v>0</v>
      </c>
      <c r="BB4931" s="2">
        <v>0</v>
      </c>
      <c r="BC4931" s="2">
        <v>0</v>
      </c>
      <c r="BD4931" s="2">
        <v>0</v>
      </c>
      <c r="BE4931" s="2">
        <v>0</v>
      </c>
      <c r="BF4931" s="2">
        <v>0</v>
      </c>
      <c r="BG4931" s="2">
        <v>0</v>
      </c>
      <c r="BH4931" s="2">
        <v>1</v>
      </c>
      <c r="BI4931" s="2">
        <v>3.1</v>
      </c>
      <c r="BJ4931" s="2">
        <v>1.8</v>
      </c>
      <c r="BK4931" s="2">
        <v>3.5</v>
      </c>
      <c r="BL4931" s="2">
        <v>72.52</v>
      </c>
      <c r="BM4931" s="2">
        <v>10.15</v>
      </c>
      <c r="BN4931" s="2">
        <v>82.67</v>
      </c>
      <c r="BO4931" s="2">
        <v>82.67</v>
      </c>
      <c r="BP4931" s="2"/>
      <c r="BQ4931" s="2" t="s">
        <v>365</v>
      </c>
      <c r="BR4931" s="2" t="s">
        <v>84</v>
      </c>
      <c r="BS4931" s="3">
        <v>42955</v>
      </c>
      <c r="BT4931" s="4">
        <v>0.36805555555555558</v>
      </c>
      <c r="BU4931" s="2" t="s">
        <v>4197</v>
      </c>
      <c r="BV4931" s="2" t="s">
        <v>95</v>
      </c>
      <c r="BW4931" s="2"/>
      <c r="BX4931" s="2"/>
      <c r="BY4931" s="2">
        <v>8876.5400000000009</v>
      </c>
      <c r="BZ4931" s="2"/>
      <c r="CA4931" s="2" t="s">
        <v>294</v>
      </c>
      <c r="CB4931" s="2"/>
      <c r="CC4931" s="2" t="s">
        <v>98</v>
      </c>
      <c r="CD4931" s="2">
        <v>6001</v>
      </c>
      <c r="CE4931" s="2" t="s">
        <v>135</v>
      </c>
      <c r="CF4931" s="5">
        <v>42957</v>
      </c>
      <c r="CG4931" s="2"/>
      <c r="CH4931" s="2"/>
      <c r="CI4931" s="2">
        <v>1</v>
      </c>
      <c r="CJ4931" s="2">
        <v>1</v>
      </c>
      <c r="CK4931" s="2">
        <v>21</v>
      </c>
      <c r="CL4931" s="2" t="s">
        <v>86</v>
      </c>
      <c r="CM4931" s="2"/>
    </row>
    <row r="4932" spans="1:91">
      <c r="A4932" s="2" t="s">
        <v>71</v>
      </c>
      <c r="B4932" s="2" t="s">
        <v>72</v>
      </c>
      <c r="C4932" s="2" t="s">
        <v>73</v>
      </c>
      <c r="D4932" s="2"/>
      <c r="E4932" s="2" t="str">
        <f>"FES1162567407"</f>
        <v>FES1162567407</v>
      </c>
      <c r="F4932" s="3">
        <v>42954</v>
      </c>
      <c r="G4932" s="2">
        <v>201802</v>
      </c>
      <c r="H4932" s="2" t="s">
        <v>74</v>
      </c>
      <c r="I4932" s="2" t="s">
        <v>75</v>
      </c>
      <c r="J4932" s="2" t="s">
        <v>76</v>
      </c>
      <c r="K4932" s="2" t="s">
        <v>77</v>
      </c>
      <c r="L4932" s="2" t="s">
        <v>105</v>
      </c>
      <c r="M4932" s="2" t="s">
        <v>106</v>
      </c>
      <c r="N4932" s="2" t="s">
        <v>641</v>
      </c>
      <c r="O4932" s="2" t="s">
        <v>100</v>
      </c>
      <c r="P4932" s="2" t="str">
        <f>"2170583559                    "</f>
        <v xml:space="preserve">2170583559                    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0</v>
      </c>
      <c r="Y4932" s="2">
        <v>0</v>
      </c>
      <c r="Z4932" s="2">
        <v>0</v>
      </c>
      <c r="AA4932" s="2">
        <v>0</v>
      </c>
      <c r="AB4932" s="2">
        <v>0</v>
      </c>
      <c r="AC4932" s="2">
        <v>0</v>
      </c>
      <c r="AD4932" s="2">
        <v>0</v>
      </c>
      <c r="AE4932" s="2">
        <v>0</v>
      </c>
      <c r="AF4932" s="2">
        <v>0</v>
      </c>
      <c r="AG4932" s="2">
        <v>0</v>
      </c>
      <c r="AH4932" s="2">
        <v>0</v>
      </c>
      <c r="AI4932" s="2">
        <v>0</v>
      </c>
      <c r="AJ4932" s="2">
        <v>0</v>
      </c>
      <c r="AK4932" s="2">
        <v>0</v>
      </c>
      <c r="AL4932" s="2">
        <v>0</v>
      </c>
      <c r="AM4932" s="2">
        <v>8</v>
      </c>
      <c r="AN4932" s="2">
        <v>0</v>
      </c>
      <c r="AO4932" s="2">
        <v>0</v>
      </c>
      <c r="AP4932" s="2">
        <v>0</v>
      </c>
      <c r="AQ4932" s="2">
        <v>0</v>
      </c>
      <c r="AR4932" s="2">
        <v>0</v>
      </c>
      <c r="AS4932" s="2">
        <v>0</v>
      </c>
      <c r="AT4932" s="2">
        <v>0</v>
      </c>
      <c r="AU4932" s="2">
        <v>0</v>
      </c>
      <c r="AV4932" s="2">
        <v>0</v>
      </c>
      <c r="AW4932" s="2">
        <v>0</v>
      </c>
      <c r="AX4932" s="2">
        <v>0</v>
      </c>
      <c r="AY4932" s="2">
        <v>0</v>
      </c>
      <c r="AZ4932" s="2">
        <v>0</v>
      </c>
      <c r="BA4932" s="2">
        <v>0</v>
      </c>
      <c r="BB4932" s="2">
        <v>0</v>
      </c>
      <c r="BC4932" s="2">
        <v>0</v>
      </c>
      <c r="BD4932" s="2">
        <v>0</v>
      </c>
      <c r="BE4932" s="2">
        <v>0</v>
      </c>
      <c r="BF4932" s="2">
        <v>0</v>
      </c>
      <c r="BG4932" s="2">
        <v>0</v>
      </c>
      <c r="BH4932" s="2">
        <v>1</v>
      </c>
      <c r="BI4932" s="2">
        <v>3.8</v>
      </c>
      <c r="BJ4932" s="2">
        <v>1.9</v>
      </c>
      <c r="BK4932" s="2">
        <v>4</v>
      </c>
      <c r="BL4932" s="2">
        <v>82.88</v>
      </c>
      <c r="BM4932" s="2">
        <v>11.6</v>
      </c>
      <c r="BN4932" s="2">
        <v>94.48</v>
      </c>
      <c r="BO4932" s="2">
        <v>94.48</v>
      </c>
      <c r="BP4932" s="2"/>
      <c r="BQ4932" s="2" t="s">
        <v>288</v>
      </c>
      <c r="BR4932" s="2" t="s">
        <v>84</v>
      </c>
      <c r="BS4932" s="3">
        <v>42955</v>
      </c>
      <c r="BT4932" s="4">
        <v>0.41666666666666669</v>
      </c>
      <c r="BU4932" s="2" t="s">
        <v>4281</v>
      </c>
      <c r="BV4932" s="2" t="s">
        <v>95</v>
      </c>
      <c r="BW4932" s="2"/>
      <c r="BX4932" s="2"/>
      <c r="BY4932" s="2">
        <v>9346.7000000000007</v>
      </c>
      <c r="BZ4932" s="2"/>
      <c r="CA4932" s="2"/>
      <c r="CB4932" s="2"/>
      <c r="CC4932" s="2" t="s">
        <v>106</v>
      </c>
      <c r="CD4932" s="2">
        <v>7915</v>
      </c>
      <c r="CE4932" s="2" t="s">
        <v>89</v>
      </c>
      <c r="CF4932" s="5">
        <v>42957</v>
      </c>
      <c r="CG4932" s="2"/>
      <c r="CH4932" s="2"/>
      <c r="CI4932" s="2">
        <v>1</v>
      </c>
      <c r="CJ4932" s="2">
        <v>1</v>
      </c>
      <c r="CK4932" s="2">
        <v>21</v>
      </c>
      <c r="CL4932" s="2" t="s">
        <v>86</v>
      </c>
      <c r="CM4932" s="2"/>
    </row>
    <row r="4933" spans="1:91">
      <c r="A4933" s="2" t="s">
        <v>71</v>
      </c>
      <c r="B4933" s="2" t="s">
        <v>72</v>
      </c>
      <c r="C4933" s="2" t="s">
        <v>73</v>
      </c>
      <c r="D4933" s="2"/>
      <c r="E4933" s="2" t="str">
        <f>"FES1162567419"</f>
        <v>FES1162567419</v>
      </c>
      <c r="F4933" s="3">
        <v>42954</v>
      </c>
      <c r="G4933" s="2">
        <v>201802</v>
      </c>
      <c r="H4933" s="2" t="s">
        <v>74</v>
      </c>
      <c r="I4933" s="2" t="s">
        <v>75</v>
      </c>
      <c r="J4933" s="2" t="s">
        <v>76</v>
      </c>
      <c r="K4933" s="2" t="s">
        <v>77</v>
      </c>
      <c r="L4933" s="2" t="s">
        <v>362</v>
      </c>
      <c r="M4933" s="2" t="s">
        <v>363</v>
      </c>
      <c r="N4933" s="2" t="s">
        <v>364</v>
      </c>
      <c r="O4933" s="2" t="s">
        <v>100</v>
      </c>
      <c r="P4933" s="2" t="str">
        <f>"2170581263                    "</f>
        <v xml:space="preserve">2170581263                    </v>
      </c>
      <c r="Q4933" s="2">
        <v>0</v>
      </c>
      <c r="R4933" s="2">
        <v>0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0</v>
      </c>
      <c r="Y4933" s="2">
        <v>0</v>
      </c>
      <c r="Z4933" s="2">
        <v>0</v>
      </c>
      <c r="AA4933" s="2">
        <v>0</v>
      </c>
      <c r="AB4933" s="2">
        <v>0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  <c r="AM4933" s="2">
        <v>20.010000000000002</v>
      </c>
      <c r="AN4933" s="2">
        <v>0</v>
      </c>
      <c r="AO4933" s="2">
        <v>0</v>
      </c>
      <c r="AP4933" s="2">
        <v>0</v>
      </c>
      <c r="AQ4933" s="2">
        <v>0</v>
      </c>
      <c r="AR4933" s="2">
        <v>0</v>
      </c>
      <c r="AS4933" s="2">
        <v>0</v>
      </c>
      <c r="AT4933" s="2">
        <v>0</v>
      </c>
      <c r="AU4933" s="2">
        <v>0</v>
      </c>
      <c r="AV4933" s="2">
        <v>0</v>
      </c>
      <c r="AW4933" s="2">
        <v>0</v>
      </c>
      <c r="AX4933" s="2">
        <v>0</v>
      </c>
      <c r="AY4933" s="2">
        <v>0</v>
      </c>
      <c r="AZ4933" s="2">
        <v>0</v>
      </c>
      <c r="BA4933" s="2">
        <v>0</v>
      </c>
      <c r="BB4933" s="2">
        <v>0</v>
      </c>
      <c r="BC4933" s="2">
        <v>0</v>
      </c>
      <c r="BD4933" s="2">
        <v>0</v>
      </c>
      <c r="BE4933" s="2">
        <v>0</v>
      </c>
      <c r="BF4933" s="2">
        <v>0</v>
      </c>
      <c r="BG4933" s="2">
        <v>0</v>
      </c>
      <c r="BH4933" s="2">
        <v>1</v>
      </c>
      <c r="BI4933" s="2">
        <v>3.9</v>
      </c>
      <c r="BJ4933" s="2">
        <v>10</v>
      </c>
      <c r="BK4933" s="2">
        <v>10</v>
      </c>
      <c r="BL4933" s="2">
        <v>207.21</v>
      </c>
      <c r="BM4933" s="2">
        <v>29.01</v>
      </c>
      <c r="BN4933" s="2">
        <v>236.22</v>
      </c>
      <c r="BO4933" s="2">
        <v>236.22</v>
      </c>
      <c r="BP4933" s="2"/>
      <c r="BQ4933" s="2" t="s">
        <v>83</v>
      </c>
      <c r="BR4933" s="2" t="s">
        <v>84</v>
      </c>
      <c r="BS4933" s="3">
        <v>42955</v>
      </c>
      <c r="BT4933" s="4">
        <v>0.42708333333333331</v>
      </c>
      <c r="BU4933" s="2" t="s">
        <v>366</v>
      </c>
      <c r="BV4933" s="2" t="s">
        <v>95</v>
      </c>
      <c r="BW4933" s="2"/>
      <c r="BX4933" s="2"/>
      <c r="BY4933" s="2">
        <v>49906.5</v>
      </c>
      <c r="BZ4933" s="2"/>
      <c r="CA4933" s="2" t="s">
        <v>367</v>
      </c>
      <c r="CB4933" s="2"/>
      <c r="CC4933" s="2" t="s">
        <v>363</v>
      </c>
      <c r="CD4933" s="2">
        <v>3201</v>
      </c>
      <c r="CE4933" s="2" t="s">
        <v>89</v>
      </c>
      <c r="CF4933" s="5">
        <v>42957</v>
      </c>
      <c r="CG4933" s="2"/>
      <c r="CH4933" s="2"/>
      <c r="CI4933" s="2">
        <v>1</v>
      </c>
      <c r="CJ4933" s="2">
        <v>1</v>
      </c>
      <c r="CK4933" s="2">
        <v>21</v>
      </c>
      <c r="CL4933" s="2" t="s">
        <v>86</v>
      </c>
      <c r="CM4933" s="2"/>
    </row>
    <row r="4934" spans="1:91">
      <c r="A4934" s="2" t="s">
        <v>71</v>
      </c>
      <c r="B4934" s="2" t="s">
        <v>72</v>
      </c>
      <c r="C4934" s="2" t="s">
        <v>73</v>
      </c>
      <c r="D4934" s="2"/>
      <c r="E4934" s="2" t="str">
        <f>"FES1162567134"</f>
        <v>FES1162567134</v>
      </c>
      <c r="F4934" s="3">
        <v>42954</v>
      </c>
      <c r="G4934" s="2">
        <v>201802</v>
      </c>
      <c r="H4934" s="2" t="s">
        <v>74</v>
      </c>
      <c r="I4934" s="2" t="s">
        <v>75</v>
      </c>
      <c r="J4934" s="2" t="s">
        <v>76</v>
      </c>
      <c r="K4934" s="2" t="s">
        <v>77</v>
      </c>
      <c r="L4934" s="2" t="s">
        <v>539</v>
      </c>
      <c r="M4934" s="2" t="s">
        <v>540</v>
      </c>
      <c r="N4934" s="2" t="s">
        <v>541</v>
      </c>
      <c r="O4934" s="2" t="s">
        <v>100</v>
      </c>
      <c r="P4934" s="2" t="str">
        <f>"2170581088                    "</f>
        <v xml:space="preserve">2170581088                    </v>
      </c>
      <c r="Q4934" s="2">
        <v>0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0</v>
      </c>
      <c r="Y4934" s="2">
        <v>0</v>
      </c>
      <c r="Z4934" s="2">
        <v>0</v>
      </c>
      <c r="AA4934" s="2">
        <v>0</v>
      </c>
      <c r="AB4934" s="2">
        <v>0</v>
      </c>
      <c r="AC4934" s="2">
        <v>0</v>
      </c>
      <c r="AD4934" s="2">
        <v>0</v>
      </c>
      <c r="AE4934" s="2">
        <v>0</v>
      </c>
      <c r="AF4934" s="2">
        <v>0</v>
      </c>
      <c r="AG4934" s="2">
        <v>0</v>
      </c>
      <c r="AH4934" s="2">
        <v>0</v>
      </c>
      <c r="AI4934" s="2">
        <v>0</v>
      </c>
      <c r="AJ4934" s="2">
        <v>0</v>
      </c>
      <c r="AK4934" s="2">
        <v>0</v>
      </c>
      <c r="AL4934" s="2">
        <v>0</v>
      </c>
      <c r="AM4934" s="2">
        <v>3.13</v>
      </c>
      <c r="AN4934" s="2">
        <v>0</v>
      </c>
      <c r="AO4934" s="2">
        <v>0</v>
      </c>
      <c r="AP4934" s="2">
        <v>0</v>
      </c>
      <c r="AQ4934" s="2">
        <v>0</v>
      </c>
      <c r="AR4934" s="2">
        <v>0</v>
      </c>
      <c r="AS4934" s="2">
        <v>0</v>
      </c>
      <c r="AT4934" s="2">
        <v>0</v>
      </c>
      <c r="AU4934" s="2">
        <v>0</v>
      </c>
      <c r="AV4934" s="2">
        <v>0</v>
      </c>
      <c r="AW4934" s="2">
        <v>0</v>
      </c>
      <c r="AX4934" s="2">
        <v>0</v>
      </c>
      <c r="AY4934" s="2">
        <v>0</v>
      </c>
      <c r="AZ4934" s="2">
        <v>0</v>
      </c>
      <c r="BA4934" s="2">
        <v>0</v>
      </c>
      <c r="BB4934" s="2">
        <v>0</v>
      </c>
      <c r="BC4934" s="2">
        <v>0</v>
      </c>
      <c r="BD4934" s="2">
        <v>0</v>
      </c>
      <c r="BE4934" s="2">
        <v>0</v>
      </c>
      <c r="BF4934" s="2">
        <v>0</v>
      </c>
      <c r="BG4934" s="2">
        <v>0</v>
      </c>
      <c r="BH4934" s="2">
        <v>1</v>
      </c>
      <c r="BI4934" s="2">
        <v>6.8</v>
      </c>
      <c r="BJ4934" s="2">
        <v>1.6</v>
      </c>
      <c r="BK4934" s="2">
        <v>7</v>
      </c>
      <c r="BL4934" s="2">
        <v>32.380000000000003</v>
      </c>
      <c r="BM4934" s="2">
        <v>4.53</v>
      </c>
      <c r="BN4934" s="2">
        <v>36.909999999999997</v>
      </c>
      <c r="BO4934" s="2">
        <v>36.909999999999997</v>
      </c>
      <c r="BP4934" s="2"/>
      <c r="BQ4934" s="2" t="s">
        <v>83</v>
      </c>
      <c r="BR4934" s="2" t="s">
        <v>84</v>
      </c>
      <c r="BS4934" s="3">
        <v>42955</v>
      </c>
      <c r="BT4934" s="4">
        <v>0.38472222222222219</v>
      </c>
      <c r="BU4934" s="2" t="s">
        <v>4258</v>
      </c>
      <c r="BV4934" s="2" t="s">
        <v>95</v>
      </c>
      <c r="BW4934" s="2"/>
      <c r="BX4934" s="2"/>
      <c r="BY4934" s="2">
        <v>7839.9</v>
      </c>
      <c r="BZ4934" s="2"/>
      <c r="CA4934" s="2" t="s">
        <v>722</v>
      </c>
      <c r="CB4934" s="2"/>
      <c r="CC4934" s="2" t="s">
        <v>540</v>
      </c>
      <c r="CD4934" s="2">
        <v>2162</v>
      </c>
      <c r="CE4934" s="2" t="s">
        <v>89</v>
      </c>
      <c r="CF4934" s="5">
        <v>42957</v>
      </c>
      <c r="CG4934" s="2"/>
      <c r="CH4934" s="2"/>
      <c r="CI4934" s="2">
        <v>1</v>
      </c>
      <c r="CJ4934" s="2">
        <v>1</v>
      </c>
      <c r="CK4934" s="2">
        <v>22</v>
      </c>
      <c r="CL4934" s="2" t="s">
        <v>86</v>
      </c>
      <c r="CM4934" s="2"/>
    </row>
    <row r="4935" spans="1:91">
      <c r="A4935" s="2" t="s">
        <v>71</v>
      </c>
      <c r="B4935" s="2" t="s">
        <v>72</v>
      </c>
      <c r="C4935" s="2" t="s">
        <v>73</v>
      </c>
      <c r="D4935" s="2"/>
      <c r="E4935" s="2" t="str">
        <f>"FES1162567098"</f>
        <v>FES1162567098</v>
      </c>
      <c r="F4935" s="3">
        <v>42954</v>
      </c>
      <c r="G4935" s="2">
        <v>201802</v>
      </c>
      <c r="H4935" s="2" t="s">
        <v>74</v>
      </c>
      <c r="I4935" s="2" t="s">
        <v>75</v>
      </c>
      <c r="J4935" s="2" t="s">
        <v>76</v>
      </c>
      <c r="K4935" s="2" t="s">
        <v>77</v>
      </c>
      <c r="L4935" s="2" t="s">
        <v>74</v>
      </c>
      <c r="M4935" s="2" t="s">
        <v>75</v>
      </c>
      <c r="N4935" s="2" t="s">
        <v>407</v>
      </c>
      <c r="O4935" s="2" t="s">
        <v>100</v>
      </c>
      <c r="P4935" s="2" t="str">
        <f>"2170580535                    "</f>
        <v xml:space="preserve">2170580535                    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0</v>
      </c>
      <c r="Y4935" s="2">
        <v>0</v>
      </c>
      <c r="Z4935" s="2">
        <v>0</v>
      </c>
      <c r="AA4935" s="2">
        <v>0</v>
      </c>
      <c r="AB4935" s="2">
        <v>0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2">
        <v>0</v>
      </c>
      <c r="AI4935" s="2">
        <v>0</v>
      </c>
      <c r="AJ4935" s="2">
        <v>0</v>
      </c>
      <c r="AK4935" s="2">
        <v>0</v>
      </c>
      <c r="AL4935" s="2">
        <v>0</v>
      </c>
      <c r="AM4935" s="2">
        <v>3.13</v>
      </c>
      <c r="AN4935" s="2">
        <v>0</v>
      </c>
      <c r="AO4935" s="2">
        <v>0</v>
      </c>
      <c r="AP4935" s="2">
        <v>0</v>
      </c>
      <c r="AQ4935" s="2">
        <v>0</v>
      </c>
      <c r="AR4935" s="2">
        <v>0</v>
      </c>
      <c r="AS4935" s="2">
        <v>0</v>
      </c>
      <c r="AT4935" s="2">
        <v>0</v>
      </c>
      <c r="AU4935" s="2">
        <v>0</v>
      </c>
      <c r="AV4935" s="2">
        <v>0</v>
      </c>
      <c r="AW4935" s="2">
        <v>0</v>
      </c>
      <c r="AX4935" s="2">
        <v>0</v>
      </c>
      <c r="AY4935" s="2">
        <v>0</v>
      </c>
      <c r="AZ4935" s="2">
        <v>0</v>
      </c>
      <c r="BA4935" s="2">
        <v>0</v>
      </c>
      <c r="BB4935" s="2">
        <v>0</v>
      </c>
      <c r="BC4935" s="2">
        <v>0</v>
      </c>
      <c r="BD4935" s="2">
        <v>0</v>
      </c>
      <c r="BE4935" s="2">
        <v>0</v>
      </c>
      <c r="BF4935" s="2">
        <v>0</v>
      </c>
      <c r="BG4935" s="2">
        <v>0</v>
      </c>
      <c r="BH4935" s="2">
        <v>1</v>
      </c>
      <c r="BI4935" s="2">
        <v>2.7</v>
      </c>
      <c r="BJ4935" s="2">
        <v>1.4</v>
      </c>
      <c r="BK4935" s="2">
        <v>3</v>
      </c>
      <c r="BL4935" s="2">
        <v>32.380000000000003</v>
      </c>
      <c r="BM4935" s="2">
        <v>4.53</v>
      </c>
      <c r="BN4935" s="2">
        <v>36.909999999999997</v>
      </c>
      <c r="BO4935" s="2">
        <v>36.909999999999997</v>
      </c>
      <c r="BP4935" s="2"/>
      <c r="BQ4935" s="2"/>
      <c r="BR4935" s="2" t="s">
        <v>84</v>
      </c>
      <c r="BS4935" s="3">
        <v>42955</v>
      </c>
      <c r="BT4935" s="4">
        <v>0.33333333333333331</v>
      </c>
      <c r="BU4935" s="2" t="s">
        <v>935</v>
      </c>
      <c r="BV4935" s="2" t="s">
        <v>95</v>
      </c>
      <c r="BW4935" s="2"/>
      <c r="BX4935" s="2"/>
      <c r="BY4935" s="2">
        <v>6903.16</v>
      </c>
      <c r="BZ4935" s="2"/>
      <c r="CA4935" s="2" t="s">
        <v>267</v>
      </c>
      <c r="CB4935" s="2"/>
      <c r="CC4935" s="2" t="s">
        <v>75</v>
      </c>
      <c r="CD4935" s="2">
        <v>1645</v>
      </c>
      <c r="CE4935" s="2" t="s">
        <v>89</v>
      </c>
      <c r="CF4935" s="5">
        <v>42957</v>
      </c>
      <c r="CG4935" s="2"/>
      <c r="CH4935" s="2"/>
      <c r="CI4935" s="2">
        <v>1</v>
      </c>
      <c r="CJ4935" s="2">
        <v>1</v>
      </c>
      <c r="CK4935" s="2">
        <v>22</v>
      </c>
      <c r="CL4935" s="2" t="s">
        <v>86</v>
      </c>
      <c r="CM4935" s="2"/>
    </row>
    <row r="4936" spans="1:91">
      <c r="A4936" s="2" t="s">
        <v>71</v>
      </c>
      <c r="B4936" s="2" t="s">
        <v>72</v>
      </c>
      <c r="C4936" s="2" t="s">
        <v>73</v>
      </c>
      <c r="D4936" s="2"/>
      <c r="E4936" s="2" t="str">
        <f>"FES1162567288"</f>
        <v>FES1162567288</v>
      </c>
      <c r="F4936" s="3">
        <v>42954</v>
      </c>
      <c r="G4936" s="2">
        <v>201802</v>
      </c>
      <c r="H4936" s="2" t="s">
        <v>74</v>
      </c>
      <c r="I4936" s="2" t="s">
        <v>75</v>
      </c>
      <c r="J4936" s="2" t="s">
        <v>76</v>
      </c>
      <c r="K4936" s="2" t="s">
        <v>77</v>
      </c>
      <c r="L4936" s="2" t="s">
        <v>144</v>
      </c>
      <c r="M4936" s="2" t="s">
        <v>145</v>
      </c>
      <c r="N4936" s="2" t="s">
        <v>402</v>
      </c>
      <c r="O4936" s="2" t="s">
        <v>100</v>
      </c>
      <c r="P4936" s="2" t="str">
        <f>"2170583436                    "</f>
        <v xml:space="preserve">2170583436                    </v>
      </c>
      <c r="Q4936" s="2">
        <v>0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0</v>
      </c>
      <c r="Y4936" s="2">
        <v>0</v>
      </c>
      <c r="Z4936" s="2">
        <v>0</v>
      </c>
      <c r="AA4936" s="2">
        <v>0</v>
      </c>
      <c r="AB4936" s="2">
        <v>0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2">
        <v>0</v>
      </c>
      <c r="AI4936" s="2">
        <v>0</v>
      </c>
      <c r="AJ4936" s="2">
        <v>0</v>
      </c>
      <c r="AK4936" s="2">
        <v>0</v>
      </c>
      <c r="AL4936" s="2">
        <v>0</v>
      </c>
      <c r="AM4936" s="2">
        <v>3.13</v>
      </c>
      <c r="AN4936" s="2">
        <v>0</v>
      </c>
      <c r="AO4936" s="2">
        <v>0</v>
      </c>
      <c r="AP4936" s="2">
        <v>0</v>
      </c>
      <c r="AQ4936" s="2">
        <v>0</v>
      </c>
      <c r="AR4936" s="2">
        <v>0</v>
      </c>
      <c r="AS4936" s="2">
        <v>0</v>
      </c>
      <c r="AT4936" s="2">
        <v>0</v>
      </c>
      <c r="AU4936" s="2">
        <v>0</v>
      </c>
      <c r="AV4936" s="2">
        <v>0</v>
      </c>
      <c r="AW4936" s="2">
        <v>0</v>
      </c>
      <c r="AX4936" s="2">
        <v>0</v>
      </c>
      <c r="AY4936" s="2">
        <v>0</v>
      </c>
      <c r="AZ4936" s="2">
        <v>0</v>
      </c>
      <c r="BA4936" s="2">
        <v>0</v>
      </c>
      <c r="BB4936" s="2">
        <v>0</v>
      </c>
      <c r="BC4936" s="2">
        <v>0</v>
      </c>
      <c r="BD4936" s="2">
        <v>0</v>
      </c>
      <c r="BE4936" s="2">
        <v>0</v>
      </c>
      <c r="BF4936" s="2">
        <v>0</v>
      </c>
      <c r="BG4936" s="2">
        <v>0</v>
      </c>
      <c r="BH4936" s="2">
        <v>2</v>
      </c>
      <c r="BI4936" s="2">
        <v>7.1</v>
      </c>
      <c r="BJ4936" s="2">
        <v>7.1</v>
      </c>
      <c r="BK4936" s="2">
        <v>8</v>
      </c>
      <c r="BL4936" s="2">
        <v>32.380000000000003</v>
      </c>
      <c r="BM4936" s="2">
        <v>4.53</v>
      </c>
      <c r="BN4936" s="2">
        <v>36.909999999999997</v>
      </c>
      <c r="BO4936" s="2">
        <v>36.909999999999997</v>
      </c>
      <c r="BP4936" s="2"/>
      <c r="BQ4936" s="2" t="s">
        <v>288</v>
      </c>
      <c r="BR4936" s="2" t="s">
        <v>84</v>
      </c>
      <c r="BS4936" s="3">
        <v>42955</v>
      </c>
      <c r="BT4936" s="4">
        <v>0.43472222222222223</v>
      </c>
      <c r="BU4936" s="2" t="s">
        <v>4282</v>
      </c>
      <c r="BV4936" s="2" t="s">
        <v>95</v>
      </c>
      <c r="BW4936" s="2"/>
      <c r="BX4936" s="2"/>
      <c r="BY4936" s="2">
        <v>35576.93</v>
      </c>
      <c r="BZ4936" s="2"/>
      <c r="CA4936" s="2"/>
      <c r="CB4936" s="2"/>
      <c r="CC4936" s="2" t="s">
        <v>145</v>
      </c>
      <c r="CD4936" s="2">
        <v>1832</v>
      </c>
      <c r="CE4936" s="2" t="s">
        <v>89</v>
      </c>
      <c r="CF4936" s="5">
        <v>42957</v>
      </c>
      <c r="CG4936" s="2"/>
      <c r="CH4936" s="2"/>
      <c r="CI4936" s="2">
        <v>1</v>
      </c>
      <c r="CJ4936" s="2">
        <v>1</v>
      </c>
      <c r="CK4936" s="2">
        <v>22</v>
      </c>
      <c r="CL4936" s="2" t="s">
        <v>86</v>
      </c>
      <c r="CM4936" s="2"/>
    </row>
    <row r="4937" spans="1:91">
      <c r="A4937" s="2" t="s">
        <v>71</v>
      </c>
      <c r="B4937" s="2" t="s">
        <v>72</v>
      </c>
      <c r="C4937" s="2" t="s">
        <v>73</v>
      </c>
      <c r="D4937" s="2"/>
      <c r="E4937" s="2" t="str">
        <f>"FES1162567260"</f>
        <v>FES1162567260</v>
      </c>
      <c r="F4937" s="3">
        <v>42954</v>
      </c>
      <c r="G4937" s="2">
        <v>201802</v>
      </c>
      <c r="H4937" s="2" t="s">
        <v>74</v>
      </c>
      <c r="I4937" s="2" t="s">
        <v>75</v>
      </c>
      <c r="J4937" s="2" t="s">
        <v>76</v>
      </c>
      <c r="K4937" s="2" t="s">
        <v>77</v>
      </c>
      <c r="L4937" s="2" t="s">
        <v>105</v>
      </c>
      <c r="M4937" s="2" t="s">
        <v>106</v>
      </c>
      <c r="N4937" s="2" t="s">
        <v>107</v>
      </c>
      <c r="O4937" s="2" t="s">
        <v>100</v>
      </c>
      <c r="P4937" s="2" t="str">
        <f>"2170583413                    "</f>
        <v xml:space="preserve">2170583413                    </v>
      </c>
      <c r="Q4937" s="2">
        <v>0</v>
      </c>
      <c r="R4937" s="2">
        <v>0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0</v>
      </c>
      <c r="Y4937" s="2">
        <v>0</v>
      </c>
      <c r="Z4937" s="2">
        <v>0</v>
      </c>
      <c r="AA4937" s="2">
        <v>0</v>
      </c>
      <c r="AB4937" s="2">
        <v>0</v>
      </c>
      <c r="AC4937" s="2">
        <v>0</v>
      </c>
      <c r="AD4937" s="2">
        <v>0</v>
      </c>
      <c r="AE4937" s="2">
        <v>0</v>
      </c>
      <c r="AF4937" s="2">
        <v>0</v>
      </c>
      <c r="AG4937" s="2">
        <v>0</v>
      </c>
      <c r="AH4937" s="2">
        <v>0</v>
      </c>
      <c r="AI4937" s="2">
        <v>0</v>
      </c>
      <c r="AJ4937" s="2">
        <v>0</v>
      </c>
      <c r="AK4937" s="2">
        <v>0</v>
      </c>
      <c r="AL4937" s="2">
        <v>0</v>
      </c>
      <c r="AM4937" s="2">
        <v>12.01</v>
      </c>
      <c r="AN4937" s="2">
        <v>0</v>
      </c>
      <c r="AO4937" s="2">
        <v>0</v>
      </c>
      <c r="AP4937" s="2">
        <v>0</v>
      </c>
      <c r="AQ4937" s="2">
        <v>0</v>
      </c>
      <c r="AR4937" s="2">
        <v>0</v>
      </c>
      <c r="AS4937" s="2">
        <v>0</v>
      </c>
      <c r="AT4937" s="2">
        <v>0</v>
      </c>
      <c r="AU4937" s="2">
        <v>0</v>
      </c>
      <c r="AV4937" s="2">
        <v>0</v>
      </c>
      <c r="AW4937" s="2">
        <v>0</v>
      </c>
      <c r="AX4937" s="2">
        <v>0</v>
      </c>
      <c r="AY4937" s="2">
        <v>0</v>
      </c>
      <c r="AZ4937" s="2">
        <v>0</v>
      </c>
      <c r="BA4937" s="2">
        <v>0</v>
      </c>
      <c r="BB4937" s="2">
        <v>0</v>
      </c>
      <c r="BC4937" s="2">
        <v>0</v>
      </c>
      <c r="BD4937" s="2">
        <v>0</v>
      </c>
      <c r="BE4937" s="2">
        <v>0</v>
      </c>
      <c r="BF4937" s="2">
        <v>0</v>
      </c>
      <c r="BG4937" s="2">
        <v>0</v>
      </c>
      <c r="BH4937" s="2">
        <v>1</v>
      </c>
      <c r="BI4937" s="2">
        <v>5.6</v>
      </c>
      <c r="BJ4937" s="2">
        <v>1.6</v>
      </c>
      <c r="BK4937" s="2">
        <v>6</v>
      </c>
      <c r="BL4937" s="2">
        <v>124.33</v>
      </c>
      <c r="BM4937" s="2">
        <v>17.41</v>
      </c>
      <c r="BN4937" s="2">
        <v>141.74</v>
      </c>
      <c r="BO4937" s="2">
        <v>141.74</v>
      </c>
      <c r="BP4937" s="2"/>
      <c r="BQ4937" s="2" t="s">
        <v>108</v>
      </c>
      <c r="BR4937" s="2" t="s">
        <v>84</v>
      </c>
      <c r="BS4937" s="3">
        <v>42955</v>
      </c>
      <c r="BT4937" s="4">
        <v>0.40763888888888888</v>
      </c>
      <c r="BU4937" s="2" t="s">
        <v>236</v>
      </c>
      <c r="BV4937" s="2" t="s">
        <v>95</v>
      </c>
      <c r="BW4937" s="2"/>
      <c r="BX4937" s="2"/>
      <c r="BY4937" s="2">
        <v>8235.92</v>
      </c>
      <c r="BZ4937" s="2"/>
      <c r="CA4937" s="2" t="s">
        <v>112</v>
      </c>
      <c r="CB4937" s="2"/>
      <c r="CC4937" s="2" t="s">
        <v>106</v>
      </c>
      <c r="CD4937" s="2">
        <v>7405</v>
      </c>
      <c r="CE4937" s="2" t="s">
        <v>89</v>
      </c>
      <c r="CF4937" s="5">
        <v>42957</v>
      </c>
      <c r="CG4937" s="2"/>
      <c r="CH4937" s="2"/>
      <c r="CI4937" s="2">
        <v>1</v>
      </c>
      <c r="CJ4937" s="2">
        <v>1</v>
      </c>
      <c r="CK4937" s="2">
        <v>21</v>
      </c>
      <c r="CL4937" s="2" t="s">
        <v>86</v>
      </c>
      <c r="CM4937" s="2"/>
    </row>
    <row r="4938" spans="1:91">
      <c r="A4938" s="2" t="s">
        <v>71</v>
      </c>
      <c r="B4938" s="2" t="s">
        <v>72</v>
      </c>
      <c r="C4938" s="2" t="s">
        <v>73</v>
      </c>
      <c r="D4938" s="2"/>
      <c r="E4938" s="2" t="str">
        <f>"FES1162567356"</f>
        <v>FES1162567356</v>
      </c>
      <c r="F4938" s="3">
        <v>42954</v>
      </c>
      <c r="G4938" s="2">
        <v>201802</v>
      </c>
      <c r="H4938" s="2" t="s">
        <v>74</v>
      </c>
      <c r="I4938" s="2" t="s">
        <v>75</v>
      </c>
      <c r="J4938" s="2" t="s">
        <v>76</v>
      </c>
      <c r="K4938" s="2" t="s">
        <v>77</v>
      </c>
      <c r="L4938" s="2" t="s">
        <v>105</v>
      </c>
      <c r="M4938" s="2" t="s">
        <v>106</v>
      </c>
      <c r="N4938" s="2" t="s">
        <v>397</v>
      </c>
      <c r="O4938" s="2" t="s">
        <v>100</v>
      </c>
      <c r="P4938" s="2" t="str">
        <f>"2170583519                    "</f>
        <v xml:space="preserve">2170583519                    </v>
      </c>
      <c r="Q4938" s="2">
        <v>0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0</v>
      </c>
      <c r="Y4938" s="2">
        <v>0</v>
      </c>
      <c r="Z4938" s="2">
        <v>0</v>
      </c>
      <c r="AA4938" s="2">
        <v>0</v>
      </c>
      <c r="AB4938" s="2">
        <v>0</v>
      </c>
      <c r="AC4938" s="2">
        <v>0</v>
      </c>
      <c r="AD4938" s="2">
        <v>0</v>
      </c>
      <c r="AE4938" s="2">
        <v>0</v>
      </c>
      <c r="AF4938" s="2">
        <v>0</v>
      </c>
      <c r="AG4938" s="2">
        <v>0</v>
      </c>
      <c r="AH4938" s="2">
        <v>0</v>
      </c>
      <c r="AI4938" s="2">
        <v>0</v>
      </c>
      <c r="AJ4938" s="2">
        <v>0</v>
      </c>
      <c r="AK4938" s="2">
        <v>0</v>
      </c>
      <c r="AL4938" s="2">
        <v>0</v>
      </c>
      <c r="AM4938" s="2">
        <v>4</v>
      </c>
      <c r="AN4938" s="2">
        <v>0</v>
      </c>
      <c r="AO4938" s="2">
        <v>0</v>
      </c>
      <c r="AP4938" s="2">
        <v>0</v>
      </c>
      <c r="AQ4938" s="2">
        <v>0</v>
      </c>
      <c r="AR4938" s="2">
        <v>0</v>
      </c>
      <c r="AS4938" s="2">
        <v>0</v>
      </c>
      <c r="AT4938" s="2">
        <v>0</v>
      </c>
      <c r="AU4938" s="2">
        <v>0</v>
      </c>
      <c r="AV4938" s="2">
        <v>0</v>
      </c>
      <c r="AW4938" s="2">
        <v>0</v>
      </c>
      <c r="AX4938" s="2">
        <v>0</v>
      </c>
      <c r="AY4938" s="2">
        <v>0</v>
      </c>
      <c r="AZ4938" s="2">
        <v>0</v>
      </c>
      <c r="BA4938" s="2">
        <v>0</v>
      </c>
      <c r="BB4938" s="2">
        <v>0</v>
      </c>
      <c r="BC4938" s="2">
        <v>0</v>
      </c>
      <c r="BD4938" s="2">
        <v>0</v>
      </c>
      <c r="BE4938" s="2">
        <v>0</v>
      </c>
      <c r="BF4938" s="2">
        <v>0</v>
      </c>
      <c r="BG4938" s="2">
        <v>0</v>
      </c>
      <c r="BH4938" s="2">
        <v>1</v>
      </c>
      <c r="BI4938" s="2">
        <v>1.2</v>
      </c>
      <c r="BJ4938" s="2">
        <v>2</v>
      </c>
      <c r="BK4938" s="2">
        <v>2</v>
      </c>
      <c r="BL4938" s="2">
        <v>41.44</v>
      </c>
      <c r="BM4938" s="2">
        <v>5.8</v>
      </c>
      <c r="BN4938" s="2">
        <v>47.24</v>
      </c>
      <c r="BO4938" s="2">
        <v>47.24</v>
      </c>
      <c r="BP4938" s="2"/>
      <c r="BQ4938" s="2" t="s">
        <v>83</v>
      </c>
      <c r="BR4938" s="2" t="s">
        <v>84</v>
      </c>
      <c r="BS4938" s="3">
        <v>42955</v>
      </c>
      <c r="BT4938" s="4">
        <v>0.38194444444444442</v>
      </c>
      <c r="BU4938" s="2" t="s">
        <v>779</v>
      </c>
      <c r="BV4938" s="2" t="s">
        <v>95</v>
      </c>
      <c r="BW4938" s="2"/>
      <c r="BX4938" s="2"/>
      <c r="BY4938" s="2">
        <v>9841.86</v>
      </c>
      <c r="BZ4938" s="2"/>
      <c r="CA4938" s="2" t="s">
        <v>112</v>
      </c>
      <c r="CB4938" s="2"/>
      <c r="CC4938" s="2" t="s">
        <v>106</v>
      </c>
      <c r="CD4938" s="2">
        <v>7405</v>
      </c>
      <c r="CE4938" s="2" t="s">
        <v>89</v>
      </c>
      <c r="CF4938" s="5">
        <v>42957</v>
      </c>
      <c r="CG4938" s="2"/>
      <c r="CH4938" s="2"/>
      <c r="CI4938" s="2">
        <v>1</v>
      </c>
      <c r="CJ4938" s="2">
        <v>1</v>
      </c>
      <c r="CK4938" s="2">
        <v>21</v>
      </c>
      <c r="CL4938" s="2" t="s">
        <v>86</v>
      </c>
      <c r="CM4938" s="2"/>
    </row>
    <row r="4939" spans="1:91">
      <c r="A4939" s="2" t="s">
        <v>71</v>
      </c>
      <c r="B4939" s="2" t="s">
        <v>72</v>
      </c>
      <c r="C4939" s="2" t="s">
        <v>73</v>
      </c>
      <c r="D4939" s="2"/>
      <c r="E4939" s="2" t="str">
        <f>"FES1162567295"</f>
        <v>FES1162567295</v>
      </c>
      <c r="F4939" s="3">
        <v>42954</v>
      </c>
      <c r="G4939" s="2">
        <v>201802</v>
      </c>
      <c r="H4939" s="2" t="s">
        <v>74</v>
      </c>
      <c r="I4939" s="2" t="s">
        <v>75</v>
      </c>
      <c r="J4939" s="2" t="s">
        <v>76</v>
      </c>
      <c r="K4939" s="2" t="s">
        <v>77</v>
      </c>
      <c r="L4939" s="2" t="s">
        <v>105</v>
      </c>
      <c r="M4939" s="2" t="s">
        <v>106</v>
      </c>
      <c r="N4939" s="2" t="s">
        <v>558</v>
      </c>
      <c r="O4939" s="2" t="s">
        <v>100</v>
      </c>
      <c r="P4939" s="2" t="str">
        <f>"2170580736                    "</f>
        <v xml:space="preserve">2170580736                    </v>
      </c>
      <c r="Q4939" s="2">
        <v>0</v>
      </c>
      <c r="R4939" s="2">
        <v>0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0</v>
      </c>
      <c r="Y4939" s="2">
        <v>0</v>
      </c>
      <c r="Z4939" s="2">
        <v>0</v>
      </c>
      <c r="AA4939" s="2">
        <v>0</v>
      </c>
      <c r="AB4939" s="2">
        <v>0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2">
        <v>0</v>
      </c>
      <c r="AI4939" s="2">
        <v>0</v>
      </c>
      <c r="AJ4939" s="2">
        <v>0</v>
      </c>
      <c r="AK4939" s="2">
        <v>0</v>
      </c>
      <c r="AL4939" s="2">
        <v>0</v>
      </c>
      <c r="AM4939" s="2">
        <v>10.01</v>
      </c>
      <c r="AN4939" s="2">
        <v>0</v>
      </c>
      <c r="AO4939" s="2">
        <v>0</v>
      </c>
      <c r="AP4939" s="2">
        <v>0</v>
      </c>
      <c r="AQ4939" s="2">
        <v>0</v>
      </c>
      <c r="AR4939" s="2">
        <v>0</v>
      </c>
      <c r="AS4939" s="2">
        <v>0</v>
      </c>
      <c r="AT4939" s="2">
        <v>0</v>
      </c>
      <c r="AU4939" s="2">
        <v>0</v>
      </c>
      <c r="AV4939" s="2">
        <v>0</v>
      </c>
      <c r="AW4939" s="2">
        <v>0</v>
      </c>
      <c r="AX4939" s="2">
        <v>0</v>
      </c>
      <c r="AY4939" s="2">
        <v>0</v>
      </c>
      <c r="AZ4939" s="2">
        <v>0</v>
      </c>
      <c r="BA4939" s="2">
        <v>0</v>
      </c>
      <c r="BB4939" s="2">
        <v>0</v>
      </c>
      <c r="BC4939" s="2">
        <v>0</v>
      </c>
      <c r="BD4939" s="2">
        <v>0</v>
      </c>
      <c r="BE4939" s="2">
        <v>0</v>
      </c>
      <c r="BF4939" s="2">
        <v>0</v>
      </c>
      <c r="BG4939" s="2">
        <v>0</v>
      </c>
      <c r="BH4939" s="2">
        <v>1</v>
      </c>
      <c r="BI4939" s="2">
        <v>4.9000000000000004</v>
      </c>
      <c r="BJ4939" s="2">
        <v>1.6</v>
      </c>
      <c r="BK4939" s="2">
        <v>5</v>
      </c>
      <c r="BL4939" s="2">
        <v>103.61</v>
      </c>
      <c r="BM4939" s="2">
        <v>14.51</v>
      </c>
      <c r="BN4939" s="2">
        <v>118.12</v>
      </c>
      <c r="BO4939" s="2">
        <v>118.12</v>
      </c>
      <c r="BP4939" s="2"/>
      <c r="BQ4939" s="2" t="s">
        <v>108</v>
      </c>
      <c r="BR4939" s="2" t="s">
        <v>84</v>
      </c>
      <c r="BS4939" s="3">
        <v>42955</v>
      </c>
      <c r="BT4939" s="4">
        <v>0.4055555555555555</v>
      </c>
      <c r="BU4939" s="2" t="s">
        <v>4283</v>
      </c>
      <c r="BV4939" s="2" t="s">
        <v>95</v>
      </c>
      <c r="BW4939" s="2"/>
      <c r="BX4939" s="2"/>
      <c r="BY4939" s="2">
        <v>8101.3</v>
      </c>
      <c r="BZ4939" s="2"/>
      <c r="CA4939" s="2" t="s">
        <v>302</v>
      </c>
      <c r="CB4939" s="2"/>
      <c r="CC4939" s="2" t="s">
        <v>106</v>
      </c>
      <c r="CD4939" s="2">
        <v>7530</v>
      </c>
      <c r="CE4939" s="2" t="s">
        <v>89</v>
      </c>
      <c r="CF4939" s="5">
        <v>42957</v>
      </c>
      <c r="CG4939" s="2"/>
      <c r="CH4939" s="2"/>
      <c r="CI4939" s="2">
        <v>1</v>
      </c>
      <c r="CJ4939" s="2">
        <v>1</v>
      </c>
      <c r="CK4939" s="2">
        <v>21</v>
      </c>
      <c r="CL4939" s="2" t="s">
        <v>86</v>
      </c>
      <c r="CM4939" s="2"/>
    </row>
    <row r="4940" spans="1:91">
      <c r="A4940" s="2" t="s">
        <v>71</v>
      </c>
      <c r="B4940" s="2" t="s">
        <v>72</v>
      </c>
      <c r="C4940" s="2" t="s">
        <v>73</v>
      </c>
      <c r="D4940" s="2"/>
      <c r="E4940" s="2" t="str">
        <f>"FES1162567323"</f>
        <v>FES1162567323</v>
      </c>
      <c r="F4940" s="3">
        <v>42954</v>
      </c>
      <c r="G4940" s="2">
        <v>201802</v>
      </c>
      <c r="H4940" s="2" t="s">
        <v>74</v>
      </c>
      <c r="I4940" s="2" t="s">
        <v>75</v>
      </c>
      <c r="J4940" s="2" t="s">
        <v>76</v>
      </c>
      <c r="K4940" s="2" t="s">
        <v>77</v>
      </c>
      <c r="L4940" s="2" t="s">
        <v>216</v>
      </c>
      <c r="M4940" s="2" t="s">
        <v>217</v>
      </c>
      <c r="N4940" s="2" t="s">
        <v>1588</v>
      </c>
      <c r="O4940" s="2" t="s">
        <v>358</v>
      </c>
      <c r="P4940" s="2" t="str">
        <f>"2170581663                    "</f>
        <v xml:space="preserve">2170581663                    </v>
      </c>
      <c r="Q4940" s="2">
        <v>0</v>
      </c>
      <c r="R4940" s="2">
        <v>0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0</v>
      </c>
      <c r="Y4940" s="2">
        <v>0</v>
      </c>
      <c r="Z4940" s="2">
        <v>0</v>
      </c>
      <c r="AA4940" s="2">
        <v>0</v>
      </c>
      <c r="AB4940" s="2">
        <v>0</v>
      </c>
      <c r="AC4940" s="2">
        <v>0</v>
      </c>
      <c r="AD4940" s="2">
        <v>0</v>
      </c>
      <c r="AE4940" s="2">
        <v>0</v>
      </c>
      <c r="AF4940" s="2">
        <v>0</v>
      </c>
      <c r="AG4940" s="2">
        <v>0</v>
      </c>
      <c r="AH4940" s="2">
        <v>0</v>
      </c>
      <c r="AI4940" s="2">
        <v>0</v>
      </c>
      <c r="AJ4940" s="2">
        <v>0</v>
      </c>
      <c r="AK4940" s="2">
        <v>0</v>
      </c>
      <c r="AL4940" s="2">
        <v>0</v>
      </c>
      <c r="AM4940" s="2">
        <v>5.58</v>
      </c>
      <c r="AN4940" s="2">
        <v>0</v>
      </c>
      <c r="AO4940" s="2">
        <v>0</v>
      </c>
      <c r="AP4940" s="2">
        <v>0</v>
      </c>
      <c r="AQ4940" s="2">
        <v>0</v>
      </c>
      <c r="AR4940" s="2">
        <v>0</v>
      </c>
      <c r="AS4940" s="2">
        <v>0</v>
      </c>
      <c r="AT4940" s="2">
        <v>0</v>
      </c>
      <c r="AU4940" s="2">
        <v>0</v>
      </c>
      <c r="AV4940" s="2">
        <v>0</v>
      </c>
      <c r="AW4940" s="2">
        <v>0</v>
      </c>
      <c r="AX4940" s="2">
        <v>0</v>
      </c>
      <c r="AY4940" s="2">
        <v>0</v>
      </c>
      <c r="AZ4940" s="2">
        <v>0</v>
      </c>
      <c r="BA4940" s="2">
        <v>0</v>
      </c>
      <c r="BB4940" s="2">
        <v>0</v>
      </c>
      <c r="BC4940" s="2">
        <v>0</v>
      </c>
      <c r="BD4940" s="2">
        <v>0</v>
      </c>
      <c r="BE4940" s="2">
        <v>0</v>
      </c>
      <c r="BF4940" s="2">
        <v>0</v>
      </c>
      <c r="BG4940" s="2">
        <v>0</v>
      </c>
      <c r="BH4940" s="2">
        <v>1</v>
      </c>
      <c r="BI4940" s="2">
        <v>15</v>
      </c>
      <c r="BJ4940" s="2">
        <v>8.6</v>
      </c>
      <c r="BK4940" s="2">
        <v>15</v>
      </c>
      <c r="BL4940" s="2">
        <v>57.79</v>
      </c>
      <c r="BM4940" s="2">
        <v>8.09</v>
      </c>
      <c r="BN4940" s="2">
        <v>65.88</v>
      </c>
      <c r="BO4940" s="2">
        <v>65.88</v>
      </c>
      <c r="BP4940" s="2"/>
      <c r="BQ4940" s="2" t="s">
        <v>108</v>
      </c>
      <c r="BR4940" s="2" t="s">
        <v>84</v>
      </c>
      <c r="BS4940" s="3">
        <v>42955</v>
      </c>
      <c r="BT4940" s="4">
        <v>0.35416666666666669</v>
      </c>
      <c r="BU4940" s="2" t="s">
        <v>4284</v>
      </c>
      <c r="BV4940" s="2" t="s">
        <v>95</v>
      </c>
      <c r="BW4940" s="2"/>
      <c r="BX4940" s="2"/>
      <c r="BY4940" s="2">
        <v>43034.54</v>
      </c>
      <c r="BZ4940" s="2"/>
      <c r="CA4940" s="2"/>
      <c r="CB4940" s="2"/>
      <c r="CC4940" s="2" t="s">
        <v>217</v>
      </c>
      <c r="CD4940" s="2">
        <v>1451</v>
      </c>
      <c r="CE4940" s="2" t="s">
        <v>89</v>
      </c>
      <c r="CF4940" s="5">
        <v>42957</v>
      </c>
      <c r="CG4940" s="2"/>
      <c r="CH4940" s="2"/>
      <c r="CI4940" s="2">
        <v>1</v>
      </c>
      <c r="CJ4940" s="2">
        <v>1</v>
      </c>
      <c r="CK4940" s="2">
        <v>32</v>
      </c>
      <c r="CL4940" s="2" t="s">
        <v>86</v>
      </c>
      <c r="CM4940" s="2"/>
    </row>
    <row r="4941" spans="1:91">
      <c r="A4941" s="2" t="s">
        <v>71</v>
      </c>
      <c r="B4941" s="2" t="s">
        <v>72</v>
      </c>
      <c r="C4941" s="2" t="s">
        <v>73</v>
      </c>
      <c r="D4941" s="2"/>
      <c r="E4941" s="2" t="str">
        <f>"FES1162567228"</f>
        <v>FES1162567228</v>
      </c>
      <c r="F4941" s="3">
        <v>42954</v>
      </c>
      <c r="G4941" s="2">
        <v>201802</v>
      </c>
      <c r="H4941" s="2" t="s">
        <v>74</v>
      </c>
      <c r="I4941" s="2" t="s">
        <v>75</v>
      </c>
      <c r="J4941" s="2" t="s">
        <v>76</v>
      </c>
      <c r="K4941" s="2" t="s">
        <v>77</v>
      </c>
      <c r="L4941" s="2" t="s">
        <v>105</v>
      </c>
      <c r="M4941" s="2" t="s">
        <v>106</v>
      </c>
      <c r="N4941" s="2" t="s">
        <v>1669</v>
      </c>
      <c r="O4941" s="2" t="s">
        <v>100</v>
      </c>
      <c r="P4941" s="2" t="str">
        <f>"2170583153                    "</f>
        <v xml:space="preserve">2170583153                    </v>
      </c>
      <c r="Q4941" s="2">
        <v>0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0</v>
      </c>
      <c r="Y4941" s="2">
        <v>0</v>
      </c>
      <c r="Z4941" s="2">
        <v>0</v>
      </c>
      <c r="AA4941" s="2">
        <v>0</v>
      </c>
      <c r="AB4941" s="2">
        <v>0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5</v>
      </c>
      <c r="AN4941" s="2">
        <v>0</v>
      </c>
      <c r="AO4941" s="2">
        <v>0</v>
      </c>
      <c r="AP4941" s="2">
        <v>0</v>
      </c>
      <c r="AQ4941" s="2">
        <v>0</v>
      </c>
      <c r="AR4941" s="2">
        <v>0</v>
      </c>
      <c r="AS4941" s="2">
        <v>0</v>
      </c>
      <c r="AT4941" s="2">
        <v>0</v>
      </c>
      <c r="AU4941" s="2">
        <v>0</v>
      </c>
      <c r="AV4941" s="2">
        <v>0</v>
      </c>
      <c r="AW4941" s="2">
        <v>0</v>
      </c>
      <c r="AX4941" s="2">
        <v>0</v>
      </c>
      <c r="AY4941" s="2">
        <v>0</v>
      </c>
      <c r="AZ4941" s="2">
        <v>0</v>
      </c>
      <c r="BA4941" s="2">
        <v>0</v>
      </c>
      <c r="BB4941" s="2">
        <v>0</v>
      </c>
      <c r="BC4941" s="2">
        <v>0</v>
      </c>
      <c r="BD4941" s="2">
        <v>0</v>
      </c>
      <c r="BE4941" s="2">
        <v>0</v>
      </c>
      <c r="BF4941" s="2">
        <v>0</v>
      </c>
      <c r="BG4941" s="2">
        <v>0</v>
      </c>
      <c r="BH4941" s="2">
        <v>1</v>
      </c>
      <c r="BI4941" s="2">
        <v>2.4</v>
      </c>
      <c r="BJ4941" s="2">
        <v>2</v>
      </c>
      <c r="BK4941" s="2">
        <v>2.5</v>
      </c>
      <c r="BL4941" s="2">
        <v>51.8</v>
      </c>
      <c r="BM4941" s="2">
        <v>7.25</v>
      </c>
      <c r="BN4941" s="2">
        <v>59.05</v>
      </c>
      <c r="BO4941" s="2">
        <v>59.05</v>
      </c>
      <c r="BP4941" s="2"/>
      <c r="BQ4941" s="2" t="s">
        <v>108</v>
      </c>
      <c r="BR4941" s="2" t="s">
        <v>84</v>
      </c>
      <c r="BS4941" s="3">
        <v>42955</v>
      </c>
      <c r="BT4941" s="4">
        <v>0.3263888888888889</v>
      </c>
      <c r="BU4941" s="2" t="s">
        <v>2067</v>
      </c>
      <c r="BV4941" s="2" t="s">
        <v>95</v>
      </c>
      <c r="BW4941" s="2"/>
      <c r="BX4941" s="2"/>
      <c r="BY4941" s="2">
        <v>9933.84</v>
      </c>
      <c r="BZ4941" s="2"/>
      <c r="CA4941" s="2" t="s">
        <v>302</v>
      </c>
      <c r="CB4941" s="2"/>
      <c r="CC4941" s="2" t="s">
        <v>106</v>
      </c>
      <c r="CD4941" s="2">
        <v>7493</v>
      </c>
      <c r="CE4941" s="2" t="s">
        <v>89</v>
      </c>
      <c r="CF4941" s="5">
        <v>42957</v>
      </c>
      <c r="CG4941" s="2"/>
      <c r="CH4941" s="2"/>
      <c r="CI4941" s="2">
        <v>1</v>
      </c>
      <c r="CJ4941" s="2">
        <v>1</v>
      </c>
      <c r="CK4941" s="2">
        <v>21</v>
      </c>
      <c r="CL4941" s="2" t="s">
        <v>86</v>
      </c>
      <c r="CM4941" s="2"/>
    </row>
    <row r="4942" spans="1:91">
      <c r="A4942" s="2" t="s">
        <v>71</v>
      </c>
      <c r="B4942" s="2" t="s">
        <v>72</v>
      </c>
      <c r="C4942" s="2" t="s">
        <v>73</v>
      </c>
      <c r="D4942" s="2"/>
      <c r="E4942" s="2" t="str">
        <f>"Rfes1162566521"</f>
        <v>Rfes1162566521</v>
      </c>
      <c r="F4942" s="3">
        <v>42954</v>
      </c>
      <c r="G4942" s="2">
        <v>201802</v>
      </c>
      <c r="H4942" s="2" t="s">
        <v>343</v>
      </c>
      <c r="I4942" s="2" t="s">
        <v>344</v>
      </c>
      <c r="J4942" s="2" t="s">
        <v>2794</v>
      </c>
      <c r="K4942" s="2" t="s">
        <v>77</v>
      </c>
      <c r="L4942" s="2" t="s">
        <v>74</v>
      </c>
      <c r="M4942" s="2" t="s">
        <v>75</v>
      </c>
      <c r="N4942" s="2" t="s">
        <v>76</v>
      </c>
      <c r="O4942" s="2" t="s">
        <v>100</v>
      </c>
      <c r="P4942" s="2" t="str">
        <f>"2170582354                    "</f>
        <v xml:space="preserve">2170582354                    </v>
      </c>
      <c r="Q4942" s="2">
        <v>0</v>
      </c>
      <c r="R4942" s="2">
        <v>0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0</v>
      </c>
      <c r="Y4942" s="2">
        <v>0</v>
      </c>
      <c r="Z4942" s="2">
        <v>0</v>
      </c>
      <c r="AA4942" s="2">
        <v>0</v>
      </c>
      <c r="AB4942" s="2">
        <v>0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2">
        <v>0</v>
      </c>
      <c r="AI4942" s="2">
        <v>0</v>
      </c>
      <c r="AJ4942" s="2">
        <v>0</v>
      </c>
      <c r="AK4942" s="2">
        <v>0</v>
      </c>
      <c r="AL4942" s="2">
        <v>0</v>
      </c>
      <c r="AM4942" s="2">
        <v>4</v>
      </c>
      <c r="AN4942" s="2">
        <v>0</v>
      </c>
      <c r="AO4942" s="2">
        <v>0</v>
      </c>
      <c r="AP4942" s="2">
        <v>0</v>
      </c>
      <c r="AQ4942" s="2">
        <v>0</v>
      </c>
      <c r="AR4942" s="2">
        <v>0</v>
      </c>
      <c r="AS4942" s="2">
        <v>0</v>
      </c>
      <c r="AT4942" s="2">
        <v>0</v>
      </c>
      <c r="AU4942" s="2">
        <v>0</v>
      </c>
      <c r="AV4942" s="2">
        <v>0</v>
      </c>
      <c r="AW4942" s="2">
        <v>0</v>
      </c>
      <c r="AX4942" s="2">
        <v>0</v>
      </c>
      <c r="AY4942" s="2">
        <v>0</v>
      </c>
      <c r="AZ4942" s="2">
        <v>0</v>
      </c>
      <c r="BA4942" s="2">
        <v>0</v>
      </c>
      <c r="BB4942" s="2">
        <v>0</v>
      </c>
      <c r="BC4942" s="2">
        <v>0</v>
      </c>
      <c r="BD4942" s="2">
        <v>0</v>
      </c>
      <c r="BE4942" s="2">
        <v>0</v>
      </c>
      <c r="BF4942" s="2">
        <v>0</v>
      </c>
      <c r="BG4942" s="2">
        <v>0</v>
      </c>
      <c r="BH4942" s="2">
        <v>1</v>
      </c>
      <c r="BI4942" s="2">
        <v>1.7</v>
      </c>
      <c r="BJ4942" s="2">
        <v>1</v>
      </c>
      <c r="BK4942" s="2">
        <v>2</v>
      </c>
      <c r="BL4942" s="2">
        <v>41.44</v>
      </c>
      <c r="BM4942" s="2">
        <v>5.8</v>
      </c>
      <c r="BN4942" s="2">
        <v>47.24</v>
      </c>
      <c r="BO4942" s="2">
        <v>47.24</v>
      </c>
      <c r="BP4942" s="2"/>
      <c r="BQ4942" s="2" t="s">
        <v>84</v>
      </c>
      <c r="BR4942" s="2" t="s">
        <v>108</v>
      </c>
      <c r="BS4942" s="3">
        <v>42955</v>
      </c>
      <c r="BT4942" s="4">
        <v>0.4375</v>
      </c>
      <c r="BU4942" s="2" t="s">
        <v>2993</v>
      </c>
      <c r="BV4942" s="2" t="s">
        <v>95</v>
      </c>
      <c r="BW4942" s="2"/>
      <c r="BX4942" s="2"/>
      <c r="BY4942" s="2">
        <v>4857.92</v>
      </c>
      <c r="BZ4942" s="2" t="s">
        <v>27</v>
      </c>
      <c r="CA4942" s="2" t="s">
        <v>953</v>
      </c>
      <c r="CB4942" s="2"/>
      <c r="CC4942" s="2" t="s">
        <v>75</v>
      </c>
      <c r="CD4942" s="2">
        <v>1600</v>
      </c>
      <c r="CE4942" s="2" t="s">
        <v>89</v>
      </c>
      <c r="CF4942" s="5">
        <v>42957</v>
      </c>
      <c r="CG4942" s="2"/>
      <c r="CH4942" s="2"/>
      <c r="CI4942" s="2">
        <v>1</v>
      </c>
      <c r="CJ4942" s="2">
        <v>1</v>
      </c>
      <c r="CK4942" s="2">
        <v>21</v>
      </c>
      <c r="CL4942" s="2" t="s">
        <v>86</v>
      </c>
      <c r="CM4942" s="2"/>
    </row>
    <row r="4943" spans="1:91">
      <c r="A4943" s="2" t="s">
        <v>71</v>
      </c>
      <c r="B4943" s="2" t="s">
        <v>72</v>
      </c>
      <c r="C4943" s="2" t="s">
        <v>73</v>
      </c>
      <c r="D4943" s="2"/>
      <c r="E4943" s="2" t="str">
        <f>"Rfes1162566893"</f>
        <v>Rfes1162566893</v>
      </c>
      <c r="F4943" s="3">
        <v>42954</v>
      </c>
      <c r="G4943" s="2">
        <v>201802</v>
      </c>
      <c r="H4943" s="2" t="s">
        <v>343</v>
      </c>
      <c r="I4943" s="2" t="s">
        <v>344</v>
      </c>
      <c r="J4943" s="2" t="s">
        <v>2794</v>
      </c>
      <c r="K4943" s="2" t="s">
        <v>77</v>
      </c>
      <c r="L4943" s="2" t="s">
        <v>74</v>
      </c>
      <c r="M4943" s="2" t="s">
        <v>75</v>
      </c>
      <c r="N4943" s="2" t="s">
        <v>76</v>
      </c>
      <c r="O4943" s="2" t="s">
        <v>100</v>
      </c>
      <c r="P4943" s="2" t="str">
        <f>"2170582354                    "</f>
        <v xml:space="preserve">2170582354                    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0</v>
      </c>
      <c r="Y4943" s="2">
        <v>0</v>
      </c>
      <c r="Z4943" s="2">
        <v>0</v>
      </c>
      <c r="AA4943" s="2">
        <v>0</v>
      </c>
      <c r="AB4943" s="2">
        <v>0</v>
      </c>
      <c r="AC4943" s="2">
        <v>0</v>
      </c>
      <c r="AD4943" s="2">
        <v>0</v>
      </c>
      <c r="AE4943" s="2">
        <v>0</v>
      </c>
      <c r="AF4943" s="2">
        <v>0</v>
      </c>
      <c r="AG4943" s="2">
        <v>0</v>
      </c>
      <c r="AH4943" s="2">
        <v>0</v>
      </c>
      <c r="AI4943" s="2">
        <v>0</v>
      </c>
      <c r="AJ4943" s="2">
        <v>0</v>
      </c>
      <c r="AK4943" s="2">
        <v>0</v>
      </c>
      <c r="AL4943" s="2">
        <v>0</v>
      </c>
      <c r="AM4943" s="2">
        <v>4</v>
      </c>
      <c r="AN4943" s="2">
        <v>0</v>
      </c>
      <c r="AO4943" s="2">
        <v>0</v>
      </c>
      <c r="AP4943" s="2">
        <v>0</v>
      </c>
      <c r="AQ4943" s="2">
        <v>0</v>
      </c>
      <c r="AR4943" s="2">
        <v>0</v>
      </c>
      <c r="AS4943" s="2">
        <v>0</v>
      </c>
      <c r="AT4943" s="2">
        <v>0</v>
      </c>
      <c r="AU4943" s="2">
        <v>0</v>
      </c>
      <c r="AV4943" s="2">
        <v>0</v>
      </c>
      <c r="AW4943" s="2">
        <v>0</v>
      </c>
      <c r="AX4943" s="2">
        <v>0</v>
      </c>
      <c r="AY4943" s="2">
        <v>0</v>
      </c>
      <c r="AZ4943" s="2">
        <v>0</v>
      </c>
      <c r="BA4943" s="2">
        <v>0</v>
      </c>
      <c r="BB4943" s="2">
        <v>0</v>
      </c>
      <c r="BC4943" s="2">
        <v>0</v>
      </c>
      <c r="BD4943" s="2">
        <v>0</v>
      </c>
      <c r="BE4943" s="2">
        <v>0</v>
      </c>
      <c r="BF4943" s="2">
        <v>0</v>
      </c>
      <c r="BG4943" s="2">
        <v>0</v>
      </c>
      <c r="BH4943" s="2">
        <v>1</v>
      </c>
      <c r="BI4943" s="2">
        <v>0.8</v>
      </c>
      <c r="BJ4943" s="2">
        <v>1</v>
      </c>
      <c r="BK4943" s="2">
        <v>1</v>
      </c>
      <c r="BL4943" s="2">
        <v>41.44</v>
      </c>
      <c r="BM4943" s="2">
        <v>5.8</v>
      </c>
      <c r="BN4943" s="2">
        <v>47.24</v>
      </c>
      <c r="BO4943" s="2">
        <v>47.24</v>
      </c>
      <c r="BP4943" s="2"/>
      <c r="BQ4943" s="2" t="s">
        <v>84</v>
      </c>
      <c r="BR4943" s="2" t="s">
        <v>365</v>
      </c>
      <c r="BS4943" s="3">
        <v>42955</v>
      </c>
      <c r="BT4943" s="4">
        <v>0.4375</v>
      </c>
      <c r="BU4943" s="2" t="s">
        <v>2993</v>
      </c>
      <c r="BV4943" s="2" t="s">
        <v>95</v>
      </c>
      <c r="BW4943" s="2"/>
      <c r="BX4943" s="2"/>
      <c r="BY4943" s="2">
        <v>4875.78</v>
      </c>
      <c r="BZ4943" s="2"/>
      <c r="CA4943" s="2" t="s">
        <v>953</v>
      </c>
      <c r="CB4943" s="2"/>
      <c r="CC4943" s="2" t="s">
        <v>75</v>
      </c>
      <c r="CD4943" s="2">
        <v>1600</v>
      </c>
      <c r="CE4943" s="2" t="s">
        <v>89</v>
      </c>
      <c r="CF4943" s="5">
        <v>42957</v>
      </c>
      <c r="CG4943" s="2"/>
      <c r="CH4943" s="2"/>
      <c r="CI4943" s="2">
        <v>1</v>
      </c>
      <c r="CJ4943" s="2">
        <v>1</v>
      </c>
      <c r="CK4943" s="2">
        <v>21</v>
      </c>
      <c r="CL4943" s="2" t="s">
        <v>86</v>
      </c>
      <c r="CM4943" s="2"/>
    </row>
    <row r="4944" spans="1:91">
      <c r="A4944" s="2" t="s">
        <v>71</v>
      </c>
      <c r="B4944" s="2" t="s">
        <v>72</v>
      </c>
      <c r="C4944" s="2" t="s">
        <v>73</v>
      </c>
      <c r="D4944" s="2"/>
      <c r="E4944" s="2" t="str">
        <f>"RFES1162567137"</f>
        <v>RFES1162567137</v>
      </c>
      <c r="F4944" s="3">
        <v>42954</v>
      </c>
      <c r="G4944" s="2">
        <v>201802</v>
      </c>
      <c r="H4944" s="2" t="s">
        <v>343</v>
      </c>
      <c r="I4944" s="2" t="s">
        <v>344</v>
      </c>
      <c r="J4944" s="2" t="s">
        <v>4134</v>
      </c>
      <c r="K4944" s="2" t="s">
        <v>77</v>
      </c>
      <c r="L4944" s="2" t="s">
        <v>144</v>
      </c>
      <c r="M4944" s="2" t="s">
        <v>145</v>
      </c>
      <c r="N4944" s="2" t="s">
        <v>76</v>
      </c>
      <c r="O4944" s="2" t="s">
        <v>100</v>
      </c>
      <c r="P4944" s="2" t="str">
        <f>"2170581160                    "</f>
        <v xml:space="preserve">2170581160                    </v>
      </c>
      <c r="Q4944" s="2">
        <v>0</v>
      </c>
      <c r="R4944" s="2">
        <v>0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0</v>
      </c>
      <c r="Y4944" s="2">
        <v>0</v>
      </c>
      <c r="Z4944" s="2">
        <v>0</v>
      </c>
      <c r="AA4944" s="2">
        <v>0</v>
      </c>
      <c r="AB4944" s="2">
        <v>0</v>
      </c>
      <c r="AC4944" s="2">
        <v>0</v>
      </c>
      <c r="AD4944" s="2">
        <v>0</v>
      </c>
      <c r="AE4944" s="2">
        <v>0</v>
      </c>
      <c r="AF4944" s="2">
        <v>0</v>
      </c>
      <c r="AG4944" s="2">
        <v>0</v>
      </c>
      <c r="AH4944" s="2">
        <v>0</v>
      </c>
      <c r="AI4944" s="2">
        <v>0</v>
      </c>
      <c r="AJ4944" s="2">
        <v>0</v>
      </c>
      <c r="AK4944" s="2">
        <v>0</v>
      </c>
      <c r="AL4944" s="2">
        <v>0</v>
      </c>
      <c r="AM4944" s="2">
        <v>4</v>
      </c>
      <c r="AN4944" s="2">
        <v>0</v>
      </c>
      <c r="AO4944" s="2">
        <v>0</v>
      </c>
      <c r="AP4944" s="2">
        <v>0</v>
      </c>
      <c r="AQ4944" s="2">
        <v>0</v>
      </c>
      <c r="AR4944" s="2">
        <v>0</v>
      </c>
      <c r="AS4944" s="2">
        <v>0</v>
      </c>
      <c r="AT4944" s="2">
        <v>0</v>
      </c>
      <c r="AU4944" s="2">
        <v>0</v>
      </c>
      <c r="AV4944" s="2">
        <v>0</v>
      </c>
      <c r="AW4944" s="2">
        <v>0</v>
      </c>
      <c r="AX4944" s="2">
        <v>0</v>
      </c>
      <c r="AY4944" s="2">
        <v>0</v>
      </c>
      <c r="AZ4944" s="2">
        <v>0</v>
      </c>
      <c r="BA4944" s="2">
        <v>0</v>
      </c>
      <c r="BB4944" s="2">
        <v>0</v>
      </c>
      <c r="BC4944" s="2">
        <v>0</v>
      </c>
      <c r="BD4944" s="2">
        <v>0</v>
      </c>
      <c r="BE4944" s="2">
        <v>0</v>
      </c>
      <c r="BF4944" s="2">
        <v>0</v>
      </c>
      <c r="BG4944" s="2">
        <v>0</v>
      </c>
      <c r="BH4944" s="2">
        <v>1</v>
      </c>
      <c r="BI4944" s="2">
        <v>1</v>
      </c>
      <c r="BJ4944" s="2">
        <v>0.2</v>
      </c>
      <c r="BK4944" s="2">
        <v>1</v>
      </c>
      <c r="BL4944" s="2">
        <v>41.44</v>
      </c>
      <c r="BM4944" s="2">
        <v>5.8</v>
      </c>
      <c r="BN4944" s="2">
        <v>47.24</v>
      </c>
      <c r="BO4944" s="2">
        <v>47.24</v>
      </c>
      <c r="BP4944" s="2"/>
      <c r="BQ4944" s="2" t="s">
        <v>84</v>
      </c>
      <c r="BR4944" s="2"/>
      <c r="BS4944" s="3">
        <v>42955</v>
      </c>
      <c r="BT4944" s="4">
        <v>0.4375</v>
      </c>
      <c r="BU4944" s="2" t="s">
        <v>2993</v>
      </c>
      <c r="BV4944" s="2" t="s">
        <v>95</v>
      </c>
      <c r="BW4944" s="2"/>
      <c r="BX4944" s="2"/>
      <c r="BY4944" s="2">
        <v>1200</v>
      </c>
      <c r="BZ4944" s="2"/>
      <c r="CA4944" s="2" t="s">
        <v>953</v>
      </c>
      <c r="CB4944" s="2"/>
      <c r="CC4944" s="2" t="s">
        <v>145</v>
      </c>
      <c r="CD4944" s="2">
        <v>2000</v>
      </c>
      <c r="CE4944" s="2" t="s">
        <v>104</v>
      </c>
      <c r="CF4944" s="5">
        <v>42957</v>
      </c>
      <c r="CG4944" s="2"/>
      <c r="CH4944" s="2"/>
      <c r="CI4944" s="2">
        <v>1</v>
      </c>
      <c r="CJ4944" s="2">
        <v>1</v>
      </c>
      <c r="CK4944" s="2">
        <v>21</v>
      </c>
      <c r="CL4944" s="2" t="s">
        <v>86</v>
      </c>
      <c r="CM4944" s="2"/>
    </row>
    <row r="4945" spans="1:91">
      <c r="A4945" s="2" t="s">
        <v>71</v>
      </c>
      <c r="B4945" s="2" t="s">
        <v>72</v>
      </c>
      <c r="C4945" s="2" t="s">
        <v>73</v>
      </c>
      <c r="D4945" s="2"/>
      <c r="E4945" s="2" t="str">
        <f>"FES1162567073"</f>
        <v>FES1162567073</v>
      </c>
      <c r="F4945" s="3">
        <v>42954</v>
      </c>
      <c r="G4945" s="2">
        <v>201802</v>
      </c>
      <c r="H4945" s="2" t="s">
        <v>74</v>
      </c>
      <c r="I4945" s="2" t="s">
        <v>75</v>
      </c>
      <c r="J4945" s="2" t="s">
        <v>76</v>
      </c>
      <c r="K4945" s="2" t="s">
        <v>77</v>
      </c>
      <c r="L4945" s="2" t="s">
        <v>74</v>
      </c>
      <c r="M4945" s="2" t="s">
        <v>75</v>
      </c>
      <c r="N4945" s="2" t="s">
        <v>4285</v>
      </c>
      <c r="O4945" s="2" t="s">
        <v>81</v>
      </c>
      <c r="P4945" s="2" t="str">
        <f>"2170576968                    "</f>
        <v xml:space="preserve">2170576968                    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0</v>
      </c>
      <c r="Y4945" s="2">
        <v>0</v>
      </c>
      <c r="Z4945" s="2">
        <v>0</v>
      </c>
      <c r="AA4945" s="2">
        <v>0</v>
      </c>
      <c r="AB4945" s="2">
        <v>0</v>
      </c>
      <c r="AC4945" s="2">
        <v>0</v>
      </c>
      <c r="AD4945" s="2">
        <v>0</v>
      </c>
      <c r="AE4945" s="2">
        <v>0</v>
      </c>
      <c r="AF4945" s="2">
        <v>0</v>
      </c>
      <c r="AG4945" s="2">
        <v>0</v>
      </c>
      <c r="AH4945" s="2">
        <v>0</v>
      </c>
      <c r="AI4945" s="2">
        <v>0</v>
      </c>
      <c r="AJ4945" s="2">
        <v>0</v>
      </c>
      <c r="AK4945" s="2">
        <v>0</v>
      </c>
      <c r="AL4945" s="2">
        <v>0</v>
      </c>
      <c r="AM4945" s="2">
        <v>13.15</v>
      </c>
      <c r="AN4945" s="2">
        <v>0</v>
      </c>
      <c r="AO4945" s="2">
        <v>0</v>
      </c>
      <c r="AP4945" s="2">
        <v>0</v>
      </c>
      <c r="AQ4945" s="2">
        <v>0</v>
      </c>
      <c r="AR4945" s="2">
        <v>0</v>
      </c>
      <c r="AS4945" s="2">
        <v>0</v>
      </c>
      <c r="AT4945" s="2">
        <v>0</v>
      </c>
      <c r="AU4945" s="2">
        <v>0</v>
      </c>
      <c r="AV4945" s="2">
        <v>0</v>
      </c>
      <c r="AW4945" s="2">
        <v>0</v>
      </c>
      <c r="AX4945" s="2">
        <v>0</v>
      </c>
      <c r="AY4945" s="2">
        <v>0</v>
      </c>
      <c r="AZ4945" s="2">
        <v>0</v>
      </c>
      <c r="BA4945" s="2">
        <v>0</v>
      </c>
      <c r="BB4945" s="2">
        <v>0</v>
      </c>
      <c r="BC4945" s="2">
        <v>0</v>
      </c>
      <c r="BD4945" s="2">
        <v>0</v>
      </c>
      <c r="BE4945" s="2">
        <v>0</v>
      </c>
      <c r="BF4945" s="2">
        <v>0</v>
      </c>
      <c r="BG4945" s="2">
        <v>0</v>
      </c>
      <c r="BH4945" s="2">
        <v>4</v>
      </c>
      <c r="BI4945" s="2">
        <v>54.9</v>
      </c>
      <c r="BJ4945" s="2">
        <v>25.9</v>
      </c>
      <c r="BK4945" s="2">
        <v>55</v>
      </c>
      <c r="BL4945" s="2">
        <v>141.19999999999999</v>
      </c>
      <c r="BM4945" s="2">
        <v>19.77</v>
      </c>
      <c r="BN4945" s="2">
        <v>160.97</v>
      </c>
      <c r="BO4945" s="2">
        <v>160.97</v>
      </c>
      <c r="BP4945" s="2"/>
      <c r="BQ4945" s="2" t="s">
        <v>227</v>
      </c>
      <c r="BR4945" s="2" t="s">
        <v>84</v>
      </c>
      <c r="BS4945" s="3">
        <v>42955</v>
      </c>
      <c r="BT4945" s="4">
        <v>0.41250000000000003</v>
      </c>
      <c r="BU4945" s="2" t="s">
        <v>4286</v>
      </c>
      <c r="BV4945" s="2" t="s">
        <v>95</v>
      </c>
      <c r="BW4945" s="2"/>
      <c r="BX4945" s="2"/>
      <c r="BY4945" s="2">
        <v>129382.21</v>
      </c>
      <c r="BZ4945" s="2"/>
      <c r="CA4945" s="2"/>
      <c r="CB4945" s="2"/>
      <c r="CC4945" s="2" t="s">
        <v>75</v>
      </c>
      <c r="CD4945" s="2">
        <v>1682</v>
      </c>
      <c r="CE4945" s="2" t="s">
        <v>89</v>
      </c>
      <c r="CF4945" s="5">
        <v>42957</v>
      </c>
      <c r="CG4945" s="2"/>
      <c r="CH4945" s="2"/>
      <c r="CI4945" s="2">
        <v>0</v>
      </c>
      <c r="CJ4945" s="2">
        <v>0</v>
      </c>
      <c r="CK4945" s="2" t="s">
        <v>132</v>
      </c>
      <c r="CL4945" s="2" t="s">
        <v>86</v>
      </c>
      <c r="CM4945" s="2"/>
    </row>
    <row r="4946" spans="1:91">
      <c r="A4946" s="2" t="s">
        <v>71</v>
      </c>
      <c r="B4946" s="2" t="s">
        <v>72</v>
      </c>
      <c r="C4946" s="2" t="s">
        <v>73</v>
      </c>
      <c r="D4946" s="2"/>
      <c r="E4946" s="2" t="str">
        <f>"080001702959"</f>
        <v>080001702959</v>
      </c>
      <c r="F4946" s="3">
        <v>42954</v>
      </c>
      <c r="G4946" s="2">
        <v>201802</v>
      </c>
      <c r="H4946" s="2" t="s">
        <v>97</v>
      </c>
      <c r="I4946" s="2" t="s">
        <v>98</v>
      </c>
      <c r="J4946" s="2" t="s">
        <v>1044</v>
      </c>
      <c r="K4946" s="2" t="s">
        <v>77</v>
      </c>
      <c r="L4946" s="2" t="s">
        <v>74</v>
      </c>
      <c r="M4946" s="2" t="s">
        <v>75</v>
      </c>
      <c r="N4946" s="2" t="s">
        <v>118</v>
      </c>
      <c r="O4946" s="2" t="s">
        <v>81</v>
      </c>
      <c r="P4946" s="2" t="str">
        <f>"ZA1000658279                  "</f>
        <v xml:space="preserve">ZA1000658279                  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0</v>
      </c>
      <c r="Y4946" s="2">
        <v>0</v>
      </c>
      <c r="Z4946" s="2">
        <v>0</v>
      </c>
      <c r="AA4946" s="2">
        <v>0</v>
      </c>
      <c r="AB4946" s="2">
        <v>0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0</v>
      </c>
      <c r="AM4946" s="2">
        <v>9.24</v>
      </c>
      <c r="AN4946" s="2">
        <v>0</v>
      </c>
      <c r="AO4946" s="2">
        <v>0</v>
      </c>
      <c r="AP4946" s="2">
        <v>0</v>
      </c>
      <c r="AQ4946" s="2">
        <v>0</v>
      </c>
      <c r="AR4946" s="2">
        <v>0</v>
      </c>
      <c r="AS4946" s="2">
        <v>0</v>
      </c>
      <c r="AT4946" s="2">
        <v>0</v>
      </c>
      <c r="AU4946" s="2">
        <v>0</v>
      </c>
      <c r="AV4946" s="2">
        <v>0</v>
      </c>
      <c r="AW4946" s="2">
        <v>0</v>
      </c>
      <c r="AX4946" s="2">
        <v>0</v>
      </c>
      <c r="AY4946" s="2">
        <v>0</v>
      </c>
      <c r="AZ4946" s="2">
        <v>0</v>
      </c>
      <c r="BA4946" s="2">
        <v>0</v>
      </c>
      <c r="BB4946" s="2">
        <v>0</v>
      </c>
      <c r="BC4946" s="2">
        <v>0</v>
      </c>
      <c r="BD4946" s="2">
        <v>0</v>
      </c>
      <c r="BE4946" s="2">
        <v>0</v>
      </c>
      <c r="BF4946" s="2">
        <v>0</v>
      </c>
      <c r="BG4946" s="2">
        <v>0</v>
      </c>
      <c r="BH4946" s="2">
        <v>1</v>
      </c>
      <c r="BI4946" s="2">
        <v>17.100000000000001</v>
      </c>
      <c r="BJ4946" s="2">
        <v>9.6</v>
      </c>
      <c r="BK4946" s="2">
        <v>18</v>
      </c>
      <c r="BL4946" s="2">
        <v>100.72</v>
      </c>
      <c r="BM4946" s="2">
        <v>14.1</v>
      </c>
      <c r="BN4946" s="2">
        <v>114.82</v>
      </c>
      <c r="BO4946" s="2">
        <v>114.82</v>
      </c>
      <c r="BP4946" s="2" t="s">
        <v>4287</v>
      </c>
      <c r="BQ4946" s="2" t="s">
        <v>4288</v>
      </c>
      <c r="BR4946" s="2" t="s">
        <v>4289</v>
      </c>
      <c r="BS4946" s="3">
        <v>42957</v>
      </c>
      <c r="BT4946" s="4">
        <v>0.69444444444444453</v>
      </c>
      <c r="BU4946" s="2" t="s">
        <v>179</v>
      </c>
      <c r="BV4946" s="2" t="s">
        <v>86</v>
      </c>
      <c r="BW4946" s="2" t="s">
        <v>1007</v>
      </c>
      <c r="BX4946" s="2" t="s">
        <v>1113</v>
      </c>
      <c r="BY4946" s="2">
        <v>48000</v>
      </c>
      <c r="BZ4946" s="2"/>
      <c r="CA4946" s="2"/>
      <c r="CB4946" s="2"/>
      <c r="CC4946" s="2" t="s">
        <v>75</v>
      </c>
      <c r="CD4946" s="2">
        <v>1600</v>
      </c>
      <c r="CE4946" s="2" t="s">
        <v>89</v>
      </c>
      <c r="CF4946" s="5">
        <v>42958</v>
      </c>
      <c r="CG4946" s="2"/>
      <c r="CH4946" s="2"/>
      <c r="CI4946" s="2">
        <v>0</v>
      </c>
      <c r="CJ4946" s="2">
        <v>0</v>
      </c>
      <c r="CK4946" s="2" t="s">
        <v>136</v>
      </c>
      <c r="CL4946" s="2" t="s">
        <v>86</v>
      </c>
      <c r="CM4946" s="2"/>
    </row>
    <row r="4947" spans="1:91">
      <c r="A4947" s="2" t="s">
        <v>71</v>
      </c>
      <c r="B4947" s="2" t="s">
        <v>72</v>
      </c>
      <c r="C4947" s="2" t="s">
        <v>73</v>
      </c>
      <c r="D4947" s="2"/>
      <c r="E4947" s="2" t="str">
        <f>"FES1162567287"</f>
        <v>FES1162567287</v>
      </c>
      <c r="F4947" s="3">
        <v>42954</v>
      </c>
      <c r="G4947" s="2">
        <v>201802</v>
      </c>
      <c r="H4947" s="2" t="s">
        <v>74</v>
      </c>
      <c r="I4947" s="2" t="s">
        <v>75</v>
      </c>
      <c r="J4947" s="2" t="s">
        <v>76</v>
      </c>
      <c r="K4947" s="2" t="s">
        <v>77</v>
      </c>
      <c r="L4947" s="2" t="s">
        <v>201</v>
      </c>
      <c r="M4947" s="2" t="s">
        <v>202</v>
      </c>
      <c r="N4947" s="2" t="s">
        <v>4290</v>
      </c>
      <c r="O4947" s="2" t="s">
        <v>81</v>
      </c>
      <c r="P4947" s="2" t="str">
        <f>"2170583432                    "</f>
        <v xml:space="preserve">2170583432                    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0</v>
      </c>
      <c r="Y4947" s="2">
        <v>0</v>
      </c>
      <c r="Z4947" s="2">
        <v>0</v>
      </c>
      <c r="AA4947" s="2">
        <v>0</v>
      </c>
      <c r="AB4947" s="2">
        <v>0</v>
      </c>
      <c r="AC4947" s="2">
        <v>0</v>
      </c>
      <c r="AD4947" s="2">
        <v>0</v>
      </c>
      <c r="AE4947" s="2">
        <v>0</v>
      </c>
      <c r="AF4947" s="2">
        <v>0</v>
      </c>
      <c r="AG4947" s="2">
        <v>0</v>
      </c>
      <c r="AH4947" s="2">
        <v>0</v>
      </c>
      <c r="AI4947" s="2">
        <v>0</v>
      </c>
      <c r="AJ4947" s="2">
        <v>0</v>
      </c>
      <c r="AK4947" s="2">
        <v>0</v>
      </c>
      <c r="AL4947" s="2">
        <v>0</v>
      </c>
      <c r="AM4947" s="2">
        <v>8.19</v>
      </c>
      <c r="AN4947" s="2">
        <v>0</v>
      </c>
      <c r="AO4947" s="2">
        <v>0</v>
      </c>
      <c r="AP4947" s="2">
        <v>0</v>
      </c>
      <c r="AQ4947" s="2">
        <v>0</v>
      </c>
      <c r="AR4947" s="2">
        <v>0</v>
      </c>
      <c r="AS4947" s="2">
        <v>0</v>
      </c>
      <c r="AT4947" s="2">
        <v>0</v>
      </c>
      <c r="AU4947" s="2">
        <v>0</v>
      </c>
      <c r="AV4947" s="2">
        <v>0</v>
      </c>
      <c r="AW4947" s="2">
        <v>0</v>
      </c>
      <c r="AX4947" s="2">
        <v>0</v>
      </c>
      <c r="AY4947" s="2">
        <v>0</v>
      </c>
      <c r="AZ4947" s="2">
        <v>0</v>
      </c>
      <c r="BA4947" s="2">
        <v>0</v>
      </c>
      <c r="BB4947" s="2">
        <v>0</v>
      </c>
      <c r="BC4947" s="2">
        <v>0</v>
      </c>
      <c r="BD4947" s="2">
        <v>0</v>
      </c>
      <c r="BE4947" s="2">
        <v>0</v>
      </c>
      <c r="BF4947" s="2">
        <v>0</v>
      </c>
      <c r="BG4947" s="2">
        <v>0</v>
      </c>
      <c r="BH4947" s="2">
        <v>1</v>
      </c>
      <c r="BI4947" s="2">
        <v>11.5</v>
      </c>
      <c r="BJ4947" s="2">
        <v>4.9000000000000004</v>
      </c>
      <c r="BK4947" s="2">
        <v>12</v>
      </c>
      <c r="BL4947" s="2">
        <v>89.83</v>
      </c>
      <c r="BM4947" s="2">
        <v>12.58</v>
      </c>
      <c r="BN4947" s="2">
        <v>102.41</v>
      </c>
      <c r="BO4947" s="2">
        <v>102.41</v>
      </c>
      <c r="BP4947" s="2" t="s">
        <v>82</v>
      </c>
      <c r="BQ4947" s="2" t="s">
        <v>1321</v>
      </c>
      <c r="BR4947" s="2" t="s">
        <v>84</v>
      </c>
      <c r="BS4947" s="3">
        <v>42957</v>
      </c>
      <c r="BT4947" s="4">
        <v>0.43958333333333338</v>
      </c>
      <c r="BU4947" s="2" t="s">
        <v>4291</v>
      </c>
      <c r="BV4947" s="2" t="s">
        <v>86</v>
      </c>
      <c r="BW4947" s="2" t="s">
        <v>110</v>
      </c>
      <c r="BX4947" s="2" t="s">
        <v>1314</v>
      </c>
      <c r="BY4947" s="2">
        <v>24749.3</v>
      </c>
      <c r="BZ4947" s="2"/>
      <c r="CA4947" s="2" t="s">
        <v>205</v>
      </c>
      <c r="CB4947" s="2"/>
      <c r="CC4947" s="2" t="s">
        <v>202</v>
      </c>
      <c r="CD4947" s="2">
        <v>7130</v>
      </c>
      <c r="CE4947" s="2" t="s">
        <v>89</v>
      </c>
      <c r="CF4947" s="5">
        <v>42958</v>
      </c>
      <c r="CG4947" s="2"/>
      <c r="CH4947" s="2"/>
      <c r="CI4947" s="2">
        <v>0</v>
      </c>
      <c r="CJ4947" s="2">
        <v>0</v>
      </c>
      <c r="CK4947" s="2" t="s">
        <v>136</v>
      </c>
      <c r="CL4947" s="2" t="s">
        <v>86</v>
      </c>
      <c r="CM4947" s="2"/>
    </row>
    <row r="4948" spans="1:91">
      <c r="A4948" s="2" t="s">
        <v>71</v>
      </c>
      <c r="B4948" s="2" t="s">
        <v>72</v>
      </c>
      <c r="C4948" s="2" t="s">
        <v>73</v>
      </c>
      <c r="D4948" s="2"/>
      <c r="E4948" s="2" t="str">
        <f>"FES1162567317"</f>
        <v>FES1162567317</v>
      </c>
      <c r="F4948" s="3">
        <v>42954</v>
      </c>
      <c r="G4948" s="2">
        <v>201802</v>
      </c>
      <c r="H4948" s="2" t="s">
        <v>74</v>
      </c>
      <c r="I4948" s="2" t="s">
        <v>75</v>
      </c>
      <c r="J4948" s="2" t="s">
        <v>76</v>
      </c>
      <c r="K4948" s="2" t="s">
        <v>77</v>
      </c>
      <c r="L4948" s="2" t="s">
        <v>252</v>
      </c>
      <c r="M4948" s="2" t="s">
        <v>106</v>
      </c>
      <c r="N4948" s="2" t="s">
        <v>397</v>
      </c>
      <c r="O4948" s="2" t="s">
        <v>81</v>
      </c>
      <c r="P4948" s="2" t="str">
        <f>"2170583051                    "</f>
        <v xml:space="preserve">2170583051                    </v>
      </c>
      <c r="Q4948" s="2">
        <v>0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0</v>
      </c>
      <c r="Y4948" s="2">
        <v>0</v>
      </c>
      <c r="Z4948" s="2">
        <v>0</v>
      </c>
      <c r="AA4948" s="2">
        <v>0</v>
      </c>
      <c r="AB4948" s="2">
        <v>0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10.3</v>
      </c>
      <c r="AN4948" s="2">
        <v>0</v>
      </c>
      <c r="AO4948" s="2">
        <v>0</v>
      </c>
      <c r="AP4948" s="2">
        <v>0</v>
      </c>
      <c r="AQ4948" s="2">
        <v>0</v>
      </c>
      <c r="AR4948" s="2">
        <v>0</v>
      </c>
      <c r="AS4948" s="2">
        <v>0</v>
      </c>
      <c r="AT4948" s="2">
        <v>0</v>
      </c>
      <c r="AU4948" s="2">
        <v>0</v>
      </c>
      <c r="AV4948" s="2">
        <v>0</v>
      </c>
      <c r="AW4948" s="2">
        <v>0</v>
      </c>
      <c r="AX4948" s="2">
        <v>0</v>
      </c>
      <c r="AY4948" s="2">
        <v>0</v>
      </c>
      <c r="AZ4948" s="2">
        <v>0</v>
      </c>
      <c r="BA4948" s="2">
        <v>0</v>
      </c>
      <c r="BB4948" s="2">
        <v>0</v>
      </c>
      <c r="BC4948" s="2">
        <v>0</v>
      </c>
      <c r="BD4948" s="2">
        <v>0</v>
      </c>
      <c r="BE4948" s="2">
        <v>0</v>
      </c>
      <c r="BF4948" s="2">
        <v>0</v>
      </c>
      <c r="BG4948" s="2">
        <v>0</v>
      </c>
      <c r="BH4948" s="2">
        <v>2</v>
      </c>
      <c r="BI4948" s="2">
        <v>20.5</v>
      </c>
      <c r="BJ4948" s="2">
        <v>8.4</v>
      </c>
      <c r="BK4948" s="2">
        <v>21</v>
      </c>
      <c r="BL4948" s="2">
        <v>111.62</v>
      </c>
      <c r="BM4948" s="2">
        <v>15.63</v>
      </c>
      <c r="BN4948" s="2">
        <v>127.25</v>
      </c>
      <c r="BO4948" s="2">
        <v>127.25</v>
      </c>
      <c r="BP4948" s="2"/>
      <c r="BQ4948" s="2" t="s">
        <v>83</v>
      </c>
      <c r="BR4948" s="2" t="s">
        <v>84</v>
      </c>
      <c r="BS4948" s="3">
        <v>42957</v>
      </c>
      <c r="BT4948" s="4">
        <v>0.46319444444444446</v>
      </c>
      <c r="BU4948" s="2" t="s">
        <v>4292</v>
      </c>
      <c r="BV4948" s="2" t="s">
        <v>86</v>
      </c>
      <c r="BW4948" s="2" t="s">
        <v>110</v>
      </c>
      <c r="BX4948" s="2" t="s">
        <v>111</v>
      </c>
      <c r="BY4948" s="2">
        <v>41854.85</v>
      </c>
      <c r="BZ4948" s="2"/>
      <c r="CA4948" s="2" t="s">
        <v>4293</v>
      </c>
      <c r="CB4948" s="2"/>
      <c r="CC4948" s="2" t="s">
        <v>106</v>
      </c>
      <c r="CD4948" s="2">
        <v>7405</v>
      </c>
      <c r="CE4948" s="2" t="s">
        <v>89</v>
      </c>
      <c r="CF4948" s="5">
        <v>42958</v>
      </c>
      <c r="CG4948" s="2"/>
      <c r="CH4948" s="2"/>
      <c r="CI4948" s="2">
        <v>0</v>
      </c>
      <c r="CJ4948" s="2">
        <v>0</v>
      </c>
      <c r="CK4948" s="2" t="s">
        <v>136</v>
      </c>
      <c r="CL4948" s="2" t="s">
        <v>86</v>
      </c>
      <c r="CM4948" s="2"/>
    </row>
    <row r="4949" spans="1:91">
      <c r="A4949" s="2" t="s">
        <v>71</v>
      </c>
      <c r="B4949" s="2" t="s">
        <v>72</v>
      </c>
      <c r="C4949" s="2" t="s">
        <v>73</v>
      </c>
      <c r="D4949" s="2"/>
      <c r="E4949" s="2" t="str">
        <f>"FES1162567235"</f>
        <v>FES1162567235</v>
      </c>
      <c r="F4949" s="3">
        <v>42954</v>
      </c>
      <c r="G4949" s="2">
        <v>201802</v>
      </c>
      <c r="H4949" s="2" t="s">
        <v>74</v>
      </c>
      <c r="I4949" s="2" t="s">
        <v>75</v>
      </c>
      <c r="J4949" s="2" t="s">
        <v>76</v>
      </c>
      <c r="K4949" s="2" t="s">
        <v>77</v>
      </c>
      <c r="L4949" s="2" t="s">
        <v>252</v>
      </c>
      <c r="M4949" s="2" t="s">
        <v>106</v>
      </c>
      <c r="N4949" s="2" t="s">
        <v>1669</v>
      </c>
      <c r="O4949" s="2" t="s">
        <v>81</v>
      </c>
      <c r="P4949" s="2" t="str">
        <f>"2170582953                    "</f>
        <v xml:space="preserve">2170582953                    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0</v>
      </c>
      <c r="Y4949" s="2">
        <v>0</v>
      </c>
      <c r="Z4949" s="2">
        <v>0</v>
      </c>
      <c r="AA4949" s="2">
        <v>0</v>
      </c>
      <c r="AB4949" s="2">
        <v>0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  <c r="AM4949" s="2">
        <v>11</v>
      </c>
      <c r="AN4949" s="2">
        <v>0</v>
      </c>
      <c r="AO4949" s="2">
        <v>0</v>
      </c>
      <c r="AP4949" s="2">
        <v>0</v>
      </c>
      <c r="AQ4949" s="2">
        <v>0</v>
      </c>
      <c r="AR4949" s="2">
        <v>0</v>
      </c>
      <c r="AS4949" s="2">
        <v>0</v>
      </c>
      <c r="AT4949" s="2">
        <v>0</v>
      </c>
      <c r="AU4949" s="2">
        <v>0</v>
      </c>
      <c r="AV4949" s="2">
        <v>0</v>
      </c>
      <c r="AW4949" s="2">
        <v>0</v>
      </c>
      <c r="AX4949" s="2">
        <v>0</v>
      </c>
      <c r="AY4949" s="2">
        <v>0</v>
      </c>
      <c r="AZ4949" s="2">
        <v>0</v>
      </c>
      <c r="BA4949" s="2">
        <v>0</v>
      </c>
      <c r="BB4949" s="2">
        <v>0</v>
      </c>
      <c r="BC4949" s="2">
        <v>0</v>
      </c>
      <c r="BD4949" s="2">
        <v>0</v>
      </c>
      <c r="BE4949" s="2">
        <v>0</v>
      </c>
      <c r="BF4949" s="2">
        <v>0</v>
      </c>
      <c r="BG4949" s="2">
        <v>0</v>
      </c>
      <c r="BH4949" s="2">
        <v>1</v>
      </c>
      <c r="BI4949" s="2">
        <v>22.7</v>
      </c>
      <c r="BJ4949" s="2">
        <v>6.8</v>
      </c>
      <c r="BK4949" s="2">
        <v>23</v>
      </c>
      <c r="BL4949" s="2">
        <v>118.88</v>
      </c>
      <c r="BM4949" s="2">
        <v>16.64</v>
      </c>
      <c r="BN4949" s="2">
        <v>135.52000000000001</v>
      </c>
      <c r="BO4949" s="2">
        <v>135.52000000000001</v>
      </c>
      <c r="BP4949" s="2"/>
      <c r="BQ4949" s="2" t="s">
        <v>108</v>
      </c>
      <c r="BR4949" s="2" t="s">
        <v>84</v>
      </c>
      <c r="BS4949" s="3">
        <v>42957</v>
      </c>
      <c r="BT4949" s="4">
        <v>0.53333333333333333</v>
      </c>
      <c r="BU4949" s="2" t="s">
        <v>4294</v>
      </c>
      <c r="BV4949" s="2" t="s">
        <v>86</v>
      </c>
      <c r="BW4949" s="2" t="s">
        <v>110</v>
      </c>
      <c r="BX4949" s="2" t="s">
        <v>1314</v>
      </c>
      <c r="BY4949" s="2">
        <v>34110.720000000001</v>
      </c>
      <c r="BZ4949" s="2"/>
      <c r="CA4949" s="2" t="s">
        <v>4295</v>
      </c>
      <c r="CB4949" s="2"/>
      <c r="CC4949" s="2" t="s">
        <v>106</v>
      </c>
      <c r="CD4949" s="2">
        <v>7493</v>
      </c>
      <c r="CE4949" s="2" t="s">
        <v>135</v>
      </c>
      <c r="CF4949" s="5">
        <v>42958</v>
      </c>
      <c r="CG4949" s="2"/>
      <c r="CH4949" s="2"/>
      <c r="CI4949" s="2">
        <v>0</v>
      </c>
      <c r="CJ4949" s="2">
        <v>0</v>
      </c>
      <c r="CK4949" s="2" t="s">
        <v>136</v>
      </c>
      <c r="CL4949" s="2" t="s">
        <v>86</v>
      </c>
      <c r="CM4949" s="2"/>
    </row>
    <row r="4950" spans="1:91">
      <c r="A4950" s="2" t="s">
        <v>71</v>
      </c>
      <c r="B4950" s="2" t="s">
        <v>72</v>
      </c>
      <c r="C4950" s="2" t="s">
        <v>73</v>
      </c>
      <c r="D4950" s="2"/>
      <c r="E4950" s="2" t="str">
        <f>"080001697114"</f>
        <v>080001697114</v>
      </c>
      <c r="F4950" s="3">
        <v>42949</v>
      </c>
      <c r="G4950" s="2">
        <v>201802</v>
      </c>
      <c r="H4950" s="2" t="s">
        <v>3682</v>
      </c>
      <c r="I4950" s="2" t="s">
        <v>3683</v>
      </c>
      <c r="J4950" s="2" t="s">
        <v>2286</v>
      </c>
      <c r="K4950" s="2" t="s">
        <v>77</v>
      </c>
      <c r="L4950" s="2" t="s">
        <v>74</v>
      </c>
      <c r="M4950" s="2" t="s">
        <v>75</v>
      </c>
      <c r="N4950" s="2" t="s">
        <v>118</v>
      </c>
      <c r="O4950" s="2" t="s">
        <v>81</v>
      </c>
      <c r="P4950" s="2" t="str">
        <f>"ZA10006387727                 "</f>
        <v xml:space="preserve">ZA10006387727                 </v>
      </c>
      <c r="Q4950" s="2">
        <v>0</v>
      </c>
      <c r="R4950" s="2">
        <v>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0</v>
      </c>
      <c r="Y4950" s="2">
        <v>0</v>
      </c>
      <c r="Z4950" s="2">
        <v>0</v>
      </c>
      <c r="AA4950" s="2">
        <v>0</v>
      </c>
      <c r="AB4950" s="2">
        <v>0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0</v>
      </c>
      <c r="AI4950" s="2">
        <v>0</v>
      </c>
      <c r="AJ4950" s="2">
        <v>0</v>
      </c>
      <c r="AK4950" s="2">
        <v>0</v>
      </c>
      <c r="AL4950" s="2">
        <v>0</v>
      </c>
      <c r="AM4950" s="2">
        <v>9.76</v>
      </c>
      <c r="AN4950" s="2">
        <v>0</v>
      </c>
      <c r="AO4950" s="2">
        <v>0</v>
      </c>
      <c r="AP4950" s="2">
        <v>0</v>
      </c>
      <c r="AQ4950" s="2">
        <v>0</v>
      </c>
      <c r="AR4950" s="2">
        <v>0</v>
      </c>
      <c r="AS4950" s="2">
        <v>0</v>
      </c>
      <c r="AT4950" s="2">
        <v>0</v>
      </c>
      <c r="AU4950" s="2">
        <v>0</v>
      </c>
      <c r="AV4950" s="2">
        <v>0</v>
      </c>
      <c r="AW4950" s="2">
        <v>0</v>
      </c>
      <c r="AX4950" s="2">
        <v>0</v>
      </c>
      <c r="AY4950" s="2">
        <v>0</v>
      </c>
      <c r="AZ4950" s="2">
        <v>0</v>
      </c>
      <c r="BA4950" s="2">
        <v>0</v>
      </c>
      <c r="BB4950" s="2">
        <v>0</v>
      </c>
      <c r="BC4950" s="2">
        <v>0</v>
      </c>
      <c r="BD4950" s="2">
        <v>0</v>
      </c>
      <c r="BE4950" s="2">
        <v>0</v>
      </c>
      <c r="BF4950" s="2">
        <v>0</v>
      </c>
      <c r="BG4950" s="2">
        <v>0</v>
      </c>
      <c r="BH4950" s="2">
        <v>1</v>
      </c>
      <c r="BI4950" s="2">
        <v>4</v>
      </c>
      <c r="BJ4950" s="2">
        <v>1.7</v>
      </c>
      <c r="BK4950" s="2">
        <v>4</v>
      </c>
      <c r="BL4950" s="2">
        <v>106.02</v>
      </c>
      <c r="BM4950" s="2">
        <v>14.84</v>
      </c>
      <c r="BN4950" s="2">
        <v>120.86</v>
      </c>
      <c r="BO4950" s="2">
        <v>120.86</v>
      </c>
      <c r="BP4950" s="2" t="s">
        <v>4296</v>
      </c>
      <c r="BQ4950" s="2" t="s">
        <v>1053</v>
      </c>
      <c r="BR4950" s="2" t="s">
        <v>4297</v>
      </c>
      <c r="BS4950" s="3">
        <v>42951</v>
      </c>
      <c r="BT4950" s="4">
        <v>0.41319444444444442</v>
      </c>
      <c r="BU4950" s="2" t="s">
        <v>179</v>
      </c>
      <c r="BV4950" s="2" t="s">
        <v>95</v>
      </c>
      <c r="BW4950" s="2"/>
      <c r="BX4950" s="2"/>
      <c r="BY4950" s="2">
        <v>8449.98</v>
      </c>
      <c r="BZ4950" s="2"/>
      <c r="CA4950" s="2"/>
      <c r="CB4950" s="2"/>
      <c r="CC4950" s="2" t="s">
        <v>75</v>
      </c>
      <c r="CD4950" s="2">
        <v>1600</v>
      </c>
      <c r="CE4950" s="2" t="s">
        <v>89</v>
      </c>
      <c r="CF4950" s="5">
        <v>42951</v>
      </c>
      <c r="CG4950" s="2"/>
      <c r="CH4950" s="2"/>
      <c r="CI4950" s="2">
        <v>0</v>
      </c>
      <c r="CJ4950" s="2">
        <v>0</v>
      </c>
      <c r="CK4950" s="2" t="s">
        <v>169</v>
      </c>
      <c r="CL4950" s="2" t="s">
        <v>86</v>
      </c>
      <c r="CM4950" s="2"/>
    </row>
    <row r="4951" spans="1:91">
      <c r="A4951" s="2" t="s">
        <v>71</v>
      </c>
      <c r="B4951" s="2" t="s">
        <v>72</v>
      </c>
      <c r="C4951" s="2" t="s">
        <v>73</v>
      </c>
      <c r="D4951" s="2"/>
      <c r="E4951" s="2" t="str">
        <f>"FES1162566522"</f>
        <v>FES1162566522</v>
      </c>
      <c r="F4951" s="3">
        <v>42949</v>
      </c>
      <c r="G4951" s="2">
        <v>201802</v>
      </c>
      <c r="H4951" s="2" t="s">
        <v>74</v>
      </c>
      <c r="I4951" s="2" t="s">
        <v>75</v>
      </c>
      <c r="J4951" s="2" t="s">
        <v>76</v>
      </c>
      <c r="K4951" s="2" t="s">
        <v>77</v>
      </c>
      <c r="L4951" s="2" t="s">
        <v>97</v>
      </c>
      <c r="M4951" s="2" t="s">
        <v>98</v>
      </c>
      <c r="N4951" s="2" t="s">
        <v>214</v>
      </c>
      <c r="O4951" s="2" t="s">
        <v>81</v>
      </c>
      <c r="P4951" s="2" t="str">
        <f>"2170582445                    "</f>
        <v xml:space="preserve">2170582445                    </v>
      </c>
      <c r="Q4951" s="2">
        <v>0</v>
      </c>
      <c r="R4951" s="2">
        <v>0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0</v>
      </c>
      <c r="Y4951" s="2">
        <v>0</v>
      </c>
      <c r="Z4951" s="2">
        <v>0</v>
      </c>
      <c r="AA4951" s="2">
        <v>0</v>
      </c>
      <c r="AB4951" s="2">
        <v>0</v>
      </c>
      <c r="AC4951" s="2">
        <v>0</v>
      </c>
      <c r="AD4951" s="2">
        <v>0</v>
      </c>
      <c r="AE4951" s="2">
        <v>0</v>
      </c>
      <c r="AF4951" s="2">
        <v>0</v>
      </c>
      <c r="AG4951" s="2">
        <v>0</v>
      </c>
      <c r="AH4951" s="2">
        <v>0</v>
      </c>
      <c r="AI4951" s="2">
        <v>0</v>
      </c>
      <c r="AJ4951" s="2">
        <v>0</v>
      </c>
      <c r="AK4951" s="2">
        <v>0</v>
      </c>
      <c r="AL4951" s="2">
        <v>0</v>
      </c>
      <c r="AM4951" s="2">
        <v>12.4</v>
      </c>
      <c r="AN4951" s="2">
        <v>0</v>
      </c>
      <c r="AO4951" s="2">
        <v>0</v>
      </c>
      <c r="AP4951" s="2">
        <v>0</v>
      </c>
      <c r="AQ4951" s="2">
        <v>0</v>
      </c>
      <c r="AR4951" s="2">
        <v>0</v>
      </c>
      <c r="AS4951" s="2">
        <v>0</v>
      </c>
      <c r="AT4951" s="2">
        <v>0</v>
      </c>
      <c r="AU4951" s="2">
        <v>0</v>
      </c>
      <c r="AV4951" s="2">
        <v>0</v>
      </c>
      <c r="AW4951" s="2">
        <v>0</v>
      </c>
      <c r="AX4951" s="2">
        <v>0</v>
      </c>
      <c r="AY4951" s="2">
        <v>0</v>
      </c>
      <c r="AZ4951" s="2">
        <v>0</v>
      </c>
      <c r="BA4951" s="2">
        <v>0</v>
      </c>
      <c r="BB4951" s="2">
        <v>0</v>
      </c>
      <c r="BC4951" s="2">
        <v>0</v>
      </c>
      <c r="BD4951" s="2">
        <v>0</v>
      </c>
      <c r="BE4951" s="2">
        <v>0</v>
      </c>
      <c r="BF4951" s="2">
        <v>0</v>
      </c>
      <c r="BG4951" s="2">
        <v>0</v>
      </c>
      <c r="BH4951" s="2">
        <v>3</v>
      </c>
      <c r="BI4951" s="2">
        <v>27</v>
      </c>
      <c r="BJ4951" s="2">
        <v>9.6</v>
      </c>
      <c r="BK4951" s="2">
        <v>27</v>
      </c>
      <c r="BL4951" s="2">
        <v>133.4</v>
      </c>
      <c r="BM4951" s="2">
        <v>18.68</v>
      </c>
      <c r="BN4951" s="2">
        <v>152.08000000000001</v>
      </c>
      <c r="BO4951" s="2">
        <v>152.08000000000001</v>
      </c>
      <c r="BP4951" s="2"/>
      <c r="BQ4951" s="2" t="s">
        <v>4298</v>
      </c>
      <c r="BR4951" s="2" t="s">
        <v>84</v>
      </c>
      <c r="BS4951" s="3">
        <v>42951</v>
      </c>
      <c r="BT4951" s="4">
        <v>0.45624999999999999</v>
      </c>
      <c r="BU4951" s="2" t="s">
        <v>1031</v>
      </c>
      <c r="BV4951" s="2" t="s">
        <v>95</v>
      </c>
      <c r="BW4951" s="2"/>
      <c r="BX4951" s="2"/>
      <c r="BY4951" s="2">
        <v>47902.25</v>
      </c>
      <c r="BZ4951" s="2"/>
      <c r="CA4951" s="2" t="s">
        <v>3280</v>
      </c>
      <c r="CB4951" s="2"/>
      <c r="CC4951" s="2" t="s">
        <v>98</v>
      </c>
      <c r="CD4951" s="2">
        <v>6001</v>
      </c>
      <c r="CE4951" s="2" t="s">
        <v>4299</v>
      </c>
      <c r="CF4951" s="5">
        <v>42954</v>
      </c>
      <c r="CG4951" s="2"/>
      <c r="CH4951" s="2"/>
      <c r="CI4951" s="2">
        <v>0</v>
      </c>
      <c r="CJ4951" s="2">
        <v>0</v>
      </c>
      <c r="CK4951" s="2" t="s">
        <v>136</v>
      </c>
      <c r="CL4951" s="2" t="s">
        <v>86</v>
      </c>
      <c r="CM4951" s="2"/>
    </row>
    <row r="4952" spans="1:91">
      <c r="A4952" s="2" t="s">
        <v>71</v>
      </c>
      <c r="B4952" s="2" t="s">
        <v>72</v>
      </c>
      <c r="C4952" s="2" t="s">
        <v>73</v>
      </c>
      <c r="D4952" s="2"/>
      <c r="E4952" s="2" t="str">
        <f>"FES1162567593"</f>
        <v>FES1162567593</v>
      </c>
      <c r="F4952" s="3">
        <v>42954</v>
      </c>
      <c r="G4952" s="2">
        <v>201802</v>
      </c>
      <c r="H4952" s="2" t="s">
        <v>74</v>
      </c>
      <c r="I4952" s="2" t="s">
        <v>75</v>
      </c>
      <c r="J4952" s="2" t="s">
        <v>76</v>
      </c>
      <c r="K4952" s="2" t="s">
        <v>77</v>
      </c>
      <c r="L4952" s="2" t="s">
        <v>244</v>
      </c>
      <c r="M4952" s="2" t="s">
        <v>245</v>
      </c>
      <c r="N4952" s="2" t="s">
        <v>4300</v>
      </c>
      <c r="O4952" s="2" t="s">
        <v>100</v>
      </c>
      <c r="P4952" s="2" t="str">
        <f>"2170583050                    "</f>
        <v xml:space="preserve">2170583050                    </v>
      </c>
      <c r="Q4952" s="2">
        <v>0</v>
      </c>
      <c r="R4952" s="2">
        <v>0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0</v>
      </c>
      <c r="Y4952" s="2">
        <v>0</v>
      </c>
      <c r="Z4952" s="2">
        <v>0</v>
      </c>
      <c r="AA4952" s="2">
        <v>0</v>
      </c>
      <c r="AB4952" s="2">
        <v>0</v>
      </c>
      <c r="AC4952" s="2">
        <v>0</v>
      </c>
      <c r="AD4952" s="2">
        <v>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3.13</v>
      </c>
      <c r="AN4952" s="2">
        <v>0</v>
      </c>
      <c r="AO4952" s="2">
        <v>0</v>
      </c>
      <c r="AP4952" s="2">
        <v>0</v>
      </c>
      <c r="AQ4952" s="2">
        <v>0</v>
      </c>
      <c r="AR4952" s="2">
        <v>0</v>
      </c>
      <c r="AS4952" s="2">
        <v>0</v>
      </c>
      <c r="AT4952" s="2">
        <v>0</v>
      </c>
      <c r="AU4952" s="2">
        <v>0</v>
      </c>
      <c r="AV4952" s="2">
        <v>0</v>
      </c>
      <c r="AW4952" s="2">
        <v>0</v>
      </c>
      <c r="AX4952" s="2">
        <v>0</v>
      </c>
      <c r="AY4952" s="2">
        <v>0</v>
      </c>
      <c r="AZ4952" s="2">
        <v>0</v>
      </c>
      <c r="BA4952" s="2">
        <v>0</v>
      </c>
      <c r="BB4952" s="2">
        <v>0</v>
      </c>
      <c r="BC4952" s="2">
        <v>0</v>
      </c>
      <c r="BD4952" s="2">
        <v>0</v>
      </c>
      <c r="BE4952" s="2">
        <v>0</v>
      </c>
      <c r="BF4952" s="2">
        <v>0</v>
      </c>
      <c r="BG4952" s="2">
        <v>0</v>
      </c>
      <c r="BH4952" s="2">
        <v>1</v>
      </c>
      <c r="BI4952" s="2">
        <v>0.3</v>
      </c>
      <c r="BJ4952" s="2">
        <v>2.2000000000000002</v>
      </c>
      <c r="BK4952" s="2">
        <v>3</v>
      </c>
      <c r="BL4952" s="2">
        <v>32.380000000000003</v>
      </c>
      <c r="BM4952" s="2">
        <v>4.53</v>
      </c>
      <c r="BN4952" s="2">
        <v>36.909999999999997</v>
      </c>
      <c r="BO4952" s="2">
        <v>36.909999999999997</v>
      </c>
      <c r="BP4952" s="2"/>
      <c r="BQ4952" s="2" t="s">
        <v>83</v>
      </c>
      <c r="BR4952" s="2" t="s">
        <v>84</v>
      </c>
      <c r="BS4952" s="3">
        <v>42955</v>
      </c>
      <c r="BT4952" s="4">
        <v>0.34652777777777777</v>
      </c>
      <c r="BU4952" s="2" t="s">
        <v>4301</v>
      </c>
      <c r="BV4952" s="2" t="s">
        <v>95</v>
      </c>
      <c r="BW4952" s="2"/>
      <c r="BX4952" s="2"/>
      <c r="BY4952" s="2">
        <v>10760.91</v>
      </c>
      <c r="BZ4952" s="2"/>
      <c r="CA4952" s="2" t="s">
        <v>499</v>
      </c>
      <c r="CB4952" s="2"/>
      <c r="CC4952" s="2" t="s">
        <v>245</v>
      </c>
      <c r="CD4952" s="2">
        <v>1459</v>
      </c>
      <c r="CE4952" s="2" t="s">
        <v>104</v>
      </c>
      <c r="CF4952" s="5">
        <v>42957</v>
      </c>
      <c r="CG4952" s="2"/>
      <c r="CH4952" s="2"/>
      <c r="CI4952" s="2">
        <v>1</v>
      </c>
      <c r="CJ4952" s="2">
        <v>1</v>
      </c>
      <c r="CK4952" s="2">
        <v>22</v>
      </c>
      <c r="CL4952" s="2" t="s">
        <v>86</v>
      </c>
      <c r="CM4952" s="2"/>
    </row>
    <row r="4953" spans="1:91">
      <c r="A4953" s="2" t="s">
        <v>71</v>
      </c>
      <c r="B4953" s="2" t="s">
        <v>72</v>
      </c>
      <c r="C4953" s="2" t="s">
        <v>73</v>
      </c>
      <c r="D4953" s="2"/>
      <c r="E4953" s="2" t="str">
        <f>"FES1162567601"</f>
        <v>FES1162567601</v>
      </c>
      <c r="F4953" s="3">
        <v>42954</v>
      </c>
      <c r="G4953" s="2">
        <v>201802</v>
      </c>
      <c r="H4953" s="2" t="s">
        <v>74</v>
      </c>
      <c r="I4953" s="2" t="s">
        <v>75</v>
      </c>
      <c r="J4953" s="2" t="s">
        <v>76</v>
      </c>
      <c r="K4953" s="2" t="s">
        <v>77</v>
      </c>
      <c r="L4953" s="2" t="s">
        <v>105</v>
      </c>
      <c r="M4953" s="2" t="s">
        <v>106</v>
      </c>
      <c r="N4953" s="2" t="s">
        <v>253</v>
      </c>
      <c r="O4953" s="2" t="s">
        <v>100</v>
      </c>
      <c r="P4953" s="2" t="str">
        <f>"217057601                     "</f>
        <v xml:space="preserve">217057601                     </v>
      </c>
      <c r="Q4953" s="2">
        <v>0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0</v>
      </c>
      <c r="Y4953" s="2">
        <v>0</v>
      </c>
      <c r="Z4953" s="2">
        <v>0</v>
      </c>
      <c r="AA4953" s="2">
        <v>0</v>
      </c>
      <c r="AB4953" s="2">
        <v>0</v>
      </c>
      <c r="AC4953" s="2">
        <v>0</v>
      </c>
      <c r="AD4953" s="2">
        <v>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0</v>
      </c>
      <c r="AL4953" s="2">
        <v>0</v>
      </c>
      <c r="AM4953" s="2">
        <v>4</v>
      </c>
      <c r="AN4953" s="2">
        <v>0</v>
      </c>
      <c r="AO4953" s="2">
        <v>0</v>
      </c>
      <c r="AP4953" s="2">
        <v>0</v>
      </c>
      <c r="AQ4953" s="2">
        <v>0</v>
      </c>
      <c r="AR4953" s="2">
        <v>0</v>
      </c>
      <c r="AS4953" s="2">
        <v>0</v>
      </c>
      <c r="AT4953" s="2">
        <v>0</v>
      </c>
      <c r="AU4953" s="2">
        <v>0</v>
      </c>
      <c r="AV4953" s="2">
        <v>0</v>
      </c>
      <c r="AW4953" s="2">
        <v>0</v>
      </c>
      <c r="AX4953" s="2">
        <v>0</v>
      </c>
      <c r="AY4953" s="2">
        <v>0</v>
      </c>
      <c r="AZ4953" s="2">
        <v>0</v>
      </c>
      <c r="BA4953" s="2">
        <v>0</v>
      </c>
      <c r="BB4953" s="2">
        <v>0</v>
      </c>
      <c r="BC4953" s="2">
        <v>0</v>
      </c>
      <c r="BD4953" s="2">
        <v>0</v>
      </c>
      <c r="BE4953" s="2">
        <v>0</v>
      </c>
      <c r="BF4953" s="2">
        <v>0</v>
      </c>
      <c r="BG4953" s="2">
        <v>0</v>
      </c>
      <c r="BH4953" s="2">
        <v>1</v>
      </c>
      <c r="BI4953" s="2">
        <v>0.3</v>
      </c>
      <c r="BJ4953" s="2">
        <v>1.2</v>
      </c>
      <c r="BK4953" s="2">
        <v>1.5</v>
      </c>
      <c r="BL4953" s="2">
        <v>41.44</v>
      </c>
      <c r="BM4953" s="2">
        <v>5.8</v>
      </c>
      <c r="BN4953" s="2">
        <v>47.24</v>
      </c>
      <c r="BO4953" s="2">
        <v>47.24</v>
      </c>
      <c r="BP4953" s="2"/>
      <c r="BQ4953" s="2" t="s">
        <v>108</v>
      </c>
      <c r="BR4953" s="2" t="s">
        <v>84</v>
      </c>
      <c r="BS4953" s="3">
        <v>42955</v>
      </c>
      <c r="BT4953" s="4">
        <v>0.37777777777777777</v>
      </c>
      <c r="BU4953" s="2" t="s">
        <v>1074</v>
      </c>
      <c r="BV4953" s="2" t="s">
        <v>95</v>
      </c>
      <c r="BW4953" s="2"/>
      <c r="BX4953" s="2"/>
      <c r="BY4953" s="2">
        <v>5970</v>
      </c>
      <c r="BZ4953" s="2"/>
      <c r="CA4953" s="2" t="s">
        <v>654</v>
      </c>
      <c r="CB4953" s="2"/>
      <c r="CC4953" s="2" t="s">
        <v>106</v>
      </c>
      <c r="CD4953" s="2">
        <v>7490</v>
      </c>
      <c r="CE4953" s="2" t="s">
        <v>104</v>
      </c>
      <c r="CF4953" s="5">
        <v>42957</v>
      </c>
      <c r="CG4953" s="2"/>
      <c r="CH4953" s="2"/>
      <c r="CI4953" s="2">
        <v>1</v>
      </c>
      <c r="CJ4953" s="2">
        <v>1</v>
      </c>
      <c r="CK4953" s="2">
        <v>21</v>
      </c>
      <c r="CL4953" s="2" t="s">
        <v>86</v>
      </c>
      <c r="CM4953" s="2"/>
    </row>
    <row r="4954" spans="1:91">
      <c r="A4954" s="2" t="s">
        <v>71</v>
      </c>
      <c r="B4954" s="2" t="s">
        <v>72</v>
      </c>
      <c r="C4954" s="2" t="s">
        <v>73</v>
      </c>
      <c r="D4954" s="2"/>
      <c r="E4954" s="2" t="str">
        <f>"FES1162567603"</f>
        <v>FES1162567603</v>
      </c>
      <c r="F4954" s="3">
        <v>42954</v>
      </c>
      <c r="G4954" s="2">
        <v>201802</v>
      </c>
      <c r="H4954" s="2" t="s">
        <v>74</v>
      </c>
      <c r="I4954" s="2" t="s">
        <v>75</v>
      </c>
      <c r="J4954" s="2" t="s">
        <v>76</v>
      </c>
      <c r="K4954" s="2" t="s">
        <v>77</v>
      </c>
      <c r="L4954" s="2" t="s">
        <v>144</v>
      </c>
      <c r="M4954" s="2" t="s">
        <v>145</v>
      </c>
      <c r="N4954" s="2" t="s">
        <v>146</v>
      </c>
      <c r="O4954" s="2" t="s">
        <v>100</v>
      </c>
      <c r="P4954" s="2" t="str">
        <f>"2170583750                    "</f>
        <v xml:space="preserve">2170583750                    </v>
      </c>
      <c r="Q4954" s="2">
        <v>0</v>
      </c>
      <c r="R4954" s="2">
        <v>0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0</v>
      </c>
      <c r="Y4954" s="2">
        <v>0</v>
      </c>
      <c r="Z4954" s="2">
        <v>0</v>
      </c>
      <c r="AA4954" s="2">
        <v>0</v>
      </c>
      <c r="AB4954" s="2">
        <v>0</v>
      </c>
      <c r="AC4954" s="2">
        <v>0</v>
      </c>
      <c r="AD4954" s="2">
        <v>0</v>
      </c>
      <c r="AE4954" s="2">
        <v>0</v>
      </c>
      <c r="AF4954" s="2">
        <v>0</v>
      </c>
      <c r="AG4954" s="2">
        <v>0</v>
      </c>
      <c r="AH4954" s="2">
        <v>0</v>
      </c>
      <c r="AI4954" s="2">
        <v>0</v>
      </c>
      <c r="AJ4954" s="2">
        <v>0</v>
      </c>
      <c r="AK4954" s="2">
        <v>0</v>
      </c>
      <c r="AL4954" s="2">
        <v>0</v>
      </c>
      <c r="AM4954" s="2">
        <v>3.13</v>
      </c>
      <c r="AN4954" s="2">
        <v>0</v>
      </c>
      <c r="AO4954" s="2">
        <v>0</v>
      </c>
      <c r="AP4954" s="2">
        <v>0</v>
      </c>
      <c r="AQ4954" s="2">
        <v>0</v>
      </c>
      <c r="AR4954" s="2">
        <v>0</v>
      </c>
      <c r="AS4954" s="2">
        <v>0</v>
      </c>
      <c r="AT4954" s="2">
        <v>0</v>
      </c>
      <c r="AU4954" s="2">
        <v>0</v>
      </c>
      <c r="AV4954" s="2">
        <v>0</v>
      </c>
      <c r="AW4954" s="2">
        <v>0</v>
      </c>
      <c r="AX4954" s="2">
        <v>0</v>
      </c>
      <c r="AY4954" s="2">
        <v>0</v>
      </c>
      <c r="AZ4954" s="2">
        <v>0</v>
      </c>
      <c r="BA4954" s="2">
        <v>0</v>
      </c>
      <c r="BB4954" s="2">
        <v>0</v>
      </c>
      <c r="BC4954" s="2">
        <v>0</v>
      </c>
      <c r="BD4954" s="2">
        <v>0</v>
      </c>
      <c r="BE4954" s="2">
        <v>0</v>
      </c>
      <c r="BF4954" s="2">
        <v>0</v>
      </c>
      <c r="BG4954" s="2">
        <v>0</v>
      </c>
      <c r="BH4954" s="2">
        <v>1</v>
      </c>
      <c r="BI4954" s="2">
        <v>0.5</v>
      </c>
      <c r="BJ4954" s="2">
        <v>0.2</v>
      </c>
      <c r="BK4954" s="2">
        <v>1</v>
      </c>
      <c r="BL4954" s="2">
        <v>32.380000000000003</v>
      </c>
      <c r="BM4954" s="2">
        <v>4.53</v>
      </c>
      <c r="BN4954" s="2">
        <v>36.909999999999997</v>
      </c>
      <c r="BO4954" s="2">
        <v>36.909999999999997</v>
      </c>
      <c r="BP4954" s="2"/>
      <c r="BQ4954" s="2" t="s">
        <v>83</v>
      </c>
      <c r="BR4954" s="2" t="s">
        <v>84</v>
      </c>
      <c r="BS4954" s="3">
        <v>42955</v>
      </c>
      <c r="BT4954" s="4">
        <v>0.40208333333333335</v>
      </c>
      <c r="BU4954" s="2" t="s">
        <v>4277</v>
      </c>
      <c r="BV4954" s="2" t="s">
        <v>95</v>
      </c>
      <c r="BW4954" s="2"/>
      <c r="BX4954" s="2"/>
      <c r="BY4954" s="2">
        <v>1200</v>
      </c>
      <c r="BZ4954" s="2"/>
      <c r="CA4954" s="2" t="s">
        <v>729</v>
      </c>
      <c r="CB4954" s="2"/>
      <c r="CC4954" s="2" t="s">
        <v>145</v>
      </c>
      <c r="CD4954" s="2">
        <v>2094</v>
      </c>
      <c r="CE4954" s="2" t="s">
        <v>104</v>
      </c>
      <c r="CF4954" s="5">
        <v>42957</v>
      </c>
      <c r="CG4954" s="2"/>
      <c r="CH4954" s="2"/>
      <c r="CI4954" s="2">
        <v>1</v>
      </c>
      <c r="CJ4954" s="2">
        <v>1</v>
      </c>
      <c r="CK4954" s="2">
        <v>22</v>
      </c>
      <c r="CL4954" s="2" t="s">
        <v>86</v>
      </c>
      <c r="CM4954" s="2"/>
    </row>
    <row r="4955" spans="1:91">
      <c r="A4955" s="2" t="s">
        <v>71</v>
      </c>
      <c r="B4955" s="2" t="s">
        <v>72</v>
      </c>
      <c r="C4955" s="2" t="s">
        <v>73</v>
      </c>
      <c r="D4955" s="2"/>
      <c r="E4955" s="2" t="str">
        <f>"FES1162567553"</f>
        <v>FES1162567553</v>
      </c>
      <c r="F4955" s="3">
        <v>42954</v>
      </c>
      <c r="G4955" s="2">
        <v>201802</v>
      </c>
      <c r="H4955" s="2" t="s">
        <v>74</v>
      </c>
      <c r="I4955" s="2" t="s">
        <v>75</v>
      </c>
      <c r="J4955" s="2" t="s">
        <v>76</v>
      </c>
      <c r="K4955" s="2" t="s">
        <v>77</v>
      </c>
      <c r="L4955" s="2" t="s">
        <v>105</v>
      </c>
      <c r="M4955" s="2" t="s">
        <v>106</v>
      </c>
      <c r="N4955" s="2" t="s">
        <v>397</v>
      </c>
      <c r="O4955" s="2" t="s">
        <v>100</v>
      </c>
      <c r="P4955" s="2" t="str">
        <f>"2170583700                    "</f>
        <v xml:space="preserve">2170583700                    </v>
      </c>
      <c r="Q4955" s="2">
        <v>0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0</v>
      </c>
      <c r="Y4955" s="2">
        <v>0</v>
      </c>
      <c r="Z4955" s="2">
        <v>0</v>
      </c>
      <c r="AA4955" s="2">
        <v>0</v>
      </c>
      <c r="AB4955" s="2">
        <v>0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4</v>
      </c>
      <c r="AN4955" s="2">
        <v>0</v>
      </c>
      <c r="AO4955" s="2">
        <v>0</v>
      </c>
      <c r="AP4955" s="2">
        <v>0</v>
      </c>
      <c r="AQ4955" s="2">
        <v>0</v>
      </c>
      <c r="AR4955" s="2">
        <v>0</v>
      </c>
      <c r="AS4955" s="2">
        <v>0</v>
      </c>
      <c r="AT4955" s="2">
        <v>0</v>
      </c>
      <c r="AU4955" s="2">
        <v>0</v>
      </c>
      <c r="AV4955" s="2">
        <v>0</v>
      </c>
      <c r="AW4955" s="2">
        <v>0</v>
      </c>
      <c r="AX4955" s="2">
        <v>0</v>
      </c>
      <c r="AY4955" s="2">
        <v>0</v>
      </c>
      <c r="AZ4955" s="2">
        <v>0</v>
      </c>
      <c r="BA4955" s="2">
        <v>0</v>
      </c>
      <c r="BB4955" s="2">
        <v>0</v>
      </c>
      <c r="BC4955" s="2">
        <v>0</v>
      </c>
      <c r="BD4955" s="2">
        <v>0</v>
      </c>
      <c r="BE4955" s="2">
        <v>0</v>
      </c>
      <c r="BF4955" s="2">
        <v>0</v>
      </c>
      <c r="BG4955" s="2">
        <v>0</v>
      </c>
      <c r="BH4955" s="2">
        <v>1</v>
      </c>
      <c r="BI4955" s="2">
        <v>0.5</v>
      </c>
      <c r="BJ4955" s="2">
        <v>0.2</v>
      </c>
      <c r="BK4955" s="2">
        <v>0.5</v>
      </c>
      <c r="BL4955" s="2">
        <v>41.44</v>
      </c>
      <c r="BM4955" s="2">
        <v>5.8</v>
      </c>
      <c r="BN4955" s="2">
        <v>47.24</v>
      </c>
      <c r="BO4955" s="2">
        <v>47.24</v>
      </c>
      <c r="BP4955" s="2"/>
      <c r="BQ4955" s="2" t="s">
        <v>83</v>
      </c>
      <c r="BR4955" s="2" t="s">
        <v>84</v>
      </c>
      <c r="BS4955" s="3">
        <v>42955</v>
      </c>
      <c r="BT4955" s="4">
        <v>0.38263888888888892</v>
      </c>
      <c r="BU4955" s="2" t="s">
        <v>779</v>
      </c>
      <c r="BV4955" s="2" t="s">
        <v>95</v>
      </c>
      <c r="BW4955" s="2"/>
      <c r="BX4955" s="2"/>
      <c r="BY4955" s="2">
        <v>1200</v>
      </c>
      <c r="BZ4955" s="2"/>
      <c r="CA4955" s="2" t="s">
        <v>112</v>
      </c>
      <c r="CB4955" s="2"/>
      <c r="CC4955" s="2" t="s">
        <v>106</v>
      </c>
      <c r="CD4955" s="2">
        <v>7405</v>
      </c>
      <c r="CE4955" s="2" t="s">
        <v>104</v>
      </c>
      <c r="CF4955" s="5">
        <v>42957</v>
      </c>
      <c r="CG4955" s="2"/>
      <c r="CH4955" s="2"/>
      <c r="CI4955" s="2">
        <v>1</v>
      </c>
      <c r="CJ4955" s="2">
        <v>1</v>
      </c>
      <c r="CK4955" s="2">
        <v>21</v>
      </c>
      <c r="CL4955" s="2" t="s">
        <v>86</v>
      </c>
      <c r="CM4955" s="2"/>
    </row>
    <row r="4956" spans="1:91">
      <c r="A4956" s="2" t="s">
        <v>71</v>
      </c>
      <c r="B4956" s="2" t="s">
        <v>72</v>
      </c>
      <c r="C4956" s="2" t="s">
        <v>73</v>
      </c>
      <c r="D4956" s="2"/>
      <c r="E4956" s="2" t="str">
        <f>"FES1162567113"</f>
        <v>FES1162567113</v>
      </c>
      <c r="F4956" s="3">
        <v>42951</v>
      </c>
      <c r="G4956" s="2">
        <v>201802</v>
      </c>
      <c r="H4956" s="2" t="s">
        <v>74</v>
      </c>
      <c r="I4956" s="2" t="s">
        <v>75</v>
      </c>
      <c r="J4956" s="2" t="s">
        <v>76</v>
      </c>
      <c r="K4956" s="2" t="s">
        <v>77</v>
      </c>
      <c r="L4956" s="2" t="s">
        <v>105</v>
      </c>
      <c r="M4956" s="2" t="s">
        <v>106</v>
      </c>
      <c r="N4956" s="2" t="s">
        <v>348</v>
      </c>
      <c r="O4956" s="2" t="s">
        <v>100</v>
      </c>
      <c r="P4956" s="2" t="str">
        <f>"2170580769                    "</f>
        <v xml:space="preserve">2170580769                    </v>
      </c>
      <c r="Q4956" s="2">
        <v>0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0</v>
      </c>
      <c r="Y4956" s="2">
        <v>0</v>
      </c>
      <c r="Z4956" s="2">
        <v>0</v>
      </c>
      <c r="AA4956" s="2">
        <v>0</v>
      </c>
      <c r="AB4956" s="2">
        <v>0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4</v>
      </c>
      <c r="AN4956" s="2">
        <v>0</v>
      </c>
      <c r="AO4956" s="2">
        <v>0</v>
      </c>
      <c r="AP4956" s="2">
        <v>0</v>
      </c>
      <c r="AQ4956" s="2">
        <v>0</v>
      </c>
      <c r="AR4956" s="2">
        <v>0</v>
      </c>
      <c r="AS4956" s="2">
        <v>0</v>
      </c>
      <c r="AT4956" s="2">
        <v>0</v>
      </c>
      <c r="AU4956" s="2">
        <v>0</v>
      </c>
      <c r="AV4956" s="2">
        <v>0</v>
      </c>
      <c r="AW4956" s="2">
        <v>0</v>
      </c>
      <c r="AX4956" s="2">
        <v>0</v>
      </c>
      <c r="AY4956" s="2">
        <v>0</v>
      </c>
      <c r="AZ4956" s="2">
        <v>0</v>
      </c>
      <c r="BA4956" s="2">
        <v>0</v>
      </c>
      <c r="BB4956" s="2">
        <v>0</v>
      </c>
      <c r="BC4956" s="2">
        <v>0</v>
      </c>
      <c r="BD4956" s="2">
        <v>0</v>
      </c>
      <c r="BE4956" s="2">
        <v>0</v>
      </c>
      <c r="BF4956" s="2">
        <v>0</v>
      </c>
      <c r="BG4956" s="2">
        <v>0</v>
      </c>
      <c r="BH4956" s="2">
        <v>1</v>
      </c>
      <c r="BI4956" s="2">
        <v>1</v>
      </c>
      <c r="BJ4956" s="2">
        <v>0.2</v>
      </c>
      <c r="BK4956" s="2">
        <v>1</v>
      </c>
      <c r="BL4956" s="2">
        <v>41.44</v>
      </c>
      <c r="BM4956" s="2">
        <v>5.8</v>
      </c>
      <c r="BN4956" s="2">
        <v>47.24</v>
      </c>
      <c r="BO4956" s="2">
        <v>47.24</v>
      </c>
      <c r="BP4956" s="2"/>
      <c r="BQ4956" s="2" t="s">
        <v>108</v>
      </c>
      <c r="BR4956" s="2" t="s">
        <v>84</v>
      </c>
      <c r="BS4956" s="3">
        <v>42957</v>
      </c>
      <c r="BT4956" s="4">
        <v>0.41666666666666669</v>
      </c>
      <c r="BU4956" s="2" t="s">
        <v>2648</v>
      </c>
      <c r="BV4956" s="2" t="s">
        <v>86</v>
      </c>
      <c r="BW4956" s="2" t="s">
        <v>110</v>
      </c>
      <c r="BX4956" s="2" t="s">
        <v>111</v>
      </c>
      <c r="BY4956" s="2">
        <v>1200</v>
      </c>
      <c r="BZ4956" s="2"/>
      <c r="CA4956" s="2"/>
      <c r="CB4956" s="2"/>
      <c r="CC4956" s="2" t="s">
        <v>106</v>
      </c>
      <c r="CD4956" s="2">
        <v>7945</v>
      </c>
      <c r="CE4956" s="2" t="s">
        <v>104</v>
      </c>
      <c r="CF4956" s="5">
        <v>42958</v>
      </c>
      <c r="CG4956" s="2"/>
      <c r="CH4956" s="2"/>
      <c r="CI4956" s="2">
        <v>1</v>
      </c>
      <c r="CJ4956" s="2">
        <v>4</v>
      </c>
      <c r="CK4956" s="2">
        <v>21</v>
      </c>
      <c r="CL4956" s="2" t="s">
        <v>86</v>
      </c>
      <c r="CM4956" s="2"/>
    </row>
    <row r="4957" spans="1:91">
      <c r="A4957" s="2" t="s">
        <v>71</v>
      </c>
      <c r="B4957" s="2" t="s">
        <v>72</v>
      </c>
      <c r="C4957" s="2" t="s">
        <v>73</v>
      </c>
      <c r="D4957" s="2"/>
      <c r="E4957" s="2" t="str">
        <f>"FES1162567609"</f>
        <v>FES1162567609</v>
      </c>
      <c r="F4957" s="3">
        <v>42954</v>
      </c>
      <c r="G4957" s="2">
        <v>201802</v>
      </c>
      <c r="H4957" s="2" t="s">
        <v>74</v>
      </c>
      <c r="I4957" s="2" t="s">
        <v>75</v>
      </c>
      <c r="J4957" s="2" t="s">
        <v>76</v>
      </c>
      <c r="K4957" s="2" t="s">
        <v>77</v>
      </c>
      <c r="L4957" s="2" t="s">
        <v>97</v>
      </c>
      <c r="M4957" s="2" t="s">
        <v>98</v>
      </c>
      <c r="N4957" s="2" t="s">
        <v>248</v>
      </c>
      <c r="O4957" s="2" t="s">
        <v>100</v>
      </c>
      <c r="P4957" s="2" t="str">
        <f>"2170583189                    "</f>
        <v xml:space="preserve">2170583189                    </v>
      </c>
      <c r="Q4957" s="2">
        <v>0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0</v>
      </c>
      <c r="Y4957" s="2">
        <v>0</v>
      </c>
      <c r="Z4957" s="2">
        <v>0</v>
      </c>
      <c r="AA4957" s="2">
        <v>0</v>
      </c>
      <c r="AB4957" s="2">
        <v>0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  <c r="AM4957" s="2">
        <v>4</v>
      </c>
      <c r="AN4957" s="2">
        <v>0</v>
      </c>
      <c r="AO4957" s="2">
        <v>0</v>
      </c>
      <c r="AP4957" s="2">
        <v>0</v>
      </c>
      <c r="AQ4957" s="2">
        <v>0</v>
      </c>
      <c r="AR4957" s="2">
        <v>0</v>
      </c>
      <c r="AS4957" s="2">
        <v>0</v>
      </c>
      <c r="AT4957" s="2">
        <v>0</v>
      </c>
      <c r="AU4957" s="2">
        <v>0</v>
      </c>
      <c r="AV4957" s="2">
        <v>0</v>
      </c>
      <c r="AW4957" s="2">
        <v>0</v>
      </c>
      <c r="AX4957" s="2">
        <v>0</v>
      </c>
      <c r="AY4957" s="2">
        <v>0</v>
      </c>
      <c r="AZ4957" s="2">
        <v>0</v>
      </c>
      <c r="BA4957" s="2">
        <v>0</v>
      </c>
      <c r="BB4957" s="2">
        <v>0</v>
      </c>
      <c r="BC4957" s="2">
        <v>0</v>
      </c>
      <c r="BD4957" s="2">
        <v>0</v>
      </c>
      <c r="BE4957" s="2">
        <v>0</v>
      </c>
      <c r="BF4957" s="2">
        <v>0</v>
      </c>
      <c r="BG4957" s="2">
        <v>0</v>
      </c>
      <c r="BH4957" s="2">
        <v>1</v>
      </c>
      <c r="BI4957" s="2">
        <v>0.2</v>
      </c>
      <c r="BJ4957" s="2">
        <v>1.9</v>
      </c>
      <c r="BK4957" s="2">
        <v>2</v>
      </c>
      <c r="BL4957" s="2">
        <v>41.44</v>
      </c>
      <c r="BM4957" s="2">
        <v>5.8</v>
      </c>
      <c r="BN4957" s="2">
        <v>47.24</v>
      </c>
      <c r="BO4957" s="2">
        <v>47.24</v>
      </c>
      <c r="BP4957" s="2"/>
      <c r="BQ4957" s="2" t="s">
        <v>83</v>
      </c>
      <c r="BR4957" s="2" t="s">
        <v>84</v>
      </c>
      <c r="BS4957" s="3">
        <v>42955</v>
      </c>
      <c r="BT4957" s="4">
        <v>0.35416666666666669</v>
      </c>
      <c r="BU4957" s="2" t="s">
        <v>390</v>
      </c>
      <c r="BV4957" s="2" t="s">
        <v>95</v>
      </c>
      <c r="BW4957" s="2"/>
      <c r="BX4957" s="2"/>
      <c r="BY4957" s="2">
        <v>9618.34</v>
      </c>
      <c r="BZ4957" s="2"/>
      <c r="CA4957" s="2" t="s">
        <v>294</v>
      </c>
      <c r="CB4957" s="2"/>
      <c r="CC4957" s="2" t="s">
        <v>98</v>
      </c>
      <c r="CD4957" s="2">
        <v>6001</v>
      </c>
      <c r="CE4957" s="2" t="s">
        <v>104</v>
      </c>
      <c r="CF4957" s="5">
        <v>42957</v>
      </c>
      <c r="CG4957" s="2"/>
      <c r="CH4957" s="2"/>
      <c r="CI4957" s="2">
        <v>1</v>
      </c>
      <c r="CJ4957" s="2">
        <v>1</v>
      </c>
      <c r="CK4957" s="2">
        <v>21</v>
      </c>
      <c r="CL4957" s="2" t="s">
        <v>86</v>
      </c>
      <c r="CM4957" s="2"/>
    </row>
    <row r="4958" spans="1:91">
      <c r="A4958" s="2" t="s">
        <v>71</v>
      </c>
      <c r="B4958" s="2" t="s">
        <v>72</v>
      </c>
      <c r="C4958" s="2" t="s">
        <v>73</v>
      </c>
      <c r="D4958" s="2"/>
      <c r="E4958" s="2" t="str">
        <f>"FES1162567543"</f>
        <v>FES1162567543</v>
      </c>
      <c r="F4958" s="3">
        <v>42954</v>
      </c>
      <c r="G4958" s="2">
        <v>201802</v>
      </c>
      <c r="H4958" s="2" t="s">
        <v>74</v>
      </c>
      <c r="I4958" s="2" t="s">
        <v>75</v>
      </c>
      <c r="J4958" s="2" t="s">
        <v>76</v>
      </c>
      <c r="K4958" s="2" t="s">
        <v>77</v>
      </c>
      <c r="L4958" s="2" t="s">
        <v>237</v>
      </c>
      <c r="M4958" s="2" t="s">
        <v>238</v>
      </c>
      <c r="N4958" s="2" t="s">
        <v>769</v>
      </c>
      <c r="O4958" s="2" t="s">
        <v>100</v>
      </c>
      <c r="P4958" s="2" t="str">
        <f>"2170583691                    "</f>
        <v xml:space="preserve">2170583691                    </v>
      </c>
      <c r="Q4958" s="2">
        <v>0</v>
      </c>
      <c r="R4958" s="2">
        <v>0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0</v>
      </c>
      <c r="Y4958" s="2">
        <v>0</v>
      </c>
      <c r="Z4958" s="2">
        <v>0</v>
      </c>
      <c r="AA4958" s="2">
        <v>0</v>
      </c>
      <c r="AB4958" s="2">
        <v>0</v>
      </c>
      <c r="AC4958" s="2">
        <v>0</v>
      </c>
      <c r="AD4958" s="2">
        <v>0</v>
      </c>
      <c r="AE4958" s="2">
        <v>0</v>
      </c>
      <c r="AF4958" s="2">
        <v>0</v>
      </c>
      <c r="AG4958" s="2">
        <v>0</v>
      </c>
      <c r="AH4958" s="2">
        <v>0</v>
      </c>
      <c r="AI4958" s="2">
        <v>0</v>
      </c>
      <c r="AJ4958" s="2">
        <v>0</v>
      </c>
      <c r="AK4958" s="2">
        <v>0</v>
      </c>
      <c r="AL4958" s="2">
        <v>0</v>
      </c>
      <c r="AM4958" s="2">
        <v>9.01</v>
      </c>
      <c r="AN4958" s="2">
        <v>0</v>
      </c>
      <c r="AO4958" s="2">
        <v>0</v>
      </c>
      <c r="AP4958" s="2">
        <v>0</v>
      </c>
      <c r="AQ4958" s="2">
        <v>0</v>
      </c>
      <c r="AR4958" s="2">
        <v>0</v>
      </c>
      <c r="AS4958" s="2">
        <v>0</v>
      </c>
      <c r="AT4958" s="2">
        <v>0</v>
      </c>
      <c r="AU4958" s="2">
        <v>0</v>
      </c>
      <c r="AV4958" s="2">
        <v>0</v>
      </c>
      <c r="AW4958" s="2">
        <v>0</v>
      </c>
      <c r="AX4958" s="2">
        <v>0</v>
      </c>
      <c r="AY4958" s="2">
        <v>0</v>
      </c>
      <c r="AZ4958" s="2">
        <v>0</v>
      </c>
      <c r="BA4958" s="2">
        <v>0</v>
      </c>
      <c r="BB4958" s="2">
        <v>0</v>
      </c>
      <c r="BC4958" s="2">
        <v>0</v>
      </c>
      <c r="BD4958" s="2">
        <v>0</v>
      </c>
      <c r="BE4958" s="2">
        <v>0</v>
      </c>
      <c r="BF4958" s="2">
        <v>0</v>
      </c>
      <c r="BG4958" s="2">
        <v>0</v>
      </c>
      <c r="BH4958" s="2">
        <v>1</v>
      </c>
      <c r="BI4958" s="2">
        <v>0.9</v>
      </c>
      <c r="BJ4958" s="2">
        <v>4.3</v>
      </c>
      <c r="BK4958" s="2">
        <v>4.5</v>
      </c>
      <c r="BL4958" s="2">
        <v>93.25</v>
      </c>
      <c r="BM4958" s="2">
        <v>13.06</v>
      </c>
      <c r="BN4958" s="2">
        <v>106.31</v>
      </c>
      <c r="BO4958" s="2">
        <v>106.31</v>
      </c>
      <c r="BP4958" s="2"/>
      <c r="BQ4958" s="2"/>
      <c r="BR4958" s="2" t="s">
        <v>84</v>
      </c>
      <c r="BS4958" s="3">
        <v>42955</v>
      </c>
      <c r="BT4958" s="4">
        <v>0.40972222222222227</v>
      </c>
      <c r="BU4958" s="2" t="s">
        <v>3497</v>
      </c>
      <c r="BV4958" s="2" t="s">
        <v>95</v>
      </c>
      <c r="BW4958" s="2"/>
      <c r="BX4958" s="2"/>
      <c r="BY4958" s="2">
        <v>21267</v>
      </c>
      <c r="BZ4958" s="2"/>
      <c r="CA4958" s="2" t="s">
        <v>389</v>
      </c>
      <c r="CB4958" s="2"/>
      <c r="CC4958" s="2" t="s">
        <v>238</v>
      </c>
      <c r="CD4958" s="2">
        <v>3600</v>
      </c>
      <c r="CE4958" s="2" t="s">
        <v>104</v>
      </c>
      <c r="CF4958" s="5">
        <v>42957</v>
      </c>
      <c r="CG4958" s="2"/>
      <c r="CH4958" s="2"/>
      <c r="CI4958" s="2">
        <v>1</v>
      </c>
      <c r="CJ4958" s="2">
        <v>1</v>
      </c>
      <c r="CK4958" s="2">
        <v>21</v>
      </c>
      <c r="CL4958" s="2" t="s">
        <v>86</v>
      </c>
      <c r="CM4958" s="2"/>
    </row>
    <row r="4959" spans="1:91">
      <c r="A4959" s="2" t="s">
        <v>71</v>
      </c>
      <c r="B4959" s="2" t="s">
        <v>72</v>
      </c>
      <c r="C4959" s="2" t="s">
        <v>73</v>
      </c>
      <c r="D4959" s="2"/>
      <c r="E4959" s="2" t="str">
        <f>"FES1162567557"</f>
        <v>FES1162567557</v>
      </c>
      <c r="F4959" s="3">
        <v>42954</v>
      </c>
      <c r="G4959" s="2">
        <v>201802</v>
      </c>
      <c r="H4959" s="2" t="s">
        <v>74</v>
      </c>
      <c r="I4959" s="2" t="s">
        <v>75</v>
      </c>
      <c r="J4959" s="2" t="s">
        <v>76</v>
      </c>
      <c r="K4959" s="2" t="s">
        <v>77</v>
      </c>
      <c r="L4959" s="2" t="s">
        <v>417</v>
      </c>
      <c r="M4959" s="2" t="s">
        <v>417</v>
      </c>
      <c r="N4959" s="2" t="s">
        <v>475</v>
      </c>
      <c r="O4959" s="2" t="s">
        <v>100</v>
      </c>
      <c r="P4959" s="2" t="str">
        <f>"2170574920                    "</f>
        <v xml:space="preserve">2170574920                    </v>
      </c>
      <c r="Q4959" s="2">
        <v>0</v>
      </c>
      <c r="R4959" s="2">
        <v>0</v>
      </c>
      <c r="S4959" s="2">
        <v>0</v>
      </c>
      <c r="T4959" s="2">
        <v>0</v>
      </c>
      <c r="U4959" s="2">
        <v>0</v>
      </c>
      <c r="V4959" s="2">
        <v>0</v>
      </c>
      <c r="W4959" s="2">
        <v>0</v>
      </c>
      <c r="X4959" s="2">
        <v>0</v>
      </c>
      <c r="Y4959" s="2">
        <v>0</v>
      </c>
      <c r="Z4959" s="2">
        <v>0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  <c r="AM4959" s="2">
        <v>6</v>
      </c>
      <c r="AN4959" s="2">
        <v>0</v>
      </c>
      <c r="AO4959" s="2">
        <v>0</v>
      </c>
      <c r="AP4959" s="2">
        <v>0</v>
      </c>
      <c r="AQ4959" s="2">
        <v>0</v>
      </c>
      <c r="AR4959" s="2">
        <v>0</v>
      </c>
      <c r="AS4959" s="2">
        <v>0</v>
      </c>
      <c r="AT4959" s="2">
        <v>0</v>
      </c>
      <c r="AU4959" s="2">
        <v>0</v>
      </c>
      <c r="AV4959" s="2">
        <v>0</v>
      </c>
      <c r="AW4959" s="2">
        <v>0</v>
      </c>
      <c r="AX4959" s="2">
        <v>0</v>
      </c>
      <c r="AY4959" s="2">
        <v>0</v>
      </c>
      <c r="AZ4959" s="2">
        <v>0</v>
      </c>
      <c r="BA4959" s="2">
        <v>0</v>
      </c>
      <c r="BB4959" s="2">
        <v>0</v>
      </c>
      <c r="BC4959" s="2">
        <v>0</v>
      </c>
      <c r="BD4959" s="2">
        <v>0</v>
      </c>
      <c r="BE4959" s="2">
        <v>0</v>
      </c>
      <c r="BF4959" s="2">
        <v>0</v>
      </c>
      <c r="BG4959" s="2">
        <v>0</v>
      </c>
      <c r="BH4959" s="2">
        <v>1</v>
      </c>
      <c r="BI4959" s="2">
        <v>0.5</v>
      </c>
      <c r="BJ4959" s="2">
        <v>3</v>
      </c>
      <c r="BK4959" s="2">
        <v>3</v>
      </c>
      <c r="BL4959" s="2">
        <v>62.16</v>
      </c>
      <c r="BM4959" s="2">
        <v>8.6999999999999993</v>
      </c>
      <c r="BN4959" s="2">
        <v>70.86</v>
      </c>
      <c r="BO4959" s="2">
        <v>70.86</v>
      </c>
      <c r="BP4959" s="2"/>
      <c r="BQ4959" s="2" t="s">
        <v>108</v>
      </c>
      <c r="BR4959" s="2" t="s">
        <v>84</v>
      </c>
      <c r="BS4959" s="3">
        <v>42955</v>
      </c>
      <c r="BT4959" s="4">
        <v>0.50902777777777775</v>
      </c>
      <c r="BU4959" s="2" t="s">
        <v>4244</v>
      </c>
      <c r="BV4959" s="2" t="s">
        <v>95</v>
      </c>
      <c r="BW4959" s="2"/>
      <c r="BX4959" s="2"/>
      <c r="BY4959" s="2">
        <v>15209.6</v>
      </c>
      <c r="BZ4959" s="2"/>
      <c r="CA4959" s="2" t="s">
        <v>460</v>
      </c>
      <c r="CB4959" s="2"/>
      <c r="CC4959" s="2" t="s">
        <v>417</v>
      </c>
      <c r="CD4959" s="2">
        <v>7646</v>
      </c>
      <c r="CE4959" s="2" t="s">
        <v>104</v>
      </c>
      <c r="CF4959" s="5">
        <v>42957</v>
      </c>
      <c r="CG4959" s="2"/>
      <c r="CH4959" s="2"/>
      <c r="CI4959" s="2">
        <v>1</v>
      </c>
      <c r="CJ4959" s="2">
        <v>1</v>
      </c>
      <c r="CK4959" s="2">
        <v>21</v>
      </c>
      <c r="CL4959" s="2" t="s">
        <v>86</v>
      </c>
      <c r="CM4959" s="2"/>
    </row>
    <row r="4960" spans="1:91">
      <c r="A4960" s="2" t="s">
        <v>71</v>
      </c>
      <c r="B4960" s="2" t="s">
        <v>72</v>
      </c>
      <c r="C4960" s="2" t="s">
        <v>73</v>
      </c>
      <c r="D4960" s="2"/>
      <c r="E4960" s="2" t="str">
        <f>"FES1162567580"</f>
        <v>FES1162567580</v>
      </c>
      <c r="F4960" s="3">
        <v>42954</v>
      </c>
      <c r="G4960" s="2">
        <v>201802</v>
      </c>
      <c r="H4960" s="2" t="s">
        <v>74</v>
      </c>
      <c r="I4960" s="2" t="s">
        <v>75</v>
      </c>
      <c r="J4960" s="2" t="s">
        <v>76</v>
      </c>
      <c r="K4960" s="2" t="s">
        <v>77</v>
      </c>
      <c r="L4960" s="2" t="s">
        <v>437</v>
      </c>
      <c r="M4960" s="2" t="s">
        <v>438</v>
      </c>
      <c r="N4960" s="2" t="s">
        <v>439</v>
      </c>
      <c r="O4960" s="2" t="s">
        <v>100</v>
      </c>
      <c r="P4960" s="2" t="str">
        <f>"2170583729                    "</f>
        <v xml:space="preserve">2170583729                    </v>
      </c>
      <c r="Q4960" s="2">
        <v>0</v>
      </c>
      <c r="R4960" s="2">
        <v>0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0</v>
      </c>
      <c r="Y4960" s="2">
        <v>0</v>
      </c>
      <c r="Z4960" s="2">
        <v>0</v>
      </c>
      <c r="AA4960" s="2">
        <v>0</v>
      </c>
      <c r="AB4960" s="2">
        <v>0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0</v>
      </c>
      <c r="AI4960" s="2">
        <v>0</v>
      </c>
      <c r="AJ4960" s="2">
        <v>0</v>
      </c>
      <c r="AK4960" s="2">
        <v>0</v>
      </c>
      <c r="AL4960" s="2">
        <v>0</v>
      </c>
      <c r="AM4960" s="2">
        <v>7</v>
      </c>
      <c r="AN4960" s="2">
        <v>0</v>
      </c>
      <c r="AO4960" s="2">
        <v>0</v>
      </c>
      <c r="AP4960" s="2">
        <v>0</v>
      </c>
      <c r="AQ4960" s="2">
        <v>0</v>
      </c>
      <c r="AR4960" s="2">
        <v>0</v>
      </c>
      <c r="AS4960" s="2">
        <v>0</v>
      </c>
      <c r="AT4960" s="2">
        <v>0</v>
      </c>
      <c r="AU4960" s="2">
        <v>0</v>
      </c>
      <c r="AV4960" s="2">
        <v>0</v>
      </c>
      <c r="AW4960" s="2">
        <v>0</v>
      </c>
      <c r="AX4960" s="2">
        <v>0</v>
      </c>
      <c r="AY4960" s="2">
        <v>0</v>
      </c>
      <c r="AZ4960" s="2">
        <v>0</v>
      </c>
      <c r="BA4960" s="2">
        <v>0</v>
      </c>
      <c r="BB4960" s="2">
        <v>0</v>
      </c>
      <c r="BC4960" s="2">
        <v>0</v>
      </c>
      <c r="BD4960" s="2">
        <v>0</v>
      </c>
      <c r="BE4960" s="2">
        <v>0</v>
      </c>
      <c r="BF4960" s="2">
        <v>0</v>
      </c>
      <c r="BG4960" s="2">
        <v>0</v>
      </c>
      <c r="BH4960" s="2">
        <v>1</v>
      </c>
      <c r="BI4960" s="2">
        <v>1.9</v>
      </c>
      <c r="BJ4960" s="2">
        <v>3.4</v>
      </c>
      <c r="BK4960" s="2">
        <v>3.5</v>
      </c>
      <c r="BL4960" s="2">
        <v>72.52</v>
      </c>
      <c r="BM4960" s="2">
        <v>10.15</v>
      </c>
      <c r="BN4960" s="2">
        <v>82.67</v>
      </c>
      <c r="BO4960" s="2">
        <v>82.67</v>
      </c>
      <c r="BP4960" s="2"/>
      <c r="BQ4960" s="2" t="s">
        <v>108</v>
      </c>
      <c r="BR4960" s="2" t="s">
        <v>84</v>
      </c>
      <c r="BS4960" s="3">
        <v>42955</v>
      </c>
      <c r="BT4960" s="4">
        <v>0.40972222222222227</v>
      </c>
      <c r="BU4960" s="2" t="s">
        <v>440</v>
      </c>
      <c r="BV4960" s="2" t="s">
        <v>95</v>
      </c>
      <c r="BW4960" s="2"/>
      <c r="BX4960" s="2"/>
      <c r="BY4960" s="2">
        <v>16940.28</v>
      </c>
      <c r="BZ4960" s="2"/>
      <c r="CA4960" s="2" t="s">
        <v>441</v>
      </c>
      <c r="CB4960" s="2"/>
      <c r="CC4960" s="2" t="s">
        <v>438</v>
      </c>
      <c r="CD4960" s="2">
        <v>6536</v>
      </c>
      <c r="CE4960" s="2" t="s">
        <v>104</v>
      </c>
      <c r="CF4960" s="5">
        <v>42957</v>
      </c>
      <c r="CG4960" s="2"/>
      <c r="CH4960" s="2"/>
      <c r="CI4960" s="2">
        <v>1</v>
      </c>
      <c r="CJ4960" s="2">
        <v>1</v>
      </c>
      <c r="CK4960" s="2">
        <v>21</v>
      </c>
      <c r="CL4960" s="2" t="s">
        <v>86</v>
      </c>
      <c r="CM4960" s="2"/>
    </row>
    <row r="4961" spans="1:91">
      <c r="A4961" s="2" t="s">
        <v>71</v>
      </c>
      <c r="B4961" s="2" t="s">
        <v>72</v>
      </c>
      <c r="C4961" s="2" t="s">
        <v>73</v>
      </c>
      <c r="D4961" s="2"/>
      <c r="E4961" s="2" t="str">
        <f>"FES1162567552"</f>
        <v>FES1162567552</v>
      </c>
      <c r="F4961" s="3">
        <v>42954</v>
      </c>
      <c r="G4961" s="2">
        <v>201802</v>
      </c>
      <c r="H4961" s="2" t="s">
        <v>74</v>
      </c>
      <c r="I4961" s="2" t="s">
        <v>75</v>
      </c>
      <c r="J4961" s="2" t="s">
        <v>76</v>
      </c>
      <c r="K4961" s="2" t="s">
        <v>77</v>
      </c>
      <c r="L4961" s="2" t="s">
        <v>237</v>
      </c>
      <c r="M4961" s="2" t="s">
        <v>238</v>
      </c>
      <c r="N4961" s="2" t="s">
        <v>1766</v>
      </c>
      <c r="O4961" s="2" t="s">
        <v>100</v>
      </c>
      <c r="P4961" s="2" t="str">
        <f>"2170583698                    "</f>
        <v xml:space="preserve">2170583698                    </v>
      </c>
      <c r="Q4961" s="2">
        <v>0</v>
      </c>
      <c r="R4961" s="2">
        <v>0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0</v>
      </c>
      <c r="Y4961" s="2">
        <v>0</v>
      </c>
      <c r="Z4961" s="2">
        <v>0</v>
      </c>
      <c r="AA4961" s="2">
        <v>0</v>
      </c>
      <c r="AB4961" s="2">
        <v>0</v>
      </c>
      <c r="AC4961" s="2">
        <v>0</v>
      </c>
      <c r="AD4961" s="2">
        <v>0</v>
      </c>
      <c r="AE4961" s="2">
        <v>0</v>
      </c>
      <c r="AF4961" s="2">
        <v>0</v>
      </c>
      <c r="AG4961" s="2">
        <v>0</v>
      </c>
      <c r="AH4961" s="2">
        <v>0</v>
      </c>
      <c r="AI4961" s="2">
        <v>0</v>
      </c>
      <c r="AJ4961" s="2">
        <v>0</v>
      </c>
      <c r="AK4961" s="2">
        <v>0</v>
      </c>
      <c r="AL4961" s="2">
        <v>0</v>
      </c>
      <c r="AM4961" s="2">
        <v>4</v>
      </c>
      <c r="AN4961" s="2">
        <v>0</v>
      </c>
      <c r="AO4961" s="2">
        <v>0</v>
      </c>
      <c r="AP4961" s="2">
        <v>0</v>
      </c>
      <c r="AQ4961" s="2">
        <v>0</v>
      </c>
      <c r="AR4961" s="2">
        <v>0</v>
      </c>
      <c r="AS4961" s="2">
        <v>0</v>
      </c>
      <c r="AT4961" s="2">
        <v>0</v>
      </c>
      <c r="AU4961" s="2">
        <v>0</v>
      </c>
      <c r="AV4961" s="2">
        <v>0</v>
      </c>
      <c r="AW4961" s="2">
        <v>0</v>
      </c>
      <c r="AX4961" s="2">
        <v>0</v>
      </c>
      <c r="AY4961" s="2">
        <v>0</v>
      </c>
      <c r="AZ4961" s="2">
        <v>0</v>
      </c>
      <c r="BA4961" s="2">
        <v>0</v>
      </c>
      <c r="BB4961" s="2">
        <v>0</v>
      </c>
      <c r="BC4961" s="2">
        <v>0</v>
      </c>
      <c r="BD4961" s="2">
        <v>0</v>
      </c>
      <c r="BE4961" s="2">
        <v>0</v>
      </c>
      <c r="BF4961" s="2">
        <v>0</v>
      </c>
      <c r="BG4961" s="2">
        <v>0</v>
      </c>
      <c r="BH4961" s="2">
        <v>1</v>
      </c>
      <c r="BI4961" s="2">
        <v>0.7</v>
      </c>
      <c r="BJ4961" s="2">
        <v>1.7</v>
      </c>
      <c r="BK4961" s="2">
        <v>2</v>
      </c>
      <c r="BL4961" s="2">
        <v>41.44</v>
      </c>
      <c r="BM4961" s="2">
        <v>5.8</v>
      </c>
      <c r="BN4961" s="2">
        <v>47.24</v>
      </c>
      <c r="BO4961" s="2">
        <v>47.24</v>
      </c>
      <c r="BP4961" s="2"/>
      <c r="BQ4961" s="2" t="s">
        <v>108</v>
      </c>
      <c r="BR4961" s="2" t="s">
        <v>84</v>
      </c>
      <c r="BS4961" s="3">
        <v>42955</v>
      </c>
      <c r="BT4961" s="4">
        <v>0.40972222222222227</v>
      </c>
      <c r="BU4961" s="2" t="s">
        <v>428</v>
      </c>
      <c r="BV4961" s="2" t="s">
        <v>95</v>
      </c>
      <c r="BW4961" s="2"/>
      <c r="BX4961" s="2"/>
      <c r="BY4961" s="2">
        <v>8329.44</v>
      </c>
      <c r="BZ4961" s="2"/>
      <c r="CA4961" s="2" t="s">
        <v>401</v>
      </c>
      <c r="CB4961" s="2"/>
      <c r="CC4961" s="2" t="s">
        <v>238</v>
      </c>
      <c r="CD4961" s="2">
        <v>3620</v>
      </c>
      <c r="CE4961" s="2" t="s">
        <v>104</v>
      </c>
      <c r="CF4961" s="5">
        <v>42955</v>
      </c>
      <c r="CG4961" s="2"/>
      <c r="CH4961" s="2"/>
      <c r="CI4961" s="2">
        <v>1</v>
      </c>
      <c r="CJ4961" s="2">
        <v>1</v>
      </c>
      <c r="CK4961" s="2">
        <v>21</v>
      </c>
      <c r="CL4961" s="2" t="s">
        <v>86</v>
      </c>
      <c r="CM4961" s="2"/>
    </row>
    <row r="4962" spans="1:91">
      <c r="A4962" s="2" t="s">
        <v>71</v>
      </c>
      <c r="B4962" s="2" t="s">
        <v>72</v>
      </c>
      <c r="C4962" s="2" t="s">
        <v>73</v>
      </c>
      <c r="D4962" s="2"/>
      <c r="E4962" s="2" t="str">
        <f>"FES1162567129"</f>
        <v>FES1162567129</v>
      </c>
      <c r="F4962" s="3">
        <v>42951</v>
      </c>
      <c r="G4962" s="2">
        <v>201802</v>
      </c>
      <c r="H4962" s="2" t="s">
        <v>74</v>
      </c>
      <c r="I4962" s="2" t="s">
        <v>75</v>
      </c>
      <c r="J4962" s="2" t="s">
        <v>76</v>
      </c>
      <c r="K4962" s="2" t="s">
        <v>77</v>
      </c>
      <c r="L4962" s="2" t="s">
        <v>268</v>
      </c>
      <c r="M4962" s="2" t="s">
        <v>269</v>
      </c>
      <c r="N4962" s="2" t="s">
        <v>701</v>
      </c>
      <c r="O4962" s="2" t="s">
        <v>100</v>
      </c>
      <c r="P4962" s="2" t="str">
        <f>"2170583344                    "</f>
        <v xml:space="preserve">2170583344                    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0</v>
      </c>
      <c r="Y4962" s="2">
        <v>0</v>
      </c>
      <c r="Z4962" s="2">
        <v>0</v>
      </c>
      <c r="AA4962" s="2">
        <v>0</v>
      </c>
      <c r="AB4962" s="2">
        <v>0</v>
      </c>
      <c r="AC4962" s="2">
        <v>0</v>
      </c>
      <c r="AD4962" s="2">
        <v>0</v>
      </c>
      <c r="AE4962" s="2">
        <v>0</v>
      </c>
      <c r="AF4962" s="2">
        <v>0</v>
      </c>
      <c r="AG4962" s="2">
        <v>0</v>
      </c>
      <c r="AH4962" s="2">
        <v>0</v>
      </c>
      <c r="AI4962" s="2">
        <v>0</v>
      </c>
      <c r="AJ4962" s="2">
        <v>0</v>
      </c>
      <c r="AK4962" s="2">
        <v>0</v>
      </c>
      <c r="AL4962" s="2">
        <v>0</v>
      </c>
      <c r="AM4962" s="2">
        <v>4</v>
      </c>
      <c r="AN4962" s="2">
        <v>0</v>
      </c>
      <c r="AO4962" s="2">
        <v>0</v>
      </c>
      <c r="AP4962" s="2">
        <v>0</v>
      </c>
      <c r="AQ4962" s="2">
        <v>0</v>
      </c>
      <c r="AR4962" s="2">
        <v>0</v>
      </c>
      <c r="AS4962" s="2">
        <v>0</v>
      </c>
      <c r="AT4962" s="2">
        <v>0</v>
      </c>
      <c r="AU4962" s="2">
        <v>0</v>
      </c>
      <c r="AV4962" s="2">
        <v>0</v>
      </c>
      <c r="AW4962" s="2">
        <v>0</v>
      </c>
      <c r="AX4962" s="2">
        <v>0</v>
      </c>
      <c r="AY4962" s="2">
        <v>0</v>
      </c>
      <c r="AZ4962" s="2">
        <v>0</v>
      </c>
      <c r="BA4962" s="2">
        <v>0</v>
      </c>
      <c r="BB4962" s="2">
        <v>0</v>
      </c>
      <c r="BC4962" s="2">
        <v>0</v>
      </c>
      <c r="BD4962" s="2">
        <v>0</v>
      </c>
      <c r="BE4962" s="2">
        <v>0</v>
      </c>
      <c r="BF4962" s="2">
        <v>0</v>
      </c>
      <c r="BG4962" s="2">
        <v>0</v>
      </c>
      <c r="BH4962" s="2">
        <v>1</v>
      </c>
      <c r="BI4962" s="2">
        <v>0.5</v>
      </c>
      <c r="BJ4962" s="2">
        <v>1.2</v>
      </c>
      <c r="BK4962" s="2">
        <v>1.5</v>
      </c>
      <c r="BL4962" s="2">
        <v>41.44</v>
      </c>
      <c r="BM4962" s="2">
        <v>5.8</v>
      </c>
      <c r="BN4962" s="2">
        <v>47.24</v>
      </c>
      <c r="BO4962" s="2">
        <v>47.24</v>
      </c>
      <c r="BP4962" s="2"/>
      <c r="BQ4962" s="2" t="s">
        <v>1926</v>
      </c>
      <c r="BR4962" s="2" t="s">
        <v>84</v>
      </c>
      <c r="BS4962" s="3">
        <v>42955</v>
      </c>
      <c r="BT4962" s="4">
        <v>0.33333333333333331</v>
      </c>
      <c r="BU4962" s="2" t="s">
        <v>935</v>
      </c>
      <c r="BV4962" s="2" t="s">
        <v>95</v>
      </c>
      <c r="BW4962" s="2"/>
      <c r="BX4962" s="2"/>
      <c r="BY4962" s="2">
        <v>5773.48</v>
      </c>
      <c r="BZ4962" s="2"/>
      <c r="CA4962" s="2" t="s">
        <v>267</v>
      </c>
      <c r="CB4962" s="2"/>
      <c r="CC4962" s="2" t="s">
        <v>269</v>
      </c>
      <c r="CD4962" s="2">
        <v>157</v>
      </c>
      <c r="CE4962" s="2" t="s">
        <v>104</v>
      </c>
      <c r="CF4962" s="5">
        <v>42957</v>
      </c>
      <c r="CG4962" s="2"/>
      <c r="CH4962" s="2"/>
      <c r="CI4962" s="2">
        <v>1</v>
      </c>
      <c r="CJ4962" s="2">
        <v>1</v>
      </c>
      <c r="CK4962" s="2">
        <v>21</v>
      </c>
      <c r="CL4962" s="2" t="s">
        <v>86</v>
      </c>
      <c r="CM4962" s="2"/>
    </row>
    <row r="4963" spans="1:91">
      <c r="A4963" s="2" t="s">
        <v>71</v>
      </c>
      <c r="B4963" s="2" t="s">
        <v>72</v>
      </c>
      <c r="C4963" s="2" t="s">
        <v>73</v>
      </c>
      <c r="D4963" s="2"/>
      <c r="E4963" s="2" t="str">
        <f>"FES1162567482"</f>
        <v>FES1162567482</v>
      </c>
      <c r="F4963" s="3">
        <v>42954</v>
      </c>
      <c r="G4963" s="2">
        <v>201802</v>
      </c>
      <c r="H4963" s="2" t="s">
        <v>74</v>
      </c>
      <c r="I4963" s="2" t="s">
        <v>75</v>
      </c>
      <c r="J4963" s="2" t="s">
        <v>76</v>
      </c>
      <c r="K4963" s="2" t="s">
        <v>77</v>
      </c>
      <c r="L4963" s="2" t="s">
        <v>128</v>
      </c>
      <c r="M4963" s="2" t="s">
        <v>129</v>
      </c>
      <c r="N4963" s="2" t="s">
        <v>2256</v>
      </c>
      <c r="O4963" s="2" t="s">
        <v>100</v>
      </c>
      <c r="P4963" s="2" t="str">
        <f>"2170583648                    "</f>
        <v xml:space="preserve">2170583648                    </v>
      </c>
      <c r="Q4963" s="2">
        <v>0</v>
      </c>
      <c r="R4963" s="2">
        <v>0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0</v>
      </c>
      <c r="Y4963" s="2">
        <v>0</v>
      </c>
      <c r="Z4963" s="2">
        <v>0</v>
      </c>
      <c r="AA4963" s="2">
        <v>0</v>
      </c>
      <c r="AB4963" s="2">
        <v>0</v>
      </c>
      <c r="AC4963" s="2">
        <v>0</v>
      </c>
      <c r="AD4963" s="2">
        <v>0</v>
      </c>
      <c r="AE4963" s="2">
        <v>0</v>
      </c>
      <c r="AF4963" s="2">
        <v>0</v>
      </c>
      <c r="AG4963" s="2">
        <v>0</v>
      </c>
      <c r="AH4963" s="2">
        <v>0</v>
      </c>
      <c r="AI4963" s="2">
        <v>0</v>
      </c>
      <c r="AJ4963" s="2">
        <v>0</v>
      </c>
      <c r="AK4963" s="2">
        <v>0</v>
      </c>
      <c r="AL4963" s="2">
        <v>0</v>
      </c>
      <c r="AM4963" s="2">
        <v>3.13</v>
      </c>
      <c r="AN4963" s="2">
        <v>0</v>
      </c>
      <c r="AO4963" s="2">
        <v>0</v>
      </c>
      <c r="AP4963" s="2">
        <v>0</v>
      </c>
      <c r="AQ4963" s="2">
        <v>0</v>
      </c>
      <c r="AR4963" s="2">
        <v>0</v>
      </c>
      <c r="AS4963" s="2">
        <v>0</v>
      </c>
      <c r="AT4963" s="2">
        <v>0</v>
      </c>
      <c r="AU4963" s="2">
        <v>0</v>
      </c>
      <c r="AV4963" s="2">
        <v>0</v>
      </c>
      <c r="AW4963" s="2">
        <v>0</v>
      </c>
      <c r="AX4963" s="2">
        <v>0</v>
      </c>
      <c r="AY4963" s="2">
        <v>0</v>
      </c>
      <c r="AZ4963" s="2">
        <v>0</v>
      </c>
      <c r="BA4963" s="2">
        <v>0</v>
      </c>
      <c r="BB4963" s="2">
        <v>0</v>
      </c>
      <c r="BC4963" s="2">
        <v>0</v>
      </c>
      <c r="BD4963" s="2">
        <v>0</v>
      </c>
      <c r="BE4963" s="2">
        <v>0</v>
      </c>
      <c r="BF4963" s="2">
        <v>0</v>
      </c>
      <c r="BG4963" s="2">
        <v>0</v>
      </c>
      <c r="BH4963" s="2">
        <v>1</v>
      </c>
      <c r="BI4963" s="2">
        <v>3.8</v>
      </c>
      <c r="BJ4963" s="2">
        <v>2.2999999999999998</v>
      </c>
      <c r="BK4963" s="2">
        <v>4</v>
      </c>
      <c r="BL4963" s="2">
        <v>32.380000000000003</v>
      </c>
      <c r="BM4963" s="2">
        <v>4.53</v>
      </c>
      <c r="BN4963" s="2">
        <v>36.909999999999997</v>
      </c>
      <c r="BO4963" s="2">
        <v>36.909999999999997</v>
      </c>
      <c r="BP4963" s="2"/>
      <c r="BQ4963" s="2" t="s">
        <v>3862</v>
      </c>
      <c r="BR4963" s="2" t="s">
        <v>84</v>
      </c>
      <c r="BS4963" s="3">
        <v>42955</v>
      </c>
      <c r="BT4963" s="4">
        <v>0.40833333333333338</v>
      </c>
      <c r="BU4963" s="2" t="s">
        <v>469</v>
      </c>
      <c r="BV4963" s="2" t="s">
        <v>95</v>
      </c>
      <c r="BW4963" s="2"/>
      <c r="BX4963" s="2"/>
      <c r="BY4963" s="2">
        <v>11284.22</v>
      </c>
      <c r="BZ4963" s="2"/>
      <c r="CA4963" s="2" t="s">
        <v>923</v>
      </c>
      <c r="CB4963" s="2"/>
      <c r="CC4963" s="2" t="s">
        <v>129</v>
      </c>
      <c r="CD4963" s="2">
        <v>1725</v>
      </c>
      <c r="CE4963" s="2" t="s">
        <v>104</v>
      </c>
      <c r="CF4963" s="5">
        <v>42957</v>
      </c>
      <c r="CG4963" s="2"/>
      <c r="CH4963" s="2"/>
      <c r="CI4963" s="2">
        <v>1</v>
      </c>
      <c r="CJ4963" s="2">
        <v>1</v>
      </c>
      <c r="CK4963" s="2">
        <v>22</v>
      </c>
      <c r="CL4963" s="2" t="s">
        <v>86</v>
      </c>
      <c r="CM4963" s="2"/>
    </row>
    <row r="4964" spans="1:91">
      <c r="A4964" s="2" t="s">
        <v>71</v>
      </c>
      <c r="B4964" s="2" t="s">
        <v>72</v>
      </c>
      <c r="C4964" s="2" t="s">
        <v>73</v>
      </c>
      <c r="D4964" s="2"/>
      <c r="E4964" s="2" t="str">
        <f>"FES1162567205"</f>
        <v>FES1162567205</v>
      </c>
      <c r="F4964" s="3">
        <v>42954</v>
      </c>
      <c r="G4964" s="2">
        <v>201802</v>
      </c>
      <c r="H4964" s="2" t="s">
        <v>74</v>
      </c>
      <c r="I4964" s="2" t="s">
        <v>75</v>
      </c>
      <c r="J4964" s="2" t="s">
        <v>76</v>
      </c>
      <c r="K4964" s="2" t="s">
        <v>77</v>
      </c>
      <c r="L4964" s="2" t="s">
        <v>144</v>
      </c>
      <c r="M4964" s="2" t="s">
        <v>145</v>
      </c>
      <c r="N4964" s="2" t="s">
        <v>402</v>
      </c>
      <c r="O4964" s="2" t="s">
        <v>100</v>
      </c>
      <c r="P4964" s="2" t="str">
        <f>"2170583350                    "</f>
        <v xml:space="preserve">2170583350                    </v>
      </c>
      <c r="Q4964" s="2">
        <v>0</v>
      </c>
      <c r="R4964" s="2">
        <v>0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0</v>
      </c>
      <c r="Y4964" s="2">
        <v>0</v>
      </c>
      <c r="Z4964" s="2">
        <v>0</v>
      </c>
      <c r="AA4964" s="2">
        <v>0</v>
      </c>
      <c r="AB4964" s="2">
        <v>0</v>
      </c>
      <c r="AC4964" s="2">
        <v>0</v>
      </c>
      <c r="AD4964" s="2">
        <v>0</v>
      </c>
      <c r="AE4964" s="2">
        <v>0</v>
      </c>
      <c r="AF4964" s="2">
        <v>0</v>
      </c>
      <c r="AG4964" s="2">
        <v>0</v>
      </c>
      <c r="AH4964" s="2">
        <v>0</v>
      </c>
      <c r="AI4964" s="2">
        <v>0</v>
      </c>
      <c r="AJ4964" s="2">
        <v>0</v>
      </c>
      <c r="AK4964" s="2">
        <v>0</v>
      </c>
      <c r="AL4964" s="2">
        <v>0</v>
      </c>
      <c r="AM4964" s="2">
        <v>3.13</v>
      </c>
      <c r="AN4964" s="2">
        <v>0</v>
      </c>
      <c r="AO4964" s="2">
        <v>0</v>
      </c>
      <c r="AP4964" s="2">
        <v>0</v>
      </c>
      <c r="AQ4964" s="2">
        <v>0</v>
      </c>
      <c r="AR4964" s="2">
        <v>0</v>
      </c>
      <c r="AS4964" s="2">
        <v>0</v>
      </c>
      <c r="AT4964" s="2">
        <v>0</v>
      </c>
      <c r="AU4964" s="2">
        <v>0</v>
      </c>
      <c r="AV4964" s="2">
        <v>0</v>
      </c>
      <c r="AW4964" s="2">
        <v>0</v>
      </c>
      <c r="AX4964" s="2">
        <v>0</v>
      </c>
      <c r="AY4964" s="2">
        <v>0</v>
      </c>
      <c r="AZ4964" s="2">
        <v>0</v>
      </c>
      <c r="BA4964" s="2">
        <v>0</v>
      </c>
      <c r="BB4964" s="2">
        <v>0</v>
      </c>
      <c r="BC4964" s="2">
        <v>0</v>
      </c>
      <c r="BD4964" s="2">
        <v>0</v>
      </c>
      <c r="BE4964" s="2">
        <v>0</v>
      </c>
      <c r="BF4964" s="2">
        <v>0</v>
      </c>
      <c r="BG4964" s="2">
        <v>0</v>
      </c>
      <c r="BH4964" s="2">
        <v>1</v>
      </c>
      <c r="BI4964" s="2">
        <v>0.8</v>
      </c>
      <c r="BJ4964" s="2">
        <v>1.4</v>
      </c>
      <c r="BK4964" s="2">
        <v>2</v>
      </c>
      <c r="BL4964" s="2">
        <v>32.380000000000003</v>
      </c>
      <c r="BM4964" s="2">
        <v>4.53</v>
      </c>
      <c r="BN4964" s="2">
        <v>36.909999999999997</v>
      </c>
      <c r="BO4964" s="2">
        <v>36.909999999999997</v>
      </c>
      <c r="BP4964" s="2"/>
      <c r="BQ4964" s="2" t="s">
        <v>1273</v>
      </c>
      <c r="BR4964" s="2" t="s">
        <v>84</v>
      </c>
      <c r="BS4964" s="3">
        <v>42955</v>
      </c>
      <c r="BT4964" s="4">
        <v>0.41597222222222219</v>
      </c>
      <c r="BU4964" s="2" t="s">
        <v>1189</v>
      </c>
      <c r="BV4964" s="2" t="s">
        <v>95</v>
      </c>
      <c r="BW4964" s="2"/>
      <c r="BX4964" s="2"/>
      <c r="BY4964" s="2">
        <v>7124.36</v>
      </c>
      <c r="BZ4964" s="2"/>
      <c r="CA4964" s="2"/>
      <c r="CB4964" s="2"/>
      <c r="CC4964" s="2" t="s">
        <v>145</v>
      </c>
      <c r="CD4964" s="2">
        <v>1832</v>
      </c>
      <c r="CE4964" s="2" t="s">
        <v>104</v>
      </c>
      <c r="CF4964" s="5">
        <v>42957</v>
      </c>
      <c r="CG4964" s="2"/>
      <c r="CH4964" s="2"/>
      <c r="CI4964" s="2">
        <v>1</v>
      </c>
      <c r="CJ4964" s="2">
        <v>1</v>
      </c>
      <c r="CK4964" s="2">
        <v>22</v>
      </c>
      <c r="CL4964" s="2" t="s">
        <v>86</v>
      </c>
      <c r="CM4964" s="2"/>
    </row>
    <row r="4965" spans="1:91">
      <c r="A4965" s="2" t="s">
        <v>71</v>
      </c>
      <c r="B4965" s="2" t="s">
        <v>72</v>
      </c>
      <c r="C4965" s="2" t="s">
        <v>73</v>
      </c>
      <c r="D4965" s="2"/>
      <c r="E4965" s="2" t="str">
        <f>"FES1162567530"</f>
        <v>FES1162567530</v>
      </c>
      <c r="F4965" s="3">
        <v>42954</v>
      </c>
      <c r="G4965" s="2">
        <v>201802</v>
      </c>
      <c r="H4965" s="2" t="s">
        <v>74</v>
      </c>
      <c r="I4965" s="2" t="s">
        <v>75</v>
      </c>
      <c r="J4965" s="2" t="s">
        <v>76</v>
      </c>
      <c r="K4965" s="2" t="s">
        <v>77</v>
      </c>
      <c r="L4965" s="2" t="s">
        <v>216</v>
      </c>
      <c r="M4965" s="2" t="s">
        <v>217</v>
      </c>
      <c r="N4965" s="2" t="s">
        <v>1748</v>
      </c>
      <c r="O4965" s="2" t="s">
        <v>100</v>
      </c>
      <c r="P4965" s="2" t="str">
        <f>"2170583681                    "</f>
        <v xml:space="preserve">2170583681                    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0</v>
      </c>
      <c r="Y4965" s="2">
        <v>0</v>
      </c>
      <c r="Z4965" s="2">
        <v>0</v>
      </c>
      <c r="AA4965" s="2">
        <v>0</v>
      </c>
      <c r="AB4965" s="2">
        <v>0</v>
      </c>
      <c r="AC4965" s="2">
        <v>0</v>
      </c>
      <c r="AD4965" s="2">
        <v>0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3.13</v>
      </c>
      <c r="AN4965" s="2">
        <v>0</v>
      </c>
      <c r="AO4965" s="2">
        <v>0</v>
      </c>
      <c r="AP4965" s="2">
        <v>0</v>
      </c>
      <c r="AQ4965" s="2">
        <v>0</v>
      </c>
      <c r="AR4965" s="2">
        <v>0</v>
      </c>
      <c r="AS4965" s="2">
        <v>0</v>
      </c>
      <c r="AT4965" s="2">
        <v>0</v>
      </c>
      <c r="AU4965" s="2">
        <v>0</v>
      </c>
      <c r="AV4965" s="2">
        <v>0</v>
      </c>
      <c r="AW4965" s="2">
        <v>0</v>
      </c>
      <c r="AX4965" s="2">
        <v>0</v>
      </c>
      <c r="AY4965" s="2">
        <v>0</v>
      </c>
      <c r="AZ4965" s="2">
        <v>0</v>
      </c>
      <c r="BA4965" s="2">
        <v>0</v>
      </c>
      <c r="BB4965" s="2">
        <v>0</v>
      </c>
      <c r="BC4965" s="2">
        <v>0</v>
      </c>
      <c r="BD4965" s="2">
        <v>0</v>
      </c>
      <c r="BE4965" s="2">
        <v>0</v>
      </c>
      <c r="BF4965" s="2">
        <v>0</v>
      </c>
      <c r="BG4965" s="2">
        <v>0</v>
      </c>
      <c r="BH4965" s="2">
        <v>1</v>
      </c>
      <c r="BI4965" s="2">
        <v>1.6</v>
      </c>
      <c r="BJ4965" s="2">
        <v>1.1000000000000001</v>
      </c>
      <c r="BK4965" s="2">
        <v>2</v>
      </c>
      <c r="BL4965" s="2">
        <v>32.380000000000003</v>
      </c>
      <c r="BM4965" s="2">
        <v>4.53</v>
      </c>
      <c r="BN4965" s="2">
        <v>36.909999999999997</v>
      </c>
      <c r="BO4965" s="2">
        <v>36.909999999999997</v>
      </c>
      <c r="BP4965" s="2"/>
      <c r="BQ4965" s="2" t="s">
        <v>1749</v>
      </c>
      <c r="BR4965" s="2" t="s">
        <v>84</v>
      </c>
      <c r="BS4965" s="3">
        <v>42955</v>
      </c>
      <c r="BT4965" s="4">
        <v>0.34722222222222227</v>
      </c>
      <c r="BU4965" s="2" t="s">
        <v>4302</v>
      </c>
      <c r="BV4965" s="2" t="s">
        <v>95</v>
      </c>
      <c r="BW4965" s="2"/>
      <c r="BX4965" s="2"/>
      <c r="BY4965" s="2">
        <v>5316.19</v>
      </c>
      <c r="BZ4965" s="2"/>
      <c r="CA4965" s="2" t="s">
        <v>220</v>
      </c>
      <c r="CB4965" s="2"/>
      <c r="CC4965" s="2" t="s">
        <v>217</v>
      </c>
      <c r="CD4965" s="2">
        <v>1451</v>
      </c>
      <c r="CE4965" s="2" t="s">
        <v>104</v>
      </c>
      <c r="CF4965" s="5">
        <v>42957</v>
      </c>
      <c r="CG4965" s="2"/>
      <c r="CH4965" s="2"/>
      <c r="CI4965" s="2">
        <v>1</v>
      </c>
      <c r="CJ4965" s="2">
        <v>1</v>
      </c>
      <c r="CK4965" s="2">
        <v>22</v>
      </c>
      <c r="CL4965" s="2" t="s">
        <v>86</v>
      </c>
      <c r="CM4965" s="2"/>
    </row>
    <row r="4966" spans="1:91">
      <c r="A4966" s="2" t="s">
        <v>71</v>
      </c>
      <c r="B4966" s="2" t="s">
        <v>72</v>
      </c>
      <c r="C4966" s="2" t="s">
        <v>73</v>
      </c>
      <c r="D4966" s="2"/>
      <c r="E4966" s="2" t="str">
        <f>"FES1162567218"</f>
        <v>FES1162567218</v>
      </c>
      <c r="F4966" s="3">
        <v>42954</v>
      </c>
      <c r="G4966" s="2">
        <v>201802</v>
      </c>
      <c r="H4966" s="2" t="s">
        <v>74</v>
      </c>
      <c r="I4966" s="2" t="s">
        <v>75</v>
      </c>
      <c r="J4966" s="2" t="s">
        <v>76</v>
      </c>
      <c r="K4966" s="2" t="s">
        <v>77</v>
      </c>
      <c r="L4966" s="2" t="s">
        <v>144</v>
      </c>
      <c r="M4966" s="2" t="s">
        <v>145</v>
      </c>
      <c r="N4966" s="2" t="s">
        <v>4303</v>
      </c>
      <c r="O4966" s="2" t="s">
        <v>100</v>
      </c>
      <c r="P4966" s="2" t="str">
        <f>"2170583363                    "</f>
        <v xml:space="preserve">2170583363                    </v>
      </c>
      <c r="Q4966" s="2">
        <v>0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0</v>
      </c>
      <c r="Y4966" s="2">
        <v>0</v>
      </c>
      <c r="Z4966" s="2">
        <v>0</v>
      </c>
      <c r="AA4966" s="2">
        <v>0</v>
      </c>
      <c r="AB4966" s="2">
        <v>0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3.13</v>
      </c>
      <c r="AN4966" s="2">
        <v>0</v>
      </c>
      <c r="AO4966" s="2">
        <v>0</v>
      </c>
      <c r="AP4966" s="2">
        <v>0</v>
      </c>
      <c r="AQ4966" s="2">
        <v>0</v>
      </c>
      <c r="AR4966" s="2">
        <v>0</v>
      </c>
      <c r="AS4966" s="2">
        <v>0</v>
      </c>
      <c r="AT4966" s="2">
        <v>0</v>
      </c>
      <c r="AU4966" s="2">
        <v>0</v>
      </c>
      <c r="AV4966" s="2">
        <v>0</v>
      </c>
      <c r="AW4966" s="2">
        <v>0</v>
      </c>
      <c r="AX4966" s="2">
        <v>0</v>
      </c>
      <c r="AY4966" s="2">
        <v>0</v>
      </c>
      <c r="AZ4966" s="2">
        <v>0</v>
      </c>
      <c r="BA4966" s="2">
        <v>0</v>
      </c>
      <c r="BB4966" s="2">
        <v>0</v>
      </c>
      <c r="BC4966" s="2">
        <v>0</v>
      </c>
      <c r="BD4966" s="2">
        <v>0</v>
      </c>
      <c r="BE4966" s="2">
        <v>0</v>
      </c>
      <c r="BF4966" s="2">
        <v>0</v>
      </c>
      <c r="BG4966" s="2">
        <v>0</v>
      </c>
      <c r="BH4966" s="2">
        <v>1</v>
      </c>
      <c r="BI4966" s="2">
        <v>0.5</v>
      </c>
      <c r="BJ4966" s="2">
        <v>0.9</v>
      </c>
      <c r="BK4966" s="2">
        <v>1</v>
      </c>
      <c r="BL4966" s="2">
        <v>32.380000000000003</v>
      </c>
      <c r="BM4966" s="2">
        <v>4.53</v>
      </c>
      <c r="BN4966" s="2">
        <v>36.909999999999997</v>
      </c>
      <c r="BO4966" s="2">
        <v>36.909999999999997</v>
      </c>
      <c r="BP4966" s="2"/>
      <c r="BQ4966" s="2" t="s">
        <v>83</v>
      </c>
      <c r="BR4966" s="2" t="s">
        <v>84</v>
      </c>
      <c r="BS4966" s="3">
        <v>42955</v>
      </c>
      <c r="BT4966" s="4">
        <v>0.36319444444444443</v>
      </c>
      <c r="BU4966" s="2" t="s">
        <v>4304</v>
      </c>
      <c r="BV4966" s="2" t="s">
        <v>95</v>
      </c>
      <c r="BW4966" s="2"/>
      <c r="BX4966" s="2"/>
      <c r="BY4966" s="2">
        <v>4586.3999999999996</v>
      </c>
      <c r="BZ4966" s="2"/>
      <c r="CA4966" s="2" t="s">
        <v>923</v>
      </c>
      <c r="CB4966" s="2"/>
      <c r="CC4966" s="2" t="s">
        <v>145</v>
      </c>
      <c r="CD4966" s="2">
        <v>2042</v>
      </c>
      <c r="CE4966" s="2" t="s">
        <v>104</v>
      </c>
      <c r="CF4966" s="5">
        <v>42957</v>
      </c>
      <c r="CG4966" s="2"/>
      <c r="CH4966" s="2"/>
      <c r="CI4966" s="2">
        <v>1</v>
      </c>
      <c r="CJ4966" s="2">
        <v>1</v>
      </c>
      <c r="CK4966" s="2">
        <v>22</v>
      </c>
      <c r="CL4966" s="2" t="s">
        <v>86</v>
      </c>
      <c r="CM4966" s="2"/>
    </row>
    <row r="4967" spans="1:91">
      <c r="A4967" s="2" t="s">
        <v>71</v>
      </c>
      <c r="B4967" s="2" t="s">
        <v>72</v>
      </c>
      <c r="C4967" s="2" t="s">
        <v>73</v>
      </c>
      <c r="D4967" s="2"/>
      <c r="E4967" s="2" t="str">
        <f>"FES1162567146"</f>
        <v>FES1162567146</v>
      </c>
      <c r="F4967" s="3">
        <v>42954</v>
      </c>
      <c r="G4967" s="2">
        <v>201802</v>
      </c>
      <c r="H4967" s="2" t="s">
        <v>74</v>
      </c>
      <c r="I4967" s="2" t="s">
        <v>75</v>
      </c>
      <c r="J4967" s="2" t="s">
        <v>76</v>
      </c>
      <c r="K4967" s="2" t="s">
        <v>77</v>
      </c>
      <c r="L4967" s="2" t="s">
        <v>144</v>
      </c>
      <c r="M4967" s="2" t="s">
        <v>145</v>
      </c>
      <c r="N4967" s="2" t="s">
        <v>260</v>
      </c>
      <c r="O4967" s="2" t="s">
        <v>100</v>
      </c>
      <c r="P4967" s="2" t="str">
        <f>"2170581279                    "</f>
        <v xml:space="preserve">2170581279                    </v>
      </c>
      <c r="Q4967" s="2">
        <v>0</v>
      </c>
      <c r="R4967" s="2">
        <v>0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0</v>
      </c>
      <c r="Y4967" s="2">
        <v>0</v>
      </c>
      <c r="Z4967" s="2">
        <v>0</v>
      </c>
      <c r="AA4967" s="2">
        <v>0</v>
      </c>
      <c r="AB4967" s="2">
        <v>0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3.13</v>
      </c>
      <c r="AN4967" s="2">
        <v>0</v>
      </c>
      <c r="AO4967" s="2">
        <v>0</v>
      </c>
      <c r="AP4967" s="2">
        <v>0</v>
      </c>
      <c r="AQ4967" s="2">
        <v>0</v>
      </c>
      <c r="AR4967" s="2">
        <v>0</v>
      </c>
      <c r="AS4967" s="2">
        <v>0</v>
      </c>
      <c r="AT4967" s="2">
        <v>0</v>
      </c>
      <c r="AU4967" s="2">
        <v>0</v>
      </c>
      <c r="AV4967" s="2">
        <v>0</v>
      </c>
      <c r="AW4967" s="2">
        <v>0</v>
      </c>
      <c r="AX4967" s="2">
        <v>0</v>
      </c>
      <c r="AY4967" s="2">
        <v>0</v>
      </c>
      <c r="AZ4967" s="2">
        <v>0</v>
      </c>
      <c r="BA4967" s="2">
        <v>0</v>
      </c>
      <c r="BB4967" s="2">
        <v>0</v>
      </c>
      <c r="BC4967" s="2">
        <v>0</v>
      </c>
      <c r="BD4967" s="2">
        <v>0</v>
      </c>
      <c r="BE4967" s="2">
        <v>0</v>
      </c>
      <c r="BF4967" s="2">
        <v>0</v>
      </c>
      <c r="BG4967" s="2">
        <v>0</v>
      </c>
      <c r="BH4967" s="2">
        <v>1</v>
      </c>
      <c r="BI4967" s="2">
        <v>1.4</v>
      </c>
      <c r="BJ4967" s="2">
        <v>2.1</v>
      </c>
      <c r="BK4967" s="2">
        <v>3</v>
      </c>
      <c r="BL4967" s="2">
        <v>32.380000000000003</v>
      </c>
      <c r="BM4967" s="2">
        <v>4.53</v>
      </c>
      <c r="BN4967" s="2">
        <v>36.909999999999997</v>
      </c>
      <c r="BO4967" s="2">
        <v>36.909999999999997</v>
      </c>
      <c r="BP4967" s="2"/>
      <c r="BQ4967" s="2" t="s">
        <v>108</v>
      </c>
      <c r="BR4967" s="2" t="s">
        <v>84</v>
      </c>
      <c r="BS4967" s="3">
        <v>42955</v>
      </c>
      <c r="BT4967" s="4">
        <v>0.45416666666666666</v>
      </c>
      <c r="BU4967" s="2" t="s">
        <v>3708</v>
      </c>
      <c r="BV4967" s="2" t="s">
        <v>95</v>
      </c>
      <c r="BW4967" s="2"/>
      <c r="BX4967" s="2"/>
      <c r="BY4967" s="2">
        <v>10390.07</v>
      </c>
      <c r="BZ4967" s="2"/>
      <c r="CA4967" s="2" t="s">
        <v>1355</v>
      </c>
      <c r="CB4967" s="2"/>
      <c r="CC4967" s="2" t="s">
        <v>145</v>
      </c>
      <c r="CD4967" s="2">
        <v>2091</v>
      </c>
      <c r="CE4967" s="2" t="s">
        <v>104</v>
      </c>
      <c r="CF4967" s="5">
        <v>42957</v>
      </c>
      <c r="CG4967" s="2"/>
      <c r="CH4967" s="2"/>
      <c r="CI4967" s="2">
        <v>1</v>
      </c>
      <c r="CJ4967" s="2">
        <v>1</v>
      </c>
      <c r="CK4967" s="2">
        <v>22</v>
      </c>
      <c r="CL4967" s="2" t="s">
        <v>86</v>
      </c>
      <c r="CM4967" s="2"/>
    </row>
    <row r="4968" spans="1:91">
      <c r="A4968" s="2" t="s">
        <v>71</v>
      </c>
      <c r="B4968" s="2" t="s">
        <v>72</v>
      </c>
      <c r="C4968" s="2" t="s">
        <v>73</v>
      </c>
      <c r="D4968" s="2"/>
      <c r="E4968" s="2" t="str">
        <f>"FES1162567387"</f>
        <v>FES1162567387</v>
      </c>
      <c r="F4968" s="3">
        <v>42954</v>
      </c>
      <c r="G4968" s="2">
        <v>201802</v>
      </c>
      <c r="H4968" s="2" t="s">
        <v>74</v>
      </c>
      <c r="I4968" s="2" t="s">
        <v>75</v>
      </c>
      <c r="J4968" s="2" t="s">
        <v>76</v>
      </c>
      <c r="K4968" s="2" t="s">
        <v>77</v>
      </c>
      <c r="L4968" s="2" t="s">
        <v>268</v>
      </c>
      <c r="M4968" s="2" t="s">
        <v>269</v>
      </c>
      <c r="N4968" s="2" t="s">
        <v>544</v>
      </c>
      <c r="O4968" s="2" t="s">
        <v>100</v>
      </c>
      <c r="P4968" s="2" t="str">
        <f>"2170576902                    "</f>
        <v xml:space="preserve">2170576902                    </v>
      </c>
      <c r="Q4968" s="2">
        <v>0</v>
      </c>
      <c r="R4968" s="2">
        <v>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0</v>
      </c>
      <c r="Y4968" s="2">
        <v>0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  <c r="AM4968" s="2">
        <v>4</v>
      </c>
      <c r="AN4968" s="2">
        <v>0</v>
      </c>
      <c r="AO4968" s="2">
        <v>0</v>
      </c>
      <c r="AP4968" s="2">
        <v>0</v>
      </c>
      <c r="AQ4968" s="2">
        <v>0</v>
      </c>
      <c r="AR4968" s="2">
        <v>0</v>
      </c>
      <c r="AS4968" s="2">
        <v>0</v>
      </c>
      <c r="AT4968" s="2">
        <v>0</v>
      </c>
      <c r="AU4968" s="2">
        <v>0</v>
      </c>
      <c r="AV4968" s="2">
        <v>0</v>
      </c>
      <c r="AW4968" s="2">
        <v>0</v>
      </c>
      <c r="AX4968" s="2">
        <v>0</v>
      </c>
      <c r="AY4968" s="2">
        <v>0</v>
      </c>
      <c r="AZ4968" s="2">
        <v>0</v>
      </c>
      <c r="BA4968" s="2">
        <v>0</v>
      </c>
      <c r="BB4968" s="2">
        <v>0</v>
      </c>
      <c r="BC4968" s="2">
        <v>0</v>
      </c>
      <c r="BD4968" s="2">
        <v>0</v>
      </c>
      <c r="BE4968" s="2">
        <v>0</v>
      </c>
      <c r="BF4968" s="2">
        <v>0</v>
      </c>
      <c r="BG4968" s="2">
        <v>0</v>
      </c>
      <c r="BH4968" s="2">
        <v>1</v>
      </c>
      <c r="BI4968" s="2">
        <v>0.7</v>
      </c>
      <c r="BJ4968" s="2">
        <v>0.9</v>
      </c>
      <c r="BK4968" s="2">
        <v>1</v>
      </c>
      <c r="BL4968" s="2">
        <v>41.44</v>
      </c>
      <c r="BM4968" s="2">
        <v>5.8</v>
      </c>
      <c r="BN4968" s="2">
        <v>47.24</v>
      </c>
      <c r="BO4968" s="2">
        <v>47.24</v>
      </c>
      <c r="BP4968" s="2"/>
      <c r="BQ4968" s="2" t="s">
        <v>1432</v>
      </c>
      <c r="BR4968" s="2" t="s">
        <v>84</v>
      </c>
      <c r="BS4968" s="3">
        <v>42955</v>
      </c>
      <c r="BT4968" s="4">
        <v>0.39027777777777778</v>
      </c>
      <c r="BU4968" s="2" t="s">
        <v>4305</v>
      </c>
      <c r="BV4968" s="2" t="s">
        <v>95</v>
      </c>
      <c r="BW4968" s="2"/>
      <c r="BX4968" s="2"/>
      <c r="BY4968" s="2">
        <v>4447.47</v>
      </c>
      <c r="BZ4968" s="2"/>
      <c r="CA4968" s="2" t="s">
        <v>970</v>
      </c>
      <c r="CB4968" s="2"/>
      <c r="CC4968" s="2" t="s">
        <v>269</v>
      </c>
      <c r="CD4968" s="2">
        <v>157</v>
      </c>
      <c r="CE4968" s="2" t="s">
        <v>104</v>
      </c>
      <c r="CF4968" s="5">
        <v>42958</v>
      </c>
      <c r="CG4968" s="2"/>
      <c r="CH4968" s="2"/>
      <c r="CI4968" s="2">
        <v>1</v>
      </c>
      <c r="CJ4968" s="2">
        <v>1</v>
      </c>
      <c r="CK4968" s="2">
        <v>21</v>
      </c>
      <c r="CL4968" s="2" t="s">
        <v>86</v>
      </c>
      <c r="CM4968" s="2"/>
    </row>
    <row r="4969" spans="1:91">
      <c r="A4969" s="2" t="s">
        <v>71</v>
      </c>
      <c r="B4969" s="2" t="s">
        <v>72</v>
      </c>
      <c r="C4969" s="2" t="s">
        <v>73</v>
      </c>
      <c r="D4969" s="2"/>
      <c r="E4969" s="2" t="str">
        <f>"FES1162567379"</f>
        <v>FES1162567379</v>
      </c>
      <c r="F4969" s="3">
        <v>42954</v>
      </c>
      <c r="G4969" s="2">
        <v>201802</v>
      </c>
      <c r="H4969" s="2" t="s">
        <v>74</v>
      </c>
      <c r="I4969" s="2" t="s">
        <v>75</v>
      </c>
      <c r="J4969" s="2" t="s">
        <v>76</v>
      </c>
      <c r="K4969" s="2" t="s">
        <v>77</v>
      </c>
      <c r="L4969" s="2" t="s">
        <v>756</v>
      </c>
      <c r="M4969" s="2" t="s">
        <v>757</v>
      </c>
      <c r="N4969" s="2" t="s">
        <v>758</v>
      </c>
      <c r="O4969" s="2" t="s">
        <v>100</v>
      </c>
      <c r="P4969" s="2" t="str">
        <f>"2170583540                    "</f>
        <v xml:space="preserve">2170583540                    </v>
      </c>
      <c r="Q4969" s="2">
        <v>0</v>
      </c>
      <c r="R4969" s="2">
        <v>0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0</v>
      </c>
      <c r="Y4969" s="2">
        <v>0</v>
      </c>
      <c r="Z4969" s="2">
        <v>0</v>
      </c>
      <c r="AA4969" s="2">
        <v>0</v>
      </c>
      <c r="AB4969" s="2">
        <v>0</v>
      </c>
      <c r="AC4969" s="2">
        <v>0</v>
      </c>
      <c r="AD4969" s="2">
        <v>0</v>
      </c>
      <c r="AE4969" s="2">
        <v>0</v>
      </c>
      <c r="AF4969" s="2">
        <v>0</v>
      </c>
      <c r="AG4969" s="2">
        <v>0</v>
      </c>
      <c r="AH4969" s="2">
        <v>0</v>
      </c>
      <c r="AI4969" s="2">
        <v>0</v>
      </c>
      <c r="AJ4969" s="2">
        <v>0</v>
      </c>
      <c r="AK4969" s="2">
        <v>0</v>
      </c>
      <c r="AL4969" s="2">
        <v>0</v>
      </c>
      <c r="AM4969" s="2">
        <v>7.75</v>
      </c>
      <c r="AN4969" s="2">
        <v>0</v>
      </c>
      <c r="AO4969" s="2">
        <v>0</v>
      </c>
      <c r="AP4969" s="2">
        <v>0</v>
      </c>
      <c r="AQ4969" s="2">
        <v>0</v>
      </c>
      <c r="AR4969" s="2">
        <v>0</v>
      </c>
      <c r="AS4969" s="2">
        <v>0</v>
      </c>
      <c r="AT4969" s="2">
        <v>0</v>
      </c>
      <c r="AU4969" s="2">
        <v>0</v>
      </c>
      <c r="AV4969" s="2">
        <v>0</v>
      </c>
      <c r="AW4969" s="2">
        <v>0</v>
      </c>
      <c r="AX4969" s="2">
        <v>0</v>
      </c>
      <c r="AY4969" s="2">
        <v>0</v>
      </c>
      <c r="AZ4969" s="2">
        <v>0</v>
      </c>
      <c r="BA4969" s="2">
        <v>0</v>
      </c>
      <c r="BB4969" s="2">
        <v>0</v>
      </c>
      <c r="BC4969" s="2">
        <v>0</v>
      </c>
      <c r="BD4969" s="2">
        <v>0</v>
      </c>
      <c r="BE4969" s="2">
        <v>0</v>
      </c>
      <c r="BF4969" s="2">
        <v>0</v>
      </c>
      <c r="BG4969" s="2">
        <v>0</v>
      </c>
      <c r="BH4969" s="2">
        <v>1</v>
      </c>
      <c r="BI4969" s="2">
        <v>0.5</v>
      </c>
      <c r="BJ4969" s="2">
        <v>1.9</v>
      </c>
      <c r="BK4969" s="2">
        <v>2</v>
      </c>
      <c r="BL4969" s="2">
        <v>80.290000000000006</v>
      </c>
      <c r="BM4969" s="2">
        <v>11.24</v>
      </c>
      <c r="BN4969" s="2">
        <v>91.53</v>
      </c>
      <c r="BO4969" s="2">
        <v>91.53</v>
      </c>
      <c r="BP4969" s="2"/>
      <c r="BQ4969" s="2" t="s">
        <v>288</v>
      </c>
      <c r="BR4969" s="2" t="s">
        <v>84</v>
      </c>
      <c r="BS4969" s="3">
        <v>42955</v>
      </c>
      <c r="BT4969" s="4">
        <v>0.71666666666666667</v>
      </c>
      <c r="BU4969" s="2" t="s">
        <v>4247</v>
      </c>
      <c r="BV4969" s="2" t="s">
        <v>95</v>
      </c>
      <c r="BW4969" s="2"/>
      <c r="BX4969" s="2"/>
      <c r="BY4969" s="2">
        <v>9354.49</v>
      </c>
      <c r="BZ4969" s="2"/>
      <c r="CA4969" s="2" t="s">
        <v>1885</v>
      </c>
      <c r="CB4969" s="2"/>
      <c r="CC4969" s="2" t="s">
        <v>757</v>
      </c>
      <c r="CD4969" s="2">
        <v>4276</v>
      </c>
      <c r="CE4969" s="2" t="s">
        <v>104</v>
      </c>
      <c r="CF4969" s="5">
        <v>42955</v>
      </c>
      <c r="CG4969" s="2"/>
      <c r="CH4969" s="2"/>
      <c r="CI4969" s="2">
        <v>1</v>
      </c>
      <c r="CJ4969" s="2">
        <v>1</v>
      </c>
      <c r="CK4969" s="2">
        <v>23</v>
      </c>
      <c r="CL4969" s="2" t="s">
        <v>86</v>
      </c>
      <c r="CM4969" s="2"/>
    </row>
    <row r="4970" spans="1:91">
      <c r="A4970" s="2" t="s">
        <v>71</v>
      </c>
      <c r="B4970" s="2" t="s">
        <v>72</v>
      </c>
      <c r="C4970" s="2" t="s">
        <v>73</v>
      </c>
      <c r="D4970" s="2"/>
      <c r="E4970" s="2" t="str">
        <f>"FES1162567272"</f>
        <v>FES1162567272</v>
      </c>
      <c r="F4970" s="3">
        <v>42954</v>
      </c>
      <c r="G4970" s="2">
        <v>201802</v>
      </c>
      <c r="H4970" s="2" t="s">
        <v>74</v>
      </c>
      <c r="I4970" s="2" t="s">
        <v>75</v>
      </c>
      <c r="J4970" s="2" t="s">
        <v>76</v>
      </c>
      <c r="K4970" s="2" t="s">
        <v>77</v>
      </c>
      <c r="L4970" s="2" t="s">
        <v>144</v>
      </c>
      <c r="M4970" s="2" t="s">
        <v>145</v>
      </c>
      <c r="N4970" s="2" t="s">
        <v>4306</v>
      </c>
      <c r="O4970" s="2" t="s">
        <v>100</v>
      </c>
      <c r="P4970" s="2" t="str">
        <f>"2170583427                    "</f>
        <v xml:space="preserve">2170583427                    </v>
      </c>
      <c r="Q4970" s="2">
        <v>0</v>
      </c>
      <c r="R4970" s="2">
        <v>0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0</v>
      </c>
      <c r="Y4970" s="2">
        <v>0</v>
      </c>
      <c r="Z4970" s="2">
        <v>0</v>
      </c>
      <c r="AA4970" s="2">
        <v>0</v>
      </c>
      <c r="AB4970" s="2">
        <v>0</v>
      </c>
      <c r="AC4970" s="2">
        <v>0</v>
      </c>
      <c r="AD4970" s="2">
        <v>0</v>
      </c>
      <c r="AE4970" s="2">
        <v>0</v>
      </c>
      <c r="AF4970" s="2">
        <v>0</v>
      </c>
      <c r="AG4970" s="2">
        <v>0</v>
      </c>
      <c r="AH4970" s="2">
        <v>0</v>
      </c>
      <c r="AI4970" s="2">
        <v>0</v>
      </c>
      <c r="AJ4970" s="2">
        <v>0</v>
      </c>
      <c r="AK4970" s="2">
        <v>0</v>
      </c>
      <c r="AL4970" s="2">
        <v>0</v>
      </c>
      <c r="AM4970" s="2">
        <v>3.13</v>
      </c>
      <c r="AN4970" s="2">
        <v>0</v>
      </c>
      <c r="AO4970" s="2">
        <v>0</v>
      </c>
      <c r="AP4970" s="2">
        <v>0</v>
      </c>
      <c r="AQ4970" s="2">
        <v>0</v>
      </c>
      <c r="AR4970" s="2">
        <v>0</v>
      </c>
      <c r="AS4970" s="2">
        <v>0</v>
      </c>
      <c r="AT4970" s="2">
        <v>0</v>
      </c>
      <c r="AU4970" s="2">
        <v>0</v>
      </c>
      <c r="AV4970" s="2">
        <v>0</v>
      </c>
      <c r="AW4970" s="2">
        <v>0</v>
      </c>
      <c r="AX4970" s="2">
        <v>0</v>
      </c>
      <c r="AY4970" s="2">
        <v>0</v>
      </c>
      <c r="AZ4970" s="2">
        <v>0</v>
      </c>
      <c r="BA4970" s="2">
        <v>0</v>
      </c>
      <c r="BB4970" s="2">
        <v>0</v>
      </c>
      <c r="BC4970" s="2">
        <v>0</v>
      </c>
      <c r="BD4970" s="2">
        <v>0</v>
      </c>
      <c r="BE4970" s="2">
        <v>0</v>
      </c>
      <c r="BF4970" s="2">
        <v>0</v>
      </c>
      <c r="BG4970" s="2">
        <v>0</v>
      </c>
      <c r="BH4970" s="2">
        <v>1</v>
      </c>
      <c r="BI4970" s="2">
        <v>1.5</v>
      </c>
      <c r="BJ4970" s="2">
        <v>1.2</v>
      </c>
      <c r="BK4970" s="2">
        <v>2</v>
      </c>
      <c r="BL4970" s="2">
        <v>32.380000000000003</v>
      </c>
      <c r="BM4970" s="2">
        <v>4.53</v>
      </c>
      <c r="BN4970" s="2">
        <v>36.909999999999997</v>
      </c>
      <c r="BO4970" s="2">
        <v>36.909999999999997</v>
      </c>
      <c r="BP4970" s="2"/>
      <c r="BQ4970" s="2" t="s">
        <v>83</v>
      </c>
      <c r="BR4970" s="2" t="s">
        <v>84</v>
      </c>
      <c r="BS4970" s="3">
        <v>42955</v>
      </c>
      <c r="BT4970" s="4">
        <v>0.52083333333333337</v>
      </c>
      <c r="BU4970" s="2" t="s">
        <v>4307</v>
      </c>
      <c r="BV4970" s="2" t="s">
        <v>95</v>
      </c>
      <c r="BW4970" s="2"/>
      <c r="BX4970" s="2"/>
      <c r="BY4970" s="2">
        <v>6049</v>
      </c>
      <c r="BZ4970" s="2"/>
      <c r="CA4970" s="2"/>
      <c r="CB4970" s="2"/>
      <c r="CC4970" s="2" t="s">
        <v>145</v>
      </c>
      <c r="CD4970" s="2">
        <v>1832</v>
      </c>
      <c r="CE4970" s="2" t="s">
        <v>104</v>
      </c>
      <c r="CF4970" s="5">
        <v>42957</v>
      </c>
      <c r="CG4970" s="2"/>
      <c r="CH4970" s="2"/>
      <c r="CI4970" s="2">
        <v>1</v>
      </c>
      <c r="CJ4970" s="2">
        <v>1</v>
      </c>
      <c r="CK4970" s="2">
        <v>22</v>
      </c>
      <c r="CL4970" s="2" t="s">
        <v>86</v>
      </c>
      <c r="CM4970" s="2"/>
    </row>
    <row r="4971" spans="1:91">
      <c r="A4971" s="2" t="s">
        <v>71</v>
      </c>
      <c r="B4971" s="2" t="s">
        <v>72</v>
      </c>
      <c r="C4971" s="2" t="s">
        <v>73</v>
      </c>
      <c r="D4971" s="2"/>
      <c r="E4971" s="2" t="str">
        <f>"FES1162567311"</f>
        <v>FES1162567311</v>
      </c>
      <c r="F4971" s="3">
        <v>42954</v>
      </c>
      <c r="G4971" s="2">
        <v>201802</v>
      </c>
      <c r="H4971" s="2" t="s">
        <v>74</v>
      </c>
      <c r="I4971" s="2" t="s">
        <v>75</v>
      </c>
      <c r="J4971" s="2" t="s">
        <v>76</v>
      </c>
      <c r="K4971" s="2" t="s">
        <v>77</v>
      </c>
      <c r="L4971" s="2" t="s">
        <v>170</v>
      </c>
      <c r="M4971" s="2" t="s">
        <v>171</v>
      </c>
      <c r="N4971" s="2" t="s">
        <v>1935</v>
      </c>
      <c r="O4971" s="2" t="s">
        <v>100</v>
      </c>
      <c r="P4971" s="2" t="str">
        <f>"2170583482                    "</f>
        <v xml:space="preserve">2170583482                    </v>
      </c>
      <c r="Q4971" s="2">
        <v>0</v>
      </c>
      <c r="R4971" s="2">
        <v>0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0</v>
      </c>
      <c r="Y4971" s="2">
        <v>0</v>
      </c>
      <c r="Z4971" s="2">
        <v>0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0</v>
      </c>
      <c r="AI4971" s="2">
        <v>0</v>
      </c>
      <c r="AJ4971" s="2">
        <v>0</v>
      </c>
      <c r="AK4971" s="2">
        <v>0</v>
      </c>
      <c r="AL4971" s="2">
        <v>0</v>
      </c>
      <c r="AM4971" s="2">
        <v>3.13</v>
      </c>
      <c r="AN4971" s="2">
        <v>0</v>
      </c>
      <c r="AO4971" s="2">
        <v>0</v>
      </c>
      <c r="AP4971" s="2">
        <v>0</v>
      </c>
      <c r="AQ4971" s="2">
        <v>0</v>
      </c>
      <c r="AR4971" s="2">
        <v>0</v>
      </c>
      <c r="AS4971" s="2">
        <v>0</v>
      </c>
      <c r="AT4971" s="2">
        <v>0</v>
      </c>
      <c r="AU4971" s="2">
        <v>0</v>
      </c>
      <c r="AV4971" s="2">
        <v>0</v>
      </c>
      <c r="AW4971" s="2">
        <v>0</v>
      </c>
      <c r="AX4971" s="2">
        <v>0</v>
      </c>
      <c r="AY4971" s="2">
        <v>0</v>
      </c>
      <c r="AZ4971" s="2">
        <v>0</v>
      </c>
      <c r="BA4971" s="2">
        <v>0</v>
      </c>
      <c r="BB4971" s="2">
        <v>0</v>
      </c>
      <c r="BC4971" s="2">
        <v>0</v>
      </c>
      <c r="BD4971" s="2">
        <v>0</v>
      </c>
      <c r="BE4971" s="2">
        <v>0</v>
      </c>
      <c r="BF4971" s="2">
        <v>0</v>
      </c>
      <c r="BG4971" s="2">
        <v>0</v>
      </c>
      <c r="BH4971" s="2">
        <v>1</v>
      </c>
      <c r="BI4971" s="2">
        <v>0.6</v>
      </c>
      <c r="BJ4971" s="2">
        <v>1.5</v>
      </c>
      <c r="BK4971" s="2">
        <v>2</v>
      </c>
      <c r="BL4971" s="2">
        <v>32.380000000000003</v>
      </c>
      <c r="BM4971" s="2">
        <v>4.53</v>
      </c>
      <c r="BN4971" s="2">
        <v>36.909999999999997</v>
      </c>
      <c r="BO4971" s="2">
        <v>36.909999999999997</v>
      </c>
      <c r="BP4971" s="2"/>
      <c r="BQ4971" s="2" t="s">
        <v>83</v>
      </c>
      <c r="BR4971" s="2" t="s">
        <v>84</v>
      </c>
      <c r="BS4971" s="3">
        <v>42955</v>
      </c>
      <c r="BT4971" s="4">
        <v>0.37986111111111115</v>
      </c>
      <c r="BU4971" s="2" t="s">
        <v>1936</v>
      </c>
      <c r="BV4971" s="2" t="s">
        <v>95</v>
      </c>
      <c r="BW4971" s="2"/>
      <c r="BX4971" s="2"/>
      <c r="BY4971" s="2">
        <v>7729.15</v>
      </c>
      <c r="BZ4971" s="2"/>
      <c r="CA4971" s="2" t="s">
        <v>1441</v>
      </c>
      <c r="CB4971" s="2"/>
      <c r="CC4971" s="2" t="s">
        <v>171</v>
      </c>
      <c r="CD4971" s="2">
        <v>1406</v>
      </c>
      <c r="CE4971" s="2" t="s">
        <v>104</v>
      </c>
      <c r="CF4971" s="5">
        <v>42957</v>
      </c>
      <c r="CG4971" s="2"/>
      <c r="CH4971" s="2"/>
      <c r="CI4971" s="2">
        <v>1</v>
      </c>
      <c r="CJ4971" s="2">
        <v>1</v>
      </c>
      <c r="CK4971" s="2">
        <v>22</v>
      </c>
      <c r="CL4971" s="2" t="s">
        <v>86</v>
      </c>
      <c r="CM4971" s="2"/>
    </row>
    <row r="4972" spans="1:91">
      <c r="A4972" s="2" t="s">
        <v>71</v>
      </c>
      <c r="B4972" s="2" t="s">
        <v>72</v>
      </c>
      <c r="C4972" s="2" t="s">
        <v>73</v>
      </c>
      <c r="D4972" s="2"/>
      <c r="E4972" s="2" t="str">
        <f>"FES1162567403"</f>
        <v>FES1162567403</v>
      </c>
      <c r="F4972" s="3">
        <v>42954</v>
      </c>
      <c r="G4972" s="2">
        <v>201802</v>
      </c>
      <c r="H4972" s="2" t="s">
        <v>74</v>
      </c>
      <c r="I4972" s="2" t="s">
        <v>75</v>
      </c>
      <c r="J4972" s="2" t="s">
        <v>76</v>
      </c>
      <c r="K4972" s="2" t="s">
        <v>77</v>
      </c>
      <c r="L4972" s="2" t="s">
        <v>105</v>
      </c>
      <c r="M4972" s="2" t="s">
        <v>106</v>
      </c>
      <c r="N4972" s="2" t="s">
        <v>107</v>
      </c>
      <c r="O4972" s="2" t="s">
        <v>100</v>
      </c>
      <c r="P4972" s="2" t="str">
        <f>"2170583555                    "</f>
        <v xml:space="preserve">2170583555                    </v>
      </c>
      <c r="Q4972" s="2">
        <v>0</v>
      </c>
      <c r="R4972" s="2">
        <v>0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0</v>
      </c>
      <c r="Y4972" s="2">
        <v>0</v>
      </c>
      <c r="Z4972" s="2">
        <v>0</v>
      </c>
      <c r="AA4972" s="2">
        <v>0</v>
      </c>
      <c r="AB4972" s="2">
        <v>0</v>
      </c>
      <c r="AC4972" s="2">
        <v>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  <c r="AM4972" s="2">
        <v>4</v>
      </c>
      <c r="AN4972" s="2">
        <v>0</v>
      </c>
      <c r="AO4972" s="2">
        <v>0</v>
      </c>
      <c r="AP4972" s="2">
        <v>0</v>
      </c>
      <c r="AQ4972" s="2">
        <v>0</v>
      </c>
      <c r="AR4972" s="2">
        <v>0</v>
      </c>
      <c r="AS4972" s="2">
        <v>0</v>
      </c>
      <c r="AT4972" s="2">
        <v>0</v>
      </c>
      <c r="AU4972" s="2">
        <v>0</v>
      </c>
      <c r="AV4972" s="2">
        <v>0</v>
      </c>
      <c r="AW4972" s="2">
        <v>0</v>
      </c>
      <c r="AX4972" s="2">
        <v>0</v>
      </c>
      <c r="AY4972" s="2">
        <v>0</v>
      </c>
      <c r="AZ4972" s="2">
        <v>0</v>
      </c>
      <c r="BA4972" s="2">
        <v>0</v>
      </c>
      <c r="BB4972" s="2">
        <v>0</v>
      </c>
      <c r="BC4972" s="2">
        <v>0</v>
      </c>
      <c r="BD4972" s="2">
        <v>0</v>
      </c>
      <c r="BE4972" s="2">
        <v>0</v>
      </c>
      <c r="BF4972" s="2">
        <v>0</v>
      </c>
      <c r="BG4972" s="2">
        <v>0</v>
      </c>
      <c r="BH4972" s="2">
        <v>1</v>
      </c>
      <c r="BI4972" s="2">
        <v>0.7</v>
      </c>
      <c r="BJ4972" s="2">
        <v>1.7</v>
      </c>
      <c r="BK4972" s="2">
        <v>2</v>
      </c>
      <c r="BL4972" s="2">
        <v>41.44</v>
      </c>
      <c r="BM4972" s="2">
        <v>5.8</v>
      </c>
      <c r="BN4972" s="2">
        <v>47.24</v>
      </c>
      <c r="BO4972" s="2">
        <v>47.24</v>
      </c>
      <c r="BP4972" s="2"/>
      <c r="BQ4972" s="2" t="s">
        <v>288</v>
      </c>
      <c r="BR4972" s="2" t="s">
        <v>84</v>
      </c>
      <c r="BS4972" s="3">
        <v>42955</v>
      </c>
      <c r="BT4972" s="4">
        <v>0.41875000000000001</v>
      </c>
      <c r="BU4972" s="2" t="s">
        <v>236</v>
      </c>
      <c r="BV4972" s="2" t="s">
        <v>95</v>
      </c>
      <c r="BW4972" s="2"/>
      <c r="BX4972" s="2"/>
      <c r="BY4972" s="2">
        <v>8639.4</v>
      </c>
      <c r="BZ4972" s="2"/>
      <c r="CA4972" s="2" t="s">
        <v>112</v>
      </c>
      <c r="CB4972" s="2"/>
      <c r="CC4972" s="2" t="s">
        <v>106</v>
      </c>
      <c r="CD4972" s="2">
        <v>7405</v>
      </c>
      <c r="CE4972" s="2" t="s">
        <v>104</v>
      </c>
      <c r="CF4972" s="5">
        <v>42955</v>
      </c>
      <c r="CG4972" s="2"/>
      <c r="CH4972" s="2"/>
      <c r="CI4972" s="2">
        <v>1</v>
      </c>
      <c r="CJ4972" s="2">
        <v>1</v>
      </c>
      <c r="CK4972" s="2">
        <v>21</v>
      </c>
      <c r="CL4972" s="2" t="s">
        <v>86</v>
      </c>
      <c r="CM4972" s="2"/>
    </row>
    <row r="4973" spans="1:91">
      <c r="A4973" s="2" t="s">
        <v>71</v>
      </c>
      <c r="B4973" s="2" t="s">
        <v>72</v>
      </c>
      <c r="C4973" s="2" t="s">
        <v>73</v>
      </c>
      <c r="D4973" s="2"/>
      <c r="E4973" s="2" t="str">
        <f>"FES1162567404"</f>
        <v>FES1162567404</v>
      </c>
      <c r="F4973" s="3">
        <v>42954</v>
      </c>
      <c r="G4973" s="2">
        <v>201802</v>
      </c>
      <c r="H4973" s="2" t="s">
        <v>74</v>
      </c>
      <c r="I4973" s="2" t="s">
        <v>75</v>
      </c>
      <c r="J4973" s="2" t="s">
        <v>76</v>
      </c>
      <c r="K4973" s="2" t="s">
        <v>77</v>
      </c>
      <c r="L4973" s="2" t="s">
        <v>105</v>
      </c>
      <c r="M4973" s="2" t="s">
        <v>106</v>
      </c>
      <c r="N4973" s="2" t="s">
        <v>107</v>
      </c>
      <c r="O4973" s="2" t="s">
        <v>100</v>
      </c>
      <c r="P4973" s="2" t="str">
        <f>"2170583556                    "</f>
        <v xml:space="preserve">2170583556                    </v>
      </c>
      <c r="Q4973" s="2">
        <v>0</v>
      </c>
      <c r="R4973" s="2">
        <v>0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0</v>
      </c>
      <c r="Y4973" s="2">
        <v>0</v>
      </c>
      <c r="Z4973" s="2">
        <v>0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0</v>
      </c>
      <c r="AI4973" s="2">
        <v>0</v>
      </c>
      <c r="AJ4973" s="2">
        <v>0</v>
      </c>
      <c r="AK4973" s="2">
        <v>0</v>
      </c>
      <c r="AL4973" s="2">
        <v>0</v>
      </c>
      <c r="AM4973" s="2">
        <v>8</v>
      </c>
      <c r="AN4973" s="2">
        <v>0</v>
      </c>
      <c r="AO4973" s="2">
        <v>0</v>
      </c>
      <c r="AP4973" s="2">
        <v>0</v>
      </c>
      <c r="AQ4973" s="2">
        <v>0</v>
      </c>
      <c r="AR4973" s="2">
        <v>0</v>
      </c>
      <c r="AS4973" s="2">
        <v>0</v>
      </c>
      <c r="AT4973" s="2">
        <v>0</v>
      </c>
      <c r="AU4973" s="2">
        <v>0</v>
      </c>
      <c r="AV4973" s="2">
        <v>0</v>
      </c>
      <c r="AW4973" s="2">
        <v>0</v>
      </c>
      <c r="AX4973" s="2">
        <v>0</v>
      </c>
      <c r="AY4973" s="2">
        <v>0</v>
      </c>
      <c r="AZ4973" s="2">
        <v>0</v>
      </c>
      <c r="BA4973" s="2">
        <v>0</v>
      </c>
      <c r="BB4973" s="2">
        <v>0</v>
      </c>
      <c r="BC4973" s="2">
        <v>0</v>
      </c>
      <c r="BD4973" s="2">
        <v>0</v>
      </c>
      <c r="BE4973" s="2">
        <v>0</v>
      </c>
      <c r="BF4973" s="2">
        <v>0</v>
      </c>
      <c r="BG4973" s="2">
        <v>0</v>
      </c>
      <c r="BH4973" s="2">
        <v>1</v>
      </c>
      <c r="BI4973" s="2">
        <v>0.3</v>
      </c>
      <c r="BJ4973" s="2">
        <v>3.6</v>
      </c>
      <c r="BK4973" s="2">
        <v>4</v>
      </c>
      <c r="BL4973" s="2">
        <v>82.88</v>
      </c>
      <c r="BM4973" s="2">
        <v>11.6</v>
      </c>
      <c r="BN4973" s="2">
        <v>94.48</v>
      </c>
      <c r="BO4973" s="2">
        <v>94.48</v>
      </c>
      <c r="BP4973" s="2"/>
      <c r="BQ4973" s="2" t="s">
        <v>108</v>
      </c>
      <c r="BR4973" s="2" t="s">
        <v>84</v>
      </c>
      <c r="BS4973" s="3">
        <v>42955</v>
      </c>
      <c r="BT4973" s="4">
        <v>0.41805555555555557</v>
      </c>
      <c r="BU4973" s="2" t="s">
        <v>236</v>
      </c>
      <c r="BV4973" s="2" t="s">
        <v>95</v>
      </c>
      <c r="BW4973" s="2"/>
      <c r="BX4973" s="2"/>
      <c r="BY4973" s="2">
        <v>17891.87</v>
      </c>
      <c r="BZ4973" s="2"/>
      <c r="CA4973" s="2" t="s">
        <v>112</v>
      </c>
      <c r="CB4973" s="2"/>
      <c r="CC4973" s="2" t="s">
        <v>106</v>
      </c>
      <c r="CD4973" s="2">
        <v>7405</v>
      </c>
      <c r="CE4973" s="2" t="s">
        <v>104</v>
      </c>
      <c r="CF4973" s="5">
        <v>42955</v>
      </c>
      <c r="CG4973" s="2"/>
      <c r="CH4973" s="2"/>
      <c r="CI4973" s="2">
        <v>1</v>
      </c>
      <c r="CJ4973" s="2">
        <v>1</v>
      </c>
      <c r="CK4973" s="2">
        <v>21</v>
      </c>
      <c r="CL4973" s="2" t="s">
        <v>86</v>
      </c>
      <c r="CM4973" s="2"/>
    </row>
    <row r="4974" spans="1:91">
      <c r="A4974" s="2" t="s">
        <v>71</v>
      </c>
      <c r="B4974" s="2" t="s">
        <v>72</v>
      </c>
      <c r="C4974" s="2" t="s">
        <v>73</v>
      </c>
      <c r="D4974" s="2"/>
      <c r="E4974" s="2" t="str">
        <f>"FES116567231"</f>
        <v>FES116567231</v>
      </c>
      <c r="F4974" s="3">
        <v>42954</v>
      </c>
      <c r="G4974" s="2">
        <v>201802</v>
      </c>
      <c r="H4974" s="2" t="s">
        <v>74</v>
      </c>
      <c r="I4974" s="2" t="s">
        <v>75</v>
      </c>
      <c r="J4974" s="2" t="s">
        <v>76</v>
      </c>
      <c r="K4974" s="2" t="s">
        <v>77</v>
      </c>
      <c r="L4974" s="2" t="s">
        <v>105</v>
      </c>
      <c r="M4974" s="2" t="s">
        <v>106</v>
      </c>
      <c r="N4974" s="2" t="s">
        <v>1857</v>
      </c>
      <c r="O4974" s="2" t="s">
        <v>100</v>
      </c>
      <c r="P4974" s="2" t="str">
        <f>"2170583385                    "</f>
        <v xml:space="preserve">2170583385                    </v>
      </c>
      <c r="Q4974" s="2">
        <v>0</v>
      </c>
      <c r="R4974" s="2">
        <v>0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0</v>
      </c>
      <c r="Y4974" s="2">
        <v>0</v>
      </c>
      <c r="Z4974" s="2">
        <v>0</v>
      </c>
      <c r="AA4974" s="2">
        <v>0</v>
      </c>
      <c r="AB4974" s="2">
        <v>0</v>
      </c>
      <c r="AC4974" s="2">
        <v>0</v>
      </c>
      <c r="AD4974" s="2">
        <v>0</v>
      </c>
      <c r="AE4974" s="2">
        <v>0</v>
      </c>
      <c r="AF4974" s="2">
        <v>0</v>
      </c>
      <c r="AG4974" s="2">
        <v>0</v>
      </c>
      <c r="AH4974" s="2">
        <v>0</v>
      </c>
      <c r="AI4974" s="2">
        <v>0</v>
      </c>
      <c r="AJ4974" s="2">
        <v>0</v>
      </c>
      <c r="AK4974" s="2">
        <v>0</v>
      </c>
      <c r="AL4974" s="2">
        <v>0</v>
      </c>
      <c r="AM4974" s="2">
        <v>4</v>
      </c>
      <c r="AN4974" s="2">
        <v>0</v>
      </c>
      <c r="AO4974" s="2">
        <v>0</v>
      </c>
      <c r="AP4974" s="2">
        <v>0</v>
      </c>
      <c r="AQ4974" s="2">
        <v>0</v>
      </c>
      <c r="AR4974" s="2">
        <v>0</v>
      </c>
      <c r="AS4974" s="2">
        <v>0</v>
      </c>
      <c r="AT4974" s="2">
        <v>0</v>
      </c>
      <c r="AU4974" s="2">
        <v>0</v>
      </c>
      <c r="AV4974" s="2">
        <v>0</v>
      </c>
      <c r="AW4974" s="2">
        <v>0</v>
      </c>
      <c r="AX4974" s="2">
        <v>0</v>
      </c>
      <c r="AY4974" s="2">
        <v>0</v>
      </c>
      <c r="AZ4974" s="2">
        <v>0</v>
      </c>
      <c r="BA4974" s="2">
        <v>0</v>
      </c>
      <c r="BB4974" s="2">
        <v>0</v>
      </c>
      <c r="BC4974" s="2">
        <v>0</v>
      </c>
      <c r="BD4974" s="2">
        <v>0</v>
      </c>
      <c r="BE4974" s="2">
        <v>0</v>
      </c>
      <c r="BF4974" s="2">
        <v>0</v>
      </c>
      <c r="BG4974" s="2">
        <v>0</v>
      </c>
      <c r="BH4974" s="2">
        <v>1</v>
      </c>
      <c r="BI4974" s="2">
        <v>1.4</v>
      </c>
      <c r="BJ4974" s="2">
        <v>1.7</v>
      </c>
      <c r="BK4974" s="2">
        <v>2</v>
      </c>
      <c r="BL4974" s="2">
        <v>41.44</v>
      </c>
      <c r="BM4974" s="2">
        <v>5.8</v>
      </c>
      <c r="BN4974" s="2">
        <v>47.24</v>
      </c>
      <c r="BO4974" s="2">
        <v>47.24</v>
      </c>
      <c r="BP4974" s="2"/>
      <c r="BQ4974" s="2" t="s">
        <v>83</v>
      </c>
      <c r="BR4974" s="2" t="s">
        <v>84</v>
      </c>
      <c r="BS4974" s="3">
        <v>42955</v>
      </c>
      <c r="BT4974" s="4">
        <v>0.41666666666666669</v>
      </c>
      <c r="BU4974" s="2" t="s">
        <v>622</v>
      </c>
      <c r="BV4974" s="2" t="s">
        <v>95</v>
      </c>
      <c r="BW4974" s="2"/>
      <c r="BX4974" s="2"/>
      <c r="BY4974" s="2">
        <v>8469.24</v>
      </c>
      <c r="BZ4974" s="2"/>
      <c r="CA4974" s="2"/>
      <c r="CB4974" s="2"/>
      <c r="CC4974" s="2" t="s">
        <v>106</v>
      </c>
      <c r="CD4974" s="2">
        <v>7441</v>
      </c>
      <c r="CE4974" s="2" t="s">
        <v>104</v>
      </c>
      <c r="CF4974" s="5">
        <v>42957</v>
      </c>
      <c r="CG4974" s="2"/>
      <c r="CH4974" s="2"/>
      <c r="CI4974" s="2">
        <v>1</v>
      </c>
      <c r="CJ4974" s="2">
        <v>1</v>
      </c>
      <c r="CK4974" s="2">
        <v>21</v>
      </c>
      <c r="CL4974" s="2" t="s">
        <v>86</v>
      </c>
      <c r="CM4974" s="2"/>
    </row>
    <row r="4975" spans="1:91">
      <c r="A4975" s="2" t="s">
        <v>71</v>
      </c>
      <c r="B4975" s="2" t="s">
        <v>72</v>
      </c>
      <c r="C4975" s="2" t="s">
        <v>73</v>
      </c>
      <c r="D4975" s="2"/>
      <c r="E4975" s="2" t="str">
        <f>"FES1162567324"</f>
        <v>FES1162567324</v>
      </c>
      <c r="F4975" s="3">
        <v>42954</v>
      </c>
      <c r="G4975" s="2">
        <v>201802</v>
      </c>
      <c r="H4975" s="2" t="s">
        <v>74</v>
      </c>
      <c r="I4975" s="2" t="s">
        <v>75</v>
      </c>
      <c r="J4975" s="2" t="s">
        <v>76</v>
      </c>
      <c r="K4975" s="2" t="s">
        <v>77</v>
      </c>
      <c r="L4975" s="2" t="s">
        <v>144</v>
      </c>
      <c r="M4975" s="2" t="s">
        <v>145</v>
      </c>
      <c r="N4975" s="2" t="s">
        <v>295</v>
      </c>
      <c r="O4975" s="2" t="s">
        <v>100</v>
      </c>
      <c r="P4975" s="2" t="str">
        <f>"2170582797                    "</f>
        <v xml:space="preserve">2170582797                    </v>
      </c>
      <c r="Q4975" s="2">
        <v>0</v>
      </c>
      <c r="R4975" s="2">
        <v>0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0</v>
      </c>
      <c r="Y4975" s="2">
        <v>0</v>
      </c>
      <c r="Z4975" s="2">
        <v>0</v>
      </c>
      <c r="AA4975" s="2">
        <v>0</v>
      </c>
      <c r="AB4975" s="2">
        <v>0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3.13</v>
      </c>
      <c r="AN4975" s="2">
        <v>0</v>
      </c>
      <c r="AO4975" s="2">
        <v>0</v>
      </c>
      <c r="AP4975" s="2">
        <v>0</v>
      </c>
      <c r="AQ4975" s="2">
        <v>0</v>
      </c>
      <c r="AR4975" s="2">
        <v>0</v>
      </c>
      <c r="AS4975" s="2">
        <v>0</v>
      </c>
      <c r="AT4975" s="2">
        <v>0</v>
      </c>
      <c r="AU4975" s="2">
        <v>0</v>
      </c>
      <c r="AV4975" s="2">
        <v>0</v>
      </c>
      <c r="AW4975" s="2">
        <v>0</v>
      </c>
      <c r="AX4975" s="2">
        <v>0</v>
      </c>
      <c r="AY4975" s="2">
        <v>0</v>
      </c>
      <c r="AZ4975" s="2">
        <v>0</v>
      </c>
      <c r="BA4975" s="2">
        <v>0</v>
      </c>
      <c r="BB4975" s="2">
        <v>0</v>
      </c>
      <c r="BC4975" s="2">
        <v>0</v>
      </c>
      <c r="BD4975" s="2">
        <v>0</v>
      </c>
      <c r="BE4975" s="2">
        <v>0</v>
      </c>
      <c r="BF4975" s="2">
        <v>0</v>
      </c>
      <c r="BG4975" s="2">
        <v>0</v>
      </c>
      <c r="BH4975" s="2">
        <v>1</v>
      </c>
      <c r="BI4975" s="2">
        <v>1.9</v>
      </c>
      <c r="BJ4975" s="2">
        <v>1.8</v>
      </c>
      <c r="BK4975" s="2">
        <v>2</v>
      </c>
      <c r="BL4975" s="2">
        <v>32.380000000000003</v>
      </c>
      <c r="BM4975" s="2">
        <v>4.53</v>
      </c>
      <c r="BN4975" s="2">
        <v>36.909999999999997</v>
      </c>
      <c r="BO4975" s="2">
        <v>36.909999999999997</v>
      </c>
      <c r="BP4975" s="2"/>
      <c r="BQ4975" s="2" t="s">
        <v>296</v>
      </c>
      <c r="BR4975" s="2" t="s">
        <v>84</v>
      </c>
      <c r="BS4975" s="3">
        <v>42955</v>
      </c>
      <c r="BT4975" s="4">
        <v>0.35555555555555557</v>
      </c>
      <c r="BU4975" s="2" t="s">
        <v>3551</v>
      </c>
      <c r="BV4975" s="2" t="s">
        <v>95</v>
      </c>
      <c r="BW4975" s="2"/>
      <c r="BX4975" s="2"/>
      <c r="BY4975" s="2">
        <v>9216.7999999999993</v>
      </c>
      <c r="BZ4975" s="2"/>
      <c r="CA4975" s="2" t="s">
        <v>1355</v>
      </c>
      <c r="CB4975" s="2"/>
      <c r="CC4975" s="2" t="s">
        <v>145</v>
      </c>
      <c r="CD4975" s="2">
        <v>2013</v>
      </c>
      <c r="CE4975" s="2" t="s">
        <v>104</v>
      </c>
      <c r="CF4975" s="5">
        <v>42957</v>
      </c>
      <c r="CG4975" s="2"/>
      <c r="CH4975" s="2"/>
      <c r="CI4975" s="2">
        <v>1</v>
      </c>
      <c r="CJ4975" s="2">
        <v>1</v>
      </c>
      <c r="CK4975" s="2">
        <v>22</v>
      </c>
      <c r="CL4975" s="2" t="s">
        <v>86</v>
      </c>
      <c r="CM4975" s="2"/>
    </row>
    <row r="4976" spans="1:91">
      <c r="A4976" s="2" t="s">
        <v>71</v>
      </c>
      <c r="B4976" s="2" t="s">
        <v>72</v>
      </c>
      <c r="C4976" s="2" t="s">
        <v>73</v>
      </c>
      <c r="D4976" s="2"/>
      <c r="E4976" s="2" t="str">
        <f>"FES1162567369"</f>
        <v>FES1162567369</v>
      </c>
      <c r="F4976" s="3">
        <v>42954</v>
      </c>
      <c r="G4976" s="2">
        <v>201802</v>
      </c>
      <c r="H4976" s="2" t="s">
        <v>74</v>
      </c>
      <c r="I4976" s="2" t="s">
        <v>75</v>
      </c>
      <c r="J4976" s="2" t="s">
        <v>76</v>
      </c>
      <c r="K4976" s="2" t="s">
        <v>77</v>
      </c>
      <c r="L4976" s="2" t="s">
        <v>105</v>
      </c>
      <c r="M4976" s="2" t="s">
        <v>106</v>
      </c>
      <c r="N4976" s="2" t="s">
        <v>4308</v>
      </c>
      <c r="O4976" s="2" t="s">
        <v>100</v>
      </c>
      <c r="P4976" s="2" t="str">
        <f>"2170583534                    "</f>
        <v xml:space="preserve">2170583534                    </v>
      </c>
      <c r="Q4976" s="2">
        <v>0</v>
      </c>
      <c r="R4976" s="2">
        <v>0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>
        <v>0</v>
      </c>
      <c r="Y4976" s="2">
        <v>0</v>
      </c>
      <c r="Z4976" s="2">
        <v>0</v>
      </c>
      <c r="AA4976" s="2">
        <v>0</v>
      </c>
      <c r="AB4976" s="2">
        <v>0</v>
      </c>
      <c r="AC4976" s="2">
        <v>0</v>
      </c>
      <c r="AD4976" s="2">
        <v>0</v>
      </c>
      <c r="AE4976" s="2">
        <v>0</v>
      </c>
      <c r="AF4976" s="2">
        <v>0</v>
      </c>
      <c r="AG4976" s="2">
        <v>0</v>
      </c>
      <c r="AH4976" s="2">
        <v>0</v>
      </c>
      <c r="AI4976" s="2">
        <v>0</v>
      </c>
      <c r="AJ4976" s="2">
        <v>0</v>
      </c>
      <c r="AK4976" s="2">
        <v>0</v>
      </c>
      <c r="AL4976" s="2">
        <v>0</v>
      </c>
      <c r="AM4976" s="2">
        <v>4</v>
      </c>
      <c r="AN4976" s="2">
        <v>0</v>
      </c>
      <c r="AO4976" s="2">
        <v>0</v>
      </c>
      <c r="AP4976" s="2">
        <v>0</v>
      </c>
      <c r="AQ4976" s="2">
        <v>0</v>
      </c>
      <c r="AR4976" s="2">
        <v>0</v>
      </c>
      <c r="AS4976" s="2">
        <v>0</v>
      </c>
      <c r="AT4976" s="2">
        <v>0</v>
      </c>
      <c r="AU4976" s="2">
        <v>0</v>
      </c>
      <c r="AV4976" s="2">
        <v>0</v>
      </c>
      <c r="AW4976" s="2">
        <v>0</v>
      </c>
      <c r="AX4976" s="2">
        <v>0</v>
      </c>
      <c r="AY4976" s="2">
        <v>0</v>
      </c>
      <c r="AZ4976" s="2">
        <v>0</v>
      </c>
      <c r="BA4976" s="2">
        <v>0</v>
      </c>
      <c r="BB4976" s="2">
        <v>0</v>
      </c>
      <c r="BC4976" s="2">
        <v>0</v>
      </c>
      <c r="BD4976" s="2">
        <v>0</v>
      </c>
      <c r="BE4976" s="2">
        <v>0</v>
      </c>
      <c r="BF4976" s="2">
        <v>0</v>
      </c>
      <c r="BG4976" s="2">
        <v>0</v>
      </c>
      <c r="BH4976" s="2">
        <v>1</v>
      </c>
      <c r="BI4976" s="2">
        <v>0.3</v>
      </c>
      <c r="BJ4976" s="2">
        <v>1.1000000000000001</v>
      </c>
      <c r="BK4976" s="2">
        <v>1.5</v>
      </c>
      <c r="BL4976" s="2">
        <v>41.44</v>
      </c>
      <c r="BM4976" s="2">
        <v>5.8</v>
      </c>
      <c r="BN4976" s="2">
        <v>47.24</v>
      </c>
      <c r="BO4976" s="2">
        <v>47.24</v>
      </c>
      <c r="BP4976" s="2"/>
      <c r="BQ4976" s="2" t="s">
        <v>83</v>
      </c>
      <c r="BR4976" s="2" t="s">
        <v>84</v>
      </c>
      <c r="BS4976" s="3">
        <v>42955</v>
      </c>
      <c r="BT4976" s="4">
        <v>0.41666666666666669</v>
      </c>
      <c r="BU4976" s="2" t="s">
        <v>4309</v>
      </c>
      <c r="BV4976" s="2" t="s">
        <v>95</v>
      </c>
      <c r="BW4976" s="2"/>
      <c r="BX4976" s="2"/>
      <c r="BY4976" s="2">
        <v>5507.27</v>
      </c>
      <c r="BZ4976" s="2"/>
      <c r="CA4976" s="2"/>
      <c r="CB4976" s="2"/>
      <c r="CC4976" s="2" t="s">
        <v>106</v>
      </c>
      <c r="CD4976" s="2">
        <v>7405</v>
      </c>
      <c r="CE4976" s="2" t="s">
        <v>104</v>
      </c>
      <c r="CF4976" s="5">
        <v>42957</v>
      </c>
      <c r="CG4976" s="2"/>
      <c r="CH4976" s="2"/>
      <c r="CI4976" s="2">
        <v>1</v>
      </c>
      <c r="CJ4976" s="2">
        <v>1</v>
      </c>
      <c r="CK4976" s="2">
        <v>21</v>
      </c>
      <c r="CL4976" s="2" t="s">
        <v>86</v>
      </c>
      <c r="CM4976" s="2"/>
    </row>
    <row r="4977" spans="1:91">
      <c r="A4977" s="2" t="s">
        <v>71</v>
      </c>
      <c r="B4977" s="2" t="s">
        <v>72</v>
      </c>
      <c r="C4977" s="2" t="s">
        <v>73</v>
      </c>
      <c r="D4977" s="2"/>
      <c r="E4977" s="2" t="str">
        <f>"FES1162566486"</f>
        <v>FES1162566486</v>
      </c>
      <c r="F4977" s="3">
        <v>42954</v>
      </c>
      <c r="G4977" s="2">
        <v>201802</v>
      </c>
      <c r="H4977" s="2" t="s">
        <v>74</v>
      </c>
      <c r="I4977" s="2" t="s">
        <v>75</v>
      </c>
      <c r="J4977" s="2" t="s">
        <v>76</v>
      </c>
      <c r="K4977" s="2" t="s">
        <v>77</v>
      </c>
      <c r="L4977" s="2" t="s">
        <v>105</v>
      </c>
      <c r="M4977" s="2" t="s">
        <v>106</v>
      </c>
      <c r="N4977" s="2" t="s">
        <v>873</v>
      </c>
      <c r="O4977" s="2" t="s">
        <v>100</v>
      </c>
      <c r="P4977" s="2" t="str">
        <f>"2170580695                    "</f>
        <v xml:space="preserve">2170580695                    </v>
      </c>
      <c r="Q4977" s="2">
        <v>0</v>
      </c>
      <c r="R4977" s="2">
        <v>0</v>
      </c>
      <c r="S4977" s="2">
        <v>0</v>
      </c>
      <c r="T4977" s="2">
        <v>0</v>
      </c>
      <c r="U4977" s="2">
        <v>0</v>
      </c>
      <c r="V4977" s="2">
        <v>0</v>
      </c>
      <c r="W4977" s="2">
        <v>0</v>
      </c>
      <c r="X4977" s="2">
        <v>0</v>
      </c>
      <c r="Y4977" s="2">
        <v>0</v>
      </c>
      <c r="Z4977" s="2">
        <v>0</v>
      </c>
      <c r="AA4977" s="2">
        <v>0</v>
      </c>
      <c r="AB4977" s="2">
        <v>0</v>
      </c>
      <c r="AC4977" s="2">
        <v>0</v>
      </c>
      <c r="AD4977" s="2">
        <v>0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0</v>
      </c>
      <c r="AL4977" s="2">
        <v>0</v>
      </c>
      <c r="AM4977" s="2">
        <v>4</v>
      </c>
      <c r="AN4977" s="2">
        <v>0</v>
      </c>
      <c r="AO4977" s="2">
        <v>0</v>
      </c>
      <c r="AP4977" s="2">
        <v>0</v>
      </c>
      <c r="AQ4977" s="2">
        <v>0</v>
      </c>
      <c r="AR4977" s="2">
        <v>0</v>
      </c>
      <c r="AS4977" s="2">
        <v>0</v>
      </c>
      <c r="AT4977" s="2">
        <v>0</v>
      </c>
      <c r="AU4977" s="2">
        <v>0</v>
      </c>
      <c r="AV4977" s="2">
        <v>0</v>
      </c>
      <c r="AW4977" s="2">
        <v>0</v>
      </c>
      <c r="AX4977" s="2">
        <v>0</v>
      </c>
      <c r="AY4977" s="2">
        <v>0</v>
      </c>
      <c r="AZ4977" s="2">
        <v>0</v>
      </c>
      <c r="BA4977" s="2">
        <v>0</v>
      </c>
      <c r="BB4977" s="2">
        <v>0</v>
      </c>
      <c r="BC4977" s="2">
        <v>0</v>
      </c>
      <c r="BD4977" s="2">
        <v>0</v>
      </c>
      <c r="BE4977" s="2">
        <v>0</v>
      </c>
      <c r="BF4977" s="2">
        <v>0</v>
      </c>
      <c r="BG4977" s="2">
        <v>0</v>
      </c>
      <c r="BH4977" s="2">
        <v>1</v>
      </c>
      <c r="BI4977" s="2">
        <v>1</v>
      </c>
      <c r="BJ4977" s="2">
        <v>0.2</v>
      </c>
      <c r="BK4977" s="2">
        <v>1</v>
      </c>
      <c r="BL4977" s="2">
        <v>41.44</v>
      </c>
      <c r="BM4977" s="2">
        <v>5.8</v>
      </c>
      <c r="BN4977" s="2">
        <v>47.24</v>
      </c>
      <c r="BO4977" s="2">
        <v>47.24</v>
      </c>
      <c r="BP4977" s="2"/>
      <c r="BQ4977" s="2" t="s">
        <v>83</v>
      </c>
      <c r="BR4977" s="2" t="s">
        <v>84</v>
      </c>
      <c r="BS4977" s="3">
        <v>42955</v>
      </c>
      <c r="BT4977" s="4">
        <v>0.3576388888888889</v>
      </c>
      <c r="BU4977" s="2" t="s">
        <v>4310</v>
      </c>
      <c r="BV4977" s="2" t="s">
        <v>95</v>
      </c>
      <c r="BW4977" s="2"/>
      <c r="BX4977" s="2"/>
      <c r="BY4977" s="2">
        <v>1200</v>
      </c>
      <c r="BZ4977" s="2"/>
      <c r="CA4977" s="2" t="s">
        <v>869</v>
      </c>
      <c r="CB4977" s="2"/>
      <c r="CC4977" s="2" t="s">
        <v>106</v>
      </c>
      <c r="CD4977" s="2">
        <v>7460</v>
      </c>
      <c r="CE4977" s="2" t="s">
        <v>104</v>
      </c>
      <c r="CF4977" s="5">
        <v>42957</v>
      </c>
      <c r="CG4977" s="2"/>
      <c r="CH4977" s="2"/>
      <c r="CI4977" s="2">
        <v>1</v>
      </c>
      <c r="CJ4977" s="2">
        <v>1</v>
      </c>
      <c r="CK4977" s="2">
        <v>21</v>
      </c>
      <c r="CL4977" s="2" t="s">
        <v>86</v>
      </c>
      <c r="CM4977" s="2"/>
    </row>
    <row r="4978" spans="1:91">
      <c r="A4978" s="2" t="s">
        <v>71</v>
      </c>
      <c r="B4978" s="2" t="s">
        <v>72</v>
      </c>
      <c r="C4978" s="2" t="s">
        <v>73</v>
      </c>
      <c r="D4978" s="2"/>
      <c r="E4978" s="2" t="str">
        <f>"FES1162567465"</f>
        <v>FES1162567465</v>
      </c>
      <c r="F4978" s="3">
        <v>42954</v>
      </c>
      <c r="G4978" s="2">
        <v>201802</v>
      </c>
      <c r="H4978" s="2" t="s">
        <v>74</v>
      </c>
      <c r="I4978" s="2" t="s">
        <v>75</v>
      </c>
      <c r="J4978" s="2" t="s">
        <v>76</v>
      </c>
      <c r="K4978" s="2" t="s">
        <v>77</v>
      </c>
      <c r="L4978" s="2" t="s">
        <v>105</v>
      </c>
      <c r="M4978" s="2" t="s">
        <v>106</v>
      </c>
      <c r="N4978" s="2" t="s">
        <v>287</v>
      </c>
      <c r="O4978" s="2" t="s">
        <v>100</v>
      </c>
      <c r="P4978" s="2" t="str">
        <f>"2170583626                    "</f>
        <v xml:space="preserve">2170583626                    </v>
      </c>
      <c r="Q4978" s="2">
        <v>0</v>
      </c>
      <c r="R4978" s="2">
        <v>0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0</v>
      </c>
      <c r="Y4978" s="2">
        <v>0</v>
      </c>
      <c r="Z4978" s="2">
        <v>0</v>
      </c>
      <c r="AA4978" s="2">
        <v>0</v>
      </c>
      <c r="AB4978" s="2">
        <v>0</v>
      </c>
      <c r="AC4978" s="2">
        <v>0</v>
      </c>
      <c r="AD4978" s="2">
        <v>0</v>
      </c>
      <c r="AE4978" s="2">
        <v>0</v>
      </c>
      <c r="AF4978" s="2">
        <v>0</v>
      </c>
      <c r="AG4978" s="2">
        <v>0</v>
      </c>
      <c r="AH4978" s="2">
        <v>0</v>
      </c>
      <c r="AI4978" s="2">
        <v>0</v>
      </c>
      <c r="AJ4978" s="2">
        <v>0</v>
      </c>
      <c r="AK4978" s="2">
        <v>0</v>
      </c>
      <c r="AL4978" s="2">
        <v>0</v>
      </c>
      <c r="AM4978" s="2">
        <v>4</v>
      </c>
      <c r="AN4978" s="2">
        <v>0</v>
      </c>
      <c r="AO4978" s="2">
        <v>0</v>
      </c>
      <c r="AP4978" s="2">
        <v>0</v>
      </c>
      <c r="AQ4978" s="2">
        <v>0</v>
      </c>
      <c r="AR4978" s="2">
        <v>0</v>
      </c>
      <c r="AS4978" s="2">
        <v>0</v>
      </c>
      <c r="AT4978" s="2">
        <v>0</v>
      </c>
      <c r="AU4978" s="2">
        <v>0</v>
      </c>
      <c r="AV4978" s="2">
        <v>0</v>
      </c>
      <c r="AW4978" s="2">
        <v>0</v>
      </c>
      <c r="AX4978" s="2">
        <v>0</v>
      </c>
      <c r="AY4978" s="2">
        <v>0</v>
      </c>
      <c r="AZ4978" s="2">
        <v>0</v>
      </c>
      <c r="BA4978" s="2">
        <v>0</v>
      </c>
      <c r="BB4978" s="2">
        <v>0</v>
      </c>
      <c r="BC4978" s="2">
        <v>0</v>
      </c>
      <c r="BD4978" s="2">
        <v>0</v>
      </c>
      <c r="BE4978" s="2">
        <v>0</v>
      </c>
      <c r="BF4978" s="2">
        <v>0</v>
      </c>
      <c r="BG4978" s="2">
        <v>0</v>
      </c>
      <c r="BH4978" s="2">
        <v>1</v>
      </c>
      <c r="BI4978" s="2">
        <v>1</v>
      </c>
      <c r="BJ4978" s="2">
        <v>0.2</v>
      </c>
      <c r="BK4978" s="2">
        <v>1</v>
      </c>
      <c r="BL4978" s="2">
        <v>41.44</v>
      </c>
      <c r="BM4978" s="2">
        <v>5.8</v>
      </c>
      <c r="BN4978" s="2">
        <v>47.24</v>
      </c>
      <c r="BO4978" s="2">
        <v>47.24</v>
      </c>
      <c r="BP4978" s="2"/>
      <c r="BQ4978" s="2" t="s">
        <v>4039</v>
      </c>
      <c r="BR4978" s="2" t="s">
        <v>84</v>
      </c>
      <c r="BS4978" s="3">
        <v>42955</v>
      </c>
      <c r="BT4978" s="4">
        <v>0.41666666666666669</v>
      </c>
      <c r="BU4978" s="2" t="s">
        <v>4268</v>
      </c>
      <c r="BV4978" s="2" t="s">
        <v>95</v>
      </c>
      <c r="BW4978" s="2"/>
      <c r="BX4978" s="2"/>
      <c r="BY4978" s="2">
        <v>1200</v>
      </c>
      <c r="BZ4978" s="2"/>
      <c r="CA4978" s="2"/>
      <c r="CB4978" s="2"/>
      <c r="CC4978" s="2" t="s">
        <v>106</v>
      </c>
      <c r="CD4978" s="2">
        <v>7441</v>
      </c>
      <c r="CE4978" s="2" t="s">
        <v>104</v>
      </c>
      <c r="CF4978" s="5">
        <v>42957</v>
      </c>
      <c r="CG4978" s="2"/>
      <c r="CH4978" s="2"/>
      <c r="CI4978" s="2">
        <v>1</v>
      </c>
      <c r="CJ4978" s="2">
        <v>1</v>
      </c>
      <c r="CK4978" s="2">
        <v>21</v>
      </c>
      <c r="CL4978" s="2" t="s">
        <v>86</v>
      </c>
      <c r="CM4978" s="2"/>
    </row>
    <row r="4979" spans="1:91">
      <c r="A4979" s="2" t="s">
        <v>71</v>
      </c>
      <c r="B4979" s="2" t="s">
        <v>72</v>
      </c>
      <c r="C4979" s="2" t="s">
        <v>73</v>
      </c>
      <c r="D4979" s="2"/>
      <c r="E4979" s="2" t="str">
        <f>"FES1162567266"</f>
        <v>FES1162567266</v>
      </c>
      <c r="F4979" s="3">
        <v>42954</v>
      </c>
      <c r="G4979" s="2">
        <v>201802</v>
      </c>
      <c r="H4979" s="2" t="s">
        <v>74</v>
      </c>
      <c r="I4979" s="2" t="s">
        <v>75</v>
      </c>
      <c r="J4979" s="2" t="s">
        <v>76</v>
      </c>
      <c r="K4979" s="2" t="s">
        <v>77</v>
      </c>
      <c r="L4979" s="2" t="s">
        <v>105</v>
      </c>
      <c r="M4979" s="2" t="s">
        <v>106</v>
      </c>
      <c r="N4979" s="2" t="s">
        <v>1484</v>
      </c>
      <c r="O4979" s="2" t="s">
        <v>100</v>
      </c>
      <c r="P4979" s="2" t="str">
        <f>"2170583421                    "</f>
        <v xml:space="preserve">2170583421                    </v>
      </c>
      <c r="Q4979" s="2">
        <v>0</v>
      </c>
      <c r="R4979" s="2">
        <v>0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0</v>
      </c>
      <c r="Y4979" s="2">
        <v>0</v>
      </c>
      <c r="Z4979" s="2">
        <v>0</v>
      </c>
      <c r="AA4979" s="2">
        <v>0</v>
      </c>
      <c r="AB4979" s="2">
        <v>0</v>
      </c>
      <c r="AC4979" s="2">
        <v>0</v>
      </c>
      <c r="AD4979" s="2">
        <v>0</v>
      </c>
      <c r="AE4979" s="2">
        <v>0</v>
      </c>
      <c r="AF4979" s="2">
        <v>0</v>
      </c>
      <c r="AG4979" s="2">
        <v>0</v>
      </c>
      <c r="AH4979" s="2">
        <v>0</v>
      </c>
      <c r="AI4979" s="2">
        <v>0</v>
      </c>
      <c r="AJ4979" s="2">
        <v>0</v>
      </c>
      <c r="AK4979" s="2">
        <v>0</v>
      </c>
      <c r="AL4979" s="2">
        <v>0</v>
      </c>
      <c r="AM4979" s="2">
        <v>4</v>
      </c>
      <c r="AN4979" s="2">
        <v>0</v>
      </c>
      <c r="AO4979" s="2">
        <v>0</v>
      </c>
      <c r="AP4979" s="2">
        <v>0</v>
      </c>
      <c r="AQ4979" s="2">
        <v>0</v>
      </c>
      <c r="AR4979" s="2">
        <v>0</v>
      </c>
      <c r="AS4979" s="2">
        <v>0</v>
      </c>
      <c r="AT4979" s="2">
        <v>0</v>
      </c>
      <c r="AU4979" s="2">
        <v>0</v>
      </c>
      <c r="AV4979" s="2">
        <v>0</v>
      </c>
      <c r="AW4979" s="2">
        <v>0</v>
      </c>
      <c r="AX4979" s="2">
        <v>0</v>
      </c>
      <c r="AY4979" s="2">
        <v>0</v>
      </c>
      <c r="AZ4979" s="2">
        <v>0</v>
      </c>
      <c r="BA4979" s="2">
        <v>0</v>
      </c>
      <c r="BB4979" s="2">
        <v>0</v>
      </c>
      <c r="BC4979" s="2">
        <v>0</v>
      </c>
      <c r="BD4979" s="2">
        <v>0</v>
      </c>
      <c r="BE4979" s="2">
        <v>0</v>
      </c>
      <c r="BF4979" s="2">
        <v>0</v>
      </c>
      <c r="BG4979" s="2">
        <v>0</v>
      </c>
      <c r="BH4979" s="2">
        <v>1</v>
      </c>
      <c r="BI4979" s="2">
        <v>1</v>
      </c>
      <c r="BJ4979" s="2">
        <v>0.2</v>
      </c>
      <c r="BK4979" s="2">
        <v>1</v>
      </c>
      <c r="BL4979" s="2">
        <v>41.44</v>
      </c>
      <c r="BM4979" s="2">
        <v>5.8</v>
      </c>
      <c r="BN4979" s="2">
        <v>47.24</v>
      </c>
      <c r="BO4979" s="2">
        <v>47.24</v>
      </c>
      <c r="BP4979" s="2"/>
      <c r="BQ4979" s="2" t="s">
        <v>83</v>
      </c>
      <c r="BR4979" s="2" t="s">
        <v>84</v>
      </c>
      <c r="BS4979" s="3">
        <v>42955</v>
      </c>
      <c r="BT4979" s="4">
        <v>0.35902777777777778</v>
      </c>
      <c r="BU4979" s="2" t="s">
        <v>1485</v>
      </c>
      <c r="BV4979" s="2" t="s">
        <v>95</v>
      </c>
      <c r="BW4979" s="2"/>
      <c r="BX4979" s="2"/>
      <c r="BY4979" s="2">
        <v>1200</v>
      </c>
      <c r="BZ4979" s="2"/>
      <c r="CA4979" s="2" t="s">
        <v>748</v>
      </c>
      <c r="CB4979" s="2"/>
      <c r="CC4979" s="2" t="s">
        <v>106</v>
      </c>
      <c r="CD4979" s="2">
        <v>7441</v>
      </c>
      <c r="CE4979" s="2" t="s">
        <v>104</v>
      </c>
      <c r="CF4979" s="5">
        <v>42957</v>
      </c>
      <c r="CG4979" s="2"/>
      <c r="CH4979" s="2"/>
      <c r="CI4979" s="2">
        <v>1</v>
      </c>
      <c r="CJ4979" s="2">
        <v>1</v>
      </c>
      <c r="CK4979" s="2">
        <v>21</v>
      </c>
      <c r="CL4979" s="2" t="s">
        <v>86</v>
      </c>
      <c r="CM4979" s="2"/>
    </row>
    <row r="4980" spans="1:91">
      <c r="A4980" s="2"/>
      <c r="B4980" s="2"/>
      <c r="C4980" s="2"/>
      <c r="D4980" s="2"/>
      <c r="E4980" s="2"/>
      <c r="F4980" s="1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1"/>
      <c r="BT4980" s="2"/>
      <c r="BU4980" s="2"/>
      <c r="BV4980" s="2"/>
      <c r="BW4980" s="2"/>
      <c r="BX4980" s="2"/>
      <c r="BY4980" s="2"/>
      <c r="BZ4980" s="2"/>
      <c r="CA4980" s="2"/>
      <c r="CB4980" s="2"/>
      <c r="CC4980" s="2"/>
      <c r="CD4980" s="2"/>
      <c r="CE4980" s="2"/>
      <c r="CF4980" s="2"/>
      <c r="CG4980" s="2"/>
      <c r="CH4980" s="2"/>
      <c r="CI4980" s="2"/>
      <c r="CJ4980" s="2"/>
      <c r="CK4980" s="2"/>
      <c r="CL4980" s="2"/>
      <c r="CM4980" s="2"/>
    </row>
    <row r="4981" spans="1:91">
      <c r="A4981" s="1"/>
      <c r="B4981" s="1"/>
      <c r="C4981" s="1"/>
      <c r="D4981" s="1"/>
      <c r="E4981" s="1" t="s">
        <v>4311</v>
      </c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>
        <v>0</v>
      </c>
      <c r="R4981" s="1">
        <v>0</v>
      </c>
      <c r="S4981" s="1">
        <v>0</v>
      </c>
      <c r="T4981" s="1">
        <v>0</v>
      </c>
      <c r="U4981" s="1">
        <v>0</v>
      </c>
      <c r="V4981" s="1">
        <v>0</v>
      </c>
      <c r="W4981" s="1">
        <v>0</v>
      </c>
      <c r="X4981" s="1">
        <v>0</v>
      </c>
      <c r="Y4981" s="1">
        <v>0</v>
      </c>
      <c r="Z4981" s="1">
        <v>0</v>
      </c>
      <c r="AA4981" s="1">
        <v>0</v>
      </c>
      <c r="AB4981" s="1">
        <v>0</v>
      </c>
      <c r="AC4981" s="1">
        <v>0</v>
      </c>
      <c r="AD4981" s="1">
        <v>0</v>
      </c>
      <c r="AE4981" s="1">
        <v>1404</v>
      </c>
      <c r="AF4981" s="1">
        <v>0</v>
      </c>
      <c r="AG4981" s="1">
        <v>0</v>
      </c>
      <c r="AH4981" s="1">
        <v>0</v>
      </c>
      <c r="AI4981" s="1">
        <v>0</v>
      </c>
      <c r="AJ4981" s="1">
        <v>0</v>
      </c>
      <c r="AK4981" s="1">
        <v>0</v>
      </c>
      <c r="AL4981" s="1">
        <v>0</v>
      </c>
      <c r="AM4981" s="1">
        <v>29917.52</v>
      </c>
      <c r="AN4981" s="1">
        <v>0</v>
      </c>
      <c r="AO4981" s="1">
        <v>0</v>
      </c>
      <c r="AP4981" s="1">
        <v>0</v>
      </c>
      <c r="AQ4981" s="1">
        <v>0</v>
      </c>
      <c r="AR4981" s="1">
        <v>0</v>
      </c>
      <c r="AS4981" s="1">
        <v>0</v>
      </c>
      <c r="AT4981" s="1">
        <v>0</v>
      </c>
      <c r="AU4981" s="1">
        <v>0</v>
      </c>
      <c r="AV4981" s="1">
        <v>0</v>
      </c>
      <c r="AW4981" s="1">
        <v>0</v>
      </c>
      <c r="AX4981" s="1">
        <v>0</v>
      </c>
      <c r="AY4981" s="1">
        <v>0</v>
      </c>
      <c r="AZ4981" s="1">
        <v>0</v>
      </c>
      <c r="BA4981" s="1">
        <v>0</v>
      </c>
      <c r="BB4981" s="1">
        <v>0</v>
      </c>
      <c r="BC4981" s="1">
        <v>0</v>
      </c>
      <c r="BD4981" s="1">
        <v>0</v>
      </c>
      <c r="BE4981" s="1">
        <v>1638</v>
      </c>
      <c r="BF4981" s="1">
        <v>0</v>
      </c>
      <c r="BG4981" s="1">
        <v>0</v>
      </c>
      <c r="BH4981" s="1"/>
      <c r="BI4981" s="1">
        <v>15060.3</v>
      </c>
      <c r="BJ4981" s="1">
        <v>11532.8</v>
      </c>
      <c r="BK4981" s="1">
        <v>18423</v>
      </c>
      <c r="BL4981" s="1">
        <v>314212.07</v>
      </c>
      <c r="BM4981" s="1">
        <v>43983.14</v>
      </c>
      <c r="BN4981" s="1">
        <v>358195.21</v>
      </c>
      <c r="BO4981" s="1"/>
      <c r="BP4981" s="1"/>
      <c r="BQ4981" s="1"/>
      <c r="BR4981" s="1"/>
      <c r="BS4981" s="1"/>
      <c r="BT4981" s="1"/>
      <c r="BU4981" s="1"/>
      <c r="BV4981" s="1"/>
      <c r="BW4981" s="1"/>
      <c r="BX4981" s="1"/>
      <c r="BY4981" s="1"/>
      <c r="BZ4981" s="1"/>
      <c r="CA4981" s="1"/>
      <c r="CB4981" s="1"/>
      <c r="CC4981" s="1"/>
      <c r="CD4981" s="1"/>
      <c r="CE4981" s="1"/>
      <c r="CF4981" s="1"/>
      <c r="CG4981" s="1"/>
      <c r="CH4981" s="1"/>
      <c r="CI4981" s="1"/>
      <c r="CJ4981" s="1"/>
      <c r="CK4981" s="1"/>
      <c r="CL4981" s="1"/>
      <c r="CM4981" s="1"/>
    </row>
    <row r="4982" spans="1:91">
      <c r="A4982" s="2"/>
      <c r="B4982" s="2"/>
      <c r="C4982" s="2"/>
      <c r="D4982" s="2"/>
      <c r="E4982" s="2"/>
      <c r="F4982" s="1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  <c r="BS4982" s="1"/>
      <c r="BT4982" s="2"/>
      <c r="BU4982" s="2"/>
      <c r="BV4982" s="2"/>
      <c r="BW4982" s="2"/>
      <c r="BX4982" s="2"/>
      <c r="BY4982" s="2"/>
      <c r="BZ4982" s="2"/>
      <c r="CA4982" s="2"/>
      <c r="CB4982" s="2"/>
      <c r="CC4982" s="2"/>
      <c r="CD4982" s="2"/>
      <c r="CE4982" s="2"/>
      <c r="CF4982" s="2"/>
      <c r="CG4982" s="2"/>
      <c r="CH4982" s="2"/>
      <c r="CI4982" s="2"/>
      <c r="CJ4982" s="2"/>
      <c r="CK4982" s="2"/>
      <c r="CL4982" s="2"/>
      <c r="CM4982" s="2"/>
    </row>
    <row r="4983" spans="1:91">
      <c r="A4983" s="2"/>
      <c r="B4983" s="2"/>
      <c r="C4983" s="2"/>
      <c r="D4983" s="2"/>
      <c r="E4983" s="2"/>
      <c r="F4983" s="1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  <c r="BS4983" s="1"/>
      <c r="BT4983" s="2"/>
      <c r="BU4983" s="2"/>
      <c r="BV4983" s="2"/>
      <c r="BW4983" s="2"/>
      <c r="BX4983" s="2"/>
      <c r="BY4983" s="2"/>
      <c r="BZ4983" s="2"/>
      <c r="CA4983" s="2"/>
      <c r="CB4983" s="2"/>
      <c r="CC4983" s="2"/>
      <c r="CD4983" s="2"/>
      <c r="CE4983" s="2"/>
      <c r="CF4983" s="2"/>
      <c r="CG4983" s="2"/>
      <c r="CH4983" s="2"/>
      <c r="CI4983" s="2"/>
      <c r="CJ4983" s="2"/>
      <c r="CK4983" s="2"/>
      <c r="CL4983" s="2"/>
      <c r="CM4983" s="2"/>
    </row>
    <row r="4984" spans="1:91">
      <c r="A4984" s="2"/>
      <c r="B4984" s="2"/>
      <c r="C4984" s="2"/>
      <c r="D4984" s="2"/>
      <c r="E4984" s="2"/>
      <c r="F4984" s="1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  <c r="BS4984" s="1"/>
      <c r="BT4984" s="2"/>
      <c r="BU4984" s="2"/>
      <c r="BV4984" s="2"/>
      <c r="BW4984" s="2"/>
      <c r="BX4984" s="2"/>
      <c r="BY4984" s="2"/>
      <c r="BZ4984" s="2"/>
      <c r="CA4984" s="2"/>
      <c r="CB4984" s="2"/>
      <c r="CC4984" s="2"/>
      <c r="CD4984" s="2"/>
      <c r="CE4984" s="2"/>
      <c r="CF4984" s="2"/>
      <c r="CG4984" s="2"/>
      <c r="CH4984" s="2"/>
      <c r="CI4984" s="2"/>
      <c r="CJ4984" s="2"/>
      <c r="CK4984" s="2"/>
      <c r="CL4984" s="2"/>
      <c r="CM4984" s="2"/>
    </row>
    <row r="4985" spans="1:91">
      <c r="A4985" s="2"/>
      <c r="B4985" s="2"/>
      <c r="C4985" s="2"/>
      <c r="D4985" s="2"/>
      <c r="E4985" s="2"/>
      <c r="F4985" s="1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1"/>
      <c r="BT4985" s="2"/>
      <c r="BU4985" s="2"/>
      <c r="BV4985" s="2"/>
      <c r="BW4985" s="2"/>
      <c r="BX4985" s="2"/>
      <c r="BY4985" s="2"/>
      <c r="BZ4985" s="2"/>
      <c r="CA4985" s="2"/>
      <c r="CB4985" s="2"/>
      <c r="CC4985" s="2"/>
      <c r="CD4985" s="2"/>
      <c r="CE4985" s="2"/>
      <c r="CF4985" s="2"/>
      <c r="CG4985" s="2"/>
      <c r="CH4985" s="2"/>
      <c r="CI4985" s="2"/>
      <c r="CJ4985" s="2"/>
      <c r="CK4985" s="2"/>
      <c r="CL4985" s="2"/>
      <c r="CM4985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2017-09-01T07:56:34Z</dcterms:created>
  <dcterms:modified xsi:type="dcterms:W3CDTF">2017-09-01T07:57:17Z</dcterms:modified>
</cp:coreProperties>
</file>